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showInkAnnotation="0"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amena_akram_birmingham_gov_uk/Documents/Documents/"/>
    </mc:Choice>
  </mc:AlternateContent>
  <xr:revisionPtr revIDLastSave="0" documentId="8_{94CBDED0-5D0F-4C51-9C95-0EAE2DF2D879}" xr6:coauthVersionLast="47" xr6:coauthVersionMax="47" xr10:uidLastSave="{00000000-0000-0000-0000-000000000000}"/>
  <workbookProtection workbookAlgorithmName="SHA-512" workbookHashValue="7OU584SLEqB+Pi1bCGuA0Cnp+Q8L3enwwyvphT6CtWsARnPvVOKPLV6yJ7jSlISud4ASaQ5yYb9AyucC6Ytp6Q==" workbookSaltValue="WQ5PEgykWVB1gbvPILcGWg==" workbookSpinCount="100000" lockStructure="1"/>
  <bookViews>
    <workbookView xWindow="-110" yWindow="-110" windowWidth="19420" windowHeight="11500" firstSheet="2" activeTab="3" xr2:uid="{00000000-000D-0000-FFFF-FFFF00000000}"/>
  </bookViews>
  <sheets>
    <sheet name="CONTROL CFR" sheetId="71" state="hidden" r:id="rId1"/>
    <sheet name="1. Calculator" sheetId="11" r:id="rId2"/>
    <sheet name="2. Cash Flow Statement" sheetId="74" r:id="rId3"/>
    <sheet name="3. Monitoring" sheetId="77" r:id="rId4"/>
    <sheet name="PIVOT Summary Mar 2026" sheetId="75" state="hidden" r:id="rId5"/>
    <sheet name="Summary Mar 2026" sheetId="67" state="hidden" r:id="rId6"/>
    <sheet name="OtherDSG" sheetId="66" state="hidden" r:id="rId7"/>
    <sheet name="Grants" sheetId="49" state="hidden" r:id="rId8"/>
    <sheet name="Barclays" sheetId="78" state="hidden" r:id="rId9"/>
    <sheet name="Cash Advances" sheetId="72" state="hidden" r:id="rId10"/>
    <sheet name="LA Expenditure" sheetId="73" state="hidden" r:id="rId11"/>
    <sheet name="HN" sheetId="62" state="hidden" r:id="rId12"/>
    <sheet name="EY" sheetId="61" state="hidden" r:id="rId13"/>
    <sheet name="Post 16" sheetId="65" state="hidden" r:id="rId14"/>
    <sheet name="ISB" sheetId="52" state="hidden" r:id="rId15"/>
    <sheet name="LA Deductions" sheetId="68" state="hidden" r:id="rId16"/>
    <sheet name="Lookup" sheetId="44" state="hidden" r:id="rId17"/>
  </sheets>
  <definedNames>
    <definedName name="_xlnm._FilterDatabase" localSheetId="8" hidden="1">Barclays!$A$6:$DX$207</definedName>
    <definedName name="_xlnm._FilterDatabase" localSheetId="9" hidden="1">'Cash Advances'!$A$4:$T$204</definedName>
    <definedName name="_xlnm._FilterDatabase" localSheetId="0" hidden="1">'CONTROL CFR'!$A$7:$F$208</definedName>
    <definedName name="_xlnm._FilterDatabase" localSheetId="12" hidden="1">EY!$A$7:$EF$208</definedName>
    <definedName name="_xlnm._FilterDatabase" localSheetId="7" hidden="1">Grants!$A$6:$FI$206</definedName>
    <definedName name="_xlnm._FilterDatabase" localSheetId="11" hidden="1">HN!$A$7:$Q$208</definedName>
    <definedName name="_xlnm._FilterDatabase" localSheetId="14" hidden="1">ISB!$A$3:$BY$158</definedName>
    <definedName name="_xlnm._FilterDatabase" localSheetId="15" hidden="1">'LA Deductions'!$A$6:$K$207</definedName>
    <definedName name="_xlnm._FilterDatabase" localSheetId="10" hidden="1">'LA Expenditure'!$A$4:$AJ$204</definedName>
    <definedName name="_xlnm._FilterDatabase" localSheetId="16" hidden="1">Lookup!$A$2:$Q$2</definedName>
    <definedName name="_xlnm._FilterDatabase" localSheetId="6" hidden="1">OtherDSG!$A$6:$AF$206</definedName>
    <definedName name="_xlnm._FilterDatabase" localSheetId="13" hidden="1">'Post 16'!$A$8:$G$15</definedName>
    <definedName name="_xlnm._FilterDatabase" localSheetId="5" hidden="1">'Summary Mar 2026'!$A$7:$GM$208</definedName>
    <definedName name="aaa">#REF!</definedName>
    <definedName name="abcde">#REF!</definedName>
    <definedName name="Accrual">#REF!</definedName>
    <definedName name="Accrualsrevised">#REF!</definedName>
    <definedName name="Adjustment">#REF!</definedName>
    <definedName name="Adjustments_To_1415_SBS">#REF!</definedName>
    <definedName name="Adjustments_To_1516_SBS">#REF!</definedName>
    <definedName name="Adjustments_To_PY_SBS">#REF!</definedName>
    <definedName name="agrclient">#REF!</definedName>
    <definedName name="All_dist_taper">#REF!</definedName>
    <definedName name="All_distance_threshold">#REF!</definedName>
    <definedName name="All_PupilNo_threshold">#REF!</definedName>
    <definedName name="Alt_Gains_Cap">#REF!</definedName>
    <definedName name="anteprevious_year">#REF!</definedName>
    <definedName name="APRIL">#REF!</definedName>
    <definedName name="AUGUST">#REF!</definedName>
    <definedName name="AWPU_KS3_Rate">#REF!</definedName>
    <definedName name="AWPU_KS4_Rate">#REF!</definedName>
    <definedName name="AWPU_Pri_Rate">#REF!</definedName>
    <definedName name="AWPU_Primary_DD_rate">#REF!</definedName>
    <definedName name="AWPU_Sec_DD_rate">#REF!</definedName>
    <definedName name="BalanceSheet">#REF!</definedName>
    <definedName name="BANK">#REF!</definedName>
    <definedName name="BlockTransfersDSGSchoolsBlock">#REF!</definedName>
    <definedName name="BUDGET">#REF!</definedName>
    <definedName name="BUDGET94">#REF!</definedName>
    <definedName name="Capping_Scaling_YesNo">#REF!</definedName>
    <definedName name="CCtr">#REF!</definedName>
    <definedName name="Cdmndr">#REF!</definedName>
    <definedName name="Ceiling">#REF!</definedName>
    <definedName name="column">#REF!</definedName>
    <definedName name="CommentaryAdditionalFundingFromHN">#REF!</definedName>
    <definedName name="CommentaryFallingRollsFund">#REF!</definedName>
    <definedName name="CommentaryGrowth">#REF!</definedName>
    <definedName name="CommentaryPFI">#REF!</definedName>
    <definedName name="CostCentre">#REF!</definedName>
    <definedName name="Creditors">#REF!</definedName>
    <definedName name="current_year">#REF!</definedName>
    <definedName name="current_year_full">#REF!</definedName>
    <definedName name="CY_MFG_Exclusion_Totals">#REF!</definedName>
    <definedName name="Debtors">#REF!</definedName>
    <definedName name="DECEMBER">#REF!</definedName>
    <definedName name="dsource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rlyYears">#REF!</definedName>
    <definedName name="Ever6_Pri_DD_Rate">#REF!</definedName>
    <definedName name="Ever6_pri_rate">#REF!</definedName>
    <definedName name="Ever6_Sec_DD_Rate">#REF!</definedName>
    <definedName name="Ever6_sec_rate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_Cir7_Total">#REF!</definedName>
    <definedName name="Excel_BuiltIn__FilterDatabase_3">"['Maintained Schools'.$A$1:.$H$11636]"</definedName>
    <definedName name="Excel_BuiltIn__FilterDatabase_4">"[Academies.$A$1:.$H$6222]"</definedName>
    <definedName name="Excel_BuiltIn__FilterDatabase_5">"[NMSS.$A$1:.$H$56]"</definedName>
    <definedName name="FEBRUARY">#REF!</definedName>
    <definedName name="File_Name">#REF!</definedName>
    <definedName name="File_Type">#REF!</definedName>
    <definedName name="Fringe_multiplier">#REF!</definedName>
    <definedName name="Fringe_Total">#REF!</definedName>
    <definedName name="FSM_Pri_DD_rate">#REF!</definedName>
    <definedName name="FSM_Pri_Option">#REF!</definedName>
    <definedName name="FSM_Pri_Rate">#REF!</definedName>
    <definedName name="FSM_Pri_Rate_2">#REF!</definedName>
    <definedName name="FSM_Sec_DD_rate">#REF!</definedName>
    <definedName name="FSM_Sec_Option">#REF!</definedName>
    <definedName name="FSM_Sec_Rate">#REF!</definedName>
    <definedName name="Funding_Floor">#REF!</definedName>
    <definedName name="Funding_Floor_Adjustment">#REF!</definedName>
    <definedName name="gfd">#REF!</definedName>
    <definedName name="glpage1">#REF!</definedName>
    <definedName name="glpage2">#REF!</definedName>
    <definedName name="glsum">#REF!</definedName>
    <definedName name="growthfunding">#REF!</definedName>
    <definedName name="IA_amalgamation">#REF!</definedName>
    <definedName name="IA_closed_preApril">#REF!</definedName>
    <definedName name="IA_conversion">#REF!</definedName>
    <definedName name="IA_new_free_school">#REF!</definedName>
    <definedName name="IA_NOR_change">#REF!</definedName>
    <definedName name="IA_open_postApril">#REF!</definedName>
    <definedName name="IA_open_preApril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NCOME">#REF!</definedName>
    <definedName name="Income_in_advance">#REF!</definedName>
    <definedName name="INCOME94">#REF!</definedName>
    <definedName name="JANUARY">#REF!</definedName>
    <definedName name="JULY">#REF!</definedName>
    <definedName name="JUNE">#REF!</definedName>
    <definedName name="LA_Code">#REF!</definedName>
    <definedName name="LA_Name">#REF!</definedName>
    <definedName name="LAC_Pri_DD_rate">#REF!</definedName>
    <definedName name="LAC_Rate">#REF!</definedName>
    <definedName name="LAC_Sec_DD_rate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ump_sum_Pri_DD_rate">#REF!</definedName>
    <definedName name="Lump_sum_Sec_DD_rate">#REF!</definedName>
    <definedName name="Lump_Sum_total">#REF!</definedName>
    <definedName name="MARCH">#REF!</definedName>
    <definedName name="MAY">#REF!</definedName>
    <definedName name="MFG_Rate">#REF!</definedName>
    <definedName name="MFG_Total">#REF!</definedName>
    <definedName name="Mid_dist_taper">#REF!</definedName>
    <definedName name="Mid_distance_threshold">#REF!</definedName>
    <definedName name="Mid_PupilNo_threshold">#REF!</definedName>
    <definedName name="min_pupil_rate_KS3">#REF!</definedName>
    <definedName name="min_pupil_rate_KS4">#REF!</definedName>
    <definedName name="min_pupil_rate_pri">#REF!</definedName>
    <definedName name="min_pupil_rate_sec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ppf_pri">#REF!</definedName>
    <definedName name="mppf_sec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F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FG">#REF!</definedName>
    <definedName name="Notional_SEN_Mobility_Pri">#REF!</definedName>
    <definedName name="Notional_SEN_Mobility_Sec">#REF!</definedName>
    <definedName name="Notional_SEN_MPPF">#REF!</definedName>
    <definedName name="Notional_SEN_PFI">#REF!</definedName>
    <definedName name="Notional_SEN_Rates">#REF!</definedName>
    <definedName name="Notional_SEN_SixthForm">#REF!</definedName>
    <definedName name="Notional_SEN_Sparsity_Pri">#REF!</definedName>
    <definedName name="Notional_SEN_Sparsity_Sec">#REF!</definedName>
    <definedName name="Notional_SEN_Split_sites">#REF!</definedName>
    <definedName name="NOVEMBER">#REF!</definedName>
    <definedName name="OCTOBER">#REF!</definedName>
    <definedName name="part">#REF!</definedName>
    <definedName name="Payment_in_advance">#REF!</definedName>
    <definedName name="PFI_Total">#REF!</definedName>
    <definedName name="previous_year">#REF!</definedName>
    <definedName name="previous_year_full">#REF!</definedName>
    <definedName name="Pri_dist_taper">#REF!</definedName>
    <definedName name="Pri_distance_threshold">#REF!</definedName>
    <definedName name="Pri_PupilNo_threshold">#REF!</definedName>
    <definedName name="Primary_Lump_sum">#REF!</definedName>
    <definedName name="_xlnm.Print_Area" localSheetId="1">'1. Calculator'!$A$1:$U$153</definedName>
    <definedName name="_xlnm.Print_Area" localSheetId="2">'2. Cash Flow Statement'!$A$1:$U$59</definedName>
    <definedName name="Private">#REF!</definedName>
    <definedName name="ProformaAdditionalFundingFromHN">#REF!</definedName>
    <definedName name="ProformaExceptionalCircumstanceTotals">#REF!</definedName>
    <definedName name="ProformaFallingRollsFund">#REF!</definedName>
    <definedName name="ProformaGrowthFund">#REF!</definedName>
    <definedName name="ProformaHNThreshold">#REF!</definedName>
    <definedName name="PupilPremium">#REF!</definedName>
    <definedName name="PY_MFG_Exclusion_Totals">#REF!</definedName>
    <definedName name="Quarter">#REF!</definedName>
    <definedName name="Rates_Total">#REF!</definedName>
    <definedName name="Reasons_list">#REF!</definedName>
    <definedName name="Reception_Uplift_YesNo">#REF!</definedName>
    <definedName name="revbudg">#REF!</definedName>
    <definedName name="row">#REF!</definedName>
    <definedName name="Scaling_Factor">#REF!</definedName>
    <definedName name="School">#REF!</definedName>
    <definedName name="School_list">#REF!</definedName>
    <definedName name="School_Name">#REF!</definedName>
    <definedName name="Schools">#REF!</definedName>
    <definedName name="Schoolsreference2">#REF!</definedName>
    <definedName name="Sec_dist_taper">#REF!</definedName>
    <definedName name="Sec_distance_threshold">#REF!</definedName>
    <definedName name="Sec_PupilNo_threshold">#REF!</definedName>
    <definedName name="Secondary_Lump_Sum">#REF!</definedName>
    <definedName name="SEPTEMBER">#REF!</definedName>
    <definedName name="Sheet_Name">#REF!</definedName>
    <definedName name="Sixth_Form_Total">#REF!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lit_sites_distance_rate">#REF!</definedName>
    <definedName name="Split_sites_lump_sum">#REF!</definedName>
    <definedName name="Split_Sites_Total">#REF!</definedName>
    <definedName name="table">#REF!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m1\\_0_C">#REF!</definedName>
    <definedName name="tm1\\_0_H">"{ ""server"" : ""https://paw.oscar.hmt.gov.uk/"", ""cube"" : ""{ \""server\"" : \""oscar_prd\"", \""cube\"" : \""}ElementAttributes_cpid_wga\""}""}"</definedName>
    <definedName name="tm1\\_0_R">#REF!</definedName>
    <definedName name="tm1\\_0_S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Notional_SEN">#REF!</definedName>
    <definedName name="Total_Primary_funding">#REF!</definedName>
    <definedName name="Total_Secondary_Funding">#REF!</definedName>
    <definedName name="ValidationList1">#REF!</definedName>
    <definedName name="ValidationList2">#REF!</definedName>
    <definedName name="Vol">#REF!</definedName>
    <definedName name="WorkingBudget">#REF!</definedName>
    <definedName name="YesNo">#REF!</definedName>
  </definedNames>
  <calcPr calcId="191028"/>
  <pivotCaches>
    <pivotCache cacheId="0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N9" i="67" l="1"/>
  <c r="FN10" i="67"/>
  <c r="FN11" i="67"/>
  <c r="FN12" i="67"/>
  <c r="FN13" i="67"/>
  <c r="FN14" i="67"/>
  <c r="FN15" i="67"/>
  <c r="FN16" i="67"/>
  <c r="FN17" i="67"/>
  <c r="FN18" i="67"/>
  <c r="FN19" i="67"/>
  <c r="FN20" i="67"/>
  <c r="FN21" i="67"/>
  <c r="FN22" i="67"/>
  <c r="FN23" i="67"/>
  <c r="FN24" i="67"/>
  <c r="FN25" i="67"/>
  <c r="FN26" i="67"/>
  <c r="FN27" i="67"/>
  <c r="FN28" i="67"/>
  <c r="FN29" i="67"/>
  <c r="FN30" i="67"/>
  <c r="FN31" i="67"/>
  <c r="FN32" i="67"/>
  <c r="FN33" i="67"/>
  <c r="FN34" i="67"/>
  <c r="FN35" i="67"/>
  <c r="FN36" i="67"/>
  <c r="FN37" i="67"/>
  <c r="FN38" i="67"/>
  <c r="FN39" i="67"/>
  <c r="FN40" i="67"/>
  <c r="FN41" i="67"/>
  <c r="FN42" i="67"/>
  <c r="FN43" i="67"/>
  <c r="FN44" i="67"/>
  <c r="FN45" i="67"/>
  <c r="FN46" i="67"/>
  <c r="FN47" i="67"/>
  <c r="FN48" i="67"/>
  <c r="FN49" i="67"/>
  <c r="FN50" i="67"/>
  <c r="FN51" i="67"/>
  <c r="FN52" i="67"/>
  <c r="FN53" i="67"/>
  <c r="FN54" i="67"/>
  <c r="FN55" i="67"/>
  <c r="FN56" i="67"/>
  <c r="FN57" i="67"/>
  <c r="FN58" i="67"/>
  <c r="FN59" i="67"/>
  <c r="FN60" i="67"/>
  <c r="FN61" i="67"/>
  <c r="FN62" i="67"/>
  <c r="FN63" i="67"/>
  <c r="FN64" i="67"/>
  <c r="FN65" i="67"/>
  <c r="FN66" i="67"/>
  <c r="FN67" i="67"/>
  <c r="FN68" i="67"/>
  <c r="FN69" i="67"/>
  <c r="FN70" i="67"/>
  <c r="FN71" i="67"/>
  <c r="FN72" i="67"/>
  <c r="FN73" i="67"/>
  <c r="FN74" i="67"/>
  <c r="FN75" i="67"/>
  <c r="FN76" i="67"/>
  <c r="FN77" i="67"/>
  <c r="FN78" i="67"/>
  <c r="FN79" i="67"/>
  <c r="FN80" i="67"/>
  <c r="FN81" i="67"/>
  <c r="FN82" i="67"/>
  <c r="FN83" i="67"/>
  <c r="FN84" i="67"/>
  <c r="FN85" i="67"/>
  <c r="FN86" i="67"/>
  <c r="FN87" i="67"/>
  <c r="FN88" i="67"/>
  <c r="FN89" i="67"/>
  <c r="FN90" i="67"/>
  <c r="FN91" i="67"/>
  <c r="FN92" i="67"/>
  <c r="FN93" i="67"/>
  <c r="FN94" i="67"/>
  <c r="FN95" i="67"/>
  <c r="FN96" i="67"/>
  <c r="FN97" i="67"/>
  <c r="FN98" i="67"/>
  <c r="FN99" i="67"/>
  <c r="FN100" i="67"/>
  <c r="FN101" i="67"/>
  <c r="FN102" i="67"/>
  <c r="FN103" i="67"/>
  <c r="FN104" i="67"/>
  <c r="FN105" i="67"/>
  <c r="FN106" i="67"/>
  <c r="FN107" i="67"/>
  <c r="FN108" i="67"/>
  <c r="FN109" i="67"/>
  <c r="FN110" i="67"/>
  <c r="FN111" i="67"/>
  <c r="FN112" i="67"/>
  <c r="FN113" i="67"/>
  <c r="FN114" i="67"/>
  <c r="FN115" i="67"/>
  <c r="FN116" i="67"/>
  <c r="FN117" i="67"/>
  <c r="FN118" i="67"/>
  <c r="FN119" i="67"/>
  <c r="FN120" i="67"/>
  <c r="FN121" i="67"/>
  <c r="FN122" i="67"/>
  <c r="FN123" i="67"/>
  <c r="FN124" i="67"/>
  <c r="FN125" i="67"/>
  <c r="FN126" i="67"/>
  <c r="FN127" i="67"/>
  <c r="FN128" i="67"/>
  <c r="FN129" i="67"/>
  <c r="FN130" i="67"/>
  <c r="FN131" i="67"/>
  <c r="FN132" i="67"/>
  <c r="FN133" i="67"/>
  <c r="FN134" i="67"/>
  <c r="FN135" i="67"/>
  <c r="FN136" i="67"/>
  <c r="FN137" i="67"/>
  <c r="FN138" i="67"/>
  <c r="FN139" i="67"/>
  <c r="FN140" i="67"/>
  <c r="FN141" i="67"/>
  <c r="FN142" i="67"/>
  <c r="FN143" i="67"/>
  <c r="FN144" i="67"/>
  <c r="FN145" i="67"/>
  <c r="FN146" i="67"/>
  <c r="FN147" i="67"/>
  <c r="FN148" i="67"/>
  <c r="FN149" i="67"/>
  <c r="FN150" i="67"/>
  <c r="FN151" i="67"/>
  <c r="FN152" i="67"/>
  <c r="FN153" i="67"/>
  <c r="FN154" i="67"/>
  <c r="FN155" i="67"/>
  <c r="FN156" i="67"/>
  <c r="FN157" i="67"/>
  <c r="FN158" i="67"/>
  <c r="FN159" i="67"/>
  <c r="FN160" i="67"/>
  <c r="FN161" i="67"/>
  <c r="FN162" i="67"/>
  <c r="FN163" i="67"/>
  <c r="FN164" i="67"/>
  <c r="FN165" i="67"/>
  <c r="FN166" i="67"/>
  <c r="FN167" i="67"/>
  <c r="FN168" i="67"/>
  <c r="FN169" i="67"/>
  <c r="FN170" i="67"/>
  <c r="FN171" i="67"/>
  <c r="FN172" i="67"/>
  <c r="FN173" i="67"/>
  <c r="FN174" i="67"/>
  <c r="FN175" i="67"/>
  <c r="FN176" i="67"/>
  <c r="FN177" i="67"/>
  <c r="FN178" i="67"/>
  <c r="FN179" i="67"/>
  <c r="FN180" i="67"/>
  <c r="FN181" i="67"/>
  <c r="FN182" i="67"/>
  <c r="FN183" i="67"/>
  <c r="FN184" i="67"/>
  <c r="FN185" i="67"/>
  <c r="FN186" i="67"/>
  <c r="FN187" i="67"/>
  <c r="FN188" i="67"/>
  <c r="FN189" i="67"/>
  <c r="FN190" i="67"/>
  <c r="FN191" i="67"/>
  <c r="FN192" i="67"/>
  <c r="FN193" i="67"/>
  <c r="FN8" i="67"/>
  <c r="AI8" i="66" l="1"/>
  <c r="AI9" i="66"/>
  <c r="AI10" i="66"/>
  <c r="AI11" i="66"/>
  <c r="AI12" i="66"/>
  <c r="AI13" i="66"/>
  <c r="AI14" i="66"/>
  <c r="AI15" i="66"/>
  <c r="AI16" i="66"/>
  <c r="AI17" i="66"/>
  <c r="AI18" i="66"/>
  <c r="AI19" i="66"/>
  <c r="AI20" i="66"/>
  <c r="AI21" i="66"/>
  <c r="AI22" i="66"/>
  <c r="AI23" i="66"/>
  <c r="AI24" i="66"/>
  <c r="AI25" i="66"/>
  <c r="AI26" i="66"/>
  <c r="AI27" i="66"/>
  <c r="AI28" i="66"/>
  <c r="AI29" i="66"/>
  <c r="AI30" i="66"/>
  <c r="AI31" i="66"/>
  <c r="AI32" i="66"/>
  <c r="AI33" i="66"/>
  <c r="AI34" i="66"/>
  <c r="AI35" i="66"/>
  <c r="AI36" i="66"/>
  <c r="AI37" i="66"/>
  <c r="AI38" i="66"/>
  <c r="AI39" i="66"/>
  <c r="AI40" i="66"/>
  <c r="AI41" i="66"/>
  <c r="AI42" i="66"/>
  <c r="AI43" i="66"/>
  <c r="AI44" i="66"/>
  <c r="AI45" i="66"/>
  <c r="AI46" i="66"/>
  <c r="AI47" i="66"/>
  <c r="AI48" i="66"/>
  <c r="AI49" i="66"/>
  <c r="AI50" i="66"/>
  <c r="AI51" i="66"/>
  <c r="AI52" i="66"/>
  <c r="AI53" i="66"/>
  <c r="AI54" i="66"/>
  <c r="AI55" i="66"/>
  <c r="AI56" i="66"/>
  <c r="AI57" i="66"/>
  <c r="AI58" i="66"/>
  <c r="AI59" i="66"/>
  <c r="AI60" i="66"/>
  <c r="AI61" i="66"/>
  <c r="AI62" i="66"/>
  <c r="AI63" i="66"/>
  <c r="AI64" i="66"/>
  <c r="AI65" i="66"/>
  <c r="AI66" i="66"/>
  <c r="AI67" i="66"/>
  <c r="AI68" i="66"/>
  <c r="AI69" i="66"/>
  <c r="AI70" i="66"/>
  <c r="AI71" i="66"/>
  <c r="AI72" i="66"/>
  <c r="AI73" i="66"/>
  <c r="AI74" i="66"/>
  <c r="AI75" i="66"/>
  <c r="AI76" i="66"/>
  <c r="AI77" i="66"/>
  <c r="AI78" i="66"/>
  <c r="AI79" i="66"/>
  <c r="AI80" i="66"/>
  <c r="AI81" i="66"/>
  <c r="AI82" i="66"/>
  <c r="AI83" i="66"/>
  <c r="AI84" i="66"/>
  <c r="AI85" i="66"/>
  <c r="AI86" i="66"/>
  <c r="AI87" i="66"/>
  <c r="AI88" i="66"/>
  <c r="AI89" i="66"/>
  <c r="AI90" i="66"/>
  <c r="AI91" i="66"/>
  <c r="AI92" i="66"/>
  <c r="AI93" i="66"/>
  <c r="AI94" i="66"/>
  <c r="AI95" i="66"/>
  <c r="AI96" i="66"/>
  <c r="AI97" i="66"/>
  <c r="AI98" i="66"/>
  <c r="AI99" i="66"/>
  <c r="AI100" i="66"/>
  <c r="AI101" i="66"/>
  <c r="AI102" i="66"/>
  <c r="AI103" i="66"/>
  <c r="AI104" i="66"/>
  <c r="AI105" i="66"/>
  <c r="AI106" i="66"/>
  <c r="AI107" i="66"/>
  <c r="AI108" i="66"/>
  <c r="AI109" i="66"/>
  <c r="AI110" i="66"/>
  <c r="AI111" i="66"/>
  <c r="AI112" i="66"/>
  <c r="AI113" i="66"/>
  <c r="AI114" i="66"/>
  <c r="AI115" i="66"/>
  <c r="AI116" i="66"/>
  <c r="AI117" i="66"/>
  <c r="AI118" i="66"/>
  <c r="AI119" i="66"/>
  <c r="AI120" i="66"/>
  <c r="AI121" i="66"/>
  <c r="AI122" i="66"/>
  <c r="AI123" i="66"/>
  <c r="AI124" i="66"/>
  <c r="AI125" i="66"/>
  <c r="AI126" i="66"/>
  <c r="AI127" i="66"/>
  <c r="AI128" i="66"/>
  <c r="AI129" i="66"/>
  <c r="AI130" i="66"/>
  <c r="AI131" i="66"/>
  <c r="AI132" i="66"/>
  <c r="AI133" i="66"/>
  <c r="AI134" i="66"/>
  <c r="AI135" i="66"/>
  <c r="AI136" i="66"/>
  <c r="AI137" i="66"/>
  <c r="AI138" i="66"/>
  <c r="AI139" i="66"/>
  <c r="AI140" i="66"/>
  <c r="AI141" i="66"/>
  <c r="AI142" i="66"/>
  <c r="AI143" i="66"/>
  <c r="AI144" i="66"/>
  <c r="AI145" i="66"/>
  <c r="AI146" i="66"/>
  <c r="AI147" i="66"/>
  <c r="AI148" i="66"/>
  <c r="AI149" i="66"/>
  <c r="AI150" i="66"/>
  <c r="AI151" i="66"/>
  <c r="AI152" i="66"/>
  <c r="AI153" i="66"/>
  <c r="AI154" i="66"/>
  <c r="AI155" i="66"/>
  <c r="AI156" i="66"/>
  <c r="AI157" i="66"/>
  <c r="AI158" i="66"/>
  <c r="AI159" i="66"/>
  <c r="AI160" i="66"/>
  <c r="AI161" i="66"/>
  <c r="AI162" i="66"/>
  <c r="AI163" i="66"/>
  <c r="AI164" i="66"/>
  <c r="AI165" i="66"/>
  <c r="AI166" i="66"/>
  <c r="AI167" i="66"/>
  <c r="AI168" i="66"/>
  <c r="AI169" i="66"/>
  <c r="AI170" i="66"/>
  <c r="AI171" i="66"/>
  <c r="AI172" i="66"/>
  <c r="AI173" i="66"/>
  <c r="AI174" i="66"/>
  <c r="AI175" i="66"/>
  <c r="AI176" i="66"/>
  <c r="AI177" i="66"/>
  <c r="AI178" i="66"/>
  <c r="AI179" i="66"/>
  <c r="AI180" i="66"/>
  <c r="AI181" i="66"/>
  <c r="AI182" i="66"/>
  <c r="AI183" i="66"/>
  <c r="AI184" i="66"/>
  <c r="AI185" i="66"/>
  <c r="AI186" i="66"/>
  <c r="AI187" i="66"/>
  <c r="AI188" i="66"/>
  <c r="AI189" i="66"/>
  <c r="AI190" i="66"/>
  <c r="AI191" i="66"/>
  <c r="AI192" i="66"/>
  <c r="AI193" i="66"/>
  <c r="AI194" i="66"/>
  <c r="AI195" i="66"/>
  <c r="AI196" i="66"/>
  <c r="AI197" i="66"/>
  <c r="AI198" i="66"/>
  <c r="AI199" i="66"/>
  <c r="AI200" i="66"/>
  <c r="AI201" i="66"/>
  <c r="AI202" i="66"/>
  <c r="AI203" i="66"/>
  <c r="AI204" i="66"/>
  <c r="AI205" i="66"/>
  <c r="AI206" i="66"/>
  <c r="AI7" i="66"/>
  <c r="AK208" i="66"/>
  <c r="AL208" i="66"/>
  <c r="AM208" i="66"/>
  <c r="AH8" i="66"/>
  <c r="AH9" i="66"/>
  <c r="AH10" i="66"/>
  <c r="AH11" i="66"/>
  <c r="AH12" i="66"/>
  <c r="AH13" i="66"/>
  <c r="AH14" i="66"/>
  <c r="AH15" i="66"/>
  <c r="AH16" i="66"/>
  <c r="AH17" i="66"/>
  <c r="AH18" i="66"/>
  <c r="AH19" i="66"/>
  <c r="AH20" i="66"/>
  <c r="AH21" i="66"/>
  <c r="AH22" i="66"/>
  <c r="AH23" i="66"/>
  <c r="AH24" i="66"/>
  <c r="AH25" i="66"/>
  <c r="AH26" i="66"/>
  <c r="AH27" i="66"/>
  <c r="AH28" i="66"/>
  <c r="AH29" i="66"/>
  <c r="AH30" i="66"/>
  <c r="AH31" i="66"/>
  <c r="AH32" i="66"/>
  <c r="AH33" i="66"/>
  <c r="AH34" i="66"/>
  <c r="AH35" i="66"/>
  <c r="AH36" i="66"/>
  <c r="AH37" i="66"/>
  <c r="AH38" i="66"/>
  <c r="AH39" i="66"/>
  <c r="AH40" i="66"/>
  <c r="AH41" i="66"/>
  <c r="AH42" i="66"/>
  <c r="AH43" i="66"/>
  <c r="AH44" i="66"/>
  <c r="AH45" i="66"/>
  <c r="AH46" i="66"/>
  <c r="AH47" i="66"/>
  <c r="AH48" i="66"/>
  <c r="AH49" i="66"/>
  <c r="AH50" i="66"/>
  <c r="AH51" i="66"/>
  <c r="AH52" i="66"/>
  <c r="AH53" i="66"/>
  <c r="AH54" i="66"/>
  <c r="AH55" i="66"/>
  <c r="AH56" i="66"/>
  <c r="AH57" i="66"/>
  <c r="AH58" i="66"/>
  <c r="AH59" i="66"/>
  <c r="AH60" i="66"/>
  <c r="AH61" i="66"/>
  <c r="AH62" i="66"/>
  <c r="AH63" i="66"/>
  <c r="AH64" i="66"/>
  <c r="AH65" i="66"/>
  <c r="AH66" i="66"/>
  <c r="AH67" i="66"/>
  <c r="AH68" i="66"/>
  <c r="AH69" i="66"/>
  <c r="AH70" i="66"/>
  <c r="AH71" i="66"/>
  <c r="AH72" i="66"/>
  <c r="AH73" i="66"/>
  <c r="AH74" i="66"/>
  <c r="AH75" i="66"/>
  <c r="AH77" i="66"/>
  <c r="AH78" i="66"/>
  <c r="AH79" i="66"/>
  <c r="AH80" i="66"/>
  <c r="AH81" i="66"/>
  <c r="AH82" i="66"/>
  <c r="AH83" i="66"/>
  <c r="AH84" i="66"/>
  <c r="AH85" i="66"/>
  <c r="AH86" i="66"/>
  <c r="AH87" i="66"/>
  <c r="AH88" i="66"/>
  <c r="AH89" i="66"/>
  <c r="AH90" i="66"/>
  <c r="AH91" i="66"/>
  <c r="AH92" i="66"/>
  <c r="AH93" i="66"/>
  <c r="AH94" i="66"/>
  <c r="AH95" i="66"/>
  <c r="AH96" i="66"/>
  <c r="AH97" i="66"/>
  <c r="AH98" i="66"/>
  <c r="AH99" i="66"/>
  <c r="AH100" i="66"/>
  <c r="AH101" i="66"/>
  <c r="AH102" i="66"/>
  <c r="AH103" i="66"/>
  <c r="AH104" i="66"/>
  <c r="AH105" i="66"/>
  <c r="AH106" i="66"/>
  <c r="AH107" i="66"/>
  <c r="AH108" i="66"/>
  <c r="AH109" i="66"/>
  <c r="AH110" i="66"/>
  <c r="AH111" i="66"/>
  <c r="AH112" i="66"/>
  <c r="AH113" i="66"/>
  <c r="AH114" i="66"/>
  <c r="AH115" i="66"/>
  <c r="AH116" i="66"/>
  <c r="AH117" i="66"/>
  <c r="AH118" i="66"/>
  <c r="AH119" i="66"/>
  <c r="AH120" i="66"/>
  <c r="AH121" i="66"/>
  <c r="AH122" i="66"/>
  <c r="AH123" i="66"/>
  <c r="AH124" i="66"/>
  <c r="AH125" i="66"/>
  <c r="AH126" i="66"/>
  <c r="AH127" i="66"/>
  <c r="AH128" i="66"/>
  <c r="AH129" i="66"/>
  <c r="AH130" i="66"/>
  <c r="AH131" i="66"/>
  <c r="AH132" i="66"/>
  <c r="AH133" i="66"/>
  <c r="AH134" i="66"/>
  <c r="AH135" i="66"/>
  <c r="AH136" i="66"/>
  <c r="AH137" i="66"/>
  <c r="AH138" i="66"/>
  <c r="AH139" i="66"/>
  <c r="AH140" i="66"/>
  <c r="AH141" i="66"/>
  <c r="AH142" i="66"/>
  <c r="AH143" i="66"/>
  <c r="AH144" i="66"/>
  <c r="AH145" i="66"/>
  <c r="AH146" i="66"/>
  <c r="AH147" i="66"/>
  <c r="AH148" i="66"/>
  <c r="AH149" i="66"/>
  <c r="AH150" i="66"/>
  <c r="AH151" i="66"/>
  <c r="AH152" i="66"/>
  <c r="AH153" i="66"/>
  <c r="AH154" i="66"/>
  <c r="AH155" i="66"/>
  <c r="AH156" i="66"/>
  <c r="AH157" i="66"/>
  <c r="AH158" i="66"/>
  <c r="AH159" i="66"/>
  <c r="AH160" i="66"/>
  <c r="AH161" i="66"/>
  <c r="AH162" i="66"/>
  <c r="AH163" i="66"/>
  <c r="AH164" i="66"/>
  <c r="AH165" i="66"/>
  <c r="AH166" i="66"/>
  <c r="AH167" i="66"/>
  <c r="AH168" i="66"/>
  <c r="AH169" i="66"/>
  <c r="AH170" i="66"/>
  <c r="AH171" i="66"/>
  <c r="AH172" i="66"/>
  <c r="AH173" i="66"/>
  <c r="AH174" i="66"/>
  <c r="AH175" i="66"/>
  <c r="AH176" i="66"/>
  <c r="AH177" i="66"/>
  <c r="AH178" i="66"/>
  <c r="AH179" i="66"/>
  <c r="AH180" i="66"/>
  <c r="AH181" i="66"/>
  <c r="AH182" i="66"/>
  <c r="AH183" i="66"/>
  <c r="AH184" i="66"/>
  <c r="AH185" i="66"/>
  <c r="AH186" i="66"/>
  <c r="AH187" i="66"/>
  <c r="AH188" i="66"/>
  <c r="AH189" i="66"/>
  <c r="AH190" i="66"/>
  <c r="AH191" i="66"/>
  <c r="AH192" i="66"/>
  <c r="AH193" i="66"/>
  <c r="AH194" i="66"/>
  <c r="AH195" i="66"/>
  <c r="AH196" i="66"/>
  <c r="AH197" i="66"/>
  <c r="AH198" i="66"/>
  <c r="AH199" i="66"/>
  <c r="AH200" i="66"/>
  <c r="AH201" i="66"/>
  <c r="AH202" i="66"/>
  <c r="AH203" i="66"/>
  <c r="AH204" i="66"/>
  <c r="AH205" i="66"/>
  <c r="AH206" i="66"/>
  <c r="AH7" i="66"/>
  <c r="W7" i="66"/>
  <c r="W20" i="66"/>
  <c r="FO208" i="67" l="1"/>
  <c r="S207" i="78" l="1"/>
  <c r="R207" i="78"/>
  <c r="R8" i="78"/>
  <c r="R9" i="78"/>
  <c r="R10" i="78"/>
  <c r="R11" i="78"/>
  <c r="R12" i="78"/>
  <c r="R13" i="78"/>
  <c r="R14" i="78"/>
  <c r="R15" i="78"/>
  <c r="R16" i="78"/>
  <c r="R17" i="78"/>
  <c r="R18" i="78"/>
  <c r="R19" i="78"/>
  <c r="R20" i="78"/>
  <c r="R21" i="78"/>
  <c r="R22" i="78"/>
  <c r="R23" i="78"/>
  <c r="R24" i="78"/>
  <c r="R25" i="78"/>
  <c r="R26" i="78"/>
  <c r="R27" i="78"/>
  <c r="R28" i="78"/>
  <c r="R29" i="78"/>
  <c r="R30" i="78"/>
  <c r="R31" i="78"/>
  <c r="R32" i="78"/>
  <c r="R33" i="78"/>
  <c r="R34" i="78"/>
  <c r="R35" i="78"/>
  <c r="R36" i="78"/>
  <c r="R37" i="78"/>
  <c r="R38" i="78"/>
  <c r="R39" i="78"/>
  <c r="R40" i="78"/>
  <c r="R41" i="78"/>
  <c r="R42" i="78"/>
  <c r="R43" i="78"/>
  <c r="R44" i="78"/>
  <c r="R45" i="78"/>
  <c r="R46" i="78"/>
  <c r="R47" i="78"/>
  <c r="R48" i="78"/>
  <c r="R49" i="78"/>
  <c r="R50" i="78"/>
  <c r="R51" i="78"/>
  <c r="R52" i="78"/>
  <c r="R53" i="78"/>
  <c r="R54" i="78"/>
  <c r="R55" i="78"/>
  <c r="R56" i="78"/>
  <c r="R57" i="78"/>
  <c r="R58" i="78"/>
  <c r="R59" i="78"/>
  <c r="R60" i="78"/>
  <c r="R61" i="78"/>
  <c r="R62" i="78"/>
  <c r="R63" i="78"/>
  <c r="R64" i="78"/>
  <c r="R65" i="78"/>
  <c r="R66" i="78"/>
  <c r="R67" i="78"/>
  <c r="R68" i="78"/>
  <c r="R69" i="78"/>
  <c r="R70" i="78"/>
  <c r="R71" i="78"/>
  <c r="R72" i="78"/>
  <c r="R73" i="78"/>
  <c r="R74" i="78"/>
  <c r="R75" i="78"/>
  <c r="R76" i="78"/>
  <c r="R77" i="78"/>
  <c r="R78" i="78"/>
  <c r="R79" i="78"/>
  <c r="R80" i="78"/>
  <c r="R81" i="78"/>
  <c r="R82" i="78"/>
  <c r="R83" i="78"/>
  <c r="R84" i="78"/>
  <c r="R85" i="78"/>
  <c r="R86" i="78"/>
  <c r="R87" i="78"/>
  <c r="R88" i="78"/>
  <c r="R89" i="78"/>
  <c r="R90" i="78"/>
  <c r="R91" i="78"/>
  <c r="R92" i="78"/>
  <c r="R93" i="78"/>
  <c r="R94" i="78"/>
  <c r="R95" i="78"/>
  <c r="R96" i="78"/>
  <c r="R97" i="78"/>
  <c r="R98" i="78"/>
  <c r="R99" i="78"/>
  <c r="R100" i="78"/>
  <c r="R101" i="78"/>
  <c r="R102" i="78"/>
  <c r="R103" i="78"/>
  <c r="R104" i="78"/>
  <c r="R105" i="78"/>
  <c r="R106" i="78"/>
  <c r="R107" i="78"/>
  <c r="R108" i="78"/>
  <c r="R109" i="78"/>
  <c r="R110" i="78"/>
  <c r="R111" i="78"/>
  <c r="R112" i="78"/>
  <c r="R113" i="78"/>
  <c r="R114" i="78"/>
  <c r="R115" i="78"/>
  <c r="R116" i="78"/>
  <c r="R117" i="78"/>
  <c r="R118" i="78"/>
  <c r="R119" i="78"/>
  <c r="R120" i="78"/>
  <c r="R121" i="78"/>
  <c r="R122" i="78"/>
  <c r="R123" i="78"/>
  <c r="R124" i="78"/>
  <c r="R125" i="78"/>
  <c r="R126" i="78"/>
  <c r="R127" i="78"/>
  <c r="R128" i="78"/>
  <c r="R129" i="78"/>
  <c r="R130" i="78"/>
  <c r="R131" i="78"/>
  <c r="R132" i="78"/>
  <c r="R133" i="78"/>
  <c r="R134" i="78"/>
  <c r="R135" i="78"/>
  <c r="R136" i="78"/>
  <c r="R137" i="78"/>
  <c r="R138" i="78"/>
  <c r="R139" i="78"/>
  <c r="R140" i="78"/>
  <c r="R141" i="78"/>
  <c r="R142" i="78"/>
  <c r="R143" i="78"/>
  <c r="R144" i="78"/>
  <c r="R145" i="78"/>
  <c r="R146" i="78"/>
  <c r="R147" i="78"/>
  <c r="R148" i="78"/>
  <c r="R149" i="78"/>
  <c r="R150" i="78"/>
  <c r="R151" i="78"/>
  <c r="R152" i="78"/>
  <c r="R153" i="78"/>
  <c r="R154" i="78"/>
  <c r="R155" i="78"/>
  <c r="R156" i="78"/>
  <c r="R157" i="78"/>
  <c r="R158" i="78"/>
  <c r="R159" i="78"/>
  <c r="R160" i="78"/>
  <c r="R161" i="78"/>
  <c r="R162" i="78"/>
  <c r="R163" i="78"/>
  <c r="R164" i="78"/>
  <c r="R165" i="78"/>
  <c r="R166" i="78"/>
  <c r="R167" i="78"/>
  <c r="R168" i="78"/>
  <c r="R169" i="78"/>
  <c r="R170" i="78"/>
  <c r="R171" i="78"/>
  <c r="R172" i="78"/>
  <c r="R173" i="78"/>
  <c r="R174" i="78"/>
  <c r="R175" i="78"/>
  <c r="R176" i="78"/>
  <c r="R177" i="78"/>
  <c r="R178" i="78"/>
  <c r="R179" i="78"/>
  <c r="R180" i="78"/>
  <c r="R181" i="78"/>
  <c r="R182" i="78"/>
  <c r="R183" i="78"/>
  <c r="R184" i="78"/>
  <c r="R185" i="78"/>
  <c r="R186" i="78"/>
  <c r="R187" i="78"/>
  <c r="R188" i="78"/>
  <c r="R189" i="78"/>
  <c r="R190" i="78"/>
  <c r="R191" i="78"/>
  <c r="R192" i="78"/>
  <c r="R193" i="78"/>
  <c r="R194" i="78"/>
  <c r="R195" i="78"/>
  <c r="R196" i="78"/>
  <c r="R197" i="78"/>
  <c r="R198" i="78"/>
  <c r="R199" i="78"/>
  <c r="R200" i="78"/>
  <c r="R201" i="78"/>
  <c r="R202" i="78"/>
  <c r="R203" i="78"/>
  <c r="R204" i="78"/>
  <c r="R205" i="78"/>
  <c r="R206" i="78"/>
  <c r="J207" i="78" l="1"/>
  <c r="K207" i="78"/>
  <c r="N207" i="78"/>
  <c r="O207" i="78"/>
  <c r="L207" i="78" l="1"/>
  <c r="M207" i="78" l="1"/>
  <c r="FY9" i="67" l="1"/>
  <c r="FY10" i="67"/>
  <c r="FY11" i="67"/>
  <c r="FY12" i="67"/>
  <c r="FY13" i="67"/>
  <c r="FY14" i="67"/>
  <c r="FY15" i="67"/>
  <c r="FY16" i="67"/>
  <c r="FY17" i="67"/>
  <c r="FY18" i="67"/>
  <c r="FY19" i="67"/>
  <c r="FY20" i="67"/>
  <c r="FY21" i="67"/>
  <c r="FY22" i="67"/>
  <c r="FY23" i="67"/>
  <c r="FY24" i="67"/>
  <c r="FY25" i="67"/>
  <c r="FY26" i="67"/>
  <c r="FY27" i="67"/>
  <c r="FY28" i="67"/>
  <c r="FY29" i="67"/>
  <c r="FY30" i="67"/>
  <c r="FY31" i="67"/>
  <c r="FY32" i="67"/>
  <c r="FY33" i="67"/>
  <c r="FY34" i="67"/>
  <c r="FY35" i="67"/>
  <c r="FY36" i="67"/>
  <c r="FY37" i="67"/>
  <c r="FY38" i="67"/>
  <c r="FY39" i="67"/>
  <c r="FY40" i="67"/>
  <c r="FY41" i="67"/>
  <c r="FY42" i="67"/>
  <c r="FY43" i="67"/>
  <c r="FY44" i="67"/>
  <c r="FY45" i="67"/>
  <c r="FY46" i="67"/>
  <c r="FY47" i="67"/>
  <c r="FY48" i="67"/>
  <c r="FY49" i="67"/>
  <c r="FY50" i="67"/>
  <c r="FY51" i="67"/>
  <c r="FY52" i="67"/>
  <c r="FY53" i="67"/>
  <c r="FY54" i="67"/>
  <c r="FY55" i="67"/>
  <c r="FY56" i="67"/>
  <c r="FY57" i="67"/>
  <c r="FY58" i="67"/>
  <c r="FY59" i="67"/>
  <c r="FY60" i="67"/>
  <c r="FY61" i="67"/>
  <c r="FY62" i="67"/>
  <c r="FY63" i="67"/>
  <c r="FY64" i="67"/>
  <c r="FY65" i="67"/>
  <c r="FY66" i="67"/>
  <c r="FY67" i="67"/>
  <c r="FY68" i="67"/>
  <c r="FY69" i="67"/>
  <c r="FY70" i="67"/>
  <c r="FY71" i="67"/>
  <c r="FY72" i="67"/>
  <c r="FY73" i="67"/>
  <c r="FY74" i="67"/>
  <c r="FY75" i="67"/>
  <c r="FY76" i="67"/>
  <c r="FY77" i="67"/>
  <c r="FY78" i="67"/>
  <c r="FY79" i="67"/>
  <c r="FY80" i="67"/>
  <c r="FY81" i="67"/>
  <c r="FY82" i="67"/>
  <c r="FY83" i="67"/>
  <c r="FY84" i="67"/>
  <c r="FY85" i="67"/>
  <c r="FY86" i="67"/>
  <c r="FY87" i="67"/>
  <c r="FY88" i="67"/>
  <c r="FY89" i="67"/>
  <c r="FY90" i="67"/>
  <c r="FY91" i="67"/>
  <c r="FY92" i="67"/>
  <c r="FY93" i="67"/>
  <c r="FY94" i="67"/>
  <c r="FY95" i="67"/>
  <c r="FY96" i="67"/>
  <c r="FY97" i="67"/>
  <c r="FY98" i="67"/>
  <c r="FY99" i="67"/>
  <c r="FY100" i="67"/>
  <c r="FY101" i="67"/>
  <c r="FY102" i="67"/>
  <c r="FY103" i="67"/>
  <c r="FY104" i="67"/>
  <c r="FY105" i="67"/>
  <c r="FY106" i="67"/>
  <c r="FY107" i="67"/>
  <c r="FY108" i="67"/>
  <c r="FY109" i="67"/>
  <c r="FY110" i="67"/>
  <c r="FY111" i="67"/>
  <c r="FY112" i="67"/>
  <c r="FY113" i="67"/>
  <c r="FY114" i="67"/>
  <c r="FY115" i="67"/>
  <c r="FY116" i="67"/>
  <c r="FY117" i="67"/>
  <c r="FY118" i="67"/>
  <c r="FY119" i="67"/>
  <c r="FY120" i="67"/>
  <c r="FY121" i="67"/>
  <c r="FY122" i="67"/>
  <c r="FY123" i="67"/>
  <c r="FY124" i="67"/>
  <c r="FY125" i="67"/>
  <c r="FY126" i="67"/>
  <c r="FY127" i="67"/>
  <c r="FY128" i="67"/>
  <c r="FY129" i="67"/>
  <c r="FY130" i="67"/>
  <c r="FY131" i="67"/>
  <c r="FY132" i="67"/>
  <c r="FY133" i="67"/>
  <c r="FY134" i="67"/>
  <c r="FY135" i="67"/>
  <c r="FY136" i="67"/>
  <c r="FY137" i="67"/>
  <c r="FY138" i="67"/>
  <c r="FY139" i="67"/>
  <c r="FY140" i="67"/>
  <c r="FY141" i="67"/>
  <c r="FY142" i="67"/>
  <c r="FY143" i="67"/>
  <c r="FY144" i="67"/>
  <c r="FY145" i="67"/>
  <c r="FY146" i="67"/>
  <c r="FY147" i="67"/>
  <c r="FY148" i="67"/>
  <c r="FY149" i="67"/>
  <c r="FY150" i="67"/>
  <c r="FY151" i="67"/>
  <c r="FY152" i="67"/>
  <c r="FY153" i="67"/>
  <c r="FY154" i="67"/>
  <c r="FY155" i="67"/>
  <c r="FY156" i="67"/>
  <c r="FY157" i="67"/>
  <c r="FY158" i="67"/>
  <c r="FY159" i="67"/>
  <c r="FY160" i="67"/>
  <c r="FY161" i="67"/>
  <c r="FY162" i="67"/>
  <c r="FY163" i="67"/>
  <c r="FY164" i="67"/>
  <c r="FY165" i="67"/>
  <c r="FY166" i="67"/>
  <c r="FY167" i="67"/>
  <c r="FY168" i="67"/>
  <c r="FY169" i="67"/>
  <c r="FY170" i="67"/>
  <c r="FY171" i="67"/>
  <c r="FY172" i="67"/>
  <c r="FY173" i="67"/>
  <c r="FY174" i="67"/>
  <c r="FY175" i="67"/>
  <c r="FY176" i="67"/>
  <c r="FY177" i="67"/>
  <c r="FY178" i="67"/>
  <c r="FY179" i="67"/>
  <c r="FY180" i="67"/>
  <c r="FY181" i="67"/>
  <c r="FY182" i="67"/>
  <c r="FY183" i="67"/>
  <c r="FY184" i="67"/>
  <c r="FY185" i="67"/>
  <c r="FY186" i="67"/>
  <c r="FY187" i="67"/>
  <c r="FY188" i="67"/>
  <c r="FY189" i="67"/>
  <c r="FY190" i="67"/>
  <c r="FY191" i="67"/>
  <c r="FY192" i="67"/>
  <c r="FY193" i="67"/>
  <c r="FY8" i="67"/>
  <c r="FJ9" i="67"/>
  <c r="FJ10" i="67"/>
  <c r="FJ11" i="67"/>
  <c r="FJ12" i="67"/>
  <c r="FJ13" i="67"/>
  <c r="FJ14" i="67"/>
  <c r="FJ15" i="67"/>
  <c r="FJ16" i="67"/>
  <c r="FJ17" i="67"/>
  <c r="FJ18" i="67"/>
  <c r="FJ19" i="67"/>
  <c r="FJ20" i="67"/>
  <c r="FJ21" i="67"/>
  <c r="FJ22" i="67"/>
  <c r="FJ23" i="67"/>
  <c r="FJ24" i="67"/>
  <c r="FJ25" i="67"/>
  <c r="FJ26" i="67"/>
  <c r="FJ27" i="67"/>
  <c r="FJ28" i="67"/>
  <c r="FJ29" i="67"/>
  <c r="FJ30" i="67"/>
  <c r="FJ31" i="67"/>
  <c r="FJ32" i="67"/>
  <c r="FJ33" i="67"/>
  <c r="FJ34" i="67"/>
  <c r="FJ35" i="67"/>
  <c r="FJ36" i="67"/>
  <c r="FJ37" i="67"/>
  <c r="FJ38" i="67"/>
  <c r="FJ39" i="67"/>
  <c r="FJ40" i="67"/>
  <c r="FJ41" i="67"/>
  <c r="FJ42" i="67"/>
  <c r="FJ43" i="67"/>
  <c r="FJ44" i="67"/>
  <c r="FJ45" i="67"/>
  <c r="FJ46" i="67"/>
  <c r="FJ47" i="67"/>
  <c r="FJ48" i="67"/>
  <c r="FJ49" i="67"/>
  <c r="FJ50" i="67"/>
  <c r="FJ51" i="67"/>
  <c r="FJ52" i="67"/>
  <c r="FJ53" i="67"/>
  <c r="FJ54" i="67"/>
  <c r="FJ55" i="67"/>
  <c r="FJ56" i="67"/>
  <c r="FJ57" i="67"/>
  <c r="FJ58" i="67"/>
  <c r="FJ59" i="67"/>
  <c r="FJ60" i="67"/>
  <c r="FJ61" i="67"/>
  <c r="FJ62" i="67"/>
  <c r="FJ63" i="67"/>
  <c r="FJ64" i="67"/>
  <c r="FJ65" i="67"/>
  <c r="FJ66" i="67"/>
  <c r="FJ67" i="67"/>
  <c r="FJ68" i="67"/>
  <c r="FJ69" i="67"/>
  <c r="FJ70" i="67"/>
  <c r="FJ71" i="67"/>
  <c r="FJ72" i="67"/>
  <c r="FJ73" i="67"/>
  <c r="FJ74" i="67"/>
  <c r="FJ75" i="67"/>
  <c r="FJ76" i="67"/>
  <c r="FJ77" i="67"/>
  <c r="FJ78" i="67"/>
  <c r="FJ79" i="67"/>
  <c r="FJ80" i="67"/>
  <c r="FJ81" i="67"/>
  <c r="FJ82" i="67"/>
  <c r="FJ83" i="67"/>
  <c r="FJ84" i="67"/>
  <c r="FJ85" i="67"/>
  <c r="FJ86" i="67"/>
  <c r="FJ87" i="67"/>
  <c r="FJ88" i="67"/>
  <c r="FJ89" i="67"/>
  <c r="FJ90" i="67"/>
  <c r="FJ91" i="67"/>
  <c r="FJ92" i="67"/>
  <c r="FJ93" i="67"/>
  <c r="FJ94" i="67"/>
  <c r="FJ95" i="67"/>
  <c r="FJ96" i="67"/>
  <c r="FJ97" i="67"/>
  <c r="FJ98" i="67"/>
  <c r="FJ99" i="67"/>
  <c r="FJ100" i="67"/>
  <c r="FJ101" i="67"/>
  <c r="FJ102" i="67"/>
  <c r="FJ103" i="67"/>
  <c r="FJ104" i="67"/>
  <c r="FJ105" i="67"/>
  <c r="FJ106" i="67"/>
  <c r="FJ107" i="67"/>
  <c r="FJ108" i="67"/>
  <c r="FJ109" i="67"/>
  <c r="FJ110" i="67"/>
  <c r="FJ111" i="67"/>
  <c r="FJ112" i="67"/>
  <c r="FJ113" i="67"/>
  <c r="FJ114" i="67"/>
  <c r="FJ115" i="67"/>
  <c r="FJ116" i="67"/>
  <c r="FJ117" i="67"/>
  <c r="FJ118" i="67"/>
  <c r="FJ119" i="67"/>
  <c r="FJ120" i="67"/>
  <c r="FJ121" i="67"/>
  <c r="FJ122" i="67"/>
  <c r="FJ123" i="67"/>
  <c r="FJ124" i="67"/>
  <c r="FJ125" i="67"/>
  <c r="FJ126" i="67"/>
  <c r="FJ127" i="67"/>
  <c r="FJ128" i="67"/>
  <c r="FJ129" i="67"/>
  <c r="FJ130" i="67"/>
  <c r="FJ131" i="67"/>
  <c r="FJ132" i="67"/>
  <c r="FJ133" i="67"/>
  <c r="FJ134" i="67"/>
  <c r="FJ135" i="67"/>
  <c r="FJ136" i="67"/>
  <c r="FJ137" i="67"/>
  <c r="FJ138" i="67"/>
  <c r="FJ139" i="67"/>
  <c r="FJ140" i="67"/>
  <c r="FJ141" i="67"/>
  <c r="FJ142" i="67"/>
  <c r="FJ143" i="67"/>
  <c r="FJ144" i="67"/>
  <c r="FJ145" i="67"/>
  <c r="FJ146" i="67"/>
  <c r="FJ147" i="67"/>
  <c r="FJ148" i="67"/>
  <c r="FJ149" i="67"/>
  <c r="FJ150" i="67"/>
  <c r="FJ151" i="67"/>
  <c r="FJ152" i="67"/>
  <c r="FJ153" i="67"/>
  <c r="FJ154" i="67"/>
  <c r="FJ155" i="67"/>
  <c r="FJ156" i="67"/>
  <c r="FJ157" i="67"/>
  <c r="FJ158" i="67"/>
  <c r="FJ159" i="67"/>
  <c r="FJ160" i="67"/>
  <c r="FJ161" i="67"/>
  <c r="FJ162" i="67"/>
  <c r="FJ163" i="67"/>
  <c r="FJ164" i="67"/>
  <c r="FJ165" i="67"/>
  <c r="FJ166" i="67"/>
  <c r="FJ167" i="67"/>
  <c r="FJ168" i="67"/>
  <c r="FJ169" i="67"/>
  <c r="FJ170" i="67"/>
  <c r="FJ171" i="67"/>
  <c r="FJ172" i="67"/>
  <c r="FJ173" i="67"/>
  <c r="FJ174" i="67"/>
  <c r="FJ175" i="67"/>
  <c r="FJ176" i="67"/>
  <c r="FJ177" i="67"/>
  <c r="FJ178" i="67"/>
  <c r="FJ179" i="67"/>
  <c r="FJ180" i="67"/>
  <c r="FJ181" i="67"/>
  <c r="FJ182" i="67"/>
  <c r="FJ183" i="67"/>
  <c r="FJ184" i="67"/>
  <c r="FJ185" i="67"/>
  <c r="FJ186" i="67"/>
  <c r="FJ187" i="67"/>
  <c r="FJ188" i="67"/>
  <c r="FJ189" i="67"/>
  <c r="FJ190" i="67"/>
  <c r="FJ191" i="67"/>
  <c r="FJ192" i="67"/>
  <c r="FJ193" i="67"/>
  <c r="FJ8" i="67"/>
  <c r="AM9" i="62"/>
  <c r="AM10" i="62"/>
  <c r="AM11" i="62"/>
  <c r="AM12" i="62"/>
  <c r="AM13" i="62"/>
  <c r="AM14" i="62"/>
  <c r="AM15" i="62"/>
  <c r="AM16" i="62"/>
  <c r="AM17" i="62"/>
  <c r="AM18" i="62"/>
  <c r="AM19" i="62"/>
  <c r="AM20" i="62"/>
  <c r="AM21" i="62"/>
  <c r="AM22" i="62"/>
  <c r="AM23" i="62"/>
  <c r="AM24" i="62"/>
  <c r="AM25" i="62"/>
  <c r="AM26" i="62"/>
  <c r="AM27" i="62"/>
  <c r="AM28" i="62"/>
  <c r="AM29" i="62"/>
  <c r="AM30" i="62"/>
  <c r="AM31" i="62"/>
  <c r="AM32" i="62"/>
  <c r="AM33" i="62"/>
  <c r="AM34" i="62"/>
  <c r="AM35" i="62"/>
  <c r="AM36" i="62"/>
  <c r="AM37" i="62"/>
  <c r="AM38" i="62"/>
  <c r="AM39" i="62"/>
  <c r="AM40" i="62"/>
  <c r="AM41" i="62"/>
  <c r="AM42" i="62"/>
  <c r="AM43" i="62"/>
  <c r="AM44" i="62"/>
  <c r="AM45" i="62"/>
  <c r="AM46" i="62"/>
  <c r="AM47" i="62"/>
  <c r="AM48" i="62"/>
  <c r="AM49" i="62"/>
  <c r="AM50" i="62"/>
  <c r="AM51" i="62"/>
  <c r="AM52" i="62"/>
  <c r="AM53" i="62"/>
  <c r="AM54" i="62"/>
  <c r="AM55" i="62"/>
  <c r="AM56" i="62"/>
  <c r="AM57" i="62"/>
  <c r="AM58" i="62"/>
  <c r="AM59" i="62"/>
  <c r="AM60" i="62"/>
  <c r="AM61" i="62"/>
  <c r="AM62" i="62"/>
  <c r="AM63" i="62"/>
  <c r="AM64" i="62"/>
  <c r="AM65" i="62"/>
  <c r="AM66" i="62"/>
  <c r="AM67" i="62"/>
  <c r="AM68" i="62"/>
  <c r="AM69" i="62"/>
  <c r="AM70" i="62"/>
  <c r="AM71" i="62"/>
  <c r="AM72" i="62"/>
  <c r="AM73" i="62"/>
  <c r="AM74" i="62"/>
  <c r="AM75" i="62"/>
  <c r="AM76" i="62"/>
  <c r="AM77" i="62"/>
  <c r="AM78" i="62"/>
  <c r="AM79" i="62"/>
  <c r="AM80" i="62"/>
  <c r="AM81" i="62"/>
  <c r="AM82" i="62"/>
  <c r="AM83" i="62"/>
  <c r="AM84" i="62"/>
  <c r="AM85" i="62"/>
  <c r="AM86" i="62"/>
  <c r="AM87" i="62"/>
  <c r="AM88" i="62"/>
  <c r="AM89" i="62"/>
  <c r="AM90" i="62"/>
  <c r="AM91" i="62"/>
  <c r="AM92" i="62"/>
  <c r="AM93" i="62"/>
  <c r="AM94" i="62"/>
  <c r="AM95" i="62"/>
  <c r="AM96" i="62"/>
  <c r="AM97" i="62"/>
  <c r="AM98" i="62"/>
  <c r="AM99" i="62"/>
  <c r="AM100" i="62"/>
  <c r="AM101" i="62"/>
  <c r="AM102" i="62"/>
  <c r="AM103" i="62"/>
  <c r="AM104" i="62"/>
  <c r="AM105" i="62"/>
  <c r="AM106" i="62"/>
  <c r="AM107" i="62"/>
  <c r="AM108" i="62"/>
  <c r="AM109" i="62"/>
  <c r="AM110" i="62"/>
  <c r="AM111" i="62"/>
  <c r="AM112" i="62"/>
  <c r="AM113" i="62"/>
  <c r="AM114" i="62"/>
  <c r="AM115" i="62"/>
  <c r="AM116" i="62"/>
  <c r="AM117" i="62"/>
  <c r="AM118" i="62"/>
  <c r="AM119" i="62"/>
  <c r="AM120" i="62"/>
  <c r="AM121" i="62"/>
  <c r="AM122" i="62"/>
  <c r="AM123" i="62"/>
  <c r="AM124" i="62"/>
  <c r="AM125" i="62"/>
  <c r="AM126" i="62"/>
  <c r="AM127" i="62"/>
  <c r="AM128" i="62"/>
  <c r="AM129" i="62"/>
  <c r="AM130" i="62"/>
  <c r="AM131" i="62"/>
  <c r="AM132" i="62"/>
  <c r="AM133" i="62"/>
  <c r="AM134" i="62"/>
  <c r="AM135" i="62"/>
  <c r="AM136" i="62"/>
  <c r="AM137" i="62"/>
  <c r="AM138" i="62"/>
  <c r="AM139" i="62"/>
  <c r="AM140" i="62"/>
  <c r="AM141" i="62"/>
  <c r="AM142" i="62"/>
  <c r="AM143" i="62"/>
  <c r="AM144" i="62"/>
  <c r="AM145" i="62"/>
  <c r="AM146" i="62"/>
  <c r="AM147" i="62"/>
  <c r="AM148" i="62"/>
  <c r="AM149" i="62"/>
  <c r="AM150" i="62"/>
  <c r="AM151" i="62"/>
  <c r="AM152" i="62"/>
  <c r="AM153" i="62"/>
  <c r="AM154" i="62"/>
  <c r="AM155" i="62"/>
  <c r="AM156" i="62"/>
  <c r="AM157" i="62"/>
  <c r="AM158" i="62"/>
  <c r="AM159" i="62"/>
  <c r="AM160" i="62"/>
  <c r="AM161" i="62"/>
  <c r="AM162" i="62"/>
  <c r="AM163" i="62"/>
  <c r="AM164" i="62"/>
  <c r="AM165" i="62"/>
  <c r="AM166" i="62"/>
  <c r="AM167" i="62"/>
  <c r="AM168" i="62"/>
  <c r="AM169" i="62"/>
  <c r="AM170" i="62"/>
  <c r="AM171" i="62"/>
  <c r="AM172" i="62"/>
  <c r="AM173" i="62"/>
  <c r="AM174" i="62"/>
  <c r="AM175" i="62"/>
  <c r="AM176" i="62"/>
  <c r="AM177" i="62"/>
  <c r="AM178" i="62"/>
  <c r="AM179" i="62"/>
  <c r="AM180" i="62"/>
  <c r="AM181" i="62"/>
  <c r="AM182" i="62"/>
  <c r="AM183" i="62"/>
  <c r="AM184" i="62"/>
  <c r="AM185" i="62"/>
  <c r="AM186" i="62"/>
  <c r="AM187" i="62"/>
  <c r="AM188" i="62"/>
  <c r="AM189" i="62"/>
  <c r="AM190" i="62"/>
  <c r="AM191" i="62"/>
  <c r="AM192" i="62"/>
  <c r="AM193" i="62"/>
  <c r="AM194" i="62"/>
  <c r="AM195" i="62"/>
  <c r="AM196" i="62"/>
  <c r="AM197" i="62"/>
  <c r="AM198" i="62"/>
  <c r="AM199" i="62"/>
  <c r="AM200" i="62"/>
  <c r="AM201" i="62"/>
  <c r="AM202" i="62"/>
  <c r="AM203" i="62"/>
  <c r="AM204" i="62"/>
  <c r="AM205" i="62"/>
  <c r="AM206" i="62"/>
  <c r="AM207" i="62"/>
  <c r="AM8" i="62"/>
  <c r="F91" i="62"/>
  <c r="F9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F104" i="62"/>
  <c r="F105" i="62"/>
  <c r="F106" i="62"/>
  <c r="F107" i="62"/>
  <c r="F108" i="62"/>
  <c r="F109" i="62"/>
  <c r="F110" i="62"/>
  <c r="F111" i="62"/>
  <c r="F112" i="62"/>
  <c r="F113" i="62"/>
  <c r="F114" i="62"/>
  <c r="F115" i="62"/>
  <c r="F116" i="62"/>
  <c r="F117" i="62"/>
  <c r="F118" i="62"/>
  <c r="F119" i="62"/>
  <c r="F120" i="62"/>
  <c r="F121" i="62"/>
  <c r="F122" i="62"/>
  <c r="F123" i="62"/>
  <c r="F124" i="62"/>
  <c r="F125" i="62"/>
  <c r="F126" i="62"/>
  <c r="F127" i="62"/>
  <c r="F128" i="62"/>
  <c r="F129" i="62"/>
  <c r="F130" i="62"/>
  <c r="F131" i="62"/>
  <c r="F132" i="62"/>
  <c r="F133" i="62"/>
  <c r="F134" i="62"/>
  <c r="F135" i="62"/>
  <c r="F136" i="62"/>
  <c r="F137" i="62"/>
  <c r="F138" i="62"/>
  <c r="F139" i="62"/>
  <c r="F140" i="62"/>
  <c r="F141" i="62"/>
  <c r="F142" i="62"/>
  <c r="F143" i="62"/>
  <c r="F144" i="62"/>
  <c r="F145" i="62"/>
  <c r="F146" i="62"/>
  <c r="F147" i="62"/>
  <c r="F148" i="62"/>
  <c r="F149" i="62"/>
  <c r="F150" i="62"/>
  <c r="F151" i="62"/>
  <c r="F152" i="62"/>
  <c r="F153" i="62"/>
  <c r="F154" i="62"/>
  <c r="F155" i="62"/>
  <c r="F156" i="62"/>
  <c r="F157" i="62"/>
  <c r="F158" i="62"/>
  <c r="F159" i="62"/>
  <c r="F160" i="62"/>
  <c r="F161" i="62"/>
  <c r="F162" i="62"/>
  <c r="F163" i="62"/>
  <c r="F164" i="62"/>
  <c r="F165" i="62"/>
  <c r="F166" i="62"/>
  <c r="F167" i="62"/>
  <c r="F168" i="62"/>
  <c r="F169" i="62"/>
  <c r="F170" i="62"/>
  <c r="F171" i="62"/>
  <c r="F172" i="62"/>
  <c r="F173" i="62"/>
  <c r="F174" i="62"/>
  <c r="F175" i="62"/>
  <c r="F176" i="62"/>
  <c r="F177" i="62"/>
  <c r="F178" i="62"/>
  <c r="F179" i="62"/>
  <c r="F180" i="62"/>
  <c r="F181" i="62"/>
  <c r="F182" i="62"/>
  <c r="F183" i="62"/>
  <c r="F184" i="62"/>
  <c r="F185" i="62"/>
  <c r="F186" i="62"/>
  <c r="F187" i="62"/>
  <c r="F188" i="62"/>
  <c r="F189" i="62"/>
  <c r="F190" i="62"/>
  <c r="F191" i="62"/>
  <c r="F192" i="62"/>
  <c r="F193" i="62"/>
  <c r="F194" i="62"/>
  <c r="F195" i="62"/>
  <c r="F196" i="62"/>
  <c r="F197" i="62"/>
  <c r="F198" i="62"/>
  <c r="F199" i="62"/>
  <c r="F200" i="62"/>
  <c r="F201" i="62"/>
  <c r="F202" i="62"/>
  <c r="F203" i="62"/>
  <c r="F204" i="62"/>
  <c r="F205" i="62"/>
  <c r="F206" i="62"/>
  <c r="F207" i="62"/>
  <c r="F8" i="62"/>
  <c r="AJ208" i="62" l="1"/>
  <c r="FX9" i="67" l="1"/>
  <c r="FX10" i="67"/>
  <c r="FX11" i="67"/>
  <c r="FX12" i="67"/>
  <c r="FX13" i="67"/>
  <c r="FX14" i="67"/>
  <c r="FX15" i="67"/>
  <c r="FX16" i="67"/>
  <c r="FX17" i="67"/>
  <c r="FX18" i="67"/>
  <c r="FX19" i="67"/>
  <c r="FX20" i="67"/>
  <c r="FX21" i="67"/>
  <c r="FX22" i="67"/>
  <c r="FX23" i="67"/>
  <c r="FX24" i="67"/>
  <c r="FX25" i="67"/>
  <c r="FX26" i="67"/>
  <c r="FX27" i="67"/>
  <c r="FX28" i="67"/>
  <c r="FX29" i="67"/>
  <c r="FX30" i="67"/>
  <c r="FX31" i="67"/>
  <c r="FX32" i="67"/>
  <c r="FX33" i="67"/>
  <c r="FX34" i="67"/>
  <c r="FX35" i="67"/>
  <c r="FX36" i="67"/>
  <c r="FX37" i="67"/>
  <c r="FX38" i="67"/>
  <c r="FX39" i="67"/>
  <c r="FX40" i="67"/>
  <c r="FX41" i="67"/>
  <c r="FX42" i="67"/>
  <c r="FX43" i="67"/>
  <c r="FX44" i="67"/>
  <c r="FX45" i="67"/>
  <c r="FX46" i="67"/>
  <c r="FX47" i="67"/>
  <c r="FX48" i="67"/>
  <c r="FX49" i="67"/>
  <c r="FX50" i="67"/>
  <c r="FX51" i="67"/>
  <c r="FX52" i="67"/>
  <c r="FX53" i="67"/>
  <c r="FX54" i="67"/>
  <c r="FX55" i="67"/>
  <c r="FX56" i="67"/>
  <c r="FX57" i="67"/>
  <c r="FX58" i="67"/>
  <c r="FX59" i="67"/>
  <c r="FX60" i="67"/>
  <c r="FX61" i="67"/>
  <c r="FX62" i="67"/>
  <c r="FX63" i="67"/>
  <c r="FX64" i="67"/>
  <c r="FX65" i="67"/>
  <c r="FX66" i="67"/>
  <c r="FX67" i="67"/>
  <c r="FX68" i="67"/>
  <c r="FX69" i="67"/>
  <c r="FX70" i="67"/>
  <c r="FX71" i="67"/>
  <c r="FX72" i="67"/>
  <c r="FX73" i="67"/>
  <c r="FX74" i="67"/>
  <c r="FX75" i="67"/>
  <c r="FX76" i="67"/>
  <c r="FX77" i="67"/>
  <c r="FX78" i="67"/>
  <c r="FX79" i="67"/>
  <c r="FX80" i="67"/>
  <c r="FX81" i="67"/>
  <c r="FX82" i="67"/>
  <c r="FX83" i="67"/>
  <c r="FX84" i="67"/>
  <c r="FX85" i="67"/>
  <c r="FX86" i="67"/>
  <c r="FX87" i="67"/>
  <c r="FX88" i="67"/>
  <c r="FX89" i="67"/>
  <c r="FX90" i="67"/>
  <c r="FX91" i="67"/>
  <c r="FX92" i="67"/>
  <c r="FX93" i="67"/>
  <c r="FX94" i="67"/>
  <c r="FX95" i="67"/>
  <c r="FX96" i="67"/>
  <c r="FX97" i="67"/>
  <c r="FX98" i="67"/>
  <c r="FX99" i="67"/>
  <c r="FX100" i="67"/>
  <c r="FX101" i="67"/>
  <c r="FX102" i="67"/>
  <c r="FX103" i="67"/>
  <c r="FX104" i="67"/>
  <c r="FX105" i="67"/>
  <c r="FX106" i="67"/>
  <c r="FX107" i="67"/>
  <c r="FX108" i="67"/>
  <c r="FX109" i="67"/>
  <c r="FX110" i="67"/>
  <c r="FX111" i="67"/>
  <c r="FX112" i="67"/>
  <c r="FX113" i="67"/>
  <c r="FX114" i="67"/>
  <c r="FX115" i="67"/>
  <c r="FX116" i="67"/>
  <c r="FX117" i="67"/>
  <c r="FX118" i="67"/>
  <c r="FX119" i="67"/>
  <c r="FX120" i="67"/>
  <c r="FX121" i="67"/>
  <c r="FX122" i="67"/>
  <c r="FX123" i="67"/>
  <c r="FX124" i="67"/>
  <c r="FX125" i="67"/>
  <c r="FX126" i="67"/>
  <c r="FX127" i="67"/>
  <c r="FX128" i="67"/>
  <c r="FX129" i="67"/>
  <c r="FX130" i="67"/>
  <c r="FX131" i="67"/>
  <c r="FX132" i="67"/>
  <c r="FX133" i="67"/>
  <c r="FX134" i="67"/>
  <c r="FX135" i="67"/>
  <c r="FX136" i="67"/>
  <c r="FX137" i="67"/>
  <c r="FX138" i="67"/>
  <c r="FX139" i="67"/>
  <c r="FX140" i="67"/>
  <c r="FX141" i="67"/>
  <c r="FX142" i="67"/>
  <c r="FX143" i="67"/>
  <c r="FX144" i="67"/>
  <c r="FX145" i="67"/>
  <c r="FX146" i="67"/>
  <c r="FX147" i="67"/>
  <c r="FX148" i="67"/>
  <c r="FX149" i="67"/>
  <c r="FX150" i="67"/>
  <c r="FX151" i="67"/>
  <c r="FX152" i="67"/>
  <c r="FX153" i="67"/>
  <c r="FX154" i="67"/>
  <c r="FX155" i="67"/>
  <c r="FX156" i="67"/>
  <c r="FX157" i="67"/>
  <c r="FX158" i="67"/>
  <c r="FX159" i="67"/>
  <c r="FX160" i="67"/>
  <c r="FX161" i="67"/>
  <c r="FX162" i="67"/>
  <c r="FX163" i="67"/>
  <c r="FX164" i="67"/>
  <c r="FX165" i="67"/>
  <c r="FX166" i="67"/>
  <c r="FX167" i="67"/>
  <c r="FX168" i="67"/>
  <c r="FX169" i="67"/>
  <c r="FX170" i="67"/>
  <c r="FX171" i="67"/>
  <c r="FX172" i="67"/>
  <c r="FX173" i="67"/>
  <c r="FX174" i="67"/>
  <c r="FX175" i="67"/>
  <c r="FX176" i="67"/>
  <c r="FX177" i="67"/>
  <c r="FX178" i="67"/>
  <c r="FX179" i="67"/>
  <c r="FX180" i="67"/>
  <c r="FX181" i="67"/>
  <c r="FX182" i="67"/>
  <c r="FX183" i="67"/>
  <c r="FX184" i="67"/>
  <c r="FX185" i="67"/>
  <c r="FX186" i="67"/>
  <c r="FX187" i="67"/>
  <c r="FX188" i="67"/>
  <c r="FX189" i="67"/>
  <c r="FX190" i="67"/>
  <c r="FX191" i="67"/>
  <c r="FX192" i="67"/>
  <c r="FX193" i="67"/>
  <c r="FX8" i="67"/>
  <c r="FI9" i="67"/>
  <c r="FI10" i="67"/>
  <c r="FI11" i="67"/>
  <c r="FI12" i="67"/>
  <c r="FI13" i="67"/>
  <c r="FI14" i="67"/>
  <c r="FI15" i="67"/>
  <c r="FI16" i="67"/>
  <c r="FI17" i="67"/>
  <c r="FI18" i="67"/>
  <c r="FI19" i="67"/>
  <c r="FI20" i="67"/>
  <c r="FI21" i="67"/>
  <c r="FI22" i="67"/>
  <c r="FI23" i="67"/>
  <c r="FI24" i="67"/>
  <c r="FI25" i="67"/>
  <c r="FI26" i="67"/>
  <c r="FI27" i="67"/>
  <c r="FI28" i="67"/>
  <c r="FI29" i="67"/>
  <c r="FI30" i="67"/>
  <c r="FI31" i="67"/>
  <c r="FI32" i="67"/>
  <c r="FI33" i="67"/>
  <c r="FI34" i="67"/>
  <c r="FI35" i="67"/>
  <c r="FI36" i="67"/>
  <c r="FI37" i="67"/>
  <c r="FI38" i="67"/>
  <c r="FI39" i="67"/>
  <c r="FI40" i="67"/>
  <c r="FI41" i="67"/>
  <c r="FI42" i="67"/>
  <c r="FI43" i="67"/>
  <c r="FI44" i="67"/>
  <c r="FI45" i="67"/>
  <c r="FI46" i="67"/>
  <c r="FI47" i="67"/>
  <c r="FI48" i="67"/>
  <c r="FI49" i="67"/>
  <c r="FI50" i="67"/>
  <c r="FI51" i="67"/>
  <c r="FI52" i="67"/>
  <c r="FI53" i="67"/>
  <c r="FI54" i="67"/>
  <c r="FI55" i="67"/>
  <c r="FI56" i="67"/>
  <c r="FI57" i="67"/>
  <c r="FI58" i="67"/>
  <c r="FI59" i="67"/>
  <c r="FI60" i="67"/>
  <c r="FI61" i="67"/>
  <c r="FI62" i="67"/>
  <c r="FI63" i="67"/>
  <c r="FI64" i="67"/>
  <c r="FI65" i="67"/>
  <c r="FI66" i="67"/>
  <c r="FI67" i="67"/>
  <c r="FI68" i="67"/>
  <c r="FI69" i="67"/>
  <c r="FI70" i="67"/>
  <c r="FI71" i="67"/>
  <c r="FI72" i="67"/>
  <c r="FI73" i="67"/>
  <c r="FI74" i="67"/>
  <c r="FI75" i="67"/>
  <c r="FI76" i="67"/>
  <c r="FI77" i="67"/>
  <c r="FI78" i="67"/>
  <c r="FI79" i="67"/>
  <c r="FI80" i="67"/>
  <c r="FI81" i="67"/>
  <c r="FI82" i="67"/>
  <c r="FI83" i="67"/>
  <c r="FI84" i="67"/>
  <c r="FI85" i="67"/>
  <c r="FI86" i="67"/>
  <c r="FI87" i="67"/>
  <c r="FI88" i="67"/>
  <c r="FI89" i="67"/>
  <c r="FI90" i="67"/>
  <c r="FI91" i="67"/>
  <c r="FI92" i="67"/>
  <c r="FI93" i="67"/>
  <c r="FI94" i="67"/>
  <c r="FI95" i="67"/>
  <c r="FI96" i="67"/>
  <c r="FI97" i="67"/>
  <c r="FI98" i="67"/>
  <c r="FI99" i="67"/>
  <c r="FI100" i="67"/>
  <c r="FI101" i="67"/>
  <c r="FI102" i="67"/>
  <c r="FI103" i="67"/>
  <c r="FI104" i="67"/>
  <c r="FI105" i="67"/>
  <c r="FI106" i="67"/>
  <c r="FI107" i="67"/>
  <c r="FI108" i="67"/>
  <c r="FI109" i="67"/>
  <c r="FI110" i="67"/>
  <c r="FI111" i="67"/>
  <c r="FI112" i="67"/>
  <c r="FI113" i="67"/>
  <c r="FI114" i="67"/>
  <c r="FI115" i="67"/>
  <c r="FI116" i="67"/>
  <c r="FI117" i="67"/>
  <c r="FI118" i="67"/>
  <c r="FI119" i="67"/>
  <c r="FI120" i="67"/>
  <c r="FI121" i="67"/>
  <c r="FI122" i="67"/>
  <c r="FI123" i="67"/>
  <c r="FI124" i="67"/>
  <c r="FI125" i="67"/>
  <c r="FI126" i="67"/>
  <c r="FI127" i="67"/>
  <c r="FI128" i="67"/>
  <c r="FI129" i="67"/>
  <c r="FI130" i="67"/>
  <c r="FI131" i="67"/>
  <c r="FI132" i="67"/>
  <c r="FI133" i="67"/>
  <c r="FI134" i="67"/>
  <c r="FI135" i="67"/>
  <c r="FI136" i="67"/>
  <c r="FI137" i="67"/>
  <c r="FI138" i="67"/>
  <c r="FI139" i="67"/>
  <c r="FI140" i="67"/>
  <c r="FI141" i="67"/>
  <c r="FI142" i="67"/>
  <c r="FI143" i="67"/>
  <c r="FI144" i="67"/>
  <c r="FI145" i="67"/>
  <c r="FI146" i="67"/>
  <c r="FI147" i="67"/>
  <c r="FI148" i="67"/>
  <c r="FI149" i="67"/>
  <c r="FI150" i="67"/>
  <c r="FI151" i="67"/>
  <c r="FI152" i="67"/>
  <c r="FI153" i="67"/>
  <c r="FI154" i="67"/>
  <c r="FI155" i="67"/>
  <c r="FI156" i="67"/>
  <c r="FI157" i="67"/>
  <c r="FI158" i="67"/>
  <c r="FI159" i="67"/>
  <c r="FI160" i="67"/>
  <c r="FI161" i="67"/>
  <c r="FI162" i="67"/>
  <c r="FI163" i="67"/>
  <c r="FI164" i="67"/>
  <c r="FI165" i="67"/>
  <c r="FI166" i="67"/>
  <c r="FI167" i="67"/>
  <c r="FI168" i="67"/>
  <c r="FI169" i="67"/>
  <c r="FI170" i="67"/>
  <c r="FI171" i="67"/>
  <c r="FI172" i="67"/>
  <c r="FI173" i="67"/>
  <c r="FI174" i="67"/>
  <c r="FI175" i="67"/>
  <c r="FI176" i="67"/>
  <c r="FI177" i="67"/>
  <c r="FI178" i="67"/>
  <c r="FI179" i="67"/>
  <c r="FI180" i="67"/>
  <c r="FI181" i="67"/>
  <c r="FI182" i="67"/>
  <c r="FI183" i="67"/>
  <c r="FI184" i="67"/>
  <c r="FI185" i="67"/>
  <c r="FI186" i="67"/>
  <c r="FI187" i="67"/>
  <c r="FI188" i="67"/>
  <c r="FI189" i="67"/>
  <c r="FI190" i="67"/>
  <c r="FI191" i="67"/>
  <c r="FI192" i="67"/>
  <c r="FI193" i="67"/>
  <c r="FI8" i="67"/>
  <c r="AL9" i="62"/>
  <c r="AL10" i="62"/>
  <c r="AL11" i="62"/>
  <c r="AL12" i="62"/>
  <c r="AL13" i="62"/>
  <c r="AL14" i="62"/>
  <c r="AL15" i="62"/>
  <c r="AL16" i="62"/>
  <c r="AL17" i="62"/>
  <c r="AL18" i="62"/>
  <c r="AL19" i="62"/>
  <c r="AL20" i="62"/>
  <c r="AL21" i="62"/>
  <c r="AL22" i="62"/>
  <c r="AL23" i="62"/>
  <c r="AL24" i="62"/>
  <c r="AL25" i="62"/>
  <c r="AL26" i="62"/>
  <c r="AL27" i="62"/>
  <c r="AL28" i="62"/>
  <c r="AL29" i="62"/>
  <c r="AL30" i="62"/>
  <c r="AL31" i="62"/>
  <c r="AL32" i="62"/>
  <c r="AL33" i="62"/>
  <c r="AL34" i="62"/>
  <c r="AL35" i="62"/>
  <c r="AL36" i="62"/>
  <c r="AL37" i="62"/>
  <c r="AL38" i="62"/>
  <c r="AL39" i="62"/>
  <c r="AL40" i="62"/>
  <c r="AL41" i="62"/>
  <c r="AL42" i="62"/>
  <c r="AL43" i="62"/>
  <c r="AL44" i="62"/>
  <c r="AL45" i="62"/>
  <c r="AL46" i="62"/>
  <c r="AL47" i="62"/>
  <c r="AL48" i="62"/>
  <c r="AL49" i="62"/>
  <c r="AL50" i="62"/>
  <c r="AL51" i="62"/>
  <c r="AL52" i="62"/>
  <c r="AL53" i="62"/>
  <c r="AL54" i="62"/>
  <c r="AL55" i="62"/>
  <c r="AL56" i="62"/>
  <c r="AL57" i="62"/>
  <c r="AL58" i="62"/>
  <c r="AL59" i="62"/>
  <c r="AL60" i="62"/>
  <c r="AL61" i="62"/>
  <c r="AL62" i="62"/>
  <c r="AL63" i="62"/>
  <c r="AL64" i="62"/>
  <c r="AL65" i="62"/>
  <c r="AL66" i="62"/>
  <c r="AL67" i="62"/>
  <c r="AL68" i="62"/>
  <c r="AL69" i="62"/>
  <c r="AL70" i="62"/>
  <c r="AL71" i="62"/>
  <c r="AL72" i="62"/>
  <c r="AL73" i="62"/>
  <c r="AL74" i="62"/>
  <c r="AL75" i="62"/>
  <c r="AL76" i="62"/>
  <c r="AL77" i="62"/>
  <c r="AL78" i="62"/>
  <c r="AL79" i="62"/>
  <c r="AL80" i="62"/>
  <c r="AL81" i="62"/>
  <c r="AL82" i="62"/>
  <c r="AL83" i="62"/>
  <c r="AL84" i="62"/>
  <c r="AL85" i="62"/>
  <c r="AL86" i="62"/>
  <c r="AL87" i="62"/>
  <c r="AL88" i="62"/>
  <c r="AL89" i="62"/>
  <c r="AL90" i="62"/>
  <c r="AL91" i="62"/>
  <c r="AL92" i="62"/>
  <c r="AL93" i="62"/>
  <c r="AL94" i="62"/>
  <c r="AL95" i="62"/>
  <c r="AL96" i="62"/>
  <c r="AL97" i="62"/>
  <c r="AL98" i="62"/>
  <c r="AL99" i="62"/>
  <c r="AL100" i="62"/>
  <c r="AL101" i="62"/>
  <c r="AL102" i="62"/>
  <c r="AL103" i="62"/>
  <c r="AL104" i="62"/>
  <c r="AL105" i="62"/>
  <c r="AL106" i="62"/>
  <c r="AL107" i="62"/>
  <c r="AL108" i="62"/>
  <c r="AL109" i="62"/>
  <c r="AL110" i="62"/>
  <c r="AL111" i="62"/>
  <c r="AL112" i="62"/>
  <c r="AL113" i="62"/>
  <c r="AL114" i="62"/>
  <c r="AL115" i="62"/>
  <c r="AL116" i="62"/>
  <c r="AL117" i="62"/>
  <c r="AL118" i="62"/>
  <c r="AL119" i="62"/>
  <c r="AL120" i="62"/>
  <c r="AL121" i="62"/>
  <c r="AL122" i="62"/>
  <c r="AL123" i="62"/>
  <c r="AL124" i="62"/>
  <c r="AL125" i="62"/>
  <c r="AL126" i="62"/>
  <c r="AL127" i="62"/>
  <c r="AL128" i="62"/>
  <c r="AL129" i="62"/>
  <c r="AL130" i="62"/>
  <c r="AL131" i="62"/>
  <c r="AL132" i="62"/>
  <c r="AL133" i="62"/>
  <c r="AL134" i="62"/>
  <c r="AL135" i="62"/>
  <c r="AL136" i="62"/>
  <c r="AL137" i="62"/>
  <c r="AL138" i="62"/>
  <c r="AL139" i="62"/>
  <c r="AL140" i="62"/>
  <c r="AL141" i="62"/>
  <c r="AL142" i="62"/>
  <c r="AL143" i="62"/>
  <c r="AL144" i="62"/>
  <c r="AL145" i="62"/>
  <c r="AL146" i="62"/>
  <c r="AL147" i="62"/>
  <c r="AL148" i="62"/>
  <c r="AL149" i="62"/>
  <c r="AL150" i="62"/>
  <c r="AL151" i="62"/>
  <c r="AL152" i="62"/>
  <c r="AL153" i="62"/>
  <c r="AL154" i="62"/>
  <c r="AL155" i="62"/>
  <c r="AL156" i="62"/>
  <c r="AL157" i="62"/>
  <c r="AL158" i="62"/>
  <c r="AL159" i="62"/>
  <c r="AL160" i="62"/>
  <c r="AL161" i="62"/>
  <c r="AL162" i="62"/>
  <c r="AL163" i="62"/>
  <c r="AL164" i="62"/>
  <c r="AL165" i="62"/>
  <c r="AL166" i="62"/>
  <c r="AL167" i="62"/>
  <c r="AL168" i="62"/>
  <c r="AL169" i="62"/>
  <c r="AL170" i="62"/>
  <c r="AL171" i="62"/>
  <c r="AL172" i="62"/>
  <c r="AL173" i="62"/>
  <c r="AL174" i="62"/>
  <c r="AL175" i="62"/>
  <c r="AL176" i="62"/>
  <c r="AL177" i="62"/>
  <c r="AL178" i="62"/>
  <c r="AL179" i="62"/>
  <c r="AL180" i="62"/>
  <c r="AL181" i="62"/>
  <c r="AL182" i="62"/>
  <c r="AL183" i="62"/>
  <c r="AL184" i="62"/>
  <c r="AL185" i="62"/>
  <c r="AL186" i="62"/>
  <c r="AL187" i="62"/>
  <c r="AL188" i="62"/>
  <c r="AL189" i="62"/>
  <c r="AL190" i="62"/>
  <c r="AL191" i="62"/>
  <c r="AL192" i="62"/>
  <c r="AL193" i="62"/>
  <c r="AL194" i="62"/>
  <c r="AL195" i="62"/>
  <c r="AL196" i="62"/>
  <c r="AL197" i="62"/>
  <c r="AL198" i="62"/>
  <c r="AL199" i="62"/>
  <c r="AL200" i="62"/>
  <c r="AL201" i="62"/>
  <c r="AL202" i="62"/>
  <c r="AL203" i="62"/>
  <c r="AL204" i="62"/>
  <c r="AL205" i="62"/>
  <c r="AL206" i="62"/>
  <c r="AL207" i="62"/>
  <c r="AL8" i="62"/>
  <c r="AI208" i="62" l="1"/>
  <c r="W8" i="66"/>
  <c r="W9" i="66"/>
  <c r="W10" i="66"/>
  <c r="W11" i="66"/>
  <c r="W12" i="66"/>
  <c r="W13" i="66"/>
  <c r="W14" i="66"/>
  <c r="W15" i="66"/>
  <c r="W16" i="66"/>
  <c r="W17" i="66"/>
  <c r="W18" i="66"/>
  <c r="W19" i="66"/>
  <c r="W21" i="66"/>
  <c r="W22" i="66"/>
  <c r="W23" i="66"/>
  <c r="W24" i="66"/>
  <c r="W25" i="66"/>
  <c r="W26" i="66"/>
  <c r="W27" i="66"/>
  <c r="W28" i="66"/>
  <c r="W29" i="66"/>
  <c r="W30" i="66"/>
  <c r="W31" i="66"/>
  <c r="W32" i="66"/>
  <c r="W33" i="66"/>
  <c r="W34" i="66"/>
  <c r="W35" i="66"/>
  <c r="W36" i="66"/>
  <c r="W37" i="66"/>
  <c r="W38" i="66"/>
  <c r="W39" i="66"/>
  <c r="W40" i="66"/>
  <c r="W41" i="66"/>
  <c r="W42" i="66"/>
  <c r="W43" i="66"/>
  <c r="W44" i="66"/>
  <c r="W45" i="66"/>
  <c r="W46" i="66"/>
  <c r="W47" i="66"/>
  <c r="W48" i="66"/>
  <c r="W49" i="66"/>
  <c r="W50" i="66"/>
  <c r="W51" i="66"/>
  <c r="W52" i="66"/>
  <c r="W53" i="66"/>
  <c r="W54" i="66"/>
  <c r="W55" i="66"/>
  <c r="W56" i="66"/>
  <c r="W57" i="66"/>
  <c r="W58" i="66"/>
  <c r="W59" i="66"/>
  <c r="W60" i="66"/>
  <c r="W61" i="66"/>
  <c r="W62" i="66"/>
  <c r="W63" i="66"/>
  <c r="W64" i="66"/>
  <c r="W65" i="66"/>
  <c r="W66" i="66"/>
  <c r="W67" i="66"/>
  <c r="W68" i="66"/>
  <c r="W69" i="66"/>
  <c r="W70" i="66"/>
  <c r="W71" i="66"/>
  <c r="W72" i="66"/>
  <c r="W73" i="66"/>
  <c r="W74" i="66"/>
  <c r="W75" i="66"/>
  <c r="W77" i="66"/>
  <c r="W78" i="66"/>
  <c r="W79" i="66"/>
  <c r="W80" i="66"/>
  <c r="W81" i="66"/>
  <c r="W82" i="66"/>
  <c r="W83" i="66"/>
  <c r="W84" i="66"/>
  <c r="W85" i="66"/>
  <c r="W86" i="66"/>
  <c r="W87" i="66"/>
  <c r="W88" i="66"/>
  <c r="W89" i="66"/>
  <c r="W90" i="66"/>
  <c r="W91" i="66"/>
  <c r="W92" i="66"/>
  <c r="W93" i="66"/>
  <c r="W94" i="66"/>
  <c r="W95" i="66"/>
  <c r="W96" i="66"/>
  <c r="W97" i="66"/>
  <c r="W98" i="66"/>
  <c r="W99" i="66"/>
  <c r="W100" i="66"/>
  <c r="W101" i="66"/>
  <c r="W102" i="66"/>
  <c r="W103" i="66"/>
  <c r="W104" i="66"/>
  <c r="W105" i="66"/>
  <c r="W106" i="66"/>
  <c r="W107" i="66"/>
  <c r="W108" i="66"/>
  <c r="W109" i="66"/>
  <c r="W110" i="66"/>
  <c r="W111" i="66"/>
  <c r="W112" i="66"/>
  <c r="W113" i="66"/>
  <c r="W114" i="66"/>
  <c r="W115" i="66"/>
  <c r="W116" i="66"/>
  <c r="W117" i="66"/>
  <c r="W118" i="66"/>
  <c r="W119" i="66"/>
  <c r="W120" i="66"/>
  <c r="W121" i="66"/>
  <c r="W122" i="66"/>
  <c r="W123" i="66"/>
  <c r="W124" i="66"/>
  <c r="W125" i="66"/>
  <c r="W126" i="66"/>
  <c r="W127" i="66"/>
  <c r="W128" i="66"/>
  <c r="W129" i="66"/>
  <c r="W130" i="66"/>
  <c r="W131" i="66"/>
  <c r="W132" i="66"/>
  <c r="W133" i="66"/>
  <c r="W134" i="66"/>
  <c r="W135" i="66"/>
  <c r="W136" i="66"/>
  <c r="W137" i="66"/>
  <c r="W138" i="66"/>
  <c r="W139" i="66"/>
  <c r="W140" i="66"/>
  <c r="W141" i="66"/>
  <c r="W142" i="66"/>
  <c r="W143" i="66"/>
  <c r="W144" i="66"/>
  <c r="W145" i="66"/>
  <c r="W146" i="66"/>
  <c r="W147" i="66"/>
  <c r="W148" i="66"/>
  <c r="W149" i="66"/>
  <c r="W150" i="66"/>
  <c r="W151" i="66"/>
  <c r="W152" i="66"/>
  <c r="W153" i="66"/>
  <c r="W154" i="66"/>
  <c r="W155" i="66"/>
  <c r="W156" i="66"/>
  <c r="W157" i="66"/>
  <c r="W158" i="66"/>
  <c r="W159" i="66"/>
  <c r="W160" i="66"/>
  <c r="W161" i="66"/>
  <c r="W162" i="66"/>
  <c r="W163" i="66"/>
  <c r="W164" i="66"/>
  <c r="W165" i="66"/>
  <c r="W166" i="66"/>
  <c r="W167" i="66"/>
  <c r="W168" i="66"/>
  <c r="W169" i="66"/>
  <c r="W170" i="66"/>
  <c r="W171" i="66"/>
  <c r="W172" i="66"/>
  <c r="W173" i="66"/>
  <c r="W174" i="66"/>
  <c r="W175" i="66"/>
  <c r="W176" i="66"/>
  <c r="W177" i="66"/>
  <c r="W178" i="66"/>
  <c r="W179" i="66"/>
  <c r="W180" i="66"/>
  <c r="W181" i="66"/>
  <c r="W182" i="66"/>
  <c r="W183" i="66"/>
  <c r="W184" i="66"/>
  <c r="W185" i="66"/>
  <c r="W186" i="66"/>
  <c r="W187" i="66"/>
  <c r="W188" i="66"/>
  <c r="W189" i="66"/>
  <c r="W190" i="66"/>
  <c r="W191" i="66"/>
  <c r="W192" i="66"/>
  <c r="W193" i="66"/>
  <c r="W194" i="66"/>
  <c r="W195" i="66"/>
  <c r="W196" i="66"/>
  <c r="W197" i="66"/>
  <c r="W198" i="66"/>
  <c r="W199" i="66"/>
  <c r="W200" i="66"/>
  <c r="W201" i="66"/>
  <c r="W202" i="66"/>
  <c r="W203" i="66"/>
  <c r="W204" i="66"/>
  <c r="W205" i="66"/>
  <c r="W206" i="66"/>
  <c r="AK76" i="66"/>
  <c r="AH76" i="66" s="1"/>
  <c r="DY208" i="67"/>
  <c r="ED208" i="67"/>
  <c r="FU9" i="67"/>
  <c r="FU10" i="67"/>
  <c r="FU11" i="67"/>
  <c r="FU12" i="67"/>
  <c r="FU13" i="67"/>
  <c r="FU14" i="67"/>
  <c r="FU15" i="67"/>
  <c r="FU16" i="67"/>
  <c r="FU17" i="67"/>
  <c r="FU18" i="67"/>
  <c r="FU19" i="67"/>
  <c r="FU20" i="67"/>
  <c r="FU21" i="67"/>
  <c r="FU22" i="67"/>
  <c r="FU23" i="67"/>
  <c r="FU24" i="67"/>
  <c r="FU25" i="67"/>
  <c r="FU26" i="67"/>
  <c r="FU27" i="67"/>
  <c r="FU28" i="67"/>
  <c r="FU29" i="67"/>
  <c r="FU30" i="67"/>
  <c r="FU31" i="67"/>
  <c r="FU32" i="67"/>
  <c r="FU33" i="67"/>
  <c r="FU34" i="67"/>
  <c r="FU35" i="67"/>
  <c r="FU36" i="67"/>
  <c r="FU37" i="67"/>
  <c r="FU38" i="67"/>
  <c r="FU39" i="67"/>
  <c r="FU40" i="67"/>
  <c r="FU41" i="67"/>
  <c r="FU42" i="67"/>
  <c r="FU43" i="67"/>
  <c r="FU44" i="67"/>
  <c r="FU45" i="67"/>
  <c r="FU46" i="67"/>
  <c r="FU47" i="67"/>
  <c r="FU48" i="67"/>
  <c r="FU49" i="67"/>
  <c r="FU50" i="67"/>
  <c r="FU51" i="67"/>
  <c r="FU52" i="67"/>
  <c r="FU53" i="67"/>
  <c r="FU54" i="67"/>
  <c r="FU55" i="67"/>
  <c r="FU56" i="67"/>
  <c r="FU57" i="67"/>
  <c r="FU58" i="67"/>
  <c r="FU59" i="67"/>
  <c r="FU60" i="67"/>
  <c r="FU61" i="67"/>
  <c r="FU62" i="67"/>
  <c r="FU63" i="67"/>
  <c r="FU64" i="67"/>
  <c r="FU65" i="67"/>
  <c r="FU66" i="67"/>
  <c r="FU67" i="67"/>
  <c r="FU68" i="67"/>
  <c r="FU69" i="67"/>
  <c r="FU70" i="67"/>
  <c r="FU71" i="67"/>
  <c r="FU72" i="67"/>
  <c r="FU73" i="67"/>
  <c r="FU74" i="67"/>
  <c r="FU75" i="67"/>
  <c r="FU76" i="67"/>
  <c r="FU77" i="67"/>
  <c r="FU78" i="67"/>
  <c r="FU79" i="67"/>
  <c r="FU80" i="67"/>
  <c r="FU81" i="67"/>
  <c r="FU82" i="67"/>
  <c r="FU83" i="67"/>
  <c r="FU84" i="67"/>
  <c r="FU85" i="67"/>
  <c r="FU86" i="67"/>
  <c r="FU87" i="67"/>
  <c r="FU88" i="67"/>
  <c r="FU89" i="67"/>
  <c r="FU90" i="67"/>
  <c r="FU91" i="67"/>
  <c r="FU92" i="67"/>
  <c r="FU93" i="67"/>
  <c r="FU94" i="67"/>
  <c r="FU95" i="67"/>
  <c r="FU96" i="67"/>
  <c r="FU97" i="67"/>
  <c r="FU98" i="67"/>
  <c r="FU99" i="67"/>
  <c r="FU100" i="67"/>
  <c r="FU101" i="67"/>
  <c r="FU102" i="67"/>
  <c r="FU103" i="67"/>
  <c r="FU104" i="67"/>
  <c r="FU105" i="67"/>
  <c r="FU106" i="67"/>
  <c r="FU107" i="67"/>
  <c r="FU108" i="67"/>
  <c r="FU109" i="67"/>
  <c r="FU110" i="67"/>
  <c r="FU111" i="67"/>
  <c r="FU112" i="67"/>
  <c r="FU113" i="67"/>
  <c r="FU114" i="67"/>
  <c r="FU115" i="67"/>
  <c r="FU116" i="67"/>
  <c r="FU117" i="67"/>
  <c r="FU118" i="67"/>
  <c r="FU119" i="67"/>
  <c r="FU120" i="67"/>
  <c r="FU121" i="67"/>
  <c r="FU122" i="67"/>
  <c r="FU123" i="67"/>
  <c r="FU124" i="67"/>
  <c r="FU125" i="67"/>
  <c r="FU126" i="67"/>
  <c r="FU127" i="67"/>
  <c r="FU128" i="67"/>
  <c r="FU129" i="67"/>
  <c r="FU130" i="67"/>
  <c r="FU131" i="67"/>
  <c r="FU132" i="67"/>
  <c r="FU133" i="67"/>
  <c r="FU134" i="67"/>
  <c r="FU135" i="67"/>
  <c r="FU136" i="67"/>
  <c r="FU137" i="67"/>
  <c r="FU138" i="67"/>
  <c r="FU139" i="67"/>
  <c r="FU140" i="67"/>
  <c r="FU141" i="67"/>
  <c r="FU142" i="67"/>
  <c r="FU143" i="67"/>
  <c r="FU144" i="67"/>
  <c r="FU145" i="67"/>
  <c r="FU146" i="67"/>
  <c r="FU147" i="67"/>
  <c r="FU148" i="67"/>
  <c r="FU149" i="67"/>
  <c r="FU150" i="67"/>
  <c r="FU151" i="67"/>
  <c r="FU152" i="67"/>
  <c r="FU153" i="67"/>
  <c r="FU154" i="67"/>
  <c r="FU155" i="67"/>
  <c r="FU156" i="67"/>
  <c r="FU157" i="67"/>
  <c r="FU158" i="67"/>
  <c r="FU159" i="67"/>
  <c r="FU160" i="67"/>
  <c r="FU161" i="67"/>
  <c r="FU162" i="67"/>
  <c r="FU163" i="67"/>
  <c r="FU164" i="67"/>
  <c r="FU165" i="67"/>
  <c r="FU166" i="67"/>
  <c r="FU167" i="67"/>
  <c r="FU168" i="67"/>
  <c r="FU169" i="67"/>
  <c r="FU170" i="67"/>
  <c r="FU171" i="67"/>
  <c r="FU172" i="67"/>
  <c r="FU173" i="67"/>
  <c r="FU174" i="67"/>
  <c r="FU175" i="67"/>
  <c r="FU176" i="67"/>
  <c r="FU177" i="67"/>
  <c r="FU178" i="67"/>
  <c r="FU179" i="67"/>
  <c r="FU180" i="67"/>
  <c r="FU181" i="67"/>
  <c r="FU182" i="67"/>
  <c r="FU183" i="67"/>
  <c r="FU184" i="67"/>
  <c r="FU185" i="67"/>
  <c r="FU186" i="67"/>
  <c r="FU187" i="67"/>
  <c r="FU188" i="67"/>
  <c r="FU189" i="67"/>
  <c r="FU190" i="67"/>
  <c r="FU191" i="67"/>
  <c r="FU192" i="67"/>
  <c r="FU193" i="67"/>
  <c r="FU8" i="67"/>
  <c r="FF9" i="67"/>
  <c r="FF10" i="67"/>
  <c r="FF11" i="67"/>
  <c r="FF12" i="67"/>
  <c r="FF13" i="67"/>
  <c r="FF14" i="67"/>
  <c r="FF15" i="67"/>
  <c r="FF16" i="67"/>
  <c r="FF17" i="67"/>
  <c r="FF18" i="67"/>
  <c r="FF19" i="67"/>
  <c r="FF20" i="67"/>
  <c r="FF21" i="67"/>
  <c r="FF22" i="67"/>
  <c r="FF23" i="67"/>
  <c r="FF24" i="67"/>
  <c r="FF25" i="67"/>
  <c r="FF26" i="67"/>
  <c r="FF27" i="67"/>
  <c r="FF28" i="67"/>
  <c r="FF29" i="67"/>
  <c r="FF30" i="67"/>
  <c r="FF31" i="67"/>
  <c r="FF32" i="67"/>
  <c r="FF33" i="67"/>
  <c r="FF34" i="67"/>
  <c r="FF35" i="67"/>
  <c r="FF36" i="67"/>
  <c r="FF37" i="67"/>
  <c r="FF38" i="67"/>
  <c r="FF39" i="67"/>
  <c r="FF40" i="67"/>
  <c r="FF41" i="67"/>
  <c r="FF42" i="67"/>
  <c r="FF43" i="67"/>
  <c r="FF44" i="67"/>
  <c r="FF45" i="67"/>
  <c r="FF46" i="67"/>
  <c r="FF47" i="67"/>
  <c r="FF48" i="67"/>
  <c r="FF49" i="67"/>
  <c r="FF50" i="67"/>
  <c r="FF51" i="67"/>
  <c r="FF52" i="67"/>
  <c r="FF53" i="67"/>
  <c r="FF54" i="67"/>
  <c r="FF55" i="67"/>
  <c r="FF56" i="67"/>
  <c r="FF57" i="67"/>
  <c r="FF58" i="67"/>
  <c r="FF59" i="67"/>
  <c r="FF60" i="67"/>
  <c r="FF61" i="67"/>
  <c r="FF62" i="67"/>
  <c r="FF63" i="67"/>
  <c r="FF64" i="67"/>
  <c r="FF65" i="67"/>
  <c r="FF66" i="67"/>
  <c r="FF67" i="67"/>
  <c r="FF68" i="67"/>
  <c r="FF69" i="67"/>
  <c r="FF70" i="67"/>
  <c r="FF71" i="67"/>
  <c r="FF72" i="67"/>
  <c r="FF73" i="67"/>
  <c r="FF74" i="67"/>
  <c r="FF75" i="67"/>
  <c r="FF76" i="67"/>
  <c r="FF77" i="67"/>
  <c r="FF78" i="67"/>
  <c r="FF79" i="67"/>
  <c r="FF80" i="67"/>
  <c r="FF81" i="67"/>
  <c r="FF82" i="67"/>
  <c r="FF83" i="67"/>
  <c r="FF84" i="67"/>
  <c r="FF85" i="67"/>
  <c r="FF86" i="67"/>
  <c r="FF87" i="67"/>
  <c r="FF88" i="67"/>
  <c r="FF89" i="67"/>
  <c r="FF90" i="67"/>
  <c r="FF91" i="67"/>
  <c r="FF92" i="67"/>
  <c r="FF93" i="67"/>
  <c r="FF94" i="67"/>
  <c r="FF95" i="67"/>
  <c r="FF96" i="67"/>
  <c r="FF97" i="67"/>
  <c r="FF98" i="67"/>
  <c r="FF99" i="67"/>
  <c r="FF100" i="67"/>
  <c r="FF101" i="67"/>
  <c r="FF102" i="67"/>
  <c r="FF103" i="67"/>
  <c r="FF104" i="67"/>
  <c r="FF105" i="67"/>
  <c r="FF106" i="67"/>
  <c r="FF107" i="67"/>
  <c r="FF108" i="67"/>
  <c r="FF109" i="67"/>
  <c r="FF110" i="67"/>
  <c r="FF111" i="67"/>
  <c r="FF112" i="67"/>
  <c r="FF113" i="67"/>
  <c r="FF114" i="67"/>
  <c r="FF115" i="67"/>
  <c r="FF116" i="67"/>
  <c r="FF117" i="67"/>
  <c r="FF118" i="67"/>
  <c r="FF119" i="67"/>
  <c r="FF120" i="67"/>
  <c r="FF121" i="67"/>
  <c r="FF122" i="67"/>
  <c r="FF123" i="67"/>
  <c r="FF124" i="67"/>
  <c r="FF125" i="67"/>
  <c r="FF126" i="67"/>
  <c r="FF127" i="67"/>
  <c r="FF128" i="67"/>
  <c r="FF129" i="67"/>
  <c r="FF130" i="67"/>
  <c r="FF131" i="67"/>
  <c r="FF132" i="67"/>
  <c r="FF133" i="67"/>
  <c r="FF134" i="67"/>
  <c r="FF135" i="67"/>
  <c r="FF136" i="67"/>
  <c r="FF137" i="67"/>
  <c r="FF138" i="67"/>
  <c r="FF139" i="67"/>
  <c r="FF140" i="67"/>
  <c r="FF141" i="67"/>
  <c r="FF142" i="67"/>
  <c r="FF143" i="67"/>
  <c r="FF144" i="67"/>
  <c r="FF145" i="67"/>
  <c r="FF146" i="67"/>
  <c r="FF147" i="67"/>
  <c r="FF148" i="67"/>
  <c r="FF149" i="67"/>
  <c r="FF150" i="67"/>
  <c r="FF151" i="67"/>
  <c r="FF152" i="67"/>
  <c r="FF153" i="67"/>
  <c r="FF154" i="67"/>
  <c r="FF155" i="67"/>
  <c r="FF156" i="67"/>
  <c r="FF157" i="67"/>
  <c r="FF158" i="67"/>
  <c r="FF159" i="67"/>
  <c r="FF160" i="67"/>
  <c r="FF161" i="67"/>
  <c r="FF162" i="67"/>
  <c r="FF163" i="67"/>
  <c r="FF164" i="67"/>
  <c r="FF165" i="67"/>
  <c r="FF166" i="67"/>
  <c r="FF167" i="67"/>
  <c r="FF168" i="67"/>
  <c r="FF169" i="67"/>
  <c r="FF170" i="67"/>
  <c r="FF171" i="67"/>
  <c r="FF172" i="67"/>
  <c r="FF173" i="67"/>
  <c r="FF174" i="67"/>
  <c r="FF175" i="67"/>
  <c r="FF176" i="67"/>
  <c r="FF177" i="67"/>
  <c r="FF178" i="67"/>
  <c r="FF179" i="67"/>
  <c r="FF180" i="67"/>
  <c r="FF181" i="67"/>
  <c r="FF182" i="67"/>
  <c r="FF183" i="67"/>
  <c r="FF184" i="67"/>
  <c r="FF185" i="67"/>
  <c r="FF186" i="67"/>
  <c r="FF187" i="67"/>
  <c r="FF188" i="67"/>
  <c r="FF189" i="67"/>
  <c r="FF190" i="67"/>
  <c r="FF191" i="67"/>
  <c r="FF192" i="67"/>
  <c r="FF193" i="67"/>
  <c r="FF8" i="67"/>
  <c r="FE8" i="67"/>
  <c r="FE9" i="67"/>
  <c r="FE10" i="67"/>
  <c r="FE11" i="67"/>
  <c r="FE12" i="67"/>
  <c r="FE13" i="67"/>
  <c r="FE14" i="67"/>
  <c r="FE15" i="67"/>
  <c r="FE16" i="67"/>
  <c r="FE17" i="67"/>
  <c r="FE18" i="67"/>
  <c r="FE19" i="67"/>
  <c r="FE20" i="67"/>
  <c r="FE21" i="67"/>
  <c r="FE22" i="67"/>
  <c r="FE23" i="67"/>
  <c r="FE24" i="67"/>
  <c r="FE25" i="67"/>
  <c r="FE26" i="67"/>
  <c r="FE27" i="67"/>
  <c r="FE28" i="67"/>
  <c r="FE29" i="67"/>
  <c r="FE30" i="67"/>
  <c r="FE31" i="67"/>
  <c r="FE32" i="67"/>
  <c r="FE33" i="67"/>
  <c r="FE34" i="67"/>
  <c r="FE35" i="67"/>
  <c r="FE36" i="67"/>
  <c r="FE37" i="67"/>
  <c r="FE38" i="67"/>
  <c r="FE39" i="67"/>
  <c r="FE40" i="67"/>
  <c r="FE41" i="67"/>
  <c r="FE42" i="67"/>
  <c r="FE43" i="67"/>
  <c r="FE44" i="67"/>
  <c r="FE45" i="67"/>
  <c r="FE46" i="67"/>
  <c r="FE47" i="67"/>
  <c r="FE48" i="67"/>
  <c r="FE49" i="67"/>
  <c r="FE50" i="67"/>
  <c r="FE51" i="67"/>
  <c r="FE52" i="67"/>
  <c r="FE53" i="67"/>
  <c r="FE54" i="67"/>
  <c r="FE55" i="67"/>
  <c r="FE56" i="67"/>
  <c r="FE57" i="67"/>
  <c r="FE58" i="67"/>
  <c r="FE59" i="67"/>
  <c r="FE60" i="67"/>
  <c r="FE61" i="67"/>
  <c r="FE62" i="67"/>
  <c r="FE63" i="67"/>
  <c r="FE64" i="67"/>
  <c r="FE65" i="67"/>
  <c r="FE66" i="67"/>
  <c r="FE67" i="67"/>
  <c r="FE68" i="67"/>
  <c r="FE69" i="67"/>
  <c r="FE70" i="67"/>
  <c r="FE71" i="67"/>
  <c r="FE72" i="67"/>
  <c r="FE73" i="67"/>
  <c r="FE74" i="67"/>
  <c r="FE75" i="67"/>
  <c r="FE76" i="67"/>
  <c r="FE77" i="67"/>
  <c r="FE78" i="67"/>
  <c r="FE79" i="67"/>
  <c r="FE80" i="67"/>
  <c r="FE81" i="67"/>
  <c r="FE82" i="67"/>
  <c r="FE83" i="67"/>
  <c r="FE84" i="67"/>
  <c r="FE85" i="67"/>
  <c r="FE86" i="67"/>
  <c r="FE87" i="67"/>
  <c r="FE88" i="67"/>
  <c r="FE89" i="67"/>
  <c r="FE90" i="67"/>
  <c r="FE91" i="67"/>
  <c r="FE92" i="67"/>
  <c r="FE93" i="67"/>
  <c r="FE94" i="67"/>
  <c r="FE95" i="67"/>
  <c r="FE96" i="67"/>
  <c r="FE97" i="67"/>
  <c r="FE98" i="67"/>
  <c r="FE99" i="67"/>
  <c r="FE100" i="67"/>
  <c r="FE101" i="67"/>
  <c r="FE102" i="67"/>
  <c r="FE103" i="67"/>
  <c r="FE104" i="67"/>
  <c r="FE105" i="67"/>
  <c r="FE106" i="67"/>
  <c r="FE107" i="67"/>
  <c r="FE108" i="67"/>
  <c r="FE109" i="67"/>
  <c r="FE110" i="67"/>
  <c r="FE111" i="67"/>
  <c r="FE112" i="67"/>
  <c r="FE113" i="67"/>
  <c r="FE114" i="67"/>
  <c r="FE115" i="67"/>
  <c r="FE116" i="67"/>
  <c r="FE117" i="67"/>
  <c r="FE118" i="67"/>
  <c r="FE119" i="67"/>
  <c r="FE120" i="67"/>
  <c r="FE121" i="67"/>
  <c r="FE122" i="67"/>
  <c r="FE123" i="67"/>
  <c r="FE124" i="67"/>
  <c r="FE125" i="67"/>
  <c r="FE126" i="67"/>
  <c r="FE127" i="67"/>
  <c r="FE128" i="67"/>
  <c r="FE129" i="67"/>
  <c r="FE130" i="67"/>
  <c r="FE131" i="67"/>
  <c r="FE132" i="67"/>
  <c r="FE133" i="67"/>
  <c r="FE134" i="67"/>
  <c r="FE135" i="67"/>
  <c r="FE136" i="67"/>
  <c r="FE137" i="67"/>
  <c r="FE138" i="67"/>
  <c r="FE139" i="67"/>
  <c r="FE140" i="67"/>
  <c r="FE141" i="67"/>
  <c r="FE142" i="67"/>
  <c r="FE143" i="67"/>
  <c r="FE144" i="67"/>
  <c r="FE145" i="67"/>
  <c r="FE146" i="67"/>
  <c r="FE147" i="67"/>
  <c r="FE148" i="67"/>
  <c r="FE149" i="67"/>
  <c r="FE150" i="67"/>
  <c r="FE151" i="67"/>
  <c r="FE152" i="67"/>
  <c r="FE153" i="67"/>
  <c r="FE154" i="67"/>
  <c r="FE155" i="67"/>
  <c r="FE156" i="67"/>
  <c r="FE157" i="67"/>
  <c r="FE158" i="67"/>
  <c r="FE159" i="67"/>
  <c r="FE160" i="67"/>
  <c r="FE161" i="67"/>
  <c r="FE162" i="67"/>
  <c r="FE163" i="67"/>
  <c r="FE164" i="67"/>
  <c r="FE165" i="67"/>
  <c r="FE166" i="67"/>
  <c r="FE167" i="67"/>
  <c r="FE168" i="67"/>
  <c r="FE169" i="67"/>
  <c r="FE170" i="67"/>
  <c r="FE171" i="67"/>
  <c r="FE172" i="67"/>
  <c r="FE173" i="67"/>
  <c r="FE174" i="67"/>
  <c r="FE175" i="67"/>
  <c r="FE176" i="67"/>
  <c r="FE177" i="67"/>
  <c r="FE178" i="67"/>
  <c r="FE179" i="67"/>
  <c r="FE180" i="67"/>
  <c r="FE181" i="67"/>
  <c r="FE182" i="67"/>
  <c r="FE183" i="67"/>
  <c r="FE184" i="67"/>
  <c r="FE185" i="67"/>
  <c r="FE186" i="67"/>
  <c r="FE187" i="67"/>
  <c r="FE188" i="67"/>
  <c r="FE189" i="67"/>
  <c r="FE190" i="67"/>
  <c r="FE191" i="67"/>
  <c r="FE192" i="67"/>
  <c r="FE193" i="67"/>
  <c r="EQ9" i="67"/>
  <c r="EQ10" i="67"/>
  <c r="EQ11" i="67"/>
  <c r="EQ12" i="67"/>
  <c r="EQ13" i="67"/>
  <c r="EQ14" i="67"/>
  <c r="EQ15" i="67"/>
  <c r="EQ16" i="67"/>
  <c r="EQ17" i="67"/>
  <c r="EQ18" i="67"/>
  <c r="EQ19" i="67"/>
  <c r="EQ20" i="67"/>
  <c r="EQ21" i="67"/>
  <c r="EQ22" i="67"/>
  <c r="EQ23" i="67"/>
  <c r="EQ24" i="67"/>
  <c r="EQ25" i="67"/>
  <c r="EQ26" i="67"/>
  <c r="EQ27" i="67"/>
  <c r="EQ28" i="67"/>
  <c r="EQ29" i="67"/>
  <c r="EQ30" i="67"/>
  <c r="EQ31" i="67"/>
  <c r="EQ32" i="67"/>
  <c r="EQ33" i="67"/>
  <c r="EQ34" i="67"/>
  <c r="EQ35" i="67"/>
  <c r="EQ36" i="67"/>
  <c r="EQ37" i="67"/>
  <c r="EQ38" i="67"/>
  <c r="EQ39" i="67"/>
  <c r="EQ40" i="67"/>
  <c r="EQ41" i="67"/>
  <c r="EQ42" i="67"/>
  <c r="EQ43" i="67"/>
  <c r="EQ44" i="67"/>
  <c r="EQ45" i="67"/>
  <c r="EQ46" i="67"/>
  <c r="EQ47" i="67"/>
  <c r="EQ48" i="67"/>
  <c r="EQ49" i="67"/>
  <c r="EQ50" i="67"/>
  <c r="EQ51" i="67"/>
  <c r="EQ52" i="67"/>
  <c r="EQ53" i="67"/>
  <c r="EQ54" i="67"/>
  <c r="EQ55" i="67"/>
  <c r="EQ56" i="67"/>
  <c r="EQ57" i="67"/>
  <c r="EQ58" i="67"/>
  <c r="EQ59" i="67"/>
  <c r="EQ60" i="67"/>
  <c r="EQ61" i="67"/>
  <c r="EQ62" i="67"/>
  <c r="EQ63" i="67"/>
  <c r="EQ64" i="67"/>
  <c r="EQ65" i="67"/>
  <c r="EQ66" i="67"/>
  <c r="EQ67" i="67"/>
  <c r="EQ68" i="67"/>
  <c r="EQ69" i="67"/>
  <c r="EQ70" i="67"/>
  <c r="EQ71" i="67"/>
  <c r="EQ72" i="67"/>
  <c r="EQ73" i="67"/>
  <c r="EQ74" i="67"/>
  <c r="EQ75" i="67"/>
  <c r="EQ76" i="67"/>
  <c r="EQ77" i="67"/>
  <c r="EQ78" i="67"/>
  <c r="EQ79" i="67"/>
  <c r="EQ80" i="67"/>
  <c r="EQ81" i="67"/>
  <c r="EQ82" i="67"/>
  <c r="EQ83" i="67"/>
  <c r="EQ84" i="67"/>
  <c r="EQ85" i="67"/>
  <c r="EQ86" i="67"/>
  <c r="EQ87" i="67"/>
  <c r="EQ88" i="67"/>
  <c r="EQ89" i="67"/>
  <c r="EQ90" i="67"/>
  <c r="EQ91" i="67"/>
  <c r="EQ92" i="67"/>
  <c r="EQ93" i="67"/>
  <c r="EQ94" i="67"/>
  <c r="EQ95" i="67"/>
  <c r="EQ96" i="67"/>
  <c r="EQ97" i="67"/>
  <c r="EQ98" i="67"/>
  <c r="EQ99" i="67"/>
  <c r="EQ100" i="67"/>
  <c r="EQ101" i="67"/>
  <c r="EQ102" i="67"/>
  <c r="EQ103" i="67"/>
  <c r="EQ104" i="67"/>
  <c r="EQ105" i="67"/>
  <c r="EQ106" i="67"/>
  <c r="EQ107" i="67"/>
  <c r="EQ108" i="67"/>
  <c r="EQ109" i="67"/>
  <c r="EQ110" i="67"/>
  <c r="EQ111" i="67"/>
  <c r="EQ112" i="67"/>
  <c r="EQ113" i="67"/>
  <c r="EQ114" i="67"/>
  <c r="EQ115" i="67"/>
  <c r="EQ116" i="67"/>
  <c r="EQ117" i="67"/>
  <c r="EQ118" i="67"/>
  <c r="EQ119" i="67"/>
  <c r="EQ120" i="67"/>
  <c r="EQ121" i="67"/>
  <c r="EQ122" i="67"/>
  <c r="EQ123" i="67"/>
  <c r="EQ124" i="67"/>
  <c r="EQ125" i="67"/>
  <c r="EQ126" i="67"/>
  <c r="EQ127" i="67"/>
  <c r="EQ128" i="67"/>
  <c r="EQ129" i="67"/>
  <c r="EQ130" i="67"/>
  <c r="EQ131" i="67"/>
  <c r="EQ132" i="67"/>
  <c r="EQ133" i="67"/>
  <c r="EQ134" i="67"/>
  <c r="EQ135" i="67"/>
  <c r="EQ136" i="67"/>
  <c r="EQ137" i="67"/>
  <c r="EQ138" i="67"/>
  <c r="EQ139" i="67"/>
  <c r="EQ140" i="67"/>
  <c r="EQ141" i="67"/>
  <c r="EQ142" i="67"/>
  <c r="EQ143" i="67"/>
  <c r="EQ144" i="67"/>
  <c r="EQ145" i="67"/>
  <c r="EQ146" i="67"/>
  <c r="EQ147" i="67"/>
  <c r="EQ148" i="67"/>
  <c r="EQ149" i="67"/>
  <c r="EQ150" i="67"/>
  <c r="EQ151" i="67"/>
  <c r="EQ152" i="67"/>
  <c r="EQ153" i="67"/>
  <c r="EQ154" i="67"/>
  <c r="EQ155" i="67"/>
  <c r="EQ156" i="67"/>
  <c r="EQ157" i="67"/>
  <c r="EQ158" i="67"/>
  <c r="EQ159" i="67"/>
  <c r="EQ160" i="67"/>
  <c r="EQ161" i="67"/>
  <c r="EQ162" i="67"/>
  <c r="EQ163" i="67"/>
  <c r="EQ164" i="67"/>
  <c r="EQ165" i="67"/>
  <c r="EQ166" i="67"/>
  <c r="EQ167" i="67"/>
  <c r="EQ168" i="67"/>
  <c r="EQ169" i="67"/>
  <c r="EQ170" i="67"/>
  <c r="EQ171" i="67"/>
  <c r="EQ172" i="67"/>
  <c r="EQ173" i="67"/>
  <c r="EQ174" i="67"/>
  <c r="EQ175" i="67"/>
  <c r="EQ176" i="67"/>
  <c r="EQ177" i="67"/>
  <c r="EQ178" i="67"/>
  <c r="EQ179" i="67"/>
  <c r="EQ180" i="67"/>
  <c r="EQ181" i="67"/>
  <c r="EQ182" i="67"/>
  <c r="EQ183" i="67"/>
  <c r="EQ184" i="67"/>
  <c r="EQ185" i="67"/>
  <c r="EQ186" i="67"/>
  <c r="EQ187" i="67"/>
  <c r="EQ188" i="67"/>
  <c r="EQ189" i="67"/>
  <c r="EQ190" i="67"/>
  <c r="EQ191" i="67"/>
  <c r="EQ192" i="67"/>
  <c r="EQ193" i="67"/>
  <c r="EQ8" i="67"/>
  <c r="AH208" i="62"/>
  <c r="W76" i="66" l="1"/>
  <c r="EC8" i="61"/>
  <c r="EB8" i="61"/>
  <c r="BO31" i="61"/>
  <c r="BP31" i="61"/>
  <c r="BQ31" i="61"/>
  <c r="BR31" i="61"/>
  <c r="BS31" i="61"/>
  <c r="BT31" i="61"/>
  <c r="BU31" i="61"/>
  <c r="BO91" i="61"/>
  <c r="BO100" i="61"/>
  <c r="BP100" i="61"/>
  <c r="BQ100" i="61"/>
  <c r="BR100" i="61"/>
  <c r="BS100" i="61"/>
  <c r="BT100" i="61"/>
  <c r="BU100" i="61"/>
  <c r="BO145" i="61"/>
  <c r="BP145" i="61"/>
  <c r="BQ145" i="61"/>
  <c r="BR145" i="61"/>
  <c r="BS145" i="61"/>
  <c r="BT145" i="61"/>
  <c r="BU145" i="61"/>
  <c r="BO162" i="61"/>
  <c r="BP162" i="61"/>
  <c r="BQ162" i="61"/>
  <c r="BR162" i="61"/>
  <c r="BS162" i="61"/>
  <c r="BT162" i="61"/>
  <c r="BU162" i="61"/>
  <c r="BO173" i="61"/>
  <c r="BP173" i="61"/>
  <c r="BQ173" i="61"/>
  <c r="BR173" i="61"/>
  <c r="BS173" i="61"/>
  <c r="BT173" i="61"/>
  <c r="BU173" i="61"/>
  <c r="BO190" i="61"/>
  <c r="BP190" i="61"/>
  <c r="BQ190" i="61"/>
  <c r="BR190" i="61"/>
  <c r="BS190" i="61"/>
  <c r="BT190" i="61"/>
  <c r="BU190" i="61"/>
  <c r="BO197" i="61"/>
  <c r="BP197" i="61"/>
  <c r="BQ197" i="61"/>
  <c r="BR197" i="61"/>
  <c r="BS197" i="61"/>
  <c r="BT197" i="61"/>
  <c r="BU197" i="61"/>
  <c r="BO198" i="61"/>
  <c r="BP198" i="61"/>
  <c r="BQ198" i="61"/>
  <c r="BR198" i="61"/>
  <c r="BS198" i="61"/>
  <c r="BT198" i="61"/>
  <c r="BU198" i="61"/>
  <c r="BO199" i="61"/>
  <c r="BP199" i="61"/>
  <c r="BQ199" i="61"/>
  <c r="BR199" i="61"/>
  <c r="BS199" i="61"/>
  <c r="BT199" i="61"/>
  <c r="BU199" i="61"/>
  <c r="BO202" i="61"/>
  <c r="BP202" i="61"/>
  <c r="BQ202" i="61"/>
  <c r="BR202" i="61"/>
  <c r="BS202" i="61"/>
  <c r="BT202" i="61"/>
  <c r="BU202" i="61"/>
  <c r="BO204" i="61"/>
  <c r="BP204" i="61"/>
  <c r="BQ204" i="61"/>
  <c r="BR204" i="61"/>
  <c r="BS204" i="61"/>
  <c r="BT204" i="61"/>
  <c r="BU204" i="61"/>
  <c r="BO205" i="61"/>
  <c r="BP205" i="61"/>
  <c r="BQ205" i="61"/>
  <c r="BR205" i="61"/>
  <c r="BS205" i="61"/>
  <c r="BT205" i="61"/>
  <c r="BU205" i="61"/>
  <c r="CE13" i="61"/>
  <c r="CE9" i="61"/>
  <c r="CE10" i="61"/>
  <c r="CE11" i="61"/>
  <c r="CE15" i="61" l="1"/>
  <c r="CE14" i="61"/>
  <c r="CE12" i="61"/>
  <c r="CE114" i="61"/>
  <c r="CE153" i="61"/>
  <c r="CE203" i="61"/>
  <c r="CE41" i="61"/>
  <c r="CE192" i="61"/>
  <c r="CE139" i="61"/>
  <c r="CE128" i="61"/>
  <c r="CE178" i="61"/>
  <c r="CE89" i="61"/>
  <c r="CE73" i="61"/>
  <c r="CE57" i="61"/>
  <c r="CE17" i="61"/>
  <c r="CE164" i="61"/>
  <c r="CB208" i="61"/>
  <c r="CE206" i="61"/>
  <c r="CE188" i="61"/>
  <c r="CE182" i="61"/>
  <c r="CE174" i="61"/>
  <c r="CE166" i="61"/>
  <c r="CE163" i="61"/>
  <c r="CE158" i="61"/>
  <c r="CE152" i="61"/>
  <c r="CE150" i="61"/>
  <c r="CE142" i="61"/>
  <c r="CE138" i="61"/>
  <c r="CE134" i="61"/>
  <c r="CE126" i="61"/>
  <c r="CE124" i="61"/>
  <c r="CE118" i="61"/>
  <c r="CE113" i="61"/>
  <c r="CE102" i="61"/>
  <c r="CE99" i="61"/>
  <c r="CE94" i="61"/>
  <c r="CE86" i="61"/>
  <c r="CE78" i="61"/>
  <c r="CE70" i="61"/>
  <c r="CE68" i="61"/>
  <c r="CE62" i="61"/>
  <c r="CE54" i="61"/>
  <c r="CE52" i="61"/>
  <c r="CE46" i="61"/>
  <c r="CE38" i="61"/>
  <c r="CE22" i="61"/>
  <c r="CE20" i="61"/>
  <c r="CE201" i="61"/>
  <c r="CE187" i="61"/>
  <c r="CE176" i="61"/>
  <c r="CE137" i="61"/>
  <c r="CE123" i="61"/>
  <c r="CE112" i="61"/>
  <c r="CE98" i="61"/>
  <c r="CE83" i="61"/>
  <c r="CE67" i="61"/>
  <c r="CE51" i="61"/>
  <c r="CE35" i="61"/>
  <c r="CE19" i="61"/>
  <c r="CE200" i="61"/>
  <c r="CE186" i="61"/>
  <c r="CE184" i="61"/>
  <c r="CE168" i="61"/>
  <c r="CE161" i="61"/>
  <c r="CE160" i="61"/>
  <c r="CE147" i="61"/>
  <c r="CE136" i="61"/>
  <c r="CE122" i="61"/>
  <c r="CE120" i="61"/>
  <c r="CE108" i="61"/>
  <c r="CE104" i="61"/>
  <c r="CE97" i="61"/>
  <c r="CE96" i="61"/>
  <c r="CE50" i="61"/>
  <c r="CE34" i="61"/>
  <c r="CE18" i="61"/>
  <c r="CE196" i="61"/>
  <c r="CE195" i="61"/>
  <c r="CE193" i="61"/>
  <c r="CE185" i="61"/>
  <c r="CE180" i="61"/>
  <c r="CE179" i="61"/>
  <c r="CE171" i="61"/>
  <c r="CE170" i="61"/>
  <c r="CE169" i="61"/>
  <c r="CE156" i="61"/>
  <c r="CE155" i="61"/>
  <c r="CE154" i="61"/>
  <c r="CE140" i="61"/>
  <c r="CE132" i="61"/>
  <c r="CE131" i="61"/>
  <c r="CE130" i="61"/>
  <c r="CE129" i="61"/>
  <c r="CE121" i="61"/>
  <c r="CE116" i="61"/>
  <c r="CE115" i="61"/>
  <c r="CE107" i="61"/>
  <c r="CE106" i="61"/>
  <c r="CE105" i="61"/>
  <c r="CE92" i="61"/>
  <c r="CE90" i="61"/>
  <c r="CE81" i="61"/>
  <c r="CE76" i="61"/>
  <c r="CE75" i="61"/>
  <c r="CE74" i="61"/>
  <c r="CE65" i="61"/>
  <c r="CE60" i="61"/>
  <c r="CE59" i="61"/>
  <c r="CE58" i="61"/>
  <c r="CE49" i="61"/>
  <c r="CE44" i="61"/>
  <c r="CE43" i="61"/>
  <c r="CE42" i="61"/>
  <c r="CE33" i="61"/>
  <c r="CE27" i="61"/>
  <c r="CE26" i="61"/>
  <c r="CE25" i="61"/>
  <c r="CE189" i="61"/>
  <c r="CE181" i="61"/>
  <c r="CE165" i="61"/>
  <c r="CE157" i="61"/>
  <c r="CE141" i="61"/>
  <c r="CE133" i="61"/>
  <c r="CE125" i="61"/>
  <c r="CE109" i="61"/>
  <c r="CE101" i="61"/>
  <c r="CE93" i="61"/>
  <c r="CE85" i="61"/>
  <c r="CE77" i="61"/>
  <c r="CE69" i="61"/>
  <c r="CE61" i="61"/>
  <c r="CE53" i="61"/>
  <c r="CE45" i="61"/>
  <c r="CE37" i="61"/>
  <c r="CE29" i="61"/>
  <c r="CE21" i="61"/>
  <c r="CC208" i="61"/>
  <c r="CE207" i="61"/>
  <c r="CE191" i="61"/>
  <c r="CE183" i="61"/>
  <c r="CE175" i="61"/>
  <c r="CE167" i="61"/>
  <c r="CE159" i="61"/>
  <c r="CE151" i="61"/>
  <c r="CE143" i="61"/>
  <c r="CE135" i="61"/>
  <c r="CE127" i="61"/>
  <c r="CE119" i="61"/>
  <c r="CE111" i="61"/>
  <c r="CE103" i="61"/>
  <c r="CE95" i="61"/>
  <c r="CE87" i="61"/>
  <c r="CE79" i="61"/>
  <c r="CE71" i="61"/>
  <c r="CE63" i="61"/>
  <c r="CE55" i="61"/>
  <c r="CE47" i="61"/>
  <c r="CE39" i="61"/>
  <c r="CE23" i="61"/>
  <c r="CD208" i="61"/>
  <c r="CE88" i="61"/>
  <c r="CE80" i="61"/>
  <c r="CE72" i="61"/>
  <c r="CE64" i="61"/>
  <c r="CE48" i="61"/>
  <c r="CE40" i="61"/>
  <c r="CE32" i="61"/>
  <c r="CE24" i="61"/>
  <c r="BY208" i="61"/>
  <c r="BZ208" i="61"/>
  <c r="CA208" i="61"/>
  <c r="CE8" i="61"/>
  <c r="BX208" i="61"/>
  <c r="CE208" i="61" l="1"/>
  <c r="CG208" i="61" l="1"/>
  <c r="CJ208" i="61"/>
  <c r="CK208" i="61"/>
  <c r="CL208" i="61"/>
  <c r="CM208" i="61"/>
  <c r="EJ9" i="67"/>
  <c r="EJ10" i="67"/>
  <c r="EJ11" i="67"/>
  <c r="EJ12" i="67"/>
  <c r="EJ13" i="67"/>
  <c r="EJ14" i="67"/>
  <c r="EJ15" i="67"/>
  <c r="EJ16" i="67"/>
  <c r="EJ17" i="67"/>
  <c r="EJ18" i="67"/>
  <c r="EJ19" i="67"/>
  <c r="EJ20" i="67"/>
  <c r="EJ21" i="67"/>
  <c r="EJ22" i="67"/>
  <c r="EJ23" i="67"/>
  <c r="EJ24" i="67"/>
  <c r="EJ25" i="67"/>
  <c r="EJ26" i="67"/>
  <c r="EJ27" i="67"/>
  <c r="EJ28" i="67"/>
  <c r="EJ29" i="67"/>
  <c r="EJ30" i="67"/>
  <c r="EJ31" i="67"/>
  <c r="EJ32" i="67"/>
  <c r="EJ33" i="67"/>
  <c r="EJ34" i="67"/>
  <c r="EJ35" i="67"/>
  <c r="EJ36" i="67"/>
  <c r="EJ37" i="67"/>
  <c r="EJ38" i="67"/>
  <c r="EJ39" i="67"/>
  <c r="EJ40" i="67"/>
  <c r="EJ41" i="67"/>
  <c r="EJ42" i="67"/>
  <c r="EJ43" i="67"/>
  <c r="EJ44" i="67"/>
  <c r="EJ45" i="67"/>
  <c r="EJ46" i="67"/>
  <c r="EJ47" i="67"/>
  <c r="EJ48" i="67"/>
  <c r="EJ49" i="67"/>
  <c r="EJ50" i="67"/>
  <c r="EJ51" i="67"/>
  <c r="EJ52" i="67"/>
  <c r="EJ53" i="67"/>
  <c r="EJ54" i="67"/>
  <c r="EJ55" i="67"/>
  <c r="EJ56" i="67"/>
  <c r="EJ57" i="67"/>
  <c r="EJ58" i="67"/>
  <c r="EJ59" i="67"/>
  <c r="EJ60" i="67"/>
  <c r="EJ61" i="67"/>
  <c r="EJ62" i="67"/>
  <c r="EJ63" i="67"/>
  <c r="EJ64" i="67"/>
  <c r="EJ65" i="67"/>
  <c r="EJ66" i="67"/>
  <c r="EJ67" i="67"/>
  <c r="EJ68" i="67"/>
  <c r="EJ69" i="67"/>
  <c r="EJ70" i="67"/>
  <c r="EJ71" i="67"/>
  <c r="EJ72" i="67"/>
  <c r="EJ73" i="67"/>
  <c r="EJ74" i="67"/>
  <c r="EJ75" i="67"/>
  <c r="EJ76" i="67"/>
  <c r="EJ77" i="67"/>
  <c r="EJ78" i="67"/>
  <c r="EJ79" i="67"/>
  <c r="EJ80" i="67"/>
  <c r="EJ81" i="67"/>
  <c r="EJ82" i="67"/>
  <c r="EJ83" i="67"/>
  <c r="EJ84" i="67"/>
  <c r="EJ85" i="67"/>
  <c r="EJ86" i="67"/>
  <c r="EJ87" i="67"/>
  <c r="EJ88" i="67"/>
  <c r="EJ89" i="67"/>
  <c r="EJ90" i="67"/>
  <c r="EJ91" i="67"/>
  <c r="EJ92" i="67"/>
  <c r="EJ93" i="67"/>
  <c r="EJ94" i="67"/>
  <c r="EJ95" i="67"/>
  <c r="EJ96" i="67"/>
  <c r="EJ97" i="67"/>
  <c r="EJ98" i="67"/>
  <c r="EJ99" i="67"/>
  <c r="EJ100" i="67"/>
  <c r="EJ101" i="67"/>
  <c r="EJ102" i="67"/>
  <c r="EJ103" i="67"/>
  <c r="EJ104" i="67"/>
  <c r="EJ105" i="67"/>
  <c r="EJ106" i="67"/>
  <c r="EJ107" i="67"/>
  <c r="EJ108" i="67"/>
  <c r="EJ109" i="67"/>
  <c r="EJ110" i="67"/>
  <c r="EJ111" i="67"/>
  <c r="EJ112" i="67"/>
  <c r="EJ113" i="67"/>
  <c r="EJ114" i="67"/>
  <c r="EJ115" i="67"/>
  <c r="EJ116" i="67"/>
  <c r="EJ117" i="67"/>
  <c r="EJ118" i="67"/>
  <c r="EJ119" i="67"/>
  <c r="EJ120" i="67"/>
  <c r="EJ121" i="67"/>
  <c r="EJ122" i="67"/>
  <c r="EJ123" i="67"/>
  <c r="EJ124" i="67"/>
  <c r="EJ125" i="67"/>
  <c r="EJ126" i="67"/>
  <c r="EJ127" i="67"/>
  <c r="EJ128" i="67"/>
  <c r="EJ129" i="67"/>
  <c r="EJ130" i="67"/>
  <c r="EJ131" i="67"/>
  <c r="EJ132" i="67"/>
  <c r="EJ133" i="67"/>
  <c r="EJ134" i="67"/>
  <c r="EJ135" i="67"/>
  <c r="EJ136" i="67"/>
  <c r="EJ137" i="67"/>
  <c r="EJ138" i="67"/>
  <c r="EJ139" i="67"/>
  <c r="EJ140" i="67"/>
  <c r="EJ141" i="67"/>
  <c r="EJ142" i="67"/>
  <c r="EJ143" i="67"/>
  <c r="EJ144" i="67"/>
  <c r="EJ145" i="67"/>
  <c r="EJ146" i="67"/>
  <c r="EJ147" i="67"/>
  <c r="EJ148" i="67"/>
  <c r="EJ149" i="67"/>
  <c r="EJ150" i="67"/>
  <c r="EJ151" i="67"/>
  <c r="EJ152" i="67"/>
  <c r="EJ153" i="67"/>
  <c r="EJ154" i="67"/>
  <c r="EJ155" i="67"/>
  <c r="EJ156" i="67"/>
  <c r="EJ157" i="67"/>
  <c r="EJ158" i="67"/>
  <c r="EJ159" i="67"/>
  <c r="EJ160" i="67"/>
  <c r="EJ161" i="67"/>
  <c r="EJ162" i="67"/>
  <c r="EJ163" i="67"/>
  <c r="EJ164" i="67"/>
  <c r="EJ165" i="67"/>
  <c r="EJ166" i="67"/>
  <c r="EJ167" i="67"/>
  <c r="EJ168" i="67"/>
  <c r="EJ169" i="67"/>
  <c r="EJ170" i="67"/>
  <c r="EJ171" i="67"/>
  <c r="EJ172" i="67"/>
  <c r="EJ173" i="67"/>
  <c r="EJ174" i="67"/>
  <c r="EJ175" i="67"/>
  <c r="EJ176" i="67"/>
  <c r="EJ177" i="67"/>
  <c r="EJ178" i="67"/>
  <c r="EJ179" i="67"/>
  <c r="EJ180" i="67"/>
  <c r="EJ181" i="67"/>
  <c r="EJ182" i="67"/>
  <c r="EJ183" i="67"/>
  <c r="EJ184" i="67"/>
  <c r="EJ185" i="67"/>
  <c r="EJ186" i="67"/>
  <c r="EJ187" i="67"/>
  <c r="EJ188" i="67"/>
  <c r="EJ189" i="67"/>
  <c r="EJ190" i="67"/>
  <c r="EJ191" i="67"/>
  <c r="EJ192" i="67"/>
  <c r="EJ193" i="67"/>
  <c r="EJ194" i="67"/>
  <c r="EJ195" i="67"/>
  <c r="EJ196" i="67"/>
  <c r="EJ197" i="67"/>
  <c r="EJ198" i="67"/>
  <c r="EJ199" i="67"/>
  <c r="EJ200" i="67"/>
  <c r="EJ201" i="67"/>
  <c r="EJ202" i="67"/>
  <c r="EJ203" i="67"/>
  <c r="EJ204" i="67"/>
  <c r="EJ205" i="67"/>
  <c r="EJ206" i="67"/>
  <c r="EJ207" i="67"/>
  <c r="EJ8" i="67"/>
  <c r="EC30" i="61" l="1"/>
  <c r="EB31" i="61"/>
  <c r="EC31" i="61"/>
  <c r="EC91" i="61"/>
  <c r="EB100" i="61"/>
  <c r="EC100" i="61"/>
  <c r="EB145" i="61"/>
  <c r="EC145" i="61"/>
  <c r="EB162" i="61"/>
  <c r="EC162" i="61"/>
  <c r="EB173" i="61"/>
  <c r="EC173" i="61"/>
  <c r="EC190" i="61"/>
  <c r="EC197" i="61"/>
  <c r="EC198" i="61"/>
  <c r="EB199" i="61"/>
  <c r="EC199" i="61"/>
  <c r="EB202" i="61"/>
  <c r="EC202" i="61"/>
  <c r="EC204" i="61"/>
  <c r="EB205" i="61"/>
  <c r="EC205" i="61"/>
  <c r="CY30" i="61" l="1"/>
  <c r="CZ30" i="61"/>
  <c r="DA30" i="61"/>
  <c r="DB30" i="61"/>
  <c r="DC30" i="61"/>
  <c r="DD30" i="61"/>
  <c r="CY31" i="61"/>
  <c r="CZ31" i="61"/>
  <c r="DA31" i="61"/>
  <c r="DB31" i="61"/>
  <c r="DC31" i="61"/>
  <c r="DD31" i="61"/>
  <c r="CY91" i="61"/>
  <c r="DB91" i="61"/>
  <c r="DC91" i="61"/>
  <c r="DD91" i="61"/>
  <c r="CY100" i="61"/>
  <c r="CZ100" i="61"/>
  <c r="DA100" i="61"/>
  <c r="DB100" i="61"/>
  <c r="DC100" i="61"/>
  <c r="DD100" i="61"/>
  <c r="CY145" i="61"/>
  <c r="CZ145" i="61"/>
  <c r="DA145" i="61"/>
  <c r="DB145" i="61"/>
  <c r="DC145" i="61"/>
  <c r="DD145" i="61"/>
  <c r="CY162" i="61"/>
  <c r="CZ162" i="61"/>
  <c r="DA162" i="61"/>
  <c r="DB162" i="61"/>
  <c r="DC162" i="61"/>
  <c r="DD162" i="61"/>
  <c r="CY173" i="61"/>
  <c r="CZ173" i="61"/>
  <c r="DA173" i="61"/>
  <c r="DB173" i="61"/>
  <c r="DC173" i="61"/>
  <c r="DD173" i="61"/>
  <c r="CY190" i="61"/>
  <c r="DB190" i="61"/>
  <c r="DC190" i="61"/>
  <c r="DD190" i="61"/>
  <c r="CY197" i="61"/>
  <c r="DB197" i="61"/>
  <c r="DC197" i="61"/>
  <c r="DD197" i="61"/>
  <c r="CY198" i="61"/>
  <c r="DB198" i="61"/>
  <c r="DC198" i="61"/>
  <c r="DD198" i="61"/>
  <c r="CY199" i="61"/>
  <c r="CZ199" i="61"/>
  <c r="DA199" i="61"/>
  <c r="DB199" i="61"/>
  <c r="DC199" i="61"/>
  <c r="DD199" i="61"/>
  <c r="CY202" i="61"/>
  <c r="CZ202" i="61"/>
  <c r="DA202" i="61"/>
  <c r="DB202" i="61"/>
  <c r="DC202" i="61"/>
  <c r="DD202" i="61"/>
  <c r="CY204" i="61"/>
  <c r="DB204" i="61"/>
  <c r="DC204" i="61"/>
  <c r="DD204" i="61"/>
  <c r="CY205" i="61"/>
  <c r="CZ205" i="61"/>
  <c r="DA205" i="61"/>
  <c r="DB205" i="61"/>
  <c r="DC205" i="61"/>
  <c r="DD205" i="61"/>
  <c r="CX30" i="61"/>
  <c r="CX91" i="61"/>
  <c r="CX145" i="61"/>
  <c r="CX190" i="61"/>
  <c r="CX197" i="61"/>
  <c r="CX198" i="61"/>
  <c r="CX204" i="61"/>
  <c r="EC9" i="61"/>
  <c r="EC10" i="61"/>
  <c r="CR12" i="61"/>
  <c r="EC12" i="61"/>
  <c r="EC16" i="61"/>
  <c r="EC17" i="61"/>
  <c r="EC18" i="61"/>
  <c r="CT20" i="61"/>
  <c r="EC20" i="61"/>
  <c r="EC24" i="61"/>
  <c r="EC25" i="61"/>
  <c r="EC27" i="61"/>
  <c r="CQ28" i="61"/>
  <c r="EC28" i="61"/>
  <c r="EC33" i="61"/>
  <c r="CS35" i="61"/>
  <c r="EC35" i="61"/>
  <c r="EC36" i="61"/>
  <c r="EC41" i="61"/>
  <c r="EC43" i="61"/>
  <c r="EC45" i="61"/>
  <c r="EC47" i="61"/>
  <c r="CS51" i="61"/>
  <c r="EC51" i="61"/>
  <c r="EC53" i="61"/>
  <c r="EC55" i="61"/>
  <c r="EC56" i="61"/>
  <c r="CV56" i="61"/>
  <c r="CR58" i="61"/>
  <c r="EC58" i="61"/>
  <c r="EC59" i="61"/>
  <c r="EC62" i="61"/>
  <c r="EC65" i="61"/>
  <c r="EC66" i="61"/>
  <c r="EC70" i="61"/>
  <c r="EC71" i="61"/>
  <c r="EC73" i="61"/>
  <c r="EC77" i="61"/>
  <c r="EC81" i="61"/>
  <c r="EC82" i="61"/>
  <c r="CS83" i="61"/>
  <c r="EC83" i="61"/>
  <c r="EC86" i="61"/>
  <c r="CS87" i="61"/>
  <c r="EC87" i="61"/>
  <c r="CR88" i="61"/>
  <c r="EC88" i="61"/>
  <c r="EC90" i="61"/>
  <c r="CR92" i="61"/>
  <c r="CT92" i="61"/>
  <c r="EC92" i="61"/>
  <c r="EC93" i="61"/>
  <c r="EC94" i="61"/>
  <c r="EC95" i="61"/>
  <c r="CT98" i="61"/>
  <c r="EC98" i="61"/>
  <c r="CQ104" i="61"/>
  <c r="EC104" i="61"/>
  <c r="EC105" i="61"/>
  <c r="CT107" i="61"/>
  <c r="EC107" i="61"/>
  <c r="CT110" i="61"/>
  <c r="EC110" i="61"/>
  <c r="CS111" i="61"/>
  <c r="EC111" i="61"/>
  <c r="EC115" i="61"/>
  <c r="EC117" i="61"/>
  <c r="CR118" i="61"/>
  <c r="EC118" i="61"/>
  <c r="EC119" i="61"/>
  <c r="CT120" i="61"/>
  <c r="EC120" i="61"/>
  <c r="CQ121" i="61"/>
  <c r="EC121" i="61"/>
  <c r="CS127" i="61"/>
  <c r="EC127" i="61"/>
  <c r="EC129" i="61"/>
  <c r="CS132" i="61"/>
  <c r="CV132" i="61"/>
  <c r="EC135" i="61"/>
  <c r="CR136" i="61"/>
  <c r="EC136" i="61"/>
  <c r="CV136" i="61"/>
  <c r="EC137" i="61"/>
  <c r="CQ138" i="61"/>
  <c r="EC138" i="61"/>
  <c r="CR140" i="61"/>
  <c r="CT140" i="61"/>
  <c r="EC142" i="61"/>
  <c r="CV142" i="61"/>
  <c r="CQ143" i="61"/>
  <c r="EC143" i="61"/>
  <c r="CQ144" i="61"/>
  <c r="CT146" i="61"/>
  <c r="EC146" i="61"/>
  <c r="CQ147" i="61"/>
  <c r="EC147" i="61"/>
  <c r="CV147" i="61"/>
  <c r="CR148" i="61"/>
  <c r="CS148" i="61"/>
  <c r="EC148" i="61"/>
  <c r="EC151" i="61"/>
  <c r="CV151" i="61"/>
  <c r="CQ153" i="61"/>
  <c r="CS153" i="61"/>
  <c r="CT153" i="61"/>
  <c r="EC153" i="61"/>
  <c r="CQ158" i="61"/>
  <c r="EC158" i="61"/>
  <c r="CR161" i="61"/>
  <c r="CT161" i="61"/>
  <c r="EC161" i="61"/>
  <c r="EC164" i="61"/>
  <c r="CQ165" i="61"/>
  <c r="EC165" i="61"/>
  <c r="CR166" i="61"/>
  <c r="EC166" i="61"/>
  <c r="CS170" i="61"/>
  <c r="EC170" i="61"/>
  <c r="CV170" i="61"/>
  <c r="EC172" i="61"/>
  <c r="CR175" i="61"/>
  <c r="EC175" i="61"/>
  <c r="EC178" i="61"/>
  <c r="EC179" i="61"/>
  <c r="EC181" i="61"/>
  <c r="EC182" i="61"/>
  <c r="EC183" i="61"/>
  <c r="CQ184" i="61"/>
  <c r="EC184" i="61"/>
  <c r="EC185" i="61"/>
  <c r="EC189" i="61"/>
  <c r="EC192" i="61"/>
  <c r="EC193" i="61"/>
  <c r="EC200" i="61"/>
  <c r="EC207" i="61"/>
  <c r="EB21" i="61" l="1"/>
  <c r="EB192" i="61"/>
  <c r="EB178" i="61"/>
  <c r="EB158" i="61"/>
  <c r="EB130" i="61"/>
  <c r="EB117" i="61"/>
  <c r="EB83" i="61"/>
  <c r="EB65" i="61"/>
  <c r="EB48" i="61"/>
  <c r="EB16" i="61"/>
  <c r="EB17" i="61"/>
  <c r="EB18" i="61"/>
  <c r="EB20" i="61"/>
  <c r="EB24" i="61"/>
  <c r="EB9" i="61"/>
  <c r="EB25" i="61"/>
  <c r="EB10" i="61"/>
  <c r="EB28" i="61"/>
  <c r="EB193" i="61"/>
  <c r="EB179" i="61"/>
  <c r="EB161" i="61"/>
  <c r="EB143" i="61"/>
  <c r="EB132" i="61"/>
  <c r="EB98" i="61"/>
  <c r="EB86" i="61"/>
  <c r="EB66" i="61"/>
  <c r="EB51" i="61"/>
  <c r="EB33" i="61"/>
  <c r="EB200" i="61"/>
  <c r="EB144" i="61"/>
  <c r="EB133" i="61"/>
  <c r="EB119" i="61"/>
  <c r="EB70" i="61"/>
  <c r="EB53" i="61"/>
  <c r="EB35" i="61"/>
  <c r="EB207" i="61"/>
  <c r="EB182" i="61"/>
  <c r="EB165" i="61"/>
  <c r="EB146" i="61"/>
  <c r="EB120" i="61"/>
  <c r="EB105" i="61"/>
  <c r="EB88" i="61"/>
  <c r="EB71" i="61"/>
  <c r="EB55" i="61"/>
  <c r="EB36" i="61"/>
  <c r="EB183" i="61"/>
  <c r="EB166" i="61"/>
  <c r="EB136" i="61"/>
  <c r="EB121" i="61"/>
  <c r="EB107" i="61"/>
  <c r="EB73" i="61"/>
  <c r="EB41" i="61"/>
  <c r="EB184" i="61"/>
  <c r="EB170" i="61"/>
  <c r="EB148" i="61"/>
  <c r="EB137" i="61"/>
  <c r="EB123" i="61"/>
  <c r="EB110" i="61"/>
  <c r="EB92" i="61"/>
  <c r="EB77" i="61"/>
  <c r="EB58" i="61"/>
  <c r="EB43" i="61"/>
  <c r="EB185" i="61"/>
  <c r="EB127" i="61"/>
  <c r="EB111" i="61"/>
  <c r="EB93" i="61"/>
  <c r="EB81" i="61"/>
  <c r="EB59" i="61"/>
  <c r="EB45" i="61"/>
  <c r="EB189" i="61"/>
  <c r="EB153" i="61"/>
  <c r="EB140" i="61"/>
  <c r="EB129" i="61"/>
  <c r="EB115" i="61"/>
  <c r="EB94" i="61"/>
  <c r="EB82" i="61"/>
  <c r="EB62" i="61"/>
  <c r="EB47" i="61"/>
  <c r="EB27" i="61"/>
  <c r="EB12" i="61"/>
  <c r="CP181" i="61"/>
  <c r="EB181" i="61"/>
  <c r="CP175" i="61"/>
  <c r="EB175" i="61"/>
  <c r="CP172" i="61"/>
  <c r="EB172" i="61"/>
  <c r="CP164" i="61"/>
  <c r="EB164" i="61"/>
  <c r="CP151" i="61"/>
  <c r="EB151" i="61"/>
  <c r="CP147" i="61"/>
  <c r="EB147" i="61"/>
  <c r="CU144" i="61"/>
  <c r="EC144" i="61"/>
  <c r="CP142" i="61"/>
  <c r="EB142" i="61"/>
  <c r="CU140" i="61"/>
  <c r="EC140" i="61"/>
  <c r="CP138" i="61"/>
  <c r="EB138" i="61"/>
  <c r="CP135" i="61"/>
  <c r="EB135" i="61"/>
  <c r="CU133" i="61"/>
  <c r="EC133" i="61"/>
  <c r="CU132" i="61"/>
  <c r="EC132" i="61"/>
  <c r="CU130" i="61"/>
  <c r="EC130" i="61"/>
  <c r="CU123" i="61"/>
  <c r="EC123" i="61"/>
  <c r="CP118" i="61"/>
  <c r="EB118" i="61"/>
  <c r="CP104" i="61"/>
  <c r="EB104" i="61"/>
  <c r="CP95" i="61"/>
  <c r="EB95" i="61"/>
  <c r="CP90" i="61"/>
  <c r="EB90" i="61"/>
  <c r="CP87" i="61"/>
  <c r="EB87" i="61"/>
  <c r="CP56" i="61"/>
  <c r="EB56" i="61"/>
  <c r="CU48" i="61"/>
  <c r="EC48" i="61"/>
  <c r="CU21" i="61"/>
  <c r="EC21" i="61"/>
  <c r="DD48" i="61"/>
  <c r="ES46" i="67" s="1"/>
  <c r="DB111" i="61"/>
  <c r="CY138" i="61"/>
  <c r="CY175" i="61"/>
  <c r="CY164" i="61"/>
  <c r="CZ121" i="61"/>
  <c r="CY90" i="61"/>
  <c r="DC20" i="61"/>
  <c r="CS200" i="61"/>
  <c r="DB200" i="61"/>
  <c r="CV192" i="61"/>
  <c r="CT189" i="61"/>
  <c r="DC189" i="61"/>
  <c r="CP185" i="61"/>
  <c r="CY185" i="61"/>
  <c r="CV183" i="61"/>
  <c r="CU182" i="61"/>
  <c r="DD182" i="61"/>
  <c r="ES169" i="67" s="1"/>
  <c r="CT181" i="61"/>
  <c r="DC181" i="61"/>
  <c r="CR179" i="61"/>
  <c r="DA179" i="61"/>
  <c r="CQ178" i="61"/>
  <c r="CZ178" i="61"/>
  <c r="CR158" i="61"/>
  <c r="DA158" i="61"/>
  <c r="CV137" i="61"/>
  <c r="CU136" i="61"/>
  <c r="DD136" i="61"/>
  <c r="ES132" i="67" s="1"/>
  <c r="CT135" i="61"/>
  <c r="DC135" i="61"/>
  <c r="CT129" i="61"/>
  <c r="DC129" i="61"/>
  <c r="CQ66" i="61"/>
  <c r="CZ66" i="61"/>
  <c r="CP65" i="61"/>
  <c r="CY65" i="61"/>
  <c r="CU56" i="61"/>
  <c r="DD56" i="61"/>
  <c r="ES54" i="67" s="1"/>
  <c r="CT55" i="61"/>
  <c r="DC55" i="61"/>
  <c r="CV33" i="61"/>
  <c r="DB170" i="61"/>
  <c r="CV207" i="61"/>
  <c r="CR200" i="61"/>
  <c r="DA200" i="61"/>
  <c r="CV193" i="61"/>
  <c r="CU192" i="61"/>
  <c r="DD192" i="61"/>
  <c r="ES180" i="67" s="1"/>
  <c r="CS189" i="61"/>
  <c r="DB189" i="61"/>
  <c r="CV184" i="61"/>
  <c r="CU183" i="61"/>
  <c r="DD183" i="61"/>
  <c r="ES170" i="67" s="1"/>
  <c r="CT182" i="61"/>
  <c r="DC182" i="61"/>
  <c r="CS181" i="61"/>
  <c r="DB181" i="61"/>
  <c r="CQ179" i="61"/>
  <c r="CZ179" i="61"/>
  <c r="CQ172" i="61"/>
  <c r="CZ172" i="61"/>
  <c r="CV165" i="61"/>
  <c r="CU164" i="61"/>
  <c r="DD164" i="61"/>
  <c r="ES158" i="67" s="1"/>
  <c r="CT127" i="61"/>
  <c r="DC127" i="61"/>
  <c r="CP123" i="61"/>
  <c r="CY123" i="61"/>
  <c r="CV98" i="61"/>
  <c r="CU88" i="61"/>
  <c r="DD88" i="61"/>
  <c r="ES86" i="67" s="1"/>
  <c r="CT87" i="61"/>
  <c r="DC87" i="61"/>
  <c r="CS86" i="61"/>
  <c r="DB86" i="61"/>
  <c r="CT71" i="61"/>
  <c r="DC71" i="61"/>
  <c r="CS70" i="61"/>
  <c r="DB70" i="61"/>
  <c r="CT53" i="61"/>
  <c r="DC53" i="61"/>
  <c r="CV47" i="61"/>
  <c r="CP43" i="61"/>
  <c r="CY43" i="61"/>
  <c r="CP41" i="61"/>
  <c r="CY41" i="61"/>
  <c r="CU207" i="61"/>
  <c r="DD207" i="61"/>
  <c r="ES189" i="67" s="1"/>
  <c r="CQ200" i="61"/>
  <c r="CZ200" i="61"/>
  <c r="CU193" i="61"/>
  <c r="DD193" i="61"/>
  <c r="ES181" i="67" s="1"/>
  <c r="CT192" i="61"/>
  <c r="DC192" i="61"/>
  <c r="CR189" i="61"/>
  <c r="DA189" i="61"/>
  <c r="CV185" i="61"/>
  <c r="CU184" i="61"/>
  <c r="DD184" i="61"/>
  <c r="ES171" i="67" s="1"/>
  <c r="CT183" i="61"/>
  <c r="DC183" i="61"/>
  <c r="CS182" i="61"/>
  <c r="DB182" i="61"/>
  <c r="CR181" i="61"/>
  <c r="DA181" i="61"/>
  <c r="CP179" i="61"/>
  <c r="CY179" i="61"/>
  <c r="CU161" i="61"/>
  <c r="DD161" i="61"/>
  <c r="ES156" i="67" s="1"/>
  <c r="CP158" i="61"/>
  <c r="CY158" i="61"/>
  <c r="CU153" i="61"/>
  <c r="DD153" i="61"/>
  <c r="ES148" i="67" s="1"/>
  <c r="CP148" i="61"/>
  <c r="CY148" i="61"/>
  <c r="CV146" i="61"/>
  <c r="CT143" i="61"/>
  <c r="DC143" i="61"/>
  <c r="CS142" i="61"/>
  <c r="DB142" i="61"/>
  <c r="CU138" i="61"/>
  <c r="DD138" i="61"/>
  <c r="ES134" i="67" s="1"/>
  <c r="CT137" i="61"/>
  <c r="DC137" i="61"/>
  <c r="CS136" i="61"/>
  <c r="DB136" i="61"/>
  <c r="CR135" i="61"/>
  <c r="DA135" i="61"/>
  <c r="CP107" i="61"/>
  <c r="CY107" i="61"/>
  <c r="CV65" i="61"/>
  <c r="DD130" i="61"/>
  <c r="ES126" i="67" s="1"/>
  <c r="CT207" i="61"/>
  <c r="DC207" i="61"/>
  <c r="CP200" i="61"/>
  <c r="CY200" i="61"/>
  <c r="CT193" i="61"/>
  <c r="DC193" i="61"/>
  <c r="CS192" i="61"/>
  <c r="DB192" i="61"/>
  <c r="CQ189" i="61"/>
  <c r="CZ189" i="61"/>
  <c r="CU185" i="61"/>
  <c r="DD185" i="61"/>
  <c r="ES172" i="67" s="1"/>
  <c r="CT184" i="61"/>
  <c r="DC184" i="61"/>
  <c r="CS183" i="61"/>
  <c r="DB183" i="61"/>
  <c r="CR182" i="61"/>
  <c r="DA182" i="61"/>
  <c r="CQ181" i="61"/>
  <c r="CZ181" i="61"/>
  <c r="CV178" i="61"/>
  <c r="CR133" i="61"/>
  <c r="DA133" i="61"/>
  <c r="CQ132" i="61"/>
  <c r="CZ132" i="61"/>
  <c r="CR127" i="61"/>
  <c r="DA127" i="61"/>
  <c r="CV123" i="61"/>
  <c r="CV121" i="61"/>
  <c r="CU120" i="61"/>
  <c r="DD120" i="61"/>
  <c r="ES116" i="67" s="1"/>
  <c r="CT119" i="61"/>
  <c r="DC119" i="61"/>
  <c r="CS118" i="61"/>
  <c r="DB118" i="61"/>
  <c r="CR117" i="61"/>
  <c r="DA117" i="61"/>
  <c r="CR59" i="61"/>
  <c r="DA59" i="61"/>
  <c r="CQ58" i="61"/>
  <c r="CZ58" i="61"/>
  <c r="CR53" i="61"/>
  <c r="DA53" i="61"/>
  <c r="CT47" i="61"/>
  <c r="DC47" i="61"/>
  <c r="CV41" i="61"/>
  <c r="CU28" i="61"/>
  <c r="DD28" i="61"/>
  <c r="ES28" i="67" s="1"/>
  <c r="CT21" i="61"/>
  <c r="DC21" i="61"/>
  <c r="CS20" i="61"/>
  <c r="DB20" i="61"/>
  <c r="CS12" i="61"/>
  <c r="DB12" i="61"/>
  <c r="CS207" i="61"/>
  <c r="DB207" i="61"/>
  <c r="CS193" i="61"/>
  <c r="DB193" i="61"/>
  <c r="CR192" i="61"/>
  <c r="DA192" i="61"/>
  <c r="CP189" i="61"/>
  <c r="CY189" i="61"/>
  <c r="CT185" i="61"/>
  <c r="DC185" i="61"/>
  <c r="CS184" i="61"/>
  <c r="DB184" i="61"/>
  <c r="CR183" i="61"/>
  <c r="DA183" i="61"/>
  <c r="CQ182" i="61"/>
  <c r="CZ182" i="61"/>
  <c r="CV179" i="61"/>
  <c r="CU178" i="61"/>
  <c r="DD178" i="61"/>
  <c r="ES164" i="67" s="1"/>
  <c r="CS161" i="61"/>
  <c r="DB161" i="61"/>
  <c r="CV148" i="61"/>
  <c r="CU147" i="61"/>
  <c r="DD147" i="61"/>
  <c r="ES142" i="67" s="1"/>
  <c r="CS144" i="61"/>
  <c r="DB144" i="61"/>
  <c r="CR143" i="61"/>
  <c r="DA143" i="61"/>
  <c r="CQ142" i="61"/>
  <c r="CZ142" i="61"/>
  <c r="CV107" i="61"/>
  <c r="CV105" i="61"/>
  <c r="CU104" i="61"/>
  <c r="DD104" i="61"/>
  <c r="ES100" i="67" s="1"/>
  <c r="CU95" i="61"/>
  <c r="DD95" i="61"/>
  <c r="ES92" i="67" s="1"/>
  <c r="CT94" i="61"/>
  <c r="DC94" i="61"/>
  <c r="CS93" i="61"/>
  <c r="DB93" i="61"/>
  <c r="CQ90" i="61"/>
  <c r="CZ90" i="61"/>
  <c r="CR51" i="61"/>
  <c r="DA51" i="61"/>
  <c r="CT45" i="61"/>
  <c r="DC45" i="61"/>
  <c r="CS36" i="61"/>
  <c r="DB36" i="61"/>
  <c r="CR35" i="61"/>
  <c r="DA35" i="61"/>
  <c r="DB153" i="61"/>
  <c r="CR207" i="61"/>
  <c r="DA207" i="61"/>
  <c r="CV200" i="61"/>
  <c r="CR193" i="61"/>
  <c r="DA193" i="61"/>
  <c r="CQ192" i="61"/>
  <c r="CZ192" i="61"/>
  <c r="CS185" i="61"/>
  <c r="DB185" i="61"/>
  <c r="CR184" i="61"/>
  <c r="DA184" i="61"/>
  <c r="CQ183" i="61"/>
  <c r="CZ183" i="61"/>
  <c r="CP182" i="61"/>
  <c r="CY182" i="61"/>
  <c r="CU179" i="61"/>
  <c r="DD179" i="61"/>
  <c r="ES165" i="67" s="1"/>
  <c r="CT178" i="61"/>
  <c r="DC178" i="61"/>
  <c r="CS175" i="61"/>
  <c r="DB175" i="61"/>
  <c r="CU172" i="61"/>
  <c r="DD172" i="61"/>
  <c r="ES176" i="67" s="1"/>
  <c r="CS151" i="61"/>
  <c r="DB151" i="61"/>
  <c r="CQ140" i="61"/>
  <c r="CZ140" i="61"/>
  <c r="CP133" i="61"/>
  <c r="CY133" i="61"/>
  <c r="CT121" i="61"/>
  <c r="DC121" i="61"/>
  <c r="CS120" i="61"/>
  <c r="DB120" i="61"/>
  <c r="CR119" i="61"/>
  <c r="DA119" i="61"/>
  <c r="CQ118" i="61"/>
  <c r="CZ118" i="61"/>
  <c r="CP117" i="61"/>
  <c r="CY117" i="61"/>
  <c r="CP115" i="61"/>
  <c r="CY115" i="61"/>
  <c r="CT111" i="61"/>
  <c r="DC111" i="61"/>
  <c r="CS110" i="61"/>
  <c r="DB110" i="61"/>
  <c r="CR83" i="61"/>
  <c r="DA83" i="61"/>
  <c r="CQ82" i="61"/>
  <c r="CZ82" i="61"/>
  <c r="CP81" i="61"/>
  <c r="CY81" i="61"/>
  <c r="CT77" i="61"/>
  <c r="DC77" i="61"/>
  <c r="CP73" i="61"/>
  <c r="CY73" i="61"/>
  <c r="CU62" i="61"/>
  <c r="DD62" i="61"/>
  <c r="ES60" i="67" s="1"/>
  <c r="CP59" i="61"/>
  <c r="CY59" i="61"/>
  <c r="CS28" i="61"/>
  <c r="DB28" i="61"/>
  <c r="CR27" i="61"/>
  <c r="DA27" i="61"/>
  <c r="CQ18" i="61"/>
  <c r="CZ18" i="61"/>
  <c r="CP17" i="61"/>
  <c r="CY17" i="61"/>
  <c r="CQ10" i="61"/>
  <c r="CZ10" i="61"/>
  <c r="CP9" i="61"/>
  <c r="CY9" i="61"/>
  <c r="CZ184" i="61"/>
  <c r="DA92" i="61"/>
  <c r="CQ207" i="61"/>
  <c r="CZ207" i="61"/>
  <c r="CU200" i="61"/>
  <c r="DD200" i="61"/>
  <c r="ES184" i="67" s="1"/>
  <c r="CQ193" i="61"/>
  <c r="CZ193" i="61"/>
  <c r="CP192" i="61"/>
  <c r="CY192" i="61"/>
  <c r="CV189" i="61"/>
  <c r="CR185" i="61"/>
  <c r="DA185" i="61"/>
  <c r="CP183" i="61"/>
  <c r="CY183" i="61"/>
  <c r="CV181" i="61"/>
  <c r="CT179" i="61"/>
  <c r="DC179" i="61"/>
  <c r="CS178" i="61"/>
  <c r="DB178" i="61"/>
  <c r="CU170" i="61"/>
  <c r="DD170" i="61"/>
  <c r="ES167" i="67" s="1"/>
  <c r="CV129" i="61"/>
  <c r="CT105" i="61"/>
  <c r="DC105" i="61"/>
  <c r="CS104" i="61"/>
  <c r="DB104" i="61"/>
  <c r="CS95" i="61"/>
  <c r="DB95" i="61"/>
  <c r="CR94" i="61"/>
  <c r="DA94" i="61"/>
  <c r="CQ93" i="61"/>
  <c r="CZ93" i="61"/>
  <c r="CP92" i="61"/>
  <c r="CY92" i="61"/>
  <c r="CV55" i="61"/>
  <c r="CP51" i="61"/>
  <c r="CY51" i="61"/>
  <c r="CR45" i="61"/>
  <c r="DA45" i="61"/>
  <c r="CQ36" i="61"/>
  <c r="CZ36" i="61"/>
  <c r="CP35" i="61"/>
  <c r="CY35" i="61"/>
  <c r="CP33" i="61"/>
  <c r="CY33" i="61"/>
  <c r="CY181" i="61"/>
  <c r="DC146" i="61"/>
  <c r="DD144" i="61"/>
  <c r="ES140" i="67" s="1"/>
  <c r="CP207" i="61"/>
  <c r="CY207" i="61"/>
  <c r="CT200" i="61"/>
  <c r="DC200" i="61"/>
  <c r="CP193" i="61"/>
  <c r="CY193" i="61"/>
  <c r="CU189" i="61"/>
  <c r="DD189" i="61"/>
  <c r="ES178" i="67" s="1"/>
  <c r="CQ185" i="61"/>
  <c r="CZ185" i="61"/>
  <c r="CP184" i="61"/>
  <c r="CY184" i="61"/>
  <c r="CV182" i="61"/>
  <c r="CU181" i="61"/>
  <c r="DD181" i="61"/>
  <c r="ES192" i="67" s="1"/>
  <c r="CS179" i="61"/>
  <c r="DB179" i="61"/>
  <c r="CR178" i="61"/>
  <c r="DA178" i="61"/>
  <c r="CQ175" i="61"/>
  <c r="CZ175" i="61"/>
  <c r="CQ166" i="61"/>
  <c r="CZ166" i="61"/>
  <c r="CP165" i="61"/>
  <c r="CY165" i="61"/>
  <c r="CQ151" i="61"/>
  <c r="CZ151" i="61"/>
  <c r="CV115" i="61"/>
  <c r="CR111" i="61"/>
  <c r="DA111" i="61"/>
  <c r="CQ110" i="61"/>
  <c r="CZ110" i="61"/>
  <c r="CP98" i="61"/>
  <c r="CY98" i="61"/>
  <c r="CV87" i="61"/>
  <c r="CU86" i="61"/>
  <c r="DD86" i="61"/>
  <c r="ES84" i="67" s="1"/>
  <c r="CP83" i="61"/>
  <c r="CY83" i="61"/>
  <c r="CV81" i="61"/>
  <c r="CR77" i="61"/>
  <c r="DA77" i="61"/>
  <c r="CV73" i="61"/>
  <c r="CV71" i="61"/>
  <c r="CU70" i="61"/>
  <c r="DD70" i="61"/>
  <c r="ES68" i="67" s="1"/>
  <c r="CS62" i="61"/>
  <c r="DB62" i="61"/>
  <c r="CR43" i="61"/>
  <c r="DA43" i="61"/>
  <c r="CP25" i="61"/>
  <c r="CY25" i="61"/>
  <c r="CV175" i="61"/>
  <c r="CT172" i="61"/>
  <c r="DC172" i="61"/>
  <c r="CR170" i="61"/>
  <c r="DA170" i="61"/>
  <c r="CV166" i="61"/>
  <c r="CU165" i="61"/>
  <c r="DD165" i="61"/>
  <c r="ES159" i="67" s="1"/>
  <c r="CT164" i="61"/>
  <c r="DC164" i="61"/>
  <c r="CR153" i="61"/>
  <c r="DA153" i="61"/>
  <c r="CU148" i="61"/>
  <c r="DD148" i="61"/>
  <c r="ES143" i="67" s="1"/>
  <c r="CT147" i="61"/>
  <c r="DC147" i="61"/>
  <c r="CS146" i="61"/>
  <c r="DB146" i="61"/>
  <c r="CR144" i="61"/>
  <c r="DA144" i="61"/>
  <c r="CV140" i="61"/>
  <c r="CT138" i="61"/>
  <c r="DC138" i="61"/>
  <c r="CS137" i="61"/>
  <c r="DB137" i="61"/>
  <c r="CQ135" i="61"/>
  <c r="CZ135" i="61"/>
  <c r="CT130" i="61"/>
  <c r="DC130" i="61"/>
  <c r="CS129" i="61"/>
  <c r="DB129" i="61"/>
  <c r="CQ127" i="61"/>
  <c r="CZ127" i="61"/>
  <c r="CS121" i="61"/>
  <c r="DB121" i="61"/>
  <c r="CR120" i="61"/>
  <c r="DA120" i="61"/>
  <c r="CQ119" i="61"/>
  <c r="CZ119" i="61"/>
  <c r="CU115" i="61"/>
  <c r="DD115" i="61"/>
  <c r="ES111" i="67" s="1"/>
  <c r="CQ111" i="61"/>
  <c r="CZ111" i="61"/>
  <c r="CP110" i="61"/>
  <c r="CY110" i="61"/>
  <c r="CU107" i="61"/>
  <c r="DD107" i="61"/>
  <c r="ES103" i="67" s="1"/>
  <c r="CS105" i="61"/>
  <c r="DB105" i="61"/>
  <c r="CR104" i="61"/>
  <c r="DA104" i="61"/>
  <c r="CU98" i="61"/>
  <c r="DD98" i="61"/>
  <c r="ES95" i="67" s="1"/>
  <c r="CR95" i="61"/>
  <c r="DA95" i="61"/>
  <c r="CQ94" i="61"/>
  <c r="CZ94" i="61"/>
  <c r="CP93" i="61"/>
  <c r="CY93" i="61"/>
  <c r="CV90" i="61"/>
  <c r="CT88" i="61"/>
  <c r="DC88" i="61"/>
  <c r="CR86" i="61"/>
  <c r="DA86" i="61"/>
  <c r="CV82" i="61"/>
  <c r="CU81" i="61"/>
  <c r="DD81" i="61"/>
  <c r="ES79" i="67" s="1"/>
  <c r="CQ77" i="61"/>
  <c r="CZ77" i="61"/>
  <c r="CU73" i="61"/>
  <c r="DD73" i="61"/>
  <c r="ES71" i="67" s="1"/>
  <c r="CS71" i="61"/>
  <c r="DB71" i="61"/>
  <c r="CR70" i="61"/>
  <c r="DA70" i="61"/>
  <c r="CV66" i="61"/>
  <c r="CU65" i="61"/>
  <c r="DD65" i="61"/>
  <c r="ES63" i="67" s="1"/>
  <c r="CR62" i="61"/>
  <c r="DA62" i="61"/>
  <c r="CV58" i="61"/>
  <c r="CT56" i="61"/>
  <c r="DC56" i="61"/>
  <c r="CS55" i="61"/>
  <c r="DB55" i="61"/>
  <c r="CQ53" i="61"/>
  <c r="CZ53" i="61"/>
  <c r="CT48" i="61"/>
  <c r="DC48" i="61"/>
  <c r="CS47" i="61"/>
  <c r="DB47" i="61"/>
  <c r="CQ45" i="61"/>
  <c r="CZ45" i="61"/>
  <c r="CU41" i="61"/>
  <c r="DD41" i="61"/>
  <c r="ES39" i="67" s="1"/>
  <c r="CP36" i="61"/>
  <c r="CY36" i="61"/>
  <c r="CU33" i="61"/>
  <c r="DD33" i="61"/>
  <c r="ES31" i="67" s="1"/>
  <c r="CR28" i="61"/>
  <c r="DA28" i="61"/>
  <c r="CQ27" i="61"/>
  <c r="CZ27" i="61"/>
  <c r="CV24" i="61"/>
  <c r="CS21" i="61"/>
  <c r="DB21" i="61"/>
  <c r="CR20" i="61"/>
  <c r="DA20" i="61"/>
  <c r="CP18" i="61"/>
  <c r="CY18" i="61"/>
  <c r="CV16" i="61"/>
  <c r="CP10" i="61"/>
  <c r="CY10" i="61"/>
  <c r="CZ153" i="61"/>
  <c r="DD140" i="61"/>
  <c r="ES136" i="67" s="1"/>
  <c r="DC120" i="61"/>
  <c r="DC110" i="61"/>
  <c r="DA88" i="61"/>
  <c r="CP178" i="61"/>
  <c r="CY178" i="61"/>
  <c r="CU175" i="61"/>
  <c r="DD175" i="61"/>
  <c r="ES190" i="67" s="1"/>
  <c r="CS172" i="61"/>
  <c r="DB172" i="61"/>
  <c r="CQ170" i="61"/>
  <c r="CZ170" i="61"/>
  <c r="CU166" i="61"/>
  <c r="DD166" i="61"/>
  <c r="ES160" i="67" s="1"/>
  <c r="CT165" i="61"/>
  <c r="DC165" i="61"/>
  <c r="CS164" i="61"/>
  <c r="DB164" i="61"/>
  <c r="CQ161" i="61"/>
  <c r="CZ161" i="61"/>
  <c r="CV158" i="61"/>
  <c r="CT148" i="61"/>
  <c r="DC148" i="61"/>
  <c r="CS147" i="61"/>
  <c r="DB147" i="61"/>
  <c r="CR146" i="61"/>
  <c r="DA146" i="61"/>
  <c r="CP143" i="61"/>
  <c r="CY143" i="61"/>
  <c r="CS138" i="61"/>
  <c r="DB138" i="61"/>
  <c r="CR137" i="61"/>
  <c r="DA137" i="61"/>
  <c r="CQ136" i="61"/>
  <c r="CZ136" i="61"/>
  <c r="CV133" i="61"/>
  <c r="CS130" i="61"/>
  <c r="DB130" i="61"/>
  <c r="CR129" i="61"/>
  <c r="DA129" i="61"/>
  <c r="CP127" i="61"/>
  <c r="CY127" i="61"/>
  <c r="CT123" i="61"/>
  <c r="DC123" i="61"/>
  <c r="CR121" i="61"/>
  <c r="DA121" i="61"/>
  <c r="CQ120" i="61"/>
  <c r="CZ120" i="61"/>
  <c r="CP119" i="61"/>
  <c r="CY119" i="61"/>
  <c r="CV117" i="61"/>
  <c r="CT115" i="61"/>
  <c r="DC115" i="61"/>
  <c r="CP111" i="61"/>
  <c r="CY111" i="61"/>
  <c r="CR105" i="61"/>
  <c r="DA105" i="61"/>
  <c r="CQ95" i="61"/>
  <c r="CZ95" i="61"/>
  <c r="CP94" i="61"/>
  <c r="CY94" i="61"/>
  <c r="CV92" i="61"/>
  <c r="CU90" i="61"/>
  <c r="DD90" i="61"/>
  <c r="ES88" i="67" s="1"/>
  <c r="CS88" i="61"/>
  <c r="DB88" i="61"/>
  <c r="CR87" i="61"/>
  <c r="DA87" i="61"/>
  <c r="CQ86" i="61"/>
  <c r="CZ86" i="61"/>
  <c r="CV83" i="61"/>
  <c r="CU82" i="61"/>
  <c r="DD82" i="61"/>
  <c r="ES80" i="67" s="1"/>
  <c r="CT81" i="61"/>
  <c r="DC81" i="61"/>
  <c r="CP77" i="61"/>
  <c r="CY77" i="61"/>
  <c r="CT73" i="61"/>
  <c r="DC73" i="61"/>
  <c r="CR71" i="61"/>
  <c r="DA71" i="61"/>
  <c r="CQ70" i="61"/>
  <c r="CZ70" i="61"/>
  <c r="CU66" i="61"/>
  <c r="DD66" i="61"/>
  <c r="ES64" i="67" s="1"/>
  <c r="CT65" i="61"/>
  <c r="DC65" i="61"/>
  <c r="CQ62" i="61"/>
  <c r="CZ62" i="61"/>
  <c r="CV59" i="61"/>
  <c r="CU58" i="61"/>
  <c r="DD58" i="61"/>
  <c r="ES56" i="67" s="1"/>
  <c r="CS56" i="61"/>
  <c r="DB56" i="61"/>
  <c r="CR55" i="61"/>
  <c r="DA55" i="61"/>
  <c r="CP53" i="61"/>
  <c r="CY53" i="61"/>
  <c r="CV51" i="61"/>
  <c r="CS48" i="61"/>
  <c r="DB48" i="61"/>
  <c r="CR47" i="61"/>
  <c r="DA47" i="61"/>
  <c r="CP45" i="61"/>
  <c r="CY45" i="61"/>
  <c r="CV43" i="61"/>
  <c r="CT41" i="61"/>
  <c r="DC41" i="61"/>
  <c r="CV35" i="61"/>
  <c r="CT33" i="61"/>
  <c r="DC33" i="61"/>
  <c r="CP27" i="61"/>
  <c r="CY27" i="61"/>
  <c r="CV25" i="61"/>
  <c r="CU24" i="61"/>
  <c r="DD24" i="61"/>
  <c r="ES24" i="67" s="1"/>
  <c r="CR21" i="61"/>
  <c r="DA21" i="61"/>
  <c r="CQ20" i="61"/>
  <c r="CZ20" i="61"/>
  <c r="CV17" i="61"/>
  <c r="CU16" i="61"/>
  <c r="DD16" i="61"/>
  <c r="ES16" i="67" s="1"/>
  <c r="CQ12" i="61"/>
  <c r="CZ12" i="61"/>
  <c r="CV9" i="61"/>
  <c r="DA166" i="61"/>
  <c r="CZ144" i="61"/>
  <c r="DC140" i="61"/>
  <c r="DD133" i="61"/>
  <c r="ES129" i="67" s="1"/>
  <c r="DA118" i="61"/>
  <c r="DB87" i="61"/>
  <c r="CT175" i="61"/>
  <c r="DC175" i="61"/>
  <c r="CR172" i="61"/>
  <c r="DA172" i="61"/>
  <c r="CP170" i="61"/>
  <c r="CY170" i="61"/>
  <c r="CT166" i="61"/>
  <c r="DC166" i="61"/>
  <c r="CS165" i="61"/>
  <c r="DB165" i="61"/>
  <c r="CR164" i="61"/>
  <c r="DA164" i="61"/>
  <c r="CP161" i="61"/>
  <c r="CY161" i="61"/>
  <c r="CU158" i="61"/>
  <c r="DD158" i="61"/>
  <c r="ES153" i="67" s="1"/>
  <c r="CP153" i="61"/>
  <c r="CY153" i="61"/>
  <c r="CR147" i="61"/>
  <c r="DA147" i="61"/>
  <c r="CQ146" i="61"/>
  <c r="CZ146" i="61"/>
  <c r="CP144" i="61"/>
  <c r="CY144" i="61"/>
  <c r="CR138" i="61"/>
  <c r="DA138" i="61"/>
  <c r="CQ137" i="61"/>
  <c r="CZ137" i="61"/>
  <c r="CP136" i="61"/>
  <c r="CY136" i="61"/>
  <c r="CT132" i="61"/>
  <c r="DC132" i="61"/>
  <c r="CR130" i="61"/>
  <c r="DA130" i="61"/>
  <c r="CQ129" i="61"/>
  <c r="CZ129" i="61"/>
  <c r="CS123" i="61"/>
  <c r="DB123" i="61"/>
  <c r="CP120" i="61"/>
  <c r="CY120" i="61"/>
  <c r="CV118" i="61"/>
  <c r="CU117" i="61"/>
  <c r="DD117" i="61"/>
  <c r="ES113" i="67" s="1"/>
  <c r="CS115" i="61"/>
  <c r="DB115" i="61"/>
  <c r="CV110" i="61"/>
  <c r="CS107" i="61"/>
  <c r="DB107" i="61"/>
  <c r="CQ105" i="61"/>
  <c r="CZ105" i="61"/>
  <c r="CS98" i="61"/>
  <c r="DB98" i="61"/>
  <c r="CV93" i="61"/>
  <c r="CU92" i="61"/>
  <c r="DD92" i="61"/>
  <c r="ES89" i="67" s="1"/>
  <c r="CT90" i="61"/>
  <c r="DC90" i="61"/>
  <c r="CQ87" i="61"/>
  <c r="CZ87" i="61"/>
  <c r="CP86" i="61"/>
  <c r="CY86" i="61"/>
  <c r="CU83" i="61"/>
  <c r="DD83" i="61"/>
  <c r="ES81" i="67" s="1"/>
  <c r="CT82" i="61"/>
  <c r="DC82" i="61"/>
  <c r="CS81" i="61"/>
  <c r="DB81" i="61"/>
  <c r="CS73" i="61"/>
  <c r="DB73" i="61"/>
  <c r="CQ71" i="61"/>
  <c r="CZ71" i="61"/>
  <c r="CP70" i="61"/>
  <c r="CY70" i="61"/>
  <c r="CT66" i="61"/>
  <c r="DC66" i="61"/>
  <c r="CS65" i="61"/>
  <c r="DB65" i="61"/>
  <c r="CP62" i="61"/>
  <c r="CY62" i="61"/>
  <c r="CU59" i="61"/>
  <c r="DD59" i="61"/>
  <c r="ES57" i="67" s="1"/>
  <c r="CT58" i="61"/>
  <c r="DC58" i="61"/>
  <c r="CR56" i="61"/>
  <c r="DA56" i="61"/>
  <c r="CQ55" i="61"/>
  <c r="CZ55" i="61"/>
  <c r="CU51" i="61"/>
  <c r="DD51" i="61"/>
  <c r="ES49" i="67" s="1"/>
  <c r="CR48" i="61"/>
  <c r="DA48" i="61"/>
  <c r="CQ47" i="61"/>
  <c r="CZ47" i="61"/>
  <c r="CU43" i="61"/>
  <c r="DD43" i="61"/>
  <c r="ES41" i="67" s="1"/>
  <c r="CS41" i="61"/>
  <c r="DB41" i="61"/>
  <c r="CV36" i="61"/>
  <c r="CU35" i="61"/>
  <c r="DD35" i="61"/>
  <c r="ES33" i="67" s="1"/>
  <c r="CS33" i="61"/>
  <c r="DB33" i="61"/>
  <c r="CP28" i="61"/>
  <c r="CY28" i="61"/>
  <c r="CU25" i="61"/>
  <c r="DD25" i="61"/>
  <c r="ES25" i="67" s="1"/>
  <c r="CT24" i="61"/>
  <c r="DC24" i="61"/>
  <c r="CQ21" i="61"/>
  <c r="CZ21" i="61"/>
  <c r="CP20" i="61"/>
  <c r="CY20" i="61"/>
  <c r="CV18" i="61"/>
  <c r="CU17" i="61"/>
  <c r="DD17" i="61"/>
  <c r="ES17" i="67" s="1"/>
  <c r="CT16" i="61"/>
  <c r="DC16" i="61"/>
  <c r="CP12" i="61"/>
  <c r="CY12" i="61"/>
  <c r="CV10" i="61"/>
  <c r="CU9" i="61"/>
  <c r="DD9" i="61"/>
  <c r="ES9" i="67" s="1"/>
  <c r="CY172" i="61"/>
  <c r="DC161" i="61"/>
  <c r="DB148" i="61"/>
  <c r="DA140" i="61"/>
  <c r="DB127" i="61"/>
  <c r="CY118" i="61"/>
  <c r="DC98" i="61"/>
  <c r="CY87" i="61"/>
  <c r="DA58" i="61"/>
  <c r="DA12" i="61"/>
  <c r="CS166" i="61"/>
  <c r="DB166" i="61"/>
  <c r="CR165" i="61"/>
  <c r="DA165" i="61"/>
  <c r="CQ164" i="61"/>
  <c r="CZ164" i="61"/>
  <c r="CT158" i="61"/>
  <c r="DC158" i="61"/>
  <c r="CU151" i="61"/>
  <c r="DD151" i="61"/>
  <c r="ES146" i="67" s="1"/>
  <c r="CP146" i="61"/>
  <c r="CY146" i="61"/>
  <c r="CV143" i="61"/>
  <c r="CU142" i="61"/>
  <c r="DD142" i="61"/>
  <c r="ES138" i="67" s="1"/>
  <c r="CS140" i="61"/>
  <c r="DB140" i="61"/>
  <c r="CP137" i="61"/>
  <c r="CY137" i="61"/>
  <c r="CV135" i="61"/>
  <c r="CT133" i="61"/>
  <c r="DC133" i="61"/>
  <c r="CQ130" i="61"/>
  <c r="CZ130" i="61"/>
  <c r="CP129" i="61"/>
  <c r="CY129" i="61"/>
  <c r="CV127" i="61"/>
  <c r="CR123" i="61"/>
  <c r="DA123" i="61"/>
  <c r="CP121" i="61"/>
  <c r="CY121" i="61"/>
  <c r="CV119" i="61"/>
  <c r="CU118" i="61"/>
  <c r="DD118" i="61"/>
  <c r="ES114" i="67" s="1"/>
  <c r="CT117" i="61"/>
  <c r="DC117" i="61"/>
  <c r="CR115" i="61"/>
  <c r="DA115" i="61"/>
  <c r="CV111" i="61"/>
  <c r="CU110" i="61"/>
  <c r="DD110" i="61"/>
  <c r="ES106" i="67" s="1"/>
  <c r="CR107" i="61"/>
  <c r="DA107" i="61"/>
  <c r="CP105" i="61"/>
  <c r="CY105" i="61"/>
  <c r="CR98" i="61"/>
  <c r="DA98" i="61"/>
  <c r="CV94" i="61"/>
  <c r="CU93" i="61"/>
  <c r="DD93" i="61"/>
  <c r="ES90" i="67" s="1"/>
  <c r="CS90" i="61"/>
  <c r="DB90" i="61"/>
  <c r="CQ88" i="61"/>
  <c r="CZ88" i="61"/>
  <c r="CT83" i="61"/>
  <c r="DC83" i="61"/>
  <c r="CS82" i="61"/>
  <c r="DB82" i="61"/>
  <c r="CR81" i="61"/>
  <c r="DA81" i="61"/>
  <c r="CV77" i="61"/>
  <c r="CR73" i="61"/>
  <c r="DA73" i="61"/>
  <c r="CP71" i="61"/>
  <c r="CY71" i="61"/>
  <c r="CS66" i="61"/>
  <c r="DB66" i="61"/>
  <c r="CR65" i="61"/>
  <c r="DA65" i="61"/>
  <c r="CT59" i="61"/>
  <c r="DC59" i="61"/>
  <c r="CS58" i="61"/>
  <c r="DB58" i="61"/>
  <c r="CQ56" i="61"/>
  <c r="CZ56" i="61"/>
  <c r="CP55" i="61"/>
  <c r="CY55" i="61"/>
  <c r="CV53" i="61"/>
  <c r="CT51" i="61"/>
  <c r="DC51" i="61"/>
  <c r="CQ48" i="61"/>
  <c r="CZ48" i="61"/>
  <c r="CP47" i="61"/>
  <c r="CY47" i="61"/>
  <c r="CV45" i="61"/>
  <c r="CT43" i="61"/>
  <c r="DC43" i="61"/>
  <c r="CR41" i="61"/>
  <c r="DA41" i="61"/>
  <c r="CU36" i="61"/>
  <c r="DD36" i="61"/>
  <c r="ES34" i="67" s="1"/>
  <c r="CT35" i="61"/>
  <c r="DC35" i="61"/>
  <c r="CR33" i="61"/>
  <c r="DA33" i="61"/>
  <c r="CV27" i="61"/>
  <c r="CT25" i="61"/>
  <c r="DC25" i="61"/>
  <c r="CS24" i="61"/>
  <c r="DB24" i="61"/>
  <c r="CP21" i="61"/>
  <c r="CY21" i="61"/>
  <c r="CU18" i="61"/>
  <c r="DD18" i="61"/>
  <c r="ES18" i="67" s="1"/>
  <c r="CT17" i="61"/>
  <c r="DC17" i="61"/>
  <c r="CS16" i="61"/>
  <c r="DB16" i="61"/>
  <c r="CU10" i="61"/>
  <c r="DD10" i="61"/>
  <c r="ES10" i="67" s="1"/>
  <c r="CT9" i="61"/>
  <c r="DC9" i="61"/>
  <c r="DA161" i="61"/>
  <c r="CZ158" i="61"/>
  <c r="DA148" i="61"/>
  <c r="CZ143" i="61"/>
  <c r="DA136" i="61"/>
  <c r="DD132" i="61"/>
  <c r="ES128" i="67" s="1"/>
  <c r="DC107" i="61"/>
  <c r="DB35" i="61"/>
  <c r="CV161" i="61"/>
  <c r="CS158" i="61"/>
  <c r="DB158" i="61"/>
  <c r="CV153" i="61"/>
  <c r="CT151" i="61"/>
  <c r="DC151" i="61"/>
  <c r="CQ148" i="61"/>
  <c r="CZ148" i="61"/>
  <c r="CV144" i="61"/>
  <c r="CU143" i="61"/>
  <c r="DD143" i="61"/>
  <c r="ES139" i="67" s="1"/>
  <c r="CT142" i="61"/>
  <c r="DC142" i="61"/>
  <c r="CU135" i="61"/>
  <c r="DD135" i="61"/>
  <c r="ES131" i="67" s="1"/>
  <c r="CS133" i="61"/>
  <c r="DB133" i="61"/>
  <c r="CR132" i="61"/>
  <c r="DA132" i="61"/>
  <c r="CP130" i="61"/>
  <c r="CY130" i="61"/>
  <c r="CU127" i="61"/>
  <c r="DD127" i="61"/>
  <c r="ES123" i="67" s="1"/>
  <c r="CQ123" i="61"/>
  <c r="CZ123" i="61"/>
  <c r="CV120" i="61"/>
  <c r="CU119" i="61"/>
  <c r="DD119" i="61"/>
  <c r="ES115" i="67" s="1"/>
  <c r="CT118" i="61"/>
  <c r="DC118" i="61"/>
  <c r="CS117" i="61"/>
  <c r="DB117" i="61"/>
  <c r="CQ115" i="61"/>
  <c r="CZ115" i="61"/>
  <c r="CU111" i="61"/>
  <c r="DD111" i="61"/>
  <c r="ES107" i="67" s="1"/>
  <c r="CQ107" i="61"/>
  <c r="CZ107" i="61"/>
  <c r="CV104" i="61"/>
  <c r="CQ98" i="61"/>
  <c r="CZ98" i="61"/>
  <c r="CV95" i="61"/>
  <c r="CU94" i="61"/>
  <c r="DD94" i="61"/>
  <c r="ES91" i="67" s="1"/>
  <c r="CT93" i="61"/>
  <c r="DC93" i="61"/>
  <c r="CS92" i="61"/>
  <c r="DB92" i="61"/>
  <c r="CR90" i="61"/>
  <c r="DA90" i="61"/>
  <c r="CP88" i="61"/>
  <c r="CY88" i="61"/>
  <c r="CV86" i="61"/>
  <c r="CR82" i="61"/>
  <c r="DA82" i="61"/>
  <c r="CQ81" i="61"/>
  <c r="CZ81" i="61"/>
  <c r="CU77" i="61"/>
  <c r="DD77" i="61"/>
  <c r="ES75" i="67" s="1"/>
  <c r="CQ73" i="61"/>
  <c r="CZ73" i="61"/>
  <c r="CV70" i="61"/>
  <c r="CR66" i="61"/>
  <c r="DA66" i="61"/>
  <c r="CQ65" i="61"/>
  <c r="CZ65" i="61"/>
  <c r="CV62" i="61"/>
  <c r="CS59" i="61"/>
  <c r="DB59" i="61"/>
  <c r="CU53" i="61"/>
  <c r="DD53" i="61"/>
  <c r="ES51" i="67" s="1"/>
  <c r="CP48" i="61"/>
  <c r="CY48" i="61"/>
  <c r="CU45" i="61"/>
  <c r="DD45" i="61"/>
  <c r="ES43" i="67" s="1"/>
  <c r="CS43" i="61"/>
  <c r="DB43" i="61"/>
  <c r="CQ41" i="61"/>
  <c r="CZ41" i="61"/>
  <c r="CT36" i="61"/>
  <c r="DC36" i="61"/>
  <c r="CQ33" i="61"/>
  <c r="CZ33" i="61"/>
  <c r="CV28" i="61"/>
  <c r="CU27" i="61"/>
  <c r="DD27" i="61"/>
  <c r="ES27" i="67" s="1"/>
  <c r="CS25" i="61"/>
  <c r="DB25" i="61"/>
  <c r="CR24" i="61"/>
  <c r="DA24" i="61"/>
  <c r="CV20" i="61"/>
  <c r="CT18" i="61"/>
  <c r="DC18" i="61"/>
  <c r="CS17" i="61"/>
  <c r="DB17" i="61"/>
  <c r="CR16" i="61"/>
  <c r="DA16" i="61"/>
  <c r="CV12" i="61"/>
  <c r="CT10" i="61"/>
  <c r="DC10" i="61"/>
  <c r="CS9" i="61"/>
  <c r="DB9" i="61"/>
  <c r="CZ165" i="61"/>
  <c r="CY151" i="61"/>
  <c r="DB132" i="61"/>
  <c r="CY56" i="61"/>
  <c r="CZ28" i="61"/>
  <c r="CT27" i="61"/>
  <c r="DC27" i="61"/>
  <c r="CR25" i="61"/>
  <c r="DA25" i="61"/>
  <c r="CQ24" i="61"/>
  <c r="CZ24" i="61"/>
  <c r="CV21" i="61"/>
  <c r="CU20" i="61"/>
  <c r="DD20" i="61"/>
  <c r="ES20" i="67" s="1"/>
  <c r="CS18" i="61"/>
  <c r="DB18" i="61"/>
  <c r="CR17" i="61"/>
  <c r="DA17" i="61"/>
  <c r="CQ16" i="61"/>
  <c r="CZ16" i="61"/>
  <c r="CU12" i="61"/>
  <c r="DD12" i="61"/>
  <c r="ES12" i="67" s="1"/>
  <c r="CS10" i="61"/>
  <c r="DB10" i="61"/>
  <c r="CR9" i="61"/>
  <c r="DA9" i="61"/>
  <c r="CZ147" i="61"/>
  <c r="CY142" i="61"/>
  <c r="DD123" i="61"/>
  <c r="ES119" i="67" s="1"/>
  <c r="CZ104" i="61"/>
  <c r="CY95" i="61"/>
  <c r="DB83" i="61"/>
  <c r="DB51" i="61"/>
  <c r="CV172" i="61"/>
  <c r="CT170" i="61"/>
  <c r="DC170" i="61"/>
  <c r="CP166" i="61"/>
  <c r="CY166" i="61"/>
  <c r="CV164" i="61"/>
  <c r="CR151" i="61"/>
  <c r="DA151" i="61"/>
  <c r="CU146" i="61"/>
  <c r="DD146" i="61"/>
  <c r="ES141" i="67" s="1"/>
  <c r="CT144" i="61"/>
  <c r="DC144" i="61"/>
  <c r="CS143" i="61"/>
  <c r="DB143" i="61"/>
  <c r="CR142" i="61"/>
  <c r="DA142" i="61"/>
  <c r="CP140" i="61"/>
  <c r="CY140" i="61"/>
  <c r="CV138" i="61"/>
  <c r="CU137" i="61"/>
  <c r="DD137" i="61"/>
  <c r="ES133" i="67" s="1"/>
  <c r="CT136" i="61"/>
  <c r="DC136" i="61"/>
  <c r="CS135" i="61"/>
  <c r="DB135" i="61"/>
  <c r="CQ133" i="61"/>
  <c r="CZ133" i="61"/>
  <c r="CP132" i="61"/>
  <c r="CY132" i="61"/>
  <c r="CV130" i="61"/>
  <c r="CU129" i="61"/>
  <c r="DD129" i="61"/>
  <c r="ES125" i="67" s="1"/>
  <c r="CU121" i="61"/>
  <c r="DD121" i="61"/>
  <c r="ES117" i="67" s="1"/>
  <c r="CS119" i="61"/>
  <c r="DB119" i="61"/>
  <c r="CQ117" i="61"/>
  <c r="CZ117" i="61"/>
  <c r="CR110" i="61"/>
  <c r="DA110" i="61"/>
  <c r="CU105" i="61"/>
  <c r="DD105" i="61"/>
  <c r="ES101" i="67" s="1"/>
  <c r="CT104" i="61"/>
  <c r="DC104" i="61"/>
  <c r="CT95" i="61"/>
  <c r="DC95" i="61"/>
  <c r="CS94" i="61"/>
  <c r="DB94" i="61"/>
  <c r="CR93" i="61"/>
  <c r="DA93" i="61"/>
  <c r="CQ92" i="61"/>
  <c r="CZ92" i="61"/>
  <c r="CV88" i="61"/>
  <c r="CU87" i="61"/>
  <c r="DD87" i="61"/>
  <c r="ES85" i="67" s="1"/>
  <c r="CT86" i="61"/>
  <c r="DC86" i="61"/>
  <c r="CQ83" i="61"/>
  <c r="CZ83" i="61"/>
  <c r="CP82" i="61"/>
  <c r="CY82" i="61"/>
  <c r="CS77" i="61"/>
  <c r="DB77" i="61"/>
  <c r="CU71" i="61"/>
  <c r="DD71" i="61"/>
  <c r="ES69" i="67" s="1"/>
  <c r="CT70" i="61"/>
  <c r="DC70" i="61"/>
  <c r="CP66" i="61"/>
  <c r="CY66" i="61"/>
  <c r="CT62" i="61"/>
  <c r="DC62" i="61"/>
  <c r="CQ59" i="61"/>
  <c r="CZ59" i="61"/>
  <c r="CP58" i="61"/>
  <c r="CY58" i="61"/>
  <c r="CU55" i="61"/>
  <c r="DD55" i="61"/>
  <c r="ES53" i="67" s="1"/>
  <c r="CS53" i="61"/>
  <c r="DB53" i="61"/>
  <c r="CQ51" i="61"/>
  <c r="CZ51" i="61"/>
  <c r="CV48" i="61"/>
  <c r="CU47" i="61"/>
  <c r="DD47" i="61"/>
  <c r="ES45" i="67" s="1"/>
  <c r="CS45" i="61"/>
  <c r="DB45" i="61"/>
  <c r="CQ43" i="61"/>
  <c r="CZ43" i="61"/>
  <c r="CR36" i="61"/>
  <c r="DA36" i="61"/>
  <c r="CQ35" i="61"/>
  <c r="CZ35" i="61"/>
  <c r="CT28" i="61"/>
  <c r="DC28" i="61"/>
  <c r="CS27" i="61"/>
  <c r="DB27" i="61"/>
  <c r="CQ25" i="61"/>
  <c r="CZ25" i="61"/>
  <c r="CP24" i="61"/>
  <c r="CY24" i="61"/>
  <c r="CR18" i="61"/>
  <c r="DA18" i="61"/>
  <c r="CQ17" i="61"/>
  <c r="CZ17" i="61"/>
  <c r="CP16" i="61"/>
  <c r="CY16" i="61"/>
  <c r="CT12" i="61"/>
  <c r="DC12" i="61"/>
  <c r="CR10" i="61"/>
  <c r="DA10" i="61"/>
  <c r="CQ9" i="61"/>
  <c r="CZ9" i="61"/>
  <c r="DA175" i="61"/>
  <c r="DC153" i="61"/>
  <c r="CY147" i="61"/>
  <c r="CZ138" i="61"/>
  <c r="CY135" i="61"/>
  <c r="CY104" i="61"/>
  <c r="DC92" i="61"/>
  <c r="DD21" i="61"/>
  <c r="ES21" i="67" s="1"/>
  <c r="CN178" i="61"/>
  <c r="CN170" i="61"/>
  <c r="CN138" i="61"/>
  <c r="CN130" i="61"/>
  <c r="CN98" i="61"/>
  <c r="CN115" i="61"/>
  <c r="CN107" i="61"/>
  <c r="CN132" i="61"/>
  <c r="CN179" i="61"/>
  <c r="CN147" i="61"/>
  <c r="CN123" i="61"/>
  <c r="CN164" i="61"/>
  <c r="CN140" i="61"/>
  <c r="CN189" i="61"/>
  <c r="CN181" i="61"/>
  <c r="CN165" i="61"/>
  <c r="CN133" i="61"/>
  <c r="CN182" i="61"/>
  <c r="CN166" i="61"/>
  <c r="CN158" i="61"/>
  <c r="CN142" i="61"/>
  <c r="CN118" i="61"/>
  <c r="CN94" i="61"/>
  <c r="CN86" i="61"/>
  <c r="CN70" i="61"/>
  <c r="CN62" i="61"/>
  <c r="CN207" i="61"/>
  <c r="CN183" i="61"/>
  <c r="CN175" i="61"/>
  <c r="CN151" i="61"/>
  <c r="CN143" i="61"/>
  <c r="CN135" i="61"/>
  <c r="CN127" i="61"/>
  <c r="CN119" i="61"/>
  <c r="CN111" i="61"/>
  <c r="CN95" i="61"/>
  <c r="CN200" i="61"/>
  <c r="CN192" i="61"/>
  <c r="CN184" i="61"/>
  <c r="CN136" i="61"/>
  <c r="CN120" i="61"/>
  <c r="CN104" i="61"/>
  <c r="CN193" i="61"/>
  <c r="CN185" i="61"/>
  <c r="CN161" i="61"/>
  <c r="CN153" i="61"/>
  <c r="CN137" i="61"/>
  <c r="CN129" i="61"/>
  <c r="CN121" i="61"/>
  <c r="CN105" i="61"/>
  <c r="CN9" i="61"/>
  <c r="CN10" i="61"/>
  <c r="CN12" i="61"/>
  <c r="CN87" i="61"/>
  <c r="CN71" i="61"/>
  <c r="CN55" i="61"/>
  <c r="CN47" i="61"/>
  <c r="CN88" i="61"/>
  <c r="CN48" i="61"/>
  <c r="CN24" i="61"/>
  <c r="CN81" i="61"/>
  <c r="CN73" i="61"/>
  <c r="CN65" i="61"/>
  <c r="CN41" i="61"/>
  <c r="CN33" i="61"/>
  <c r="CN25" i="61"/>
  <c r="CN90" i="61"/>
  <c r="CN58" i="61"/>
  <c r="CN18" i="61"/>
  <c r="CN83" i="61"/>
  <c r="CN59" i="61"/>
  <c r="CN51" i="61"/>
  <c r="CN43" i="61"/>
  <c r="CN35" i="61"/>
  <c r="CN27" i="61"/>
  <c r="CN92" i="61"/>
  <c r="CN20" i="61"/>
  <c r="CN93" i="61"/>
  <c r="CN77" i="61"/>
  <c r="CN53" i="61"/>
  <c r="CN45" i="61"/>
  <c r="CN21" i="61"/>
  <c r="CN17" i="61"/>
  <c r="EC169" i="61"/>
  <c r="EC29" i="61"/>
  <c r="EC57" i="61"/>
  <c r="EC103" i="61"/>
  <c r="EC203" i="61"/>
  <c r="EC68" i="61"/>
  <c r="EC89" i="61"/>
  <c r="EC156" i="61"/>
  <c r="EC60" i="61"/>
  <c r="EC78" i="61"/>
  <c r="EC11" i="61"/>
  <c r="EC109" i="61"/>
  <c r="EC174" i="61"/>
  <c r="EC206" i="61"/>
  <c r="EC69" i="61"/>
  <c r="EC61" i="61"/>
  <c r="EC75" i="61"/>
  <c r="EC188" i="61"/>
  <c r="EC22" i="61"/>
  <c r="EC52" i="61"/>
  <c r="EC191" i="61"/>
  <c r="EC114" i="61"/>
  <c r="EC34" i="61"/>
  <c r="EC99" i="61"/>
  <c r="EC180" i="61"/>
  <c r="EC187" i="61"/>
  <c r="EC113" i="61"/>
  <c r="EC157" i="61"/>
  <c r="EC176" i="61"/>
  <c r="EC76" i="61"/>
  <c r="EC26" i="61"/>
  <c r="EC37" i="61"/>
  <c r="EC46" i="61"/>
  <c r="EC49" i="61"/>
  <c r="EC13" i="61"/>
  <c r="EC108" i="61"/>
  <c r="EC64" i="61"/>
  <c r="EC67" i="61"/>
  <c r="EC152" i="61"/>
  <c r="EC79" i="61"/>
  <c r="EC85" i="61"/>
  <c r="EC97" i="61"/>
  <c r="EC195" i="61"/>
  <c r="EC106" i="61"/>
  <c r="EC112" i="61"/>
  <c r="EC116" i="61"/>
  <c r="EC141" i="61"/>
  <c r="EC44" i="61"/>
  <c r="EC171" i="61"/>
  <c r="EC167" i="61"/>
  <c r="EC168" i="61"/>
  <c r="EC19" i="61"/>
  <c r="EC155" i="61"/>
  <c r="EC38" i="61"/>
  <c r="EC160" i="61"/>
  <c r="EC15" i="61"/>
  <c r="EC154" i="61"/>
  <c r="EC163" i="61"/>
  <c r="EC23" i="61"/>
  <c r="EC80" i="61"/>
  <c r="EC50" i="61"/>
  <c r="EC96" i="61"/>
  <c r="EC32" i="61"/>
  <c r="EC63" i="61"/>
  <c r="EC159" i="61"/>
  <c r="EC14" i="61"/>
  <c r="EC54" i="61"/>
  <c r="EC39" i="61"/>
  <c r="EC74" i="61"/>
  <c r="EC40" i="61"/>
  <c r="EC102" i="61"/>
  <c r="EC124" i="61"/>
  <c r="EC201" i="61"/>
  <c r="EC101" i="61"/>
  <c r="EC186" i="61"/>
  <c r="EC134" i="61"/>
  <c r="EC126" i="61"/>
  <c r="EC128" i="61"/>
  <c r="EC122" i="61"/>
  <c r="EC131" i="61"/>
  <c r="EC125" i="61"/>
  <c r="EC72" i="61"/>
  <c r="EC139" i="61"/>
  <c r="EC42" i="61"/>
  <c r="EC150" i="61"/>
  <c r="EC149" i="61"/>
  <c r="EC84" i="61"/>
  <c r="EC194" i="61"/>
  <c r="EC177" i="61"/>
  <c r="EC196" i="61"/>
  <c r="CY194" i="61" l="1"/>
  <c r="CW189" i="61"/>
  <c r="CW94" i="61"/>
  <c r="CW153" i="61"/>
  <c r="CW24" i="61"/>
  <c r="CW66" i="61"/>
  <c r="CW17" i="61"/>
  <c r="CW51" i="61"/>
  <c r="CW133" i="61"/>
  <c r="CW138" i="61"/>
  <c r="CW158" i="61"/>
  <c r="CW55" i="61"/>
  <c r="CW107" i="61"/>
  <c r="CW142" i="61"/>
  <c r="CW136" i="61"/>
  <c r="CW170" i="61"/>
  <c r="CW183" i="61"/>
  <c r="CW193" i="61"/>
  <c r="CW181" i="61"/>
  <c r="CW132" i="61"/>
  <c r="CV149" i="61"/>
  <c r="CW9" i="61"/>
  <c r="CW59" i="61"/>
  <c r="CW93" i="61"/>
  <c r="CW121" i="61"/>
  <c r="CW144" i="61"/>
  <c r="CW166" i="61"/>
  <c r="CW18" i="61"/>
  <c r="CW12" i="61"/>
  <c r="CW20" i="61"/>
  <c r="CW28" i="61"/>
  <c r="CW41" i="61"/>
  <c r="CW105" i="61"/>
  <c r="CW117" i="61"/>
  <c r="CW137" i="61"/>
  <c r="CW147" i="61"/>
  <c r="CW172" i="61"/>
  <c r="CW110" i="61"/>
  <c r="CW130" i="61"/>
  <c r="CW140" i="61"/>
  <c r="CW148" i="61"/>
  <c r="CW165" i="61"/>
  <c r="CW179" i="61"/>
  <c r="CW185" i="61"/>
  <c r="CW207" i="61"/>
  <c r="CW90" i="61"/>
  <c r="CV194" i="61"/>
  <c r="CT177" i="61"/>
  <c r="CV84" i="61"/>
  <c r="CW48" i="61"/>
  <c r="CW65" i="61"/>
  <c r="CW118" i="61"/>
  <c r="CW127" i="61"/>
  <c r="CW135" i="61"/>
  <c r="CW35" i="61"/>
  <c r="CW45" i="61"/>
  <c r="CW53" i="61"/>
  <c r="CW73" i="61"/>
  <c r="CW164" i="61"/>
  <c r="CW27" i="61"/>
  <c r="CW77" i="61"/>
  <c r="CW86" i="61"/>
  <c r="CW111" i="61"/>
  <c r="CW120" i="61"/>
  <c r="CW43" i="61"/>
  <c r="CW71" i="61"/>
  <c r="CW182" i="61"/>
  <c r="CW192" i="61"/>
  <c r="CW82" i="61"/>
  <c r="CW62" i="61"/>
  <c r="CW115" i="61"/>
  <c r="CW16" i="61"/>
  <c r="CW25" i="61"/>
  <c r="CW58" i="61"/>
  <c r="CW70" i="61"/>
  <c r="CW83" i="61"/>
  <c r="CW92" i="61"/>
  <c r="CW104" i="61"/>
  <c r="CW143" i="61"/>
  <c r="CW81" i="61"/>
  <c r="CW87" i="61"/>
  <c r="CW123" i="61"/>
  <c r="CW146" i="61"/>
  <c r="CW161" i="61"/>
  <c r="CW10" i="61"/>
  <c r="CW21" i="61"/>
  <c r="CW33" i="61"/>
  <c r="CW47" i="61"/>
  <c r="CW56" i="61"/>
  <c r="CW88" i="61"/>
  <c r="CW95" i="61"/>
  <c r="CW119" i="61"/>
  <c r="CW129" i="61"/>
  <c r="CW175" i="61"/>
  <c r="CW98" i="61"/>
  <c r="CW151" i="61"/>
  <c r="CW178" i="61"/>
  <c r="CW184" i="61"/>
  <c r="CW200" i="61"/>
  <c r="CP177" i="61"/>
  <c r="CY177" i="61"/>
  <c r="CS84" i="61"/>
  <c r="DB84" i="61"/>
  <c r="CU50" i="61"/>
  <c r="DD50" i="61"/>
  <c r="ES48" i="67" s="1"/>
  <c r="CU38" i="61"/>
  <c r="DD38" i="61"/>
  <c r="ES36" i="67" s="1"/>
  <c r="CU171" i="61"/>
  <c r="DD171" i="61"/>
  <c r="ES175" i="67" s="1"/>
  <c r="CU116" i="61"/>
  <c r="DD116" i="61"/>
  <c r="ES112" i="67" s="1"/>
  <c r="CU85" i="61"/>
  <c r="DD85" i="61"/>
  <c r="ES83" i="67" s="1"/>
  <c r="CU176" i="61"/>
  <c r="DD176" i="61"/>
  <c r="ES163" i="67" s="1"/>
  <c r="CU114" i="61"/>
  <c r="DD114" i="61"/>
  <c r="ES110" i="67" s="1"/>
  <c r="CU69" i="61"/>
  <c r="DD69" i="61"/>
  <c r="ES67" i="67" s="1"/>
  <c r="CU89" i="61"/>
  <c r="DD89" i="61"/>
  <c r="ES87" i="67" s="1"/>
  <c r="CS149" i="61"/>
  <c r="DB149" i="61"/>
  <c r="CU125" i="61"/>
  <c r="DD125" i="61"/>
  <c r="ES121" i="67" s="1"/>
  <c r="CU186" i="61"/>
  <c r="DD186" i="61"/>
  <c r="ES173" i="67" s="1"/>
  <c r="CU63" i="61"/>
  <c r="DD63" i="61"/>
  <c r="ES61" i="67" s="1"/>
  <c r="CU23" i="61"/>
  <c r="DD23" i="61"/>
  <c r="ES23" i="67" s="1"/>
  <c r="CU155" i="61"/>
  <c r="DD155" i="61"/>
  <c r="ES150" i="67" s="1"/>
  <c r="CU152" i="61"/>
  <c r="DD152" i="61"/>
  <c r="ES147" i="67" s="1"/>
  <c r="CU64" i="61"/>
  <c r="DD64" i="61"/>
  <c r="ES62" i="67" s="1"/>
  <c r="CU157" i="61"/>
  <c r="DD157" i="61"/>
  <c r="ES152" i="67" s="1"/>
  <c r="CU191" i="61"/>
  <c r="DD191" i="61"/>
  <c r="ES179" i="67" s="1"/>
  <c r="CU206" i="61"/>
  <c r="DD206" i="61"/>
  <c r="ES188" i="67" s="1"/>
  <c r="CU68" i="61"/>
  <c r="DD68" i="61"/>
  <c r="ES66" i="67" s="1"/>
  <c r="CU84" i="61"/>
  <c r="DD84" i="61"/>
  <c r="ES82" i="67" s="1"/>
  <c r="CU131" i="61"/>
  <c r="DD131" i="61"/>
  <c r="ES127" i="67" s="1"/>
  <c r="CU32" i="61"/>
  <c r="DD32" i="61"/>
  <c r="ES30" i="67" s="1"/>
  <c r="CU163" i="61"/>
  <c r="DD163" i="61"/>
  <c r="ES157" i="67" s="1"/>
  <c r="CU174" i="61"/>
  <c r="DD174" i="61"/>
  <c r="ES187" i="67" s="1"/>
  <c r="CU101" i="61"/>
  <c r="DD101" i="61"/>
  <c r="ES97" i="67" s="1"/>
  <c r="CU40" i="61"/>
  <c r="DD40" i="61"/>
  <c r="ES38" i="67" s="1"/>
  <c r="CU39" i="61"/>
  <c r="DD39" i="61"/>
  <c r="ES37" i="67" s="1"/>
  <c r="CU19" i="61"/>
  <c r="DD19" i="61"/>
  <c r="ES19" i="67" s="1"/>
  <c r="CU113" i="61"/>
  <c r="DD113" i="61"/>
  <c r="ES109" i="67" s="1"/>
  <c r="CU8" i="61"/>
  <c r="DD8" i="61"/>
  <c r="ES8" i="67" s="1"/>
  <c r="CU203" i="61"/>
  <c r="DD203" i="61"/>
  <c r="ES186" i="67" s="1"/>
  <c r="CU149" i="61"/>
  <c r="DD149" i="61"/>
  <c r="ES144" i="67" s="1"/>
  <c r="CU42" i="61"/>
  <c r="DD42" i="61"/>
  <c r="ES40" i="67" s="1"/>
  <c r="CU122" i="61"/>
  <c r="DD122" i="61"/>
  <c r="ES118" i="67" s="1"/>
  <c r="CU201" i="61"/>
  <c r="DD201" i="61"/>
  <c r="ES185" i="67" s="1"/>
  <c r="CU74" i="61"/>
  <c r="DD74" i="61"/>
  <c r="ES72" i="67" s="1"/>
  <c r="CU54" i="61"/>
  <c r="DD54" i="61"/>
  <c r="ES52" i="67" s="1"/>
  <c r="CU168" i="61"/>
  <c r="DD168" i="61"/>
  <c r="ES162" i="67" s="1"/>
  <c r="CU112" i="61"/>
  <c r="DD112" i="61"/>
  <c r="ES108" i="67" s="1"/>
  <c r="CU97" i="61"/>
  <c r="DD97" i="61"/>
  <c r="ES94" i="67" s="1"/>
  <c r="CU49" i="61"/>
  <c r="DD49" i="61"/>
  <c r="ES47" i="67" s="1"/>
  <c r="CU26" i="61"/>
  <c r="DD26" i="61"/>
  <c r="ES26" i="67" s="1"/>
  <c r="CU187" i="61"/>
  <c r="DD187" i="61"/>
  <c r="ES174" i="67" s="1"/>
  <c r="CU52" i="61"/>
  <c r="DD52" i="61"/>
  <c r="ES50" i="67" s="1"/>
  <c r="CU109" i="61"/>
  <c r="DD109" i="61"/>
  <c r="ES105" i="67" s="1"/>
  <c r="CU103" i="61"/>
  <c r="DD103" i="61"/>
  <c r="ES99" i="67" s="1"/>
  <c r="CP194" i="61"/>
  <c r="CP84" i="61"/>
  <c r="CY84" i="61"/>
  <c r="CS177" i="61"/>
  <c r="DB177" i="61"/>
  <c r="CU128" i="61"/>
  <c r="DD128" i="61"/>
  <c r="ES124" i="67" s="1"/>
  <c r="CU124" i="61"/>
  <c r="DD124" i="61"/>
  <c r="ES120" i="67" s="1"/>
  <c r="CU154" i="61"/>
  <c r="DD154" i="61"/>
  <c r="ES149" i="67" s="1"/>
  <c r="CU167" i="61"/>
  <c r="DD167" i="61"/>
  <c r="ES161" i="67" s="1"/>
  <c r="CU44" i="61"/>
  <c r="DD44" i="61"/>
  <c r="ES42" i="67" s="1"/>
  <c r="CU108" i="61"/>
  <c r="DD108" i="61"/>
  <c r="ES104" i="67" s="1"/>
  <c r="CU46" i="61"/>
  <c r="DD46" i="61"/>
  <c r="ES44" i="67" s="1"/>
  <c r="CU22" i="61"/>
  <c r="DD22" i="61"/>
  <c r="ES22" i="67" s="1"/>
  <c r="CU11" i="61"/>
  <c r="DD11" i="61"/>
  <c r="ES11" i="67" s="1"/>
  <c r="CU57" i="61"/>
  <c r="DD57" i="61"/>
  <c r="ES55" i="67" s="1"/>
  <c r="CW36" i="61"/>
  <c r="CP149" i="61"/>
  <c r="CY149" i="61"/>
  <c r="CS194" i="61"/>
  <c r="DB194" i="61"/>
  <c r="CU196" i="61"/>
  <c r="DD196" i="61"/>
  <c r="ES183" i="67" s="1"/>
  <c r="CU150" i="61"/>
  <c r="DD150" i="61"/>
  <c r="ES145" i="67" s="1"/>
  <c r="CU139" i="61"/>
  <c r="DD139" i="61"/>
  <c r="ES135" i="67" s="1"/>
  <c r="CU15" i="61"/>
  <c r="DD15" i="61"/>
  <c r="ES15" i="67" s="1"/>
  <c r="CU106" i="61"/>
  <c r="DD106" i="61"/>
  <c r="ES102" i="67" s="1"/>
  <c r="CU67" i="61"/>
  <c r="DD67" i="61"/>
  <c r="ES65" i="67" s="1"/>
  <c r="CU13" i="61"/>
  <c r="DD13" i="61"/>
  <c r="ES13" i="67" s="1"/>
  <c r="CU180" i="61"/>
  <c r="DD180" i="61"/>
  <c r="ES168" i="67" s="1"/>
  <c r="CU188" i="61"/>
  <c r="DD188" i="61"/>
  <c r="ES177" i="67" s="1"/>
  <c r="CU78" i="61"/>
  <c r="DD78" i="61"/>
  <c r="ES76" i="67" s="1"/>
  <c r="CU29" i="61"/>
  <c r="DD29" i="61"/>
  <c r="ES29" i="67" s="1"/>
  <c r="CT84" i="61"/>
  <c r="DC84" i="61"/>
  <c r="CU177" i="61"/>
  <c r="DD177" i="61"/>
  <c r="ES191" i="67" s="1"/>
  <c r="CU126" i="61"/>
  <c r="DD126" i="61"/>
  <c r="ES122" i="67" s="1"/>
  <c r="CU14" i="61"/>
  <c r="DD14" i="61"/>
  <c r="ES14" i="67" s="1"/>
  <c r="CU96" i="61"/>
  <c r="DD96" i="61"/>
  <c r="ES93" i="67" s="1"/>
  <c r="CU80" i="61"/>
  <c r="DD80" i="61"/>
  <c r="ES78" i="67" s="1"/>
  <c r="CU195" i="61"/>
  <c r="DD195" i="61"/>
  <c r="ES193" i="67" s="1"/>
  <c r="CU79" i="61"/>
  <c r="DD79" i="61"/>
  <c r="ES77" i="67" s="1"/>
  <c r="CU37" i="61"/>
  <c r="DD37" i="61"/>
  <c r="ES35" i="67" s="1"/>
  <c r="CU99" i="61"/>
  <c r="DD99" i="61"/>
  <c r="ES96" i="67" s="1"/>
  <c r="CU75" i="61"/>
  <c r="DD75" i="61"/>
  <c r="ES73" i="67" s="1"/>
  <c r="CU60" i="61"/>
  <c r="DD60" i="61"/>
  <c r="ES58" i="67" s="1"/>
  <c r="CU169" i="61"/>
  <c r="DD169" i="61"/>
  <c r="ES166" i="67" s="1"/>
  <c r="CU194" i="61"/>
  <c r="DD194" i="61"/>
  <c r="ES182" i="67" s="1"/>
  <c r="CU72" i="61"/>
  <c r="DD72" i="61"/>
  <c r="ES70" i="67" s="1"/>
  <c r="CU134" i="61"/>
  <c r="DD134" i="61"/>
  <c r="ES130" i="67" s="1"/>
  <c r="CU102" i="61"/>
  <c r="DD102" i="61"/>
  <c r="ES98" i="67" s="1"/>
  <c r="CU159" i="61"/>
  <c r="DD159" i="61"/>
  <c r="ES154" i="67" s="1"/>
  <c r="CU160" i="61"/>
  <c r="DD160" i="61"/>
  <c r="ES155" i="67" s="1"/>
  <c r="CU141" i="61"/>
  <c r="DD141" i="61"/>
  <c r="ES137" i="67" s="1"/>
  <c r="CU76" i="61"/>
  <c r="DD76" i="61"/>
  <c r="ES74" i="67" s="1"/>
  <c r="CU34" i="61"/>
  <c r="DD34" i="61"/>
  <c r="ES32" i="67" s="1"/>
  <c r="CU61" i="61"/>
  <c r="DD61" i="61"/>
  <c r="ES59" i="67" s="1"/>
  <c r="CU156" i="61"/>
  <c r="DD156" i="61"/>
  <c r="ES151" i="67" s="1"/>
  <c r="ES208" i="67" l="1"/>
  <c r="DC177" i="61"/>
  <c r="CS50" i="61"/>
  <c r="DB50" i="61"/>
  <c r="CS68" i="61"/>
  <c r="DB68" i="61"/>
  <c r="CS63" i="61"/>
  <c r="DB63" i="61"/>
  <c r="CT26" i="61"/>
  <c r="DC26" i="61"/>
  <c r="CT122" i="61"/>
  <c r="DC122" i="61"/>
  <c r="CV39" i="61"/>
  <c r="CS114" i="61"/>
  <c r="DB114" i="61"/>
  <c r="CS171" i="61"/>
  <c r="DB171" i="61"/>
  <c r="CS72" i="61"/>
  <c r="DB72" i="61"/>
  <c r="CV61" i="61"/>
  <c r="CV160" i="61"/>
  <c r="CV72" i="61"/>
  <c r="CP188" i="61"/>
  <c r="CY188" i="61"/>
  <c r="CP176" i="61"/>
  <c r="CY176" i="61"/>
  <c r="CP38" i="61"/>
  <c r="CY38" i="61"/>
  <c r="CV79" i="61"/>
  <c r="CV14" i="61"/>
  <c r="CT8" i="61"/>
  <c r="DC8" i="61"/>
  <c r="CT32" i="61"/>
  <c r="DC32" i="61"/>
  <c r="CT131" i="61"/>
  <c r="DC131" i="61"/>
  <c r="CP22" i="61"/>
  <c r="CY22" i="61"/>
  <c r="CP167" i="61"/>
  <c r="CY167" i="61"/>
  <c r="CV106" i="61"/>
  <c r="CV196" i="61"/>
  <c r="CT157" i="61"/>
  <c r="DC157" i="61"/>
  <c r="CT23" i="61"/>
  <c r="DC23" i="61"/>
  <c r="CP103" i="61"/>
  <c r="CY103" i="61"/>
  <c r="CP26" i="61"/>
  <c r="CY26" i="61"/>
  <c r="CP168" i="61"/>
  <c r="CY168" i="61"/>
  <c r="CP122" i="61"/>
  <c r="CY122" i="61"/>
  <c r="CS99" i="61"/>
  <c r="DB99" i="61"/>
  <c r="CS80" i="61"/>
  <c r="DB80" i="61"/>
  <c r="CV46" i="61"/>
  <c r="CV154" i="61"/>
  <c r="CS188" i="61"/>
  <c r="DB188" i="61"/>
  <c r="CS106" i="61"/>
  <c r="DB106" i="61"/>
  <c r="CS196" i="61"/>
  <c r="DB196" i="61"/>
  <c r="CV187" i="61"/>
  <c r="CV112" i="61"/>
  <c r="CV201" i="61"/>
  <c r="CT34" i="61"/>
  <c r="DC34" i="61"/>
  <c r="CT159" i="61"/>
  <c r="DC159" i="61"/>
  <c r="CT194" i="61"/>
  <c r="DC194" i="61"/>
  <c r="CP125" i="61"/>
  <c r="CY125" i="61"/>
  <c r="CT79" i="61"/>
  <c r="DC79" i="61"/>
  <c r="CS124" i="61"/>
  <c r="DB124" i="61"/>
  <c r="CV131" i="61"/>
  <c r="CT57" i="61"/>
  <c r="DC57" i="61"/>
  <c r="CT108" i="61"/>
  <c r="DC108" i="61"/>
  <c r="CT124" i="61"/>
  <c r="DC124" i="61"/>
  <c r="CP75" i="61"/>
  <c r="CY75" i="61"/>
  <c r="CT37" i="61"/>
  <c r="DC37" i="61"/>
  <c r="CP69" i="61"/>
  <c r="CY69" i="61"/>
  <c r="CT89" i="61"/>
  <c r="DC89" i="61"/>
  <c r="CT85" i="61"/>
  <c r="DC85" i="61"/>
  <c r="CT50" i="61"/>
  <c r="DC50" i="61"/>
  <c r="CP113" i="61"/>
  <c r="CY113" i="61"/>
  <c r="CP39" i="61"/>
  <c r="CY39" i="61"/>
  <c r="CP68" i="61"/>
  <c r="CY68" i="61"/>
  <c r="CS57" i="61"/>
  <c r="DB57" i="61"/>
  <c r="CS108" i="61"/>
  <c r="DB108" i="61"/>
  <c r="CV113" i="61"/>
  <c r="CS187" i="61"/>
  <c r="DB187" i="61"/>
  <c r="CS112" i="61"/>
  <c r="DB112" i="61"/>
  <c r="CS201" i="61"/>
  <c r="DB201" i="61"/>
  <c r="CV157" i="61"/>
  <c r="CV23" i="61"/>
  <c r="CT78" i="61"/>
  <c r="DC78" i="61"/>
  <c r="CT67" i="61"/>
  <c r="DC67" i="61"/>
  <c r="CT150" i="61"/>
  <c r="DC150" i="61"/>
  <c r="CP34" i="61"/>
  <c r="CY34" i="61"/>
  <c r="CP159" i="61"/>
  <c r="CY159" i="61"/>
  <c r="CS174" i="61"/>
  <c r="DB174" i="61"/>
  <c r="CS163" i="61"/>
  <c r="DB163" i="61"/>
  <c r="CS101" i="61"/>
  <c r="DB101" i="61"/>
  <c r="CV69" i="61"/>
  <c r="CV116" i="61"/>
  <c r="CS152" i="61"/>
  <c r="DB152" i="61"/>
  <c r="CT42" i="61"/>
  <c r="DC42" i="61"/>
  <c r="CS176" i="61"/>
  <c r="DB176" i="61"/>
  <c r="CS38" i="61"/>
  <c r="DB38" i="61"/>
  <c r="CV75" i="61"/>
  <c r="CT195" i="61"/>
  <c r="DC195" i="61"/>
  <c r="CS34" i="61"/>
  <c r="DB34" i="61"/>
  <c r="CS159" i="61"/>
  <c r="DB159" i="61"/>
  <c r="CV180" i="61"/>
  <c r="CV34" i="61"/>
  <c r="CV159" i="61"/>
  <c r="CP180" i="61"/>
  <c r="CY180" i="61"/>
  <c r="CP15" i="61"/>
  <c r="CY15" i="61"/>
  <c r="CP85" i="61"/>
  <c r="CY85" i="61"/>
  <c r="CV195" i="61"/>
  <c r="CV126" i="61"/>
  <c r="CT113" i="61"/>
  <c r="DC113" i="61"/>
  <c r="CT39" i="61"/>
  <c r="DC39" i="61"/>
  <c r="CP46" i="61"/>
  <c r="CY46" i="61"/>
  <c r="CP154" i="61"/>
  <c r="CY154" i="61"/>
  <c r="CV15" i="61"/>
  <c r="CT68" i="61"/>
  <c r="DC68" i="61"/>
  <c r="CT64" i="61"/>
  <c r="DC64" i="61"/>
  <c r="CT63" i="61"/>
  <c r="DC63" i="61"/>
  <c r="CP109" i="61"/>
  <c r="CY109" i="61"/>
  <c r="CP49" i="61"/>
  <c r="CY49" i="61"/>
  <c r="CP54" i="61"/>
  <c r="CY54" i="61"/>
  <c r="CP42" i="61"/>
  <c r="CY42" i="61"/>
  <c r="CS169" i="61"/>
  <c r="DB169" i="61"/>
  <c r="CS37" i="61"/>
  <c r="DB37" i="61"/>
  <c r="CS96" i="61"/>
  <c r="DB96" i="61"/>
  <c r="CV57" i="61"/>
  <c r="CV108" i="61"/>
  <c r="CV124" i="61"/>
  <c r="CS180" i="61"/>
  <c r="DB180" i="61"/>
  <c r="CS15" i="61"/>
  <c r="DB15" i="61"/>
  <c r="CV103" i="61"/>
  <c r="CV26" i="61"/>
  <c r="CV168" i="61"/>
  <c r="CV122" i="61"/>
  <c r="CT76" i="61"/>
  <c r="DC76" i="61"/>
  <c r="CT102" i="61"/>
  <c r="DC102" i="61"/>
  <c r="CP63" i="61"/>
  <c r="CY63" i="61"/>
  <c r="CS128" i="61"/>
  <c r="DB128" i="61"/>
  <c r="CT11" i="61"/>
  <c r="DC11" i="61"/>
  <c r="CT44" i="61"/>
  <c r="DC44" i="61"/>
  <c r="CT128" i="61"/>
  <c r="DC128" i="61"/>
  <c r="CP99" i="61"/>
  <c r="CY99" i="61"/>
  <c r="CP79" i="61"/>
  <c r="CY79" i="61"/>
  <c r="CP80" i="61"/>
  <c r="CY80" i="61"/>
  <c r="CP126" i="61"/>
  <c r="CY126" i="61"/>
  <c r="CS206" i="61"/>
  <c r="DB206" i="61"/>
  <c r="CP67" i="61"/>
  <c r="CY67" i="61"/>
  <c r="CS191" i="61"/>
  <c r="DB191" i="61"/>
  <c r="CT149" i="61"/>
  <c r="DC149" i="61"/>
  <c r="CV99" i="61"/>
  <c r="CV29" i="61"/>
  <c r="CS103" i="61"/>
  <c r="DB103" i="61"/>
  <c r="CS26" i="61"/>
  <c r="DB26" i="61"/>
  <c r="CS168" i="61"/>
  <c r="DB168" i="61"/>
  <c r="CS122" i="61"/>
  <c r="DB122" i="61"/>
  <c r="CV68" i="61"/>
  <c r="CV64" i="61"/>
  <c r="CV63" i="61"/>
  <c r="CT188" i="61"/>
  <c r="DC188" i="61"/>
  <c r="CT106" i="61"/>
  <c r="DC106" i="61"/>
  <c r="CT196" i="61"/>
  <c r="DC196" i="61"/>
  <c r="CP76" i="61"/>
  <c r="CY76" i="61"/>
  <c r="CP102" i="61"/>
  <c r="CY102" i="61"/>
  <c r="CS8" i="61"/>
  <c r="DB8" i="61"/>
  <c r="CS32" i="61"/>
  <c r="DB32" i="61"/>
  <c r="CS131" i="61"/>
  <c r="DB131" i="61"/>
  <c r="CV114" i="61"/>
  <c r="CV171" i="61"/>
  <c r="CT54" i="61"/>
  <c r="DC54" i="61"/>
  <c r="CP150" i="61"/>
  <c r="CY150" i="61"/>
  <c r="CT97" i="61"/>
  <c r="DC97" i="61"/>
  <c r="CS85" i="61"/>
  <c r="DB85" i="61"/>
  <c r="CP114" i="61"/>
  <c r="CY114" i="61"/>
  <c r="CT69" i="61"/>
  <c r="DC69" i="61"/>
  <c r="CT116" i="61"/>
  <c r="DC116" i="61"/>
  <c r="CP203" i="61"/>
  <c r="CY203" i="61"/>
  <c r="CP19" i="61"/>
  <c r="CY19" i="61"/>
  <c r="CP40" i="61"/>
  <c r="CY40" i="61"/>
  <c r="CV19" i="61"/>
  <c r="CP206" i="61"/>
  <c r="CY206" i="61"/>
  <c r="CS11" i="61"/>
  <c r="DB11" i="61"/>
  <c r="CS44" i="61"/>
  <c r="DB44" i="61"/>
  <c r="CV163" i="61"/>
  <c r="CV76" i="61"/>
  <c r="CV102" i="61"/>
  <c r="CP29" i="61"/>
  <c r="CY29" i="61"/>
  <c r="CT80" i="61"/>
  <c r="DC80" i="61"/>
  <c r="CP116" i="61"/>
  <c r="CY116" i="61"/>
  <c r="CV80" i="61"/>
  <c r="CV177" i="61"/>
  <c r="CT203" i="61"/>
  <c r="DC203" i="61"/>
  <c r="CT19" i="61"/>
  <c r="DC19" i="61"/>
  <c r="CT40" i="61"/>
  <c r="DC40" i="61"/>
  <c r="CP57" i="61"/>
  <c r="CY57" i="61"/>
  <c r="CP108" i="61"/>
  <c r="CY108" i="61"/>
  <c r="CP124" i="61"/>
  <c r="CY124" i="61"/>
  <c r="CV13" i="61"/>
  <c r="CV139" i="61"/>
  <c r="CT206" i="61"/>
  <c r="DC206" i="61"/>
  <c r="CT152" i="61"/>
  <c r="DC152" i="61"/>
  <c r="CT186" i="61"/>
  <c r="DC186" i="61"/>
  <c r="CP52" i="61"/>
  <c r="CY52" i="61"/>
  <c r="CP97" i="61"/>
  <c r="CY97" i="61"/>
  <c r="CP74" i="61"/>
  <c r="CY74" i="61"/>
  <c r="CS60" i="61"/>
  <c r="DB60" i="61"/>
  <c r="CS79" i="61"/>
  <c r="DB79" i="61"/>
  <c r="CS14" i="61"/>
  <c r="DB14" i="61"/>
  <c r="CV11" i="61"/>
  <c r="CV44" i="61"/>
  <c r="CV128" i="61"/>
  <c r="CS29" i="61"/>
  <c r="DB29" i="61"/>
  <c r="CS13" i="61"/>
  <c r="DB13" i="61"/>
  <c r="CS139" i="61"/>
  <c r="DB139" i="61"/>
  <c r="CV109" i="61"/>
  <c r="CV49" i="61"/>
  <c r="CV54" i="61"/>
  <c r="CV42" i="61"/>
  <c r="CT156" i="61"/>
  <c r="DC156" i="61"/>
  <c r="CT141" i="61"/>
  <c r="DC141" i="61"/>
  <c r="CT134" i="61"/>
  <c r="DC134" i="61"/>
  <c r="CP64" i="61"/>
  <c r="CY64" i="61"/>
  <c r="CT60" i="61"/>
  <c r="DC60" i="61"/>
  <c r="CV8" i="61"/>
  <c r="CT22" i="61"/>
  <c r="DC22" i="61"/>
  <c r="CT167" i="61"/>
  <c r="DC167" i="61"/>
  <c r="CP169" i="61"/>
  <c r="CY169" i="61"/>
  <c r="CP96" i="61"/>
  <c r="CY96" i="61"/>
  <c r="CT49" i="61"/>
  <c r="DC49" i="61"/>
  <c r="CS155" i="61"/>
  <c r="DB155" i="61"/>
  <c r="CT74" i="61"/>
  <c r="DC74" i="61"/>
  <c r="CS76" i="61"/>
  <c r="DB76" i="61"/>
  <c r="CS157" i="61"/>
  <c r="DB157" i="61"/>
  <c r="CP106" i="61"/>
  <c r="CY106" i="61"/>
  <c r="CV203" i="61"/>
  <c r="CS69" i="61"/>
  <c r="DB69" i="61"/>
  <c r="CS116" i="61"/>
  <c r="DB116" i="61"/>
  <c r="CV169" i="61"/>
  <c r="CV37" i="61"/>
  <c r="CS156" i="61"/>
  <c r="DB156" i="61"/>
  <c r="CS141" i="61"/>
  <c r="DB141" i="61"/>
  <c r="CS134" i="61"/>
  <c r="DB134" i="61"/>
  <c r="CV78" i="61"/>
  <c r="CT14" i="61"/>
  <c r="DC14" i="61"/>
  <c r="CT114" i="61"/>
  <c r="DC114" i="61"/>
  <c r="CT171" i="61"/>
  <c r="DC171" i="61"/>
  <c r="CP174" i="61"/>
  <c r="CY174" i="61"/>
  <c r="CP163" i="61"/>
  <c r="CY163" i="61"/>
  <c r="CP101" i="61"/>
  <c r="CY101" i="61"/>
  <c r="CP191" i="61"/>
  <c r="CY191" i="61"/>
  <c r="CP155" i="61"/>
  <c r="CY155" i="61"/>
  <c r="DD208" i="61"/>
  <c r="CS22" i="61"/>
  <c r="DB22" i="61"/>
  <c r="CS154" i="61"/>
  <c r="DB154" i="61"/>
  <c r="CV40" i="61"/>
  <c r="CS109" i="61"/>
  <c r="DB109" i="61"/>
  <c r="CS49" i="61"/>
  <c r="DB49" i="61"/>
  <c r="CS54" i="61"/>
  <c r="DB54" i="61"/>
  <c r="CS42" i="61"/>
  <c r="DB42" i="61"/>
  <c r="CV206" i="61"/>
  <c r="CV152" i="61"/>
  <c r="CV186" i="61"/>
  <c r="CT180" i="61"/>
  <c r="DC180" i="61"/>
  <c r="CT15" i="61"/>
  <c r="DC15" i="61"/>
  <c r="CP156" i="61"/>
  <c r="CY156" i="61"/>
  <c r="CP141" i="61"/>
  <c r="CY141" i="61"/>
  <c r="CP134" i="61"/>
  <c r="CY134" i="61"/>
  <c r="CS113" i="61"/>
  <c r="DB113" i="61"/>
  <c r="CS39" i="61"/>
  <c r="DB39" i="61"/>
  <c r="CV176" i="61"/>
  <c r="CV38" i="61"/>
  <c r="CP37" i="61"/>
  <c r="CY37" i="61"/>
  <c r="CP195" i="61"/>
  <c r="CY195" i="61"/>
  <c r="CP50" i="61"/>
  <c r="CY50" i="61"/>
  <c r="CT109" i="61"/>
  <c r="DC109" i="61"/>
  <c r="CS125" i="61"/>
  <c r="DB125" i="61"/>
  <c r="CT52" i="61"/>
  <c r="DC52" i="61"/>
  <c r="CP196" i="61"/>
  <c r="CY196" i="61"/>
  <c r="CS102" i="61"/>
  <c r="DB102" i="61"/>
  <c r="CT96" i="61"/>
  <c r="DC96" i="61"/>
  <c r="CS23" i="61"/>
  <c r="DB23" i="61"/>
  <c r="CT187" i="61"/>
  <c r="DC187" i="61"/>
  <c r="CT112" i="61"/>
  <c r="DC112" i="61"/>
  <c r="CT201" i="61"/>
  <c r="DC201" i="61"/>
  <c r="CV156" i="61"/>
  <c r="CV141" i="61"/>
  <c r="CV134" i="61"/>
  <c r="CP78" i="61"/>
  <c r="CY78" i="61"/>
  <c r="CP13" i="61"/>
  <c r="CY13" i="61"/>
  <c r="CT126" i="61"/>
  <c r="DC126" i="61"/>
  <c r="CP171" i="61"/>
  <c r="CY171" i="61"/>
  <c r="CV96" i="61"/>
  <c r="CT174" i="61"/>
  <c r="DC174" i="61"/>
  <c r="CT163" i="61"/>
  <c r="DC163" i="61"/>
  <c r="CT101" i="61"/>
  <c r="DC101" i="61"/>
  <c r="CP11" i="61"/>
  <c r="CY11" i="61"/>
  <c r="CP44" i="61"/>
  <c r="CY44" i="61"/>
  <c r="CP128" i="61"/>
  <c r="CY128" i="61"/>
  <c r="CV67" i="61"/>
  <c r="CV150" i="61"/>
  <c r="CT191" i="61"/>
  <c r="DC191" i="61"/>
  <c r="CT155" i="61"/>
  <c r="DC155" i="61"/>
  <c r="CT125" i="61"/>
  <c r="DC125" i="61"/>
  <c r="CP187" i="61"/>
  <c r="CY187" i="61"/>
  <c r="CP112" i="61"/>
  <c r="CY112" i="61"/>
  <c r="CP201" i="61"/>
  <c r="CY201" i="61"/>
  <c r="CS75" i="61"/>
  <c r="DB75" i="61"/>
  <c r="CS195" i="61"/>
  <c r="DB195" i="61"/>
  <c r="CS126" i="61"/>
  <c r="DB126" i="61"/>
  <c r="CV22" i="61"/>
  <c r="CV167" i="61"/>
  <c r="CS78" i="61"/>
  <c r="DB78" i="61"/>
  <c r="CS67" i="61"/>
  <c r="DB67" i="61"/>
  <c r="CS150" i="61"/>
  <c r="DB150" i="61"/>
  <c r="CV52" i="61"/>
  <c r="CV97" i="61"/>
  <c r="CV74" i="61"/>
  <c r="CT61" i="61"/>
  <c r="DC61" i="61"/>
  <c r="CT160" i="61"/>
  <c r="DC160" i="61"/>
  <c r="CT72" i="61"/>
  <c r="DC72" i="61"/>
  <c r="CP152" i="61"/>
  <c r="CY152" i="61"/>
  <c r="CP186" i="61"/>
  <c r="CY186" i="61"/>
  <c r="CU208" i="61"/>
  <c r="CT75" i="61"/>
  <c r="DC75" i="61"/>
  <c r="CS167" i="61"/>
  <c r="DB167" i="61"/>
  <c r="CV32" i="61"/>
  <c r="CT46" i="61"/>
  <c r="DC46" i="61"/>
  <c r="CT154" i="61"/>
  <c r="DC154" i="61"/>
  <c r="CP60" i="61"/>
  <c r="CY60" i="61"/>
  <c r="CY14" i="61"/>
  <c r="CP14" i="61"/>
  <c r="CS186" i="61"/>
  <c r="DB186" i="61"/>
  <c r="CS89" i="61"/>
  <c r="DB89" i="61"/>
  <c r="CS64" i="61"/>
  <c r="DB64" i="61"/>
  <c r="CT103" i="61"/>
  <c r="DC103" i="61"/>
  <c r="CT168" i="61"/>
  <c r="DC168" i="61"/>
  <c r="CP139" i="61"/>
  <c r="CY139" i="61"/>
  <c r="CV60" i="61"/>
  <c r="CS61" i="61"/>
  <c r="DB61" i="61"/>
  <c r="CS160" i="61"/>
  <c r="DB160" i="61"/>
  <c r="CV188" i="61"/>
  <c r="CT99" i="61"/>
  <c r="DC99" i="61"/>
  <c r="CP89" i="61"/>
  <c r="CY89" i="61"/>
  <c r="CT176" i="61"/>
  <c r="DC176" i="61"/>
  <c r="CT38" i="61"/>
  <c r="DC38" i="61"/>
  <c r="CP8" i="61"/>
  <c r="CY8" i="61"/>
  <c r="CP32" i="61"/>
  <c r="CY32" i="61"/>
  <c r="CP131" i="61"/>
  <c r="CY131" i="61"/>
  <c r="CT169" i="61"/>
  <c r="DC169" i="61"/>
  <c r="CP157" i="61"/>
  <c r="CY157" i="61"/>
  <c r="CP23" i="61"/>
  <c r="CY23" i="61"/>
  <c r="CS46" i="61"/>
  <c r="DB46" i="61"/>
  <c r="CV174" i="61"/>
  <c r="CV101" i="61"/>
  <c r="CS52" i="61"/>
  <c r="DB52" i="61"/>
  <c r="CS97" i="61"/>
  <c r="DB97" i="61"/>
  <c r="CS74" i="61"/>
  <c r="DB74" i="61"/>
  <c r="CV191" i="61"/>
  <c r="CV155" i="61"/>
  <c r="CV125" i="61"/>
  <c r="CT29" i="61"/>
  <c r="DC29" i="61"/>
  <c r="CT13" i="61"/>
  <c r="DC13" i="61"/>
  <c r="CT139" i="61"/>
  <c r="DC139" i="61"/>
  <c r="CP61" i="61"/>
  <c r="CY61" i="61"/>
  <c r="CP160" i="61"/>
  <c r="CY160" i="61"/>
  <c r="CP72" i="61"/>
  <c r="CY72" i="61"/>
  <c r="CS203" i="61"/>
  <c r="DB203" i="61"/>
  <c r="CS19" i="61"/>
  <c r="DB19" i="61"/>
  <c r="CS40" i="61"/>
  <c r="DB40" i="61"/>
  <c r="CV89" i="61"/>
  <c r="CV85" i="61"/>
  <c r="CV50" i="61"/>
  <c r="CP208" i="61" l="1"/>
  <c r="DB208" i="61"/>
  <c r="CS208" i="61"/>
  <c r="DC208" i="61"/>
  <c r="CV208" i="61"/>
  <c r="CT208" i="61"/>
  <c r="CY208" i="61"/>
  <c r="D64" i="11"/>
  <c r="ET9" i="67"/>
  <c r="ET10" i="67"/>
  <c r="ET11" i="67"/>
  <c r="ET12" i="67"/>
  <c r="ET13" i="67"/>
  <c r="ET14" i="67"/>
  <c r="ET15" i="67"/>
  <c r="ET16" i="67"/>
  <c r="ET17" i="67"/>
  <c r="ET18" i="67"/>
  <c r="ET19" i="67"/>
  <c r="ET20" i="67"/>
  <c r="ET21" i="67"/>
  <c r="ET22" i="67"/>
  <c r="ET23" i="67"/>
  <c r="ET24" i="67"/>
  <c r="ET25" i="67"/>
  <c r="ET26" i="67"/>
  <c r="ET27" i="67"/>
  <c r="ET28" i="67"/>
  <c r="ET29" i="67"/>
  <c r="ET30" i="67"/>
  <c r="ET31" i="67"/>
  <c r="ET32" i="67"/>
  <c r="ET33" i="67"/>
  <c r="ET34" i="67"/>
  <c r="ET35" i="67"/>
  <c r="ET36" i="67"/>
  <c r="ET37" i="67"/>
  <c r="ET38" i="67"/>
  <c r="ET39" i="67"/>
  <c r="ET40" i="67"/>
  <c r="ET41" i="67"/>
  <c r="ET42" i="67"/>
  <c r="ET43" i="67"/>
  <c r="ET44" i="67"/>
  <c r="ET45" i="67"/>
  <c r="ET46" i="67"/>
  <c r="ET47" i="67"/>
  <c r="ET48" i="67"/>
  <c r="ET49" i="67"/>
  <c r="ET50" i="67"/>
  <c r="ET51" i="67"/>
  <c r="ET52" i="67"/>
  <c r="ET53" i="67"/>
  <c r="ET54" i="67"/>
  <c r="ET55" i="67"/>
  <c r="ET56" i="67"/>
  <c r="ET57" i="67"/>
  <c r="ET58" i="67"/>
  <c r="ET59" i="67"/>
  <c r="ET60" i="67"/>
  <c r="ET61" i="67"/>
  <c r="ET62" i="67"/>
  <c r="ET63" i="67"/>
  <c r="ET64" i="67"/>
  <c r="ET65" i="67"/>
  <c r="ET66" i="67"/>
  <c r="ET67" i="67"/>
  <c r="ET68" i="67"/>
  <c r="ET69" i="67"/>
  <c r="ET70" i="67"/>
  <c r="ET71" i="67"/>
  <c r="ET72" i="67"/>
  <c r="ET73" i="67"/>
  <c r="ET74" i="67"/>
  <c r="ET75" i="67"/>
  <c r="ET76" i="67"/>
  <c r="ET77" i="67"/>
  <c r="ET78" i="67"/>
  <c r="ET79" i="67"/>
  <c r="ET80" i="67"/>
  <c r="ET81" i="67"/>
  <c r="ET82" i="67"/>
  <c r="ET83" i="67"/>
  <c r="ET84" i="67"/>
  <c r="ET85" i="67"/>
  <c r="ET86" i="67"/>
  <c r="ET87" i="67"/>
  <c r="ET88" i="67"/>
  <c r="ET89" i="67"/>
  <c r="ET90" i="67"/>
  <c r="ET91" i="67"/>
  <c r="ET92" i="67"/>
  <c r="ET93" i="67"/>
  <c r="ET94" i="67"/>
  <c r="ET95" i="67"/>
  <c r="ET96" i="67"/>
  <c r="ET97" i="67"/>
  <c r="ET98" i="67"/>
  <c r="ET99" i="67"/>
  <c r="ET100" i="67"/>
  <c r="ET101" i="67"/>
  <c r="ET102" i="67"/>
  <c r="ET103" i="67"/>
  <c r="ET104" i="67"/>
  <c r="ET105" i="67"/>
  <c r="ET106" i="67"/>
  <c r="ET107" i="67"/>
  <c r="ET108" i="67"/>
  <c r="ET109" i="67"/>
  <c r="ET110" i="67"/>
  <c r="ET111" i="67"/>
  <c r="ET112" i="67"/>
  <c r="ET113" i="67"/>
  <c r="ET114" i="67"/>
  <c r="ET115" i="67"/>
  <c r="ET116" i="67"/>
  <c r="ET117" i="67"/>
  <c r="ET118" i="67"/>
  <c r="ET119" i="67"/>
  <c r="ET120" i="67"/>
  <c r="ET121" i="67"/>
  <c r="ET122" i="67"/>
  <c r="ET123" i="67"/>
  <c r="ET124" i="67"/>
  <c r="ET125" i="67"/>
  <c r="ET126" i="67"/>
  <c r="ET127" i="67"/>
  <c r="ET128" i="67"/>
  <c r="ET129" i="67"/>
  <c r="ET130" i="67"/>
  <c r="ET131" i="67"/>
  <c r="ET132" i="67"/>
  <c r="ET133" i="67"/>
  <c r="ET134" i="67"/>
  <c r="ET135" i="67"/>
  <c r="ET136" i="67"/>
  <c r="ET137" i="67"/>
  <c r="ET138" i="67"/>
  <c r="ET139" i="67"/>
  <c r="ET140" i="67"/>
  <c r="ET141" i="67"/>
  <c r="ET142" i="67"/>
  <c r="ET143" i="67"/>
  <c r="ET144" i="67"/>
  <c r="ET145" i="67"/>
  <c r="ET146" i="67"/>
  <c r="ET147" i="67"/>
  <c r="ET148" i="67"/>
  <c r="ET149" i="67"/>
  <c r="ET150" i="67"/>
  <c r="ET151" i="67"/>
  <c r="ET152" i="67"/>
  <c r="ET153" i="67"/>
  <c r="ET154" i="67"/>
  <c r="ET155" i="67"/>
  <c r="ET156" i="67"/>
  <c r="ET157" i="67"/>
  <c r="ET158" i="67"/>
  <c r="ET159" i="67"/>
  <c r="ET160" i="67"/>
  <c r="ET161" i="67"/>
  <c r="ET162" i="67"/>
  <c r="ET163" i="67"/>
  <c r="ET164" i="67"/>
  <c r="ET165" i="67"/>
  <c r="ET166" i="67"/>
  <c r="ET167" i="67"/>
  <c r="ET168" i="67"/>
  <c r="ET169" i="67"/>
  <c r="ET170" i="67"/>
  <c r="ET171" i="67"/>
  <c r="ET172" i="67"/>
  <c r="ET173" i="67"/>
  <c r="ET174" i="67"/>
  <c r="ET175" i="67"/>
  <c r="ET176" i="67"/>
  <c r="ET177" i="67"/>
  <c r="ET178" i="67"/>
  <c r="ET179" i="67"/>
  <c r="ET180" i="67"/>
  <c r="ET181" i="67"/>
  <c r="ET182" i="67"/>
  <c r="ET183" i="67"/>
  <c r="ET184" i="67"/>
  <c r="ET185" i="67"/>
  <c r="ET186" i="67"/>
  <c r="ET187" i="67"/>
  <c r="ET188" i="67"/>
  <c r="ET189" i="67"/>
  <c r="ET190" i="67"/>
  <c r="ET191" i="67"/>
  <c r="ET192" i="67"/>
  <c r="ET193" i="67"/>
  <c r="ET8" i="67"/>
  <c r="EE9" i="67"/>
  <c r="EE10" i="67"/>
  <c r="EE11" i="67"/>
  <c r="EE12" i="67"/>
  <c r="EE13" i="67"/>
  <c r="EE14" i="67"/>
  <c r="EE15" i="67"/>
  <c r="EE16" i="67"/>
  <c r="EE17" i="67"/>
  <c r="EE18" i="67"/>
  <c r="EE19" i="67"/>
  <c r="EE20" i="67"/>
  <c r="EE21" i="67"/>
  <c r="EE22" i="67"/>
  <c r="EE23" i="67"/>
  <c r="EE24" i="67"/>
  <c r="EE25" i="67"/>
  <c r="EE26" i="67"/>
  <c r="EE27" i="67"/>
  <c r="EE28" i="67"/>
  <c r="EE29" i="67"/>
  <c r="EE30" i="67"/>
  <c r="EE31" i="67"/>
  <c r="EE32" i="67"/>
  <c r="EE33" i="67"/>
  <c r="EE34" i="67"/>
  <c r="EE35" i="67"/>
  <c r="EE36" i="67"/>
  <c r="EE37" i="67"/>
  <c r="EE38" i="67"/>
  <c r="EE39" i="67"/>
  <c r="EE40" i="67"/>
  <c r="EE41" i="67"/>
  <c r="EE42" i="67"/>
  <c r="EE43" i="67"/>
  <c r="EE44" i="67"/>
  <c r="EE45" i="67"/>
  <c r="EE46" i="67"/>
  <c r="EE47" i="67"/>
  <c r="EE48" i="67"/>
  <c r="EE49" i="67"/>
  <c r="EE50" i="67"/>
  <c r="EE51" i="67"/>
  <c r="EE52" i="67"/>
  <c r="EE53" i="67"/>
  <c r="EE54" i="67"/>
  <c r="EE55" i="67"/>
  <c r="EE56" i="67"/>
  <c r="EE57" i="67"/>
  <c r="EE58" i="67"/>
  <c r="EE59" i="67"/>
  <c r="EE60" i="67"/>
  <c r="EE61" i="67"/>
  <c r="EE62" i="67"/>
  <c r="EE63" i="67"/>
  <c r="EE64" i="67"/>
  <c r="EE65" i="67"/>
  <c r="EE66" i="67"/>
  <c r="EE67" i="67"/>
  <c r="EE68" i="67"/>
  <c r="EE69" i="67"/>
  <c r="EE70" i="67"/>
  <c r="EE71" i="67"/>
  <c r="EE72" i="67"/>
  <c r="EE73" i="67"/>
  <c r="EE74" i="67"/>
  <c r="EE75" i="67"/>
  <c r="EE76" i="67"/>
  <c r="EE77" i="67"/>
  <c r="EE78" i="67"/>
  <c r="EE79" i="67"/>
  <c r="EE80" i="67"/>
  <c r="EE81" i="67"/>
  <c r="EE82" i="67"/>
  <c r="EE83" i="67"/>
  <c r="EE84" i="67"/>
  <c r="EE85" i="67"/>
  <c r="EE86" i="67"/>
  <c r="EE87" i="67"/>
  <c r="EE88" i="67"/>
  <c r="EE89" i="67"/>
  <c r="EE90" i="67"/>
  <c r="EE91" i="67"/>
  <c r="EE92" i="67"/>
  <c r="EE93" i="67"/>
  <c r="EE94" i="67"/>
  <c r="EE95" i="67"/>
  <c r="EE96" i="67"/>
  <c r="EE97" i="67"/>
  <c r="EE98" i="67"/>
  <c r="EE99" i="67"/>
  <c r="EE100" i="67"/>
  <c r="EE101" i="67"/>
  <c r="EE102" i="67"/>
  <c r="EE103" i="67"/>
  <c r="EE104" i="67"/>
  <c r="EE105" i="67"/>
  <c r="EE106" i="67"/>
  <c r="EE107" i="67"/>
  <c r="EE108" i="67"/>
  <c r="EE109" i="67"/>
  <c r="EE110" i="67"/>
  <c r="EE111" i="67"/>
  <c r="EE112" i="67"/>
  <c r="EE113" i="67"/>
  <c r="EE114" i="67"/>
  <c r="EE115" i="67"/>
  <c r="EE116" i="67"/>
  <c r="EE117" i="67"/>
  <c r="EE118" i="67"/>
  <c r="EE119" i="67"/>
  <c r="EE120" i="67"/>
  <c r="EE121" i="67"/>
  <c r="EE122" i="67"/>
  <c r="EE123" i="67"/>
  <c r="EE124" i="67"/>
  <c r="EE125" i="67"/>
  <c r="EE126" i="67"/>
  <c r="EE127" i="67"/>
  <c r="EE128" i="67"/>
  <c r="EE129" i="67"/>
  <c r="EE130" i="67"/>
  <c r="EE131" i="67"/>
  <c r="EE132" i="67"/>
  <c r="EE133" i="67"/>
  <c r="EE134" i="67"/>
  <c r="EE135" i="67"/>
  <c r="EE136" i="67"/>
  <c r="EE137" i="67"/>
  <c r="EE138" i="67"/>
  <c r="EE139" i="67"/>
  <c r="EE140" i="67"/>
  <c r="EE141" i="67"/>
  <c r="EE142" i="67"/>
  <c r="EE143" i="67"/>
  <c r="EE144" i="67"/>
  <c r="EE145" i="67"/>
  <c r="EE146" i="67"/>
  <c r="EE147" i="67"/>
  <c r="EE148" i="67"/>
  <c r="EE149" i="67"/>
  <c r="EE150" i="67"/>
  <c r="EE151" i="67"/>
  <c r="EE152" i="67"/>
  <c r="EE153" i="67"/>
  <c r="EE154" i="67"/>
  <c r="EE155" i="67"/>
  <c r="EE156" i="67"/>
  <c r="EE157" i="67"/>
  <c r="EE158" i="67"/>
  <c r="EE159" i="67"/>
  <c r="EE160" i="67"/>
  <c r="EE161" i="67"/>
  <c r="EE162" i="67"/>
  <c r="EE163" i="67"/>
  <c r="EE164" i="67"/>
  <c r="EE165" i="67"/>
  <c r="EE166" i="67"/>
  <c r="EE167" i="67"/>
  <c r="EE168" i="67"/>
  <c r="EE169" i="67"/>
  <c r="EE170" i="67"/>
  <c r="EE171" i="67"/>
  <c r="EE172" i="67"/>
  <c r="EE173" i="67"/>
  <c r="EE174" i="67"/>
  <c r="EE175" i="67"/>
  <c r="EE176" i="67"/>
  <c r="EE177" i="67"/>
  <c r="EE178" i="67"/>
  <c r="EE179" i="67"/>
  <c r="EE180" i="67"/>
  <c r="EE181" i="67"/>
  <c r="EE182" i="67"/>
  <c r="EE183" i="67"/>
  <c r="EE184" i="67"/>
  <c r="EE185" i="67"/>
  <c r="EE186" i="67"/>
  <c r="EE187" i="67"/>
  <c r="EE188" i="67"/>
  <c r="EE189" i="67"/>
  <c r="EE190" i="67"/>
  <c r="EE191" i="67"/>
  <c r="EE192" i="67"/>
  <c r="EE193" i="67"/>
  <c r="EE8" i="67"/>
  <c r="DP9" i="67"/>
  <c r="DP10" i="67"/>
  <c r="DP11" i="67"/>
  <c r="DP12" i="67"/>
  <c r="DP13" i="67"/>
  <c r="DP14" i="67"/>
  <c r="DP15" i="67"/>
  <c r="DP16" i="67"/>
  <c r="DP17" i="67"/>
  <c r="DP18" i="67"/>
  <c r="DP19" i="67"/>
  <c r="DP20" i="67"/>
  <c r="DP21" i="67"/>
  <c r="DP22" i="67"/>
  <c r="DP23" i="67"/>
  <c r="DP24" i="67"/>
  <c r="DP25" i="67"/>
  <c r="DP26" i="67"/>
  <c r="DP27" i="67"/>
  <c r="DP28" i="67"/>
  <c r="DP29" i="67"/>
  <c r="DP30" i="67"/>
  <c r="DP31" i="67"/>
  <c r="DP32" i="67"/>
  <c r="DP33" i="67"/>
  <c r="DP34" i="67"/>
  <c r="DP35" i="67"/>
  <c r="DP36" i="67"/>
  <c r="DP37" i="67"/>
  <c r="DP38" i="67"/>
  <c r="DP39" i="67"/>
  <c r="DP40" i="67"/>
  <c r="DP41" i="67"/>
  <c r="DP42" i="67"/>
  <c r="DP43" i="67"/>
  <c r="DP44" i="67"/>
  <c r="DP45" i="67"/>
  <c r="DP46" i="67"/>
  <c r="DP47" i="67"/>
  <c r="DP48" i="67"/>
  <c r="DP49" i="67"/>
  <c r="DP50" i="67"/>
  <c r="DP51" i="67"/>
  <c r="DP52" i="67"/>
  <c r="DP53" i="67"/>
  <c r="DP54" i="67"/>
  <c r="DP55" i="67"/>
  <c r="DP56" i="67"/>
  <c r="DP57" i="67"/>
  <c r="DP58" i="67"/>
  <c r="DP59" i="67"/>
  <c r="DP60" i="67"/>
  <c r="DP61" i="67"/>
  <c r="DP62" i="67"/>
  <c r="DP63" i="67"/>
  <c r="DP64" i="67"/>
  <c r="DP65" i="67"/>
  <c r="DP66" i="67"/>
  <c r="DP67" i="67"/>
  <c r="DP68" i="67"/>
  <c r="DP69" i="67"/>
  <c r="DP70" i="67"/>
  <c r="DP71" i="67"/>
  <c r="DP72" i="67"/>
  <c r="DP73" i="67"/>
  <c r="DP74" i="67"/>
  <c r="DP75" i="67"/>
  <c r="DP76" i="67"/>
  <c r="DP77" i="67"/>
  <c r="DP78" i="67"/>
  <c r="DP79" i="67"/>
  <c r="DP80" i="67"/>
  <c r="DP81" i="67"/>
  <c r="DP82" i="67"/>
  <c r="DP83" i="67"/>
  <c r="DP84" i="67"/>
  <c r="DP85" i="67"/>
  <c r="DP86" i="67"/>
  <c r="DP87" i="67"/>
  <c r="DP88" i="67"/>
  <c r="DP89" i="67"/>
  <c r="DP90" i="67"/>
  <c r="DP91" i="67"/>
  <c r="DP92" i="67"/>
  <c r="DP93" i="67"/>
  <c r="DP94" i="67"/>
  <c r="DP95" i="67"/>
  <c r="DP96" i="67"/>
  <c r="DP97" i="67"/>
  <c r="DP98" i="67"/>
  <c r="DP99" i="67"/>
  <c r="DP100" i="67"/>
  <c r="DP101" i="67"/>
  <c r="DP102" i="67"/>
  <c r="DP103" i="67"/>
  <c r="DP104" i="67"/>
  <c r="DP105" i="67"/>
  <c r="DP106" i="67"/>
  <c r="DP107" i="67"/>
  <c r="DP108" i="67"/>
  <c r="DP109" i="67"/>
  <c r="DP110" i="67"/>
  <c r="DP111" i="67"/>
  <c r="DP112" i="67"/>
  <c r="DP113" i="67"/>
  <c r="DP114" i="67"/>
  <c r="DP115" i="67"/>
  <c r="DP116" i="67"/>
  <c r="DP117" i="67"/>
  <c r="DP118" i="67"/>
  <c r="DP119" i="67"/>
  <c r="DP120" i="67"/>
  <c r="DP121" i="67"/>
  <c r="DP122" i="67"/>
  <c r="DP123" i="67"/>
  <c r="DP124" i="67"/>
  <c r="DP125" i="67"/>
  <c r="DP126" i="67"/>
  <c r="DP127" i="67"/>
  <c r="DP128" i="67"/>
  <c r="DP129" i="67"/>
  <c r="DP130" i="67"/>
  <c r="DP131" i="67"/>
  <c r="DP132" i="67"/>
  <c r="DP133" i="67"/>
  <c r="DP134" i="67"/>
  <c r="DP135" i="67"/>
  <c r="DP136" i="67"/>
  <c r="DP137" i="67"/>
  <c r="DP138" i="67"/>
  <c r="DP139" i="67"/>
  <c r="DP140" i="67"/>
  <c r="DP141" i="67"/>
  <c r="DP142" i="67"/>
  <c r="DP143" i="67"/>
  <c r="DP144" i="67"/>
  <c r="DP145" i="67"/>
  <c r="DP146" i="67"/>
  <c r="DP147" i="67"/>
  <c r="DP148" i="67"/>
  <c r="DP149" i="67"/>
  <c r="DP150" i="67"/>
  <c r="DP151" i="67"/>
  <c r="DP152" i="67"/>
  <c r="DP153" i="67"/>
  <c r="DP154" i="67"/>
  <c r="DP155" i="67"/>
  <c r="DP156" i="67"/>
  <c r="DP157" i="67"/>
  <c r="DP158" i="67"/>
  <c r="DP159" i="67"/>
  <c r="DP160" i="67"/>
  <c r="DP161" i="67"/>
  <c r="DP162" i="67"/>
  <c r="DP163" i="67"/>
  <c r="DP164" i="67"/>
  <c r="DP165" i="67"/>
  <c r="DP166" i="67"/>
  <c r="DP167" i="67"/>
  <c r="DP168" i="67"/>
  <c r="DP169" i="67"/>
  <c r="DP170" i="67"/>
  <c r="DP171" i="67"/>
  <c r="DP172" i="67"/>
  <c r="DP173" i="67"/>
  <c r="DP174" i="67"/>
  <c r="DP175" i="67"/>
  <c r="DP176" i="67"/>
  <c r="DP177" i="67"/>
  <c r="DP178" i="67"/>
  <c r="DP179" i="67"/>
  <c r="DP180" i="67"/>
  <c r="DP181" i="67"/>
  <c r="DP182" i="67"/>
  <c r="DP183" i="67"/>
  <c r="DP184" i="67"/>
  <c r="DP185" i="67"/>
  <c r="DP186" i="67"/>
  <c r="DP187" i="67"/>
  <c r="DP188" i="67"/>
  <c r="DP189" i="67"/>
  <c r="DP190" i="67"/>
  <c r="DP191" i="67"/>
  <c r="DP192" i="67"/>
  <c r="DP193" i="67"/>
  <c r="DP8" i="67"/>
  <c r="DA8" i="67"/>
  <c r="AG208" i="62"/>
  <c r="FT193" i="67" l="1"/>
  <c r="FT192" i="67"/>
  <c r="FT191" i="67"/>
  <c r="FT190" i="67"/>
  <c r="FT189" i="67"/>
  <c r="FT188" i="67"/>
  <c r="FT187" i="67"/>
  <c r="FT186" i="67"/>
  <c r="FT185" i="67"/>
  <c r="FT184" i="67"/>
  <c r="FT183" i="67"/>
  <c r="FT182" i="67"/>
  <c r="FT181" i="67"/>
  <c r="FT180" i="67"/>
  <c r="FT179" i="67"/>
  <c r="FT178" i="67"/>
  <c r="FT177" i="67"/>
  <c r="FT176" i="67"/>
  <c r="FT175" i="67"/>
  <c r="FT174" i="67"/>
  <c r="FT173" i="67"/>
  <c r="FT172" i="67"/>
  <c r="FT171" i="67"/>
  <c r="FT170" i="67"/>
  <c r="FT169" i="67"/>
  <c r="FT168" i="67"/>
  <c r="FT167" i="67"/>
  <c r="FT166" i="67"/>
  <c r="FT165" i="67"/>
  <c r="FT164" i="67"/>
  <c r="FT163" i="67"/>
  <c r="FT162" i="67"/>
  <c r="FT161" i="67"/>
  <c r="FT160" i="67"/>
  <c r="FT159" i="67"/>
  <c r="FT158" i="67"/>
  <c r="FT157" i="67"/>
  <c r="FT156" i="67"/>
  <c r="FT155" i="67"/>
  <c r="FT154" i="67"/>
  <c r="FT153" i="67"/>
  <c r="FT152" i="67"/>
  <c r="FT151" i="67"/>
  <c r="FT150" i="67"/>
  <c r="FT149" i="67"/>
  <c r="FT148" i="67"/>
  <c r="FT147" i="67"/>
  <c r="FT146" i="67"/>
  <c r="FT145" i="67"/>
  <c r="FT144" i="67"/>
  <c r="FT143" i="67"/>
  <c r="FT142" i="67"/>
  <c r="FT141" i="67"/>
  <c r="FT140" i="67"/>
  <c r="FT139" i="67"/>
  <c r="FT138" i="67"/>
  <c r="FT137" i="67"/>
  <c r="FT136" i="67"/>
  <c r="FT135" i="67"/>
  <c r="FT134" i="67"/>
  <c r="FT133" i="67"/>
  <c r="FT132" i="67"/>
  <c r="FT131" i="67"/>
  <c r="FT130" i="67"/>
  <c r="FT129" i="67"/>
  <c r="FT128" i="67"/>
  <c r="FT127" i="67"/>
  <c r="FT126" i="67"/>
  <c r="FT125" i="67"/>
  <c r="FT124" i="67"/>
  <c r="FT123" i="67"/>
  <c r="FT122" i="67"/>
  <c r="FT121" i="67"/>
  <c r="FT120" i="67"/>
  <c r="FT119" i="67"/>
  <c r="FT118" i="67"/>
  <c r="FT117" i="67"/>
  <c r="FT116" i="67"/>
  <c r="FT115" i="67"/>
  <c r="FT114" i="67"/>
  <c r="FT113" i="67"/>
  <c r="FT112" i="67"/>
  <c r="FT111" i="67"/>
  <c r="FT110" i="67"/>
  <c r="FT109" i="67"/>
  <c r="FT108" i="67"/>
  <c r="FT107" i="67"/>
  <c r="FT106" i="67"/>
  <c r="FT105" i="67"/>
  <c r="FT104" i="67"/>
  <c r="FT103" i="67"/>
  <c r="FT102" i="67"/>
  <c r="FT101" i="67"/>
  <c r="FT100" i="67"/>
  <c r="FT99" i="67"/>
  <c r="FT98" i="67"/>
  <c r="FT97" i="67"/>
  <c r="FT96" i="67"/>
  <c r="FT95" i="67"/>
  <c r="FT94" i="67"/>
  <c r="FT93" i="67"/>
  <c r="FT92" i="67"/>
  <c r="FT91" i="67"/>
  <c r="FT90" i="67"/>
  <c r="FT89" i="67"/>
  <c r="FT88" i="67"/>
  <c r="FT87" i="67"/>
  <c r="FT86" i="67"/>
  <c r="FT85" i="67"/>
  <c r="FT84" i="67"/>
  <c r="FT83" i="67"/>
  <c r="FT82" i="67"/>
  <c r="FT81" i="67"/>
  <c r="FT80" i="67"/>
  <c r="FT79" i="67"/>
  <c r="FT78" i="67"/>
  <c r="FT77" i="67"/>
  <c r="FT76" i="67"/>
  <c r="FT75" i="67"/>
  <c r="FT74" i="67"/>
  <c r="FT73" i="67"/>
  <c r="FT72" i="67"/>
  <c r="FT71" i="67"/>
  <c r="FT70" i="67"/>
  <c r="FT69" i="67"/>
  <c r="FT68" i="67"/>
  <c r="FT67" i="67"/>
  <c r="FT66" i="67"/>
  <c r="FT65" i="67"/>
  <c r="FT64" i="67"/>
  <c r="FT63" i="67"/>
  <c r="FT62" i="67"/>
  <c r="FT61" i="67"/>
  <c r="FT60" i="67"/>
  <c r="FT59" i="67"/>
  <c r="FT58" i="67"/>
  <c r="FT57" i="67"/>
  <c r="FT56" i="67"/>
  <c r="FT55" i="67"/>
  <c r="FT54" i="67"/>
  <c r="FT53" i="67"/>
  <c r="FT52" i="67"/>
  <c r="FT51" i="67"/>
  <c r="FT50" i="67"/>
  <c r="FT49" i="67"/>
  <c r="FT48" i="67"/>
  <c r="FT47" i="67"/>
  <c r="FT46" i="67"/>
  <c r="FT45" i="67"/>
  <c r="FT44" i="67"/>
  <c r="FT43" i="67"/>
  <c r="FT42" i="67"/>
  <c r="FT41" i="67"/>
  <c r="FT40" i="67"/>
  <c r="FT39" i="67"/>
  <c r="FT38" i="67"/>
  <c r="FT37" i="67"/>
  <c r="FT36" i="67"/>
  <c r="FT35" i="67"/>
  <c r="FT34" i="67"/>
  <c r="FT33" i="67"/>
  <c r="FT32" i="67"/>
  <c r="FT31" i="67"/>
  <c r="FT30" i="67"/>
  <c r="FT29" i="67"/>
  <c r="FT28" i="67"/>
  <c r="FT27" i="67"/>
  <c r="FT26" i="67"/>
  <c r="FT25" i="67"/>
  <c r="FT24" i="67"/>
  <c r="FT23" i="67"/>
  <c r="FT22" i="67"/>
  <c r="FT21" i="67"/>
  <c r="FT20" i="67"/>
  <c r="FT19" i="67"/>
  <c r="FT18" i="67"/>
  <c r="FT17" i="67"/>
  <c r="FT16" i="67"/>
  <c r="FT15" i="67"/>
  <c r="FT14" i="67"/>
  <c r="FT13" i="67"/>
  <c r="FT12" i="67"/>
  <c r="FT11" i="67"/>
  <c r="FT10" i="67"/>
  <c r="FT9" i="67"/>
  <c r="FT8" i="67"/>
  <c r="EP193" i="67"/>
  <c r="EP192" i="67"/>
  <c r="EP191" i="67"/>
  <c r="EP190" i="67"/>
  <c r="EP189" i="67"/>
  <c r="EP188" i="67"/>
  <c r="EP187" i="67"/>
  <c r="EP186" i="67"/>
  <c r="EP185" i="67"/>
  <c r="EP184" i="67"/>
  <c r="EP183" i="67"/>
  <c r="EP182" i="67"/>
  <c r="EP181" i="67"/>
  <c r="EP180" i="67"/>
  <c r="EP179" i="67"/>
  <c r="EP178" i="67"/>
  <c r="EP177" i="67"/>
  <c r="EP176" i="67"/>
  <c r="EP175" i="67"/>
  <c r="EP174" i="67"/>
  <c r="EP173" i="67"/>
  <c r="EP172" i="67"/>
  <c r="EP171" i="67"/>
  <c r="EP170" i="67"/>
  <c r="EP169" i="67"/>
  <c r="EP168" i="67"/>
  <c r="EP167" i="67"/>
  <c r="EP166" i="67"/>
  <c r="EP165" i="67"/>
  <c r="EP164" i="67"/>
  <c r="EP163" i="67"/>
  <c r="EP162" i="67"/>
  <c r="EP161" i="67"/>
  <c r="EP160" i="67"/>
  <c r="EP159" i="67"/>
  <c r="EP158" i="67"/>
  <c r="EP157" i="67"/>
  <c r="EP156" i="67"/>
  <c r="EP155" i="67"/>
  <c r="EP154" i="67"/>
  <c r="EP153" i="67"/>
  <c r="EP152" i="67"/>
  <c r="EP151" i="67"/>
  <c r="EP150" i="67"/>
  <c r="EP149" i="67"/>
  <c r="EP148" i="67"/>
  <c r="EP147" i="67"/>
  <c r="EP146" i="67"/>
  <c r="EP145" i="67"/>
  <c r="EP144" i="67"/>
  <c r="EP143" i="67"/>
  <c r="EP142" i="67"/>
  <c r="EP141" i="67"/>
  <c r="EP140" i="67"/>
  <c r="EP139" i="67"/>
  <c r="EP138" i="67"/>
  <c r="EP137" i="67"/>
  <c r="EP136" i="67"/>
  <c r="EP135" i="67"/>
  <c r="EP134" i="67"/>
  <c r="EP133" i="67"/>
  <c r="EP132" i="67"/>
  <c r="EP131" i="67"/>
  <c r="EP130" i="67"/>
  <c r="EP129" i="67"/>
  <c r="EP128" i="67"/>
  <c r="EP127" i="67"/>
  <c r="EP126" i="67"/>
  <c r="EP125" i="67"/>
  <c r="EP124" i="67"/>
  <c r="EP123" i="67"/>
  <c r="EP122" i="67"/>
  <c r="EP121" i="67"/>
  <c r="EP120" i="67"/>
  <c r="EP119" i="67"/>
  <c r="EP118" i="67"/>
  <c r="EP117" i="67"/>
  <c r="EP116" i="67"/>
  <c r="EP115" i="67"/>
  <c r="EP114" i="67"/>
  <c r="EP113" i="67"/>
  <c r="EP112" i="67"/>
  <c r="EP111" i="67"/>
  <c r="EP110" i="67"/>
  <c r="EP109" i="67"/>
  <c r="EP108" i="67"/>
  <c r="EP107" i="67"/>
  <c r="EP106" i="67"/>
  <c r="EP105" i="67"/>
  <c r="EP104" i="67"/>
  <c r="EP103" i="67"/>
  <c r="EP102" i="67"/>
  <c r="EP101" i="67"/>
  <c r="EP100" i="67"/>
  <c r="EP99" i="67"/>
  <c r="EP98" i="67"/>
  <c r="EP97" i="67"/>
  <c r="EP96" i="67"/>
  <c r="EP95" i="67"/>
  <c r="EP94" i="67"/>
  <c r="EP93" i="67"/>
  <c r="EP92" i="67"/>
  <c r="EP91" i="67"/>
  <c r="EP90" i="67"/>
  <c r="EP89" i="67"/>
  <c r="EP88" i="67"/>
  <c r="EP87" i="67"/>
  <c r="EP86" i="67"/>
  <c r="EP85" i="67"/>
  <c r="EP84" i="67"/>
  <c r="EP83" i="67"/>
  <c r="EP82" i="67"/>
  <c r="EP81" i="67"/>
  <c r="EP80" i="67"/>
  <c r="EP79" i="67"/>
  <c r="EP78" i="67"/>
  <c r="EP77" i="67"/>
  <c r="EP76" i="67"/>
  <c r="EP75" i="67"/>
  <c r="EP74" i="67"/>
  <c r="EP73" i="67"/>
  <c r="EP72" i="67"/>
  <c r="EP71" i="67"/>
  <c r="EP70" i="67"/>
  <c r="EP69" i="67"/>
  <c r="EP68" i="67"/>
  <c r="EP67" i="67"/>
  <c r="EP66" i="67"/>
  <c r="EP65" i="67"/>
  <c r="EP64" i="67"/>
  <c r="EP63" i="67"/>
  <c r="EP62" i="67"/>
  <c r="EP61" i="67"/>
  <c r="EP60" i="67"/>
  <c r="EP59" i="67"/>
  <c r="EP58" i="67"/>
  <c r="EP57" i="67"/>
  <c r="EP56" i="67"/>
  <c r="EP55" i="67"/>
  <c r="EP54" i="67"/>
  <c r="EP53" i="67"/>
  <c r="EP52" i="67"/>
  <c r="EP51" i="67"/>
  <c r="EP50" i="67"/>
  <c r="EP49" i="67"/>
  <c r="EP48" i="67"/>
  <c r="EP47" i="67"/>
  <c r="EP46" i="67"/>
  <c r="EP45" i="67"/>
  <c r="EP44" i="67"/>
  <c r="EP43" i="67"/>
  <c r="EP42" i="67"/>
  <c r="EP41" i="67"/>
  <c r="EP40" i="67"/>
  <c r="EP39" i="67"/>
  <c r="EP38" i="67"/>
  <c r="EP37" i="67"/>
  <c r="EP36" i="67"/>
  <c r="EP35" i="67"/>
  <c r="EP34" i="67"/>
  <c r="EP33" i="67"/>
  <c r="EP32" i="67"/>
  <c r="EP31" i="67"/>
  <c r="EP30" i="67"/>
  <c r="EP29" i="67"/>
  <c r="EP28" i="67"/>
  <c r="EP27" i="67"/>
  <c r="EP26" i="67"/>
  <c r="EP25" i="67"/>
  <c r="EP24" i="67"/>
  <c r="EP23" i="67"/>
  <c r="EP22" i="67"/>
  <c r="EP21" i="67"/>
  <c r="EP20" i="67"/>
  <c r="EP19" i="67"/>
  <c r="EP18" i="67"/>
  <c r="EP17" i="67"/>
  <c r="EP16" i="67"/>
  <c r="EP15" i="67"/>
  <c r="EP14" i="67"/>
  <c r="EP13" i="67"/>
  <c r="EP12" i="67"/>
  <c r="EP11" i="67"/>
  <c r="EP10" i="67"/>
  <c r="EP9" i="67"/>
  <c r="EP8" i="67"/>
  <c r="EA9" i="67"/>
  <c r="EA10" i="67"/>
  <c r="EA11" i="67"/>
  <c r="EA12" i="67"/>
  <c r="EA13" i="67"/>
  <c r="EA14" i="67"/>
  <c r="EA15" i="67"/>
  <c r="EA16" i="67"/>
  <c r="EA17" i="67"/>
  <c r="EA18" i="67"/>
  <c r="EA19" i="67"/>
  <c r="EA20" i="67"/>
  <c r="EA21" i="67"/>
  <c r="EA22" i="67"/>
  <c r="EA23" i="67"/>
  <c r="EA24" i="67"/>
  <c r="EA25" i="67"/>
  <c r="EA26" i="67"/>
  <c r="EA27" i="67"/>
  <c r="EA28" i="67"/>
  <c r="EA29" i="67"/>
  <c r="EA30" i="67"/>
  <c r="EA31" i="67"/>
  <c r="EA32" i="67"/>
  <c r="EA33" i="67"/>
  <c r="EA34" i="67"/>
  <c r="EA35" i="67"/>
  <c r="EA36" i="67"/>
  <c r="EA37" i="67"/>
  <c r="EA38" i="67"/>
  <c r="EA39" i="67"/>
  <c r="EA40" i="67"/>
  <c r="EA41" i="67"/>
  <c r="EA42" i="67"/>
  <c r="EA43" i="67"/>
  <c r="EA44" i="67"/>
  <c r="EA45" i="67"/>
  <c r="EA46" i="67"/>
  <c r="EA47" i="67"/>
  <c r="EA48" i="67"/>
  <c r="EA49" i="67"/>
  <c r="EA50" i="67"/>
  <c r="EA51" i="67"/>
  <c r="EA52" i="67"/>
  <c r="EA53" i="67"/>
  <c r="EA54" i="67"/>
  <c r="EA55" i="67"/>
  <c r="EA56" i="67"/>
  <c r="EA57" i="67"/>
  <c r="EA58" i="67"/>
  <c r="EA59" i="67"/>
  <c r="EA60" i="67"/>
  <c r="EA61" i="67"/>
  <c r="EA62" i="67"/>
  <c r="EA63" i="67"/>
  <c r="EA64" i="67"/>
  <c r="EA65" i="67"/>
  <c r="EA66" i="67"/>
  <c r="EA67" i="67"/>
  <c r="EA68" i="67"/>
  <c r="EA69" i="67"/>
  <c r="EA70" i="67"/>
  <c r="EA71" i="67"/>
  <c r="EA72" i="67"/>
  <c r="EA73" i="67"/>
  <c r="EA74" i="67"/>
  <c r="EA75" i="67"/>
  <c r="EA76" i="67"/>
  <c r="EA77" i="67"/>
  <c r="EA78" i="67"/>
  <c r="EA79" i="67"/>
  <c r="EA80" i="67"/>
  <c r="EA81" i="67"/>
  <c r="EA82" i="67"/>
  <c r="EA83" i="67"/>
  <c r="EA84" i="67"/>
  <c r="EA85" i="67"/>
  <c r="EA86" i="67"/>
  <c r="EA87" i="67"/>
  <c r="EA88" i="67"/>
  <c r="EA89" i="67"/>
  <c r="EA90" i="67"/>
  <c r="EA91" i="67"/>
  <c r="EA92" i="67"/>
  <c r="EA93" i="67"/>
  <c r="EA94" i="67"/>
  <c r="EA95" i="67"/>
  <c r="EA96" i="67"/>
  <c r="EA97" i="67"/>
  <c r="EA98" i="67"/>
  <c r="EA99" i="67"/>
  <c r="EA100" i="67"/>
  <c r="EA101" i="67"/>
  <c r="EA102" i="67"/>
  <c r="EA103" i="67"/>
  <c r="EA104" i="67"/>
  <c r="EA105" i="67"/>
  <c r="EA106" i="67"/>
  <c r="EA107" i="67"/>
  <c r="EA108" i="67"/>
  <c r="EA109" i="67"/>
  <c r="EA110" i="67"/>
  <c r="EA111" i="67"/>
  <c r="EA112" i="67"/>
  <c r="EA113" i="67"/>
  <c r="EA114" i="67"/>
  <c r="EA115" i="67"/>
  <c r="EA116" i="67"/>
  <c r="EA117" i="67"/>
  <c r="EA118" i="67"/>
  <c r="EA119" i="67"/>
  <c r="EA120" i="67"/>
  <c r="EA121" i="67"/>
  <c r="EA122" i="67"/>
  <c r="EA123" i="67"/>
  <c r="EA124" i="67"/>
  <c r="EA125" i="67"/>
  <c r="EA126" i="67"/>
  <c r="EA127" i="67"/>
  <c r="EA128" i="67"/>
  <c r="EA129" i="67"/>
  <c r="EA130" i="67"/>
  <c r="EA131" i="67"/>
  <c r="EA132" i="67"/>
  <c r="EA133" i="67"/>
  <c r="EA134" i="67"/>
  <c r="EA135" i="67"/>
  <c r="EA136" i="67"/>
  <c r="EA137" i="67"/>
  <c r="EA138" i="67"/>
  <c r="EA139" i="67"/>
  <c r="EA140" i="67"/>
  <c r="EA141" i="67"/>
  <c r="EA142" i="67"/>
  <c r="EA143" i="67"/>
  <c r="EA144" i="67"/>
  <c r="EA145" i="67"/>
  <c r="EA146" i="67"/>
  <c r="EA147" i="67"/>
  <c r="EA148" i="67"/>
  <c r="EA149" i="67"/>
  <c r="EA150" i="67"/>
  <c r="EA151" i="67"/>
  <c r="EA152" i="67"/>
  <c r="EA153" i="67"/>
  <c r="EA154" i="67"/>
  <c r="EA155" i="67"/>
  <c r="EA156" i="67"/>
  <c r="EA157" i="67"/>
  <c r="EA158" i="67"/>
  <c r="EA159" i="67"/>
  <c r="EA160" i="67"/>
  <c r="EA161" i="67"/>
  <c r="EA162" i="67"/>
  <c r="EA163" i="67"/>
  <c r="EA164" i="67"/>
  <c r="EA165" i="67"/>
  <c r="EA166" i="67"/>
  <c r="EA167" i="67"/>
  <c r="EA168" i="67"/>
  <c r="EA169" i="67"/>
  <c r="EA170" i="67"/>
  <c r="EA171" i="67"/>
  <c r="EA172" i="67"/>
  <c r="EA173" i="67"/>
  <c r="EA174" i="67"/>
  <c r="EA175" i="67"/>
  <c r="EA176" i="67"/>
  <c r="EA177" i="67"/>
  <c r="EA178" i="67"/>
  <c r="EA179" i="67"/>
  <c r="EA180" i="67"/>
  <c r="EA181" i="67"/>
  <c r="EA182" i="67"/>
  <c r="EA183" i="67"/>
  <c r="EA184" i="67"/>
  <c r="EA185" i="67"/>
  <c r="EA186" i="67"/>
  <c r="EA187" i="67"/>
  <c r="EA188" i="67"/>
  <c r="EA189" i="67"/>
  <c r="EA190" i="67"/>
  <c r="EA191" i="67"/>
  <c r="EA192" i="67"/>
  <c r="EA193" i="67"/>
  <c r="EA8" i="67"/>
  <c r="DL9" i="67"/>
  <c r="DL10" i="67"/>
  <c r="DL11" i="67"/>
  <c r="DL12" i="67"/>
  <c r="DL13" i="67"/>
  <c r="DL14" i="67"/>
  <c r="DL15" i="67"/>
  <c r="DL16" i="67"/>
  <c r="DL17" i="67"/>
  <c r="DL18" i="67"/>
  <c r="DL19" i="67"/>
  <c r="DL20" i="67"/>
  <c r="DL21" i="67"/>
  <c r="DL22" i="67"/>
  <c r="DL23" i="67"/>
  <c r="DL24" i="67"/>
  <c r="DL25" i="67"/>
  <c r="DL26" i="67"/>
  <c r="DL27" i="67"/>
  <c r="DL28" i="67"/>
  <c r="DL29" i="67"/>
  <c r="DL30" i="67"/>
  <c r="DL31" i="67"/>
  <c r="DL32" i="67"/>
  <c r="DL33" i="67"/>
  <c r="DL34" i="67"/>
  <c r="DL35" i="67"/>
  <c r="DL36" i="67"/>
  <c r="DL37" i="67"/>
  <c r="DL38" i="67"/>
  <c r="DL39" i="67"/>
  <c r="DL40" i="67"/>
  <c r="DL41" i="67"/>
  <c r="DL42" i="67"/>
  <c r="DL43" i="67"/>
  <c r="DL44" i="67"/>
  <c r="DL45" i="67"/>
  <c r="DL46" i="67"/>
  <c r="DL47" i="67"/>
  <c r="DL48" i="67"/>
  <c r="DL49" i="67"/>
  <c r="DL50" i="67"/>
  <c r="DL51" i="67"/>
  <c r="DL52" i="67"/>
  <c r="DL53" i="67"/>
  <c r="DL54" i="67"/>
  <c r="DL55" i="67"/>
  <c r="DL56" i="67"/>
  <c r="DL57" i="67"/>
  <c r="DL58" i="67"/>
  <c r="DL59" i="67"/>
  <c r="DL60" i="67"/>
  <c r="DL61" i="67"/>
  <c r="DL62" i="67"/>
  <c r="DL63" i="67"/>
  <c r="DL64" i="67"/>
  <c r="DL65" i="67"/>
  <c r="DL66" i="67"/>
  <c r="DL67" i="67"/>
  <c r="DL68" i="67"/>
  <c r="DL69" i="67"/>
  <c r="DL70" i="67"/>
  <c r="DL71" i="67"/>
  <c r="DL72" i="67"/>
  <c r="DL73" i="67"/>
  <c r="DL74" i="67"/>
  <c r="DL75" i="67"/>
  <c r="DL76" i="67"/>
  <c r="DL77" i="67"/>
  <c r="DL78" i="67"/>
  <c r="DL79" i="67"/>
  <c r="DL80" i="67"/>
  <c r="DL81" i="67"/>
  <c r="DL82" i="67"/>
  <c r="DL83" i="67"/>
  <c r="DL84" i="67"/>
  <c r="DL85" i="67"/>
  <c r="DL86" i="67"/>
  <c r="DL87" i="67"/>
  <c r="DL88" i="67"/>
  <c r="DL89" i="67"/>
  <c r="DL90" i="67"/>
  <c r="DL91" i="67"/>
  <c r="DL92" i="67"/>
  <c r="DL93" i="67"/>
  <c r="DL94" i="67"/>
  <c r="DL95" i="67"/>
  <c r="DL96" i="67"/>
  <c r="DL97" i="67"/>
  <c r="DL98" i="67"/>
  <c r="DL99" i="67"/>
  <c r="DL100" i="67"/>
  <c r="DL101" i="67"/>
  <c r="DL102" i="67"/>
  <c r="DL103" i="67"/>
  <c r="DL104" i="67"/>
  <c r="DL105" i="67"/>
  <c r="DL106" i="67"/>
  <c r="DL107" i="67"/>
  <c r="DL108" i="67"/>
  <c r="DL109" i="67"/>
  <c r="DL110" i="67"/>
  <c r="DL111" i="67"/>
  <c r="DL112" i="67"/>
  <c r="DL113" i="67"/>
  <c r="DL114" i="67"/>
  <c r="DL115" i="67"/>
  <c r="DL116" i="67"/>
  <c r="DL117" i="67"/>
  <c r="DL118" i="67"/>
  <c r="DL119" i="67"/>
  <c r="DL120" i="67"/>
  <c r="DL121" i="67"/>
  <c r="DL122" i="67"/>
  <c r="DL123" i="67"/>
  <c r="DL124" i="67"/>
  <c r="DL125" i="67"/>
  <c r="DL126" i="67"/>
  <c r="DL127" i="67"/>
  <c r="DL128" i="67"/>
  <c r="DL129" i="67"/>
  <c r="DL130" i="67"/>
  <c r="DL131" i="67"/>
  <c r="DL132" i="67"/>
  <c r="DL133" i="67"/>
  <c r="DL134" i="67"/>
  <c r="DL135" i="67"/>
  <c r="DL136" i="67"/>
  <c r="DL137" i="67"/>
  <c r="DL138" i="67"/>
  <c r="DL139" i="67"/>
  <c r="DL140" i="67"/>
  <c r="DL141" i="67"/>
  <c r="DL142" i="67"/>
  <c r="DL143" i="67"/>
  <c r="DL144" i="67"/>
  <c r="DL145" i="67"/>
  <c r="DL146" i="67"/>
  <c r="DL147" i="67"/>
  <c r="DL148" i="67"/>
  <c r="DL149" i="67"/>
  <c r="DL150" i="67"/>
  <c r="DL151" i="67"/>
  <c r="DL152" i="67"/>
  <c r="DL153" i="67"/>
  <c r="DL154" i="67"/>
  <c r="DL155" i="67"/>
  <c r="DL156" i="67"/>
  <c r="DL157" i="67"/>
  <c r="DL158" i="67"/>
  <c r="DL159" i="67"/>
  <c r="DL160" i="67"/>
  <c r="DL161" i="67"/>
  <c r="DL162" i="67"/>
  <c r="DL163" i="67"/>
  <c r="DL164" i="67"/>
  <c r="DL165" i="67"/>
  <c r="DL166" i="67"/>
  <c r="DL167" i="67"/>
  <c r="DL168" i="67"/>
  <c r="DL169" i="67"/>
  <c r="DL170" i="67"/>
  <c r="DL171" i="67"/>
  <c r="DL172" i="67"/>
  <c r="DL173" i="67"/>
  <c r="DL174" i="67"/>
  <c r="DL175" i="67"/>
  <c r="DL176" i="67"/>
  <c r="DL177" i="67"/>
  <c r="DL178" i="67"/>
  <c r="DL179" i="67"/>
  <c r="DL180" i="67"/>
  <c r="DL181" i="67"/>
  <c r="DL182" i="67"/>
  <c r="DL183" i="67"/>
  <c r="DL184" i="67"/>
  <c r="DL185" i="67"/>
  <c r="DL186" i="67"/>
  <c r="DL187" i="67"/>
  <c r="DL188" i="67"/>
  <c r="DL189" i="67"/>
  <c r="DL190" i="67"/>
  <c r="DL191" i="67"/>
  <c r="DL192" i="67"/>
  <c r="DL193" i="67"/>
  <c r="DL8" i="67"/>
  <c r="AF208" i="62"/>
  <c r="DV9" i="67" l="1"/>
  <c r="DV10" i="67"/>
  <c r="DV11" i="67"/>
  <c r="DV12" i="67"/>
  <c r="DV13" i="67"/>
  <c r="DV14" i="67"/>
  <c r="DV15" i="67"/>
  <c r="DV16" i="67"/>
  <c r="DV17" i="67"/>
  <c r="DV18" i="67"/>
  <c r="DV19" i="67"/>
  <c r="DV20" i="67"/>
  <c r="DV21" i="67"/>
  <c r="DV22" i="67"/>
  <c r="DV23" i="67"/>
  <c r="DV24" i="67"/>
  <c r="DV25" i="67"/>
  <c r="DV26" i="67"/>
  <c r="DV27" i="67"/>
  <c r="DV28" i="67"/>
  <c r="DV29" i="67"/>
  <c r="DV30" i="67"/>
  <c r="DV31" i="67"/>
  <c r="DV32" i="67"/>
  <c r="DV33" i="67"/>
  <c r="DV34" i="67"/>
  <c r="DV35" i="67"/>
  <c r="DV36" i="67"/>
  <c r="DV37" i="67"/>
  <c r="DV38" i="67"/>
  <c r="DV39" i="67"/>
  <c r="DV40" i="67"/>
  <c r="DV41" i="67"/>
  <c r="DV42" i="67"/>
  <c r="DV43" i="67"/>
  <c r="DV44" i="67"/>
  <c r="DV45" i="67"/>
  <c r="DV46" i="67"/>
  <c r="DV47" i="67"/>
  <c r="DV48" i="67"/>
  <c r="DV49" i="67"/>
  <c r="DV50" i="67"/>
  <c r="DV51" i="67"/>
  <c r="DV52" i="67"/>
  <c r="DV53" i="67"/>
  <c r="DV54" i="67"/>
  <c r="DV55" i="67"/>
  <c r="DV56" i="67"/>
  <c r="DV57" i="67"/>
  <c r="DV58" i="67"/>
  <c r="DV59" i="67"/>
  <c r="DV60" i="67"/>
  <c r="DV61" i="67"/>
  <c r="DV62" i="67"/>
  <c r="DV63" i="67"/>
  <c r="DV64" i="67"/>
  <c r="DV65" i="67"/>
  <c r="DV66" i="67"/>
  <c r="DV67" i="67"/>
  <c r="DV68" i="67"/>
  <c r="DV69" i="67"/>
  <c r="DV70" i="67"/>
  <c r="DV71" i="67"/>
  <c r="DV72" i="67"/>
  <c r="DV73" i="67"/>
  <c r="DV74" i="67"/>
  <c r="DV75" i="67"/>
  <c r="DV76" i="67"/>
  <c r="DV77" i="67"/>
  <c r="DV78" i="67"/>
  <c r="DV79" i="67"/>
  <c r="DV80" i="67"/>
  <c r="DV81" i="67"/>
  <c r="DV82" i="67"/>
  <c r="DV83" i="67"/>
  <c r="DV84" i="67"/>
  <c r="DV85" i="67"/>
  <c r="DV86" i="67"/>
  <c r="DV87" i="67"/>
  <c r="DV88" i="67"/>
  <c r="DV89" i="67"/>
  <c r="DV90" i="67"/>
  <c r="DV91" i="67"/>
  <c r="DV92" i="67"/>
  <c r="DV93" i="67"/>
  <c r="DV94" i="67"/>
  <c r="DV95" i="67"/>
  <c r="DV96" i="67"/>
  <c r="DV97" i="67"/>
  <c r="DV98" i="67"/>
  <c r="DV99" i="67"/>
  <c r="DV100" i="67"/>
  <c r="DV101" i="67"/>
  <c r="DV102" i="67"/>
  <c r="DV103" i="67"/>
  <c r="DV104" i="67"/>
  <c r="DV105" i="67"/>
  <c r="DV106" i="67"/>
  <c r="DV107" i="67"/>
  <c r="DV108" i="67"/>
  <c r="DV109" i="67"/>
  <c r="DV110" i="67"/>
  <c r="DV111" i="67"/>
  <c r="DV112" i="67"/>
  <c r="DV113" i="67"/>
  <c r="DV114" i="67"/>
  <c r="DV115" i="67"/>
  <c r="DV116" i="67"/>
  <c r="DV117" i="67"/>
  <c r="DV118" i="67"/>
  <c r="DV119" i="67"/>
  <c r="DV120" i="67"/>
  <c r="DV121" i="67"/>
  <c r="DV122" i="67"/>
  <c r="DV123" i="67"/>
  <c r="DV124" i="67"/>
  <c r="DV125" i="67"/>
  <c r="DV126" i="67"/>
  <c r="DV127" i="67"/>
  <c r="DV128" i="67"/>
  <c r="DV129" i="67"/>
  <c r="DV130" i="67"/>
  <c r="DV131" i="67"/>
  <c r="DV132" i="67"/>
  <c r="DV133" i="67"/>
  <c r="DV134" i="67"/>
  <c r="DV135" i="67"/>
  <c r="DV136" i="67"/>
  <c r="DV137" i="67"/>
  <c r="DV138" i="67"/>
  <c r="DV139" i="67"/>
  <c r="DV140" i="67"/>
  <c r="DV141" i="67"/>
  <c r="DV142" i="67"/>
  <c r="DV143" i="67"/>
  <c r="DV144" i="67"/>
  <c r="DV145" i="67"/>
  <c r="DV146" i="67"/>
  <c r="DV147" i="67"/>
  <c r="DV148" i="67"/>
  <c r="DV149" i="67"/>
  <c r="DV150" i="67"/>
  <c r="DV151" i="67"/>
  <c r="DV152" i="67"/>
  <c r="DV153" i="67"/>
  <c r="DV154" i="67"/>
  <c r="DV155" i="67"/>
  <c r="DV156" i="67"/>
  <c r="DV157" i="67"/>
  <c r="DV158" i="67"/>
  <c r="DV159" i="67"/>
  <c r="DV160" i="67"/>
  <c r="DV161" i="67"/>
  <c r="DV162" i="67"/>
  <c r="DV163" i="67"/>
  <c r="DV164" i="67"/>
  <c r="DV165" i="67"/>
  <c r="DV166" i="67"/>
  <c r="DV167" i="67"/>
  <c r="DV168" i="67"/>
  <c r="DV169" i="67"/>
  <c r="DV170" i="67"/>
  <c r="DV171" i="67"/>
  <c r="DV172" i="67"/>
  <c r="DV173" i="67"/>
  <c r="DV174" i="67"/>
  <c r="DV175" i="67"/>
  <c r="DV176" i="67"/>
  <c r="DV177" i="67"/>
  <c r="DV178" i="67"/>
  <c r="DV179" i="67"/>
  <c r="DV180" i="67"/>
  <c r="DV181" i="67"/>
  <c r="DV182" i="67"/>
  <c r="DV183" i="67"/>
  <c r="DV184" i="67"/>
  <c r="DV185" i="67"/>
  <c r="DV186" i="67"/>
  <c r="DV187" i="67"/>
  <c r="DV188" i="67"/>
  <c r="DV189" i="67"/>
  <c r="DV190" i="67"/>
  <c r="DV191" i="67"/>
  <c r="DV192" i="67"/>
  <c r="DV193" i="67"/>
  <c r="DV8" i="67"/>
  <c r="DM9" i="67"/>
  <c r="DM10" i="67"/>
  <c r="DM11" i="67"/>
  <c r="DM12" i="67"/>
  <c r="DM13" i="67"/>
  <c r="DM14" i="67"/>
  <c r="DM15" i="67"/>
  <c r="DM16" i="67"/>
  <c r="DM17" i="67"/>
  <c r="DM18" i="67"/>
  <c r="DM19" i="67"/>
  <c r="DM20" i="67"/>
  <c r="DM21" i="67"/>
  <c r="DM22" i="67"/>
  <c r="DM23" i="67"/>
  <c r="DM24" i="67"/>
  <c r="DM25" i="67"/>
  <c r="DM26" i="67"/>
  <c r="DM27" i="67"/>
  <c r="DM28" i="67"/>
  <c r="DM29" i="67"/>
  <c r="DM30" i="67"/>
  <c r="DM31" i="67"/>
  <c r="DM32" i="67"/>
  <c r="DM33" i="67"/>
  <c r="DM34" i="67"/>
  <c r="DM35" i="67"/>
  <c r="DM36" i="67"/>
  <c r="DM37" i="67"/>
  <c r="DM38" i="67"/>
  <c r="DM39" i="67"/>
  <c r="DM40" i="67"/>
  <c r="DM41" i="67"/>
  <c r="DM42" i="67"/>
  <c r="DM43" i="67"/>
  <c r="DM44" i="67"/>
  <c r="DM45" i="67"/>
  <c r="DM46" i="67"/>
  <c r="DM47" i="67"/>
  <c r="DM48" i="67"/>
  <c r="DM49" i="67"/>
  <c r="DM50" i="67"/>
  <c r="DM51" i="67"/>
  <c r="DM52" i="67"/>
  <c r="DM53" i="67"/>
  <c r="DM54" i="67"/>
  <c r="DM55" i="67"/>
  <c r="DM56" i="67"/>
  <c r="DM57" i="67"/>
  <c r="DM58" i="67"/>
  <c r="DM59" i="67"/>
  <c r="DM60" i="67"/>
  <c r="DM61" i="67"/>
  <c r="DM62" i="67"/>
  <c r="DM63" i="67"/>
  <c r="DM64" i="67"/>
  <c r="DM65" i="67"/>
  <c r="DM66" i="67"/>
  <c r="DM67" i="67"/>
  <c r="DM68" i="67"/>
  <c r="DM69" i="67"/>
  <c r="DM70" i="67"/>
  <c r="DM71" i="67"/>
  <c r="DM72" i="67"/>
  <c r="DM73" i="67"/>
  <c r="DM74" i="67"/>
  <c r="DM75" i="67"/>
  <c r="DM76" i="67"/>
  <c r="DM77" i="67"/>
  <c r="DM78" i="67"/>
  <c r="DM79" i="67"/>
  <c r="DM80" i="67"/>
  <c r="DM81" i="67"/>
  <c r="DM82" i="67"/>
  <c r="DM83" i="67"/>
  <c r="DM84" i="67"/>
  <c r="DM85" i="67"/>
  <c r="DM86" i="67"/>
  <c r="DM87" i="67"/>
  <c r="DM88" i="67"/>
  <c r="DM89" i="67"/>
  <c r="DM90" i="67"/>
  <c r="DM91" i="67"/>
  <c r="DM92" i="67"/>
  <c r="DM93" i="67"/>
  <c r="DM94" i="67"/>
  <c r="DM95" i="67"/>
  <c r="DM96" i="67"/>
  <c r="DM97" i="67"/>
  <c r="DM98" i="67"/>
  <c r="DM99" i="67"/>
  <c r="DM100" i="67"/>
  <c r="DM101" i="67"/>
  <c r="DM102" i="67"/>
  <c r="DM103" i="67"/>
  <c r="DM104" i="67"/>
  <c r="DM105" i="67"/>
  <c r="DM106" i="67"/>
  <c r="DM107" i="67"/>
  <c r="DM108" i="67"/>
  <c r="DM109" i="67"/>
  <c r="DM110" i="67"/>
  <c r="DM111" i="67"/>
  <c r="DM112" i="67"/>
  <c r="DM113" i="67"/>
  <c r="DM114" i="67"/>
  <c r="DM115" i="67"/>
  <c r="DM116" i="67"/>
  <c r="DM117" i="67"/>
  <c r="DM118" i="67"/>
  <c r="DM119" i="67"/>
  <c r="DM120" i="67"/>
  <c r="DM121" i="67"/>
  <c r="DM122" i="67"/>
  <c r="DM123" i="67"/>
  <c r="DM124" i="67"/>
  <c r="DM125" i="67"/>
  <c r="DM126" i="67"/>
  <c r="DM127" i="67"/>
  <c r="DM128" i="67"/>
  <c r="DM129" i="67"/>
  <c r="DM130" i="67"/>
  <c r="DM131" i="67"/>
  <c r="DM132" i="67"/>
  <c r="DM133" i="67"/>
  <c r="DM134" i="67"/>
  <c r="DM135" i="67"/>
  <c r="DM136" i="67"/>
  <c r="DM137" i="67"/>
  <c r="DM138" i="67"/>
  <c r="DM139" i="67"/>
  <c r="DM140" i="67"/>
  <c r="DM141" i="67"/>
  <c r="DM142" i="67"/>
  <c r="DM143" i="67"/>
  <c r="DM144" i="67"/>
  <c r="DM145" i="67"/>
  <c r="DM146" i="67"/>
  <c r="DM147" i="67"/>
  <c r="DM148" i="67"/>
  <c r="DM149" i="67"/>
  <c r="DM150" i="67"/>
  <c r="DM151" i="67"/>
  <c r="DM152" i="67"/>
  <c r="DM153" i="67"/>
  <c r="DM154" i="67"/>
  <c r="DM155" i="67"/>
  <c r="DM156" i="67"/>
  <c r="DM157" i="67"/>
  <c r="DM158" i="67"/>
  <c r="DM159" i="67"/>
  <c r="DM160" i="67"/>
  <c r="DM161" i="67"/>
  <c r="DM162" i="67"/>
  <c r="DM163" i="67"/>
  <c r="DM164" i="67"/>
  <c r="DM165" i="67"/>
  <c r="DM166" i="67"/>
  <c r="DM167" i="67"/>
  <c r="DM168" i="67"/>
  <c r="DM169" i="67"/>
  <c r="DM170" i="67"/>
  <c r="DM171" i="67"/>
  <c r="DM172" i="67"/>
  <c r="DM173" i="67"/>
  <c r="DM174" i="67"/>
  <c r="DM175" i="67"/>
  <c r="DM176" i="67"/>
  <c r="DM177" i="67"/>
  <c r="DM178" i="67"/>
  <c r="DM179" i="67"/>
  <c r="DM180" i="67"/>
  <c r="DM181" i="67"/>
  <c r="DM182" i="67"/>
  <c r="DM183" i="67"/>
  <c r="DM184" i="67"/>
  <c r="DM185" i="67"/>
  <c r="DM186" i="67"/>
  <c r="DM187" i="67"/>
  <c r="DM188" i="67"/>
  <c r="DM189" i="67"/>
  <c r="DM190" i="67"/>
  <c r="DM191" i="67"/>
  <c r="DM192" i="67"/>
  <c r="DM193" i="67"/>
  <c r="DM8" i="67"/>
  <c r="DF9" i="67"/>
  <c r="DF10" i="67"/>
  <c r="DF11" i="67"/>
  <c r="DF12" i="67"/>
  <c r="DF13" i="67"/>
  <c r="DF14" i="67"/>
  <c r="DF15" i="67"/>
  <c r="DF16" i="67"/>
  <c r="DF17" i="67"/>
  <c r="DF18" i="67"/>
  <c r="DF19" i="67"/>
  <c r="DF20" i="67"/>
  <c r="DF21" i="67"/>
  <c r="DF22" i="67"/>
  <c r="DF23" i="67"/>
  <c r="DF24" i="67"/>
  <c r="DF25" i="67"/>
  <c r="DF26" i="67"/>
  <c r="DF27" i="67"/>
  <c r="DF28" i="67"/>
  <c r="DF29" i="67"/>
  <c r="DF30" i="67"/>
  <c r="DF31" i="67"/>
  <c r="DF32" i="67"/>
  <c r="DF33" i="67"/>
  <c r="DF34" i="67"/>
  <c r="DF35" i="67"/>
  <c r="DF36" i="67"/>
  <c r="DF37" i="67"/>
  <c r="DF38" i="67"/>
  <c r="DF39" i="67"/>
  <c r="DF40" i="67"/>
  <c r="DF41" i="67"/>
  <c r="DF42" i="67"/>
  <c r="DF43" i="67"/>
  <c r="DF44" i="67"/>
  <c r="DF45" i="67"/>
  <c r="DF46" i="67"/>
  <c r="DF47" i="67"/>
  <c r="DF48" i="67"/>
  <c r="DF49" i="67"/>
  <c r="DF50" i="67"/>
  <c r="DF51" i="67"/>
  <c r="DF52" i="67"/>
  <c r="DF53" i="67"/>
  <c r="DF54" i="67"/>
  <c r="DF55" i="67"/>
  <c r="DF56" i="67"/>
  <c r="DF57" i="67"/>
  <c r="DF58" i="67"/>
  <c r="DF59" i="67"/>
  <c r="DF60" i="67"/>
  <c r="DF61" i="67"/>
  <c r="DF62" i="67"/>
  <c r="DF63" i="67"/>
  <c r="DF64" i="67"/>
  <c r="DF65" i="67"/>
  <c r="DF66" i="67"/>
  <c r="DF67" i="67"/>
  <c r="DF68" i="67"/>
  <c r="DF69" i="67"/>
  <c r="DF70" i="67"/>
  <c r="DF71" i="67"/>
  <c r="DF72" i="67"/>
  <c r="DF73" i="67"/>
  <c r="DF74" i="67"/>
  <c r="DF75" i="67"/>
  <c r="DF76" i="67"/>
  <c r="DF77" i="67"/>
  <c r="DF78" i="67"/>
  <c r="DF79" i="67"/>
  <c r="DF80" i="67"/>
  <c r="DF81" i="67"/>
  <c r="DF82" i="67"/>
  <c r="DF83" i="67"/>
  <c r="DF84" i="67"/>
  <c r="DF85" i="67"/>
  <c r="DF86" i="67"/>
  <c r="DF87" i="67"/>
  <c r="DF88" i="67"/>
  <c r="DF89" i="67"/>
  <c r="DF90" i="67"/>
  <c r="DF91" i="67"/>
  <c r="DF92" i="67"/>
  <c r="DF93" i="67"/>
  <c r="DF94" i="67"/>
  <c r="DF95" i="67"/>
  <c r="DF96" i="67"/>
  <c r="DF97" i="67"/>
  <c r="DF98" i="67"/>
  <c r="DF99" i="67"/>
  <c r="DF100" i="67"/>
  <c r="DF101" i="67"/>
  <c r="DF102" i="67"/>
  <c r="DF103" i="67"/>
  <c r="DF104" i="67"/>
  <c r="DF105" i="67"/>
  <c r="DF106" i="67"/>
  <c r="DF107" i="67"/>
  <c r="DF108" i="67"/>
  <c r="DF109" i="67"/>
  <c r="DF110" i="67"/>
  <c r="DF111" i="67"/>
  <c r="DF112" i="67"/>
  <c r="DF113" i="67"/>
  <c r="DF114" i="67"/>
  <c r="DF115" i="67"/>
  <c r="DF116" i="67"/>
  <c r="DF117" i="67"/>
  <c r="DF118" i="67"/>
  <c r="DF119" i="67"/>
  <c r="DF120" i="67"/>
  <c r="DF121" i="67"/>
  <c r="DF122" i="67"/>
  <c r="DF123" i="67"/>
  <c r="DF124" i="67"/>
  <c r="DF125" i="67"/>
  <c r="DF126" i="67"/>
  <c r="DF127" i="67"/>
  <c r="DF128" i="67"/>
  <c r="DF129" i="67"/>
  <c r="DF130" i="67"/>
  <c r="DF131" i="67"/>
  <c r="DF132" i="67"/>
  <c r="DF133" i="67"/>
  <c r="DF134" i="67"/>
  <c r="DF135" i="67"/>
  <c r="DF136" i="67"/>
  <c r="DF137" i="67"/>
  <c r="DF138" i="67"/>
  <c r="DF139" i="67"/>
  <c r="DF140" i="67"/>
  <c r="DF141" i="67"/>
  <c r="DF142" i="67"/>
  <c r="DF143" i="67"/>
  <c r="DF144" i="67"/>
  <c r="DF145" i="67"/>
  <c r="DF146" i="67"/>
  <c r="DF147" i="67"/>
  <c r="DF148" i="67"/>
  <c r="DF149" i="67"/>
  <c r="DF150" i="67"/>
  <c r="DF151" i="67"/>
  <c r="DF152" i="67"/>
  <c r="DF153" i="67"/>
  <c r="DF154" i="67"/>
  <c r="DF155" i="67"/>
  <c r="DF156" i="67"/>
  <c r="DF157" i="67"/>
  <c r="DF158" i="67"/>
  <c r="DF159" i="67"/>
  <c r="DF160" i="67"/>
  <c r="DF161" i="67"/>
  <c r="DF162" i="67"/>
  <c r="DF163" i="67"/>
  <c r="DF164" i="67"/>
  <c r="DF165" i="67"/>
  <c r="DF166" i="67"/>
  <c r="DF167" i="67"/>
  <c r="DF168" i="67"/>
  <c r="DF169" i="67"/>
  <c r="DF170" i="67"/>
  <c r="DF171" i="67"/>
  <c r="DF172" i="67"/>
  <c r="DF173" i="67"/>
  <c r="DF174" i="67"/>
  <c r="DF175" i="67"/>
  <c r="DF176" i="67"/>
  <c r="DF177" i="67"/>
  <c r="DF178" i="67"/>
  <c r="DF179" i="67"/>
  <c r="DF180" i="67"/>
  <c r="DF181" i="67"/>
  <c r="DF182" i="67"/>
  <c r="DF183" i="67"/>
  <c r="DF184" i="67"/>
  <c r="DF185" i="67"/>
  <c r="DF186" i="67"/>
  <c r="DF187" i="67"/>
  <c r="DF188" i="67"/>
  <c r="DF189" i="67"/>
  <c r="DF190" i="67"/>
  <c r="DF191" i="67"/>
  <c r="DF192" i="67"/>
  <c r="DF193" i="67"/>
  <c r="DF194" i="67"/>
  <c r="DF195" i="67"/>
  <c r="DF196" i="67"/>
  <c r="DF197" i="67"/>
  <c r="DF198" i="67"/>
  <c r="DF199" i="67"/>
  <c r="DF200" i="67"/>
  <c r="DF201" i="67"/>
  <c r="DF202" i="67"/>
  <c r="DF203" i="67"/>
  <c r="DF204" i="67"/>
  <c r="DF205" i="67"/>
  <c r="DF206" i="67"/>
  <c r="DF207" i="67"/>
  <c r="DF8" i="67"/>
  <c r="DV208" i="67" l="1"/>
  <c r="DE194" i="67"/>
  <c r="CV9" i="67" l="1"/>
  <c r="CV10" i="67"/>
  <c r="CV11" i="67"/>
  <c r="CV12" i="67"/>
  <c r="CV13" i="67"/>
  <c r="CV14" i="67"/>
  <c r="CV15" i="67"/>
  <c r="CV16" i="67"/>
  <c r="CV17" i="67"/>
  <c r="CV18" i="67"/>
  <c r="CV19" i="67"/>
  <c r="CV20" i="67"/>
  <c r="CV21" i="67"/>
  <c r="CV22" i="67"/>
  <c r="CV23" i="67"/>
  <c r="CV24" i="67"/>
  <c r="CV25" i="67"/>
  <c r="CV26" i="67"/>
  <c r="CV27" i="67"/>
  <c r="CV28" i="67"/>
  <c r="CV29" i="67"/>
  <c r="CV30" i="67"/>
  <c r="CV31" i="67"/>
  <c r="CV32" i="67"/>
  <c r="CV33" i="67"/>
  <c r="CV34" i="67"/>
  <c r="CV35" i="67"/>
  <c r="CV36" i="67"/>
  <c r="CV37" i="67"/>
  <c r="CV38" i="67"/>
  <c r="CV39" i="67"/>
  <c r="CV40" i="67"/>
  <c r="CV41" i="67"/>
  <c r="CV42" i="67"/>
  <c r="CV43" i="67"/>
  <c r="CV44" i="67"/>
  <c r="CV45" i="67"/>
  <c r="CV46" i="67"/>
  <c r="CV47" i="67"/>
  <c r="CV48" i="67"/>
  <c r="CV49" i="67"/>
  <c r="CV50" i="67"/>
  <c r="CV51" i="67"/>
  <c r="CV52" i="67"/>
  <c r="CV53" i="67"/>
  <c r="CV54" i="67"/>
  <c r="CV55" i="67"/>
  <c r="CV56" i="67"/>
  <c r="CV57" i="67"/>
  <c r="CV58" i="67"/>
  <c r="CV59" i="67"/>
  <c r="CV60" i="67"/>
  <c r="CV61" i="67"/>
  <c r="CV62" i="67"/>
  <c r="CV63" i="67"/>
  <c r="CV64" i="67"/>
  <c r="CV65" i="67"/>
  <c r="CV66" i="67"/>
  <c r="CV67" i="67"/>
  <c r="CV68" i="67"/>
  <c r="CV69" i="67"/>
  <c r="CV70" i="67"/>
  <c r="CV71" i="67"/>
  <c r="CV72" i="67"/>
  <c r="CV73" i="67"/>
  <c r="CV74" i="67"/>
  <c r="CV75" i="67"/>
  <c r="CV76" i="67"/>
  <c r="CV77" i="67"/>
  <c r="CV78" i="67"/>
  <c r="CV79" i="67"/>
  <c r="CV80" i="67"/>
  <c r="CV81" i="67"/>
  <c r="CV82" i="67"/>
  <c r="CV83" i="67"/>
  <c r="CV84" i="67"/>
  <c r="CV85" i="67"/>
  <c r="CV86" i="67"/>
  <c r="CV87" i="67"/>
  <c r="CV88" i="67"/>
  <c r="CV89" i="67"/>
  <c r="CV90" i="67"/>
  <c r="CV91" i="67"/>
  <c r="CV92" i="67"/>
  <c r="CV93" i="67"/>
  <c r="CV94" i="67"/>
  <c r="CV95" i="67"/>
  <c r="CV96" i="67"/>
  <c r="CV194" i="67"/>
  <c r="CV97" i="67"/>
  <c r="CV98" i="67"/>
  <c r="CV99" i="67"/>
  <c r="CV100" i="67"/>
  <c r="CV101" i="67"/>
  <c r="CV102" i="67"/>
  <c r="CV103" i="67"/>
  <c r="CV104" i="67"/>
  <c r="CV105" i="67"/>
  <c r="CV106" i="67"/>
  <c r="CV107" i="67"/>
  <c r="CV108" i="67"/>
  <c r="CV109" i="67"/>
  <c r="CV110" i="67"/>
  <c r="CV111" i="67"/>
  <c r="CV112" i="67"/>
  <c r="CV113" i="67"/>
  <c r="CV114" i="67"/>
  <c r="CV115" i="67"/>
  <c r="CV116" i="67"/>
  <c r="CV117" i="67"/>
  <c r="CV118" i="67"/>
  <c r="CV119" i="67"/>
  <c r="CV120" i="67"/>
  <c r="CV121" i="67"/>
  <c r="CV122" i="67"/>
  <c r="CV123" i="67"/>
  <c r="CV124" i="67"/>
  <c r="CV125" i="67"/>
  <c r="CV126" i="67"/>
  <c r="CV127" i="67"/>
  <c r="CV128" i="67"/>
  <c r="CV129" i="67"/>
  <c r="CV130" i="67"/>
  <c r="CV131" i="67"/>
  <c r="CV132" i="67"/>
  <c r="CV133" i="67"/>
  <c r="CV134" i="67"/>
  <c r="CV135" i="67"/>
  <c r="CV136" i="67"/>
  <c r="CV137" i="67"/>
  <c r="CV138" i="67"/>
  <c r="CV139" i="67"/>
  <c r="CV140" i="67"/>
  <c r="CV141" i="67"/>
  <c r="CV142" i="67"/>
  <c r="CV143" i="67"/>
  <c r="CV144" i="67"/>
  <c r="CV145" i="67"/>
  <c r="CV146" i="67"/>
  <c r="CV147" i="67"/>
  <c r="CV148" i="67"/>
  <c r="CV149" i="67"/>
  <c r="CV150" i="67"/>
  <c r="CV151" i="67"/>
  <c r="CV152" i="67"/>
  <c r="CV153" i="67"/>
  <c r="CV154" i="67"/>
  <c r="CV155" i="67"/>
  <c r="CV156" i="67"/>
  <c r="CV157" i="67"/>
  <c r="CV158" i="67"/>
  <c r="CV159" i="67"/>
  <c r="CV160" i="67"/>
  <c r="CV161" i="67"/>
  <c r="CV162" i="67"/>
  <c r="CV163" i="67"/>
  <c r="CV164" i="67"/>
  <c r="CV165" i="67"/>
  <c r="CV166" i="67"/>
  <c r="CV167" i="67"/>
  <c r="CV168" i="67"/>
  <c r="CV169" i="67"/>
  <c r="CV170" i="67"/>
  <c r="CV171" i="67"/>
  <c r="CV172" i="67"/>
  <c r="CV173" i="67"/>
  <c r="CV174" i="67"/>
  <c r="CV175" i="67"/>
  <c r="CV176" i="67"/>
  <c r="CV177" i="67"/>
  <c r="CV178" i="67"/>
  <c r="CV179" i="67"/>
  <c r="CV180" i="67"/>
  <c r="CV181" i="67"/>
  <c r="CV182" i="67"/>
  <c r="CV183" i="67"/>
  <c r="CV184" i="67"/>
  <c r="CV185" i="67"/>
  <c r="CV186" i="67"/>
  <c r="CV187" i="67"/>
  <c r="CV188" i="67"/>
  <c r="CV189" i="67"/>
  <c r="CV190" i="67"/>
  <c r="CV191" i="67"/>
  <c r="CV192" i="67"/>
  <c r="CV193" i="67"/>
  <c r="CV195" i="67"/>
  <c r="CV196" i="67"/>
  <c r="CV197" i="67"/>
  <c r="CV198" i="67"/>
  <c r="CV199" i="67"/>
  <c r="CV200" i="67"/>
  <c r="CV201" i="67"/>
  <c r="CV202" i="67"/>
  <c r="CV203" i="67"/>
  <c r="CV204" i="67"/>
  <c r="CV205" i="67"/>
  <c r="CV206" i="67"/>
  <c r="CV207" i="67"/>
  <c r="CV8" i="67"/>
  <c r="F8" i="68" l="1"/>
  <c r="F9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F119" i="68"/>
  <c r="F120" i="68"/>
  <c r="F121" i="68"/>
  <c r="F122" i="68"/>
  <c r="F123" i="68"/>
  <c r="F124" i="68"/>
  <c r="F125" i="68"/>
  <c r="F126" i="68"/>
  <c r="F127" i="68"/>
  <c r="F128" i="68"/>
  <c r="F129" i="68"/>
  <c r="F130" i="68"/>
  <c r="F131" i="68"/>
  <c r="F132" i="68"/>
  <c r="F133" i="68"/>
  <c r="F134" i="68"/>
  <c r="F135" i="68"/>
  <c r="F136" i="68"/>
  <c r="F137" i="68"/>
  <c r="F138" i="68"/>
  <c r="F139" i="68"/>
  <c r="F140" i="68"/>
  <c r="F141" i="68"/>
  <c r="F142" i="68"/>
  <c r="F143" i="68"/>
  <c r="F144" i="68"/>
  <c r="F145" i="68"/>
  <c r="F146" i="68"/>
  <c r="F147" i="68"/>
  <c r="F148" i="68"/>
  <c r="F149" i="68"/>
  <c r="F150" i="68"/>
  <c r="F151" i="68"/>
  <c r="F152" i="68"/>
  <c r="F153" i="68"/>
  <c r="F154" i="68"/>
  <c r="F155" i="68"/>
  <c r="F156" i="68"/>
  <c r="F157" i="68"/>
  <c r="F158" i="68"/>
  <c r="F159" i="68"/>
  <c r="F160" i="68"/>
  <c r="F161" i="68"/>
  <c r="F162" i="68"/>
  <c r="F163" i="68"/>
  <c r="F164" i="68"/>
  <c r="F165" i="68"/>
  <c r="F166" i="68"/>
  <c r="F167" i="68"/>
  <c r="F168" i="68"/>
  <c r="F169" i="68"/>
  <c r="F170" i="68"/>
  <c r="F171" i="68"/>
  <c r="F172" i="68"/>
  <c r="F173" i="68"/>
  <c r="F174" i="68"/>
  <c r="F175" i="68"/>
  <c r="F176" i="68"/>
  <c r="F177" i="68"/>
  <c r="F178" i="68"/>
  <c r="F179" i="68"/>
  <c r="F180" i="68"/>
  <c r="F181" i="68"/>
  <c r="F182" i="68"/>
  <c r="F183" i="68"/>
  <c r="F184" i="68"/>
  <c r="F185" i="68"/>
  <c r="F186" i="68"/>
  <c r="F187" i="68"/>
  <c r="F188" i="68"/>
  <c r="F189" i="68"/>
  <c r="F190" i="68"/>
  <c r="F191" i="68"/>
  <c r="F192" i="68"/>
  <c r="F193" i="68"/>
  <c r="F194" i="68"/>
  <c r="F195" i="68"/>
  <c r="F196" i="68"/>
  <c r="F197" i="68"/>
  <c r="F198" i="68"/>
  <c r="F199" i="68"/>
  <c r="F200" i="68"/>
  <c r="F201" i="68"/>
  <c r="F202" i="68"/>
  <c r="F203" i="68"/>
  <c r="F204" i="68"/>
  <c r="F205" i="68"/>
  <c r="F206" i="68"/>
  <c r="F7" i="68"/>
  <c r="AN8" i="68"/>
  <c r="I15" i="71" s="1"/>
  <c r="AN9" i="68"/>
  <c r="I16" i="71" s="1"/>
  <c r="AN10" i="68"/>
  <c r="I21" i="71" s="1"/>
  <c r="AN11" i="68"/>
  <c r="I23" i="71" s="1"/>
  <c r="AN12" i="68"/>
  <c r="I24" i="71" s="1"/>
  <c r="AN14" i="68"/>
  <c r="I26" i="71" s="1"/>
  <c r="AN15" i="68"/>
  <c r="I30" i="71" s="1"/>
  <c r="AN17" i="68"/>
  <c r="I33" i="71" s="1"/>
  <c r="AN18" i="68"/>
  <c r="I35" i="71" s="1"/>
  <c r="AN19" i="68"/>
  <c r="I36" i="71" s="1"/>
  <c r="AN20" i="68"/>
  <c r="I38" i="71" s="1"/>
  <c r="AN21" i="68"/>
  <c r="I39" i="71" s="1"/>
  <c r="AN22" i="68"/>
  <c r="I40" i="71" s="1"/>
  <c r="AN24" i="68"/>
  <c r="I46" i="71" s="1"/>
  <c r="AN25" i="68"/>
  <c r="I47" i="71" s="1"/>
  <c r="AN26" i="68"/>
  <c r="I49" i="71" s="1"/>
  <c r="AN28" i="68"/>
  <c r="I59" i="71" s="1"/>
  <c r="AN29" i="68"/>
  <c r="I65" i="71" s="1"/>
  <c r="AN31" i="68"/>
  <c r="I71" i="71" s="1"/>
  <c r="AN32" i="68"/>
  <c r="I73" i="71" s="1"/>
  <c r="AN33" i="68"/>
  <c r="I76" i="71" s="1"/>
  <c r="AN34" i="68"/>
  <c r="I83" i="71" s="1"/>
  <c r="AN35" i="68"/>
  <c r="I85" i="71" s="1"/>
  <c r="AN36" i="68"/>
  <c r="I86" i="71" s="1"/>
  <c r="AN37" i="68"/>
  <c r="I87" i="71" s="1"/>
  <c r="AN39" i="68"/>
  <c r="I91" i="71" s="1"/>
  <c r="AN40" i="68"/>
  <c r="I93" i="71" s="1"/>
  <c r="AN42" i="68"/>
  <c r="I100" i="71" s="1"/>
  <c r="AN44" i="68"/>
  <c r="I110" i="71" s="1"/>
  <c r="AN45" i="68"/>
  <c r="I111" i="71" s="1"/>
  <c r="AN46" i="68"/>
  <c r="I114" i="71" s="1"/>
  <c r="AN47" i="68"/>
  <c r="I115" i="71" s="1"/>
  <c r="AN48" i="68"/>
  <c r="I126" i="71" s="1"/>
  <c r="AN49" i="68"/>
  <c r="I131" i="71" s="1"/>
  <c r="AN51" i="68"/>
  <c r="I137" i="71" s="1"/>
  <c r="AN52" i="68"/>
  <c r="I138" i="71" s="1"/>
  <c r="AN53" i="68"/>
  <c r="I139" i="71" s="1"/>
  <c r="AN54" i="68"/>
  <c r="I145" i="71" s="1"/>
  <c r="AN55" i="68"/>
  <c r="I148" i="71" s="1"/>
  <c r="AN56" i="68"/>
  <c r="I149" i="71" s="1"/>
  <c r="AN57" i="68"/>
  <c r="I150" i="71" s="1"/>
  <c r="AN58" i="68"/>
  <c r="I151" i="71" s="1"/>
  <c r="AN59" i="68"/>
  <c r="I154" i="71" s="1"/>
  <c r="AN62" i="68"/>
  <c r="I160" i="71" s="1"/>
  <c r="AN63" i="68"/>
  <c r="I164" i="71" s="1"/>
  <c r="AN64" i="68"/>
  <c r="I165" i="71" s="1"/>
  <c r="AN65" i="68"/>
  <c r="I159" i="71" s="1"/>
  <c r="AN66" i="68"/>
  <c r="I77" i="71" s="1"/>
  <c r="AN67" i="68"/>
  <c r="I123" i="71" s="1"/>
  <c r="AN68" i="68"/>
  <c r="I9" i="71" s="1"/>
  <c r="AN69" i="68"/>
  <c r="I141" i="71" s="1"/>
  <c r="AN70" i="68"/>
  <c r="I69" i="71" s="1"/>
  <c r="AN71" i="68"/>
  <c r="I8" i="71" s="1"/>
  <c r="AN72" i="68"/>
  <c r="I180" i="71" s="1"/>
  <c r="AN73" i="68"/>
  <c r="I10" i="71" s="1"/>
  <c r="AN74" i="68"/>
  <c r="I13" i="71" s="1"/>
  <c r="AN75" i="68"/>
  <c r="I176" i="71" s="1"/>
  <c r="AN76" i="68"/>
  <c r="I177" i="71" s="1"/>
  <c r="AN77" i="68"/>
  <c r="I17" i="71" s="1"/>
  <c r="AN78" i="68"/>
  <c r="I18" i="71" s="1"/>
  <c r="AN79" i="68"/>
  <c r="I20" i="71" s="1"/>
  <c r="AN82" i="68"/>
  <c r="I22" i="71" s="1"/>
  <c r="AN84" i="68"/>
  <c r="I29" i="71" s="1"/>
  <c r="AN85" i="68"/>
  <c r="I34" i="71" s="1"/>
  <c r="AN86" i="68"/>
  <c r="I43" i="71" s="1"/>
  <c r="AN87" i="68"/>
  <c r="I48" i="71" s="1"/>
  <c r="AN88" i="68"/>
  <c r="I52" i="71" s="1"/>
  <c r="AN90" i="68"/>
  <c r="I57" i="71" s="1"/>
  <c r="AN91" i="68"/>
  <c r="I181" i="71" s="1"/>
  <c r="AN92" i="68"/>
  <c r="I60" i="71" s="1"/>
  <c r="AN93" i="68"/>
  <c r="I61" i="71" s="1"/>
  <c r="AN94" i="68"/>
  <c r="I62" i="71" s="1"/>
  <c r="AN95" i="68"/>
  <c r="I63" i="71" s="1"/>
  <c r="AN97" i="68"/>
  <c r="I66" i="71" s="1"/>
  <c r="AN98" i="68"/>
  <c r="I183" i="71" s="1"/>
  <c r="AN99" i="68"/>
  <c r="I184" i="71" s="1"/>
  <c r="AN100" i="68"/>
  <c r="I68" i="71" s="1"/>
  <c r="AN101" i="68"/>
  <c r="I72" i="71" s="1"/>
  <c r="AN102" i="68"/>
  <c r="I185" i="71" s="1"/>
  <c r="AN103" i="68"/>
  <c r="I74" i="71" s="1"/>
  <c r="AN104" i="68"/>
  <c r="I75" i="71" s="1"/>
  <c r="AN105" i="68"/>
  <c r="I186" i="71" s="1"/>
  <c r="AN106" i="68"/>
  <c r="I187" i="71" s="1"/>
  <c r="AN107" i="68"/>
  <c r="I78" i="71" s="1"/>
  <c r="AN108" i="68"/>
  <c r="I79" i="71" s="1"/>
  <c r="AN111" i="68"/>
  <c r="I188" i="71" s="1"/>
  <c r="AN112" i="68"/>
  <c r="I82" i="71" s="1"/>
  <c r="AN113" i="68"/>
  <c r="I189" i="71" s="1"/>
  <c r="AN114" i="68"/>
  <c r="I89" i="71" s="1"/>
  <c r="AN115" i="68"/>
  <c r="I94" i="71" s="1"/>
  <c r="AN117" i="68"/>
  <c r="I97" i="71" s="1"/>
  <c r="AN118" i="68"/>
  <c r="I98" i="71" s="1"/>
  <c r="AN119" i="68"/>
  <c r="I190" i="71" s="1"/>
  <c r="AN120" i="68"/>
  <c r="I191" i="71" s="1"/>
  <c r="AN121" i="68"/>
  <c r="I99" i="71" s="1"/>
  <c r="AN122" i="68"/>
  <c r="I192" i="71" s="1"/>
  <c r="AN123" i="68"/>
  <c r="I193" i="71" s="1"/>
  <c r="AN124" i="68"/>
  <c r="I103" i="71" s="1"/>
  <c r="AN125" i="68"/>
  <c r="I194" i="71" s="1"/>
  <c r="AN126" i="68"/>
  <c r="I195" i="71" s="1"/>
  <c r="AN127" i="68"/>
  <c r="I105" i="71" s="1"/>
  <c r="AN128" i="68"/>
  <c r="I106" i="71" s="1"/>
  <c r="AN129" i="68"/>
  <c r="I109" i="71" s="1"/>
  <c r="AN130" i="68"/>
  <c r="I196" i="71" s="1"/>
  <c r="AN131" i="68"/>
  <c r="I112" i="71" s="1"/>
  <c r="AN132" i="68"/>
  <c r="I117" i="71" s="1"/>
  <c r="AN133" i="68"/>
  <c r="I119" i="71" s="1"/>
  <c r="AN134" i="68"/>
  <c r="I197" i="71" s="1"/>
  <c r="AN135" i="68"/>
  <c r="I121" i="71" s="1"/>
  <c r="AN136" i="68"/>
  <c r="I124" i="71" s="1"/>
  <c r="AN137" i="68"/>
  <c r="I198" i="71" s="1"/>
  <c r="AN138" i="68"/>
  <c r="I125" i="71" s="1"/>
  <c r="AN139" i="68"/>
  <c r="I199" i="71" s="1"/>
  <c r="AN140" i="68"/>
  <c r="I129" i="71" s="1"/>
  <c r="AN142" i="68"/>
  <c r="I133" i="71" s="1"/>
  <c r="AN143" i="68"/>
  <c r="I200" i="71" s="1"/>
  <c r="AN144" i="68"/>
  <c r="I136" i="71" s="1"/>
  <c r="AN145" i="68"/>
  <c r="I201" i="71" s="1"/>
  <c r="AN146" i="68"/>
  <c r="I202" i="71" s="1"/>
  <c r="AN147" i="68"/>
  <c r="I203" i="71" s="1"/>
  <c r="AN148" i="68"/>
  <c r="I204" i="71" s="1"/>
  <c r="AN149" i="68"/>
  <c r="I205" i="71" s="1"/>
  <c r="AN150" i="68"/>
  <c r="I147" i="71" s="1"/>
  <c r="AN152" i="68"/>
  <c r="I206" i="71" s="1"/>
  <c r="AN153" i="68"/>
  <c r="I156" i="71" s="1"/>
  <c r="AN154" i="68"/>
  <c r="I207" i="71" s="1"/>
  <c r="AN155" i="68"/>
  <c r="I162" i="71" s="1"/>
  <c r="AN156" i="68"/>
  <c r="I167" i="71" s="1"/>
  <c r="AN157" i="68"/>
  <c r="I168" i="71" s="1"/>
  <c r="AN159" i="68"/>
  <c r="I14" i="71" s="1"/>
  <c r="AN160" i="68"/>
  <c r="I19" i="71" s="1"/>
  <c r="AN161" i="68"/>
  <c r="I169" i="71" s="1"/>
  <c r="AN163" i="68"/>
  <c r="I32" i="71" s="1"/>
  <c r="AN164" i="68"/>
  <c r="I37" i="71" s="1"/>
  <c r="AN165" i="68"/>
  <c r="I41" i="71" s="1"/>
  <c r="AN166" i="68"/>
  <c r="I42" i="71" s="1"/>
  <c r="AN167" i="68"/>
  <c r="I44" i="71" s="1"/>
  <c r="AN168" i="68"/>
  <c r="I170" i="71" s="1"/>
  <c r="AN169" i="68"/>
  <c r="I50" i="71" s="1"/>
  <c r="AN170" i="68"/>
  <c r="I51" i="71" s="1"/>
  <c r="AN171" i="68"/>
  <c r="I55" i="71" s="1"/>
  <c r="AN172" i="68"/>
  <c r="I56" i="71" s="1"/>
  <c r="AN173" i="68"/>
  <c r="I58" i="71" s="1"/>
  <c r="AN174" i="68"/>
  <c r="I64" i="71" s="1"/>
  <c r="AN175" i="68"/>
  <c r="I67" i="71" s="1"/>
  <c r="AN176" i="68"/>
  <c r="I171" i="71" s="1"/>
  <c r="AN177" i="68"/>
  <c r="I172" i="71" s="1"/>
  <c r="AN178" i="68"/>
  <c r="I84" i="71" s="1"/>
  <c r="AN179" i="68"/>
  <c r="I88" i="71" s="1"/>
  <c r="AN180" i="68"/>
  <c r="I92" i="71" s="1"/>
  <c r="AN181" i="68"/>
  <c r="I101" i="71" s="1"/>
  <c r="AN182" i="68"/>
  <c r="I102" i="71" s="1"/>
  <c r="AN184" i="68"/>
  <c r="I108" i="71" s="1"/>
  <c r="AN185" i="68"/>
  <c r="I113" i="71" s="1"/>
  <c r="AN186" i="68"/>
  <c r="I116" i="71" s="1"/>
  <c r="AN187" i="68"/>
  <c r="I118" i="71" s="1"/>
  <c r="AN188" i="68"/>
  <c r="I173" i="71" s="1"/>
  <c r="AN189" i="68"/>
  <c r="I120" i="71" s="1"/>
  <c r="AN190" i="68"/>
  <c r="I122" i="71" s="1"/>
  <c r="AN192" i="68"/>
  <c r="I128" i="71" s="1"/>
  <c r="AN193" i="68"/>
  <c r="I134" i="71" s="1"/>
  <c r="AN194" i="68"/>
  <c r="I135" i="71" s="1"/>
  <c r="AN195" i="68"/>
  <c r="I140" i="71" s="1"/>
  <c r="AN196" i="68"/>
  <c r="I143" i="71" s="1"/>
  <c r="AN197" i="68"/>
  <c r="I144" i="71" s="1"/>
  <c r="AN198" i="68"/>
  <c r="I146" i="71" s="1"/>
  <c r="AN199" i="68"/>
  <c r="I174" i="71" s="1"/>
  <c r="AN200" i="68"/>
  <c r="I153" i="71" s="1"/>
  <c r="AN201" i="68"/>
  <c r="I155" i="71" s="1"/>
  <c r="AN202" i="68"/>
  <c r="I175" i="71" s="1"/>
  <c r="AN204" i="68"/>
  <c r="I163" i="71" s="1"/>
  <c r="AN205" i="68"/>
  <c r="I166" i="71" s="1"/>
  <c r="AN206" i="68"/>
  <c r="I142" i="71" s="1"/>
  <c r="AN7" i="68"/>
  <c r="I11" i="71" s="1"/>
  <c r="O207" i="68"/>
  <c r="GM208" i="67" l="1"/>
  <c r="P10" i="78" l="1"/>
  <c r="P14" i="78"/>
  <c r="P22" i="78"/>
  <c r="P30" i="78"/>
  <c r="P34" i="78"/>
  <c r="P46" i="78"/>
  <c r="P70" i="78"/>
  <c r="P89" i="78"/>
  <c r="P99" i="78"/>
  <c r="P8" i="78"/>
  <c r="P15" i="78"/>
  <c r="P20" i="78"/>
  <c r="P23" i="78"/>
  <c r="P24" i="78"/>
  <c r="P25" i="78"/>
  <c r="P29" i="78"/>
  <c r="P32" i="78"/>
  <c r="P35" i="78"/>
  <c r="P37" i="78"/>
  <c r="P39" i="78"/>
  <c r="P44" i="78"/>
  <c r="P45" i="78"/>
  <c r="P48" i="78"/>
  <c r="P52" i="78"/>
  <c r="P58" i="78"/>
  <c r="P75" i="78"/>
  <c r="P82" i="78"/>
  <c r="P85" i="78"/>
  <c r="P98" i="78"/>
  <c r="P113" i="78"/>
  <c r="P114" i="78"/>
  <c r="P138" i="78"/>
  <c r="S206" i="78"/>
  <c r="AL207" i="71" s="1"/>
  <c r="AJ207" i="71"/>
  <c r="F206" i="78"/>
  <c r="S205" i="78"/>
  <c r="AL206" i="71" s="1"/>
  <c r="AJ206" i="71"/>
  <c r="F205" i="78"/>
  <c r="S204" i="78"/>
  <c r="AL205" i="71" s="1"/>
  <c r="AJ205" i="71"/>
  <c r="F204" i="78"/>
  <c r="S203" i="78"/>
  <c r="AL204" i="71" s="1"/>
  <c r="AJ204" i="71"/>
  <c r="F203" i="78"/>
  <c r="S202" i="78"/>
  <c r="AL203" i="71" s="1"/>
  <c r="AJ203" i="71"/>
  <c r="F202" i="78"/>
  <c r="S201" i="78"/>
  <c r="AL202" i="71" s="1"/>
  <c r="AJ202" i="71"/>
  <c r="F201" i="78"/>
  <c r="S200" i="78"/>
  <c r="AL201" i="71" s="1"/>
  <c r="AJ201" i="71"/>
  <c r="F200" i="78"/>
  <c r="S199" i="78"/>
  <c r="AL200" i="71" s="1"/>
  <c r="AJ200" i="71"/>
  <c r="F199" i="78"/>
  <c r="S198" i="78"/>
  <c r="AL199" i="71" s="1"/>
  <c r="AJ199" i="71"/>
  <c r="F198" i="78"/>
  <c r="S197" i="78"/>
  <c r="AL198" i="71" s="1"/>
  <c r="AJ198" i="71"/>
  <c r="F197" i="78"/>
  <c r="S196" i="78"/>
  <c r="AL197" i="71" s="1"/>
  <c r="AJ197" i="71"/>
  <c r="F196" i="78"/>
  <c r="S195" i="78"/>
  <c r="AL196" i="71" s="1"/>
  <c r="AJ196" i="71"/>
  <c r="F195" i="78"/>
  <c r="S194" i="78"/>
  <c r="AL195" i="71" s="1"/>
  <c r="AJ195" i="71"/>
  <c r="F194" i="78"/>
  <c r="S193" i="78"/>
  <c r="AL194" i="71" s="1"/>
  <c r="AJ194" i="71"/>
  <c r="F193" i="78"/>
  <c r="S192" i="78"/>
  <c r="AL193" i="71" s="1"/>
  <c r="AJ193" i="71"/>
  <c r="F192" i="78"/>
  <c r="S191" i="78"/>
  <c r="AL192" i="71" s="1"/>
  <c r="AJ192" i="71"/>
  <c r="F191" i="78"/>
  <c r="S190" i="78"/>
  <c r="AL191" i="71" s="1"/>
  <c r="AJ191" i="71"/>
  <c r="F190" i="78"/>
  <c r="S189" i="78"/>
  <c r="AL190" i="71" s="1"/>
  <c r="AJ190" i="71"/>
  <c r="F189" i="78"/>
  <c r="S188" i="78"/>
  <c r="AL189" i="71" s="1"/>
  <c r="AJ189" i="71"/>
  <c r="F188" i="78"/>
  <c r="S187" i="78"/>
  <c r="AL188" i="71" s="1"/>
  <c r="AJ188" i="71"/>
  <c r="F187" i="78"/>
  <c r="S186" i="78"/>
  <c r="AL187" i="71" s="1"/>
  <c r="AJ187" i="71"/>
  <c r="F186" i="78"/>
  <c r="S185" i="78"/>
  <c r="AL186" i="71" s="1"/>
  <c r="AJ186" i="71"/>
  <c r="F185" i="78"/>
  <c r="S184" i="78"/>
  <c r="AL185" i="71" s="1"/>
  <c r="AJ185" i="71"/>
  <c r="F184" i="78"/>
  <c r="S183" i="78"/>
  <c r="AL184" i="71" s="1"/>
  <c r="AJ184" i="71"/>
  <c r="F183" i="78"/>
  <c r="S182" i="78"/>
  <c r="AL183" i="71" s="1"/>
  <c r="AJ183" i="71"/>
  <c r="F182" i="78"/>
  <c r="S181" i="78"/>
  <c r="AL182" i="71" s="1"/>
  <c r="AJ182" i="71"/>
  <c r="F181" i="78"/>
  <c r="S180" i="78"/>
  <c r="AL181" i="71" s="1"/>
  <c r="AJ181" i="71"/>
  <c r="F180" i="78"/>
  <c r="S179" i="78"/>
  <c r="AL180" i="71" s="1"/>
  <c r="AJ180" i="71"/>
  <c r="F179" i="78"/>
  <c r="S178" i="78"/>
  <c r="AL179" i="71" s="1"/>
  <c r="AJ179" i="71"/>
  <c r="F178" i="78"/>
  <c r="S177" i="78"/>
  <c r="AL178" i="71" s="1"/>
  <c r="AJ178" i="71"/>
  <c r="F177" i="78"/>
  <c r="S176" i="78"/>
  <c r="AL177" i="71" s="1"/>
  <c r="AJ177" i="71"/>
  <c r="F176" i="78"/>
  <c r="S175" i="78"/>
  <c r="AL176" i="71" s="1"/>
  <c r="AJ176" i="71"/>
  <c r="F175" i="78"/>
  <c r="S174" i="78"/>
  <c r="AL175" i="71" s="1"/>
  <c r="AJ175" i="71"/>
  <c r="F174" i="78"/>
  <c r="S173" i="78"/>
  <c r="AL174" i="71" s="1"/>
  <c r="AJ174" i="71"/>
  <c r="F173" i="78"/>
  <c r="S172" i="78"/>
  <c r="AL173" i="71" s="1"/>
  <c r="AJ173" i="71"/>
  <c r="F172" i="78"/>
  <c r="S171" i="78"/>
  <c r="AL172" i="71" s="1"/>
  <c r="AJ172" i="71"/>
  <c r="F171" i="78"/>
  <c r="S170" i="78"/>
  <c r="AL171" i="71" s="1"/>
  <c r="AJ171" i="71"/>
  <c r="F170" i="78"/>
  <c r="S169" i="78"/>
  <c r="AL170" i="71" s="1"/>
  <c r="AJ170" i="71"/>
  <c r="F169" i="78"/>
  <c r="S168" i="78"/>
  <c r="AL169" i="71" s="1"/>
  <c r="AJ169" i="71"/>
  <c r="F168" i="78"/>
  <c r="S167" i="78"/>
  <c r="AL168" i="71" s="1"/>
  <c r="AJ168" i="71"/>
  <c r="F167" i="78"/>
  <c r="S166" i="78"/>
  <c r="AL167" i="71" s="1"/>
  <c r="AJ167" i="71"/>
  <c r="F166" i="78"/>
  <c r="S165" i="78"/>
  <c r="AL166" i="71" s="1"/>
  <c r="AJ166" i="71"/>
  <c r="F165" i="78"/>
  <c r="S164" i="78"/>
  <c r="AL165" i="71" s="1"/>
  <c r="AJ165" i="71"/>
  <c r="F164" i="78"/>
  <c r="S163" i="78"/>
  <c r="AL164" i="71" s="1"/>
  <c r="AJ164" i="71"/>
  <c r="F163" i="78"/>
  <c r="S162" i="78"/>
  <c r="AL163" i="71" s="1"/>
  <c r="AJ163" i="71"/>
  <c r="F162" i="78"/>
  <c r="S161" i="78"/>
  <c r="AL162" i="71" s="1"/>
  <c r="AJ162" i="71"/>
  <c r="F161" i="78"/>
  <c r="S160" i="78"/>
  <c r="AL161" i="71" s="1"/>
  <c r="AJ161" i="71"/>
  <c r="F160" i="78"/>
  <c r="S159" i="78"/>
  <c r="AL160" i="71" s="1"/>
  <c r="AJ160" i="71"/>
  <c r="F159" i="78"/>
  <c r="S158" i="78"/>
  <c r="AL159" i="71" s="1"/>
  <c r="AJ159" i="71"/>
  <c r="F158" i="78"/>
  <c r="S157" i="78"/>
  <c r="AL158" i="71" s="1"/>
  <c r="AJ158" i="71"/>
  <c r="F157" i="78"/>
  <c r="S156" i="78"/>
  <c r="AL157" i="71" s="1"/>
  <c r="AJ157" i="71"/>
  <c r="F156" i="78"/>
  <c r="S155" i="78"/>
  <c r="AL156" i="71" s="1"/>
  <c r="AJ156" i="71"/>
  <c r="F155" i="78"/>
  <c r="S154" i="78"/>
  <c r="AL155" i="71" s="1"/>
  <c r="AJ155" i="71"/>
  <c r="F154" i="78"/>
  <c r="S153" i="78"/>
  <c r="AL154" i="71" s="1"/>
  <c r="AJ154" i="71"/>
  <c r="F153" i="78"/>
  <c r="S152" i="78"/>
  <c r="AL153" i="71" s="1"/>
  <c r="AJ153" i="71"/>
  <c r="F152" i="78"/>
  <c r="S151" i="78"/>
  <c r="AL152" i="71" s="1"/>
  <c r="AJ152" i="71"/>
  <c r="F151" i="78"/>
  <c r="S150" i="78"/>
  <c r="AL151" i="71" s="1"/>
  <c r="AJ151" i="71"/>
  <c r="F150" i="78"/>
  <c r="S149" i="78"/>
  <c r="AL150" i="71" s="1"/>
  <c r="AJ150" i="71"/>
  <c r="F149" i="78"/>
  <c r="S148" i="78"/>
  <c r="AL149" i="71" s="1"/>
  <c r="AJ149" i="71"/>
  <c r="F148" i="78"/>
  <c r="S147" i="78"/>
  <c r="AL148" i="71" s="1"/>
  <c r="AJ148" i="71"/>
  <c r="F147" i="78"/>
  <c r="S146" i="78"/>
  <c r="AL147" i="71" s="1"/>
  <c r="AJ147" i="71"/>
  <c r="F146" i="78"/>
  <c r="S145" i="78"/>
  <c r="AL146" i="71" s="1"/>
  <c r="AJ146" i="71"/>
  <c r="F145" i="78"/>
  <c r="S144" i="78"/>
  <c r="AL145" i="71" s="1"/>
  <c r="AJ145" i="71"/>
  <c r="F144" i="78"/>
  <c r="S143" i="78"/>
  <c r="AL144" i="71" s="1"/>
  <c r="AJ144" i="71"/>
  <c r="F143" i="78"/>
  <c r="S142" i="78"/>
  <c r="AL143" i="71" s="1"/>
  <c r="AJ143" i="71"/>
  <c r="F142" i="78"/>
  <c r="S141" i="78"/>
  <c r="AL142" i="71" s="1"/>
  <c r="AJ142" i="71"/>
  <c r="F141" i="78"/>
  <c r="S140" i="78"/>
  <c r="AL141" i="71" s="1"/>
  <c r="AJ141" i="71"/>
  <c r="F140" i="78"/>
  <c r="S139" i="78"/>
  <c r="AL140" i="71" s="1"/>
  <c r="AJ140" i="71"/>
  <c r="F139" i="78"/>
  <c r="S138" i="78"/>
  <c r="AL139" i="71" s="1"/>
  <c r="AJ139" i="71"/>
  <c r="F138" i="78"/>
  <c r="S137" i="78"/>
  <c r="AL138" i="71" s="1"/>
  <c r="AJ138" i="71"/>
  <c r="F137" i="78"/>
  <c r="S136" i="78"/>
  <c r="AL137" i="71" s="1"/>
  <c r="AJ137" i="71"/>
  <c r="F136" i="78"/>
  <c r="S135" i="78"/>
  <c r="AL136" i="71" s="1"/>
  <c r="AJ136" i="71"/>
  <c r="F135" i="78"/>
  <c r="S134" i="78"/>
  <c r="AL135" i="71" s="1"/>
  <c r="AJ135" i="71"/>
  <c r="F134" i="78"/>
  <c r="S133" i="78"/>
  <c r="AL134" i="71" s="1"/>
  <c r="AJ134" i="71"/>
  <c r="F133" i="78"/>
  <c r="S132" i="78"/>
  <c r="AL133" i="71" s="1"/>
  <c r="AJ133" i="71"/>
  <c r="F132" i="78"/>
  <c r="S131" i="78"/>
  <c r="AL132" i="71" s="1"/>
  <c r="AJ132" i="71"/>
  <c r="F131" i="78"/>
  <c r="S130" i="78"/>
  <c r="AL131" i="71" s="1"/>
  <c r="AJ131" i="71"/>
  <c r="F130" i="78"/>
  <c r="S129" i="78"/>
  <c r="AL130" i="71" s="1"/>
  <c r="AJ130" i="71"/>
  <c r="F129" i="78"/>
  <c r="S128" i="78"/>
  <c r="AL129" i="71" s="1"/>
  <c r="AJ129" i="71"/>
  <c r="F128" i="78"/>
  <c r="S127" i="78"/>
  <c r="AL128" i="71" s="1"/>
  <c r="AJ128" i="71"/>
  <c r="F127" i="78"/>
  <c r="S126" i="78"/>
  <c r="AL127" i="71" s="1"/>
  <c r="AJ127" i="71"/>
  <c r="F126" i="78"/>
  <c r="S125" i="78"/>
  <c r="AL126" i="71" s="1"/>
  <c r="AJ126" i="71"/>
  <c r="F125" i="78"/>
  <c r="S124" i="78"/>
  <c r="AL125" i="71" s="1"/>
  <c r="AJ125" i="71"/>
  <c r="F124" i="78"/>
  <c r="S123" i="78"/>
  <c r="AL124" i="71" s="1"/>
  <c r="AJ124" i="71"/>
  <c r="F123" i="78"/>
  <c r="S122" i="78"/>
  <c r="AL123" i="71" s="1"/>
  <c r="AJ123" i="71"/>
  <c r="F122" i="78"/>
  <c r="S121" i="78"/>
  <c r="AL122" i="71" s="1"/>
  <c r="AJ122" i="71"/>
  <c r="F121" i="78"/>
  <c r="S120" i="78"/>
  <c r="AL121" i="71" s="1"/>
  <c r="AJ121" i="71"/>
  <c r="F120" i="78"/>
  <c r="S119" i="78"/>
  <c r="AL120" i="71" s="1"/>
  <c r="AJ120" i="71"/>
  <c r="F119" i="78"/>
  <c r="S118" i="78"/>
  <c r="AL119" i="71" s="1"/>
  <c r="AJ119" i="71"/>
  <c r="F118" i="78"/>
  <c r="S117" i="78"/>
  <c r="AL118" i="71" s="1"/>
  <c r="AJ118" i="71"/>
  <c r="F117" i="78"/>
  <c r="S116" i="78"/>
  <c r="AL117" i="71" s="1"/>
  <c r="AJ117" i="71"/>
  <c r="F116" i="78"/>
  <c r="S115" i="78"/>
  <c r="AL116" i="71" s="1"/>
  <c r="AJ116" i="71"/>
  <c r="F115" i="78"/>
  <c r="S114" i="78"/>
  <c r="AL115" i="71" s="1"/>
  <c r="AJ115" i="71"/>
  <c r="F114" i="78"/>
  <c r="S113" i="78"/>
  <c r="AL114" i="71" s="1"/>
  <c r="AJ114" i="71"/>
  <c r="F113" i="78"/>
  <c r="S112" i="78"/>
  <c r="AL113" i="71" s="1"/>
  <c r="AJ113" i="71"/>
  <c r="F112" i="78"/>
  <c r="S111" i="78"/>
  <c r="AL112" i="71" s="1"/>
  <c r="AJ112" i="71"/>
  <c r="F111" i="78"/>
  <c r="S110" i="78"/>
  <c r="AL111" i="71" s="1"/>
  <c r="AJ111" i="71"/>
  <c r="F110" i="78"/>
  <c r="S109" i="78"/>
  <c r="AL110" i="71" s="1"/>
  <c r="AJ110" i="71"/>
  <c r="F109" i="78"/>
  <c r="S108" i="78"/>
  <c r="AL109" i="71" s="1"/>
  <c r="AJ109" i="71"/>
  <c r="F108" i="78"/>
  <c r="S107" i="78"/>
  <c r="AL108" i="71" s="1"/>
  <c r="AJ108" i="71"/>
  <c r="F107" i="78"/>
  <c r="S106" i="78"/>
  <c r="AL107" i="71" s="1"/>
  <c r="AJ107" i="71"/>
  <c r="F106" i="78"/>
  <c r="S105" i="78"/>
  <c r="AL106" i="71" s="1"/>
  <c r="AJ106" i="71"/>
  <c r="F105" i="78"/>
  <c r="S104" i="78"/>
  <c r="AL105" i="71" s="1"/>
  <c r="AJ105" i="71"/>
  <c r="F104" i="78"/>
  <c r="S103" i="78"/>
  <c r="AL104" i="71" s="1"/>
  <c r="AJ104" i="71"/>
  <c r="F103" i="78"/>
  <c r="S102" i="78"/>
  <c r="AL103" i="71" s="1"/>
  <c r="AJ103" i="71"/>
  <c r="F102" i="78"/>
  <c r="S101" i="78"/>
  <c r="AL102" i="71" s="1"/>
  <c r="AJ102" i="71"/>
  <c r="F101" i="78"/>
  <c r="S100" i="78"/>
  <c r="AL101" i="71" s="1"/>
  <c r="AJ101" i="71"/>
  <c r="F100" i="78"/>
  <c r="S99" i="78"/>
  <c r="AL100" i="71" s="1"/>
  <c r="AJ100" i="71"/>
  <c r="F99" i="78"/>
  <c r="S98" i="78"/>
  <c r="AL99" i="71" s="1"/>
  <c r="AJ99" i="71"/>
  <c r="F98" i="78"/>
  <c r="S97" i="78"/>
  <c r="AL98" i="71" s="1"/>
  <c r="AJ98" i="71"/>
  <c r="F97" i="78"/>
  <c r="S96" i="78"/>
  <c r="AL97" i="71" s="1"/>
  <c r="AJ97" i="71"/>
  <c r="F96" i="78"/>
  <c r="S95" i="78"/>
  <c r="AL96" i="71" s="1"/>
  <c r="AJ96" i="71"/>
  <c r="F95" i="78"/>
  <c r="S94" i="78"/>
  <c r="AL95" i="71" s="1"/>
  <c r="AJ95" i="71"/>
  <c r="F94" i="78"/>
  <c r="S93" i="78"/>
  <c r="AL94" i="71" s="1"/>
  <c r="AJ94" i="71"/>
  <c r="F93" i="78"/>
  <c r="S92" i="78"/>
  <c r="AL93" i="71" s="1"/>
  <c r="AJ93" i="71"/>
  <c r="F92" i="78"/>
  <c r="S91" i="78"/>
  <c r="AL92" i="71" s="1"/>
  <c r="AJ92" i="71"/>
  <c r="F91" i="78"/>
  <c r="S90" i="78"/>
  <c r="AL91" i="71" s="1"/>
  <c r="AJ91" i="71"/>
  <c r="F90" i="78"/>
  <c r="S89" i="78"/>
  <c r="AL90" i="71" s="1"/>
  <c r="AJ90" i="71"/>
  <c r="F89" i="78"/>
  <c r="S88" i="78"/>
  <c r="AL89" i="71" s="1"/>
  <c r="AJ89" i="71"/>
  <c r="F88" i="78"/>
  <c r="S87" i="78"/>
  <c r="AL88" i="71" s="1"/>
  <c r="AJ88" i="71"/>
  <c r="F87" i="78"/>
  <c r="S86" i="78"/>
  <c r="AL87" i="71" s="1"/>
  <c r="AJ87" i="71"/>
  <c r="F86" i="78"/>
  <c r="S85" i="78"/>
  <c r="AL86" i="71" s="1"/>
  <c r="AJ86" i="71"/>
  <c r="F85" i="78"/>
  <c r="S84" i="78"/>
  <c r="AL85" i="71" s="1"/>
  <c r="AJ85" i="71"/>
  <c r="F84" i="78"/>
  <c r="S83" i="78"/>
  <c r="AL84" i="71" s="1"/>
  <c r="AJ84" i="71"/>
  <c r="F83" i="78"/>
  <c r="S82" i="78"/>
  <c r="AL83" i="71" s="1"/>
  <c r="AJ83" i="71"/>
  <c r="F82" i="78"/>
  <c r="S81" i="78"/>
  <c r="AL82" i="71" s="1"/>
  <c r="AJ82" i="71"/>
  <c r="F81" i="78"/>
  <c r="S80" i="78"/>
  <c r="AL81" i="71" s="1"/>
  <c r="AJ81" i="71"/>
  <c r="F80" i="78"/>
  <c r="S79" i="78"/>
  <c r="AL80" i="71" s="1"/>
  <c r="AJ80" i="71"/>
  <c r="F79" i="78"/>
  <c r="S78" i="78"/>
  <c r="AL79" i="71" s="1"/>
  <c r="AJ79" i="71"/>
  <c r="F78" i="78"/>
  <c r="S77" i="78"/>
  <c r="AL78" i="71" s="1"/>
  <c r="AJ78" i="71"/>
  <c r="F77" i="78"/>
  <c r="S76" i="78"/>
  <c r="AL77" i="71" s="1"/>
  <c r="AJ77" i="71"/>
  <c r="F76" i="78"/>
  <c r="S75" i="78"/>
  <c r="AL76" i="71" s="1"/>
  <c r="AJ76" i="71"/>
  <c r="F75" i="78"/>
  <c r="S74" i="78"/>
  <c r="AL75" i="71" s="1"/>
  <c r="AJ75" i="71"/>
  <c r="F74" i="78"/>
  <c r="S73" i="78"/>
  <c r="AL74" i="71" s="1"/>
  <c r="AJ74" i="71"/>
  <c r="F73" i="78"/>
  <c r="S72" i="78"/>
  <c r="AL73" i="71" s="1"/>
  <c r="AJ73" i="71"/>
  <c r="F72" i="78"/>
  <c r="S71" i="78"/>
  <c r="AL72" i="71" s="1"/>
  <c r="AJ72" i="71"/>
  <c r="F71" i="78"/>
  <c r="S70" i="78"/>
  <c r="AL71" i="71" s="1"/>
  <c r="AJ71" i="71"/>
  <c r="F70" i="78"/>
  <c r="S69" i="78"/>
  <c r="AL70" i="71" s="1"/>
  <c r="AJ70" i="71"/>
  <c r="F69" i="78"/>
  <c r="S68" i="78"/>
  <c r="AL69" i="71" s="1"/>
  <c r="AJ69" i="71"/>
  <c r="F68" i="78"/>
  <c r="S67" i="78"/>
  <c r="AL68" i="71" s="1"/>
  <c r="AJ68" i="71"/>
  <c r="F67" i="78"/>
  <c r="S66" i="78"/>
  <c r="AL67" i="71" s="1"/>
  <c r="AJ67" i="71"/>
  <c r="F66" i="78"/>
  <c r="S65" i="78"/>
  <c r="AL66" i="71" s="1"/>
  <c r="AJ66" i="71"/>
  <c r="F65" i="78"/>
  <c r="S64" i="78"/>
  <c r="AL65" i="71" s="1"/>
  <c r="AJ65" i="71"/>
  <c r="F64" i="78"/>
  <c r="S63" i="78"/>
  <c r="AL64" i="71" s="1"/>
  <c r="AJ64" i="71"/>
  <c r="F63" i="78"/>
  <c r="S62" i="78"/>
  <c r="AL63" i="71" s="1"/>
  <c r="AJ63" i="71"/>
  <c r="F62" i="78"/>
  <c r="S61" i="78"/>
  <c r="AL62" i="71" s="1"/>
  <c r="AJ62" i="71"/>
  <c r="F61" i="78"/>
  <c r="S60" i="78"/>
  <c r="AL61" i="71" s="1"/>
  <c r="AJ61" i="71"/>
  <c r="F60" i="78"/>
  <c r="S59" i="78"/>
  <c r="AL60" i="71" s="1"/>
  <c r="AJ60" i="71"/>
  <c r="F59" i="78"/>
  <c r="S58" i="78"/>
  <c r="AL59" i="71" s="1"/>
  <c r="AJ59" i="71"/>
  <c r="F58" i="78"/>
  <c r="S57" i="78"/>
  <c r="AL58" i="71" s="1"/>
  <c r="AJ58" i="71"/>
  <c r="F57" i="78"/>
  <c r="S56" i="78"/>
  <c r="AL57" i="71" s="1"/>
  <c r="AJ57" i="71"/>
  <c r="F56" i="78"/>
  <c r="S55" i="78"/>
  <c r="AL56" i="71" s="1"/>
  <c r="AJ56" i="71"/>
  <c r="F55" i="78"/>
  <c r="S54" i="78"/>
  <c r="AL55" i="71" s="1"/>
  <c r="AJ55" i="71"/>
  <c r="F54" i="78"/>
  <c r="S53" i="78"/>
  <c r="AL54" i="71" s="1"/>
  <c r="AJ54" i="71"/>
  <c r="F53" i="78"/>
  <c r="S52" i="78"/>
  <c r="AL53" i="71" s="1"/>
  <c r="AJ53" i="71"/>
  <c r="F52" i="78"/>
  <c r="S51" i="78"/>
  <c r="AL52" i="71" s="1"/>
  <c r="AJ52" i="71"/>
  <c r="F51" i="78"/>
  <c r="S50" i="78"/>
  <c r="AL51" i="71" s="1"/>
  <c r="AJ51" i="71"/>
  <c r="F50" i="78"/>
  <c r="S49" i="78"/>
  <c r="AL50" i="71" s="1"/>
  <c r="AJ50" i="71"/>
  <c r="F49" i="78"/>
  <c r="S48" i="78"/>
  <c r="AL49" i="71" s="1"/>
  <c r="AJ49" i="71"/>
  <c r="F48" i="78"/>
  <c r="S47" i="78"/>
  <c r="AL48" i="71" s="1"/>
  <c r="AJ48" i="71"/>
  <c r="F47" i="78"/>
  <c r="S46" i="78"/>
  <c r="AL47" i="71" s="1"/>
  <c r="AJ47" i="71"/>
  <c r="F46" i="78"/>
  <c r="S45" i="78"/>
  <c r="AL46" i="71" s="1"/>
  <c r="AJ46" i="71"/>
  <c r="F45" i="78"/>
  <c r="S44" i="78"/>
  <c r="AL45" i="71" s="1"/>
  <c r="AJ45" i="71"/>
  <c r="F44" i="78"/>
  <c r="S43" i="78"/>
  <c r="AL44" i="71" s="1"/>
  <c r="AJ44" i="71"/>
  <c r="F43" i="78"/>
  <c r="S42" i="78"/>
  <c r="AL43" i="71" s="1"/>
  <c r="AJ43" i="71"/>
  <c r="F42" i="78"/>
  <c r="S41" i="78"/>
  <c r="AL42" i="71" s="1"/>
  <c r="AJ42" i="71"/>
  <c r="F41" i="78"/>
  <c r="S40" i="78"/>
  <c r="AL41" i="71" s="1"/>
  <c r="AJ41" i="71"/>
  <c r="F40" i="78"/>
  <c r="S39" i="78"/>
  <c r="AL40" i="71" s="1"/>
  <c r="AJ40" i="71"/>
  <c r="F39" i="78"/>
  <c r="S38" i="78"/>
  <c r="AL39" i="71" s="1"/>
  <c r="AJ39" i="71"/>
  <c r="F38" i="78"/>
  <c r="S37" i="78"/>
  <c r="AL38" i="71" s="1"/>
  <c r="AJ38" i="71"/>
  <c r="F37" i="78"/>
  <c r="S36" i="78"/>
  <c r="AL37" i="71" s="1"/>
  <c r="AJ37" i="71"/>
  <c r="F36" i="78"/>
  <c r="S35" i="78"/>
  <c r="AL36" i="71" s="1"/>
  <c r="AJ36" i="71"/>
  <c r="F35" i="78"/>
  <c r="S34" i="78"/>
  <c r="AL35" i="71" s="1"/>
  <c r="AJ35" i="71"/>
  <c r="F34" i="78"/>
  <c r="S33" i="78"/>
  <c r="AL34" i="71" s="1"/>
  <c r="AJ34" i="71"/>
  <c r="F33" i="78"/>
  <c r="S32" i="78"/>
  <c r="AL33" i="71" s="1"/>
  <c r="AJ33" i="71"/>
  <c r="F32" i="78"/>
  <c r="S31" i="78"/>
  <c r="AL32" i="71" s="1"/>
  <c r="AJ32" i="71"/>
  <c r="F31" i="78"/>
  <c r="S30" i="78"/>
  <c r="AL31" i="71" s="1"/>
  <c r="AJ31" i="71"/>
  <c r="F30" i="78"/>
  <c r="S29" i="78"/>
  <c r="AL30" i="71" s="1"/>
  <c r="AJ30" i="71"/>
  <c r="F29" i="78"/>
  <c r="S28" i="78"/>
  <c r="AL29" i="71" s="1"/>
  <c r="AJ29" i="71"/>
  <c r="F28" i="78"/>
  <c r="S27" i="78"/>
  <c r="AL28" i="71" s="1"/>
  <c r="AJ28" i="71"/>
  <c r="F27" i="78"/>
  <c r="S26" i="78"/>
  <c r="AL27" i="71" s="1"/>
  <c r="AJ27" i="71"/>
  <c r="F26" i="78"/>
  <c r="S25" i="78"/>
  <c r="AL26" i="71" s="1"/>
  <c r="AJ26" i="71"/>
  <c r="F25" i="78"/>
  <c r="S24" i="78"/>
  <c r="AL25" i="71" s="1"/>
  <c r="AJ25" i="71"/>
  <c r="F24" i="78"/>
  <c r="S23" i="78"/>
  <c r="AL24" i="71" s="1"/>
  <c r="AJ24" i="71"/>
  <c r="F23" i="78"/>
  <c r="S22" i="78"/>
  <c r="AL23" i="71" s="1"/>
  <c r="AJ23" i="71"/>
  <c r="F22" i="78"/>
  <c r="S21" i="78"/>
  <c r="AL22" i="71" s="1"/>
  <c r="AJ22" i="71"/>
  <c r="F21" i="78"/>
  <c r="S20" i="78"/>
  <c r="AL21" i="71" s="1"/>
  <c r="AJ21" i="71"/>
  <c r="F20" i="78"/>
  <c r="S19" i="78"/>
  <c r="AL20" i="71" s="1"/>
  <c r="AJ20" i="71"/>
  <c r="F19" i="78"/>
  <c r="S18" i="78"/>
  <c r="AL19" i="71" s="1"/>
  <c r="AJ19" i="71"/>
  <c r="F18" i="78"/>
  <c r="S17" i="78"/>
  <c r="AL18" i="71" s="1"/>
  <c r="AJ18" i="71"/>
  <c r="F17" i="78"/>
  <c r="S16" i="78"/>
  <c r="AL17" i="71" s="1"/>
  <c r="AJ17" i="71"/>
  <c r="F16" i="78"/>
  <c r="S15" i="78"/>
  <c r="AL16" i="71" s="1"/>
  <c r="AJ16" i="71"/>
  <c r="F15" i="78"/>
  <c r="S14" i="78"/>
  <c r="AL15" i="71" s="1"/>
  <c r="AJ15" i="71"/>
  <c r="F14" i="78"/>
  <c r="S13" i="78"/>
  <c r="AL14" i="71" s="1"/>
  <c r="AJ14" i="71"/>
  <c r="F13" i="78"/>
  <c r="S12" i="78"/>
  <c r="AL13" i="71" s="1"/>
  <c r="AJ13" i="71"/>
  <c r="F12" i="78"/>
  <c r="S11" i="78"/>
  <c r="AL12" i="71" s="1"/>
  <c r="AJ12" i="71"/>
  <c r="F11" i="78"/>
  <c r="S10" i="78"/>
  <c r="AL11" i="71" s="1"/>
  <c r="AJ11" i="71"/>
  <c r="F10" i="78"/>
  <c r="S9" i="78"/>
  <c r="AL10" i="71" s="1"/>
  <c r="AJ10" i="71"/>
  <c r="F9" i="78"/>
  <c r="S8" i="78"/>
  <c r="AL9" i="71" s="1"/>
  <c r="AJ9" i="71"/>
  <c r="F8" i="78"/>
  <c r="S7" i="78"/>
  <c r="AL8" i="71" s="1"/>
  <c r="R7" i="78"/>
  <c r="AJ8" i="71" s="1"/>
  <c r="F7" i="78"/>
  <c r="R118" i="11"/>
  <c r="S76" i="11"/>
  <c r="Q76" i="11"/>
  <c r="F79" i="11"/>
  <c r="G79" i="11"/>
  <c r="H79" i="11"/>
  <c r="I79" i="11"/>
  <c r="L79" i="11"/>
  <c r="M79" i="11"/>
  <c r="P79" i="11"/>
  <c r="E79" i="11"/>
  <c r="M6" i="73"/>
  <c r="T6" i="73" s="1"/>
  <c r="M7" i="73"/>
  <c r="T7" i="73" s="1"/>
  <c r="M8" i="73"/>
  <c r="T8" i="73" s="1"/>
  <c r="M9" i="73"/>
  <c r="T9" i="73" s="1"/>
  <c r="M10" i="73"/>
  <c r="T10" i="73" s="1"/>
  <c r="M11" i="73"/>
  <c r="T11" i="73" s="1"/>
  <c r="M12" i="73"/>
  <c r="T12" i="73" s="1"/>
  <c r="M13" i="73"/>
  <c r="T13" i="73" s="1"/>
  <c r="M14" i="73"/>
  <c r="T14" i="73" s="1"/>
  <c r="M15" i="73"/>
  <c r="T15" i="73" s="1"/>
  <c r="M16" i="73"/>
  <c r="T16" i="73" s="1"/>
  <c r="M17" i="73"/>
  <c r="T17" i="73" s="1"/>
  <c r="M18" i="73"/>
  <c r="T18" i="73" s="1"/>
  <c r="M19" i="73"/>
  <c r="T19" i="73" s="1"/>
  <c r="M20" i="73"/>
  <c r="T20" i="73" s="1"/>
  <c r="M21" i="73"/>
  <c r="T21" i="73" s="1"/>
  <c r="M22" i="73"/>
  <c r="T22" i="73" s="1"/>
  <c r="M23" i="73"/>
  <c r="T23" i="73" s="1"/>
  <c r="M24" i="73"/>
  <c r="T24" i="73" s="1"/>
  <c r="M25" i="73"/>
  <c r="T25" i="73" s="1"/>
  <c r="M26" i="73"/>
  <c r="T26" i="73" s="1"/>
  <c r="M27" i="73"/>
  <c r="T27" i="73" s="1"/>
  <c r="M28" i="73"/>
  <c r="T28" i="73" s="1"/>
  <c r="M29" i="73"/>
  <c r="T29" i="73" s="1"/>
  <c r="M30" i="73"/>
  <c r="T30" i="73" s="1"/>
  <c r="M31" i="73"/>
  <c r="T31" i="73" s="1"/>
  <c r="M32" i="73"/>
  <c r="T32" i="73" s="1"/>
  <c r="M33" i="73"/>
  <c r="T33" i="73" s="1"/>
  <c r="M34" i="73"/>
  <c r="T34" i="73" s="1"/>
  <c r="M35" i="73"/>
  <c r="T35" i="73" s="1"/>
  <c r="M36" i="73"/>
  <c r="T36" i="73" s="1"/>
  <c r="M37" i="73"/>
  <c r="T37" i="73" s="1"/>
  <c r="M38" i="73"/>
  <c r="T38" i="73" s="1"/>
  <c r="M39" i="73"/>
  <c r="T39" i="73" s="1"/>
  <c r="M40" i="73"/>
  <c r="T40" i="73" s="1"/>
  <c r="M41" i="73"/>
  <c r="T41" i="73" s="1"/>
  <c r="M42" i="73"/>
  <c r="T42" i="73" s="1"/>
  <c r="M43" i="73"/>
  <c r="T43" i="73" s="1"/>
  <c r="M44" i="73"/>
  <c r="T44" i="73" s="1"/>
  <c r="M45" i="73"/>
  <c r="T45" i="73" s="1"/>
  <c r="M46" i="73"/>
  <c r="T46" i="73" s="1"/>
  <c r="M47" i="73"/>
  <c r="T47" i="73" s="1"/>
  <c r="M48" i="73"/>
  <c r="T48" i="73" s="1"/>
  <c r="M49" i="73"/>
  <c r="T49" i="73" s="1"/>
  <c r="M50" i="73"/>
  <c r="T50" i="73" s="1"/>
  <c r="M51" i="73"/>
  <c r="T51" i="73" s="1"/>
  <c r="M52" i="73"/>
  <c r="T52" i="73" s="1"/>
  <c r="M53" i="73"/>
  <c r="T53" i="73" s="1"/>
  <c r="M54" i="73"/>
  <c r="T54" i="73" s="1"/>
  <c r="M55" i="73"/>
  <c r="T55" i="73" s="1"/>
  <c r="M56" i="73"/>
  <c r="T56" i="73" s="1"/>
  <c r="M57" i="73"/>
  <c r="T57" i="73" s="1"/>
  <c r="M58" i="73"/>
  <c r="T58" i="73" s="1"/>
  <c r="M59" i="73"/>
  <c r="T59" i="73" s="1"/>
  <c r="M60" i="73"/>
  <c r="T60" i="73" s="1"/>
  <c r="M61" i="73"/>
  <c r="T61" i="73" s="1"/>
  <c r="M62" i="73"/>
  <c r="T62" i="73" s="1"/>
  <c r="M63" i="73"/>
  <c r="T63" i="73" s="1"/>
  <c r="M64" i="73"/>
  <c r="T64" i="73" s="1"/>
  <c r="M65" i="73"/>
  <c r="T65" i="73" s="1"/>
  <c r="M66" i="73"/>
  <c r="T66" i="73" s="1"/>
  <c r="M67" i="73"/>
  <c r="T67" i="73" s="1"/>
  <c r="M68" i="73"/>
  <c r="T68" i="73" s="1"/>
  <c r="M69" i="73"/>
  <c r="T69" i="73" s="1"/>
  <c r="M70" i="73"/>
  <c r="T70" i="73" s="1"/>
  <c r="M71" i="73"/>
  <c r="T71" i="73" s="1"/>
  <c r="M72" i="73"/>
  <c r="T72" i="73" s="1"/>
  <c r="M73" i="73"/>
  <c r="T73" i="73" s="1"/>
  <c r="M74" i="73"/>
  <c r="T74" i="73" s="1"/>
  <c r="M75" i="73"/>
  <c r="T75" i="73" s="1"/>
  <c r="M76" i="73"/>
  <c r="T76" i="73" s="1"/>
  <c r="M77" i="73"/>
  <c r="T77" i="73" s="1"/>
  <c r="M78" i="73"/>
  <c r="T78" i="73" s="1"/>
  <c r="M79" i="73"/>
  <c r="T79" i="73" s="1"/>
  <c r="M80" i="73"/>
  <c r="T80" i="73" s="1"/>
  <c r="M81" i="73"/>
  <c r="T81" i="73" s="1"/>
  <c r="M82" i="73"/>
  <c r="T82" i="73" s="1"/>
  <c r="M83" i="73"/>
  <c r="T83" i="73" s="1"/>
  <c r="M84" i="73"/>
  <c r="T84" i="73" s="1"/>
  <c r="M85" i="73"/>
  <c r="T85" i="73" s="1"/>
  <c r="M86" i="73"/>
  <c r="T86" i="73" s="1"/>
  <c r="M87" i="73"/>
  <c r="T87" i="73" s="1"/>
  <c r="M88" i="73"/>
  <c r="T88" i="73" s="1"/>
  <c r="M89" i="73"/>
  <c r="T89" i="73" s="1"/>
  <c r="M90" i="73"/>
  <c r="T90" i="73" s="1"/>
  <c r="M91" i="73"/>
  <c r="T91" i="73" s="1"/>
  <c r="M92" i="73"/>
  <c r="T92" i="73" s="1"/>
  <c r="M93" i="73"/>
  <c r="T93" i="73" s="1"/>
  <c r="M94" i="73"/>
  <c r="T94" i="73" s="1"/>
  <c r="M95" i="73"/>
  <c r="T95" i="73" s="1"/>
  <c r="M96" i="73"/>
  <c r="T96" i="73" s="1"/>
  <c r="M97" i="73"/>
  <c r="T97" i="73" s="1"/>
  <c r="M98" i="73"/>
  <c r="T98" i="73" s="1"/>
  <c r="M99" i="73"/>
  <c r="T99" i="73" s="1"/>
  <c r="M100" i="73"/>
  <c r="T100" i="73" s="1"/>
  <c r="M101" i="73"/>
  <c r="T101" i="73" s="1"/>
  <c r="M102" i="73"/>
  <c r="T102" i="73" s="1"/>
  <c r="M103" i="73"/>
  <c r="T103" i="73" s="1"/>
  <c r="M104" i="73"/>
  <c r="T104" i="73" s="1"/>
  <c r="M105" i="73"/>
  <c r="T105" i="73" s="1"/>
  <c r="M106" i="73"/>
  <c r="T106" i="73" s="1"/>
  <c r="M107" i="73"/>
  <c r="T107" i="73" s="1"/>
  <c r="M108" i="73"/>
  <c r="T108" i="73" s="1"/>
  <c r="M109" i="73"/>
  <c r="T109" i="73" s="1"/>
  <c r="M110" i="73"/>
  <c r="T110" i="73" s="1"/>
  <c r="M111" i="73"/>
  <c r="T111" i="73" s="1"/>
  <c r="M112" i="73"/>
  <c r="T112" i="73" s="1"/>
  <c r="M113" i="73"/>
  <c r="T113" i="73" s="1"/>
  <c r="M114" i="73"/>
  <c r="T114" i="73" s="1"/>
  <c r="M115" i="73"/>
  <c r="T115" i="73" s="1"/>
  <c r="M116" i="73"/>
  <c r="T116" i="73" s="1"/>
  <c r="M117" i="73"/>
  <c r="T117" i="73" s="1"/>
  <c r="M118" i="73"/>
  <c r="T118" i="73" s="1"/>
  <c r="M119" i="73"/>
  <c r="T119" i="73" s="1"/>
  <c r="M120" i="73"/>
  <c r="T120" i="73" s="1"/>
  <c r="M121" i="73"/>
  <c r="T121" i="73" s="1"/>
  <c r="M122" i="73"/>
  <c r="T122" i="73" s="1"/>
  <c r="M123" i="73"/>
  <c r="T123" i="73" s="1"/>
  <c r="M124" i="73"/>
  <c r="T124" i="73" s="1"/>
  <c r="M125" i="73"/>
  <c r="T125" i="73" s="1"/>
  <c r="M126" i="73"/>
  <c r="T126" i="73" s="1"/>
  <c r="M127" i="73"/>
  <c r="T127" i="73" s="1"/>
  <c r="M128" i="73"/>
  <c r="T128" i="73" s="1"/>
  <c r="M129" i="73"/>
  <c r="T129" i="73" s="1"/>
  <c r="M130" i="73"/>
  <c r="T130" i="73" s="1"/>
  <c r="M131" i="73"/>
  <c r="T131" i="73" s="1"/>
  <c r="M132" i="73"/>
  <c r="T132" i="73" s="1"/>
  <c r="M133" i="73"/>
  <c r="T133" i="73" s="1"/>
  <c r="M134" i="73"/>
  <c r="T134" i="73" s="1"/>
  <c r="M135" i="73"/>
  <c r="T135" i="73" s="1"/>
  <c r="M136" i="73"/>
  <c r="T136" i="73" s="1"/>
  <c r="M137" i="73"/>
  <c r="T137" i="73" s="1"/>
  <c r="M138" i="73"/>
  <c r="T138" i="73" s="1"/>
  <c r="M139" i="73"/>
  <c r="T139" i="73" s="1"/>
  <c r="M140" i="73"/>
  <c r="T140" i="73" s="1"/>
  <c r="M141" i="73"/>
  <c r="T141" i="73" s="1"/>
  <c r="M142" i="73"/>
  <c r="T142" i="73" s="1"/>
  <c r="M143" i="73"/>
  <c r="T143" i="73" s="1"/>
  <c r="M144" i="73"/>
  <c r="T144" i="73" s="1"/>
  <c r="M145" i="73"/>
  <c r="T145" i="73" s="1"/>
  <c r="M146" i="73"/>
  <c r="T146" i="73" s="1"/>
  <c r="M147" i="73"/>
  <c r="T147" i="73" s="1"/>
  <c r="M148" i="73"/>
  <c r="T148" i="73" s="1"/>
  <c r="M149" i="73"/>
  <c r="T149" i="73" s="1"/>
  <c r="M150" i="73"/>
  <c r="T150" i="73" s="1"/>
  <c r="M151" i="73"/>
  <c r="T151" i="73" s="1"/>
  <c r="M152" i="73"/>
  <c r="T152" i="73" s="1"/>
  <c r="M153" i="73"/>
  <c r="T153" i="73" s="1"/>
  <c r="M154" i="73"/>
  <c r="T154" i="73" s="1"/>
  <c r="M155" i="73"/>
  <c r="T155" i="73" s="1"/>
  <c r="M156" i="73"/>
  <c r="T156" i="73" s="1"/>
  <c r="M157" i="73"/>
  <c r="T157" i="73" s="1"/>
  <c r="M158" i="73"/>
  <c r="T158" i="73" s="1"/>
  <c r="M159" i="73"/>
  <c r="T159" i="73" s="1"/>
  <c r="M160" i="73"/>
  <c r="T160" i="73" s="1"/>
  <c r="M161" i="73"/>
  <c r="T161" i="73" s="1"/>
  <c r="M162" i="73"/>
  <c r="T162" i="73" s="1"/>
  <c r="M163" i="73"/>
  <c r="T163" i="73" s="1"/>
  <c r="M164" i="73"/>
  <c r="T164" i="73" s="1"/>
  <c r="M165" i="73"/>
  <c r="T165" i="73" s="1"/>
  <c r="M166" i="73"/>
  <c r="T166" i="73" s="1"/>
  <c r="M167" i="73"/>
  <c r="T167" i="73" s="1"/>
  <c r="M168" i="73"/>
  <c r="T168" i="73" s="1"/>
  <c r="M169" i="73"/>
  <c r="T169" i="73" s="1"/>
  <c r="M170" i="73"/>
  <c r="T170" i="73" s="1"/>
  <c r="M171" i="73"/>
  <c r="T171" i="73" s="1"/>
  <c r="M172" i="73"/>
  <c r="T172" i="73" s="1"/>
  <c r="M173" i="73"/>
  <c r="T173" i="73" s="1"/>
  <c r="M174" i="73"/>
  <c r="T174" i="73" s="1"/>
  <c r="M175" i="73"/>
  <c r="T175" i="73" s="1"/>
  <c r="M176" i="73"/>
  <c r="T176" i="73" s="1"/>
  <c r="M177" i="73"/>
  <c r="T177" i="73" s="1"/>
  <c r="M178" i="73"/>
  <c r="T178" i="73" s="1"/>
  <c r="M179" i="73"/>
  <c r="T179" i="73" s="1"/>
  <c r="M180" i="73"/>
  <c r="T180" i="73" s="1"/>
  <c r="M181" i="73"/>
  <c r="T181" i="73" s="1"/>
  <c r="M182" i="73"/>
  <c r="T182" i="73" s="1"/>
  <c r="M183" i="73"/>
  <c r="T183" i="73" s="1"/>
  <c r="M184" i="73"/>
  <c r="T184" i="73" s="1"/>
  <c r="M185" i="73"/>
  <c r="T185" i="73" s="1"/>
  <c r="M186" i="73"/>
  <c r="T186" i="73" s="1"/>
  <c r="M187" i="73"/>
  <c r="T187" i="73" s="1"/>
  <c r="M188" i="73"/>
  <c r="T188" i="73" s="1"/>
  <c r="M189" i="73"/>
  <c r="T189" i="73" s="1"/>
  <c r="M190" i="73"/>
  <c r="T190" i="73" s="1"/>
  <c r="M191" i="73"/>
  <c r="T191" i="73" s="1"/>
  <c r="M192" i="73"/>
  <c r="T192" i="73" s="1"/>
  <c r="M193" i="73"/>
  <c r="T193" i="73" s="1"/>
  <c r="M194" i="73"/>
  <c r="T194" i="73" s="1"/>
  <c r="M195" i="73"/>
  <c r="T195" i="73" s="1"/>
  <c r="M196" i="73"/>
  <c r="T196" i="73" s="1"/>
  <c r="M197" i="73"/>
  <c r="T197" i="73" s="1"/>
  <c r="M198" i="73"/>
  <c r="T198" i="73" s="1"/>
  <c r="M199" i="73"/>
  <c r="T199" i="73" s="1"/>
  <c r="M200" i="73"/>
  <c r="T200" i="73" s="1"/>
  <c r="M201" i="73"/>
  <c r="T201" i="73" s="1"/>
  <c r="M202" i="73"/>
  <c r="T202" i="73" s="1"/>
  <c r="M203" i="73"/>
  <c r="T203" i="73" s="1"/>
  <c r="M204" i="73"/>
  <c r="T204" i="73" s="1"/>
  <c r="M5" i="73"/>
  <c r="T5" i="73" s="1"/>
  <c r="DG9" i="67"/>
  <c r="DG10" i="67"/>
  <c r="DG11" i="67"/>
  <c r="DG12" i="67"/>
  <c r="DG13" i="67"/>
  <c r="DG14" i="67"/>
  <c r="DG15" i="67"/>
  <c r="DG16" i="67"/>
  <c r="DG17" i="67"/>
  <c r="DG18" i="67"/>
  <c r="DG19" i="67"/>
  <c r="DG20" i="67"/>
  <c r="DG21" i="67"/>
  <c r="DG22" i="67"/>
  <c r="DG23" i="67"/>
  <c r="DG24" i="67"/>
  <c r="DG25" i="67"/>
  <c r="DG26" i="67"/>
  <c r="DG27" i="67"/>
  <c r="DG28" i="67"/>
  <c r="DG29" i="67"/>
  <c r="DG30" i="67"/>
  <c r="DG31" i="67"/>
  <c r="DG32" i="67"/>
  <c r="DG33" i="67"/>
  <c r="DG34" i="67"/>
  <c r="DG35" i="67"/>
  <c r="DG36" i="67"/>
  <c r="DG37" i="67"/>
  <c r="DG38" i="67"/>
  <c r="DG39" i="67"/>
  <c r="DG40" i="67"/>
  <c r="DG41" i="67"/>
  <c r="DG42" i="67"/>
  <c r="DG43" i="67"/>
  <c r="DG44" i="67"/>
  <c r="DG45" i="67"/>
  <c r="DG46" i="67"/>
  <c r="DG47" i="67"/>
  <c r="DG48" i="67"/>
  <c r="DG49" i="67"/>
  <c r="DG50" i="67"/>
  <c r="DG51" i="67"/>
  <c r="DG52" i="67"/>
  <c r="DG53" i="67"/>
  <c r="DG54" i="67"/>
  <c r="DG55" i="67"/>
  <c r="DG56" i="67"/>
  <c r="DG57" i="67"/>
  <c r="DG58" i="67"/>
  <c r="DG59" i="67"/>
  <c r="DG60" i="67"/>
  <c r="DG61" i="67"/>
  <c r="DG62" i="67"/>
  <c r="DG63" i="67"/>
  <c r="DG64" i="67"/>
  <c r="DG65" i="67"/>
  <c r="DG66" i="67"/>
  <c r="DG67" i="67"/>
  <c r="DG68" i="67"/>
  <c r="DG69" i="67"/>
  <c r="DG70" i="67"/>
  <c r="DG71" i="67"/>
  <c r="DG72" i="67"/>
  <c r="DG73" i="67"/>
  <c r="DG74" i="67"/>
  <c r="DG75" i="67"/>
  <c r="DG76" i="67"/>
  <c r="DG77" i="67"/>
  <c r="DG78" i="67"/>
  <c r="DG79" i="67"/>
  <c r="DG80" i="67"/>
  <c r="DG81" i="67"/>
  <c r="DG82" i="67"/>
  <c r="DG83" i="67"/>
  <c r="DG84" i="67"/>
  <c r="DG85" i="67"/>
  <c r="DG86" i="67"/>
  <c r="DG87" i="67"/>
  <c r="DG88" i="67"/>
  <c r="DG89" i="67"/>
  <c r="DG90" i="67"/>
  <c r="DG91" i="67"/>
  <c r="DG92" i="67"/>
  <c r="DG93" i="67"/>
  <c r="DG94" i="67"/>
  <c r="DG95" i="67"/>
  <c r="DG96" i="67"/>
  <c r="DG97" i="67"/>
  <c r="DG98" i="67"/>
  <c r="DG99" i="67"/>
  <c r="DG100" i="67"/>
  <c r="DG101" i="67"/>
  <c r="DG102" i="67"/>
  <c r="DG103" i="67"/>
  <c r="DG104" i="67"/>
  <c r="DG105" i="67"/>
  <c r="DG106" i="67"/>
  <c r="DG107" i="67"/>
  <c r="DG108" i="67"/>
  <c r="DG109" i="67"/>
  <c r="DG110" i="67"/>
  <c r="DG111" i="67"/>
  <c r="DG112" i="67"/>
  <c r="DG113" i="67"/>
  <c r="DG114" i="67"/>
  <c r="DG115" i="67"/>
  <c r="DG116" i="67"/>
  <c r="DG117" i="67"/>
  <c r="DG118" i="67"/>
  <c r="DG119" i="67"/>
  <c r="DG120" i="67"/>
  <c r="DG121" i="67"/>
  <c r="DG122" i="67"/>
  <c r="DG123" i="67"/>
  <c r="DG124" i="67"/>
  <c r="DG125" i="67"/>
  <c r="DG126" i="67"/>
  <c r="DG127" i="67"/>
  <c r="DG128" i="67"/>
  <c r="DG129" i="67"/>
  <c r="DG130" i="67"/>
  <c r="DG131" i="67"/>
  <c r="DG132" i="67"/>
  <c r="DG133" i="67"/>
  <c r="DG134" i="67"/>
  <c r="DG135" i="67"/>
  <c r="DG136" i="67"/>
  <c r="DG137" i="67"/>
  <c r="DG138" i="67"/>
  <c r="DG139" i="67"/>
  <c r="DG140" i="67"/>
  <c r="DG141" i="67"/>
  <c r="DG142" i="67"/>
  <c r="DG143" i="67"/>
  <c r="DG144" i="67"/>
  <c r="DG145" i="67"/>
  <c r="DG146" i="67"/>
  <c r="DG147" i="67"/>
  <c r="DG148" i="67"/>
  <c r="DG149" i="67"/>
  <c r="DG150" i="67"/>
  <c r="DG151" i="67"/>
  <c r="DG152" i="67"/>
  <c r="DG153" i="67"/>
  <c r="DG154" i="67"/>
  <c r="DG155" i="67"/>
  <c r="DG156" i="67"/>
  <c r="DG157" i="67"/>
  <c r="DG158" i="67"/>
  <c r="DG159" i="67"/>
  <c r="DG160" i="67"/>
  <c r="DG161" i="67"/>
  <c r="DG162" i="67"/>
  <c r="DG163" i="67"/>
  <c r="DG164" i="67"/>
  <c r="DG165" i="67"/>
  <c r="DG166" i="67"/>
  <c r="DG167" i="67"/>
  <c r="DG168" i="67"/>
  <c r="DG169" i="67"/>
  <c r="DG170" i="67"/>
  <c r="DG171" i="67"/>
  <c r="DG172" i="67"/>
  <c r="DG173" i="67"/>
  <c r="DG174" i="67"/>
  <c r="DG175" i="67"/>
  <c r="DG176" i="67"/>
  <c r="DG178" i="67"/>
  <c r="DG179" i="67"/>
  <c r="DG180" i="67"/>
  <c r="DG181" i="67"/>
  <c r="DG182" i="67"/>
  <c r="DG183" i="67"/>
  <c r="DG184" i="67"/>
  <c r="DG185" i="67"/>
  <c r="DG186" i="67"/>
  <c r="DG187" i="67"/>
  <c r="DG188" i="67"/>
  <c r="DG189" i="67"/>
  <c r="DG190" i="67"/>
  <c r="DG191" i="67"/>
  <c r="DG192" i="67"/>
  <c r="DG193" i="67"/>
  <c r="DG8" i="67"/>
  <c r="F90" i="49"/>
  <c r="AJ208" i="71" l="1"/>
  <c r="AL208" i="71"/>
  <c r="P159" i="78"/>
  <c r="T159" i="78" s="1"/>
  <c r="P158" i="78"/>
  <c r="T158" i="78" s="1"/>
  <c r="P163" i="78"/>
  <c r="T163" i="78" s="1"/>
  <c r="P156" i="78"/>
  <c r="T156" i="78" s="1"/>
  <c r="P148" i="78"/>
  <c r="T148" i="78" s="1"/>
  <c r="P122" i="78"/>
  <c r="T122" i="78" s="1"/>
  <c r="P153" i="78"/>
  <c r="T153" i="78" s="1"/>
  <c r="P137" i="78"/>
  <c r="T137" i="78" s="1"/>
  <c r="H207" i="78"/>
  <c r="P144" i="78"/>
  <c r="T144" i="78" s="1"/>
  <c r="P110" i="78"/>
  <c r="T110" i="78" s="1"/>
  <c r="P136" i="78"/>
  <c r="T136" i="78" s="1"/>
  <c r="P69" i="78"/>
  <c r="T69" i="78" s="1"/>
  <c r="P149" i="78"/>
  <c r="T149" i="78" s="1"/>
  <c r="P86" i="78"/>
  <c r="T86" i="78" s="1"/>
  <c r="P109" i="78"/>
  <c r="T109" i="78" s="1"/>
  <c r="P84" i="78"/>
  <c r="T84" i="78" s="1"/>
  <c r="P125" i="78"/>
  <c r="T125" i="78" s="1"/>
  <c r="P164" i="78"/>
  <c r="T164" i="78" s="1"/>
  <c r="P92" i="78"/>
  <c r="T92" i="78" s="1"/>
  <c r="P53" i="78"/>
  <c r="T53" i="78" s="1"/>
  <c r="P157" i="78"/>
  <c r="T157" i="78" s="1"/>
  <c r="P94" i="78"/>
  <c r="T94" i="78" s="1"/>
  <c r="P174" i="78"/>
  <c r="T174" i="78" s="1"/>
  <c r="P150" i="78"/>
  <c r="T150" i="78" s="1"/>
  <c r="P131" i="78"/>
  <c r="T131" i="78" s="1"/>
  <c r="P147" i="78"/>
  <c r="T147" i="78" s="1"/>
  <c r="P130" i="78"/>
  <c r="T130" i="78" s="1"/>
  <c r="P64" i="78"/>
  <c r="T64" i="78" s="1"/>
  <c r="P103" i="78"/>
  <c r="T103" i="78" s="1"/>
  <c r="P38" i="78"/>
  <c r="T38" i="78" s="1"/>
  <c r="P76" i="78"/>
  <c r="T76" i="78" s="1"/>
  <c r="P90" i="78"/>
  <c r="T90" i="78" s="1"/>
  <c r="P72" i="78"/>
  <c r="T72" i="78" s="1"/>
  <c r="P7" i="78"/>
  <c r="T15" i="78"/>
  <c r="T23" i="78"/>
  <c r="T39" i="78"/>
  <c r="T8" i="78"/>
  <c r="T24" i="78"/>
  <c r="T32" i="78"/>
  <c r="T48" i="78"/>
  <c r="T25" i="78"/>
  <c r="T89" i="78"/>
  <c r="T113" i="78"/>
  <c r="T10" i="78"/>
  <c r="T34" i="78"/>
  <c r="T58" i="78"/>
  <c r="T82" i="78"/>
  <c r="T98" i="78"/>
  <c r="T114" i="78"/>
  <c r="T138" i="78"/>
  <c r="T35" i="78"/>
  <c r="T75" i="78"/>
  <c r="T99" i="78"/>
  <c r="T20" i="78"/>
  <c r="T44" i="78"/>
  <c r="T52" i="78"/>
  <c r="T29" i="78"/>
  <c r="T37" i="78"/>
  <c r="T45" i="78"/>
  <c r="T85" i="78"/>
  <c r="T14" i="78"/>
  <c r="T22" i="78"/>
  <c r="T30" i="78"/>
  <c r="T46" i="78"/>
  <c r="T70" i="78"/>
  <c r="P207" i="49"/>
  <c r="T7" i="78" l="1"/>
  <c r="GD9" i="67"/>
  <c r="GD10" i="67"/>
  <c r="GD11" i="67"/>
  <c r="GD12" i="67"/>
  <c r="GD13" i="67"/>
  <c r="GD14" i="67"/>
  <c r="GD15" i="67"/>
  <c r="GD16" i="67"/>
  <c r="GD17" i="67"/>
  <c r="GD18" i="67"/>
  <c r="GD19" i="67"/>
  <c r="GD20" i="67"/>
  <c r="GD21" i="67"/>
  <c r="GD22" i="67"/>
  <c r="GD23" i="67"/>
  <c r="GD24" i="67"/>
  <c r="GD25" i="67"/>
  <c r="GD26" i="67"/>
  <c r="GD27" i="67"/>
  <c r="GD28" i="67"/>
  <c r="GD29" i="67"/>
  <c r="GD30" i="67"/>
  <c r="GD31" i="67"/>
  <c r="GD32" i="67"/>
  <c r="GD33" i="67"/>
  <c r="GD34" i="67"/>
  <c r="GD35" i="67"/>
  <c r="GD36" i="67"/>
  <c r="GD37" i="67"/>
  <c r="GD38" i="67"/>
  <c r="GD39" i="67"/>
  <c r="GD40" i="67"/>
  <c r="GD41" i="67"/>
  <c r="GD42" i="67"/>
  <c r="GD43" i="67"/>
  <c r="GD44" i="67"/>
  <c r="GD45" i="67"/>
  <c r="GD46" i="67"/>
  <c r="GD47" i="67"/>
  <c r="GD48" i="67"/>
  <c r="GD49" i="67"/>
  <c r="GD50" i="67"/>
  <c r="GD51" i="67"/>
  <c r="GD52" i="67"/>
  <c r="GD53" i="67"/>
  <c r="GD54" i="67"/>
  <c r="GD55" i="67"/>
  <c r="GD56" i="67"/>
  <c r="GD57" i="67"/>
  <c r="GD58" i="67"/>
  <c r="GD59" i="67"/>
  <c r="GD60" i="67"/>
  <c r="GD61" i="67"/>
  <c r="GD62" i="67"/>
  <c r="GD63" i="67"/>
  <c r="GD64" i="67"/>
  <c r="GD65" i="67"/>
  <c r="GD66" i="67"/>
  <c r="GD67" i="67"/>
  <c r="GD68" i="67"/>
  <c r="GD69" i="67"/>
  <c r="GD70" i="67"/>
  <c r="GD71" i="67"/>
  <c r="GD72" i="67"/>
  <c r="GD73" i="67"/>
  <c r="GD74" i="67"/>
  <c r="GD75" i="67"/>
  <c r="GD76" i="67"/>
  <c r="GD77" i="67"/>
  <c r="GD78" i="67"/>
  <c r="GD79" i="67"/>
  <c r="GD80" i="67"/>
  <c r="GD81" i="67"/>
  <c r="GD82" i="67"/>
  <c r="GD83" i="67"/>
  <c r="GD84" i="67"/>
  <c r="GD85" i="67"/>
  <c r="GD86" i="67"/>
  <c r="GD87" i="67"/>
  <c r="GD88" i="67"/>
  <c r="GD89" i="67"/>
  <c r="GD90" i="67"/>
  <c r="GD91" i="67"/>
  <c r="GD92" i="67"/>
  <c r="GD93" i="67"/>
  <c r="GD94" i="67"/>
  <c r="GD95" i="67"/>
  <c r="GD96" i="67"/>
  <c r="GD97" i="67"/>
  <c r="GD98" i="67"/>
  <c r="GD99" i="67"/>
  <c r="GD100" i="67"/>
  <c r="GD101" i="67"/>
  <c r="GD102" i="67"/>
  <c r="GD103" i="67"/>
  <c r="GD104" i="67"/>
  <c r="GD105" i="67"/>
  <c r="GD106" i="67"/>
  <c r="GD107" i="67"/>
  <c r="GD108" i="67"/>
  <c r="GD109" i="67"/>
  <c r="GD110" i="67"/>
  <c r="GD111" i="67"/>
  <c r="GD112" i="67"/>
  <c r="GD113" i="67"/>
  <c r="GD114" i="67"/>
  <c r="GD115" i="67"/>
  <c r="GD116" i="67"/>
  <c r="GD117" i="67"/>
  <c r="GD118" i="67"/>
  <c r="GD119" i="67"/>
  <c r="GD120" i="67"/>
  <c r="GD121" i="67"/>
  <c r="GD122" i="67"/>
  <c r="GD123" i="67"/>
  <c r="GD124" i="67"/>
  <c r="GD125" i="67"/>
  <c r="GD126" i="67"/>
  <c r="GD127" i="67"/>
  <c r="GD128" i="67"/>
  <c r="GD129" i="67"/>
  <c r="GD130" i="67"/>
  <c r="GD131" i="67"/>
  <c r="GD132" i="67"/>
  <c r="GD133" i="67"/>
  <c r="GD134" i="67"/>
  <c r="GD135" i="67"/>
  <c r="GD136" i="67"/>
  <c r="GD137" i="67"/>
  <c r="GD138" i="67"/>
  <c r="GD139" i="67"/>
  <c r="GD140" i="67"/>
  <c r="GD141" i="67"/>
  <c r="GD142" i="67"/>
  <c r="GD143" i="67"/>
  <c r="GD144" i="67"/>
  <c r="GD145" i="67"/>
  <c r="GD146" i="67"/>
  <c r="GD147" i="67"/>
  <c r="GD148" i="67"/>
  <c r="GD149" i="67"/>
  <c r="GD150" i="67"/>
  <c r="GD151" i="67"/>
  <c r="GD152" i="67"/>
  <c r="GD153" i="67"/>
  <c r="GD154" i="67"/>
  <c r="GD155" i="67"/>
  <c r="GD156" i="67"/>
  <c r="GD157" i="67"/>
  <c r="GD158" i="67"/>
  <c r="GD159" i="67"/>
  <c r="GD160" i="67"/>
  <c r="GD161" i="67"/>
  <c r="GD162" i="67"/>
  <c r="GD163" i="67"/>
  <c r="GD164" i="67"/>
  <c r="GD165" i="67"/>
  <c r="GD166" i="67"/>
  <c r="GD167" i="67"/>
  <c r="GD168" i="67"/>
  <c r="GD169" i="67"/>
  <c r="GD170" i="67"/>
  <c r="GD171" i="67"/>
  <c r="GD172" i="67"/>
  <c r="GD173" i="67"/>
  <c r="GD174" i="67"/>
  <c r="GD175" i="67"/>
  <c r="GD176" i="67"/>
  <c r="GD178" i="67"/>
  <c r="GD179" i="67"/>
  <c r="GD180" i="67"/>
  <c r="GD181" i="67"/>
  <c r="GD182" i="67"/>
  <c r="GD183" i="67"/>
  <c r="GD184" i="67"/>
  <c r="GD185" i="67"/>
  <c r="GD186" i="67"/>
  <c r="GD187" i="67"/>
  <c r="GD188" i="67"/>
  <c r="GD189" i="67"/>
  <c r="GD190" i="67"/>
  <c r="GD191" i="67"/>
  <c r="GD192" i="67"/>
  <c r="GD193" i="67"/>
  <c r="GD8" i="67"/>
  <c r="FO9" i="67"/>
  <c r="FO10" i="67"/>
  <c r="FO11" i="67"/>
  <c r="FO12" i="67"/>
  <c r="FO13" i="67"/>
  <c r="FO14" i="67"/>
  <c r="FO15" i="67"/>
  <c r="FO16" i="67"/>
  <c r="FO17" i="67"/>
  <c r="FO18" i="67"/>
  <c r="FO19" i="67"/>
  <c r="FO20" i="67"/>
  <c r="FO21" i="67"/>
  <c r="FO22" i="67"/>
  <c r="FO23" i="67"/>
  <c r="FO24" i="67"/>
  <c r="FO25" i="67"/>
  <c r="FO26" i="67"/>
  <c r="FO27" i="67"/>
  <c r="FO28" i="67"/>
  <c r="FO29" i="67"/>
  <c r="FO30" i="67"/>
  <c r="FO31" i="67"/>
  <c r="FO32" i="67"/>
  <c r="FO33" i="67"/>
  <c r="FO34" i="67"/>
  <c r="FO35" i="67"/>
  <c r="FO36" i="67"/>
  <c r="FO37" i="67"/>
  <c r="FO38" i="67"/>
  <c r="FO39" i="67"/>
  <c r="FO40" i="67"/>
  <c r="FO41" i="67"/>
  <c r="FO42" i="67"/>
  <c r="FO43" i="67"/>
  <c r="FO44" i="67"/>
  <c r="FO45" i="67"/>
  <c r="FO46" i="67"/>
  <c r="FO47" i="67"/>
  <c r="FO48" i="67"/>
  <c r="FO49" i="67"/>
  <c r="FO50" i="67"/>
  <c r="FO51" i="67"/>
  <c r="FO52" i="67"/>
  <c r="FO53" i="67"/>
  <c r="FO54" i="67"/>
  <c r="FO55" i="67"/>
  <c r="FO56" i="67"/>
  <c r="FO57" i="67"/>
  <c r="FO58" i="67"/>
  <c r="FO59" i="67"/>
  <c r="FO60" i="67"/>
  <c r="FO61" i="67"/>
  <c r="FO62" i="67"/>
  <c r="FO63" i="67"/>
  <c r="FO64" i="67"/>
  <c r="FO65" i="67"/>
  <c r="FO66" i="67"/>
  <c r="FO67" i="67"/>
  <c r="FO68" i="67"/>
  <c r="FO69" i="67"/>
  <c r="FO70" i="67"/>
  <c r="FO71" i="67"/>
  <c r="FO72" i="67"/>
  <c r="FO73" i="67"/>
  <c r="FO74" i="67"/>
  <c r="FO75" i="67"/>
  <c r="FO76" i="67"/>
  <c r="FO77" i="67"/>
  <c r="FO78" i="67"/>
  <c r="FO79" i="67"/>
  <c r="FO80" i="67"/>
  <c r="FO81" i="67"/>
  <c r="FO82" i="67"/>
  <c r="FO83" i="67"/>
  <c r="FO84" i="67"/>
  <c r="FO85" i="67"/>
  <c r="FO86" i="67"/>
  <c r="FO87" i="67"/>
  <c r="FO88" i="67"/>
  <c r="FO89" i="67"/>
  <c r="FO90" i="67"/>
  <c r="FO91" i="67"/>
  <c r="FO92" i="67"/>
  <c r="FO93" i="67"/>
  <c r="FO94" i="67"/>
  <c r="FO95" i="67"/>
  <c r="FO96" i="67"/>
  <c r="FO97" i="67"/>
  <c r="FO98" i="67"/>
  <c r="FO99" i="67"/>
  <c r="FO100" i="67"/>
  <c r="FO101" i="67"/>
  <c r="FO102" i="67"/>
  <c r="FO103" i="67"/>
  <c r="FO104" i="67"/>
  <c r="FO105" i="67"/>
  <c r="FO106" i="67"/>
  <c r="FO107" i="67"/>
  <c r="FO108" i="67"/>
  <c r="FO109" i="67"/>
  <c r="FO110" i="67"/>
  <c r="FO111" i="67"/>
  <c r="FO112" i="67"/>
  <c r="FO113" i="67"/>
  <c r="FO114" i="67"/>
  <c r="FO115" i="67"/>
  <c r="FO116" i="67"/>
  <c r="FO117" i="67"/>
  <c r="FO118" i="67"/>
  <c r="FO119" i="67"/>
  <c r="FO120" i="67"/>
  <c r="FO121" i="67"/>
  <c r="FO122" i="67"/>
  <c r="FO123" i="67"/>
  <c r="FO124" i="67"/>
  <c r="FO125" i="67"/>
  <c r="FO126" i="67"/>
  <c r="FO127" i="67"/>
  <c r="FO128" i="67"/>
  <c r="FO129" i="67"/>
  <c r="FO130" i="67"/>
  <c r="FO131" i="67"/>
  <c r="FO132" i="67"/>
  <c r="FO133" i="67"/>
  <c r="FO134" i="67"/>
  <c r="FO135" i="67"/>
  <c r="FO136" i="67"/>
  <c r="FO137" i="67"/>
  <c r="FO138" i="67"/>
  <c r="FO139" i="67"/>
  <c r="FO140" i="67"/>
  <c r="FO141" i="67"/>
  <c r="FO142" i="67"/>
  <c r="FO143" i="67"/>
  <c r="FO144" i="67"/>
  <c r="FO145" i="67"/>
  <c r="FO146" i="67"/>
  <c r="FO147" i="67"/>
  <c r="FO148" i="67"/>
  <c r="FO149" i="67"/>
  <c r="FO150" i="67"/>
  <c r="FO151" i="67"/>
  <c r="FO152" i="67"/>
  <c r="FO153" i="67"/>
  <c r="FO154" i="67"/>
  <c r="FO155" i="67"/>
  <c r="FO156" i="67"/>
  <c r="FO157" i="67"/>
  <c r="FO158" i="67"/>
  <c r="FO159" i="67"/>
  <c r="FO160" i="67"/>
  <c r="FO161" i="67"/>
  <c r="FO162" i="67"/>
  <c r="FO163" i="67"/>
  <c r="FO164" i="67"/>
  <c r="FO165" i="67"/>
  <c r="FO166" i="67"/>
  <c r="FO167" i="67"/>
  <c r="FO168" i="67"/>
  <c r="FO169" i="67"/>
  <c r="FO170" i="67"/>
  <c r="FO171" i="67"/>
  <c r="FO172" i="67"/>
  <c r="FO173" i="67"/>
  <c r="FO174" i="67"/>
  <c r="FO175" i="67"/>
  <c r="FO176" i="67"/>
  <c r="FO178" i="67"/>
  <c r="FO179" i="67"/>
  <c r="FO180" i="67"/>
  <c r="FO181" i="67"/>
  <c r="FO182" i="67"/>
  <c r="FO183" i="67"/>
  <c r="FO184" i="67"/>
  <c r="FO185" i="67"/>
  <c r="FO186" i="67"/>
  <c r="FO187" i="67"/>
  <c r="FO188" i="67"/>
  <c r="FO189" i="67"/>
  <c r="FO190" i="67"/>
  <c r="FO191" i="67"/>
  <c r="FO192" i="67"/>
  <c r="FO193" i="67"/>
  <c r="FO8" i="67"/>
  <c r="EZ9" i="67"/>
  <c r="EZ10" i="67"/>
  <c r="EZ11" i="67"/>
  <c r="EZ12" i="67"/>
  <c r="EZ13" i="67"/>
  <c r="EZ14" i="67"/>
  <c r="EZ15" i="67"/>
  <c r="EZ16" i="67"/>
  <c r="EZ17" i="67"/>
  <c r="EZ18" i="67"/>
  <c r="EZ19" i="67"/>
  <c r="EZ20" i="67"/>
  <c r="EZ21" i="67"/>
  <c r="EZ22" i="67"/>
  <c r="EZ23" i="67"/>
  <c r="EZ24" i="67"/>
  <c r="EZ25" i="67"/>
  <c r="EZ26" i="67"/>
  <c r="EZ27" i="67"/>
  <c r="EZ28" i="67"/>
  <c r="EZ29" i="67"/>
  <c r="EZ30" i="67"/>
  <c r="EZ31" i="67"/>
  <c r="EZ32" i="67"/>
  <c r="EZ33" i="67"/>
  <c r="EZ34" i="67"/>
  <c r="EZ35" i="67"/>
  <c r="EZ36" i="67"/>
  <c r="EZ37" i="67"/>
  <c r="EZ38" i="67"/>
  <c r="EZ39" i="67"/>
  <c r="EZ40" i="67"/>
  <c r="EZ41" i="67"/>
  <c r="EZ42" i="67"/>
  <c r="EZ43" i="67"/>
  <c r="EZ44" i="67"/>
  <c r="EZ45" i="67"/>
  <c r="EZ46" i="67"/>
  <c r="EZ47" i="67"/>
  <c r="EZ48" i="67"/>
  <c r="EZ49" i="67"/>
  <c r="EZ50" i="67"/>
  <c r="EZ51" i="67"/>
  <c r="EZ52" i="67"/>
  <c r="EZ53" i="67"/>
  <c r="EZ54" i="67"/>
  <c r="EZ55" i="67"/>
  <c r="EZ56" i="67"/>
  <c r="EZ57" i="67"/>
  <c r="EZ58" i="67"/>
  <c r="EZ59" i="67"/>
  <c r="EZ60" i="67"/>
  <c r="EZ61" i="67"/>
  <c r="EZ62" i="67"/>
  <c r="EZ63" i="67"/>
  <c r="EZ64" i="67"/>
  <c r="EZ65" i="67"/>
  <c r="EZ66" i="67"/>
  <c r="EZ67" i="67"/>
  <c r="EZ68" i="67"/>
  <c r="EZ69" i="67"/>
  <c r="EZ70" i="67"/>
  <c r="EZ71" i="67"/>
  <c r="EZ72" i="67"/>
  <c r="EZ73" i="67"/>
  <c r="EZ74" i="67"/>
  <c r="EZ75" i="67"/>
  <c r="EZ76" i="67"/>
  <c r="EZ77" i="67"/>
  <c r="EZ78" i="67"/>
  <c r="EZ79" i="67"/>
  <c r="EZ80" i="67"/>
  <c r="EZ81" i="67"/>
  <c r="EZ82" i="67"/>
  <c r="EZ83" i="67"/>
  <c r="EZ84" i="67"/>
  <c r="EZ85" i="67"/>
  <c r="EZ86" i="67"/>
  <c r="EZ87" i="67"/>
  <c r="EZ88" i="67"/>
  <c r="EZ89" i="67"/>
  <c r="EZ90" i="67"/>
  <c r="EZ91" i="67"/>
  <c r="EZ92" i="67"/>
  <c r="EZ93" i="67"/>
  <c r="EZ94" i="67"/>
  <c r="EZ95" i="67"/>
  <c r="EZ96" i="67"/>
  <c r="EZ97" i="67"/>
  <c r="EZ98" i="67"/>
  <c r="EZ99" i="67"/>
  <c r="EZ100" i="67"/>
  <c r="EZ101" i="67"/>
  <c r="EZ102" i="67"/>
  <c r="EZ103" i="67"/>
  <c r="EZ104" i="67"/>
  <c r="EZ105" i="67"/>
  <c r="EZ106" i="67"/>
  <c r="EZ107" i="67"/>
  <c r="EZ108" i="67"/>
  <c r="EZ109" i="67"/>
  <c r="EZ110" i="67"/>
  <c r="EZ111" i="67"/>
  <c r="EZ112" i="67"/>
  <c r="EZ113" i="67"/>
  <c r="EZ114" i="67"/>
  <c r="EZ115" i="67"/>
  <c r="EZ116" i="67"/>
  <c r="EZ117" i="67"/>
  <c r="EZ118" i="67"/>
  <c r="EZ119" i="67"/>
  <c r="EZ120" i="67"/>
  <c r="EZ121" i="67"/>
  <c r="EZ122" i="67"/>
  <c r="EZ123" i="67"/>
  <c r="EZ124" i="67"/>
  <c r="EZ125" i="67"/>
  <c r="EZ126" i="67"/>
  <c r="EZ127" i="67"/>
  <c r="EZ128" i="67"/>
  <c r="EZ129" i="67"/>
  <c r="EZ130" i="67"/>
  <c r="EZ131" i="67"/>
  <c r="EZ132" i="67"/>
  <c r="EZ133" i="67"/>
  <c r="EZ134" i="67"/>
  <c r="EZ135" i="67"/>
  <c r="EZ136" i="67"/>
  <c r="EZ137" i="67"/>
  <c r="EZ138" i="67"/>
  <c r="EZ139" i="67"/>
  <c r="EZ140" i="67"/>
  <c r="EZ141" i="67"/>
  <c r="EZ142" i="67"/>
  <c r="EZ143" i="67"/>
  <c r="EZ144" i="67"/>
  <c r="EZ145" i="67"/>
  <c r="EZ146" i="67"/>
  <c r="EZ147" i="67"/>
  <c r="EZ148" i="67"/>
  <c r="EZ149" i="67"/>
  <c r="EZ150" i="67"/>
  <c r="EZ151" i="67"/>
  <c r="EZ152" i="67"/>
  <c r="EZ153" i="67"/>
  <c r="EZ154" i="67"/>
  <c r="EZ155" i="67"/>
  <c r="EZ156" i="67"/>
  <c r="EZ157" i="67"/>
  <c r="EZ158" i="67"/>
  <c r="EZ159" i="67"/>
  <c r="EZ160" i="67"/>
  <c r="EZ161" i="67"/>
  <c r="EZ162" i="67"/>
  <c r="EZ163" i="67"/>
  <c r="EZ164" i="67"/>
  <c r="EZ165" i="67"/>
  <c r="EZ166" i="67"/>
  <c r="EZ167" i="67"/>
  <c r="EZ168" i="67"/>
  <c r="EZ169" i="67"/>
  <c r="EZ170" i="67"/>
  <c r="EZ171" i="67"/>
  <c r="EZ172" i="67"/>
  <c r="EZ173" i="67"/>
  <c r="EZ174" i="67"/>
  <c r="EZ175" i="67"/>
  <c r="EZ176" i="67"/>
  <c r="EZ178" i="67"/>
  <c r="EZ179" i="67"/>
  <c r="EZ180" i="67"/>
  <c r="EZ181" i="67"/>
  <c r="EZ182" i="67"/>
  <c r="EZ183" i="67"/>
  <c r="EZ184" i="67"/>
  <c r="EZ185" i="67"/>
  <c r="EZ186" i="67"/>
  <c r="EZ187" i="67"/>
  <c r="EZ188" i="67"/>
  <c r="EZ189" i="67"/>
  <c r="EZ190" i="67"/>
  <c r="EZ191" i="67"/>
  <c r="EZ192" i="67"/>
  <c r="EZ193" i="67"/>
  <c r="EZ8" i="67"/>
  <c r="EK9" i="67"/>
  <c r="EK10" i="67"/>
  <c r="EK11" i="67"/>
  <c r="EK12" i="67"/>
  <c r="EK13" i="67"/>
  <c r="EK14" i="67"/>
  <c r="EK15" i="67"/>
  <c r="EK16" i="67"/>
  <c r="EK17" i="67"/>
  <c r="EK18" i="67"/>
  <c r="EK19" i="67"/>
  <c r="EK20" i="67"/>
  <c r="EK21" i="67"/>
  <c r="EK22" i="67"/>
  <c r="EK23" i="67"/>
  <c r="EK24" i="67"/>
  <c r="EK25" i="67"/>
  <c r="EK26" i="67"/>
  <c r="EK27" i="67"/>
  <c r="EK28" i="67"/>
  <c r="EK29" i="67"/>
  <c r="EK30" i="67"/>
  <c r="EK31" i="67"/>
  <c r="EK32" i="67"/>
  <c r="EK33" i="67"/>
  <c r="EK34" i="67"/>
  <c r="EK35" i="67"/>
  <c r="EK36" i="67"/>
  <c r="EK37" i="67"/>
  <c r="EK38" i="67"/>
  <c r="EK39" i="67"/>
  <c r="EK40" i="67"/>
  <c r="EK41" i="67"/>
  <c r="EK42" i="67"/>
  <c r="EK43" i="67"/>
  <c r="EK44" i="67"/>
  <c r="EK45" i="67"/>
  <c r="EK46" i="67"/>
  <c r="EK47" i="67"/>
  <c r="EK48" i="67"/>
  <c r="EK49" i="67"/>
  <c r="EK50" i="67"/>
  <c r="EK51" i="67"/>
  <c r="EK52" i="67"/>
  <c r="EK53" i="67"/>
  <c r="EK54" i="67"/>
  <c r="EK55" i="67"/>
  <c r="EK56" i="67"/>
  <c r="EK57" i="67"/>
  <c r="EK58" i="67"/>
  <c r="EK59" i="67"/>
  <c r="EK60" i="67"/>
  <c r="EK61" i="67"/>
  <c r="EK62" i="67"/>
  <c r="EK63" i="67"/>
  <c r="EK64" i="67"/>
  <c r="EK65" i="67"/>
  <c r="EK66" i="67"/>
  <c r="EK67" i="67"/>
  <c r="EK68" i="67"/>
  <c r="EK69" i="67"/>
  <c r="EK70" i="67"/>
  <c r="EK71" i="67"/>
  <c r="EK72" i="67"/>
  <c r="EK73" i="67"/>
  <c r="EK74" i="67"/>
  <c r="EK75" i="67"/>
  <c r="EK76" i="67"/>
  <c r="EK77" i="67"/>
  <c r="EK78" i="67"/>
  <c r="EK79" i="67"/>
  <c r="EK80" i="67"/>
  <c r="EK81" i="67"/>
  <c r="EK82" i="67"/>
  <c r="EK83" i="67"/>
  <c r="EK84" i="67"/>
  <c r="EK85" i="67"/>
  <c r="EK86" i="67"/>
  <c r="EK87" i="67"/>
  <c r="EK88" i="67"/>
  <c r="EK89" i="67"/>
  <c r="EK90" i="67"/>
  <c r="EK91" i="67"/>
  <c r="EK92" i="67"/>
  <c r="EK93" i="67"/>
  <c r="EK94" i="67"/>
  <c r="EK95" i="67"/>
  <c r="EK96" i="67"/>
  <c r="EK97" i="67"/>
  <c r="EK98" i="67"/>
  <c r="EK99" i="67"/>
  <c r="EK100" i="67"/>
  <c r="EK101" i="67"/>
  <c r="EK102" i="67"/>
  <c r="EK103" i="67"/>
  <c r="EK104" i="67"/>
  <c r="EK105" i="67"/>
  <c r="EK106" i="67"/>
  <c r="EK107" i="67"/>
  <c r="EK108" i="67"/>
  <c r="EK109" i="67"/>
  <c r="EK110" i="67"/>
  <c r="EK111" i="67"/>
  <c r="EK112" i="67"/>
  <c r="EK113" i="67"/>
  <c r="EK114" i="67"/>
  <c r="EK115" i="67"/>
  <c r="EK116" i="67"/>
  <c r="EK117" i="67"/>
  <c r="EK118" i="67"/>
  <c r="EK119" i="67"/>
  <c r="EK120" i="67"/>
  <c r="EK121" i="67"/>
  <c r="EK122" i="67"/>
  <c r="EK123" i="67"/>
  <c r="EK124" i="67"/>
  <c r="EK125" i="67"/>
  <c r="EK126" i="67"/>
  <c r="EK127" i="67"/>
  <c r="EK128" i="67"/>
  <c r="EK129" i="67"/>
  <c r="EK130" i="67"/>
  <c r="EK131" i="67"/>
  <c r="EK132" i="67"/>
  <c r="EK133" i="67"/>
  <c r="EK134" i="67"/>
  <c r="EK135" i="67"/>
  <c r="EK136" i="67"/>
  <c r="EK137" i="67"/>
  <c r="EK138" i="67"/>
  <c r="EK139" i="67"/>
  <c r="EK140" i="67"/>
  <c r="EK141" i="67"/>
  <c r="EK142" i="67"/>
  <c r="EK143" i="67"/>
  <c r="EK144" i="67"/>
  <c r="EK145" i="67"/>
  <c r="EK146" i="67"/>
  <c r="EK147" i="67"/>
  <c r="EK148" i="67"/>
  <c r="EK149" i="67"/>
  <c r="EK150" i="67"/>
  <c r="EK151" i="67"/>
  <c r="EK152" i="67"/>
  <c r="EK153" i="67"/>
  <c r="EK154" i="67"/>
  <c r="EK155" i="67"/>
  <c r="EK156" i="67"/>
  <c r="EK157" i="67"/>
  <c r="EK158" i="67"/>
  <c r="EK159" i="67"/>
  <c r="EK160" i="67"/>
  <c r="EK161" i="67"/>
  <c r="EK162" i="67"/>
  <c r="EK163" i="67"/>
  <c r="EK164" i="67"/>
  <c r="EK165" i="67"/>
  <c r="EK166" i="67"/>
  <c r="EK167" i="67"/>
  <c r="EK168" i="67"/>
  <c r="EK169" i="67"/>
  <c r="EK170" i="67"/>
  <c r="EK171" i="67"/>
  <c r="EK172" i="67"/>
  <c r="EK173" i="67"/>
  <c r="EK174" i="67"/>
  <c r="EK175" i="67"/>
  <c r="EK176" i="67"/>
  <c r="EK178" i="67"/>
  <c r="EK179" i="67"/>
  <c r="EK180" i="67"/>
  <c r="EK181" i="67"/>
  <c r="EK182" i="67"/>
  <c r="EK183" i="67"/>
  <c r="EK184" i="67"/>
  <c r="EK185" i="67"/>
  <c r="EK186" i="67"/>
  <c r="EK187" i="67"/>
  <c r="EK188" i="67"/>
  <c r="EK189" i="67"/>
  <c r="EK190" i="67"/>
  <c r="EK191" i="67"/>
  <c r="EK192" i="67"/>
  <c r="EK193" i="67"/>
  <c r="EK8" i="67"/>
  <c r="CR9" i="67"/>
  <c r="CR10" i="67"/>
  <c r="CR11" i="67"/>
  <c r="CR12" i="67"/>
  <c r="CR13" i="67"/>
  <c r="CR14" i="67"/>
  <c r="CR15" i="67"/>
  <c r="CR16" i="67"/>
  <c r="CR17" i="67"/>
  <c r="CR18" i="67"/>
  <c r="CR19" i="67"/>
  <c r="CR20" i="67"/>
  <c r="CR21" i="67"/>
  <c r="CR22" i="67"/>
  <c r="CR23" i="67"/>
  <c r="CR24" i="67"/>
  <c r="CR25" i="67"/>
  <c r="CR26" i="67"/>
  <c r="CR27" i="67"/>
  <c r="CR28" i="67"/>
  <c r="CR29" i="67"/>
  <c r="CR30" i="67"/>
  <c r="CR31" i="67"/>
  <c r="CR32" i="67"/>
  <c r="CR33" i="67"/>
  <c r="CR34" i="67"/>
  <c r="CR35" i="67"/>
  <c r="CR36" i="67"/>
  <c r="CR37" i="67"/>
  <c r="CR38" i="67"/>
  <c r="CR39" i="67"/>
  <c r="CR40" i="67"/>
  <c r="CR41" i="67"/>
  <c r="CR42" i="67"/>
  <c r="CR43" i="67"/>
  <c r="CR44" i="67"/>
  <c r="CR45" i="67"/>
  <c r="CR46" i="67"/>
  <c r="CR47" i="67"/>
  <c r="CR48" i="67"/>
  <c r="CR49" i="67"/>
  <c r="CR50" i="67"/>
  <c r="CR51" i="67"/>
  <c r="CR52" i="67"/>
  <c r="CR53" i="67"/>
  <c r="CR54" i="67"/>
  <c r="CR55" i="67"/>
  <c r="CR56" i="67"/>
  <c r="CR57" i="67"/>
  <c r="CR58" i="67"/>
  <c r="CR59" i="67"/>
  <c r="CR60" i="67"/>
  <c r="CR61" i="67"/>
  <c r="CR62" i="67"/>
  <c r="CR63" i="67"/>
  <c r="CR64" i="67"/>
  <c r="CR65" i="67"/>
  <c r="CR66" i="67"/>
  <c r="CR67" i="67"/>
  <c r="CR68" i="67"/>
  <c r="CR69" i="67"/>
  <c r="CR70" i="67"/>
  <c r="CR71" i="67"/>
  <c r="CR72" i="67"/>
  <c r="CR73" i="67"/>
  <c r="CR74" i="67"/>
  <c r="CR75" i="67"/>
  <c r="CR76" i="67"/>
  <c r="CR77" i="67"/>
  <c r="CR78" i="67"/>
  <c r="CR79" i="67"/>
  <c r="CR80" i="67"/>
  <c r="CR81" i="67"/>
  <c r="CR82" i="67"/>
  <c r="CR83" i="67"/>
  <c r="CR84" i="67"/>
  <c r="CR85" i="67"/>
  <c r="CR86" i="67"/>
  <c r="CR87" i="67"/>
  <c r="CR88" i="67"/>
  <c r="CR89" i="67"/>
  <c r="CR90" i="67"/>
  <c r="CR91" i="67"/>
  <c r="CR92" i="67"/>
  <c r="CR93" i="67"/>
  <c r="CR94" i="67"/>
  <c r="CR95" i="67"/>
  <c r="CR96" i="67"/>
  <c r="CR194" i="67"/>
  <c r="CR97" i="67"/>
  <c r="CR98" i="67"/>
  <c r="CR99" i="67"/>
  <c r="CR100" i="67"/>
  <c r="CR101" i="67"/>
  <c r="CR102" i="67"/>
  <c r="CR103" i="67"/>
  <c r="CR104" i="67"/>
  <c r="CR105" i="67"/>
  <c r="CR106" i="67"/>
  <c r="CR107" i="67"/>
  <c r="CR108" i="67"/>
  <c r="CR109" i="67"/>
  <c r="CR110" i="67"/>
  <c r="CR111" i="67"/>
  <c r="CR112" i="67"/>
  <c r="CR113" i="67"/>
  <c r="CR114" i="67"/>
  <c r="CR115" i="67"/>
  <c r="CR116" i="67"/>
  <c r="CR117" i="67"/>
  <c r="CR118" i="67"/>
  <c r="CR119" i="67"/>
  <c r="CR120" i="67"/>
  <c r="CR121" i="67"/>
  <c r="CR122" i="67"/>
  <c r="CR123" i="67"/>
  <c r="CR124" i="67"/>
  <c r="CR125" i="67"/>
  <c r="CR126" i="67"/>
  <c r="CR127" i="67"/>
  <c r="CR128" i="67"/>
  <c r="CR129" i="67"/>
  <c r="CR130" i="67"/>
  <c r="CR131" i="67"/>
  <c r="CR132" i="67"/>
  <c r="CR133" i="67"/>
  <c r="CR134" i="67"/>
  <c r="CR135" i="67"/>
  <c r="CR136" i="67"/>
  <c r="CR137" i="67"/>
  <c r="CR138" i="67"/>
  <c r="CR139" i="67"/>
  <c r="CR140" i="67"/>
  <c r="CR141" i="67"/>
  <c r="CR142" i="67"/>
  <c r="CR143" i="67"/>
  <c r="CR144" i="67"/>
  <c r="CR145" i="67"/>
  <c r="CR146" i="67"/>
  <c r="CR147" i="67"/>
  <c r="CR148" i="67"/>
  <c r="CR149" i="67"/>
  <c r="CR150" i="67"/>
  <c r="CR151" i="67"/>
  <c r="CR152" i="67"/>
  <c r="CR153" i="67"/>
  <c r="CR154" i="67"/>
  <c r="CR155" i="67"/>
  <c r="CR156" i="67"/>
  <c r="CR157" i="67"/>
  <c r="CR158" i="67"/>
  <c r="CR159" i="67"/>
  <c r="CR160" i="67"/>
  <c r="CR161" i="67"/>
  <c r="CR162" i="67"/>
  <c r="CR163" i="67"/>
  <c r="CR164" i="67"/>
  <c r="CR165" i="67"/>
  <c r="CR166" i="67"/>
  <c r="CR167" i="67"/>
  <c r="CR168" i="67"/>
  <c r="CR169" i="67"/>
  <c r="CR170" i="67"/>
  <c r="CR171" i="67"/>
  <c r="CR172" i="67"/>
  <c r="CR173" i="67"/>
  <c r="CR174" i="67"/>
  <c r="CR175" i="67"/>
  <c r="CR176" i="67"/>
  <c r="CR178" i="67"/>
  <c r="CR179" i="67"/>
  <c r="CR180" i="67"/>
  <c r="CR181" i="67"/>
  <c r="CR182" i="67"/>
  <c r="CR183" i="67"/>
  <c r="CR184" i="67"/>
  <c r="CR185" i="67"/>
  <c r="CR186" i="67"/>
  <c r="CR187" i="67"/>
  <c r="CR188" i="67"/>
  <c r="CR189" i="67"/>
  <c r="CR190" i="67"/>
  <c r="CR191" i="67"/>
  <c r="CR192" i="67"/>
  <c r="CR193" i="67"/>
  <c r="CR8" i="67"/>
  <c r="Y111" i="68"/>
  <c r="DG177" i="67" s="1"/>
  <c r="DG208" i="67" s="1"/>
  <c r="F9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105" i="71"/>
  <c r="F106" i="71"/>
  <c r="F107" i="71"/>
  <c r="F108" i="71"/>
  <c r="F109" i="71"/>
  <c r="F110" i="71"/>
  <c r="F111" i="71"/>
  <c r="F112" i="71"/>
  <c r="F113" i="71"/>
  <c r="F114" i="71"/>
  <c r="F115" i="71"/>
  <c r="F116" i="71"/>
  <c r="F117" i="71"/>
  <c r="F118" i="71"/>
  <c r="F119" i="71"/>
  <c r="F120" i="71"/>
  <c r="F121" i="71"/>
  <c r="F122" i="71"/>
  <c r="F123" i="71"/>
  <c r="F124" i="71"/>
  <c r="F125" i="71"/>
  <c r="F126" i="71"/>
  <c r="F127" i="71"/>
  <c r="F128" i="71"/>
  <c r="F129" i="71"/>
  <c r="F130" i="71"/>
  <c r="F131" i="71"/>
  <c r="F132" i="71"/>
  <c r="F133" i="71"/>
  <c r="F134" i="71"/>
  <c r="F135" i="71"/>
  <c r="F136" i="71"/>
  <c r="F137" i="71"/>
  <c r="F138" i="71"/>
  <c r="F139" i="71"/>
  <c r="F140" i="71"/>
  <c r="F141" i="71"/>
  <c r="F142" i="71"/>
  <c r="F143" i="71"/>
  <c r="F144" i="71"/>
  <c r="F145" i="71"/>
  <c r="F146" i="71"/>
  <c r="F147" i="71"/>
  <c r="F148" i="71"/>
  <c r="F149" i="71"/>
  <c r="F150" i="71"/>
  <c r="F151" i="71"/>
  <c r="F152" i="71"/>
  <c r="F153" i="71"/>
  <c r="F154" i="71"/>
  <c r="F155" i="71"/>
  <c r="F156" i="71"/>
  <c r="F157" i="71"/>
  <c r="F158" i="71"/>
  <c r="F159" i="71"/>
  <c r="F160" i="71"/>
  <c r="F161" i="71"/>
  <c r="F162" i="71"/>
  <c r="F163" i="71"/>
  <c r="F164" i="71"/>
  <c r="F165" i="71"/>
  <c r="F166" i="71"/>
  <c r="F167" i="71"/>
  <c r="F168" i="71"/>
  <c r="F169" i="71"/>
  <c r="F170" i="71"/>
  <c r="F171" i="71"/>
  <c r="F172" i="71"/>
  <c r="F173" i="71"/>
  <c r="F174" i="71"/>
  <c r="F175" i="71"/>
  <c r="F176" i="71"/>
  <c r="F177" i="71"/>
  <c r="F178" i="71"/>
  <c r="F179" i="71"/>
  <c r="F180" i="71"/>
  <c r="F181" i="71"/>
  <c r="F182" i="71"/>
  <c r="F183" i="71"/>
  <c r="F184" i="71"/>
  <c r="F185" i="71"/>
  <c r="F186" i="71"/>
  <c r="F187" i="71"/>
  <c r="F188" i="71"/>
  <c r="F189" i="71"/>
  <c r="F190" i="71"/>
  <c r="F191" i="71"/>
  <c r="F192" i="71"/>
  <c r="F193" i="71"/>
  <c r="F194" i="71"/>
  <c r="F195" i="71"/>
  <c r="F196" i="71"/>
  <c r="F197" i="71"/>
  <c r="F198" i="71"/>
  <c r="F199" i="71"/>
  <c r="F200" i="71"/>
  <c r="F201" i="71"/>
  <c r="F202" i="71"/>
  <c r="F203" i="71"/>
  <c r="F204" i="71"/>
  <c r="F205" i="71"/>
  <c r="F206" i="71"/>
  <c r="F207" i="71"/>
  <c r="F8" i="71"/>
  <c r="FO177" i="67" l="1"/>
  <c r="EK177" i="67"/>
  <c r="EK208" i="67" s="1"/>
  <c r="GD177" i="67"/>
  <c r="CR177" i="67"/>
  <c r="EZ177" i="67"/>
  <c r="EZ208" i="67" s="1"/>
  <c r="N30" i="71"/>
  <c r="N91" i="7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194" i="61"/>
  <c r="F195" i="61"/>
  <c r="F196" i="61"/>
  <c r="F197" i="61"/>
  <c r="F198" i="61"/>
  <c r="F199" i="61"/>
  <c r="F200" i="61"/>
  <c r="F201" i="61"/>
  <c r="F202" i="61"/>
  <c r="F203" i="61"/>
  <c r="F204" i="61"/>
  <c r="F205" i="61"/>
  <c r="F206" i="61"/>
  <c r="F207" i="61"/>
  <c r="F8" i="61"/>
  <c r="BE73" i="61" l="1"/>
  <c r="BT115" i="61"/>
  <c r="CK111" i="67" s="1"/>
  <c r="BJ115" i="61"/>
  <c r="BO117" i="61"/>
  <c r="BE117" i="61"/>
  <c r="BS111" i="61"/>
  <c r="BI111" i="61"/>
  <c r="BQ118" i="61"/>
  <c r="BG118" i="61"/>
  <c r="BQ110" i="61"/>
  <c r="BG110" i="61"/>
  <c r="BS207" i="61"/>
  <c r="BI207" i="61"/>
  <c r="BQ194" i="61"/>
  <c r="BG194" i="61"/>
  <c r="BS184" i="61"/>
  <c r="BI184" i="61"/>
  <c r="BO182" i="61"/>
  <c r="BE182" i="61"/>
  <c r="BS179" i="61"/>
  <c r="BI179" i="61"/>
  <c r="BQ172" i="61"/>
  <c r="BG172" i="61"/>
  <c r="BS165" i="61"/>
  <c r="BI165" i="61"/>
  <c r="BQ153" i="61"/>
  <c r="BG153" i="61"/>
  <c r="BQ147" i="61"/>
  <c r="BG147" i="61"/>
  <c r="BS143" i="61"/>
  <c r="BI143" i="61"/>
  <c r="BQ136" i="61"/>
  <c r="BG136" i="61"/>
  <c r="BS132" i="61"/>
  <c r="BI132" i="61"/>
  <c r="BO129" i="61"/>
  <c r="BE129" i="61"/>
  <c r="BS123" i="61"/>
  <c r="BI123" i="61"/>
  <c r="BQ117" i="61"/>
  <c r="BG117" i="61"/>
  <c r="BQ107" i="61"/>
  <c r="BG107" i="61"/>
  <c r="BI100" i="61"/>
  <c r="BQ92" i="61"/>
  <c r="BG92" i="61"/>
  <c r="BQ86" i="61"/>
  <c r="BG86" i="61"/>
  <c r="BS82" i="61"/>
  <c r="BI82" i="61"/>
  <c r="BQ70" i="61"/>
  <c r="BG70" i="61"/>
  <c r="BS62" i="61"/>
  <c r="BI62" i="61"/>
  <c r="BO58" i="61"/>
  <c r="BE58" i="61"/>
  <c r="BS55" i="61"/>
  <c r="BI55" i="61"/>
  <c r="BS47" i="61"/>
  <c r="BI47" i="61"/>
  <c r="BO43" i="61"/>
  <c r="BE43" i="61"/>
  <c r="BS36" i="61"/>
  <c r="BI36" i="61"/>
  <c r="BQ27" i="61"/>
  <c r="BG27" i="61"/>
  <c r="BQ20" i="61"/>
  <c r="BG20" i="61"/>
  <c r="BS16" i="61"/>
  <c r="BI16" i="61"/>
  <c r="BO10" i="61"/>
  <c r="BE10" i="61"/>
  <c r="BT21" i="61"/>
  <c r="CK21" i="67" s="1"/>
  <c r="BJ21" i="61"/>
  <c r="BT196" i="61"/>
  <c r="CK183" i="67" s="1"/>
  <c r="BJ196" i="61"/>
  <c r="BT164" i="61"/>
  <c r="CK158" i="67" s="1"/>
  <c r="BJ164" i="61"/>
  <c r="BF205" i="61"/>
  <c r="BP194" i="61"/>
  <c r="BF194" i="61"/>
  <c r="BR184" i="61"/>
  <c r="BH184" i="61"/>
  <c r="BR179" i="61"/>
  <c r="BH179" i="61"/>
  <c r="BU175" i="61"/>
  <c r="BK175" i="61"/>
  <c r="BP172" i="61"/>
  <c r="BF172" i="61"/>
  <c r="BP164" i="61"/>
  <c r="BF164" i="61"/>
  <c r="BR158" i="61"/>
  <c r="BH158" i="61"/>
  <c r="BR148" i="61"/>
  <c r="BH148" i="61"/>
  <c r="BR143" i="61"/>
  <c r="BH143" i="61"/>
  <c r="BU138" i="61"/>
  <c r="BK138" i="61"/>
  <c r="BP136" i="61"/>
  <c r="BF136" i="61"/>
  <c r="BP130" i="61"/>
  <c r="BF130" i="61"/>
  <c r="BR123" i="61"/>
  <c r="BH123" i="61"/>
  <c r="BR118" i="61"/>
  <c r="BH118" i="61"/>
  <c r="BR110" i="61"/>
  <c r="BH110" i="61"/>
  <c r="BU104" i="61"/>
  <c r="BK104" i="61"/>
  <c r="BP98" i="61"/>
  <c r="BF98" i="61"/>
  <c r="BP92" i="61"/>
  <c r="BF92" i="61"/>
  <c r="BR87" i="61"/>
  <c r="BH87" i="61"/>
  <c r="BR82" i="61"/>
  <c r="BH82" i="61"/>
  <c r="BU73" i="61"/>
  <c r="BK73" i="61"/>
  <c r="BP70" i="61"/>
  <c r="BF70" i="61"/>
  <c r="BP59" i="61"/>
  <c r="BF59" i="61"/>
  <c r="BR55" i="61"/>
  <c r="BH55" i="61"/>
  <c r="BR47" i="61"/>
  <c r="BH47" i="61"/>
  <c r="BR36" i="61"/>
  <c r="BH36" i="61"/>
  <c r="BK31" i="61"/>
  <c r="BP27" i="61"/>
  <c r="BF27" i="61"/>
  <c r="BP20" i="61"/>
  <c r="BF20" i="61"/>
  <c r="BR16" i="61"/>
  <c r="BH16" i="61"/>
  <c r="BU9" i="61"/>
  <c r="BK9" i="61"/>
  <c r="BT12" i="61"/>
  <c r="CK12" i="67" s="1"/>
  <c r="BJ12" i="61"/>
  <c r="BT195" i="61"/>
  <c r="CK193" i="67" s="1"/>
  <c r="BJ195" i="61"/>
  <c r="BT179" i="61"/>
  <c r="CK165" i="67" s="1"/>
  <c r="BJ179" i="61"/>
  <c r="BT163" i="61"/>
  <c r="CK157" i="67" s="1"/>
  <c r="BJ163" i="61"/>
  <c r="BT147" i="61"/>
  <c r="CK142" i="67" s="1"/>
  <c r="BJ147" i="61"/>
  <c r="BT139" i="61"/>
  <c r="CK135" i="67" s="1"/>
  <c r="BJ139" i="61"/>
  <c r="BT123" i="61"/>
  <c r="CK119" i="67" s="1"/>
  <c r="BJ123" i="61"/>
  <c r="BQ207" i="61"/>
  <c r="BG207" i="61"/>
  <c r="BG199" i="61"/>
  <c r="BQ184" i="61"/>
  <c r="BG184" i="61"/>
  <c r="BS181" i="61"/>
  <c r="BI181" i="61"/>
  <c r="BO178" i="61"/>
  <c r="BE178" i="61"/>
  <c r="BG173" i="61"/>
  <c r="BQ165" i="61"/>
  <c r="BG165" i="61"/>
  <c r="BS161" i="61"/>
  <c r="BI161" i="61"/>
  <c r="BO153" i="61"/>
  <c r="BE153" i="61"/>
  <c r="BS149" i="61"/>
  <c r="BI149" i="61"/>
  <c r="BO147" i="61"/>
  <c r="BE147" i="61"/>
  <c r="BS144" i="61"/>
  <c r="BI144" i="61"/>
  <c r="BO142" i="61"/>
  <c r="BE142" i="61"/>
  <c r="BS138" i="61"/>
  <c r="BI138" i="61"/>
  <c r="BO136" i="61"/>
  <c r="BE136" i="61"/>
  <c r="BS133" i="61"/>
  <c r="BI133" i="61"/>
  <c r="BO130" i="61"/>
  <c r="BE130" i="61"/>
  <c r="BQ123" i="61"/>
  <c r="BG123" i="61"/>
  <c r="BS119" i="61"/>
  <c r="BI119" i="61"/>
  <c r="BO107" i="61"/>
  <c r="BE107" i="61"/>
  <c r="BG205" i="61"/>
  <c r="BE202" i="61"/>
  <c r="BI199" i="61"/>
  <c r="BO193" i="61"/>
  <c r="BE193" i="61"/>
  <c r="BQ183" i="61"/>
  <c r="BG183" i="61"/>
  <c r="BQ178" i="61"/>
  <c r="BG178" i="61"/>
  <c r="BO177" i="61"/>
  <c r="BE177" i="61"/>
  <c r="BI173" i="61"/>
  <c r="BO170" i="61"/>
  <c r="BE170" i="61"/>
  <c r="BQ164" i="61"/>
  <c r="BG164" i="61"/>
  <c r="BE162" i="61"/>
  <c r="BS158" i="61"/>
  <c r="BI158" i="61"/>
  <c r="BO151" i="61"/>
  <c r="BE151" i="61"/>
  <c r="BS148" i="61"/>
  <c r="BI148" i="61"/>
  <c r="BO146" i="61"/>
  <c r="BE146" i="61"/>
  <c r="BQ142" i="61"/>
  <c r="BG142" i="61"/>
  <c r="BO140" i="61"/>
  <c r="BE140" i="61"/>
  <c r="BS137" i="61"/>
  <c r="BI137" i="61"/>
  <c r="BO135" i="61"/>
  <c r="BE135" i="61"/>
  <c r="BQ130" i="61"/>
  <c r="BG130" i="61"/>
  <c r="BQ121" i="61"/>
  <c r="BG121" i="61"/>
  <c r="BO120" i="61"/>
  <c r="BE120" i="61"/>
  <c r="BS118" i="61"/>
  <c r="BI118" i="61"/>
  <c r="BO115" i="61"/>
  <c r="BE115" i="61"/>
  <c r="BS110" i="61"/>
  <c r="BI110" i="61"/>
  <c r="BO105" i="61"/>
  <c r="BE105" i="61"/>
  <c r="BQ98" i="61"/>
  <c r="BG98" i="61"/>
  <c r="BO95" i="61"/>
  <c r="BE95" i="61"/>
  <c r="BS93" i="61"/>
  <c r="BI93" i="61"/>
  <c r="BO90" i="61"/>
  <c r="BE90" i="61"/>
  <c r="BS87" i="61"/>
  <c r="BI87" i="61"/>
  <c r="BO84" i="61"/>
  <c r="BE84" i="61"/>
  <c r="BQ81" i="61"/>
  <c r="BG81" i="61"/>
  <c r="BO77" i="61"/>
  <c r="BE77" i="61"/>
  <c r="BS71" i="61"/>
  <c r="BI71" i="61"/>
  <c r="BO66" i="61"/>
  <c r="BE66" i="61"/>
  <c r="BQ59" i="61"/>
  <c r="BG59" i="61"/>
  <c r="BQ53" i="61"/>
  <c r="BG53" i="61"/>
  <c r="BO51" i="61"/>
  <c r="BE51" i="61"/>
  <c r="BQ45" i="61"/>
  <c r="BG45" i="61"/>
  <c r="BQ35" i="61"/>
  <c r="BG35" i="61"/>
  <c r="BO33" i="61"/>
  <c r="BE33" i="61"/>
  <c r="BS28" i="61"/>
  <c r="BI28" i="61"/>
  <c r="BO25" i="61"/>
  <c r="BE25" i="61"/>
  <c r="BS21" i="61"/>
  <c r="BI21" i="61"/>
  <c r="BO18" i="61"/>
  <c r="BE18" i="61"/>
  <c r="BQ12" i="61"/>
  <c r="BG12" i="61"/>
  <c r="BT8" i="61"/>
  <c r="CK8" i="67" s="1"/>
  <c r="BJ8" i="61"/>
  <c r="BT13" i="61"/>
  <c r="CK13" i="67" s="1"/>
  <c r="BJ13" i="61"/>
  <c r="BJ204" i="61"/>
  <c r="BT188" i="61"/>
  <c r="CK177" i="67" s="1"/>
  <c r="BJ188" i="61"/>
  <c r="BT180" i="61"/>
  <c r="CK168" i="67" s="1"/>
  <c r="BJ180" i="61"/>
  <c r="BT172" i="61"/>
  <c r="CK176" i="67" s="1"/>
  <c r="BJ172" i="61"/>
  <c r="BT156" i="61"/>
  <c r="CK151" i="67" s="1"/>
  <c r="BJ156" i="61"/>
  <c r="BR207" i="61"/>
  <c r="BH207" i="61"/>
  <c r="BU200" i="61"/>
  <c r="BK200" i="61"/>
  <c r="BH199" i="61"/>
  <c r="BU185" i="61"/>
  <c r="BK185" i="61"/>
  <c r="BP183" i="61"/>
  <c r="BF183" i="61"/>
  <c r="BU181" i="61"/>
  <c r="BK181" i="61"/>
  <c r="BP178" i="61"/>
  <c r="BF178" i="61"/>
  <c r="BH173" i="61"/>
  <c r="BU166" i="61"/>
  <c r="BK166" i="61"/>
  <c r="BR165" i="61"/>
  <c r="BH165" i="61"/>
  <c r="BU161" i="61"/>
  <c r="BK161" i="61"/>
  <c r="BP153" i="61"/>
  <c r="BF153" i="61"/>
  <c r="BU149" i="61"/>
  <c r="BK149" i="61"/>
  <c r="BP147" i="61"/>
  <c r="BF147" i="61"/>
  <c r="BU144" i="61"/>
  <c r="BK144" i="61"/>
  <c r="BP142" i="61"/>
  <c r="BF142" i="61"/>
  <c r="BR137" i="61"/>
  <c r="BH137" i="61"/>
  <c r="BU133" i="61"/>
  <c r="BK133" i="61"/>
  <c r="BR132" i="61"/>
  <c r="BH132" i="61"/>
  <c r="BU127" i="61"/>
  <c r="BK127" i="61"/>
  <c r="BP121" i="61"/>
  <c r="BF121" i="61"/>
  <c r="BU119" i="61"/>
  <c r="BK119" i="61"/>
  <c r="BP117" i="61"/>
  <c r="BF117" i="61"/>
  <c r="BU111" i="61"/>
  <c r="BK111" i="61"/>
  <c r="BP107" i="61"/>
  <c r="BF107" i="61"/>
  <c r="BH100" i="61"/>
  <c r="BU94" i="61"/>
  <c r="BK94" i="61"/>
  <c r="BR93" i="61"/>
  <c r="BH93" i="61"/>
  <c r="BU88" i="61"/>
  <c r="BK88" i="61"/>
  <c r="BP86" i="61"/>
  <c r="BF86" i="61"/>
  <c r="BU83" i="61"/>
  <c r="BK83" i="61"/>
  <c r="BP81" i="61"/>
  <c r="BF81" i="61"/>
  <c r="BR71" i="61"/>
  <c r="BH71" i="61"/>
  <c r="BU65" i="61"/>
  <c r="BK65" i="61"/>
  <c r="BR62" i="61"/>
  <c r="BH62" i="61"/>
  <c r="BU56" i="61"/>
  <c r="BK56" i="61"/>
  <c r="BP53" i="61"/>
  <c r="BF53" i="61"/>
  <c r="BU48" i="61"/>
  <c r="BK48" i="61"/>
  <c r="BP45" i="61"/>
  <c r="BF45" i="61"/>
  <c r="BU41" i="61"/>
  <c r="BK41" i="61"/>
  <c r="BP35" i="61"/>
  <c r="BF35" i="61"/>
  <c r="BR28" i="61"/>
  <c r="BH28" i="61"/>
  <c r="BU24" i="61"/>
  <c r="BK24" i="61"/>
  <c r="BR21" i="61"/>
  <c r="BH21" i="61"/>
  <c r="BU17" i="61"/>
  <c r="BK17" i="61"/>
  <c r="BP12" i="61"/>
  <c r="BF12" i="61"/>
  <c r="BT28" i="61"/>
  <c r="CK28" i="67" s="1"/>
  <c r="BJ28" i="61"/>
  <c r="BT20" i="61"/>
  <c r="CK20" i="67" s="1"/>
  <c r="BJ20" i="61"/>
  <c r="BT203" i="61"/>
  <c r="CK186" i="67" s="1"/>
  <c r="BJ203" i="61"/>
  <c r="BT187" i="61"/>
  <c r="CK174" i="67" s="1"/>
  <c r="BJ187" i="61"/>
  <c r="BT171" i="61"/>
  <c r="CK175" i="67" s="1"/>
  <c r="BJ171" i="61"/>
  <c r="BT155" i="61"/>
  <c r="CK150" i="67" s="1"/>
  <c r="BJ155" i="61"/>
  <c r="BT131" i="61"/>
  <c r="CK127" i="67" s="1"/>
  <c r="BJ131" i="61"/>
  <c r="BE205" i="61"/>
  <c r="BS200" i="61"/>
  <c r="BI200" i="61"/>
  <c r="BO194" i="61"/>
  <c r="BE194" i="61"/>
  <c r="BS185" i="61"/>
  <c r="BI185" i="61"/>
  <c r="BO183" i="61"/>
  <c r="BE183" i="61"/>
  <c r="BQ179" i="61"/>
  <c r="BG179" i="61"/>
  <c r="BS175" i="61"/>
  <c r="BI175" i="61"/>
  <c r="BO172" i="61"/>
  <c r="BE172" i="61"/>
  <c r="BS166" i="61"/>
  <c r="BI166" i="61"/>
  <c r="BO164" i="61"/>
  <c r="BE164" i="61"/>
  <c r="BQ158" i="61"/>
  <c r="BG158" i="61"/>
  <c r="BQ148" i="61"/>
  <c r="BG148" i="61"/>
  <c r="BQ143" i="61"/>
  <c r="BG143" i="61"/>
  <c r="BQ137" i="61"/>
  <c r="BG137" i="61"/>
  <c r="BQ132" i="61"/>
  <c r="BG132" i="61"/>
  <c r="BS127" i="61"/>
  <c r="BI127" i="61"/>
  <c r="BO121" i="61"/>
  <c r="BE121" i="61"/>
  <c r="BS104" i="61"/>
  <c r="BI104" i="61"/>
  <c r="BT148" i="61"/>
  <c r="CK143" i="67" s="1"/>
  <c r="BJ148" i="61"/>
  <c r="BT107" i="61"/>
  <c r="CK103" i="67" s="1"/>
  <c r="BJ107" i="61"/>
  <c r="BT99" i="61"/>
  <c r="CK96" i="67" s="1"/>
  <c r="BJ99" i="61"/>
  <c r="BT83" i="61"/>
  <c r="CK81" i="67" s="1"/>
  <c r="BJ83" i="61"/>
  <c r="BT75" i="61"/>
  <c r="CK73" i="67" s="1"/>
  <c r="BJ75" i="61"/>
  <c r="BT67" i="61"/>
  <c r="CK65" i="67" s="1"/>
  <c r="BJ67" i="61"/>
  <c r="BT59" i="61"/>
  <c r="CK57" i="67" s="1"/>
  <c r="BJ59" i="61"/>
  <c r="BT51" i="61"/>
  <c r="CK49" i="67" s="1"/>
  <c r="BJ51" i="61"/>
  <c r="BT43" i="61"/>
  <c r="CK41" i="67" s="1"/>
  <c r="BJ43" i="61"/>
  <c r="BT35" i="61"/>
  <c r="CK33" i="67" s="1"/>
  <c r="BJ35" i="61"/>
  <c r="BT146" i="61"/>
  <c r="CK141" i="67" s="1"/>
  <c r="BJ146" i="61"/>
  <c r="BT138" i="61"/>
  <c r="CK134" i="67" s="1"/>
  <c r="BJ138" i="61"/>
  <c r="BT130" i="61"/>
  <c r="CK126" i="67" s="1"/>
  <c r="BJ130" i="61"/>
  <c r="BT122" i="61"/>
  <c r="CK118" i="67" s="1"/>
  <c r="BJ122" i="61"/>
  <c r="BT114" i="61"/>
  <c r="CK110" i="67" s="1"/>
  <c r="BJ114" i="61"/>
  <c r="BT106" i="61"/>
  <c r="CK102" i="67" s="1"/>
  <c r="BJ106" i="61"/>
  <c r="BT98" i="61"/>
  <c r="CK95" i="67" s="1"/>
  <c r="BJ98" i="61"/>
  <c r="BT90" i="61"/>
  <c r="CK88" i="67" s="1"/>
  <c r="BJ90" i="61"/>
  <c r="BT82" i="61"/>
  <c r="CK80" i="67" s="1"/>
  <c r="BJ82" i="61"/>
  <c r="BT74" i="61"/>
  <c r="CK72" i="67" s="1"/>
  <c r="BJ74" i="61"/>
  <c r="BT66" i="61"/>
  <c r="CK64" i="67" s="1"/>
  <c r="BJ66" i="61"/>
  <c r="BT58" i="61"/>
  <c r="CK56" i="67" s="1"/>
  <c r="BJ58" i="61"/>
  <c r="BT50" i="61"/>
  <c r="CK48" i="67" s="1"/>
  <c r="BJ50" i="61"/>
  <c r="BT42" i="61"/>
  <c r="CK40" i="67" s="1"/>
  <c r="BJ42" i="61"/>
  <c r="BT34" i="61"/>
  <c r="CK32" i="67" s="1"/>
  <c r="BJ34" i="61"/>
  <c r="BT129" i="61"/>
  <c r="CK125" i="67" s="1"/>
  <c r="BJ129" i="61"/>
  <c r="BT121" i="61"/>
  <c r="CK117" i="67" s="1"/>
  <c r="BJ121" i="61"/>
  <c r="BT113" i="61"/>
  <c r="CK109" i="67" s="1"/>
  <c r="BJ113" i="61"/>
  <c r="BT105" i="61"/>
  <c r="CK101" i="67" s="1"/>
  <c r="BJ105" i="61"/>
  <c r="BT97" i="61"/>
  <c r="CK94" i="67" s="1"/>
  <c r="BJ97" i="61"/>
  <c r="BT89" i="61"/>
  <c r="CK87" i="67" s="1"/>
  <c r="BJ89" i="61"/>
  <c r="BT81" i="61"/>
  <c r="CK79" i="67" s="1"/>
  <c r="BJ81" i="61"/>
  <c r="BT73" i="61"/>
  <c r="CK71" i="67" s="1"/>
  <c r="BJ73" i="61"/>
  <c r="BT65" i="61"/>
  <c r="CK63" i="67" s="1"/>
  <c r="BJ65" i="61"/>
  <c r="BT57" i="61"/>
  <c r="CK55" i="67" s="1"/>
  <c r="BJ57" i="61"/>
  <c r="BT49" i="61"/>
  <c r="CK47" i="67" s="1"/>
  <c r="BJ49" i="61"/>
  <c r="BT41" i="61"/>
  <c r="CK39" i="67" s="1"/>
  <c r="BJ41" i="61"/>
  <c r="BT33" i="61"/>
  <c r="CK31" i="67" s="1"/>
  <c r="BJ33" i="61"/>
  <c r="BT144" i="61"/>
  <c r="CK140" i="67" s="1"/>
  <c r="BJ144" i="61"/>
  <c r="BT136" i="61"/>
  <c r="CK132" i="67" s="1"/>
  <c r="BJ136" i="61"/>
  <c r="BT128" i="61"/>
  <c r="CK124" i="67" s="1"/>
  <c r="BJ128" i="61"/>
  <c r="BT120" i="61"/>
  <c r="CK116" i="67" s="1"/>
  <c r="BJ120" i="61"/>
  <c r="BT112" i="61"/>
  <c r="CK108" i="67" s="1"/>
  <c r="BJ112" i="61"/>
  <c r="BT104" i="61"/>
  <c r="CK100" i="67" s="1"/>
  <c r="BJ104" i="61"/>
  <c r="BT96" i="61"/>
  <c r="CK93" i="67" s="1"/>
  <c r="BJ96" i="61"/>
  <c r="BT88" i="61"/>
  <c r="CK86" i="67" s="1"/>
  <c r="BJ88" i="61"/>
  <c r="BT80" i="61"/>
  <c r="CK78" i="67" s="1"/>
  <c r="BJ80" i="61"/>
  <c r="BT72" i="61"/>
  <c r="CK70" i="67" s="1"/>
  <c r="BJ72" i="61"/>
  <c r="BT64" i="61"/>
  <c r="CK62" i="67" s="1"/>
  <c r="BJ64" i="61"/>
  <c r="BT56" i="61"/>
  <c r="CK54" i="67" s="1"/>
  <c r="BJ56" i="61"/>
  <c r="BT48" i="61"/>
  <c r="CK46" i="67" s="1"/>
  <c r="BJ48" i="61"/>
  <c r="BT40" i="61"/>
  <c r="CK38" i="67" s="1"/>
  <c r="BJ40" i="61"/>
  <c r="BT32" i="61"/>
  <c r="CK30" i="67" s="1"/>
  <c r="BJ32" i="61"/>
  <c r="BT95" i="61"/>
  <c r="CK92" i="67" s="1"/>
  <c r="BJ95" i="61"/>
  <c r="BT87" i="61"/>
  <c r="CK85" i="67" s="1"/>
  <c r="BJ87" i="61"/>
  <c r="BT79" i="61"/>
  <c r="CK77" i="67" s="1"/>
  <c r="BJ79" i="61"/>
  <c r="BT71" i="61"/>
  <c r="CK69" i="67" s="1"/>
  <c r="BJ71" i="61"/>
  <c r="BT63" i="61"/>
  <c r="CK61" i="67" s="1"/>
  <c r="BJ63" i="61"/>
  <c r="BT55" i="61"/>
  <c r="CK53" i="67" s="1"/>
  <c r="BJ55" i="61"/>
  <c r="BT47" i="61"/>
  <c r="CK45" i="67" s="1"/>
  <c r="BJ47" i="61"/>
  <c r="BT39" i="61"/>
  <c r="CK37" i="67" s="1"/>
  <c r="BJ39" i="61"/>
  <c r="BJ31" i="61"/>
  <c r="N31" i="71" s="1"/>
  <c r="BT150" i="61"/>
  <c r="CK145" i="67" s="1"/>
  <c r="BJ150" i="61"/>
  <c r="BT142" i="61"/>
  <c r="CK138" i="67" s="1"/>
  <c r="BJ142" i="61"/>
  <c r="BT134" i="61"/>
  <c r="CK130" i="67" s="1"/>
  <c r="BJ134" i="61"/>
  <c r="BT126" i="61"/>
  <c r="CK122" i="67" s="1"/>
  <c r="BJ126" i="61"/>
  <c r="BT118" i="61"/>
  <c r="CK114" i="67" s="1"/>
  <c r="BJ118" i="61"/>
  <c r="BT110" i="61"/>
  <c r="CK106" i="67" s="1"/>
  <c r="BJ110" i="61"/>
  <c r="BT102" i="61"/>
  <c r="CK98" i="67" s="1"/>
  <c r="BJ102" i="61"/>
  <c r="BT94" i="61"/>
  <c r="CK91" i="67" s="1"/>
  <c r="BJ94" i="61"/>
  <c r="BT86" i="61"/>
  <c r="CK84" i="67" s="1"/>
  <c r="BJ86" i="61"/>
  <c r="BT78" i="61"/>
  <c r="CK76" i="67" s="1"/>
  <c r="BJ78" i="61"/>
  <c r="BT70" i="61"/>
  <c r="CK68" i="67" s="1"/>
  <c r="BJ70" i="61"/>
  <c r="BT62" i="61"/>
  <c r="CK60" i="67" s="1"/>
  <c r="BJ62" i="61"/>
  <c r="BT54" i="61"/>
  <c r="CK52" i="67" s="1"/>
  <c r="BJ54" i="61"/>
  <c r="BT46" i="61"/>
  <c r="CK44" i="67" s="1"/>
  <c r="BJ46" i="61"/>
  <c r="BT38" i="61"/>
  <c r="CK36" i="67" s="1"/>
  <c r="BJ38" i="61"/>
  <c r="BG100" i="61"/>
  <c r="BO98" i="61"/>
  <c r="BE98" i="61"/>
  <c r="BS94" i="61"/>
  <c r="BI94" i="61"/>
  <c r="BQ93" i="61"/>
  <c r="BG93" i="61"/>
  <c r="BO92" i="61"/>
  <c r="BE92" i="61"/>
  <c r="BS88" i="61"/>
  <c r="BI88" i="61"/>
  <c r="BQ87" i="61"/>
  <c r="BG87" i="61"/>
  <c r="BO86" i="61"/>
  <c r="BE86" i="61"/>
  <c r="BS83" i="61"/>
  <c r="BI83" i="61"/>
  <c r="BQ82" i="61"/>
  <c r="BG82" i="61"/>
  <c r="BO81" i="61"/>
  <c r="BE81" i="61"/>
  <c r="BS73" i="61"/>
  <c r="BI73" i="61"/>
  <c r="BQ71" i="61"/>
  <c r="BG71" i="61"/>
  <c r="BO70" i="61"/>
  <c r="BE70" i="61"/>
  <c r="BS65" i="61"/>
  <c r="BI65" i="61"/>
  <c r="BQ62" i="61"/>
  <c r="BG62" i="61"/>
  <c r="BO59" i="61"/>
  <c r="BE59" i="61"/>
  <c r="BS56" i="61"/>
  <c r="BI56" i="61"/>
  <c r="BQ55" i="61"/>
  <c r="BG55" i="61"/>
  <c r="BO53" i="61"/>
  <c r="BE53" i="61"/>
  <c r="BS48" i="61"/>
  <c r="BI48" i="61"/>
  <c r="BQ47" i="61"/>
  <c r="BG47" i="61"/>
  <c r="BO45" i="61"/>
  <c r="BE45" i="61"/>
  <c r="BS41" i="61"/>
  <c r="BI41" i="61"/>
  <c r="BQ36" i="61"/>
  <c r="BG36" i="61"/>
  <c r="BO35" i="61"/>
  <c r="BE35" i="61"/>
  <c r="BI31" i="61"/>
  <c r="BQ28" i="61"/>
  <c r="BG28" i="61"/>
  <c r="BO27" i="61"/>
  <c r="BE27" i="61"/>
  <c r="BS24" i="61"/>
  <c r="BI24" i="61"/>
  <c r="BQ21" i="61"/>
  <c r="BG21" i="61"/>
  <c r="BO20" i="61"/>
  <c r="BE20" i="61"/>
  <c r="BS17" i="61"/>
  <c r="BI17" i="61"/>
  <c r="BQ16" i="61"/>
  <c r="BG16" i="61"/>
  <c r="BO12" i="61"/>
  <c r="BE12" i="61"/>
  <c r="BS9" i="61"/>
  <c r="BI9" i="61"/>
  <c r="BT27" i="61"/>
  <c r="CK27" i="67" s="1"/>
  <c r="BJ27" i="61"/>
  <c r="BT19" i="61"/>
  <c r="CK19" i="67" s="1"/>
  <c r="BJ19" i="61"/>
  <c r="BT11" i="61"/>
  <c r="CK11" i="67" s="1"/>
  <c r="BJ11" i="61"/>
  <c r="BJ202" i="61"/>
  <c r="BT194" i="61"/>
  <c r="CK182" i="67" s="1"/>
  <c r="BJ194" i="61"/>
  <c r="BT186" i="61"/>
  <c r="CK173" i="67" s="1"/>
  <c r="BJ186" i="61"/>
  <c r="BT178" i="61"/>
  <c r="CK164" i="67" s="1"/>
  <c r="BJ178" i="61"/>
  <c r="BT170" i="61"/>
  <c r="CK167" i="67" s="1"/>
  <c r="BJ170" i="61"/>
  <c r="BJ162" i="61"/>
  <c r="BT154" i="61"/>
  <c r="CK149" i="67" s="1"/>
  <c r="BJ154" i="61"/>
  <c r="BP207" i="61"/>
  <c r="BF207" i="61"/>
  <c r="BK202" i="61"/>
  <c r="BR200" i="61"/>
  <c r="BH200" i="61"/>
  <c r="BF199" i="61"/>
  <c r="BU193" i="61"/>
  <c r="BK193" i="61"/>
  <c r="BR185" i="61"/>
  <c r="BH185" i="61"/>
  <c r="BP184" i="61"/>
  <c r="BF184" i="61"/>
  <c r="BU182" i="61"/>
  <c r="BK182" i="61"/>
  <c r="BR181" i="61"/>
  <c r="BH181" i="61"/>
  <c r="BP179" i="61"/>
  <c r="BF179" i="61"/>
  <c r="BU177" i="61"/>
  <c r="BK177" i="61"/>
  <c r="BR175" i="61"/>
  <c r="BH175" i="61"/>
  <c r="BF173" i="61"/>
  <c r="BU170" i="61"/>
  <c r="BK170" i="61"/>
  <c r="BR166" i="61"/>
  <c r="BH166" i="61"/>
  <c r="BP165" i="61"/>
  <c r="BF165" i="61"/>
  <c r="BK162" i="61"/>
  <c r="BR161" i="61"/>
  <c r="BH161" i="61"/>
  <c r="BP158" i="61"/>
  <c r="BF158" i="61"/>
  <c r="BU151" i="61"/>
  <c r="BK151" i="61"/>
  <c r="BR149" i="61"/>
  <c r="BH149" i="61"/>
  <c r="BP148" i="61"/>
  <c r="BF148" i="61"/>
  <c r="BU146" i="61"/>
  <c r="BK146" i="61"/>
  <c r="BR144" i="61"/>
  <c r="BH144" i="61"/>
  <c r="BP143" i="61"/>
  <c r="BF143" i="61"/>
  <c r="BU140" i="61"/>
  <c r="BK140" i="61"/>
  <c r="BR138" i="61"/>
  <c r="BH138" i="61"/>
  <c r="BP137" i="61"/>
  <c r="BF137" i="61"/>
  <c r="BU135" i="61"/>
  <c r="BK135" i="61"/>
  <c r="BR133" i="61"/>
  <c r="BH133" i="61"/>
  <c r="BP132" i="61"/>
  <c r="BF132" i="61"/>
  <c r="BU129" i="61"/>
  <c r="BK129" i="61"/>
  <c r="BR127" i="61"/>
  <c r="BH127" i="61"/>
  <c r="BP123" i="61"/>
  <c r="BF123" i="61"/>
  <c r="BU120" i="61"/>
  <c r="BK120" i="61"/>
  <c r="BR119" i="61"/>
  <c r="BH119" i="61"/>
  <c r="BP118" i="61"/>
  <c r="BF118" i="61"/>
  <c r="BU115" i="61"/>
  <c r="BK115" i="61"/>
  <c r="BR111" i="61"/>
  <c r="BH111" i="61"/>
  <c r="BP110" i="61"/>
  <c r="BF110" i="61"/>
  <c r="BU105" i="61"/>
  <c r="BK105" i="61"/>
  <c r="BR104" i="61"/>
  <c r="BH104" i="61"/>
  <c r="BF100" i="61"/>
  <c r="BU95" i="61"/>
  <c r="BK95" i="61"/>
  <c r="BR94" i="61"/>
  <c r="BH94" i="61"/>
  <c r="BP93" i="61"/>
  <c r="BF93" i="61"/>
  <c r="BU90" i="61"/>
  <c r="BK90" i="61"/>
  <c r="BR88" i="61"/>
  <c r="BH88" i="61"/>
  <c r="BP87" i="61"/>
  <c r="BF87" i="61"/>
  <c r="BU84" i="61"/>
  <c r="BK84" i="61"/>
  <c r="BR83" i="61"/>
  <c r="BH83" i="61"/>
  <c r="BP82" i="61"/>
  <c r="BF82" i="61"/>
  <c r="BU77" i="61"/>
  <c r="BK77" i="61"/>
  <c r="BR73" i="61"/>
  <c r="BH73" i="61"/>
  <c r="BP71" i="61"/>
  <c r="BF71" i="61"/>
  <c r="BU66" i="61"/>
  <c r="BK66" i="61"/>
  <c r="BR65" i="61"/>
  <c r="BH65" i="61"/>
  <c r="BP62" i="61"/>
  <c r="BF62" i="61"/>
  <c r="BU58" i="61"/>
  <c r="BK58" i="61"/>
  <c r="BR56" i="61"/>
  <c r="BH56" i="61"/>
  <c r="BP55" i="61"/>
  <c r="BF55" i="61"/>
  <c r="BU51" i="61"/>
  <c r="BK51" i="61"/>
  <c r="BR48" i="61"/>
  <c r="BH48" i="61"/>
  <c r="BP47" i="61"/>
  <c r="BF47" i="61"/>
  <c r="BU43" i="61"/>
  <c r="BK43" i="61"/>
  <c r="BR41" i="61"/>
  <c r="BH41" i="61"/>
  <c r="BP36" i="61"/>
  <c r="BF36" i="61"/>
  <c r="BU33" i="61"/>
  <c r="BK33" i="61"/>
  <c r="BH31" i="61"/>
  <c r="BP28" i="61"/>
  <c r="BF28" i="61"/>
  <c r="BU25" i="61"/>
  <c r="BK25" i="61"/>
  <c r="BR24" i="61"/>
  <c r="BH24" i="61"/>
  <c r="BP21" i="61"/>
  <c r="BF21" i="61"/>
  <c r="BU18" i="61"/>
  <c r="BK18" i="61"/>
  <c r="BR17" i="61"/>
  <c r="BH17" i="61"/>
  <c r="BP16" i="61"/>
  <c r="BF16" i="61"/>
  <c r="BU10" i="61"/>
  <c r="BK10" i="61"/>
  <c r="BR9" i="61"/>
  <c r="BH9" i="61"/>
  <c r="BT26" i="61"/>
  <c r="CK26" i="67" s="1"/>
  <c r="BJ26" i="61"/>
  <c r="BT18" i="61"/>
  <c r="CK18" i="67" s="1"/>
  <c r="BJ18" i="61"/>
  <c r="BT10" i="61"/>
  <c r="CK10" i="67" s="1"/>
  <c r="BJ10" i="61"/>
  <c r="BT201" i="61"/>
  <c r="CK185" i="67" s="1"/>
  <c r="BJ201" i="61"/>
  <c r="BT193" i="61"/>
  <c r="CK181" i="67" s="1"/>
  <c r="BJ193" i="61"/>
  <c r="BT185" i="61"/>
  <c r="CK172" i="67" s="1"/>
  <c r="BJ185" i="61"/>
  <c r="BT177" i="61"/>
  <c r="CK191" i="67" s="1"/>
  <c r="BJ177" i="61"/>
  <c r="BT169" i="61"/>
  <c r="CK166" i="67" s="1"/>
  <c r="BJ169" i="61"/>
  <c r="BT161" i="61"/>
  <c r="CK156" i="67" s="1"/>
  <c r="BJ161" i="61"/>
  <c r="BT153" i="61"/>
  <c r="CK148" i="67" s="1"/>
  <c r="BJ153" i="61"/>
  <c r="BJ145" i="61"/>
  <c r="BT137" i="61"/>
  <c r="CK133" i="67" s="1"/>
  <c r="BJ137" i="61"/>
  <c r="BO207" i="61"/>
  <c r="BE207" i="61"/>
  <c r="BI202" i="61"/>
  <c r="BQ200" i="61"/>
  <c r="BG200" i="61"/>
  <c r="BE199" i="61"/>
  <c r="BS193" i="61"/>
  <c r="BI193" i="61"/>
  <c r="BQ185" i="61"/>
  <c r="BG185" i="61"/>
  <c r="BO184" i="61"/>
  <c r="BE184" i="61"/>
  <c r="BS182" i="61"/>
  <c r="BI182" i="61"/>
  <c r="BQ181" i="61"/>
  <c r="BG181" i="61"/>
  <c r="BO179" i="61"/>
  <c r="BE179" i="61"/>
  <c r="BS177" i="61"/>
  <c r="BI177" i="61"/>
  <c r="BQ175" i="61"/>
  <c r="BG175" i="61"/>
  <c r="BE173" i="61"/>
  <c r="BS170" i="61"/>
  <c r="BI170" i="61"/>
  <c r="BQ166" i="61"/>
  <c r="BG166" i="61"/>
  <c r="BO165" i="61"/>
  <c r="BE165" i="61"/>
  <c r="BI162" i="61"/>
  <c r="BQ161" i="61"/>
  <c r="BG161" i="61"/>
  <c r="BO158" i="61"/>
  <c r="BE158" i="61"/>
  <c r="BS151" i="61"/>
  <c r="BI151" i="61"/>
  <c r="BQ149" i="61"/>
  <c r="BG149" i="61"/>
  <c r="BO148" i="61"/>
  <c r="BE148" i="61"/>
  <c r="BS146" i="61"/>
  <c r="BI146" i="61"/>
  <c r="BQ144" i="61"/>
  <c r="BG144" i="61"/>
  <c r="BO143" i="61"/>
  <c r="BE143" i="61"/>
  <c r="BS140" i="61"/>
  <c r="BI140" i="61"/>
  <c r="BQ138" i="61"/>
  <c r="BG138" i="61"/>
  <c r="BO137" i="61"/>
  <c r="BE137" i="61"/>
  <c r="BS135" i="61"/>
  <c r="BI135" i="61"/>
  <c r="BQ133" i="61"/>
  <c r="BG133" i="61"/>
  <c r="BO132" i="61"/>
  <c r="BE132" i="61"/>
  <c r="BS129" i="61"/>
  <c r="BI129" i="61"/>
  <c r="BQ127" i="61"/>
  <c r="BG127" i="61"/>
  <c r="BO123" i="61"/>
  <c r="BE123" i="61"/>
  <c r="BS120" i="61"/>
  <c r="BI120" i="61"/>
  <c r="BQ119" i="61"/>
  <c r="BG119" i="61"/>
  <c r="BO118" i="61"/>
  <c r="BE118" i="61"/>
  <c r="BS115" i="61"/>
  <c r="BI115" i="61"/>
  <c r="BQ111" i="61"/>
  <c r="BG111" i="61"/>
  <c r="BO110" i="61"/>
  <c r="BE110" i="61"/>
  <c r="BS105" i="61"/>
  <c r="BI105" i="61"/>
  <c r="BQ104" i="61"/>
  <c r="BG104" i="61"/>
  <c r="BE100" i="61"/>
  <c r="BS95" i="61"/>
  <c r="BI95" i="61"/>
  <c r="BQ94" i="61"/>
  <c r="BG94" i="61"/>
  <c r="BO93" i="61"/>
  <c r="BE93" i="61"/>
  <c r="BS90" i="61"/>
  <c r="BI90" i="61"/>
  <c r="BQ88" i="61"/>
  <c r="BG88" i="61"/>
  <c r="BO87" i="61"/>
  <c r="BE87" i="61"/>
  <c r="BS84" i="61"/>
  <c r="BI84" i="61"/>
  <c r="BQ83" i="61"/>
  <c r="BG83" i="61"/>
  <c r="BO82" i="61"/>
  <c r="BE82" i="61"/>
  <c r="BS77" i="61"/>
  <c r="BI77" i="61"/>
  <c r="BQ73" i="61"/>
  <c r="BG73" i="61"/>
  <c r="BO71" i="61"/>
  <c r="BE71" i="61"/>
  <c r="BS66" i="61"/>
  <c r="BI66" i="61"/>
  <c r="BQ65" i="61"/>
  <c r="BG65" i="61"/>
  <c r="BO62" i="61"/>
  <c r="BE62" i="61"/>
  <c r="BS58" i="61"/>
  <c r="BI58" i="61"/>
  <c r="BQ56" i="61"/>
  <c r="BG56" i="61"/>
  <c r="BO55" i="61"/>
  <c r="BE55" i="61"/>
  <c r="BS51" i="61"/>
  <c r="BI51" i="61"/>
  <c r="BQ48" i="61"/>
  <c r="BG48" i="61"/>
  <c r="BO47" i="61"/>
  <c r="BE47" i="61"/>
  <c r="BS43" i="61"/>
  <c r="BI43" i="61"/>
  <c r="BQ41" i="61"/>
  <c r="BG41" i="61"/>
  <c r="BO36" i="61"/>
  <c r="BE36" i="61"/>
  <c r="BS33" i="61"/>
  <c r="BI33" i="61"/>
  <c r="BG31" i="61"/>
  <c r="BO28" i="61"/>
  <c r="BE28" i="61"/>
  <c r="BS25" i="61"/>
  <c r="BI25" i="61"/>
  <c r="BQ24" i="61"/>
  <c r="BG24" i="61"/>
  <c r="BO21" i="61"/>
  <c r="BE21" i="61"/>
  <c r="BS18" i="61"/>
  <c r="BI18" i="61"/>
  <c r="BQ17" i="61"/>
  <c r="BG17" i="61"/>
  <c r="BO16" i="61"/>
  <c r="BE16" i="61"/>
  <c r="BS10" i="61"/>
  <c r="BI10" i="61"/>
  <c r="BQ9" i="61"/>
  <c r="BG9" i="61"/>
  <c r="BT25" i="61"/>
  <c r="CK25" i="67" s="1"/>
  <c r="BJ25" i="61"/>
  <c r="BT17" i="61"/>
  <c r="CK17" i="67" s="1"/>
  <c r="BJ17" i="61"/>
  <c r="BT9" i="61"/>
  <c r="CK9" i="67" s="1"/>
  <c r="BJ9" i="61"/>
  <c r="BT200" i="61"/>
  <c r="CK184" i="67" s="1"/>
  <c r="BJ200" i="61"/>
  <c r="BT192" i="61"/>
  <c r="CK180" i="67" s="1"/>
  <c r="BJ192" i="61"/>
  <c r="BT184" i="61"/>
  <c r="CK171" i="67" s="1"/>
  <c r="BJ184" i="61"/>
  <c r="BT176" i="61"/>
  <c r="CK163" i="67" s="1"/>
  <c r="BJ176" i="61"/>
  <c r="BT168" i="61"/>
  <c r="CK162" i="67" s="1"/>
  <c r="BJ168" i="61"/>
  <c r="BT160" i="61"/>
  <c r="CK155" i="67" s="1"/>
  <c r="BJ160" i="61"/>
  <c r="BT152" i="61"/>
  <c r="CK147" i="67" s="1"/>
  <c r="BJ152" i="61"/>
  <c r="BK205" i="61"/>
  <c r="BH202" i="61"/>
  <c r="BP200" i="61"/>
  <c r="BF200" i="61"/>
  <c r="BU194" i="61"/>
  <c r="BK194" i="61"/>
  <c r="BR193" i="61"/>
  <c r="BH193" i="61"/>
  <c r="BP185" i="61"/>
  <c r="BF185" i="61"/>
  <c r="BU183" i="61"/>
  <c r="BK183" i="61"/>
  <c r="BR182" i="61"/>
  <c r="BH182" i="61"/>
  <c r="BP181" i="61"/>
  <c r="BF181" i="61"/>
  <c r="BU178" i="61"/>
  <c r="BK178" i="61"/>
  <c r="BR177" i="61"/>
  <c r="BH177" i="61"/>
  <c r="BP175" i="61"/>
  <c r="BF175" i="61"/>
  <c r="BU172" i="61"/>
  <c r="BK172" i="61"/>
  <c r="BR170" i="61"/>
  <c r="BH170" i="61"/>
  <c r="BP166" i="61"/>
  <c r="BF166" i="61"/>
  <c r="BU164" i="61"/>
  <c r="BK164" i="61"/>
  <c r="BH162" i="61"/>
  <c r="BP161" i="61"/>
  <c r="BF161" i="61"/>
  <c r="BU153" i="61"/>
  <c r="BK153" i="61"/>
  <c r="BR151" i="61"/>
  <c r="BH151" i="61"/>
  <c r="BP149" i="61"/>
  <c r="BF149" i="61"/>
  <c r="BU147" i="61"/>
  <c r="BK147" i="61"/>
  <c r="BR146" i="61"/>
  <c r="BH146" i="61"/>
  <c r="BP144" i="61"/>
  <c r="BF144" i="61"/>
  <c r="BU142" i="61"/>
  <c r="BK142" i="61"/>
  <c r="BR140" i="61"/>
  <c r="BH140" i="61"/>
  <c r="BP138" i="61"/>
  <c r="BF138" i="61"/>
  <c r="BU136" i="61"/>
  <c r="BK136" i="61"/>
  <c r="BR135" i="61"/>
  <c r="BH135" i="61"/>
  <c r="BP133" i="61"/>
  <c r="BF133" i="61"/>
  <c r="BU130" i="61"/>
  <c r="BK130" i="61"/>
  <c r="BR129" i="61"/>
  <c r="BH129" i="61"/>
  <c r="BP127" i="61"/>
  <c r="BF127" i="61"/>
  <c r="BU121" i="61"/>
  <c r="BK121" i="61"/>
  <c r="BR120" i="61"/>
  <c r="BH120" i="61"/>
  <c r="BP119" i="61"/>
  <c r="BF119" i="61"/>
  <c r="BU117" i="61"/>
  <c r="BK117" i="61"/>
  <c r="BR115" i="61"/>
  <c r="BH115" i="61"/>
  <c r="BP111" i="61"/>
  <c r="BF111" i="61"/>
  <c r="BU107" i="61"/>
  <c r="BK107" i="61"/>
  <c r="BR105" i="61"/>
  <c r="BH105" i="61"/>
  <c r="BP104" i="61"/>
  <c r="BF104" i="61"/>
  <c r="BU98" i="61"/>
  <c r="BK98" i="61"/>
  <c r="BR95" i="61"/>
  <c r="BH95" i="61"/>
  <c r="BP94" i="61"/>
  <c r="BF94" i="61"/>
  <c r="BU92" i="61"/>
  <c r="BK92" i="61"/>
  <c r="BR90" i="61"/>
  <c r="BH90" i="61"/>
  <c r="BP88" i="61"/>
  <c r="BF88" i="61"/>
  <c r="BU86" i="61"/>
  <c r="BK86" i="61"/>
  <c r="BR84" i="61"/>
  <c r="BH84" i="61"/>
  <c r="BP83" i="61"/>
  <c r="BF83" i="61"/>
  <c r="BU81" i="61"/>
  <c r="BK81" i="61"/>
  <c r="BR77" i="61"/>
  <c r="BH77" i="61"/>
  <c r="BP73" i="61"/>
  <c r="BF73" i="61"/>
  <c r="BU70" i="61"/>
  <c r="BK70" i="61"/>
  <c r="BR66" i="61"/>
  <c r="BH66" i="61"/>
  <c r="BP65" i="61"/>
  <c r="BF65" i="61"/>
  <c r="BU59" i="61"/>
  <c r="BK59" i="61"/>
  <c r="BR58" i="61"/>
  <c r="BH58" i="61"/>
  <c r="BP56" i="61"/>
  <c r="BF56" i="61"/>
  <c r="BU53" i="61"/>
  <c r="BK53" i="61"/>
  <c r="BR51" i="61"/>
  <c r="BH51" i="61"/>
  <c r="BP48" i="61"/>
  <c r="BF48" i="61"/>
  <c r="BU45" i="61"/>
  <c r="BK45" i="61"/>
  <c r="BR43" i="61"/>
  <c r="BH43" i="61"/>
  <c r="BP41" i="61"/>
  <c r="BF41" i="61"/>
  <c r="BU35" i="61"/>
  <c r="BK35" i="61"/>
  <c r="BR33" i="61"/>
  <c r="BH33" i="61"/>
  <c r="BF31" i="61"/>
  <c r="BU27" i="61"/>
  <c r="BK27" i="61"/>
  <c r="BR25" i="61"/>
  <c r="BH25" i="61"/>
  <c r="BP24" i="61"/>
  <c r="BF24" i="61"/>
  <c r="BU20" i="61"/>
  <c r="BK20" i="61"/>
  <c r="BR18" i="61"/>
  <c r="BH18" i="61"/>
  <c r="BP17" i="61"/>
  <c r="BF17" i="61"/>
  <c r="BU12" i="61"/>
  <c r="BK12" i="61"/>
  <c r="BR10" i="61"/>
  <c r="BH10" i="61"/>
  <c r="BP9" i="61"/>
  <c r="BF9" i="61"/>
  <c r="BT24" i="61"/>
  <c r="CK24" i="67" s="1"/>
  <c r="BJ24" i="61"/>
  <c r="BT16" i="61"/>
  <c r="CK16" i="67" s="1"/>
  <c r="BJ16" i="61"/>
  <c r="BT207" i="61"/>
  <c r="CK189" i="67" s="1"/>
  <c r="BJ207" i="61"/>
  <c r="BJ199" i="61"/>
  <c r="BT191" i="61"/>
  <c r="CK179" i="67" s="1"/>
  <c r="BJ191" i="61"/>
  <c r="BT183" i="61"/>
  <c r="CK170" i="67" s="1"/>
  <c r="BJ183" i="61"/>
  <c r="BT175" i="61"/>
  <c r="CK190" i="67" s="1"/>
  <c r="BJ175" i="61"/>
  <c r="BT167" i="61"/>
  <c r="CK161" i="67" s="1"/>
  <c r="BJ167" i="61"/>
  <c r="BT159" i="61"/>
  <c r="CK154" i="67" s="1"/>
  <c r="BJ159" i="61"/>
  <c r="BT151" i="61"/>
  <c r="CK146" i="67" s="1"/>
  <c r="BJ151" i="61"/>
  <c r="BT143" i="61"/>
  <c r="CK139" i="67" s="1"/>
  <c r="BJ143" i="61"/>
  <c r="BT135" i="61"/>
  <c r="CK131" i="67" s="1"/>
  <c r="BJ135" i="61"/>
  <c r="BT127" i="61"/>
  <c r="CK123" i="67" s="1"/>
  <c r="BJ127" i="61"/>
  <c r="BT119" i="61"/>
  <c r="CK115" i="67" s="1"/>
  <c r="BJ119" i="61"/>
  <c r="BT111" i="61"/>
  <c r="CK107" i="67" s="1"/>
  <c r="BJ111" i="61"/>
  <c r="BT103" i="61"/>
  <c r="CK99" i="67" s="1"/>
  <c r="BJ103" i="61"/>
  <c r="BI205" i="61"/>
  <c r="BG202" i="61"/>
  <c r="BO200" i="61"/>
  <c r="BE200" i="61"/>
  <c r="BS194" i="61"/>
  <c r="BI194" i="61"/>
  <c r="BQ193" i="61"/>
  <c r="BG193" i="61"/>
  <c r="BO185" i="61"/>
  <c r="BE185" i="61"/>
  <c r="BS183" i="61"/>
  <c r="BI183" i="61"/>
  <c r="BQ182" i="61"/>
  <c r="BG182" i="61"/>
  <c r="BO181" i="61"/>
  <c r="BE181" i="61"/>
  <c r="BS178" i="61"/>
  <c r="BI178" i="61"/>
  <c r="BQ177" i="61"/>
  <c r="BG177" i="61"/>
  <c r="BO175" i="61"/>
  <c r="BE175" i="61"/>
  <c r="BS172" i="61"/>
  <c r="BI172" i="61"/>
  <c r="BQ170" i="61"/>
  <c r="BG170" i="61"/>
  <c r="BO166" i="61"/>
  <c r="BE166" i="61"/>
  <c r="BS164" i="61"/>
  <c r="BI164" i="61"/>
  <c r="BG162" i="61"/>
  <c r="BO161" i="61"/>
  <c r="BE161" i="61"/>
  <c r="BS153" i="61"/>
  <c r="BI153" i="61"/>
  <c r="BQ151" i="61"/>
  <c r="BG151" i="61"/>
  <c r="BO149" i="61"/>
  <c r="BE149" i="61"/>
  <c r="BS147" i="61"/>
  <c r="BI147" i="61"/>
  <c r="BQ146" i="61"/>
  <c r="BG146" i="61"/>
  <c r="BO144" i="61"/>
  <c r="BE144" i="61"/>
  <c r="BS142" i="61"/>
  <c r="BI142" i="61"/>
  <c r="BQ140" i="61"/>
  <c r="BG140" i="61"/>
  <c r="BO138" i="61"/>
  <c r="BE138" i="61"/>
  <c r="BS136" i="61"/>
  <c r="BI136" i="61"/>
  <c r="BQ135" i="61"/>
  <c r="BG135" i="61"/>
  <c r="BO133" i="61"/>
  <c r="BE133" i="61"/>
  <c r="BS130" i="61"/>
  <c r="BI130" i="61"/>
  <c r="BQ129" i="61"/>
  <c r="BG129" i="61"/>
  <c r="BO127" i="61"/>
  <c r="BE127" i="61"/>
  <c r="BS121" i="61"/>
  <c r="BI121" i="61"/>
  <c r="BQ120" i="61"/>
  <c r="BG120" i="61"/>
  <c r="BO119" i="61"/>
  <c r="BE119" i="61"/>
  <c r="BS117" i="61"/>
  <c r="BI117" i="61"/>
  <c r="BQ115" i="61"/>
  <c r="BG115" i="61"/>
  <c r="BO111" i="61"/>
  <c r="BE111" i="61"/>
  <c r="BS107" i="61"/>
  <c r="BI107" i="61"/>
  <c r="BQ105" i="61"/>
  <c r="BG105" i="61"/>
  <c r="BO104" i="61"/>
  <c r="BE104" i="61"/>
  <c r="BS98" i="61"/>
  <c r="BI98" i="61"/>
  <c r="BQ95" i="61"/>
  <c r="BG95" i="61"/>
  <c r="BO94" i="61"/>
  <c r="BE94" i="61"/>
  <c r="BS92" i="61"/>
  <c r="BI92" i="61"/>
  <c r="BQ90" i="61"/>
  <c r="BG90" i="61"/>
  <c r="BO88" i="61"/>
  <c r="BE88" i="61"/>
  <c r="BS86" i="61"/>
  <c r="BI86" i="61"/>
  <c r="BQ84" i="61"/>
  <c r="BG84" i="61"/>
  <c r="BO83" i="61"/>
  <c r="BE83" i="61"/>
  <c r="BS81" i="61"/>
  <c r="BI81" i="61"/>
  <c r="BQ77" i="61"/>
  <c r="BG77" i="61"/>
  <c r="BS70" i="61"/>
  <c r="BI70" i="61"/>
  <c r="BQ66" i="61"/>
  <c r="BG66" i="61"/>
  <c r="BO65" i="61"/>
  <c r="BE65" i="61"/>
  <c r="BS59" i="61"/>
  <c r="BI59" i="61"/>
  <c r="BQ58" i="61"/>
  <c r="BG58" i="61"/>
  <c r="BO56" i="61"/>
  <c r="BE56" i="61"/>
  <c r="BS53" i="61"/>
  <c r="BI53" i="61"/>
  <c r="BQ51" i="61"/>
  <c r="BG51" i="61"/>
  <c r="BO48" i="61"/>
  <c r="BE48" i="61"/>
  <c r="BS45" i="61"/>
  <c r="BI45" i="61"/>
  <c r="BQ43" i="61"/>
  <c r="BG43" i="61"/>
  <c r="BO41" i="61"/>
  <c r="BE41" i="61"/>
  <c r="BS35" i="61"/>
  <c r="BI35" i="61"/>
  <c r="BQ33" i="61"/>
  <c r="BG33" i="61"/>
  <c r="BE31" i="61"/>
  <c r="BS27" i="61"/>
  <c r="BI27" i="61"/>
  <c r="BQ25" i="61"/>
  <c r="BG25" i="61"/>
  <c r="BO24" i="61"/>
  <c r="BE24" i="61"/>
  <c r="BS20" i="61"/>
  <c r="BI20" i="61"/>
  <c r="BQ18" i="61"/>
  <c r="BG18" i="61"/>
  <c r="BO17" i="61"/>
  <c r="BE17" i="61"/>
  <c r="BS12" i="61"/>
  <c r="BI12" i="61"/>
  <c r="BQ10" i="61"/>
  <c r="BG10" i="61"/>
  <c r="BO9" i="61"/>
  <c r="BE9" i="61"/>
  <c r="BT23" i="61"/>
  <c r="CK23" i="67" s="1"/>
  <c r="BJ23" i="61"/>
  <c r="BT15" i="61"/>
  <c r="CK15" i="67" s="1"/>
  <c r="BJ15" i="61"/>
  <c r="BT206" i="61"/>
  <c r="CK188" i="67" s="1"/>
  <c r="BJ206" i="61"/>
  <c r="BJ198" i="61"/>
  <c r="BJ190" i="61"/>
  <c r="BT182" i="61"/>
  <c r="CK169" i="67" s="1"/>
  <c r="BJ182" i="61"/>
  <c r="BT174" i="61"/>
  <c r="CK187" i="67" s="1"/>
  <c r="BJ174" i="61"/>
  <c r="BT166" i="61"/>
  <c r="CK160" i="67" s="1"/>
  <c r="BJ166" i="61"/>
  <c r="BT158" i="61"/>
  <c r="CK153" i="67" s="1"/>
  <c r="BJ158" i="61"/>
  <c r="BU207" i="61"/>
  <c r="BK207" i="61"/>
  <c r="BH205" i="61"/>
  <c r="BF202" i="61"/>
  <c r="BK199" i="61"/>
  <c r="BR194" i="61"/>
  <c r="BH194" i="61"/>
  <c r="BP193" i="61"/>
  <c r="BF193" i="61"/>
  <c r="BU184" i="61"/>
  <c r="BK184" i="61"/>
  <c r="BR183" i="61"/>
  <c r="BH183" i="61"/>
  <c r="BP182" i="61"/>
  <c r="BF182" i="61"/>
  <c r="BU179" i="61"/>
  <c r="BK179" i="61"/>
  <c r="BR178" i="61"/>
  <c r="BH178" i="61"/>
  <c r="BP177" i="61"/>
  <c r="BF177" i="61"/>
  <c r="BK173" i="61"/>
  <c r="BR172" i="61"/>
  <c r="BH172" i="61"/>
  <c r="BP170" i="61"/>
  <c r="BF170" i="61"/>
  <c r="BU165" i="61"/>
  <c r="BK165" i="61"/>
  <c r="BR164" i="61"/>
  <c r="BH164" i="61"/>
  <c r="BF162" i="61"/>
  <c r="BU158" i="61"/>
  <c r="BK158" i="61"/>
  <c r="BR153" i="61"/>
  <c r="BH153" i="61"/>
  <c r="BP151" i="61"/>
  <c r="BF151" i="61"/>
  <c r="BU148" i="61"/>
  <c r="BK148" i="61"/>
  <c r="BR147" i="61"/>
  <c r="BH147" i="61"/>
  <c r="BP146" i="61"/>
  <c r="BF146" i="61"/>
  <c r="BU143" i="61"/>
  <c r="BK143" i="61"/>
  <c r="BR142" i="61"/>
  <c r="BH142" i="61"/>
  <c r="BP140" i="61"/>
  <c r="BF140" i="61"/>
  <c r="BU137" i="61"/>
  <c r="BK137" i="61"/>
  <c r="BR136" i="61"/>
  <c r="BH136" i="61"/>
  <c r="BP135" i="61"/>
  <c r="BF135" i="61"/>
  <c r="BU132" i="61"/>
  <c r="BK132" i="61"/>
  <c r="BR130" i="61"/>
  <c r="BH130" i="61"/>
  <c r="BP129" i="61"/>
  <c r="BF129" i="61"/>
  <c r="BU123" i="61"/>
  <c r="BK123" i="61"/>
  <c r="BR121" i="61"/>
  <c r="BH121" i="61"/>
  <c r="BP120" i="61"/>
  <c r="BF120" i="61"/>
  <c r="BU118" i="61"/>
  <c r="BK118" i="61"/>
  <c r="BR117" i="61"/>
  <c r="BH117" i="61"/>
  <c r="BP115" i="61"/>
  <c r="BF115" i="61"/>
  <c r="BU110" i="61"/>
  <c r="BK110" i="61"/>
  <c r="BR107" i="61"/>
  <c r="BH107" i="61"/>
  <c r="BP105" i="61"/>
  <c r="BF105" i="61"/>
  <c r="BK100" i="61"/>
  <c r="BR98" i="61"/>
  <c r="BH98" i="61"/>
  <c r="BP95" i="61"/>
  <c r="BF95" i="61"/>
  <c r="BU93" i="61"/>
  <c r="BK93" i="61"/>
  <c r="BR92" i="61"/>
  <c r="BH92" i="61"/>
  <c r="BP90" i="61"/>
  <c r="BF90" i="61"/>
  <c r="BU87" i="61"/>
  <c r="BK87" i="61"/>
  <c r="BR86" i="61"/>
  <c r="BH86" i="61"/>
  <c r="BP84" i="61"/>
  <c r="BF84" i="61"/>
  <c r="BU82" i="61"/>
  <c r="BK82" i="61"/>
  <c r="BR81" i="61"/>
  <c r="BH81" i="61"/>
  <c r="BP77" i="61"/>
  <c r="BF77" i="61"/>
  <c r="BU71" i="61"/>
  <c r="BK71" i="61"/>
  <c r="BR70" i="61"/>
  <c r="BH70" i="61"/>
  <c r="BP66" i="61"/>
  <c r="BF66" i="61"/>
  <c r="BU62" i="61"/>
  <c r="BK62" i="61"/>
  <c r="BR59" i="61"/>
  <c r="BH59" i="61"/>
  <c r="BP58" i="61"/>
  <c r="BF58" i="61"/>
  <c r="BU55" i="61"/>
  <c r="BK55" i="61"/>
  <c r="BR53" i="61"/>
  <c r="BH53" i="61"/>
  <c r="BP51" i="61"/>
  <c r="BF51" i="61"/>
  <c r="BU47" i="61"/>
  <c r="BK47" i="61"/>
  <c r="BR45" i="61"/>
  <c r="BH45" i="61"/>
  <c r="BP43" i="61"/>
  <c r="BF43" i="61"/>
  <c r="BU36" i="61"/>
  <c r="BK36" i="61"/>
  <c r="BR35" i="61"/>
  <c r="BH35" i="61"/>
  <c r="BP33" i="61"/>
  <c r="BF33" i="61"/>
  <c r="BU28" i="61"/>
  <c r="BK28" i="61"/>
  <c r="BR27" i="61"/>
  <c r="BH27" i="61"/>
  <c r="BP25" i="61"/>
  <c r="BF25" i="61"/>
  <c r="BU21" i="61"/>
  <c r="BK21" i="61"/>
  <c r="BR20" i="61"/>
  <c r="BH20" i="61"/>
  <c r="BP18" i="61"/>
  <c r="BF18" i="61"/>
  <c r="BU16" i="61"/>
  <c r="BK16" i="61"/>
  <c r="BR12" i="61"/>
  <c r="BH12" i="61"/>
  <c r="BP10" i="61"/>
  <c r="BF10" i="61"/>
  <c r="BT22" i="61"/>
  <c r="CK22" i="67" s="1"/>
  <c r="BJ22" i="61"/>
  <c r="BT14" i="61"/>
  <c r="CK14" i="67" s="1"/>
  <c r="BJ14" i="61"/>
  <c r="BJ205" i="61"/>
  <c r="N205" i="71" s="1"/>
  <c r="BJ197" i="61"/>
  <c r="BT189" i="61"/>
  <c r="CK178" i="67" s="1"/>
  <c r="BJ189" i="61"/>
  <c r="BT181" i="61"/>
  <c r="CK192" i="67" s="1"/>
  <c r="BJ181" i="61"/>
  <c r="BJ173" i="61"/>
  <c r="BT165" i="61"/>
  <c r="CK159" i="67" s="1"/>
  <c r="BJ165" i="61"/>
  <c r="BT157" i="61"/>
  <c r="CK152" i="67" s="1"/>
  <c r="BJ157" i="61"/>
  <c r="BT149" i="61"/>
  <c r="CK144" i="67" s="1"/>
  <c r="BJ149" i="61"/>
  <c r="BT141" i="61"/>
  <c r="CK137" i="67" s="1"/>
  <c r="BJ141" i="61"/>
  <c r="BT133" i="61"/>
  <c r="CK129" i="67" s="1"/>
  <c r="BJ133" i="61"/>
  <c r="BT125" i="61"/>
  <c r="CK121" i="67" s="1"/>
  <c r="BJ125" i="61"/>
  <c r="BT117" i="61"/>
  <c r="CK113" i="67" s="1"/>
  <c r="BJ117" i="61"/>
  <c r="BT109" i="61"/>
  <c r="CK105" i="67" s="1"/>
  <c r="BJ109" i="61"/>
  <c r="BT101" i="61"/>
  <c r="CK97" i="67" s="1"/>
  <c r="BJ101" i="61"/>
  <c r="BT93" i="61"/>
  <c r="CK90" i="67" s="1"/>
  <c r="BJ93" i="61"/>
  <c r="BT85" i="61"/>
  <c r="CK83" i="67" s="1"/>
  <c r="BJ85" i="61"/>
  <c r="BT77" i="61"/>
  <c r="CK75" i="67" s="1"/>
  <c r="BJ77" i="61"/>
  <c r="BT69" i="61"/>
  <c r="CK67" i="67" s="1"/>
  <c r="BJ69" i="61"/>
  <c r="BT61" i="61"/>
  <c r="CK59" i="67" s="1"/>
  <c r="BJ61" i="61"/>
  <c r="BT53" i="61"/>
  <c r="CK51" i="67" s="1"/>
  <c r="BJ53" i="61"/>
  <c r="BT45" i="61"/>
  <c r="CK43" i="67" s="1"/>
  <c r="BJ45" i="61"/>
  <c r="BT37" i="61"/>
  <c r="CK35" i="67" s="1"/>
  <c r="BJ37" i="61"/>
  <c r="BT29" i="61"/>
  <c r="CK29" i="67" s="1"/>
  <c r="BJ29" i="61"/>
  <c r="BT140" i="61"/>
  <c r="CK136" i="67" s="1"/>
  <c r="BJ140" i="61"/>
  <c r="BT132" i="61"/>
  <c r="CK128" i="67" s="1"/>
  <c r="BJ132" i="61"/>
  <c r="BT124" i="61"/>
  <c r="CK120" i="67" s="1"/>
  <c r="BJ124" i="61"/>
  <c r="BT116" i="61"/>
  <c r="CK112" i="67" s="1"/>
  <c r="BJ116" i="61"/>
  <c r="BT108" i="61"/>
  <c r="CK104" i="67" s="1"/>
  <c r="BJ108" i="61"/>
  <c r="CK194" i="67"/>
  <c r="BJ100" i="61"/>
  <c r="BT92" i="61"/>
  <c r="CK89" i="67" s="1"/>
  <c r="BJ92" i="61"/>
  <c r="BT84" i="61"/>
  <c r="CK82" i="67" s="1"/>
  <c r="BJ84" i="61"/>
  <c r="BT76" i="61"/>
  <c r="CK74" i="67" s="1"/>
  <c r="BJ76" i="61"/>
  <c r="BT68" i="61"/>
  <c r="CK66" i="67" s="1"/>
  <c r="BJ68" i="61"/>
  <c r="BT60" i="61"/>
  <c r="CK58" i="67" s="1"/>
  <c r="BJ60" i="61"/>
  <c r="BT52" i="61"/>
  <c r="CK50" i="67" s="1"/>
  <c r="BJ52" i="61"/>
  <c r="BT44" i="61"/>
  <c r="CK42" i="67" s="1"/>
  <c r="BJ44" i="61"/>
  <c r="BT36" i="61"/>
  <c r="CK34" i="67" s="1"/>
  <c r="BJ36" i="61"/>
  <c r="BC73" i="61"/>
  <c r="BO73" i="61"/>
  <c r="BC91" i="61"/>
  <c r="BC30" i="61"/>
  <c r="BC185" i="61"/>
  <c r="BC175" i="61"/>
  <c r="BC161" i="61"/>
  <c r="BC144" i="61"/>
  <c r="BC133" i="61"/>
  <c r="BC127" i="61"/>
  <c r="BC94" i="61"/>
  <c r="BC200" i="61"/>
  <c r="BC181" i="61"/>
  <c r="BC166" i="61"/>
  <c r="BC149" i="61"/>
  <c r="BC138" i="61"/>
  <c r="BC119" i="61"/>
  <c r="BC111" i="61"/>
  <c r="BC104" i="61"/>
  <c r="BC88" i="61"/>
  <c r="BC83" i="61"/>
  <c r="BC65" i="61"/>
  <c r="BC56" i="61"/>
  <c r="BC48" i="61"/>
  <c r="BC41" i="61"/>
  <c r="BC31" i="61"/>
  <c r="BC24" i="61"/>
  <c r="BC17" i="61"/>
  <c r="BC9" i="61"/>
  <c r="BC202" i="61"/>
  <c r="BC193" i="61"/>
  <c r="BC182" i="61"/>
  <c r="BC177" i="61"/>
  <c r="BC170" i="61"/>
  <c r="BC162" i="61"/>
  <c r="BC151" i="61"/>
  <c r="BC146" i="61"/>
  <c r="BC140" i="61"/>
  <c r="BC135" i="61"/>
  <c r="BC129" i="61"/>
  <c r="BC120" i="61"/>
  <c r="BC115" i="61"/>
  <c r="BC105" i="61"/>
  <c r="BC95" i="61"/>
  <c r="BC90" i="61"/>
  <c r="BC84" i="61"/>
  <c r="BC77" i="61"/>
  <c r="BC66" i="61"/>
  <c r="BC58" i="61"/>
  <c r="BC51" i="61"/>
  <c r="BC43" i="61"/>
  <c r="BC33" i="61"/>
  <c r="BC25" i="61"/>
  <c r="BC18" i="61"/>
  <c r="BC10" i="61"/>
  <c r="BC205" i="61"/>
  <c r="BC194" i="61"/>
  <c r="BC183" i="61"/>
  <c r="BC178" i="61"/>
  <c r="BC172" i="61"/>
  <c r="BC164" i="61"/>
  <c r="BC153" i="61"/>
  <c r="BC147" i="61"/>
  <c r="BC142" i="61"/>
  <c r="BC136" i="61"/>
  <c r="BC130" i="61"/>
  <c r="BC121" i="61"/>
  <c r="BC117" i="61"/>
  <c r="BC107" i="61"/>
  <c r="BC98" i="61"/>
  <c r="BC92" i="61"/>
  <c r="BC86" i="61"/>
  <c r="BC81" i="61"/>
  <c r="BC70" i="61"/>
  <c r="BC59" i="61"/>
  <c r="BC53" i="61"/>
  <c r="BC45" i="61"/>
  <c r="BC35" i="61"/>
  <c r="BC27" i="61"/>
  <c r="BC20" i="61"/>
  <c r="BC12" i="61"/>
  <c r="BC207" i="61"/>
  <c r="BC199" i="61"/>
  <c r="BC184" i="61"/>
  <c r="BC179" i="61"/>
  <c r="BC173" i="61"/>
  <c r="BC165" i="61"/>
  <c r="BC158" i="61"/>
  <c r="BC148" i="61"/>
  <c r="BC143" i="61"/>
  <c r="BC137" i="61"/>
  <c r="BC132" i="61"/>
  <c r="BC123" i="61"/>
  <c r="BC118" i="61"/>
  <c r="BC110" i="61"/>
  <c r="BC100" i="61"/>
  <c r="BC93" i="61"/>
  <c r="BC87" i="61"/>
  <c r="BC82" i="61"/>
  <c r="BC71" i="61"/>
  <c r="BC62" i="61"/>
  <c r="BC55" i="61"/>
  <c r="BC47" i="61"/>
  <c r="BC36" i="61"/>
  <c r="BC28" i="61"/>
  <c r="BC21" i="61"/>
  <c r="BC16" i="61"/>
  <c r="N100" i="71" l="1"/>
  <c r="N143" i="71"/>
  <c r="N94" i="71"/>
  <c r="N44" i="71"/>
  <c r="N76" i="71"/>
  <c r="N108" i="71"/>
  <c r="N140" i="71"/>
  <c r="N53" i="71"/>
  <c r="N85" i="71"/>
  <c r="N117" i="71"/>
  <c r="N149" i="71"/>
  <c r="N181" i="71"/>
  <c r="N14" i="71"/>
  <c r="N158" i="71"/>
  <c r="N190" i="71"/>
  <c r="N23" i="71"/>
  <c r="N119" i="71"/>
  <c r="N151" i="71"/>
  <c r="N183" i="71"/>
  <c r="N16" i="71"/>
  <c r="N152" i="71"/>
  <c r="N184" i="71"/>
  <c r="N17" i="71"/>
  <c r="N137" i="71"/>
  <c r="N169" i="71"/>
  <c r="N201" i="71"/>
  <c r="N170" i="71"/>
  <c r="N202" i="71"/>
  <c r="N38" i="71"/>
  <c r="N70" i="71"/>
  <c r="N102" i="71"/>
  <c r="N134" i="71"/>
  <c r="N39" i="71"/>
  <c r="N71" i="71"/>
  <c r="N32" i="71"/>
  <c r="N64" i="71"/>
  <c r="N96" i="71"/>
  <c r="N128" i="71"/>
  <c r="N41" i="71"/>
  <c r="N73" i="71"/>
  <c r="N105" i="71"/>
  <c r="N34" i="71"/>
  <c r="N66" i="71"/>
  <c r="N98" i="71"/>
  <c r="N130" i="71"/>
  <c r="N43" i="71"/>
  <c r="N75" i="71"/>
  <c r="N148" i="71"/>
  <c r="N155" i="71"/>
  <c r="N20" i="71"/>
  <c r="N156" i="71"/>
  <c r="N204" i="71"/>
  <c r="N147" i="71"/>
  <c r="N12" i="71"/>
  <c r="N45" i="71"/>
  <c r="N111" i="71"/>
  <c r="N161" i="71"/>
  <c r="N126" i="71"/>
  <c r="N36" i="71"/>
  <c r="N109" i="71"/>
  <c r="N175" i="71"/>
  <c r="N52" i="71"/>
  <c r="N84" i="71"/>
  <c r="N116" i="71"/>
  <c r="N29" i="71"/>
  <c r="N61" i="71"/>
  <c r="N93" i="71"/>
  <c r="N125" i="71"/>
  <c r="N157" i="71"/>
  <c r="N189" i="71"/>
  <c r="N22" i="71"/>
  <c r="N166" i="71"/>
  <c r="N198" i="71"/>
  <c r="N127" i="71"/>
  <c r="N159" i="71"/>
  <c r="N191" i="71"/>
  <c r="N24" i="71"/>
  <c r="N160" i="71"/>
  <c r="N192" i="71"/>
  <c r="N25" i="71"/>
  <c r="N145" i="71"/>
  <c r="N177" i="71"/>
  <c r="N10" i="71"/>
  <c r="N178" i="71"/>
  <c r="N11" i="71"/>
  <c r="N46" i="71"/>
  <c r="N78" i="71"/>
  <c r="N110" i="71"/>
  <c r="N142" i="71"/>
  <c r="N47" i="71"/>
  <c r="N79" i="71"/>
  <c r="N40" i="71"/>
  <c r="N72" i="71"/>
  <c r="N104" i="71"/>
  <c r="N136" i="71"/>
  <c r="N49" i="71"/>
  <c r="N81" i="71"/>
  <c r="N113" i="71"/>
  <c r="N42" i="71"/>
  <c r="N74" i="71"/>
  <c r="N106" i="71"/>
  <c r="N138" i="71"/>
  <c r="N51" i="71"/>
  <c r="N83" i="71"/>
  <c r="N171" i="71"/>
  <c r="N28" i="71"/>
  <c r="N172" i="71"/>
  <c r="N13" i="71"/>
  <c r="N163" i="71"/>
  <c r="N164" i="71"/>
  <c r="N77" i="71"/>
  <c r="N182" i="71"/>
  <c r="N176" i="71"/>
  <c r="N9" i="71"/>
  <c r="N193" i="71"/>
  <c r="N60" i="71"/>
  <c r="N92" i="71"/>
  <c r="N124" i="71"/>
  <c r="N37" i="71"/>
  <c r="N69" i="71"/>
  <c r="N101" i="71"/>
  <c r="N133" i="71"/>
  <c r="N165" i="71"/>
  <c r="N197" i="71"/>
  <c r="N174" i="71"/>
  <c r="N206" i="71"/>
  <c r="N103" i="71"/>
  <c r="N135" i="71"/>
  <c r="N167" i="71"/>
  <c r="N199" i="71"/>
  <c r="N168" i="71"/>
  <c r="N200" i="71"/>
  <c r="N153" i="71"/>
  <c r="N185" i="71"/>
  <c r="N18" i="71"/>
  <c r="N154" i="71"/>
  <c r="N186" i="71"/>
  <c r="N19" i="71"/>
  <c r="N54" i="71"/>
  <c r="N86" i="71"/>
  <c r="N118" i="71"/>
  <c r="N150" i="71"/>
  <c r="N55" i="71"/>
  <c r="N87" i="71"/>
  <c r="N48" i="71"/>
  <c r="N80" i="71"/>
  <c r="N112" i="71"/>
  <c r="N144" i="71"/>
  <c r="N57" i="71"/>
  <c r="N89" i="71"/>
  <c r="N121" i="71"/>
  <c r="N50" i="71"/>
  <c r="N82" i="71"/>
  <c r="N114" i="71"/>
  <c r="N146" i="71"/>
  <c r="N59" i="71"/>
  <c r="N99" i="71"/>
  <c r="N187" i="71"/>
  <c r="N180" i="71"/>
  <c r="N8" i="71"/>
  <c r="N123" i="71"/>
  <c r="N179" i="71"/>
  <c r="N196" i="71"/>
  <c r="N132" i="71"/>
  <c r="N62" i="71"/>
  <c r="N68" i="71"/>
  <c r="N173" i="71"/>
  <c r="N15" i="71"/>
  <c r="N207" i="71"/>
  <c r="N26" i="71"/>
  <c r="N194" i="71"/>
  <c r="N27" i="71"/>
  <c r="N63" i="71"/>
  <c r="N95" i="71"/>
  <c r="N56" i="71"/>
  <c r="N88" i="71"/>
  <c r="N120" i="71"/>
  <c r="N33" i="71"/>
  <c r="N65" i="71"/>
  <c r="N97" i="71"/>
  <c r="N129" i="71"/>
  <c r="N58" i="71"/>
  <c r="N90" i="71"/>
  <c r="N122" i="71"/>
  <c r="N35" i="71"/>
  <c r="N67" i="71"/>
  <c r="N107" i="71"/>
  <c r="N131" i="71"/>
  <c r="N203" i="71"/>
  <c r="N188" i="71"/>
  <c r="N139" i="71"/>
  <c r="N195" i="71"/>
  <c r="N21" i="71"/>
  <c r="N115" i="71"/>
  <c r="N141" i="71"/>
  <c r="N162" i="71"/>
  <c r="BJ208" i="61"/>
  <c r="BT208" i="61"/>
  <c r="BU39" i="61" l="1"/>
  <c r="BK39" i="61"/>
  <c r="BU99" i="61"/>
  <c r="BK99" i="61"/>
  <c r="BU63" i="61"/>
  <c r="BK63" i="61"/>
  <c r="BU156" i="61"/>
  <c r="BK156" i="61"/>
  <c r="BU108" i="61"/>
  <c r="BK108" i="61"/>
  <c r="BU113" i="61"/>
  <c r="BK113" i="61"/>
  <c r="BU116" i="61"/>
  <c r="BK116" i="61"/>
  <c r="BU34" i="61"/>
  <c r="BK34" i="61"/>
  <c r="BU49" i="61"/>
  <c r="BK49" i="61"/>
  <c r="BU157" i="61"/>
  <c r="BK157" i="61"/>
  <c r="BU74" i="61"/>
  <c r="BK74" i="61"/>
  <c r="BU101" i="61"/>
  <c r="BK101" i="61"/>
  <c r="BU26" i="61"/>
  <c r="BK26" i="61"/>
  <c r="BU29" i="61"/>
  <c r="BK29" i="61"/>
  <c r="BU14" i="61"/>
  <c r="BK14" i="61"/>
  <c r="BU68" i="61"/>
  <c r="BK68" i="61"/>
  <c r="BU46" i="61"/>
  <c r="BK46" i="61"/>
  <c r="BU128" i="61"/>
  <c r="BK128" i="61"/>
  <c r="BU80" i="61"/>
  <c r="BK80" i="61"/>
  <c r="BU96" i="61"/>
  <c r="BK96" i="61"/>
  <c r="BU78" i="61"/>
  <c r="BK78" i="61"/>
  <c r="BU76" i="61"/>
  <c r="BK76" i="61"/>
  <c r="BU103" i="61"/>
  <c r="BK103" i="61"/>
  <c r="BU189" i="61"/>
  <c r="BK189" i="61"/>
  <c r="BU186" i="61"/>
  <c r="BK186" i="61"/>
  <c r="BU23" i="61"/>
  <c r="BK23" i="61"/>
  <c r="BU180" i="61"/>
  <c r="BK180" i="61"/>
  <c r="BU85" i="61"/>
  <c r="BK85" i="61"/>
  <c r="BU37" i="61"/>
  <c r="BK37" i="61"/>
  <c r="BU109" i="61"/>
  <c r="BK109" i="61"/>
  <c r="BU67" i="61"/>
  <c r="BK67" i="61"/>
  <c r="BU176" i="61"/>
  <c r="BK176" i="61"/>
  <c r="BU203" i="61"/>
  <c r="BK203" i="61"/>
  <c r="BU163" i="61"/>
  <c r="BK163" i="61"/>
  <c r="BK198" i="61"/>
  <c r="BU69" i="61" l="1"/>
  <c r="BK69" i="61"/>
  <c r="BU57" i="61"/>
  <c r="BK57" i="61"/>
  <c r="BU89" i="61"/>
  <c r="BK89" i="61"/>
  <c r="BU124" i="61"/>
  <c r="BK124" i="61"/>
  <c r="BU167" i="61"/>
  <c r="BK167" i="61"/>
  <c r="BU187" i="61"/>
  <c r="BK187" i="61"/>
  <c r="BU75" i="61"/>
  <c r="BK75" i="61"/>
  <c r="BU50" i="61"/>
  <c r="BK50" i="61"/>
  <c r="BU125" i="61"/>
  <c r="BK125" i="61"/>
  <c r="BU206" i="61"/>
  <c r="BK206" i="61"/>
  <c r="BU97" i="61"/>
  <c r="BK97" i="61"/>
  <c r="BU155" i="61"/>
  <c r="BK155" i="61"/>
  <c r="BU19" i="61"/>
  <c r="BK19" i="61"/>
  <c r="BU32" i="61"/>
  <c r="BK32" i="61"/>
  <c r="BU52" i="61"/>
  <c r="BK52" i="61"/>
  <c r="BU72" i="61"/>
  <c r="BK72" i="61"/>
  <c r="BU38" i="61"/>
  <c r="BK38" i="61"/>
  <c r="BK197" i="61"/>
  <c r="BU188" i="61"/>
  <c r="BK188" i="61"/>
  <c r="BU154" i="61"/>
  <c r="BK154" i="61"/>
  <c r="BU126" i="61"/>
  <c r="BK126" i="61"/>
  <c r="BU168" i="61"/>
  <c r="BK168" i="61"/>
  <c r="BU131" i="61"/>
  <c r="BK131" i="61"/>
  <c r="BU159" i="61"/>
  <c r="BK159" i="61"/>
  <c r="BU112" i="61"/>
  <c r="BK112" i="61"/>
  <c r="BK204" i="61"/>
  <c r="BU122" i="61"/>
  <c r="BK122" i="61"/>
  <c r="BK190" i="61"/>
  <c r="BU15" i="61"/>
  <c r="BK15" i="61"/>
  <c r="BU13" i="61"/>
  <c r="BK13" i="61"/>
  <c r="BU134" i="61"/>
  <c r="BK134" i="61"/>
  <c r="BU174" i="61"/>
  <c r="BK174" i="61"/>
  <c r="BU141" i="61"/>
  <c r="BK141" i="61"/>
  <c r="BU60" i="61"/>
  <c r="BK60" i="61"/>
  <c r="BU171" i="61"/>
  <c r="BK171" i="61"/>
  <c r="BU169" i="61"/>
  <c r="BK169" i="61"/>
  <c r="BU102" i="61"/>
  <c r="BK102" i="61"/>
  <c r="BU106" i="61"/>
  <c r="BK106" i="61"/>
  <c r="BU152" i="61"/>
  <c r="BK152" i="61"/>
  <c r="BU44" i="61"/>
  <c r="BK44" i="61"/>
  <c r="BU139" i="61"/>
  <c r="BK139" i="61"/>
  <c r="BU64" i="61"/>
  <c r="BK64" i="61"/>
  <c r="BU42" i="61"/>
  <c r="BK42" i="61"/>
  <c r="BU40" i="61"/>
  <c r="BK40" i="61"/>
  <c r="BU54" i="61"/>
  <c r="BK54" i="61"/>
  <c r="BU150" i="61"/>
  <c r="BK150" i="61"/>
  <c r="BU114" i="61"/>
  <c r="BK114" i="61"/>
  <c r="BU191" i="61"/>
  <c r="BK191" i="61"/>
  <c r="BU22" i="61"/>
  <c r="BK22" i="61"/>
  <c r="BU195" i="61"/>
  <c r="BK195" i="61"/>
  <c r="BU79" i="61"/>
  <c r="BK79" i="61"/>
  <c r="BU160" i="61"/>
  <c r="BK160" i="61"/>
  <c r="BU201" i="61"/>
  <c r="BK201" i="61"/>
  <c r="BU11" i="61"/>
  <c r="BK11" i="61"/>
  <c r="BK145" i="61"/>
  <c r="BU61" i="61"/>
  <c r="BK61" i="61"/>
  <c r="BU8" i="61"/>
  <c r="BK8" i="61"/>
  <c r="BU192" i="61"/>
  <c r="BK192" i="61"/>
  <c r="BP196" i="61" l="1"/>
  <c r="BF196" i="61"/>
  <c r="BP150" i="61"/>
  <c r="BF150" i="61"/>
  <c r="BP42" i="61"/>
  <c r="BF42" i="61"/>
  <c r="BF190" i="61"/>
  <c r="BP139" i="61"/>
  <c r="BF139" i="61"/>
  <c r="BP72" i="61"/>
  <c r="BF72" i="61"/>
  <c r="BF198" i="61"/>
  <c r="BP125" i="61"/>
  <c r="BF125" i="61"/>
  <c r="BP131" i="61"/>
  <c r="BF131" i="61"/>
  <c r="BP122" i="61"/>
  <c r="BF122" i="61"/>
  <c r="BP128" i="61"/>
  <c r="BF128" i="61"/>
  <c r="BP126" i="61"/>
  <c r="BF126" i="61"/>
  <c r="BP134" i="61"/>
  <c r="BF134" i="61"/>
  <c r="BP186" i="61"/>
  <c r="BF186" i="61"/>
  <c r="BP101" i="61"/>
  <c r="BF101" i="61"/>
  <c r="BP201" i="61"/>
  <c r="BF201" i="61"/>
  <c r="BP124" i="61"/>
  <c r="BF124" i="61"/>
  <c r="BF197" i="61"/>
  <c r="BP102" i="61"/>
  <c r="BF102" i="61"/>
  <c r="BF145" i="61"/>
  <c r="BP40" i="61"/>
  <c r="BF40" i="61"/>
  <c r="BP74" i="61"/>
  <c r="BF74" i="61"/>
  <c r="BF204" i="61"/>
  <c r="BP39" i="61"/>
  <c r="BF39" i="61"/>
  <c r="BP54" i="61"/>
  <c r="BF54" i="61"/>
  <c r="BP14" i="61"/>
  <c r="BF14" i="61"/>
  <c r="BP159" i="61"/>
  <c r="BF159" i="61"/>
  <c r="BP63" i="61"/>
  <c r="BF63" i="61"/>
  <c r="BP32" i="61"/>
  <c r="BF32" i="61"/>
  <c r="BP96" i="61"/>
  <c r="BF96" i="61"/>
  <c r="BP50" i="61"/>
  <c r="BF50" i="61"/>
  <c r="BP80" i="61"/>
  <c r="BF80" i="61"/>
  <c r="BP23" i="61"/>
  <c r="BF23" i="61"/>
  <c r="BP163" i="61"/>
  <c r="BF163" i="61"/>
  <c r="BP154" i="61"/>
  <c r="BF154" i="61"/>
  <c r="BP15" i="61"/>
  <c r="BF15" i="61"/>
  <c r="BP160" i="61"/>
  <c r="BF160" i="61"/>
  <c r="BP38" i="61"/>
  <c r="BF38" i="61"/>
  <c r="BP155" i="61"/>
  <c r="BF155" i="61"/>
  <c r="BP19" i="61"/>
  <c r="BF19" i="61"/>
  <c r="BP168" i="61"/>
  <c r="BF168" i="61"/>
  <c r="BP167" i="61"/>
  <c r="BF167" i="61"/>
  <c r="BP171" i="61"/>
  <c r="BF171" i="61"/>
  <c r="BP44" i="61"/>
  <c r="BF44" i="61"/>
  <c r="BP141" i="61"/>
  <c r="BF141" i="61"/>
  <c r="BP116" i="61"/>
  <c r="BF116" i="61"/>
  <c r="BP112" i="61"/>
  <c r="BF112" i="61"/>
  <c r="BP106" i="61"/>
  <c r="BF106" i="61"/>
  <c r="BP195" i="61"/>
  <c r="BF195" i="61"/>
  <c r="BP192" i="61"/>
  <c r="BF192" i="61"/>
  <c r="BP97" i="61"/>
  <c r="BF97" i="61"/>
  <c r="BP85" i="61"/>
  <c r="BF85" i="61"/>
  <c r="BP79" i="61"/>
  <c r="BF79" i="61"/>
  <c r="BP152" i="61"/>
  <c r="BF152" i="61"/>
  <c r="BP67" i="61"/>
  <c r="BF67" i="61"/>
  <c r="BP64" i="61"/>
  <c r="BF64" i="61"/>
  <c r="BP108" i="61"/>
  <c r="BF108" i="61"/>
  <c r="BP13" i="61"/>
  <c r="BF13" i="61"/>
  <c r="BP49" i="61"/>
  <c r="BF49" i="61"/>
  <c r="BP46" i="61"/>
  <c r="BF46" i="61"/>
  <c r="BP37" i="61"/>
  <c r="BF37" i="61"/>
  <c r="BP26" i="61"/>
  <c r="BF26" i="61"/>
  <c r="BP76" i="61"/>
  <c r="BF76" i="61"/>
  <c r="BP176" i="61"/>
  <c r="BF176" i="61"/>
  <c r="BP157" i="61"/>
  <c r="BF157" i="61"/>
  <c r="BP113" i="61"/>
  <c r="BF113" i="61"/>
  <c r="BP187" i="61"/>
  <c r="BF187" i="61"/>
  <c r="BP189" i="61"/>
  <c r="BF189" i="61"/>
  <c r="BP180" i="61"/>
  <c r="BF180" i="61"/>
  <c r="BP99" i="61"/>
  <c r="BF99" i="61"/>
  <c r="BP34" i="61"/>
  <c r="BF34" i="61"/>
  <c r="BP114" i="61"/>
  <c r="BF114" i="61"/>
  <c r="BP191" i="61"/>
  <c r="BF191" i="61"/>
  <c r="BP8" i="61"/>
  <c r="BF8" i="61"/>
  <c r="BP52" i="61"/>
  <c r="BF52" i="61"/>
  <c r="BP22" i="61"/>
  <c r="BF22" i="61"/>
  <c r="BP188" i="61"/>
  <c r="BF188" i="61"/>
  <c r="BP75" i="61"/>
  <c r="BF75" i="61"/>
  <c r="BP61" i="61"/>
  <c r="BF61" i="61"/>
  <c r="BP69" i="61"/>
  <c r="BF69" i="61"/>
  <c r="BP206" i="61"/>
  <c r="BF206" i="61"/>
  <c r="BP174" i="61"/>
  <c r="BF174" i="61"/>
  <c r="BP109" i="61"/>
  <c r="BF109" i="61"/>
  <c r="BP11" i="61"/>
  <c r="BF11" i="61"/>
  <c r="BP78" i="61"/>
  <c r="BF78" i="61"/>
  <c r="BP60" i="61"/>
  <c r="BF60" i="61"/>
  <c r="BP156" i="61"/>
  <c r="BF156" i="61"/>
  <c r="BP89" i="61"/>
  <c r="BF89" i="61"/>
  <c r="BP68" i="61"/>
  <c r="BF68" i="61"/>
  <c r="BP203" i="61"/>
  <c r="BF203" i="61"/>
  <c r="BP103" i="61"/>
  <c r="BF103" i="61"/>
  <c r="BP57" i="61"/>
  <c r="BF57" i="61"/>
  <c r="BP29" i="61"/>
  <c r="BF29" i="61"/>
  <c r="BP169" i="61"/>
  <c r="BF169" i="61"/>
  <c r="AW208" i="61"/>
  <c r="BP208" i="61" l="1"/>
  <c r="BF208" i="61"/>
  <c r="BR196" i="61" l="1"/>
  <c r="BH196" i="61"/>
  <c r="BO169" i="61" l="1"/>
  <c r="BE169" i="61"/>
  <c r="BO60" i="61"/>
  <c r="BE60" i="61"/>
  <c r="BO75" i="61"/>
  <c r="BE75" i="61"/>
  <c r="BO99" i="61"/>
  <c r="BE99" i="61"/>
  <c r="BO76" i="61"/>
  <c r="BE76" i="61"/>
  <c r="BO192" i="61"/>
  <c r="BE192" i="61"/>
  <c r="BO116" i="61"/>
  <c r="BE116" i="61"/>
  <c r="BO167" i="61"/>
  <c r="BE167" i="61"/>
  <c r="BO15" i="61"/>
  <c r="BE15" i="61"/>
  <c r="BO80" i="61"/>
  <c r="BE80" i="61"/>
  <c r="BO96" i="61"/>
  <c r="BE96" i="61"/>
  <c r="BO14" i="61"/>
  <c r="BE14" i="61"/>
  <c r="BE198" i="61"/>
  <c r="BO196" i="61"/>
  <c r="BE196" i="61"/>
  <c r="BO29" i="61"/>
  <c r="BE29" i="61"/>
  <c r="BO78" i="61"/>
  <c r="BE78" i="61"/>
  <c r="BO188" i="61"/>
  <c r="BE188" i="61"/>
  <c r="BO180" i="61"/>
  <c r="BE180" i="61"/>
  <c r="BO37" i="61"/>
  <c r="BE37" i="61"/>
  <c r="BO141" i="61"/>
  <c r="BE141" i="61"/>
  <c r="BO171" i="61"/>
  <c r="BE171" i="61"/>
  <c r="BO168" i="61"/>
  <c r="BE168" i="61"/>
  <c r="BO154" i="61"/>
  <c r="BE154" i="61"/>
  <c r="BE204" i="61"/>
  <c r="BO102" i="61"/>
  <c r="BE102" i="61"/>
  <c r="BO134" i="61"/>
  <c r="BE134" i="61"/>
  <c r="BO72" i="61"/>
  <c r="BE72" i="61"/>
  <c r="BO57" i="61"/>
  <c r="BE57" i="61"/>
  <c r="BO11" i="61"/>
  <c r="BE11" i="61"/>
  <c r="BO22" i="61"/>
  <c r="BE22" i="61"/>
  <c r="BO13" i="61"/>
  <c r="BE13" i="61"/>
  <c r="BO79" i="61"/>
  <c r="BE79" i="61"/>
  <c r="BO195" i="61"/>
  <c r="BE195" i="61"/>
  <c r="BE197" i="61"/>
  <c r="BO126" i="61"/>
  <c r="BE126" i="61"/>
  <c r="BO103" i="61"/>
  <c r="BE103" i="61"/>
  <c r="BO109" i="61"/>
  <c r="BE109" i="61"/>
  <c r="BO52" i="61"/>
  <c r="BE52" i="61"/>
  <c r="BO189" i="61"/>
  <c r="BE189" i="61"/>
  <c r="BO46" i="61"/>
  <c r="BE46" i="61"/>
  <c r="BO108" i="61"/>
  <c r="BE108" i="61"/>
  <c r="BO67" i="61"/>
  <c r="BE67" i="61"/>
  <c r="BO106" i="61"/>
  <c r="BE106" i="61"/>
  <c r="BO19" i="61"/>
  <c r="BE19" i="61"/>
  <c r="BO163" i="61"/>
  <c r="BE163" i="61"/>
  <c r="BO139" i="61"/>
  <c r="BE139" i="61"/>
  <c r="BO203" i="61"/>
  <c r="BE203" i="61"/>
  <c r="BO174" i="61"/>
  <c r="BE174" i="61"/>
  <c r="BO8" i="61"/>
  <c r="BE8" i="61"/>
  <c r="BO187" i="61"/>
  <c r="BE187" i="61"/>
  <c r="BO26" i="61"/>
  <c r="BE26" i="61"/>
  <c r="BO49" i="61"/>
  <c r="BE49" i="61"/>
  <c r="BO97" i="61"/>
  <c r="BE97" i="61"/>
  <c r="BO155" i="61"/>
  <c r="BE155" i="61"/>
  <c r="BO23" i="61"/>
  <c r="BE23" i="61"/>
  <c r="BO32" i="61"/>
  <c r="BE32" i="61"/>
  <c r="BO54" i="61"/>
  <c r="BE54" i="61"/>
  <c r="BO74" i="61"/>
  <c r="BE74" i="61"/>
  <c r="BO124" i="61"/>
  <c r="BE124" i="61"/>
  <c r="BO128" i="61"/>
  <c r="BE128" i="61"/>
  <c r="BE190" i="61"/>
  <c r="BO68" i="61"/>
  <c r="BE68" i="61"/>
  <c r="BO206" i="61"/>
  <c r="BE206" i="61"/>
  <c r="BO191" i="61"/>
  <c r="BE191" i="61"/>
  <c r="BO113" i="61"/>
  <c r="BE113" i="61"/>
  <c r="BO112" i="61"/>
  <c r="BE112" i="61"/>
  <c r="BO44" i="61"/>
  <c r="BE44" i="61"/>
  <c r="BO38" i="61"/>
  <c r="BE38" i="61"/>
  <c r="BO63" i="61"/>
  <c r="BE63" i="61"/>
  <c r="BO39" i="61"/>
  <c r="BE39" i="61"/>
  <c r="BO40" i="61"/>
  <c r="BE40" i="61"/>
  <c r="BO201" i="61"/>
  <c r="BE201" i="61"/>
  <c r="BO122" i="61"/>
  <c r="BE122" i="61"/>
  <c r="BO42" i="61"/>
  <c r="BE42" i="61"/>
  <c r="BO125" i="61"/>
  <c r="BE125" i="61"/>
  <c r="BO89" i="61"/>
  <c r="BE89" i="61"/>
  <c r="BO69" i="61"/>
  <c r="BE69" i="61"/>
  <c r="BO114" i="61"/>
  <c r="BE114" i="61"/>
  <c r="BO157" i="61"/>
  <c r="BE157" i="61"/>
  <c r="BO160" i="61"/>
  <c r="BE160" i="61"/>
  <c r="BO50" i="61"/>
  <c r="BE50" i="61"/>
  <c r="BO101" i="61"/>
  <c r="BE101" i="61"/>
  <c r="BO131" i="61"/>
  <c r="BE131" i="61"/>
  <c r="BO150" i="61"/>
  <c r="BE150" i="61"/>
  <c r="BO156" i="61"/>
  <c r="BE156" i="61"/>
  <c r="BO61" i="61"/>
  <c r="BE61" i="61"/>
  <c r="BO34" i="61"/>
  <c r="BE34" i="61"/>
  <c r="BO176" i="61"/>
  <c r="BE176" i="61"/>
  <c r="BO64" i="61"/>
  <c r="BE64" i="61"/>
  <c r="BO152" i="61"/>
  <c r="BE152" i="61"/>
  <c r="BO85" i="61"/>
  <c r="BE85" i="61"/>
  <c r="BO159" i="61"/>
  <c r="BE159" i="61"/>
  <c r="BE145" i="61"/>
  <c r="BO186" i="61"/>
  <c r="BE186" i="61"/>
  <c r="AV208" i="61"/>
  <c r="BO208" i="61" l="1"/>
  <c r="BE208" i="61"/>
  <c r="BQ169" i="61" l="1"/>
  <c r="BG169" i="61"/>
  <c r="BQ78" i="61"/>
  <c r="BG78" i="61"/>
  <c r="BQ52" i="61"/>
  <c r="BG52" i="61"/>
  <c r="BQ187" i="61"/>
  <c r="BG187" i="61"/>
  <c r="BQ26" i="61"/>
  <c r="BG26" i="61"/>
  <c r="BQ49" i="61"/>
  <c r="BG49" i="61"/>
  <c r="BQ97" i="61"/>
  <c r="BG97" i="61"/>
  <c r="BQ155" i="61"/>
  <c r="BG155" i="61"/>
  <c r="BQ23" i="61"/>
  <c r="BG23" i="61"/>
  <c r="BQ32" i="61"/>
  <c r="BG32" i="61"/>
  <c r="BQ54" i="61"/>
  <c r="BG54" i="61"/>
  <c r="BQ74" i="61"/>
  <c r="BG74" i="61"/>
  <c r="BQ124" i="61"/>
  <c r="BG124" i="61"/>
  <c r="BQ122" i="61"/>
  <c r="BG122" i="61"/>
  <c r="BQ42" i="61"/>
  <c r="BG42" i="61"/>
  <c r="BG145" i="61"/>
  <c r="BQ29" i="61"/>
  <c r="BG29" i="61"/>
  <c r="BQ109" i="61"/>
  <c r="BG109" i="61"/>
  <c r="BQ8" i="61"/>
  <c r="BG8" i="61"/>
  <c r="BQ113" i="61"/>
  <c r="BG113" i="61"/>
  <c r="BQ112" i="61"/>
  <c r="BG112" i="61"/>
  <c r="BQ44" i="61"/>
  <c r="BG44" i="61"/>
  <c r="BQ38" i="61"/>
  <c r="BG38" i="61"/>
  <c r="BQ63" i="61"/>
  <c r="BG63" i="61"/>
  <c r="BQ39" i="61"/>
  <c r="BG39" i="61"/>
  <c r="BQ40" i="61"/>
  <c r="BG40" i="61"/>
  <c r="BQ201" i="61"/>
  <c r="BG201" i="61"/>
  <c r="BQ131" i="61"/>
  <c r="BG131" i="61"/>
  <c r="BQ57" i="61"/>
  <c r="BG57" i="61"/>
  <c r="BQ174" i="61"/>
  <c r="BG174" i="61"/>
  <c r="BQ191" i="61"/>
  <c r="BG191" i="61"/>
  <c r="BQ157" i="61"/>
  <c r="BG157" i="61"/>
  <c r="BQ160" i="61"/>
  <c r="BG160" i="61"/>
  <c r="BQ50" i="61"/>
  <c r="BG50" i="61"/>
  <c r="BQ101" i="61"/>
  <c r="BG101" i="61"/>
  <c r="BQ125" i="61"/>
  <c r="BG125" i="61"/>
  <c r="BQ103" i="61"/>
  <c r="BG103" i="61"/>
  <c r="BQ69" i="61"/>
  <c r="BG69" i="61"/>
  <c r="BQ114" i="61"/>
  <c r="BG114" i="61"/>
  <c r="BQ176" i="61"/>
  <c r="BG176" i="61"/>
  <c r="BQ64" i="61"/>
  <c r="BG64" i="61"/>
  <c r="BQ152" i="61"/>
  <c r="BG152" i="61"/>
  <c r="BQ85" i="61"/>
  <c r="BG85" i="61"/>
  <c r="BQ159" i="61"/>
  <c r="BG159" i="61"/>
  <c r="BQ186" i="61"/>
  <c r="BG186" i="61"/>
  <c r="BQ203" i="61"/>
  <c r="BG203" i="61"/>
  <c r="BQ61" i="61"/>
  <c r="BG61" i="61"/>
  <c r="BQ34" i="61"/>
  <c r="BG34" i="61"/>
  <c r="BQ76" i="61"/>
  <c r="BG76" i="61"/>
  <c r="BQ192" i="61"/>
  <c r="BG192" i="61"/>
  <c r="BQ116" i="61"/>
  <c r="BG116" i="61"/>
  <c r="BQ167" i="61"/>
  <c r="BG167" i="61"/>
  <c r="BQ15" i="61"/>
  <c r="BG15" i="61"/>
  <c r="BQ80" i="61"/>
  <c r="BG80" i="61"/>
  <c r="BQ96" i="61"/>
  <c r="BG96" i="61"/>
  <c r="BQ14" i="61"/>
  <c r="BG14" i="61"/>
  <c r="BQ134" i="61"/>
  <c r="BG134" i="61"/>
  <c r="BQ72" i="61"/>
  <c r="BG72" i="61"/>
  <c r="BG198" i="61"/>
  <c r="BQ68" i="61"/>
  <c r="BG68" i="61"/>
  <c r="BQ75" i="61"/>
  <c r="BG75" i="61"/>
  <c r="BQ99" i="61"/>
  <c r="BG99" i="61"/>
  <c r="BQ37" i="61"/>
  <c r="BG37" i="61"/>
  <c r="BQ141" i="61"/>
  <c r="BG141" i="61"/>
  <c r="BQ171" i="61"/>
  <c r="BG171" i="61"/>
  <c r="BQ168" i="61"/>
  <c r="BG168" i="61"/>
  <c r="BQ154" i="61"/>
  <c r="BG154" i="61"/>
  <c r="BG204" i="61"/>
  <c r="BQ102" i="61"/>
  <c r="BG102" i="61"/>
  <c r="BQ126" i="61"/>
  <c r="BG126" i="61"/>
  <c r="BQ89" i="61"/>
  <c r="BG89" i="61"/>
  <c r="BQ188" i="61"/>
  <c r="BG188" i="61"/>
  <c r="BQ13" i="61"/>
  <c r="BG13" i="61"/>
  <c r="BQ79" i="61"/>
  <c r="BG79" i="61"/>
  <c r="BQ195" i="61"/>
  <c r="BG195" i="61"/>
  <c r="BG197" i="61"/>
  <c r="BQ139" i="61"/>
  <c r="BG139" i="61"/>
  <c r="BQ150" i="61"/>
  <c r="BG150" i="61"/>
  <c r="BQ156" i="61"/>
  <c r="BG156" i="61"/>
  <c r="BQ22" i="61"/>
  <c r="BG22" i="61"/>
  <c r="BQ189" i="61"/>
  <c r="BG189" i="61"/>
  <c r="BQ46" i="61"/>
  <c r="BG46" i="61"/>
  <c r="BQ108" i="61"/>
  <c r="BG108" i="61"/>
  <c r="BQ67" i="61"/>
  <c r="BG67" i="61"/>
  <c r="BQ106" i="61"/>
  <c r="BG106" i="61"/>
  <c r="BQ19" i="61"/>
  <c r="BG19" i="61"/>
  <c r="BQ163" i="61"/>
  <c r="BG163" i="61"/>
  <c r="BQ128" i="61"/>
  <c r="BG128" i="61"/>
  <c r="BG190" i="61"/>
  <c r="BH109" i="61"/>
  <c r="BQ60" i="61" l="1"/>
  <c r="BG60" i="61"/>
  <c r="BQ11" i="61"/>
  <c r="BG11" i="61"/>
  <c r="BQ206" i="61"/>
  <c r="BG206" i="61"/>
  <c r="BQ180" i="61"/>
  <c r="BG180" i="61"/>
  <c r="BQ196" i="61"/>
  <c r="BG196" i="61"/>
  <c r="BI190" i="61"/>
  <c r="BS102" i="61"/>
  <c r="BI102" i="61"/>
  <c r="BS128" i="61"/>
  <c r="BI128" i="61"/>
  <c r="BS89" i="61"/>
  <c r="BI89" i="61"/>
  <c r="BS34" i="61"/>
  <c r="BI34" i="61"/>
  <c r="BS116" i="61"/>
  <c r="BI116" i="61"/>
  <c r="BI145" i="61"/>
  <c r="BS114" i="61"/>
  <c r="BI114" i="61"/>
  <c r="BS96" i="61"/>
  <c r="BI96" i="61"/>
  <c r="BS50" i="61"/>
  <c r="BI50" i="61"/>
  <c r="BS57" i="61"/>
  <c r="BI57" i="61"/>
  <c r="BS125" i="61"/>
  <c r="BI125" i="61"/>
  <c r="BS201" i="61"/>
  <c r="BI201" i="61"/>
  <c r="BS29" i="61"/>
  <c r="BI29" i="61"/>
  <c r="BS74" i="61"/>
  <c r="BI74" i="61"/>
  <c r="BS187" i="61"/>
  <c r="BI187" i="61"/>
  <c r="BS124" i="61"/>
  <c r="BI124" i="61"/>
  <c r="BS26" i="61"/>
  <c r="BI26" i="61"/>
  <c r="BS169" i="61"/>
  <c r="BI169" i="61"/>
  <c r="BS46" i="61"/>
  <c r="BI46" i="61"/>
  <c r="BS106" i="61"/>
  <c r="BI106" i="61"/>
  <c r="BS22" i="61"/>
  <c r="BI22" i="61"/>
  <c r="BS15" i="61"/>
  <c r="BI15" i="61"/>
  <c r="BS85" i="61"/>
  <c r="BI85" i="61"/>
  <c r="BS101" i="61"/>
  <c r="BI101" i="61"/>
  <c r="BS157" i="61"/>
  <c r="BI157" i="61"/>
  <c r="BS40" i="61"/>
  <c r="BI40" i="61"/>
  <c r="BS112" i="61"/>
  <c r="BI112" i="61"/>
  <c r="BS113" i="61"/>
  <c r="BI113" i="61"/>
  <c r="BS37" i="61"/>
  <c r="BI37" i="61"/>
  <c r="BS54" i="61"/>
  <c r="BI54" i="61"/>
  <c r="BS155" i="61"/>
  <c r="BI155" i="61"/>
  <c r="BS97" i="61"/>
  <c r="BI97" i="61"/>
  <c r="BS168" i="61"/>
  <c r="BI168" i="61"/>
  <c r="BS189" i="61"/>
  <c r="BI189" i="61"/>
  <c r="BS150" i="61"/>
  <c r="BI150" i="61"/>
  <c r="BS203" i="61"/>
  <c r="BI203" i="61"/>
  <c r="BS134" i="61"/>
  <c r="BI134" i="61"/>
  <c r="BS167" i="61"/>
  <c r="BI167" i="61"/>
  <c r="BS159" i="61"/>
  <c r="BI159" i="61"/>
  <c r="BS103" i="61"/>
  <c r="BI103" i="61"/>
  <c r="BS160" i="61"/>
  <c r="BI160" i="61"/>
  <c r="BS39" i="61"/>
  <c r="BI39" i="61"/>
  <c r="BS38" i="61"/>
  <c r="BI38" i="61"/>
  <c r="BS99" i="61"/>
  <c r="BI99" i="61"/>
  <c r="BS122" i="61"/>
  <c r="BI122" i="61"/>
  <c r="BS49" i="61"/>
  <c r="BI49" i="61"/>
  <c r="BS78" i="61"/>
  <c r="BI78" i="61"/>
  <c r="BS67" i="61"/>
  <c r="BI67" i="61"/>
  <c r="BS156" i="61"/>
  <c r="BI156" i="61"/>
  <c r="BS163" i="61"/>
  <c r="BI163" i="61"/>
  <c r="BS108" i="61"/>
  <c r="BI108" i="61"/>
  <c r="BS139" i="61"/>
  <c r="BI139" i="61"/>
  <c r="BS13" i="61"/>
  <c r="BI13" i="61"/>
  <c r="BS75" i="61"/>
  <c r="BI75" i="61"/>
  <c r="BS76" i="61"/>
  <c r="BI76" i="61"/>
  <c r="BS186" i="61"/>
  <c r="BI186" i="61"/>
  <c r="BS64" i="61"/>
  <c r="BI64" i="61"/>
  <c r="BS176" i="61"/>
  <c r="BI176" i="61"/>
  <c r="BS174" i="61"/>
  <c r="BI174" i="61"/>
  <c r="BS141" i="61"/>
  <c r="BI141" i="61"/>
  <c r="BS63" i="61"/>
  <c r="BI63" i="61"/>
  <c r="BS109" i="61"/>
  <c r="BI109" i="61"/>
  <c r="BS171" i="61"/>
  <c r="BI171" i="61"/>
  <c r="BS68" i="61"/>
  <c r="BI68" i="61"/>
  <c r="BR74" i="61"/>
  <c r="BH74" i="61"/>
  <c r="BR23" i="61"/>
  <c r="BH23" i="61"/>
  <c r="BR187" i="61"/>
  <c r="BH187" i="61"/>
  <c r="BR22" i="61"/>
  <c r="BH22" i="61"/>
  <c r="BR112" i="61"/>
  <c r="BH112" i="61"/>
  <c r="BR8" i="61"/>
  <c r="BH8" i="61"/>
  <c r="BH204" i="61"/>
  <c r="BR46" i="61"/>
  <c r="BH46" i="61"/>
  <c r="BR154" i="61"/>
  <c r="BH154" i="61"/>
  <c r="BR106" i="61"/>
  <c r="BH106" i="61"/>
  <c r="BH197" i="61"/>
  <c r="BR61" i="61"/>
  <c r="BH61" i="61"/>
  <c r="BR15" i="61"/>
  <c r="BH15" i="61"/>
  <c r="BR85" i="61"/>
  <c r="BH85" i="61"/>
  <c r="BR69" i="61"/>
  <c r="BH69" i="61"/>
  <c r="BR101" i="61"/>
  <c r="BH101" i="61"/>
  <c r="BR157" i="61"/>
  <c r="BH157" i="61"/>
  <c r="BR40" i="61"/>
  <c r="BH40" i="61"/>
  <c r="BR99" i="61"/>
  <c r="BH99" i="61"/>
  <c r="BR68" i="61"/>
  <c r="BH68" i="61"/>
  <c r="BR42" i="61"/>
  <c r="BH42" i="61"/>
  <c r="BR54" i="61"/>
  <c r="BH54" i="61"/>
  <c r="BR155" i="61"/>
  <c r="BH155" i="61"/>
  <c r="BR97" i="61"/>
  <c r="BH97" i="61"/>
  <c r="BR52" i="61"/>
  <c r="BH52" i="61"/>
  <c r="BR134" i="61"/>
  <c r="BH134" i="61"/>
  <c r="BR159" i="61"/>
  <c r="BH159" i="61"/>
  <c r="BR152" i="61"/>
  <c r="BH152" i="61"/>
  <c r="BR168" i="61"/>
  <c r="BH168" i="61"/>
  <c r="BR189" i="61"/>
  <c r="BH189" i="61"/>
  <c r="BR150" i="61"/>
  <c r="BH150" i="61"/>
  <c r="BR195" i="61"/>
  <c r="BH195" i="61"/>
  <c r="BR203" i="61"/>
  <c r="BH203" i="61"/>
  <c r="BR167" i="61"/>
  <c r="BH167" i="61"/>
  <c r="BH198" i="61"/>
  <c r="BR103" i="61"/>
  <c r="BH103" i="61"/>
  <c r="BR160" i="61"/>
  <c r="BH160" i="61"/>
  <c r="BR191" i="61"/>
  <c r="BH191" i="61"/>
  <c r="BR39" i="61"/>
  <c r="BH39" i="61"/>
  <c r="BR171" i="61"/>
  <c r="BH171" i="61"/>
  <c r="BR122" i="61"/>
  <c r="BH122" i="61"/>
  <c r="BR32" i="61"/>
  <c r="BH32" i="61"/>
  <c r="BR49" i="61"/>
  <c r="BH49" i="61"/>
  <c r="BR78" i="61"/>
  <c r="BH78" i="61"/>
  <c r="BR156" i="61"/>
  <c r="BH156" i="61"/>
  <c r="BR139" i="61"/>
  <c r="BH139" i="61"/>
  <c r="BR13" i="61"/>
  <c r="BH13" i="61"/>
  <c r="BR126" i="61"/>
  <c r="BH126" i="61"/>
  <c r="BR186" i="61"/>
  <c r="BH186" i="61"/>
  <c r="BR176" i="61"/>
  <c r="BH176" i="61"/>
  <c r="BR63" i="61"/>
  <c r="BH63" i="61"/>
  <c r="BR67" i="61"/>
  <c r="BH67" i="61"/>
  <c r="BR163" i="61"/>
  <c r="BH163" i="61"/>
  <c r="BR108" i="61"/>
  <c r="BH108" i="61"/>
  <c r="BR188" i="61"/>
  <c r="BH188" i="61"/>
  <c r="BR75" i="61"/>
  <c r="BH75" i="61"/>
  <c r="BR76" i="61"/>
  <c r="BH76" i="61"/>
  <c r="BR14" i="61"/>
  <c r="BH14" i="61"/>
  <c r="BR64" i="61"/>
  <c r="BH64" i="61"/>
  <c r="BR72" i="61"/>
  <c r="BH72" i="61"/>
  <c r="BR174" i="61"/>
  <c r="BH174" i="61"/>
  <c r="BR141" i="61"/>
  <c r="BH141" i="61"/>
  <c r="BR131" i="61"/>
  <c r="BH131" i="61"/>
  <c r="BR124" i="61"/>
  <c r="BH124" i="61"/>
  <c r="BR26" i="61"/>
  <c r="BH26" i="61"/>
  <c r="BR169" i="61"/>
  <c r="BH169" i="61"/>
  <c r="BR79" i="61"/>
  <c r="BH79" i="61"/>
  <c r="BR89" i="61"/>
  <c r="BH89" i="61"/>
  <c r="BR34" i="61"/>
  <c r="BH34" i="61"/>
  <c r="BR80" i="61"/>
  <c r="BH80" i="61"/>
  <c r="BH145" i="61"/>
  <c r="BR96" i="61"/>
  <c r="BH96" i="61"/>
  <c r="BR125" i="61"/>
  <c r="BH125" i="61"/>
  <c r="BR29" i="61"/>
  <c r="BH29" i="61"/>
  <c r="BR113" i="61"/>
  <c r="BH113" i="61"/>
  <c r="BH190" i="61"/>
  <c r="BR19" i="61"/>
  <c r="BH19" i="61"/>
  <c r="BR102" i="61"/>
  <c r="BH102" i="61"/>
  <c r="BR128" i="61"/>
  <c r="BH128" i="61"/>
  <c r="BR192" i="61"/>
  <c r="BH192" i="61"/>
  <c r="BR116" i="61"/>
  <c r="BH116" i="61"/>
  <c r="BR114" i="61"/>
  <c r="BH114" i="61"/>
  <c r="BR50" i="61"/>
  <c r="BH50" i="61"/>
  <c r="BR57" i="61"/>
  <c r="BH57" i="61"/>
  <c r="BR201" i="61"/>
  <c r="BH201" i="61"/>
  <c r="BR44" i="61"/>
  <c r="BH44" i="61"/>
  <c r="BR37" i="61"/>
  <c r="BH37" i="61"/>
  <c r="BR38" i="61"/>
  <c r="BH38" i="61"/>
  <c r="BC109" i="61"/>
  <c r="BR109" i="61"/>
  <c r="BC187" i="61"/>
  <c r="BC186" i="61"/>
  <c r="BC163" i="61"/>
  <c r="BC76" i="61"/>
  <c r="BC174" i="61"/>
  <c r="BC26" i="61"/>
  <c r="BC34" i="61"/>
  <c r="BC125" i="61"/>
  <c r="BC116" i="61"/>
  <c r="BC201" i="61"/>
  <c r="BC106" i="61"/>
  <c r="BC85" i="61"/>
  <c r="BC40" i="61"/>
  <c r="BC54" i="61"/>
  <c r="BC134" i="61"/>
  <c r="BC189" i="61"/>
  <c r="BC167" i="61"/>
  <c r="BC139" i="61"/>
  <c r="BC22" i="61"/>
  <c r="BC176" i="61"/>
  <c r="BC108" i="61"/>
  <c r="BC141" i="61"/>
  <c r="BC169" i="61"/>
  <c r="BC29" i="61"/>
  <c r="BC102" i="61"/>
  <c r="BC114" i="61"/>
  <c r="BC99" i="61"/>
  <c r="BC155" i="61"/>
  <c r="BC159" i="61"/>
  <c r="BC150" i="61"/>
  <c r="BC39" i="61"/>
  <c r="BC49" i="61"/>
  <c r="BC74" i="61"/>
  <c r="BC13" i="61"/>
  <c r="BC63" i="61"/>
  <c r="BC64" i="61"/>
  <c r="BC145" i="61"/>
  <c r="BC113" i="61"/>
  <c r="BC128" i="61"/>
  <c r="BC50" i="61"/>
  <c r="BC37" i="61"/>
  <c r="BC112" i="61"/>
  <c r="BC46" i="61"/>
  <c r="BC101" i="61"/>
  <c r="BC68" i="61"/>
  <c r="BC97" i="61"/>
  <c r="BC103" i="61"/>
  <c r="BC171" i="61"/>
  <c r="BC78" i="61"/>
  <c r="BC67" i="61"/>
  <c r="BC75" i="61"/>
  <c r="BC124" i="61"/>
  <c r="BC89" i="61"/>
  <c r="BC96" i="61"/>
  <c r="BC190" i="61"/>
  <c r="BC57" i="61"/>
  <c r="BC38" i="61"/>
  <c r="BC15" i="61"/>
  <c r="BC157" i="61"/>
  <c r="BC168" i="61"/>
  <c r="BC203" i="61"/>
  <c r="BC160" i="61"/>
  <c r="BC122" i="61"/>
  <c r="BC156" i="61"/>
  <c r="AX208" i="61"/>
  <c r="BI42" i="61"/>
  <c r="BI8" i="61"/>
  <c r="BI126" i="61"/>
  <c r="BI72" i="61"/>
  <c r="BI131" i="61"/>
  <c r="BH206" i="61"/>
  <c r="BI61" i="61"/>
  <c r="BI69" i="61"/>
  <c r="BI79" i="61"/>
  <c r="BI198" i="61"/>
  <c r="BI14" i="61"/>
  <c r="BI52" i="61"/>
  <c r="BI80" i="61"/>
  <c r="BI44" i="61"/>
  <c r="BI197" i="61"/>
  <c r="BI204" i="61"/>
  <c r="BI192" i="61"/>
  <c r="BI154" i="61"/>
  <c r="BI152" i="61"/>
  <c r="BI32" i="61"/>
  <c r="BI188" i="61"/>
  <c r="BI195" i="61" l="1"/>
  <c r="BI23" i="61"/>
  <c r="BI191" i="61"/>
  <c r="BI19" i="61"/>
  <c r="BG208" i="61"/>
  <c r="BQ208" i="61"/>
  <c r="BS196" i="61"/>
  <c r="BI196" i="61"/>
  <c r="BS206" i="61"/>
  <c r="BI206" i="61"/>
  <c r="BS180" i="61"/>
  <c r="BI180" i="61"/>
  <c r="BR60" i="61"/>
  <c r="BH60" i="61"/>
  <c r="BR180" i="61"/>
  <c r="BH180" i="61"/>
  <c r="BR11" i="61"/>
  <c r="BH11" i="61"/>
  <c r="BC154" i="61"/>
  <c r="BS154" i="61"/>
  <c r="BC19" i="61"/>
  <c r="BS19" i="61"/>
  <c r="BC191" i="61"/>
  <c r="BS191" i="61"/>
  <c r="BC61" i="61"/>
  <c r="BS61" i="61"/>
  <c r="BC126" i="61"/>
  <c r="BS126" i="61"/>
  <c r="BC80" i="61"/>
  <c r="BS80" i="61"/>
  <c r="BC192" i="61"/>
  <c r="BS192" i="61"/>
  <c r="BC198" i="61"/>
  <c r="BC8" i="61"/>
  <c r="BS8" i="61"/>
  <c r="BC188" i="61"/>
  <c r="BS188" i="61"/>
  <c r="BC197" i="61"/>
  <c r="BC206" i="61"/>
  <c r="BR206" i="61"/>
  <c r="BC52" i="61"/>
  <c r="BS52" i="61"/>
  <c r="BC32" i="61"/>
  <c r="BS32" i="61"/>
  <c r="BC79" i="61"/>
  <c r="BS79" i="61"/>
  <c r="BC131" i="61"/>
  <c r="BS131" i="61"/>
  <c r="BC195" i="61"/>
  <c r="BS195" i="61"/>
  <c r="BC14" i="61"/>
  <c r="BS14" i="61"/>
  <c r="BC23" i="61"/>
  <c r="BS23" i="61"/>
  <c r="BC204" i="61"/>
  <c r="BC69" i="61"/>
  <c r="BS69" i="61"/>
  <c r="BC72" i="61"/>
  <c r="BS72" i="61"/>
  <c r="BC42" i="61"/>
  <c r="BS42" i="61"/>
  <c r="BC152" i="61"/>
  <c r="BS152" i="61"/>
  <c r="BC44" i="61"/>
  <c r="BS44" i="61"/>
  <c r="BC180" i="61"/>
  <c r="BA208" i="61"/>
  <c r="BI11" i="61"/>
  <c r="AY208" i="61"/>
  <c r="BI60" i="61" l="1"/>
  <c r="BI208" i="61" s="1"/>
  <c r="BH208" i="61"/>
  <c r="BR208" i="61"/>
  <c r="BC60" i="61"/>
  <c r="BS60" i="61"/>
  <c r="BC11" i="61"/>
  <c r="BS11" i="61"/>
  <c r="AZ208" i="61"/>
  <c r="BS208" i="61" l="1"/>
  <c r="BU196" i="61" l="1"/>
  <c r="BU208" i="61" s="1"/>
  <c r="BK196" i="61"/>
  <c r="BC196" i="61"/>
  <c r="BB208" i="61"/>
  <c r="BC208" i="61" l="1"/>
  <c r="BK208" i="61"/>
  <c r="F90" i="66" l="1"/>
  <c r="N207" i="68"/>
  <c r="M207" i="68"/>
  <c r="I208" i="66" l="1"/>
  <c r="J208" i="66"/>
  <c r="K121" i="77" l="1"/>
  <c r="D4" i="11" l="1"/>
  <c r="O117" i="11" l="1"/>
  <c r="O100" i="11"/>
  <c r="O82" i="11"/>
  <c r="O114" i="11"/>
  <c r="O96" i="11"/>
  <c r="O81" i="11"/>
  <c r="O78" i="11"/>
  <c r="O77" i="11"/>
  <c r="N117" i="11"/>
  <c r="N77" i="11"/>
  <c r="N78" i="11"/>
  <c r="O19" i="11"/>
  <c r="O22" i="11"/>
  <c r="N82" i="11"/>
  <c r="N115" i="11"/>
  <c r="N100" i="11"/>
  <c r="N21" i="11"/>
  <c r="N84" i="11"/>
  <c r="O84" i="11"/>
  <c r="P84" i="11"/>
  <c r="M104" i="11"/>
  <c r="M27" i="11"/>
  <c r="M26" i="11"/>
  <c r="M25" i="11"/>
  <c r="M24" i="11"/>
  <c r="M23" i="11"/>
  <c r="M29" i="11"/>
  <c r="M28" i="11"/>
  <c r="M114" i="11"/>
  <c r="M103" i="11"/>
  <c r="M33" i="11"/>
  <c r="L82" i="11"/>
  <c r="L81" i="11"/>
  <c r="L91" i="11"/>
  <c r="L90" i="11"/>
  <c r="L87" i="11"/>
  <c r="L99" i="11"/>
  <c r="L89" i="11"/>
  <c r="L111" i="11"/>
  <c r="L18" i="11"/>
  <c r="L19" i="11"/>
  <c r="K35" i="11"/>
  <c r="K67" i="11" s="1"/>
  <c r="L21" i="11"/>
  <c r="K20" i="11"/>
  <c r="K19" i="11"/>
  <c r="K18" i="11"/>
  <c r="K77" i="11"/>
  <c r="K98" i="11"/>
  <c r="S98" i="11" s="1"/>
  <c r="K99" i="11"/>
  <c r="K78" i="11"/>
  <c r="K95" i="11"/>
  <c r="K115" i="11"/>
  <c r="K34" i="11"/>
  <c r="K66" i="11" s="1"/>
  <c r="K100" i="11"/>
  <c r="J81" i="11"/>
  <c r="J117" i="11"/>
  <c r="I93" i="11"/>
  <c r="I124" i="11"/>
  <c r="N70" i="11"/>
  <c r="K70" i="11"/>
  <c r="P70" i="11"/>
  <c r="J70" i="11"/>
  <c r="M70" i="11"/>
  <c r="O70" i="11"/>
  <c r="L70" i="11"/>
  <c r="I29" i="11"/>
  <c r="I24" i="11"/>
  <c r="I26" i="11"/>
  <c r="I23" i="11"/>
  <c r="I25" i="11"/>
  <c r="I27" i="11"/>
  <c r="I28" i="11"/>
  <c r="I82" i="11"/>
  <c r="H124" i="11"/>
  <c r="H35" i="11"/>
  <c r="H67" i="11" s="1"/>
  <c r="F35" i="11"/>
  <c r="F67" i="11" s="1"/>
  <c r="F22" i="11"/>
  <c r="F21" i="11"/>
  <c r="O79" i="11" l="1"/>
  <c r="N79" i="11"/>
  <c r="K79" i="11"/>
  <c r="S95" i="11"/>
  <c r="Q95" i="11"/>
  <c r="Q98" i="11"/>
  <c r="S115" i="11"/>
  <c r="Q115" i="11"/>
  <c r="S66" i="11"/>
  <c r="Q66" i="11"/>
  <c r="R34" i="11"/>
  <c r="Q70" i="11"/>
  <c r="S77" i="11"/>
  <c r="J79" i="11"/>
  <c r="Q77" i="11"/>
  <c r="Q78" i="11"/>
  <c r="S78" i="11"/>
  <c r="BV9" i="67"/>
  <c r="BV10" i="67"/>
  <c r="BV11" i="67"/>
  <c r="BV12" i="67"/>
  <c r="BV13" i="67"/>
  <c r="BV14" i="67"/>
  <c r="BV15" i="67"/>
  <c r="BV16" i="67"/>
  <c r="BV17" i="67"/>
  <c r="BV18" i="67"/>
  <c r="BV19" i="67"/>
  <c r="BV20" i="67"/>
  <c r="BV22" i="67"/>
  <c r="BV23" i="67"/>
  <c r="BV24" i="67"/>
  <c r="BV25" i="67"/>
  <c r="BV26" i="67"/>
  <c r="BV27" i="67"/>
  <c r="BV28" i="67"/>
  <c r="BV29" i="67"/>
  <c r="BV30" i="67"/>
  <c r="BV31" i="67"/>
  <c r="BV32" i="67"/>
  <c r="BV33" i="67"/>
  <c r="BV34" i="67"/>
  <c r="BV35" i="67"/>
  <c r="BV36" i="67"/>
  <c r="BV37" i="67"/>
  <c r="BV38" i="67"/>
  <c r="BV39" i="67"/>
  <c r="BV40" i="67"/>
  <c r="BV41" i="67"/>
  <c r="BV42" i="67"/>
  <c r="BV43" i="67"/>
  <c r="BV44" i="67"/>
  <c r="BV45" i="67"/>
  <c r="BV46" i="67"/>
  <c r="BV47" i="67"/>
  <c r="BV48" i="67"/>
  <c r="BV49" i="67"/>
  <c r="BV50" i="67"/>
  <c r="BV51" i="67"/>
  <c r="BV52" i="67"/>
  <c r="BV53" i="67"/>
  <c r="BV54" i="67"/>
  <c r="BV55" i="67"/>
  <c r="BV56" i="67"/>
  <c r="BV57" i="67"/>
  <c r="BV58" i="67"/>
  <c r="BV59" i="67"/>
  <c r="BV60" i="67"/>
  <c r="BV61" i="67"/>
  <c r="BV62" i="67"/>
  <c r="BV63" i="67"/>
  <c r="BV64" i="67"/>
  <c r="BV65" i="67"/>
  <c r="BV66" i="67"/>
  <c r="BV67" i="67"/>
  <c r="BV68" i="67"/>
  <c r="BV69" i="67"/>
  <c r="BV70" i="67"/>
  <c r="BV71" i="67"/>
  <c r="BV72" i="67"/>
  <c r="BV73" i="67"/>
  <c r="BV74" i="67"/>
  <c r="BV75" i="67"/>
  <c r="BV76" i="67"/>
  <c r="BV77" i="67"/>
  <c r="BV78" i="67"/>
  <c r="BV79" i="67"/>
  <c r="BV80" i="67"/>
  <c r="BV81" i="67"/>
  <c r="BV82" i="67"/>
  <c r="BV83" i="67"/>
  <c r="BV84" i="67"/>
  <c r="BV85" i="67"/>
  <c r="BV86" i="67"/>
  <c r="BV87" i="67"/>
  <c r="BV88" i="67"/>
  <c r="BV89" i="67"/>
  <c r="BV90" i="67"/>
  <c r="BV91" i="67"/>
  <c r="BV92" i="67"/>
  <c r="BV93" i="67"/>
  <c r="BV94" i="67"/>
  <c r="BV95" i="67"/>
  <c r="BV96" i="67"/>
  <c r="BV194" i="67"/>
  <c r="BV97" i="67"/>
  <c r="BV98" i="67"/>
  <c r="BV99" i="67"/>
  <c r="BV100" i="67"/>
  <c r="BV101" i="67"/>
  <c r="BV102" i="67"/>
  <c r="BV103" i="67"/>
  <c r="BV104" i="67"/>
  <c r="BV105" i="67"/>
  <c r="BV106" i="67"/>
  <c r="BV107" i="67"/>
  <c r="BV108" i="67"/>
  <c r="BV109" i="67"/>
  <c r="BV110" i="67"/>
  <c r="BV111" i="67"/>
  <c r="BV112" i="67"/>
  <c r="BV113" i="67"/>
  <c r="BV114" i="67"/>
  <c r="BV115" i="67"/>
  <c r="BV116" i="67"/>
  <c r="BV117" i="67"/>
  <c r="BV118" i="67"/>
  <c r="BV119" i="67"/>
  <c r="BV120" i="67"/>
  <c r="BV121" i="67"/>
  <c r="BV122" i="67"/>
  <c r="BV123" i="67"/>
  <c r="BV124" i="67"/>
  <c r="BV125" i="67"/>
  <c r="BV126" i="67"/>
  <c r="BV127" i="67"/>
  <c r="BV128" i="67"/>
  <c r="BV129" i="67"/>
  <c r="BV130" i="67"/>
  <c r="BV131" i="67"/>
  <c r="BV132" i="67"/>
  <c r="BV133" i="67"/>
  <c r="BV134" i="67"/>
  <c r="BV135" i="67"/>
  <c r="BV136" i="67"/>
  <c r="BV137" i="67"/>
  <c r="BV138" i="67"/>
  <c r="BV139" i="67"/>
  <c r="BV140" i="67"/>
  <c r="BV141" i="67"/>
  <c r="BV142" i="67"/>
  <c r="BV143" i="67"/>
  <c r="BV144" i="67"/>
  <c r="BV145" i="67"/>
  <c r="BV146" i="67"/>
  <c r="BV147" i="67"/>
  <c r="BV148" i="67"/>
  <c r="BV149" i="67"/>
  <c r="BV150" i="67"/>
  <c r="BV151" i="67"/>
  <c r="BV152" i="67"/>
  <c r="BV153" i="67"/>
  <c r="BV154" i="67"/>
  <c r="BV155" i="67"/>
  <c r="BV156" i="67"/>
  <c r="BV157" i="67"/>
  <c r="BV158" i="67"/>
  <c r="BV159" i="67"/>
  <c r="BV160" i="67"/>
  <c r="BV161" i="67"/>
  <c r="BV162" i="67"/>
  <c r="BV163" i="67"/>
  <c r="BV164" i="67"/>
  <c r="BV165" i="67"/>
  <c r="BV166" i="67"/>
  <c r="BV167" i="67"/>
  <c r="BV168" i="67"/>
  <c r="BV169" i="67"/>
  <c r="BV170" i="67"/>
  <c r="BV171" i="67"/>
  <c r="BV172" i="67"/>
  <c r="BV173" i="67"/>
  <c r="BV174" i="67"/>
  <c r="BV175" i="67"/>
  <c r="BV176" i="67"/>
  <c r="BV177" i="67"/>
  <c r="BV178" i="67"/>
  <c r="BV179" i="67"/>
  <c r="BV180" i="67"/>
  <c r="BV181" i="67"/>
  <c r="BV182" i="67"/>
  <c r="BV183" i="67"/>
  <c r="BV184" i="67"/>
  <c r="BV185" i="67"/>
  <c r="BV186" i="67"/>
  <c r="BV187" i="67"/>
  <c r="BV188" i="67"/>
  <c r="BV189" i="67"/>
  <c r="BV190" i="67"/>
  <c r="BV191" i="67"/>
  <c r="BV192" i="67"/>
  <c r="BV193" i="67"/>
  <c r="BV8" i="67"/>
  <c r="CJ9" i="67"/>
  <c r="CJ10" i="67"/>
  <c r="CJ11" i="67"/>
  <c r="CJ12" i="67"/>
  <c r="CJ13" i="67"/>
  <c r="CJ14" i="67"/>
  <c r="CJ15" i="67"/>
  <c r="CJ16" i="67"/>
  <c r="CJ17" i="67"/>
  <c r="CJ18" i="67"/>
  <c r="CJ19" i="67"/>
  <c r="CJ20" i="67"/>
  <c r="CJ22" i="67"/>
  <c r="CJ23" i="67"/>
  <c r="CJ24" i="67"/>
  <c r="CJ25" i="67"/>
  <c r="CJ26" i="67"/>
  <c r="CJ27" i="67"/>
  <c r="CJ28" i="67"/>
  <c r="CJ29" i="67"/>
  <c r="CJ30" i="67"/>
  <c r="CJ31" i="67"/>
  <c r="CJ32" i="67"/>
  <c r="CJ33" i="67"/>
  <c r="CJ34" i="67"/>
  <c r="CJ35" i="67"/>
  <c r="CJ36" i="67"/>
  <c r="CJ37" i="67"/>
  <c r="CJ38" i="67"/>
  <c r="CJ39" i="67"/>
  <c r="CJ40" i="67"/>
  <c r="CJ41" i="67"/>
  <c r="CJ42" i="67"/>
  <c r="CJ43" i="67"/>
  <c r="CJ44" i="67"/>
  <c r="CJ45" i="67"/>
  <c r="CJ46" i="67"/>
  <c r="CJ47" i="67"/>
  <c r="CJ48" i="67"/>
  <c r="CJ49" i="67"/>
  <c r="CJ50" i="67"/>
  <c r="CJ51" i="67"/>
  <c r="CJ52" i="67"/>
  <c r="CJ53" i="67"/>
  <c r="CJ54" i="67"/>
  <c r="CJ55" i="67"/>
  <c r="CJ56" i="67"/>
  <c r="CJ57" i="67"/>
  <c r="CJ58" i="67"/>
  <c r="CJ59" i="67"/>
  <c r="CJ60" i="67"/>
  <c r="CJ61" i="67"/>
  <c r="CJ62" i="67"/>
  <c r="CJ63" i="67"/>
  <c r="CJ64" i="67"/>
  <c r="CJ65" i="67"/>
  <c r="CJ66" i="67"/>
  <c r="CJ67" i="67"/>
  <c r="CJ68" i="67"/>
  <c r="CJ69" i="67"/>
  <c r="CJ70" i="67"/>
  <c r="CJ71" i="67"/>
  <c r="CJ72" i="67"/>
  <c r="CJ73" i="67"/>
  <c r="CJ74" i="67"/>
  <c r="CJ75" i="67"/>
  <c r="CJ76" i="67"/>
  <c r="CJ77" i="67"/>
  <c r="CJ78" i="67"/>
  <c r="CJ79" i="67"/>
  <c r="CJ80" i="67"/>
  <c r="CJ81" i="67"/>
  <c r="CJ82" i="67"/>
  <c r="CJ83" i="67"/>
  <c r="CJ84" i="67"/>
  <c r="CJ85" i="67"/>
  <c r="CJ86" i="67"/>
  <c r="CJ87" i="67"/>
  <c r="CJ88" i="67"/>
  <c r="CJ89" i="67"/>
  <c r="CJ90" i="67"/>
  <c r="CJ91" i="67"/>
  <c r="CJ92" i="67"/>
  <c r="CJ93" i="67"/>
  <c r="CJ94" i="67"/>
  <c r="CJ95" i="67"/>
  <c r="CJ96" i="67"/>
  <c r="CJ194" i="67"/>
  <c r="CJ97" i="67"/>
  <c r="CJ98" i="67"/>
  <c r="CJ99" i="67"/>
  <c r="CJ100" i="67"/>
  <c r="CJ101" i="67"/>
  <c r="CJ102" i="67"/>
  <c r="CJ103" i="67"/>
  <c r="CJ104" i="67"/>
  <c r="CJ105" i="67"/>
  <c r="CJ106" i="67"/>
  <c r="CJ107" i="67"/>
  <c r="CJ108" i="67"/>
  <c r="CJ109" i="67"/>
  <c r="CJ110" i="67"/>
  <c r="CJ111" i="67"/>
  <c r="CJ112" i="67"/>
  <c r="CJ113" i="67"/>
  <c r="CJ114" i="67"/>
  <c r="CJ115" i="67"/>
  <c r="CJ116" i="67"/>
  <c r="CJ117" i="67"/>
  <c r="CJ118" i="67"/>
  <c r="CJ119" i="67"/>
  <c r="CJ120" i="67"/>
  <c r="CJ121" i="67"/>
  <c r="CJ122" i="67"/>
  <c r="CJ123" i="67"/>
  <c r="CJ124" i="67"/>
  <c r="CJ125" i="67"/>
  <c r="CJ126" i="67"/>
  <c r="CJ127" i="67"/>
  <c r="CJ128" i="67"/>
  <c r="CJ129" i="67"/>
  <c r="CJ130" i="67"/>
  <c r="CJ131" i="67"/>
  <c r="CJ132" i="67"/>
  <c r="CJ133" i="67"/>
  <c r="CJ134" i="67"/>
  <c r="CJ135" i="67"/>
  <c r="CJ136" i="67"/>
  <c r="CJ137" i="67"/>
  <c r="CJ138" i="67"/>
  <c r="CJ139" i="67"/>
  <c r="CJ140" i="67"/>
  <c r="CJ141" i="67"/>
  <c r="CJ142" i="67"/>
  <c r="CJ143" i="67"/>
  <c r="CJ144" i="67"/>
  <c r="CJ145" i="67"/>
  <c r="CJ146" i="67"/>
  <c r="CJ147" i="67"/>
  <c r="CJ148" i="67"/>
  <c r="CJ149" i="67"/>
  <c r="CJ150" i="67"/>
  <c r="CJ151" i="67"/>
  <c r="CJ152" i="67"/>
  <c r="CJ153" i="67"/>
  <c r="CJ154" i="67"/>
  <c r="CJ155" i="67"/>
  <c r="CJ156" i="67"/>
  <c r="CJ157" i="67"/>
  <c r="CJ158" i="67"/>
  <c r="CJ159" i="67"/>
  <c r="CJ160" i="67"/>
  <c r="CJ161" i="67"/>
  <c r="CJ162" i="67"/>
  <c r="CJ163" i="67"/>
  <c r="CJ164" i="67"/>
  <c r="CJ165" i="67"/>
  <c r="CJ166" i="67"/>
  <c r="CJ167" i="67"/>
  <c r="CJ168" i="67"/>
  <c r="CJ169" i="67"/>
  <c r="CJ170" i="67"/>
  <c r="CJ171" i="67"/>
  <c r="CJ172" i="67"/>
  <c r="CJ173" i="67"/>
  <c r="CJ174" i="67"/>
  <c r="CJ175" i="67"/>
  <c r="CJ176" i="67"/>
  <c r="CJ177" i="67"/>
  <c r="CJ178" i="67"/>
  <c r="CJ179" i="67"/>
  <c r="CJ180" i="67"/>
  <c r="CJ181" i="67"/>
  <c r="CJ182" i="67"/>
  <c r="CJ183" i="67"/>
  <c r="CJ184" i="67"/>
  <c r="CJ185" i="67"/>
  <c r="CJ186" i="67"/>
  <c r="CJ187" i="67"/>
  <c r="CJ188" i="67"/>
  <c r="CJ189" i="67"/>
  <c r="CJ190" i="67"/>
  <c r="CJ191" i="67"/>
  <c r="CJ192" i="67"/>
  <c r="CJ193" i="67"/>
  <c r="CJ8" i="67"/>
  <c r="AR10" i="65"/>
  <c r="AR11" i="65"/>
  <c r="AR12" i="65"/>
  <c r="AR13" i="65"/>
  <c r="AR14" i="65"/>
  <c r="AN12" i="65"/>
  <c r="AN9" i="65"/>
  <c r="AN10" i="65"/>
  <c r="Q79" i="11" l="1"/>
  <c r="S79" i="11"/>
  <c r="S107" i="77"/>
  <c r="S106" i="77"/>
  <c r="S103" i="77"/>
  <c r="S102" i="77"/>
  <c r="S85" i="77"/>
  <c r="S86" i="77"/>
  <c r="S87" i="77"/>
  <c r="S88" i="77"/>
  <c r="S89" i="77"/>
  <c r="S90" i="77"/>
  <c r="S91" i="77"/>
  <c r="S84" i="77"/>
  <c r="S80" i="77"/>
  <c r="S81" i="77"/>
  <c r="S33" i="77"/>
  <c r="S34" i="77"/>
  <c r="S35" i="77"/>
  <c r="S36" i="77"/>
  <c r="S37" i="77"/>
  <c r="S38" i="77"/>
  <c r="S39" i="77"/>
  <c r="S40" i="77"/>
  <c r="S41" i="77"/>
  <c r="S42" i="77"/>
  <c r="S43" i="77"/>
  <c r="S44" i="77"/>
  <c r="S45" i="77"/>
  <c r="S46" i="77"/>
  <c r="S47" i="77"/>
  <c r="S49" i="77"/>
  <c r="S50" i="77"/>
  <c r="S51" i="77"/>
  <c r="S52" i="77"/>
  <c r="S53" i="77"/>
  <c r="S54" i="77"/>
  <c r="S55" i="77"/>
  <c r="S56" i="77"/>
  <c r="S57" i="77"/>
  <c r="S58" i="77"/>
  <c r="S61" i="77"/>
  <c r="S62" i="77"/>
  <c r="S63" i="77"/>
  <c r="S65" i="77"/>
  <c r="S66" i="77"/>
  <c r="S67" i="77"/>
  <c r="S68" i="77"/>
  <c r="S32" i="77"/>
  <c r="S18" i="77"/>
  <c r="S22" i="77"/>
  <c r="S24" i="77"/>
  <c r="S25" i="77"/>
  <c r="S26" i="77"/>
  <c r="S27" i="77"/>
  <c r="S28" i="77"/>
  <c r="S29" i="77"/>
  <c r="H212" i="44"/>
  <c r="G212" i="44"/>
  <c r="E6" i="77" l="1"/>
  <c r="S157" i="77"/>
  <c r="H186" i="77" s="1"/>
  <c r="S136" i="77"/>
  <c r="K136" i="77"/>
  <c r="K144" i="77" s="1"/>
  <c r="P124" i="77"/>
  <c r="O124" i="77"/>
  <c r="N124" i="77"/>
  <c r="M124" i="77"/>
  <c r="I124" i="77"/>
  <c r="H124" i="77"/>
  <c r="G124" i="77"/>
  <c r="W122" i="77"/>
  <c r="T122" i="77"/>
  <c r="Q122" i="77"/>
  <c r="L122" i="77"/>
  <c r="Q121" i="77"/>
  <c r="W120" i="77"/>
  <c r="T120" i="77"/>
  <c r="Q120" i="77"/>
  <c r="L120" i="77"/>
  <c r="Q119" i="77"/>
  <c r="Q124" i="77" s="1"/>
  <c r="V108" i="77"/>
  <c r="Q108" i="77"/>
  <c r="P108" i="77"/>
  <c r="O108" i="77"/>
  <c r="N108" i="77"/>
  <c r="M108" i="77"/>
  <c r="K108" i="77"/>
  <c r="J108" i="77"/>
  <c r="H108" i="77"/>
  <c r="G108" i="77"/>
  <c r="L107" i="77"/>
  <c r="T107" i="77" s="1"/>
  <c r="I107" i="77"/>
  <c r="W107" i="77" s="1"/>
  <c r="L106" i="77"/>
  <c r="I106" i="77"/>
  <c r="W106" i="77" s="1"/>
  <c r="T105" i="77"/>
  <c r="V104" i="77"/>
  <c r="Q104" i="77"/>
  <c r="P104" i="77"/>
  <c r="O104" i="77"/>
  <c r="N104" i="77"/>
  <c r="M104" i="77"/>
  <c r="K104" i="77"/>
  <c r="J104" i="77"/>
  <c r="H104" i="77"/>
  <c r="G104" i="77"/>
  <c r="L103" i="77"/>
  <c r="I103" i="77"/>
  <c r="W103" i="77" s="1"/>
  <c r="L102" i="77"/>
  <c r="I102" i="77"/>
  <c r="W102" i="77" s="1"/>
  <c r="T96" i="77"/>
  <c r="V92" i="77"/>
  <c r="Q92" i="77"/>
  <c r="P92" i="77"/>
  <c r="O92" i="77"/>
  <c r="N92" i="77"/>
  <c r="M92" i="77"/>
  <c r="K92" i="77"/>
  <c r="J92" i="77"/>
  <c r="H92" i="77"/>
  <c r="G92" i="77"/>
  <c r="L91" i="77"/>
  <c r="T91" i="77" s="1"/>
  <c r="I91" i="77"/>
  <c r="W91" i="77" s="1"/>
  <c r="T90" i="77"/>
  <c r="T89" i="77"/>
  <c r="T88" i="77"/>
  <c r="T87" i="77"/>
  <c r="L86" i="77"/>
  <c r="T86" i="77" s="1"/>
  <c r="I86" i="77"/>
  <c r="W86" i="77" s="1"/>
  <c r="L85" i="77"/>
  <c r="I85" i="77"/>
  <c r="W85" i="77" s="1"/>
  <c r="L84" i="77"/>
  <c r="I84" i="77"/>
  <c r="V82" i="77"/>
  <c r="V94" i="77" s="1"/>
  <c r="V96" i="77" s="1"/>
  <c r="V121" i="77" s="1"/>
  <c r="W121" i="77" s="1"/>
  <c r="Q82" i="77"/>
  <c r="P82" i="77"/>
  <c r="O82" i="77"/>
  <c r="N82" i="77"/>
  <c r="M82" i="77"/>
  <c r="K82" i="77"/>
  <c r="H82" i="77"/>
  <c r="G82" i="77"/>
  <c r="L81" i="77"/>
  <c r="I81" i="77"/>
  <c r="W81" i="77" s="1"/>
  <c r="L80" i="77"/>
  <c r="I80" i="77"/>
  <c r="W80" i="77" s="1"/>
  <c r="I79" i="77"/>
  <c r="T73" i="77"/>
  <c r="V69" i="77"/>
  <c r="Q69" i="77"/>
  <c r="P69" i="77"/>
  <c r="O69" i="77"/>
  <c r="N69" i="77"/>
  <c r="M69" i="77"/>
  <c r="K69" i="77"/>
  <c r="H69" i="77"/>
  <c r="G69" i="77"/>
  <c r="L68" i="77"/>
  <c r="T68" i="77" s="1"/>
  <c r="I68" i="77"/>
  <c r="W68" i="77" s="1"/>
  <c r="L67" i="77"/>
  <c r="T67" i="77" s="1"/>
  <c r="I67" i="77"/>
  <c r="W67" i="77" s="1"/>
  <c r="L66" i="77"/>
  <c r="I66" i="77"/>
  <c r="W66" i="77" s="1"/>
  <c r="L65" i="77"/>
  <c r="I65" i="77"/>
  <c r="W65" i="77" s="1"/>
  <c r="I64" i="77"/>
  <c r="W64" i="77" s="1"/>
  <c r="L63" i="77"/>
  <c r="I63" i="77"/>
  <c r="W63" i="77" s="1"/>
  <c r="L62" i="77"/>
  <c r="I62" i="77"/>
  <c r="W62" i="77" s="1"/>
  <c r="L61" i="77"/>
  <c r="I61" i="77"/>
  <c r="W61" i="77" s="1"/>
  <c r="I60" i="77"/>
  <c r="W60" i="77" s="1"/>
  <c r="I59" i="77"/>
  <c r="W59" i="77" s="1"/>
  <c r="L58" i="77"/>
  <c r="T58" i="77" s="1"/>
  <c r="I58" i="77"/>
  <c r="W58" i="77" s="1"/>
  <c r="T57" i="77"/>
  <c r="T56" i="77"/>
  <c r="T55" i="77"/>
  <c r="T54" i="77"/>
  <c r="T53" i="77"/>
  <c r="T52" i="77"/>
  <c r="L51" i="77"/>
  <c r="I51" i="77"/>
  <c r="W51" i="77" s="1"/>
  <c r="L50" i="77"/>
  <c r="I50" i="77"/>
  <c r="W50" i="77" s="1"/>
  <c r="L49" i="77"/>
  <c r="I49" i="77"/>
  <c r="W49" i="77" s="1"/>
  <c r="I48" i="77"/>
  <c r="W48" i="77" s="1"/>
  <c r="L47" i="77"/>
  <c r="I47" i="77"/>
  <c r="W47" i="77" s="1"/>
  <c r="L46" i="77"/>
  <c r="I46" i="77"/>
  <c r="W46" i="77" s="1"/>
  <c r="L45" i="77"/>
  <c r="T45" i="77" s="1"/>
  <c r="I45" i="77"/>
  <c r="W45" i="77" s="1"/>
  <c r="L44" i="77"/>
  <c r="T44" i="77" s="1"/>
  <c r="I44" i="77"/>
  <c r="W44" i="77" s="1"/>
  <c r="L43" i="77"/>
  <c r="T43" i="77" s="1"/>
  <c r="I43" i="77"/>
  <c r="W43" i="77" s="1"/>
  <c r="L42" i="77"/>
  <c r="I42" i="77"/>
  <c r="W42" i="77" s="1"/>
  <c r="L41" i="77"/>
  <c r="T41" i="77" s="1"/>
  <c r="I41" i="77"/>
  <c r="W41" i="77" s="1"/>
  <c r="L40" i="77"/>
  <c r="I40" i="77"/>
  <c r="W40" i="77" s="1"/>
  <c r="L39" i="77"/>
  <c r="I39" i="77"/>
  <c r="W39" i="77" s="1"/>
  <c r="L38" i="77"/>
  <c r="I38" i="77"/>
  <c r="W38" i="77" s="1"/>
  <c r="L37" i="77"/>
  <c r="T37" i="77" s="1"/>
  <c r="I37" i="77"/>
  <c r="W37" i="77" s="1"/>
  <c r="L36" i="77"/>
  <c r="T36" i="77" s="1"/>
  <c r="I36" i="77"/>
  <c r="W36" i="77" s="1"/>
  <c r="L35" i="77"/>
  <c r="T35" i="77" s="1"/>
  <c r="I35" i="77"/>
  <c r="W35" i="77" s="1"/>
  <c r="L34" i="77"/>
  <c r="T34" i="77" s="1"/>
  <c r="I34" i="77"/>
  <c r="W34" i="77" s="1"/>
  <c r="L33" i="77"/>
  <c r="I33" i="77"/>
  <c r="W33" i="77" s="1"/>
  <c r="L32" i="77"/>
  <c r="I32" i="77"/>
  <c r="V30" i="77"/>
  <c r="Q30" i="77"/>
  <c r="P30" i="77"/>
  <c r="O30" i="77"/>
  <c r="O71" i="77" s="1"/>
  <c r="O73" i="77" s="1"/>
  <c r="N30" i="77"/>
  <c r="M30" i="77"/>
  <c r="K30" i="77"/>
  <c r="H30" i="77"/>
  <c r="H71" i="77" s="1"/>
  <c r="H73" i="77" s="1"/>
  <c r="G30" i="77"/>
  <c r="L29" i="77"/>
  <c r="I29" i="77"/>
  <c r="W29" i="77" s="1"/>
  <c r="L28" i="77"/>
  <c r="T28" i="77" s="1"/>
  <c r="I28" i="77"/>
  <c r="W28" i="77" s="1"/>
  <c r="L27" i="77"/>
  <c r="T27" i="77" s="1"/>
  <c r="I27" i="77"/>
  <c r="W27" i="77" s="1"/>
  <c r="L26" i="77"/>
  <c r="T26" i="77" s="1"/>
  <c r="I26" i="77"/>
  <c r="W26" i="77" s="1"/>
  <c r="L25" i="77"/>
  <c r="T25" i="77" s="1"/>
  <c r="I25" i="77"/>
  <c r="W25" i="77" s="1"/>
  <c r="L24" i="77"/>
  <c r="I24" i="77"/>
  <c r="W24" i="77" s="1"/>
  <c r="I23" i="77"/>
  <c r="W23" i="77" s="1"/>
  <c r="L22" i="77"/>
  <c r="T22" i="77" s="1"/>
  <c r="I22" i="77"/>
  <c r="W22" i="77" s="1"/>
  <c r="I21" i="77"/>
  <c r="W21" i="77" s="1"/>
  <c r="I20" i="77"/>
  <c r="W20" i="77" s="1"/>
  <c r="I19" i="77"/>
  <c r="W19" i="77" s="1"/>
  <c r="L18" i="77"/>
  <c r="I18" i="77"/>
  <c r="W18" i="77" s="1"/>
  <c r="I17" i="77"/>
  <c r="W17" i="77" s="1"/>
  <c r="I16" i="77"/>
  <c r="W16" i="77" s="1"/>
  <c r="I15" i="77"/>
  <c r="W15" i="77" s="1"/>
  <c r="L13" i="77"/>
  <c r="P94" i="77" l="1"/>
  <c r="P96" i="77" s="1"/>
  <c r="Q94" i="77"/>
  <c r="Q96" i="77" s="1"/>
  <c r="G94" i="77"/>
  <c r="G96" i="77" s="1"/>
  <c r="L108" i="77"/>
  <c r="M94" i="77"/>
  <c r="M96" i="77" s="1"/>
  <c r="N110" i="77"/>
  <c r="N112" i="77" s="1"/>
  <c r="P110" i="77"/>
  <c r="P112" i="77" s="1"/>
  <c r="G71" i="77"/>
  <c r="G73" i="77" s="1"/>
  <c r="V71" i="77"/>
  <c r="V73" i="77" s="1"/>
  <c r="V119" i="77" s="1"/>
  <c r="V124" i="77" s="1"/>
  <c r="L104" i="77"/>
  <c r="P71" i="77"/>
  <c r="P73" i="77" s="1"/>
  <c r="O110" i="77"/>
  <c r="O112" i="77" s="1"/>
  <c r="H110" i="77"/>
  <c r="H112" i="77" s="1"/>
  <c r="M71" i="77"/>
  <c r="M73" i="77" s="1"/>
  <c r="Q110" i="77"/>
  <c r="Q112" i="77" s="1"/>
  <c r="T106" i="77"/>
  <c r="T108" i="77" s="1"/>
  <c r="Q71" i="77"/>
  <c r="H94" i="77"/>
  <c r="H96" i="77" s="1"/>
  <c r="M110" i="77"/>
  <c r="M112" i="77" s="1"/>
  <c r="K71" i="77"/>
  <c r="K73" i="77" s="1"/>
  <c r="K119" i="77" s="1"/>
  <c r="K94" i="77"/>
  <c r="K96" i="77" s="1"/>
  <c r="I82" i="77"/>
  <c r="N71" i="77"/>
  <c r="N73" i="77" s="1"/>
  <c r="W79" i="77"/>
  <c r="W82" i="77" s="1"/>
  <c r="N94" i="77"/>
  <c r="N96" i="77" s="1"/>
  <c r="K110" i="77"/>
  <c r="K112" i="77" s="1"/>
  <c r="V110" i="77"/>
  <c r="V112" i="77" s="1"/>
  <c r="V123" i="77" s="1"/>
  <c r="W123" i="77" s="1"/>
  <c r="O94" i="77"/>
  <c r="O96" i="77" s="1"/>
  <c r="G110" i="77"/>
  <c r="G112" i="77" s="1"/>
  <c r="I30" i="77"/>
  <c r="L92" i="77"/>
  <c r="J110" i="77"/>
  <c r="J112" i="77" s="1"/>
  <c r="T39" i="77"/>
  <c r="T29" i="77"/>
  <c r="T47" i="77"/>
  <c r="T51" i="77"/>
  <c r="T65" i="77"/>
  <c r="T63" i="77"/>
  <c r="T61" i="77"/>
  <c r="S92" i="77"/>
  <c r="T84" i="77"/>
  <c r="F213" i="77"/>
  <c r="T24" i="77"/>
  <c r="T80" i="77"/>
  <c r="T42" i="77"/>
  <c r="T50" i="77"/>
  <c r="I69" i="77"/>
  <c r="I71" i="77" s="1"/>
  <c r="I73" i="77" s="1"/>
  <c r="W32" i="77"/>
  <c r="W69" i="77" s="1"/>
  <c r="T33" i="77"/>
  <c r="T66" i="77"/>
  <c r="T40" i="77"/>
  <c r="T49" i="77"/>
  <c r="T62" i="77"/>
  <c r="T38" i="77"/>
  <c r="T46" i="77"/>
  <c r="I92" i="77"/>
  <c r="I94" i="77" s="1"/>
  <c r="I96" i="77" s="1"/>
  <c r="W84" i="77"/>
  <c r="W92" i="77" s="1"/>
  <c r="T85" i="77"/>
  <c r="T103" i="77"/>
  <c r="W108" i="77"/>
  <c r="W110" i="77" s="1"/>
  <c r="W112" i="77" s="1"/>
  <c r="W30" i="77"/>
  <c r="F104" i="77"/>
  <c r="T18" i="77"/>
  <c r="T81" i="77"/>
  <c r="I108" i="77"/>
  <c r="I110" i="77" s="1"/>
  <c r="I112" i="77" s="1"/>
  <c r="K124" i="77" l="1"/>
  <c r="L110" i="77"/>
  <c r="L112" i="77" s="1"/>
  <c r="H187" i="77"/>
  <c r="W119" i="77"/>
  <c r="W124" i="77" s="1"/>
  <c r="Q73" i="77"/>
  <c r="S108" i="77"/>
  <c r="W94" i="77"/>
  <c r="W96" i="77" s="1"/>
  <c r="W71" i="77"/>
  <c r="W73" i="77" s="1"/>
  <c r="F30" i="77"/>
  <c r="F82" i="77"/>
  <c r="F92" i="77"/>
  <c r="F69" i="77"/>
  <c r="T102" i="77"/>
  <c r="T104" i="77" s="1"/>
  <c r="T110" i="77" s="1"/>
  <c r="T112" i="77" s="1"/>
  <c r="S104" i="77"/>
  <c r="F108" i="77"/>
  <c r="F110" i="77" s="1"/>
  <c r="F112" i="77" s="1"/>
  <c r="F123" i="77" s="1"/>
  <c r="H178" i="77"/>
  <c r="H180" i="77" s="1"/>
  <c r="T32" i="77"/>
  <c r="T92" i="77"/>
  <c r="S110" i="77" l="1"/>
  <c r="S112" i="77" s="1"/>
  <c r="S123" i="77" s="1"/>
  <c r="T123" i="77" s="1"/>
  <c r="F71" i="77"/>
  <c r="F73" i="77" s="1"/>
  <c r="F119" i="77" s="1"/>
  <c r="F94" i="77"/>
  <c r="F96" i="77" s="1"/>
  <c r="F121" i="77" s="1"/>
  <c r="F124" i="77" l="1"/>
  <c r="BO9" i="67" l="1"/>
  <c r="BO10" i="67"/>
  <c r="BO11" i="67"/>
  <c r="BO12" i="67"/>
  <c r="BO13" i="67"/>
  <c r="BO14" i="67"/>
  <c r="BO15" i="67"/>
  <c r="BO16" i="67"/>
  <c r="BO17" i="67"/>
  <c r="BO18" i="67"/>
  <c r="BO19" i="67"/>
  <c r="BO20" i="67"/>
  <c r="BO21" i="67"/>
  <c r="BO22" i="67"/>
  <c r="BO23" i="67"/>
  <c r="BO24" i="67"/>
  <c r="BO25" i="67"/>
  <c r="BO26" i="67"/>
  <c r="BO27" i="67"/>
  <c r="BO28" i="67"/>
  <c r="BO29" i="67"/>
  <c r="BO30" i="67"/>
  <c r="BO31" i="67"/>
  <c r="BO32" i="67"/>
  <c r="BO33" i="67"/>
  <c r="BO34" i="67"/>
  <c r="BO35" i="67"/>
  <c r="BO36" i="67"/>
  <c r="BO37" i="67"/>
  <c r="BO38" i="67"/>
  <c r="BO39" i="67"/>
  <c r="BO40" i="67"/>
  <c r="BO41" i="67"/>
  <c r="BO42" i="67"/>
  <c r="BO43" i="67"/>
  <c r="BO44" i="67"/>
  <c r="BO45" i="67"/>
  <c r="BO46" i="67"/>
  <c r="BO47" i="67"/>
  <c r="BO48" i="67"/>
  <c r="BO49" i="67"/>
  <c r="BO50" i="67"/>
  <c r="BO51" i="67"/>
  <c r="BO52" i="67"/>
  <c r="BO53" i="67"/>
  <c r="BO54" i="67"/>
  <c r="BO55" i="67"/>
  <c r="BO56" i="67"/>
  <c r="BO57" i="67"/>
  <c r="BO58" i="67"/>
  <c r="BO59" i="67"/>
  <c r="BO60" i="67"/>
  <c r="BO61" i="67"/>
  <c r="BO62" i="67"/>
  <c r="BO63" i="67"/>
  <c r="BO64" i="67"/>
  <c r="BO65" i="67"/>
  <c r="BO66" i="67"/>
  <c r="BO67" i="67"/>
  <c r="BO68" i="67"/>
  <c r="BO69" i="67"/>
  <c r="BO70" i="67"/>
  <c r="BO71" i="67"/>
  <c r="BO72" i="67"/>
  <c r="BO73" i="67"/>
  <c r="BO74" i="67"/>
  <c r="BO75" i="67"/>
  <c r="BO76" i="67"/>
  <c r="BO77" i="67"/>
  <c r="BO78" i="67"/>
  <c r="BO79" i="67"/>
  <c r="BO80" i="67"/>
  <c r="BO81" i="67"/>
  <c r="BO82" i="67"/>
  <c r="BO83" i="67"/>
  <c r="BO84" i="67"/>
  <c r="BO85" i="67"/>
  <c r="BO86" i="67"/>
  <c r="BO87" i="67"/>
  <c r="BO88" i="67"/>
  <c r="BO89" i="67"/>
  <c r="BO90" i="67"/>
  <c r="BO91" i="67"/>
  <c r="BO92" i="67"/>
  <c r="BO93" i="67"/>
  <c r="BO94" i="67"/>
  <c r="BO95" i="67"/>
  <c r="BO96" i="67"/>
  <c r="BO194" i="67"/>
  <c r="BO97" i="67"/>
  <c r="BO98" i="67"/>
  <c r="BO99" i="67"/>
  <c r="BO100" i="67"/>
  <c r="BO101" i="67"/>
  <c r="BO102" i="67"/>
  <c r="BO103" i="67"/>
  <c r="BO104" i="67"/>
  <c r="BO105" i="67"/>
  <c r="BO106" i="67"/>
  <c r="BO107" i="67"/>
  <c r="BO108" i="67"/>
  <c r="BO109" i="67"/>
  <c r="BO110" i="67"/>
  <c r="BO111" i="67"/>
  <c r="BO112" i="67"/>
  <c r="BO113" i="67"/>
  <c r="BO114" i="67"/>
  <c r="BO115" i="67"/>
  <c r="BO116" i="67"/>
  <c r="BO117" i="67"/>
  <c r="BO118" i="67"/>
  <c r="BO119" i="67"/>
  <c r="BO120" i="67"/>
  <c r="BO121" i="67"/>
  <c r="BO122" i="67"/>
  <c r="BO123" i="67"/>
  <c r="BO124" i="67"/>
  <c r="BO125" i="67"/>
  <c r="BO126" i="67"/>
  <c r="BO127" i="67"/>
  <c r="BO128" i="67"/>
  <c r="BO129" i="67"/>
  <c r="BO130" i="67"/>
  <c r="BO131" i="67"/>
  <c r="BO132" i="67"/>
  <c r="BO133" i="67"/>
  <c r="BO134" i="67"/>
  <c r="BO135" i="67"/>
  <c r="BO136" i="67"/>
  <c r="BO137" i="67"/>
  <c r="BO138" i="67"/>
  <c r="BO139" i="67"/>
  <c r="BO140" i="67"/>
  <c r="BO141" i="67"/>
  <c r="BO142" i="67"/>
  <c r="BO143" i="67"/>
  <c r="BO144" i="67"/>
  <c r="BO145" i="67"/>
  <c r="BO146" i="67"/>
  <c r="BO147" i="67"/>
  <c r="BO148" i="67"/>
  <c r="BO149" i="67"/>
  <c r="BO150" i="67"/>
  <c r="BO151" i="67"/>
  <c r="BO152" i="67"/>
  <c r="BO153" i="67"/>
  <c r="BO154" i="67"/>
  <c r="BO155" i="67"/>
  <c r="BO156" i="67"/>
  <c r="BO157" i="67"/>
  <c r="BO158" i="67"/>
  <c r="BO159" i="67"/>
  <c r="BO160" i="67"/>
  <c r="BO161" i="67"/>
  <c r="BO162" i="67"/>
  <c r="BO163" i="67"/>
  <c r="BO164" i="67"/>
  <c r="BO165" i="67"/>
  <c r="BO166" i="67"/>
  <c r="BO167" i="67"/>
  <c r="BO168" i="67"/>
  <c r="BO169" i="67"/>
  <c r="BO170" i="67"/>
  <c r="BO171" i="67"/>
  <c r="BO172" i="67"/>
  <c r="BO173" i="67"/>
  <c r="BO174" i="67"/>
  <c r="BO175" i="67"/>
  <c r="BO176" i="67"/>
  <c r="BO177" i="67"/>
  <c r="BO178" i="67"/>
  <c r="BO179" i="67"/>
  <c r="BO180" i="67"/>
  <c r="BO181" i="67"/>
  <c r="BO182" i="67"/>
  <c r="BO183" i="67"/>
  <c r="BO184" i="67"/>
  <c r="BO185" i="67"/>
  <c r="BO186" i="67"/>
  <c r="BO187" i="67"/>
  <c r="BO188" i="67"/>
  <c r="BO189" i="67"/>
  <c r="BO190" i="67"/>
  <c r="BO191" i="67"/>
  <c r="BO192" i="67"/>
  <c r="BO193" i="67"/>
  <c r="BO8" i="67"/>
  <c r="CG208" i="67" l="1"/>
  <c r="J8" i="68" l="1"/>
  <c r="W8" i="68" s="1"/>
  <c r="J9" i="68"/>
  <c r="W9" i="68" s="1"/>
  <c r="J10" i="68"/>
  <c r="W10" i="68" s="1"/>
  <c r="J11" i="68"/>
  <c r="W11" i="68" s="1"/>
  <c r="J12" i="68"/>
  <c r="W12" i="68" s="1"/>
  <c r="J13" i="68"/>
  <c r="W13" i="68" s="1"/>
  <c r="J14" i="68"/>
  <c r="W14" i="68" s="1"/>
  <c r="J15" i="68"/>
  <c r="W15" i="68" s="1"/>
  <c r="J16" i="68"/>
  <c r="W16" i="68" s="1"/>
  <c r="J17" i="68"/>
  <c r="W17" i="68" s="1"/>
  <c r="J18" i="68"/>
  <c r="W18" i="68" s="1"/>
  <c r="J19" i="68"/>
  <c r="W19" i="68" s="1"/>
  <c r="J20" i="68"/>
  <c r="W20" i="68" s="1"/>
  <c r="J21" i="68"/>
  <c r="W21" i="68" s="1"/>
  <c r="J22" i="68"/>
  <c r="W22" i="68" s="1"/>
  <c r="J23" i="68"/>
  <c r="W23" i="68" s="1"/>
  <c r="J24" i="68"/>
  <c r="W24" i="68" s="1"/>
  <c r="J25" i="68"/>
  <c r="W25" i="68" s="1"/>
  <c r="J26" i="68"/>
  <c r="W26" i="68" s="1"/>
  <c r="J27" i="68"/>
  <c r="W27" i="68" s="1"/>
  <c r="J28" i="68"/>
  <c r="W28" i="68" s="1"/>
  <c r="J29" i="68"/>
  <c r="W29" i="68" s="1"/>
  <c r="J30" i="68"/>
  <c r="W30" i="68" s="1"/>
  <c r="J31" i="68"/>
  <c r="W31" i="68" s="1"/>
  <c r="J32" i="68"/>
  <c r="W32" i="68" s="1"/>
  <c r="J33" i="68"/>
  <c r="W33" i="68" s="1"/>
  <c r="J34" i="68"/>
  <c r="W34" i="68" s="1"/>
  <c r="J35" i="68"/>
  <c r="W35" i="68" s="1"/>
  <c r="J36" i="68"/>
  <c r="W36" i="68" s="1"/>
  <c r="J37" i="68"/>
  <c r="W37" i="68" s="1"/>
  <c r="J38" i="68"/>
  <c r="W38" i="68" s="1"/>
  <c r="J39" i="68"/>
  <c r="W39" i="68" s="1"/>
  <c r="J40" i="68"/>
  <c r="W40" i="68" s="1"/>
  <c r="J41" i="68"/>
  <c r="W41" i="68" s="1"/>
  <c r="J42" i="68"/>
  <c r="J43" i="68"/>
  <c r="W43" i="68" s="1"/>
  <c r="J44" i="68"/>
  <c r="W44" i="68" s="1"/>
  <c r="J45" i="68"/>
  <c r="W45" i="68" s="1"/>
  <c r="J46" i="68"/>
  <c r="W46" i="68" s="1"/>
  <c r="J47" i="68"/>
  <c r="W47" i="68" s="1"/>
  <c r="J48" i="68"/>
  <c r="W48" i="68" s="1"/>
  <c r="J49" i="68"/>
  <c r="W49" i="68" s="1"/>
  <c r="J50" i="68"/>
  <c r="W50" i="68" s="1"/>
  <c r="J51" i="68"/>
  <c r="W51" i="68" s="1"/>
  <c r="J52" i="68"/>
  <c r="W52" i="68" s="1"/>
  <c r="J53" i="68"/>
  <c r="W53" i="68" s="1"/>
  <c r="J54" i="68"/>
  <c r="W54" i="68" s="1"/>
  <c r="J55" i="68"/>
  <c r="W55" i="68" s="1"/>
  <c r="J56" i="68"/>
  <c r="W56" i="68" s="1"/>
  <c r="J57" i="68"/>
  <c r="W57" i="68" s="1"/>
  <c r="J58" i="68"/>
  <c r="W58" i="68" s="1"/>
  <c r="J59" i="68"/>
  <c r="W59" i="68" s="1"/>
  <c r="J60" i="68"/>
  <c r="W60" i="68" s="1"/>
  <c r="J61" i="68"/>
  <c r="W61" i="68" s="1"/>
  <c r="J62" i="68"/>
  <c r="W62" i="68" s="1"/>
  <c r="J63" i="68"/>
  <c r="W63" i="68" s="1"/>
  <c r="J64" i="68"/>
  <c r="W64" i="68" s="1"/>
  <c r="J65" i="68"/>
  <c r="W65" i="68" s="1"/>
  <c r="J66" i="68"/>
  <c r="W66" i="68" s="1"/>
  <c r="J67" i="68"/>
  <c r="W67" i="68" s="1"/>
  <c r="J68" i="68"/>
  <c r="W68" i="68" s="1"/>
  <c r="J69" i="68"/>
  <c r="W69" i="68" s="1"/>
  <c r="J70" i="68"/>
  <c r="W70" i="68" s="1"/>
  <c r="J71" i="68"/>
  <c r="W71" i="68" s="1"/>
  <c r="J72" i="68"/>
  <c r="W72" i="68" s="1"/>
  <c r="J73" i="68"/>
  <c r="W73" i="68" s="1"/>
  <c r="J74" i="68"/>
  <c r="W74" i="68" s="1"/>
  <c r="J75" i="68"/>
  <c r="W75" i="68" s="1"/>
  <c r="J76" i="68"/>
  <c r="W76" i="68" s="1"/>
  <c r="J77" i="68"/>
  <c r="W77" i="68" s="1"/>
  <c r="J78" i="68"/>
  <c r="W78" i="68" s="1"/>
  <c r="J79" i="68"/>
  <c r="W79" i="68" s="1"/>
  <c r="J80" i="68"/>
  <c r="W80" i="68" s="1"/>
  <c r="J81" i="68"/>
  <c r="W81" i="68" s="1"/>
  <c r="J82" i="68"/>
  <c r="W82" i="68" s="1"/>
  <c r="J83" i="68"/>
  <c r="W83" i="68" s="1"/>
  <c r="J84" i="68"/>
  <c r="W84" i="68" s="1"/>
  <c r="J85" i="68"/>
  <c r="W85" i="68" s="1"/>
  <c r="J86" i="68"/>
  <c r="W86" i="68" s="1"/>
  <c r="J87" i="68"/>
  <c r="W87" i="68" s="1"/>
  <c r="J88" i="68"/>
  <c r="W88" i="68" s="1"/>
  <c r="J89" i="68"/>
  <c r="W89" i="68" s="1"/>
  <c r="J90" i="68"/>
  <c r="W90" i="68" s="1"/>
  <c r="J91" i="68"/>
  <c r="W91" i="68" s="1"/>
  <c r="J92" i="68"/>
  <c r="W92" i="68" s="1"/>
  <c r="J93" i="68"/>
  <c r="W93" i="68" s="1"/>
  <c r="J94" i="68"/>
  <c r="W94" i="68" s="1"/>
  <c r="J95" i="68"/>
  <c r="W95" i="68" s="1"/>
  <c r="J96" i="68"/>
  <c r="W96" i="68" s="1"/>
  <c r="J97" i="68"/>
  <c r="W97" i="68" s="1"/>
  <c r="J98" i="68"/>
  <c r="W98" i="68" s="1"/>
  <c r="J99" i="68"/>
  <c r="J100" i="68"/>
  <c r="W100" i="68" s="1"/>
  <c r="J101" i="68"/>
  <c r="W101" i="68" s="1"/>
  <c r="J102" i="68"/>
  <c r="W102" i="68" s="1"/>
  <c r="J103" i="68"/>
  <c r="W103" i="68" s="1"/>
  <c r="J104" i="68"/>
  <c r="W104" i="68" s="1"/>
  <c r="J105" i="68"/>
  <c r="W105" i="68" s="1"/>
  <c r="J106" i="68"/>
  <c r="W106" i="68" s="1"/>
  <c r="J107" i="68"/>
  <c r="W107" i="68" s="1"/>
  <c r="J108" i="68"/>
  <c r="W108" i="68" s="1"/>
  <c r="J109" i="68"/>
  <c r="W109" i="68" s="1"/>
  <c r="J110" i="68"/>
  <c r="W110" i="68" s="1"/>
  <c r="J111" i="68"/>
  <c r="W111" i="68" s="1"/>
  <c r="J112" i="68"/>
  <c r="W112" i="68" s="1"/>
  <c r="J113" i="68"/>
  <c r="W113" i="68" s="1"/>
  <c r="J114" i="68"/>
  <c r="W114" i="68" s="1"/>
  <c r="J115" i="68"/>
  <c r="W115" i="68" s="1"/>
  <c r="J116" i="68"/>
  <c r="W116" i="68" s="1"/>
  <c r="J117" i="68"/>
  <c r="W117" i="68" s="1"/>
  <c r="J118" i="68"/>
  <c r="W118" i="68" s="1"/>
  <c r="J119" i="68"/>
  <c r="W119" i="68" s="1"/>
  <c r="J120" i="68"/>
  <c r="W120" i="68" s="1"/>
  <c r="J121" i="68"/>
  <c r="W121" i="68" s="1"/>
  <c r="J122" i="68"/>
  <c r="W122" i="68" s="1"/>
  <c r="J123" i="68"/>
  <c r="W123" i="68" s="1"/>
  <c r="J124" i="68"/>
  <c r="W124" i="68" s="1"/>
  <c r="J125" i="68"/>
  <c r="W125" i="68" s="1"/>
  <c r="J126" i="68"/>
  <c r="W126" i="68" s="1"/>
  <c r="J127" i="68"/>
  <c r="W127" i="68" s="1"/>
  <c r="J128" i="68"/>
  <c r="W128" i="68" s="1"/>
  <c r="J129" i="68"/>
  <c r="W129" i="68" s="1"/>
  <c r="J130" i="68"/>
  <c r="W130" i="68" s="1"/>
  <c r="J131" i="68"/>
  <c r="W131" i="68" s="1"/>
  <c r="J132" i="68"/>
  <c r="W132" i="68" s="1"/>
  <c r="J133" i="68"/>
  <c r="W133" i="68" s="1"/>
  <c r="J134" i="68"/>
  <c r="W134" i="68" s="1"/>
  <c r="J135" i="68"/>
  <c r="W135" i="68" s="1"/>
  <c r="J136" i="68"/>
  <c r="W136" i="68" s="1"/>
  <c r="J137" i="68"/>
  <c r="W137" i="68" s="1"/>
  <c r="J138" i="68"/>
  <c r="W138" i="68" s="1"/>
  <c r="J139" i="68"/>
  <c r="W139" i="68" s="1"/>
  <c r="J140" i="68"/>
  <c r="W140" i="68" s="1"/>
  <c r="J141" i="68"/>
  <c r="W141" i="68" s="1"/>
  <c r="J142" i="68"/>
  <c r="W142" i="68" s="1"/>
  <c r="J143" i="68"/>
  <c r="W143" i="68" s="1"/>
  <c r="J144" i="68"/>
  <c r="W144" i="68" s="1"/>
  <c r="J145" i="68"/>
  <c r="W145" i="68" s="1"/>
  <c r="J146" i="68"/>
  <c r="W146" i="68" s="1"/>
  <c r="J147" i="68"/>
  <c r="W147" i="68" s="1"/>
  <c r="J148" i="68"/>
  <c r="W148" i="68" s="1"/>
  <c r="J149" i="68"/>
  <c r="W149" i="68" s="1"/>
  <c r="J150" i="68"/>
  <c r="W150" i="68" s="1"/>
  <c r="J151" i="68"/>
  <c r="W151" i="68" s="1"/>
  <c r="J152" i="68"/>
  <c r="W152" i="68" s="1"/>
  <c r="J153" i="68"/>
  <c r="W153" i="68" s="1"/>
  <c r="J154" i="68"/>
  <c r="W154" i="68" s="1"/>
  <c r="J155" i="68"/>
  <c r="W155" i="68" s="1"/>
  <c r="J156" i="68"/>
  <c r="W156" i="68" s="1"/>
  <c r="J157" i="68"/>
  <c r="W157" i="68" s="1"/>
  <c r="J158" i="68"/>
  <c r="W158" i="68" s="1"/>
  <c r="J159" i="68"/>
  <c r="W159" i="68" s="1"/>
  <c r="J160" i="68"/>
  <c r="W160" i="68" s="1"/>
  <c r="J161" i="68"/>
  <c r="W161" i="68" s="1"/>
  <c r="J162" i="68"/>
  <c r="W162" i="68" s="1"/>
  <c r="J163" i="68"/>
  <c r="W163" i="68" s="1"/>
  <c r="J164" i="68"/>
  <c r="W164" i="68" s="1"/>
  <c r="J165" i="68"/>
  <c r="W165" i="68" s="1"/>
  <c r="J166" i="68"/>
  <c r="W166" i="68" s="1"/>
  <c r="J167" i="68"/>
  <c r="W167" i="68" s="1"/>
  <c r="J168" i="68"/>
  <c r="W168" i="68" s="1"/>
  <c r="J169" i="68"/>
  <c r="W169" i="68" s="1"/>
  <c r="J170" i="68"/>
  <c r="W170" i="68" s="1"/>
  <c r="J171" i="68"/>
  <c r="W171" i="68" s="1"/>
  <c r="J172" i="68"/>
  <c r="W172" i="68" s="1"/>
  <c r="J173" i="68"/>
  <c r="W173" i="68" s="1"/>
  <c r="J174" i="68"/>
  <c r="W174" i="68" s="1"/>
  <c r="J175" i="68"/>
  <c r="W175" i="68" s="1"/>
  <c r="J176" i="68"/>
  <c r="W176" i="68" s="1"/>
  <c r="J177" i="68"/>
  <c r="W177" i="68" s="1"/>
  <c r="J178" i="68"/>
  <c r="W178" i="68" s="1"/>
  <c r="J179" i="68"/>
  <c r="W179" i="68" s="1"/>
  <c r="J180" i="68"/>
  <c r="W180" i="68" s="1"/>
  <c r="J181" i="68"/>
  <c r="W181" i="68" s="1"/>
  <c r="J182" i="68"/>
  <c r="W182" i="68" s="1"/>
  <c r="J183" i="68"/>
  <c r="W183" i="68" s="1"/>
  <c r="J184" i="68"/>
  <c r="W184" i="68" s="1"/>
  <c r="J185" i="68"/>
  <c r="W185" i="68" s="1"/>
  <c r="J186" i="68"/>
  <c r="W186" i="68" s="1"/>
  <c r="J187" i="68"/>
  <c r="W187" i="68" s="1"/>
  <c r="J188" i="68"/>
  <c r="W188" i="68" s="1"/>
  <c r="J189" i="68"/>
  <c r="W189" i="68" s="1"/>
  <c r="J190" i="68"/>
  <c r="W190" i="68" s="1"/>
  <c r="J191" i="68"/>
  <c r="W191" i="68" s="1"/>
  <c r="J192" i="68"/>
  <c r="W192" i="68" s="1"/>
  <c r="J193" i="68"/>
  <c r="W193" i="68" s="1"/>
  <c r="J194" i="68"/>
  <c r="W194" i="68" s="1"/>
  <c r="J195" i="68"/>
  <c r="W195" i="68" s="1"/>
  <c r="J196" i="68"/>
  <c r="W196" i="68" s="1"/>
  <c r="J197" i="68"/>
  <c r="W197" i="68" s="1"/>
  <c r="J198" i="68"/>
  <c r="W198" i="68" s="1"/>
  <c r="J199" i="68"/>
  <c r="W199" i="68" s="1"/>
  <c r="J200" i="68"/>
  <c r="W200" i="68" s="1"/>
  <c r="J201" i="68"/>
  <c r="W201" i="68" s="1"/>
  <c r="J202" i="68"/>
  <c r="W202" i="68" s="1"/>
  <c r="J203" i="68"/>
  <c r="W203" i="68" s="1"/>
  <c r="J204" i="68"/>
  <c r="W204" i="68" s="1"/>
  <c r="J205" i="68"/>
  <c r="W205" i="68" s="1"/>
  <c r="J206" i="68"/>
  <c r="W206" i="68" s="1"/>
  <c r="J7" i="68"/>
  <c r="W7" i="68" s="1"/>
  <c r="W99" i="68" l="1"/>
  <c r="Q99" i="68"/>
  <c r="W42" i="68"/>
  <c r="W207" i="68" s="1"/>
  <c r="CP194" i="67"/>
  <c r="J35" i="11"/>
  <c r="J67" i="11" s="1"/>
  <c r="N35" i="11" l="1"/>
  <c r="N67" i="11" s="1"/>
  <c r="EX171" i="67"/>
  <c r="I207" i="72"/>
  <c r="K207" i="72"/>
  <c r="L207" i="72"/>
  <c r="M207" i="72"/>
  <c r="N207" i="72"/>
  <c r="O207" i="72"/>
  <c r="P207" i="72"/>
  <c r="Q207" i="72"/>
  <c r="R207" i="72"/>
  <c r="S207" i="72"/>
  <c r="H207" i="72"/>
  <c r="EY179" i="67"/>
  <c r="EY9" i="67"/>
  <c r="EY10" i="67"/>
  <c r="EY11" i="67"/>
  <c r="EY12" i="67"/>
  <c r="EY13" i="67"/>
  <c r="EY14" i="67"/>
  <c r="EY15" i="67"/>
  <c r="EY16" i="67"/>
  <c r="EY17" i="67"/>
  <c r="EY18" i="67"/>
  <c r="EY19" i="67"/>
  <c r="EY20" i="67"/>
  <c r="EY21" i="67"/>
  <c r="EY22" i="67"/>
  <c r="EY23" i="67"/>
  <c r="EY24" i="67"/>
  <c r="EY25" i="67"/>
  <c r="EY26" i="67"/>
  <c r="EY27" i="67"/>
  <c r="EY28" i="67"/>
  <c r="EY29" i="67"/>
  <c r="EY30" i="67"/>
  <c r="EY31" i="67"/>
  <c r="EY32" i="67"/>
  <c r="EY33" i="67"/>
  <c r="EY34" i="67"/>
  <c r="EY35" i="67"/>
  <c r="EY36" i="67"/>
  <c r="EY37" i="67"/>
  <c r="EY38" i="67"/>
  <c r="EY39" i="67"/>
  <c r="EY40" i="67"/>
  <c r="EY41" i="67"/>
  <c r="EY42" i="67"/>
  <c r="EY43" i="67"/>
  <c r="EY44" i="67"/>
  <c r="EY45" i="67"/>
  <c r="EY46" i="67"/>
  <c r="EY47" i="67"/>
  <c r="EY48" i="67"/>
  <c r="EY49" i="67"/>
  <c r="EY50" i="67"/>
  <c r="EY51" i="67"/>
  <c r="EY52" i="67"/>
  <c r="EY53" i="67"/>
  <c r="EY54" i="67"/>
  <c r="EY55" i="67"/>
  <c r="EY56" i="67"/>
  <c r="EY57" i="67"/>
  <c r="EY58" i="67"/>
  <c r="EY59" i="67"/>
  <c r="EY60" i="67"/>
  <c r="EY61" i="67"/>
  <c r="EY62" i="67"/>
  <c r="EY63" i="67"/>
  <c r="EY64" i="67"/>
  <c r="EY65" i="67"/>
  <c r="EY66" i="67"/>
  <c r="EY67" i="67"/>
  <c r="EY68" i="67"/>
  <c r="EY69" i="67"/>
  <c r="EY70" i="67"/>
  <c r="EY71" i="67"/>
  <c r="EY72" i="67"/>
  <c r="EY73" i="67"/>
  <c r="EY74" i="67"/>
  <c r="EY75" i="67"/>
  <c r="EY76" i="67"/>
  <c r="EY77" i="67"/>
  <c r="EY78" i="67"/>
  <c r="EY79" i="67"/>
  <c r="EY80" i="67"/>
  <c r="EY81" i="67"/>
  <c r="EY82" i="67"/>
  <c r="EY83" i="67"/>
  <c r="EY84" i="67"/>
  <c r="EY85" i="67"/>
  <c r="EY86" i="67"/>
  <c r="EY87" i="67"/>
  <c r="EY88" i="67"/>
  <c r="EY89" i="67"/>
  <c r="EY90" i="67"/>
  <c r="EY91" i="67"/>
  <c r="EY92" i="67"/>
  <c r="EY93" i="67"/>
  <c r="EY94" i="67"/>
  <c r="EY95" i="67"/>
  <c r="EY96" i="67"/>
  <c r="EY97" i="67"/>
  <c r="EY98" i="67"/>
  <c r="EY99" i="67"/>
  <c r="EY100" i="67"/>
  <c r="EY101" i="67"/>
  <c r="EY102" i="67"/>
  <c r="EY103" i="67"/>
  <c r="EY104" i="67"/>
  <c r="EY105" i="67"/>
  <c r="EY106" i="67"/>
  <c r="EY107" i="67"/>
  <c r="EY108" i="67"/>
  <c r="EY109" i="67"/>
  <c r="EY110" i="67"/>
  <c r="EY111" i="67"/>
  <c r="EY112" i="67"/>
  <c r="EY113" i="67"/>
  <c r="EY114" i="67"/>
  <c r="EY115" i="67"/>
  <c r="EY116" i="67"/>
  <c r="EY117" i="67"/>
  <c r="EY118" i="67"/>
  <c r="EY119" i="67"/>
  <c r="EY120" i="67"/>
  <c r="EY121" i="67"/>
  <c r="EY122" i="67"/>
  <c r="EY123" i="67"/>
  <c r="EY124" i="67"/>
  <c r="EY125" i="67"/>
  <c r="EY126" i="67"/>
  <c r="EY127" i="67"/>
  <c r="EY128" i="67"/>
  <c r="EY129" i="67"/>
  <c r="EY130" i="67"/>
  <c r="EY131" i="67"/>
  <c r="EY132" i="67"/>
  <c r="EY133" i="67"/>
  <c r="EY134" i="67"/>
  <c r="EY135" i="67"/>
  <c r="EY136" i="67"/>
  <c r="EY137" i="67"/>
  <c r="EY138" i="67"/>
  <c r="EY139" i="67"/>
  <c r="EY140" i="67"/>
  <c r="EY141" i="67"/>
  <c r="EY142" i="67"/>
  <c r="EY143" i="67"/>
  <c r="EY144" i="67"/>
  <c r="EY145" i="67"/>
  <c r="EY146" i="67"/>
  <c r="EY147" i="67"/>
  <c r="EY148" i="67"/>
  <c r="EY149" i="67"/>
  <c r="EY150" i="67"/>
  <c r="EY151" i="67"/>
  <c r="EY152" i="67"/>
  <c r="EY153" i="67"/>
  <c r="EY154" i="67"/>
  <c r="EY155" i="67"/>
  <c r="EY156" i="67"/>
  <c r="EY157" i="67"/>
  <c r="EY158" i="67"/>
  <c r="EY159" i="67"/>
  <c r="EY160" i="67"/>
  <c r="EY161" i="67"/>
  <c r="EY162" i="67"/>
  <c r="EY163" i="67"/>
  <c r="EY164" i="67"/>
  <c r="EY165" i="67"/>
  <c r="EY166" i="67"/>
  <c r="EY167" i="67"/>
  <c r="EY168" i="67"/>
  <c r="EY169" i="67"/>
  <c r="EY170" i="67"/>
  <c r="EY171" i="67"/>
  <c r="EY172" i="67"/>
  <c r="EY173" i="67"/>
  <c r="EY174" i="67"/>
  <c r="EY175" i="67"/>
  <c r="EY176" i="67"/>
  <c r="EY177" i="67"/>
  <c r="EY178" i="67"/>
  <c r="EY180" i="67"/>
  <c r="EY181" i="67"/>
  <c r="EY182" i="67"/>
  <c r="EY183" i="67"/>
  <c r="EY184" i="67"/>
  <c r="EY185" i="67"/>
  <c r="EY186" i="67"/>
  <c r="EY187" i="67"/>
  <c r="EY188" i="67"/>
  <c r="EY189" i="67"/>
  <c r="EY190" i="67"/>
  <c r="EY191" i="67"/>
  <c r="EY192" i="67"/>
  <c r="EY193" i="67"/>
  <c r="EY8" i="67"/>
  <c r="CQ9" i="67"/>
  <c r="CQ10" i="67"/>
  <c r="CQ11" i="67"/>
  <c r="CQ12" i="67"/>
  <c r="CQ13" i="67"/>
  <c r="CQ14" i="67"/>
  <c r="CQ15" i="67"/>
  <c r="CQ16" i="67"/>
  <c r="CQ17" i="67"/>
  <c r="CQ18" i="67"/>
  <c r="CQ19" i="67"/>
  <c r="CQ20" i="67"/>
  <c r="CQ21" i="67"/>
  <c r="CQ22" i="67"/>
  <c r="CQ23" i="67"/>
  <c r="CQ24" i="67"/>
  <c r="CQ25" i="67"/>
  <c r="CQ26" i="67"/>
  <c r="CQ27" i="67"/>
  <c r="CQ28" i="67"/>
  <c r="CQ29" i="67"/>
  <c r="CQ30" i="67"/>
  <c r="CQ31" i="67"/>
  <c r="CQ32" i="67"/>
  <c r="CQ33" i="67"/>
  <c r="CQ34" i="67"/>
  <c r="CQ35" i="67"/>
  <c r="CQ36" i="67"/>
  <c r="CQ37" i="67"/>
  <c r="CQ38" i="67"/>
  <c r="CQ39" i="67"/>
  <c r="CQ40" i="67"/>
  <c r="CQ41" i="67"/>
  <c r="CQ42" i="67"/>
  <c r="CQ43" i="67"/>
  <c r="CQ44" i="67"/>
  <c r="CQ45" i="67"/>
  <c r="CQ46" i="67"/>
  <c r="CQ47" i="67"/>
  <c r="CQ48" i="67"/>
  <c r="CQ49" i="67"/>
  <c r="CQ50" i="67"/>
  <c r="CQ51" i="67"/>
  <c r="CQ52" i="67"/>
  <c r="CQ53" i="67"/>
  <c r="CQ54" i="67"/>
  <c r="CQ55" i="67"/>
  <c r="CQ56" i="67"/>
  <c r="CQ57" i="67"/>
  <c r="CQ58" i="67"/>
  <c r="CQ59" i="67"/>
  <c r="CQ60" i="67"/>
  <c r="CQ61" i="67"/>
  <c r="CQ62" i="67"/>
  <c r="CQ63" i="67"/>
  <c r="CQ64" i="67"/>
  <c r="CQ65" i="67"/>
  <c r="CQ66" i="67"/>
  <c r="CQ67" i="67"/>
  <c r="CQ68" i="67"/>
  <c r="CQ69" i="67"/>
  <c r="CQ70" i="67"/>
  <c r="CQ71" i="67"/>
  <c r="CQ72" i="67"/>
  <c r="CQ73" i="67"/>
  <c r="CQ74" i="67"/>
  <c r="CQ75" i="67"/>
  <c r="CQ76" i="67"/>
  <c r="CQ77" i="67"/>
  <c r="CQ78" i="67"/>
  <c r="CQ79" i="67"/>
  <c r="CQ80" i="67"/>
  <c r="CQ81" i="67"/>
  <c r="CQ82" i="67"/>
  <c r="CQ83" i="67"/>
  <c r="CQ84" i="67"/>
  <c r="CQ85" i="67"/>
  <c r="CQ86" i="67"/>
  <c r="CQ87" i="67"/>
  <c r="CQ88" i="67"/>
  <c r="CQ89" i="67"/>
  <c r="CQ90" i="67"/>
  <c r="CQ91" i="67"/>
  <c r="CQ92" i="67"/>
  <c r="CQ93" i="67"/>
  <c r="CQ94" i="67"/>
  <c r="CQ95" i="67"/>
  <c r="CQ96" i="67"/>
  <c r="CQ194" i="67"/>
  <c r="CQ97" i="67"/>
  <c r="CQ98" i="67"/>
  <c r="CQ99" i="67"/>
  <c r="CQ100" i="67"/>
  <c r="CQ101" i="67"/>
  <c r="CQ102" i="67"/>
  <c r="CQ103" i="67"/>
  <c r="CQ104" i="67"/>
  <c r="CQ105" i="67"/>
  <c r="CQ106" i="67"/>
  <c r="CQ107" i="67"/>
  <c r="CQ108" i="67"/>
  <c r="CQ109" i="67"/>
  <c r="CQ110" i="67"/>
  <c r="CQ111" i="67"/>
  <c r="CQ112" i="67"/>
  <c r="CQ113" i="67"/>
  <c r="CQ114" i="67"/>
  <c r="CQ115" i="67"/>
  <c r="CQ116" i="67"/>
  <c r="CQ117" i="67"/>
  <c r="CQ118" i="67"/>
  <c r="CQ119" i="67"/>
  <c r="CQ120" i="67"/>
  <c r="CQ121" i="67"/>
  <c r="CQ122" i="67"/>
  <c r="CQ123" i="67"/>
  <c r="CQ124" i="67"/>
  <c r="CQ125" i="67"/>
  <c r="CQ126" i="67"/>
  <c r="CQ127" i="67"/>
  <c r="CQ128" i="67"/>
  <c r="CQ129" i="67"/>
  <c r="CQ130" i="67"/>
  <c r="CQ131" i="67"/>
  <c r="CQ132" i="67"/>
  <c r="CQ133" i="67"/>
  <c r="CQ134" i="67"/>
  <c r="CQ135" i="67"/>
  <c r="CQ136" i="67"/>
  <c r="CQ137" i="67"/>
  <c r="CQ138" i="67"/>
  <c r="CQ139" i="67"/>
  <c r="CQ140" i="67"/>
  <c r="CQ141" i="67"/>
  <c r="CQ142" i="67"/>
  <c r="CQ143" i="67"/>
  <c r="CQ144" i="67"/>
  <c r="CQ145" i="67"/>
  <c r="CQ146" i="67"/>
  <c r="CQ147" i="67"/>
  <c r="CQ148" i="67"/>
  <c r="CQ149" i="67"/>
  <c r="CQ150" i="67"/>
  <c r="CQ151" i="67"/>
  <c r="CQ152" i="67"/>
  <c r="CQ153" i="67"/>
  <c r="CQ154" i="67"/>
  <c r="CQ155" i="67"/>
  <c r="CQ156" i="67"/>
  <c r="CQ157" i="67"/>
  <c r="CQ158" i="67"/>
  <c r="CQ159" i="67"/>
  <c r="CQ160" i="67"/>
  <c r="CQ161" i="67"/>
  <c r="CQ162" i="67"/>
  <c r="CQ163" i="67"/>
  <c r="CQ164" i="67"/>
  <c r="CQ165" i="67"/>
  <c r="CQ166" i="67"/>
  <c r="CQ167" i="67"/>
  <c r="CQ168" i="67"/>
  <c r="CQ169" i="67"/>
  <c r="CQ170" i="67"/>
  <c r="CQ171" i="67"/>
  <c r="CQ172" i="67"/>
  <c r="CQ173" i="67"/>
  <c r="CQ174" i="67"/>
  <c r="CQ175" i="67"/>
  <c r="CQ176" i="67"/>
  <c r="CQ177" i="67"/>
  <c r="CQ178" i="67"/>
  <c r="CQ179" i="67"/>
  <c r="CQ180" i="67"/>
  <c r="CQ181" i="67"/>
  <c r="CQ182" i="67"/>
  <c r="CQ183" i="67"/>
  <c r="CQ184" i="67"/>
  <c r="CQ185" i="67"/>
  <c r="CQ186" i="67"/>
  <c r="CQ187" i="67"/>
  <c r="CQ188" i="67"/>
  <c r="CQ189" i="67"/>
  <c r="CQ190" i="67"/>
  <c r="CQ191" i="67"/>
  <c r="CQ192" i="67"/>
  <c r="CQ193" i="67"/>
  <c r="CQ8" i="67"/>
  <c r="CQ208" i="67" l="1"/>
  <c r="I32" i="11" l="1"/>
  <c r="K84" i="11"/>
  <c r="J84" i="11"/>
  <c r="F84" i="11"/>
  <c r="I83" i="11"/>
  <c r="H83" i="11"/>
  <c r="G83" i="11"/>
  <c r="F83" i="11"/>
  <c r="M84" i="11"/>
  <c r="L84" i="11"/>
  <c r="E4" i="77"/>
  <c r="G124" i="11"/>
  <c r="H113" i="11"/>
  <c r="H97" i="11"/>
  <c r="H112" i="11"/>
  <c r="H89" i="11"/>
  <c r="H99" i="11"/>
  <c r="H100" i="11"/>
  <c r="H81" i="11"/>
  <c r="S81" i="11" s="1"/>
  <c r="F82" i="11"/>
  <c r="G82" i="11"/>
  <c r="E124" i="11"/>
  <c r="F124" i="11"/>
  <c r="AT9" i="61"/>
  <c r="BV9" i="61" s="1"/>
  <c r="AT10" i="61"/>
  <c r="BV10" i="61" s="1"/>
  <c r="AT11" i="61"/>
  <c r="BV11" i="61" s="1"/>
  <c r="AT12" i="61"/>
  <c r="BV12" i="61" s="1"/>
  <c r="AT13" i="61"/>
  <c r="BV13" i="61" s="1"/>
  <c r="AT14" i="61"/>
  <c r="BV14" i="61" s="1"/>
  <c r="AT15" i="61"/>
  <c r="BV15" i="61" s="1"/>
  <c r="AT16" i="61"/>
  <c r="BV16" i="61" s="1"/>
  <c r="AT17" i="61"/>
  <c r="BV17" i="61" s="1"/>
  <c r="AT18" i="61"/>
  <c r="BV18" i="61" s="1"/>
  <c r="AT19" i="61"/>
  <c r="BV19" i="61" s="1"/>
  <c r="AT20" i="61"/>
  <c r="BV20" i="61" s="1"/>
  <c r="AT21" i="61"/>
  <c r="BV21" i="61" s="1"/>
  <c r="AT22" i="61"/>
  <c r="BV22" i="61" s="1"/>
  <c r="AT23" i="61"/>
  <c r="BV23" i="61" s="1"/>
  <c r="AT24" i="61"/>
  <c r="BV24" i="61" s="1"/>
  <c r="AT25" i="61"/>
  <c r="BV25" i="61" s="1"/>
  <c r="AT26" i="61"/>
  <c r="BV26" i="61" s="1"/>
  <c r="AT27" i="61"/>
  <c r="BV27" i="61" s="1"/>
  <c r="AT28" i="61"/>
  <c r="BV28" i="61" s="1"/>
  <c r="AT29" i="61"/>
  <c r="BV29" i="61" s="1"/>
  <c r="AT30" i="61"/>
  <c r="BV30" i="61" s="1"/>
  <c r="AT31" i="61"/>
  <c r="BV31" i="61" s="1"/>
  <c r="AT32" i="61"/>
  <c r="BV32" i="61" s="1"/>
  <c r="AT33" i="61"/>
  <c r="BV33" i="61" s="1"/>
  <c r="AT34" i="61"/>
  <c r="BV34" i="61" s="1"/>
  <c r="AT35" i="61"/>
  <c r="BV35" i="61" s="1"/>
  <c r="AT36" i="61"/>
  <c r="BV36" i="61" s="1"/>
  <c r="AT37" i="61"/>
  <c r="BV37" i="61" s="1"/>
  <c r="AT38" i="61"/>
  <c r="BV38" i="61" s="1"/>
  <c r="AT39" i="61"/>
  <c r="BV39" i="61" s="1"/>
  <c r="AT40" i="61"/>
  <c r="BV40" i="61" s="1"/>
  <c r="AT41" i="61"/>
  <c r="BV41" i="61" s="1"/>
  <c r="AT42" i="61"/>
  <c r="BV42" i="61" s="1"/>
  <c r="AT43" i="61"/>
  <c r="BV43" i="61" s="1"/>
  <c r="AT44" i="61"/>
  <c r="BV44" i="61" s="1"/>
  <c r="AT45" i="61"/>
  <c r="BV45" i="61" s="1"/>
  <c r="AT46" i="61"/>
  <c r="BV46" i="61" s="1"/>
  <c r="AT47" i="61"/>
  <c r="BV47" i="61" s="1"/>
  <c r="AT48" i="61"/>
  <c r="BV48" i="61" s="1"/>
  <c r="AT49" i="61"/>
  <c r="BV49" i="61" s="1"/>
  <c r="AT50" i="61"/>
  <c r="BV50" i="61" s="1"/>
  <c r="AT51" i="61"/>
  <c r="BV51" i="61" s="1"/>
  <c r="AT52" i="61"/>
  <c r="BV52" i="61" s="1"/>
  <c r="AT53" i="61"/>
  <c r="BV53" i="61" s="1"/>
  <c r="AT54" i="61"/>
  <c r="BV54" i="61" s="1"/>
  <c r="AT55" i="61"/>
  <c r="BV55" i="61" s="1"/>
  <c r="AT56" i="61"/>
  <c r="BV56" i="61" s="1"/>
  <c r="AT57" i="61"/>
  <c r="BV57" i="61" s="1"/>
  <c r="AT58" i="61"/>
  <c r="BV58" i="61" s="1"/>
  <c r="AT59" i="61"/>
  <c r="BV59" i="61" s="1"/>
  <c r="AT60" i="61"/>
  <c r="BV60" i="61" s="1"/>
  <c r="AT61" i="61"/>
  <c r="BV61" i="61" s="1"/>
  <c r="AT62" i="61"/>
  <c r="BV62" i="61" s="1"/>
  <c r="AT63" i="61"/>
  <c r="BV63" i="61" s="1"/>
  <c r="AT64" i="61"/>
  <c r="BV64" i="61" s="1"/>
  <c r="AT65" i="61"/>
  <c r="BV65" i="61" s="1"/>
  <c r="AT66" i="61"/>
  <c r="BV66" i="61" s="1"/>
  <c r="AT67" i="61"/>
  <c r="BV67" i="61" s="1"/>
  <c r="AT68" i="61"/>
  <c r="BV68" i="61" s="1"/>
  <c r="AT69" i="61"/>
  <c r="BV69" i="61" s="1"/>
  <c r="AT70" i="61"/>
  <c r="BV70" i="61" s="1"/>
  <c r="AT71" i="61"/>
  <c r="BV71" i="61" s="1"/>
  <c r="AT72" i="61"/>
  <c r="BV72" i="61" s="1"/>
  <c r="AT73" i="61"/>
  <c r="BV73" i="61" s="1"/>
  <c r="AT74" i="61"/>
  <c r="BV74" i="61" s="1"/>
  <c r="AT75" i="61"/>
  <c r="BV75" i="61" s="1"/>
  <c r="AT76" i="61"/>
  <c r="BV76" i="61" s="1"/>
  <c r="AT77" i="61"/>
  <c r="BV77" i="61" s="1"/>
  <c r="AT78" i="61"/>
  <c r="BV78" i="61" s="1"/>
  <c r="AT79" i="61"/>
  <c r="BV79" i="61" s="1"/>
  <c r="AT80" i="61"/>
  <c r="BV80" i="61" s="1"/>
  <c r="AT81" i="61"/>
  <c r="BV81" i="61" s="1"/>
  <c r="AT82" i="61"/>
  <c r="BV82" i="61" s="1"/>
  <c r="AT83" i="61"/>
  <c r="BV83" i="61" s="1"/>
  <c r="AT84" i="61"/>
  <c r="BV84" i="61" s="1"/>
  <c r="AT85" i="61"/>
  <c r="BV85" i="61" s="1"/>
  <c r="AT86" i="61"/>
  <c r="BV86" i="61" s="1"/>
  <c r="AT87" i="61"/>
  <c r="BV87" i="61" s="1"/>
  <c r="AT88" i="61"/>
  <c r="BV88" i="61" s="1"/>
  <c r="AT89" i="61"/>
  <c r="BV89" i="61" s="1"/>
  <c r="AT90" i="61"/>
  <c r="BV90" i="61" s="1"/>
  <c r="AT91" i="61"/>
  <c r="AT92" i="61"/>
  <c r="BV92" i="61" s="1"/>
  <c r="AT93" i="61"/>
  <c r="BV93" i="61" s="1"/>
  <c r="AT94" i="61"/>
  <c r="BV94" i="61" s="1"/>
  <c r="AT95" i="61"/>
  <c r="BV95" i="61" s="1"/>
  <c r="AT96" i="61"/>
  <c r="BV96" i="61" s="1"/>
  <c r="AT97" i="61"/>
  <c r="BV97" i="61" s="1"/>
  <c r="AT98" i="61"/>
  <c r="BV98" i="61" s="1"/>
  <c r="AT99" i="61"/>
  <c r="BV99" i="61" s="1"/>
  <c r="AT100" i="61"/>
  <c r="BV100" i="61" s="1"/>
  <c r="AT101" i="61"/>
  <c r="BV101" i="61" s="1"/>
  <c r="AT102" i="61"/>
  <c r="BV102" i="61" s="1"/>
  <c r="AT103" i="61"/>
  <c r="BV103" i="61" s="1"/>
  <c r="AT104" i="61"/>
  <c r="BV104" i="61" s="1"/>
  <c r="AT105" i="61"/>
  <c r="BV105" i="61" s="1"/>
  <c r="AT106" i="61"/>
  <c r="BV106" i="61" s="1"/>
  <c r="AT107" i="61"/>
  <c r="BV107" i="61" s="1"/>
  <c r="AT108" i="61"/>
  <c r="BV108" i="61" s="1"/>
  <c r="AT109" i="61"/>
  <c r="BV109" i="61" s="1"/>
  <c r="AT110" i="61"/>
  <c r="BV110" i="61" s="1"/>
  <c r="AT111" i="61"/>
  <c r="BV111" i="61" s="1"/>
  <c r="AT112" i="61"/>
  <c r="BV112" i="61" s="1"/>
  <c r="AT113" i="61"/>
  <c r="BV113" i="61" s="1"/>
  <c r="AT114" i="61"/>
  <c r="BV114" i="61" s="1"/>
  <c r="AT115" i="61"/>
  <c r="BV115" i="61" s="1"/>
  <c r="AT116" i="61"/>
  <c r="BV116" i="61" s="1"/>
  <c r="AT117" i="61"/>
  <c r="BV117" i="61" s="1"/>
  <c r="AT118" i="61"/>
  <c r="BV118" i="61" s="1"/>
  <c r="AT119" i="61"/>
  <c r="BV119" i="61" s="1"/>
  <c r="AT120" i="61"/>
  <c r="BV120" i="61" s="1"/>
  <c r="AT121" i="61"/>
  <c r="BV121" i="61" s="1"/>
  <c r="AT122" i="61"/>
  <c r="BV122" i="61" s="1"/>
  <c r="AT123" i="61"/>
  <c r="BV123" i="61" s="1"/>
  <c r="AT124" i="61"/>
  <c r="BV124" i="61" s="1"/>
  <c r="AT125" i="61"/>
  <c r="BV125" i="61" s="1"/>
  <c r="AT126" i="61"/>
  <c r="BV126" i="61" s="1"/>
  <c r="AT127" i="61"/>
  <c r="BV127" i="61" s="1"/>
  <c r="AT128" i="61"/>
  <c r="BV128" i="61" s="1"/>
  <c r="AT129" i="61"/>
  <c r="BV129" i="61" s="1"/>
  <c r="AT130" i="61"/>
  <c r="BV130" i="61" s="1"/>
  <c r="AT131" i="61"/>
  <c r="BV131" i="61" s="1"/>
  <c r="AT132" i="61"/>
  <c r="BV132" i="61" s="1"/>
  <c r="AT133" i="61"/>
  <c r="BV133" i="61" s="1"/>
  <c r="AT134" i="61"/>
  <c r="BV134" i="61" s="1"/>
  <c r="AT135" i="61"/>
  <c r="BV135" i="61" s="1"/>
  <c r="AT136" i="61"/>
  <c r="BV136" i="61" s="1"/>
  <c r="AT137" i="61"/>
  <c r="BV137" i="61" s="1"/>
  <c r="AT138" i="61"/>
  <c r="BV138" i="61" s="1"/>
  <c r="AT139" i="61"/>
  <c r="BV139" i="61" s="1"/>
  <c r="AT140" i="61"/>
  <c r="BV140" i="61" s="1"/>
  <c r="AT141" i="61"/>
  <c r="BV141" i="61" s="1"/>
  <c r="AT142" i="61"/>
  <c r="BV142" i="61" s="1"/>
  <c r="AT143" i="61"/>
  <c r="BV143" i="61" s="1"/>
  <c r="AT144" i="61"/>
  <c r="BV144" i="61" s="1"/>
  <c r="AT145" i="61"/>
  <c r="BV145" i="61" s="1"/>
  <c r="AT146" i="61"/>
  <c r="BV146" i="61" s="1"/>
  <c r="AT147" i="61"/>
  <c r="BV147" i="61" s="1"/>
  <c r="AT148" i="61"/>
  <c r="BV148" i="61" s="1"/>
  <c r="AT149" i="61"/>
  <c r="BV149" i="61" s="1"/>
  <c r="AT150" i="61"/>
  <c r="BV150" i="61" s="1"/>
  <c r="AT151" i="61"/>
  <c r="BV151" i="61" s="1"/>
  <c r="AT152" i="61"/>
  <c r="BV152" i="61" s="1"/>
  <c r="AT153" i="61"/>
  <c r="BV153" i="61" s="1"/>
  <c r="AT154" i="61"/>
  <c r="BV154" i="61" s="1"/>
  <c r="AT155" i="61"/>
  <c r="BV155" i="61" s="1"/>
  <c r="AT156" i="61"/>
  <c r="BV156" i="61" s="1"/>
  <c r="AT157" i="61"/>
  <c r="BV157" i="61" s="1"/>
  <c r="AT158" i="61"/>
  <c r="BV158" i="61" s="1"/>
  <c r="AT159" i="61"/>
  <c r="BV159" i="61" s="1"/>
  <c r="AT160" i="61"/>
  <c r="BV160" i="61" s="1"/>
  <c r="AT161" i="61"/>
  <c r="BV161" i="61" s="1"/>
  <c r="AT162" i="61"/>
  <c r="BV162" i="61" s="1"/>
  <c r="AT163" i="61"/>
  <c r="BV163" i="61" s="1"/>
  <c r="AT164" i="61"/>
  <c r="BV164" i="61" s="1"/>
  <c r="AT165" i="61"/>
  <c r="BV165" i="61" s="1"/>
  <c r="AT166" i="61"/>
  <c r="BV166" i="61" s="1"/>
  <c r="AT167" i="61"/>
  <c r="BV167" i="61" s="1"/>
  <c r="AT168" i="61"/>
  <c r="BV168" i="61" s="1"/>
  <c r="AT169" i="61"/>
  <c r="BV169" i="61" s="1"/>
  <c r="AT170" i="61"/>
  <c r="BV170" i="61" s="1"/>
  <c r="AT171" i="61"/>
  <c r="BV171" i="61" s="1"/>
  <c r="AT172" i="61"/>
  <c r="BV172" i="61" s="1"/>
  <c r="AT173" i="61"/>
  <c r="BV173" i="61" s="1"/>
  <c r="AT174" i="61"/>
  <c r="BV174" i="61" s="1"/>
  <c r="AT175" i="61"/>
  <c r="BV175" i="61" s="1"/>
  <c r="AT176" i="61"/>
  <c r="BV176" i="61" s="1"/>
  <c r="AT177" i="61"/>
  <c r="BV177" i="61" s="1"/>
  <c r="AT178" i="61"/>
  <c r="BV178" i="61" s="1"/>
  <c r="AT179" i="61"/>
  <c r="BV179" i="61" s="1"/>
  <c r="AT180" i="61"/>
  <c r="BV180" i="61" s="1"/>
  <c r="AT181" i="61"/>
  <c r="BV181" i="61" s="1"/>
  <c r="AT182" i="61"/>
  <c r="BV182" i="61" s="1"/>
  <c r="AT183" i="61"/>
  <c r="BV183" i="61" s="1"/>
  <c r="AT184" i="61"/>
  <c r="BV184" i="61" s="1"/>
  <c r="AT185" i="61"/>
  <c r="BV185" i="61" s="1"/>
  <c r="AT186" i="61"/>
  <c r="BV186" i="61" s="1"/>
  <c r="AT187" i="61"/>
  <c r="BV187" i="61" s="1"/>
  <c r="AT188" i="61"/>
  <c r="BV188" i="61" s="1"/>
  <c r="AT189" i="61"/>
  <c r="BV189" i="61" s="1"/>
  <c r="AT190" i="61"/>
  <c r="BV190" i="61" s="1"/>
  <c r="AT191" i="61"/>
  <c r="BV191" i="61" s="1"/>
  <c r="AT192" i="61"/>
  <c r="BV192" i="61" s="1"/>
  <c r="AT193" i="61"/>
  <c r="BV193" i="61" s="1"/>
  <c r="AT194" i="61"/>
  <c r="BV194" i="61" s="1"/>
  <c r="AT195" i="61"/>
  <c r="BV195" i="61" s="1"/>
  <c r="AT196" i="61"/>
  <c r="AT197" i="61"/>
  <c r="BV197" i="61" s="1"/>
  <c r="AT198" i="61"/>
  <c r="BV198" i="61" s="1"/>
  <c r="AT199" i="61"/>
  <c r="BV199" i="61" s="1"/>
  <c r="AT200" i="61"/>
  <c r="BV200" i="61" s="1"/>
  <c r="AT201" i="61"/>
  <c r="BV201" i="61" s="1"/>
  <c r="AT202" i="61"/>
  <c r="BV202" i="61" s="1"/>
  <c r="AT203" i="61"/>
  <c r="BV203" i="61" s="1"/>
  <c r="AT204" i="61"/>
  <c r="BV204" i="61" s="1"/>
  <c r="AT205" i="61"/>
  <c r="BV205" i="61" s="1"/>
  <c r="AT206" i="61"/>
  <c r="BV206" i="61" s="1"/>
  <c r="AT207" i="61"/>
  <c r="BV207" i="61" s="1"/>
  <c r="AT8" i="61"/>
  <c r="BV8" i="61" s="1"/>
  <c r="AS208" i="61"/>
  <c r="BV196" i="61" l="1"/>
  <c r="BV208" i="61" s="1"/>
  <c r="BL8" i="61"/>
  <c r="BL75" i="61"/>
  <c r="BL67" i="61"/>
  <c r="BL19" i="61"/>
  <c r="BL11" i="61"/>
  <c r="BL186" i="61"/>
  <c r="BL154" i="61"/>
  <c r="BL122" i="61"/>
  <c r="BL114" i="61"/>
  <c r="BL106" i="61"/>
  <c r="BL74" i="61"/>
  <c r="BL50" i="61"/>
  <c r="BL42" i="61"/>
  <c r="BL34" i="61"/>
  <c r="BL26" i="61"/>
  <c r="BL203" i="61"/>
  <c r="BL163" i="61"/>
  <c r="BL139" i="61"/>
  <c r="BL131" i="61"/>
  <c r="BL99" i="61"/>
  <c r="BL201" i="61"/>
  <c r="BL169" i="61"/>
  <c r="BL145" i="61"/>
  <c r="BL113" i="61"/>
  <c r="BL97" i="61"/>
  <c r="BL89" i="61"/>
  <c r="BL57" i="61"/>
  <c r="BL49" i="61"/>
  <c r="BL187" i="61"/>
  <c r="BL192" i="61"/>
  <c r="BL168" i="61"/>
  <c r="BL96" i="61"/>
  <c r="BL72" i="61"/>
  <c r="BL159" i="61"/>
  <c r="BL206" i="61"/>
  <c r="BL198" i="61"/>
  <c r="BL190" i="61"/>
  <c r="BL174" i="61"/>
  <c r="BL150" i="61"/>
  <c r="BL134" i="61"/>
  <c r="BL126" i="61"/>
  <c r="BL102" i="61"/>
  <c r="BL78" i="61"/>
  <c r="BL54" i="61"/>
  <c r="BL46" i="61"/>
  <c r="BL38" i="61"/>
  <c r="BL22" i="61"/>
  <c r="BL14" i="61"/>
  <c r="BL195" i="61"/>
  <c r="BL171" i="61"/>
  <c r="BL160" i="61"/>
  <c r="BL112" i="61"/>
  <c r="BL64" i="61"/>
  <c r="BL40" i="61"/>
  <c r="BL103" i="61"/>
  <c r="BL39" i="61"/>
  <c r="BL197" i="61"/>
  <c r="BL189" i="61"/>
  <c r="BL157" i="61"/>
  <c r="BL141" i="61"/>
  <c r="BL125" i="61"/>
  <c r="BL109" i="61"/>
  <c r="BL101" i="61"/>
  <c r="BL85" i="61"/>
  <c r="BL69" i="61"/>
  <c r="BL61" i="61"/>
  <c r="BL37" i="61"/>
  <c r="BL29" i="61"/>
  <c r="BL13" i="61"/>
  <c r="BL155" i="61"/>
  <c r="BL176" i="61"/>
  <c r="BL152" i="61"/>
  <c r="BL128" i="61"/>
  <c r="BL80" i="61"/>
  <c r="BL32" i="61"/>
  <c r="BL191" i="61"/>
  <c r="BL167" i="61"/>
  <c r="BL79" i="61"/>
  <c r="BL63" i="61"/>
  <c r="BL23" i="61"/>
  <c r="BL15" i="61"/>
  <c r="BL204" i="61"/>
  <c r="BL196" i="61"/>
  <c r="BL188" i="61"/>
  <c r="BL180" i="61"/>
  <c r="BL156" i="61"/>
  <c r="BL124" i="61"/>
  <c r="BL116" i="61"/>
  <c r="BL108" i="61"/>
  <c r="BL76" i="61"/>
  <c r="BL68" i="61"/>
  <c r="BL60" i="61"/>
  <c r="BL52" i="61"/>
  <c r="BL44" i="61"/>
  <c r="BL207" i="61"/>
  <c r="BL205" i="61"/>
  <c r="BL202" i="61"/>
  <c r="BL200" i="61"/>
  <c r="BL199" i="61"/>
  <c r="BL194" i="61"/>
  <c r="BL193" i="61"/>
  <c r="BL185" i="61"/>
  <c r="BL184" i="61"/>
  <c r="BL183" i="61"/>
  <c r="BL182" i="61"/>
  <c r="BL181" i="61"/>
  <c r="BL179" i="61"/>
  <c r="BL178" i="61"/>
  <c r="BL177" i="61"/>
  <c r="BL175" i="61"/>
  <c r="BL173" i="61"/>
  <c r="BL172" i="61"/>
  <c r="BL170" i="61"/>
  <c r="BL166" i="61"/>
  <c r="BL165" i="61"/>
  <c r="BL164" i="61"/>
  <c r="BL162" i="61"/>
  <c r="BL161" i="61"/>
  <c r="BL158" i="61"/>
  <c r="BL153" i="61"/>
  <c r="BL151" i="61"/>
  <c r="BL149" i="61"/>
  <c r="BL148" i="61"/>
  <c r="BL147" i="61"/>
  <c r="BL146" i="61"/>
  <c r="BL144" i="61"/>
  <c r="BL143" i="61"/>
  <c r="BL142" i="61"/>
  <c r="BL140" i="61"/>
  <c r="BL138" i="61"/>
  <c r="BL137" i="61"/>
  <c r="BL136" i="61"/>
  <c r="BL135" i="61"/>
  <c r="BL133" i="61"/>
  <c r="BL132" i="61"/>
  <c r="BL130" i="61"/>
  <c r="BL129" i="61"/>
  <c r="BL127" i="61"/>
  <c r="BL123" i="61"/>
  <c r="BL121" i="61"/>
  <c r="BL120" i="61"/>
  <c r="BL119" i="61"/>
  <c r="BL118" i="61"/>
  <c r="BL117" i="61"/>
  <c r="BL115" i="61"/>
  <c r="BL111" i="61"/>
  <c r="BL110" i="61"/>
  <c r="BL107" i="61"/>
  <c r="BL105" i="61"/>
  <c r="BL104" i="61"/>
  <c r="BL100" i="61"/>
  <c r="BL98" i="61"/>
  <c r="BL95" i="61"/>
  <c r="BL94" i="61"/>
  <c r="BL93" i="61"/>
  <c r="BL92" i="61"/>
  <c r="BL90" i="61"/>
  <c r="BL88" i="61"/>
  <c r="BL87" i="61"/>
  <c r="BL86" i="61"/>
  <c r="BL84" i="61"/>
  <c r="BL83" i="61"/>
  <c r="BL82" i="61"/>
  <c r="BL81" i="61"/>
  <c r="BL77" i="61"/>
  <c r="BL73" i="61"/>
  <c r="BL71" i="61"/>
  <c r="BL70" i="61"/>
  <c r="BL66" i="61"/>
  <c r="BL65" i="61"/>
  <c r="BL62" i="61"/>
  <c r="BL59" i="61"/>
  <c r="BL58" i="61"/>
  <c r="BL56" i="61"/>
  <c r="BL55" i="61"/>
  <c r="BL53" i="61"/>
  <c r="BL51" i="61"/>
  <c r="BL48" i="61"/>
  <c r="BL47" i="61"/>
  <c r="BL45" i="61"/>
  <c r="BL43" i="61"/>
  <c r="BL41" i="61"/>
  <c r="BL36" i="61"/>
  <c r="BL35" i="61"/>
  <c r="BL33" i="61"/>
  <c r="BL31" i="61"/>
  <c r="BL28" i="61"/>
  <c r="BL27" i="61"/>
  <c r="BL25" i="61"/>
  <c r="BL24" i="61"/>
  <c r="BL21" i="61"/>
  <c r="BL20" i="61"/>
  <c r="BL18" i="61"/>
  <c r="BL17" i="61"/>
  <c r="BL16" i="61"/>
  <c r="BL12" i="61"/>
  <c r="BL10" i="61"/>
  <c r="BL9" i="61"/>
  <c r="AT208" i="61"/>
  <c r="J77" i="77"/>
  <c r="S77" i="77" s="1"/>
  <c r="J13" i="77"/>
  <c r="S13" i="77" s="1"/>
  <c r="F209" i="77" s="1"/>
  <c r="AJ6" i="73"/>
  <c r="AJ7" i="73"/>
  <c r="AJ8" i="73"/>
  <c r="AJ9" i="73"/>
  <c r="AJ10" i="73"/>
  <c r="AJ11" i="73"/>
  <c r="AJ12" i="73"/>
  <c r="AJ13" i="73"/>
  <c r="AJ14" i="73"/>
  <c r="AJ15" i="73"/>
  <c r="AJ16" i="73"/>
  <c r="AJ17" i="73"/>
  <c r="AJ18" i="73"/>
  <c r="AJ19" i="73"/>
  <c r="AJ20" i="73"/>
  <c r="AJ21" i="73"/>
  <c r="AJ22" i="73"/>
  <c r="AJ23" i="73"/>
  <c r="AJ24" i="73"/>
  <c r="AJ25" i="73"/>
  <c r="AJ26" i="73"/>
  <c r="AJ27" i="73"/>
  <c r="AJ28" i="73"/>
  <c r="AJ29" i="73"/>
  <c r="AJ30" i="73"/>
  <c r="AJ31" i="73"/>
  <c r="AJ32" i="73"/>
  <c r="AJ33" i="73"/>
  <c r="AJ34" i="73"/>
  <c r="AJ35" i="73"/>
  <c r="AJ36" i="73"/>
  <c r="AJ37" i="73"/>
  <c r="AJ38" i="73"/>
  <c r="AJ39" i="73"/>
  <c r="AJ40" i="73"/>
  <c r="AJ41" i="73"/>
  <c r="AJ42" i="73"/>
  <c r="AJ43" i="73"/>
  <c r="AJ44" i="73"/>
  <c r="AJ45" i="73"/>
  <c r="AJ46" i="73"/>
  <c r="AJ47" i="73"/>
  <c r="AJ48" i="73"/>
  <c r="AJ49" i="73"/>
  <c r="AJ50" i="73"/>
  <c r="AJ51" i="73"/>
  <c r="AJ52" i="73"/>
  <c r="AJ53" i="73"/>
  <c r="AJ54" i="73"/>
  <c r="AJ55" i="73"/>
  <c r="AJ56" i="73"/>
  <c r="AJ57" i="73"/>
  <c r="AJ58" i="73"/>
  <c r="AJ59" i="73"/>
  <c r="AJ60" i="73"/>
  <c r="AJ61" i="73"/>
  <c r="AJ62" i="73"/>
  <c r="AJ63" i="73"/>
  <c r="AJ64" i="73"/>
  <c r="AJ65" i="73"/>
  <c r="AJ66" i="73"/>
  <c r="AJ67" i="73"/>
  <c r="AJ68" i="73"/>
  <c r="AJ69" i="73"/>
  <c r="AJ70" i="73"/>
  <c r="AJ71" i="73"/>
  <c r="AJ72" i="73"/>
  <c r="AJ73" i="73"/>
  <c r="AJ74" i="73"/>
  <c r="AJ75" i="73"/>
  <c r="AJ76" i="73"/>
  <c r="AJ77" i="73"/>
  <c r="AJ78" i="73"/>
  <c r="AJ79" i="73"/>
  <c r="AJ80" i="73"/>
  <c r="AJ81" i="73"/>
  <c r="AJ82" i="73"/>
  <c r="AJ83" i="73"/>
  <c r="AJ84" i="73"/>
  <c r="AJ85" i="73"/>
  <c r="AJ86" i="73"/>
  <c r="AJ87" i="73"/>
  <c r="AJ88" i="73"/>
  <c r="AJ89" i="73"/>
  <c r="AJ90" i="73"/>
  <c r="AJ91" i="73"/>
  <c r="AJ92" i="73"/>
  <c r="AJ93" i="73"/>
  <c r="AJ94" i="73"/>
  <c r="AJ95" i="73"/>
  <c r="AJ96" i="73"/>
  <c r="AJ97" i="73"/>
  <c r="AJ98" i="73"/>
  <c r="AJ99" i="73"/>
  <c r="AJ100" i="73"/>
  <c r="AJ101" i="73"/>
  <c r="AJ102" i="73"/>
  <c r="AJ103" i="73"/>
  <c r="AJ104" i="73"/>
  <c r="AJ105" i="73"/>
  <c r="AJ106" i="73"/>
  <c r="AJ107" i="73"/>
  <c r="AJ108" i="73"/>
  <c r="AJ109" i="73"/>
  <c r="AJ110" i="73"/>
  <c r="AJ111" i="73"/>
  <c r="AJ112" i="73"/>
  <c r="AJ113" i="73"/>
  <c r="AJ114" i="73"/>
  <c r="AJ115" i="73"/>
  <c r="AJ116" i="73"/>
  <c r="AJ117" i="73"/>
  <c r="AJ118" i="73"/>
  <c r="AJ119" i="73"/>
  <c r="AJ120" i="73"/>
  <c r="AJ121" i="73"/>
  <c r="AJ122" i="73"/>
  <c r="AJ123" i="73"/>
  <c r="AJ124" i="73"/>
  <c r="AJ125" i="73"/>
  <c r="AJ126" i="73"/>
  <c r="AJ127" i="73"/>
  <c r="AJ128" i="73"/>
  <c r="AJ129" i="73"/>
  <c r="AJ130" i="73"/>
  <c r="AJ131" i="73"/>
  <c r="AJ132" i="73"/>
  <c r="AJ133" i="73"/>
  <c r="AJ134" i="73"/>
  <c r="AJ135" i="73"/>
  <c r="AJ136" i="73"/>
  <c r="AJ137" i="73"/>
  <c r="AJ138" i="73"/>
  <c r="AJ139" i="73"/>
  <c r="AJ140" i="73"/>
  <c r="AJ141" i="73"/>
  <c r="AJ142" i="73"/>
  <c r="AJ143" i="73"/>
  <c r="AJ144" i="73"/>
  <c r="AJ145" i="73"/>
  <c r="AJ146" i="73"/>
  <c r="AJ147" i="73"/>
  <c r="AJ148" i="73"/>
  <c r="AJ149" i="73"/>
  <c r="AJ150" i="73"/>
  <c r="AJ151" i="73"/>
  <c r="AJ152" i="73"/>
  <c r="AJ153" i="73"/>
  <c r="AJ154" i="73"/>
  <c r="AJ155" i="73"/>
  <c r="AJ156" i="73"/>
  <c r="AJ157" i="73"/>
  <c r="AJ158" i="73"/>
  <c r="AJ159" i="73"/>
  <c r="AJ160" i="73"/>
  <c r="AJ161" i="73"/>
  <c r="AJ162" i="73"/>
  <c r="AJ163" i="73"/>
  <c r="AJ164" i="73"/>
  <c r="AJ165" i="73"/>
  <c r="AJ166" i="73"/>
  <c r="AJ167" i="73"/>
  <c r="AJ168" i="73"/>
  <c r="AJ169" i="73"/>
  <c r="AJ170" i="73"/>
  <c r="AJ171" i="73"/>
  <c r="AJ172" i="73"/>
  <c r="AJ173" i="73"/>
  <c r="AJ174" i="73"/>
  <c r="AJ175" i="73"/>
  <c r="AJ176" i="73"/>
  <c r="AJ177" i="73"/>
  <c r="AJ178" i="73"/>
  <c r="AJ179" i="73"/>
  <c r="AJ180" i="73"/>
  <c r="AJ181" i="73"/>
  <c r="AJ182" i="73"/>
  <c r="AJ183" i="73"/>
  <c r="AJ184" i="73"/>
  <c r="AJ185" i="73"/>
  <c r="AJ186" i="73"/>
  <c r="AJ187" i="73"/>
  <c r="AJ188" i="73"/>
  <c r="AJ189" i="73"/>
  <c r="AJ190" i="73"/>
  <c r="AJ191" i="73"/>
  <c r="AJ192" i="73"/>
  <c r="AJ193" i="73"/>
  <c r="AJ194" i="73"/>
  <c r="AJ195" i="73"/>
  <c r="AJ196" i="73"/>
  <c r="AJ197" i="73"/>
  <c r="AJ198" i="73"/>
  <c r="AJ199" i="73"/>
  <c r="AJ200" i="73"/>
  <c r="AJ201" i="73"/>
  <c r="AJ202" i="73"/>
  <c r="AJ203" i="73"/>
  <c r="AJ204" i="73"/>
  <c r="AJ5" i="73"/>
  <c r="BL208" i="61" l="1"/>
  <c r="AV9" i="67"/>
  <c r="AV10" i="67"/>
  <c r="AV11" i="67"/>
  <c r="AV12" i="67"/>
  <c r="AV13" i="67"/>
  <c r="AV14" i="67"/>
  <c r="AV15" i="67"/>
  <c r="AV16" i="67"/>
  <c r="AV17" i="67"/>
  <c r="AV18" i="67"/>
  <c r="AV19" i="67"/>
  <c r="AV20" i="67"/>
  <c r="AV21" i="67"/>
  <c r="AV22" i="67"/>
  <c r="AV23" i="67"/>
  <c r="AV24" i="67"/>
  <c r="AV25" i="67"/>
  <c r="AV26" i="67"/>
  <c r="AV27" i="67"/>
  <c r="AV28" i="67"/>
  <c r="AV29" i="67"/>
  <c r="AV30" i="67"/>
  <c r="AV31" i="67"/>
  <c r="AV32" i="67"/>
  <c r="AV33" i="67"/>
  <c r="AV34" i="67"/>
  <c r="AV35" i="67"/>
  <c r="AV36" i="67"/>
  <c r="AV37" i="67"/>
  <c r="AV38" i="67"/>
  <c r="AV39" i="67"/>
  <c r="AV40" i="67"/>
  <c r="AV41" i="67"/>
  <c r="AV42" i="67"/>
  <c r="AV43" i="67"/>
  <c r="AV44" i="67"/>
  <c r="AV45" i="67"/>
  <c r="AV46" i="67"/>
  <c r="AV47" i="67"/>
  <c r="AV48" i="67"/>
  <c r="AV49" i="67"/>
  <c r="AV50" i="67"/>
  <c r="AV51" i="67"/>
  <c r="AV52" i="67"/>
  <c r="AV53" i="67"/>
  <c r="AV54" i="67"/>
  <c r="AV55" i="67"/>
  <c r="AV56" i="67"/>
  <c r="AV57" i="67"/>
  <c r="AV58" i="67"/>
  <c r="AV59" i="67"/>
  <c r="AV60" i="67"/>
  <c r="AV61" i="67"/>
  <c r="AV62" i="67"/>
  <c r="AV63" i="67"/>
  <c r="AV64" i="67"/>
  <c r="AV65" i="67"/>
  <c r="AV66" i="67"/>
  <c r="AV67" i="67"/>
  <c r="AV68" i="67"/>
  <c r="AV69" i="67"/>
  <c r="AV70" i="67"/>
  <c r="AV71" i="67"/>
  <c r="AV72" i="67"/>
  <c r="AV73" i="67"/>
  <c r="AV74" i="67"/>
  <c r="AV75" i="67"/>
  <c r="AV76" i="67"/>
  <c r="AV77" i="67"/>
  <c r="AV78" i="67"/>
  <c r="AV79" i="67"/>
  <c r="AV80" i="67"/>
  <c r="AV81" i="67"/>
  <c r="AV82" i="67"/>
  <c r="AV83" i="67"/>
  <c r="AV84" i="67"/>
  <c r="AV85" i="67"/>
  <c r="AV86" i="67"/>
  <c r="AV87" i="67"/>
  <c r="AV88" i="67"/>
  <c r="AV89" i="67"/>
  <c r="AV90" i="67"/>
  <c r="AV91" i="67"/>
  <c r="AV92" i="67"/>
  <c r="AV93" i="67"/>
  <c r="AV94" i="67"/>
  <c r="AV95" i="67"/>
  <c r="AV96" i="67"/>
  <c r="AV194" i="67"/>
  <c r="AV97" i="67"/>
  <c r="AV98" i="67"/>
  <c r="AV99" i="67"/>
  <c r="AV100" i="67"/>
  <c r="AV101" i="67"/>
  <c r="AV102" i="67"/>
  <c r="AV103" i="67"/>
  <c r="AV104" i="67"/>
  <c r="AV105" i="67"/>
  <c r="AV106" i="67"/>
  <c r="AV107" i="67"/>
  <c r="AV108" i="67"/>
  <c r="AV109" i="67"/>
  <c r="AV110" i="67"/>
  <c r="AV111" i="67"/>
  <c r="AV112" i="67"/>
  <c r="AV113" i="67"/>
  <c r="AV114" i="67"/>
  <c r="AV115" i="67"/>
  <c r="AV116" i="67"/>
  <c r="AV117" i="67"/>
  <c r="AV118" i="67"/>
  <c r="AV119" i="67"/>
  <c r="AV120" i="67"/>
  <c r="AV121" i="67"/>
  <c r="AV122" i="67"/>
  <c r="AV123" i="67"/>
  <c r="AV124" i="67"/>
  <c r="AV125" i="67"/>
  <c r="AV126" i="67"/>
  <c r="AV127" i="67"/>
  <c r="AV128" i="67"/>
  <c r="AV129" i="67"/>
  <c r="AV130" i="67"/>
  <c r="AV131" i="67"/>
  <c r="AV132" i="67"/>
  <c r="AV133" i="67"/>
  <c r="AV134" i="67"/>
  <c r="AV135" i="67"/>
  <c r="AV136" i="67"/>
  <c r="AV137" i="67"/>
  <c r="AV138" i="67"/>
  <c r="AV139" i="67"/>
  <c r="AV140" i="67"/>
  <c r="AV141" i="67"/>
  <c r="AV142" i="67"/>
  <c r="AV143" i="67"/>
  <c r="AV144" i="67"/>
  <c r="AV145" i="67"/>
  <c r="AV146" i="67"/>
  <c r="AV147" i="67"/>
  <c r="AV148" i="67"/>
  <c r="AV149" i="67"/>
  <c r="AV150" i="67"/>
  <c r="AV151" i="67"/>
  <c r="AV152" i="67"/>
  <c r="AV153" i="67"/>
  <c r="AV154" i="67"/>
  <c r="AV155" i="67"/>
  <c r="AV156" i="67"/>
  <c r="AV157" i="67"/>
  <c r="AV158" i="67"/>
  <c r="AV159" i="67"/>
  <c r="AV160" i="67"/>
  <c r="AV161" i="67"/>
  <c r="AV162" i="67"/>
  <c r="AV163" i="67"/>
  <c r="AV164" i="67"/>
  <c r="AV165" i="67"/>
  <c r="AV166" i="67"/>
  <c r="AV167" i="67"/>
  <c r="AV168" i="67"/>
  <c r="AV169" i="67"/>
  <c r="AV170" i="67"/>
  <c r="AV171" i="67"/>
  <c r="AV172" i="67"/>
  <c r="AV173" i="67"/>
  <c r="AV174" i="67"/>
  <c r="AV175" i="67"/>
  <c r="AV176" i="67"/>
  <c r="AV177" i="67"/>
  <c r="AV178" i="67"/>
  <c r="AV179" i="67"/>
  <c r="AV180" i="67"/>
  <c r="AV181" i="67"/>
  <c r="AV182" i="67"/>
  <c r="AV183" i="67"/>
  <c r="AV184" i="67"/>
  <c r="AV185" i="67"/>
  <c r="AV186" i="67"/>
  <c r="AV187" i="67"/>
  <c r="AV188" i="67"/>
  <c r="AV189" i="67"/>
  <c r="AV190" i="67"/>
  <c r="AV191" i="67"/>
  <c r="AV192" i="67"/>
  <c r="AV193" i="67"/>
  <c r="AV8" i="67"/>
  <c r="P9" i="71"/>
  <c r="Q9" i="71"/>
  <c r="P10" i="71"/>
  <c r="Q10" i="71"/>
  <c r="P11" i="71"/>
  <c r="Q11" i="71"/>
  <c r="P12" i="71"/>
  <c r="Q12" i="71"/>
  <c r="P13" i="71"/>
  <c r="Q13" i="71"/>
  <c r="P14" i="71"/>
  <c r="Q14" i="71"/>
  <c r="P15" i="71"/>
  <c r="Q15" i="71"/>
  <c r="P16" i="71"/>
  <c r="Q16" i="71"/>
  <c r="P17" i="71"/>
  <c r="Q17" i="71"/>
  <c r="P18" i="71"/>
  <c r="Q18" i="71"/>
  <c r="P19" i="71"/>
  <c r="Q19" i="71"/>
  <c r="P20" i="71"/>
  <c r="Q20" i="71"/>
  <c r="P21" i="71"/>
  <c r="Q21" i="71"/>
  <c r="P22" i="71"/>
  <c r="Q22" i="71"/>
  <c r="P23" i="71"/>
  <c r="Q23" i="71"/>
  <c r="P24" i="71"/>
  <c r="Q24" i="71"/>
  <c r="P25" i="71"/>
  <c r="Q25" i="71"/>
  <c r="P26" i="71"/>
  <c r="Q26" i="71"/>
  <c r="P27" i="71"/>
  <c r="Q27" i="71"/>
  <c r="P28" i="71"/>
  <c r="Q28" i="71"/>
  <c r="P29" i="71"/>
  <c r="Q29" i="71"/>
  <c r="P30" i="71"/>
  <c r="Q30" i="71"/>
  <c r="P31" i="71"/>
  <c r="Q31" i="71"/>
  <c r="P32" i="71"/>
  <c r="Q32" i="71"/>
  <c r="P33" i="71"/>
  <c r="Q33" i="71"/>
  <c r="P34" i="71"/>
  <c r="Q34" i="71"/>
  <c r="P35" i="71"/>
  <c r="Q35" i="71"/>
  <c r="P36" i="71"/>
  <c r="Q36" i="71"/>
  <c r="P37" i="71"/>
  <c r="Q37" i="71"/>
  <c r="P38" i="71"/>
  <c r="Q38" i="71"/>
  <c r="P39" i="71"/>
  <c r="Q39" i="71"/>
  <c r="P40" i="71"/>
  <c r="Q40" i="71"/>
  <c r="P41" i="71"/>
  <c r="Q41" i="71"/>
  <c r="P42" i="71"/>
  <c r="Q42" i="71"/>
  <c r="P43" i="71"/>
  <c r="Q43" i="71"/>
  <c r="P44" i="71"/>
  <c r="Q44" i="71"/>
  <c r="P45" i="71"/>
  <c r="Q45" i="71"/>
  <c r="P46" i="71"/>
  <c r="Q46" i="71"/>
  <c r="P47" i="71"/>
  <c r="Q47" i="71"/>
  <c r="P48" i="71"/>
  <c r="Q48" i="71"/>
  <c r="P49" i="71"/>
  <c r="Q49" i="71"/>
  <c r="P50" i="71"/>
  <c r="Q50" i="71"/>
  <c r="P51" i="71"/>
  <c r="Q51" i="71"/>
  <c r="P52" i="71"/>
  <c r="Q52" i="71"/>
  <c r="P53" i="71"/>
  <c r="Q53" i="71"/>
  <c r="P54" i="71"/>
  <c r="Q54" i="71"/>
  <c r="P55" i="71"/>
  <c r="Q55" i="71"/>
  <c r="P56" i="71"/>
  <c r="Q56" i="71"/>
  <c r="P57" i="71"/>
  <c r="Q57" i="71"/>
  <c r="P58" i="71"/>
  <c r="Q58" i="71"/>
  <c r="P59" i="71"/>
  <c r="Q59" i="71"/>
  <c r="P60" i="71"/>
  <c r="Q60" i="71"/>
  <c r="P61" i="71"/>
  <c r="Q61" i="71"/>
  <c r="P62" i="71"/>
  <c r="Q62" i="71"/>
  <c r="P63" i="71"/>
  <c r="Q63" i="71"/>
  <c r="P64" i="71"/>
  <c r="Q64" i="71"/>
  <c r="P65" i="71"/>
  <c r="Q65" i="71"/>
  <c r="P66" i="71"/>
  <c r="Q66" i="71"/>
  <c r="P67" i="71"/>
  <c r="Q67" i="71"/>
  <c r="P68" i="71"/>
  <c r="Q68" i="71"/>
  <c r="P69" i="71"/>
  <c r="Q69" i="71"/>
  <c r="P70" i="71"/>
  <c r="Q70" i="71"/>
  <c r="P71" i="71"/>
  <c r="Q71" i="71"/>
  <c r="P72" i="71"/>
  <c r="Q72" i="71"/>
  <c r="P73" i="71"/>
  <c r="Q73" i="71"/>
  <c r="P74" i="71"/>
  <c r="Q74" i="71"/>
  <c r="P75" i="71"/>
  <c r="Q75" i="71"/>
  <c r="P76" i="71"/>
  <c r="Q76" i="71"/>
  <c r="P77" i="71"/>
  <c r="Q77" i="71"/>
  <c r="P78" i="71"/>
  <c r="Q78" i="71"/>
  <c r="P79" i="71"/>
  <c r="Q79" i="71"/>
  <c r="P80" i="71"/>
  <c r="Q80" i="71"/>
  <c r="P81" i="71"/>
  <c r="Q81" i="71"/>
  <c r="P82" i="71"/>
  <c r="Q82" i="71"/>
  <c r="P83" i="71"/>
  <c r="Q83" i="71"/>
  <c r="P84" i="71"/>
  <c r="Q84" i="71"/>
  <c r="P85" i="71"/>
  <c r="Q85" i="71"/>
  <c r="P86" i="71"/>
  <c r="Q86" i="71"/>
  <c r="P87" i="71"/>
  <c r="Q87" i="71"/>
  <c r="P88" i="71"/>
  <c r="Q88" i="71"/>
  <c r="P89" i="71"/>
  <c r="Q89" i="71"/>
  <c r="P90" i="71"/>
  <c r="Q90" i="71"/>
  <c r="P91" i="71"/>
  <c r="Q91" i="71"/>
  <c r="P92" i="71"/>
  <c r="Q92" i="71"/>
  <c r="P93" i="71"/>
  <c r="Q93" i="71"/>
  <c r="P94" i="71"/>
  <c r="Q94" i="71"/>
  <c r="P95" i="71"/>
  <c r="Q95" i="71"/>
  <c r="P96" i="71"/>
  <c r="Q96" i="71"/>
  <c r="P97" i="71"/>
  <c r="Q97" i="71"/>
  <c r="P98" i="71"/>
  <c r="Q98" i="71"/>
  <c r="P99" i="71"/>
  <c r="Q99" i="71"/>
  <c r="P100" i="71"/>
  <c r="Q100" i="71"/>
  <c r="P101" i="71"/>
  <c r="Q101" i="71"/>
  <c r="P102" i="71"/>
  <c r="Q102" i="71"/>
  <c r="P103" i="71"/>
  <c r="Q103" i="71"/>
  <c r="P104" i="71"/>
  <c r="Q104" i="71"/>
  <c r="P105" i="71"/>
  <c r="Q105" i="71"/>
  <c r="P106" i="71"/>
  <c r="Q106" i="71"/>
  <c r="P107" i="71"/>
  <c r="Q107" i="71"/>
  <c r="P108" i="71"/>
  <c r="Q108" i="71"/>
  <c r="P109" i="71"/>
  <c r="Q109" i="71"/>
  <c r="P110" i="71"/>
  <c r="Q110" i="71"/>
  <c r="P111" i="71"/>
  <c r="Q111" i="71"/>
  <c r="P112" i="71"/>
  <c r="Q112" i="71"/>
  <c r="P113" i="71"/>
  <c r="Q113" i="71"/>
  <c r="P114" i="71"/>
  <c r="Q114" i="71"/>
  <c r="P115" i="71"/>
  <c r="Q115" i="71"/>
  <c r="P116" i="71"/>
  <c r="Q116" i="71"/>
  <c r="P117" i="71"/>
  <c r="Q117" i="71"/>
  <c r="P118" i="71"/>
  <c r="Q118" i="71"/>
  <c r="P119" i="71"/>
  <c r="Q119" i="71"/>
  <c r="P120" i="71"/>
  <c r="Q120" i="71"/>
  <c r="P121" i="71"/>
  <c r="Q121" i="71"/>
  <c r="P122" i="71"/>
  <c r="Q122" i="71"/>
  <c r="P123" i="71"/>
  <c r="Q123" i="71"/>
  <c r="P124" i="71"/>
  <c r="Q124" i="71"/>
  <c r="P125" i="71"/>
  <c r="Q125" i="71"/>
  <c r="P126" i="71"/>
  <c r="Q126" i="71"/>
  <c r="P127" i="71"/>
  <c r="Q127" i="71"/>
  <c r="P128" i="71"/>
  <c r="Q128" i="71"/>
  <c r="P129" i="71"/>
  <c r="Q129" i="71"/>
  <c r="P130" i="71"/>
  <c r="Q130" i="71"/>
  <c r="P131" i="71"/>
  <c r="Q131" i="71"/>
  <c r="P132" i="71"/>
  <c r="Q132" i="71"/>
  <c r="P133" i="71"/>
  <c r="Q133" i="71"/>
  <c r="P134" i="71"/>
  <c r="Q134" i="71"/>
  <c r="P135" i="71"/>
  <c r="Q135" i="71"/>
  <c r="P136" i="71"/>
  <c r="Q136" i="71"/>
  <c r="P137" i="71"/>
  <c r="Q137" i="71"/>
  <c r="P138" i="71"/>
  <c r="Q138" i="71"/>
  <c r="P139" i="71"/>
  <c r="Q139" i="71"/>
  <c r="P140" i="71"/>
  <c r="Q140" i="71"/>
  <c r="P141" i="71"/>
  <c r="Q141" i="71"/>
  <c r="P142" i="71"/>
  <c r="Q142" i="71"/>
  <c r="P143" i="71"/>
  <c r="Q143" i="71"/>
  <c r="P144" i="71"/>
  <c r="Q144" i="71"/>
  <c r="P145" i="71"/>
  <c r="Q145" i="71"/>
  <c r="P146" i="71"/>
  <c r="Q146" i="71"/>
  <c r="P147" i="71"/>
  <c r="Q147" i="71"/>
  <c r="P148" i="71"/>
  <c r="Q148" i="71"/>
  <c r="P149" i="71"/>
  <c r="Q149" i="71"/>
  <c r="P150" i="71"/>
  <c r="Q150" i="71"/>
  <c r="P151" i="71"/>
  <c r="Q151" i="71"/>
  <c r="P152" i="71"/>
  <c r="Q152" i="71"/>
  <c r="P153" i="71"/>
  <c r="Q153" i="71"/>
  <c r="P154" i="71"/>
  <c r="Q154" i="71"/>
  <c r="P155" i="71"/>
  <c r="Q155" i="71"/>
  <c r="P156" i="71"/>
  <c r="Q156" i="71"/>
  <c r="P157" i="71"/>
  <c r="Q157" i="71"/>
  <c r="P158" i="71"/>
  <c r="Q158" i="71"/>
  <c r="P159" i="71"/>
  <c r="Q159" i="71"/>
  <c r="P160" i="71"/>
  <c r="Q160" i="71"/>
  <c r="P161" i="71"/>
  <c r="Q161" i="71"/>
  <c r="P162" i="71"/>
  <c r="Q162" i="71"/>
  <c r="P163" i="71"/>
  <c r="Q163" i="71"/>
  <c r="P164" i="71"/>
  <c r="Q164" i="71"/>
  <c r="P165" i="71"/>
  <c r="Q165" i="71"/>
  <c r="P166" i="71"/>
  <c r="Q166" i="71"/>
  <c r="P167" i="71"/>
  <c r="Q167" i="71"/>
  <c r="P168" i="71"/>
  <c r="Q168" i="71"/>
  <c r="P169" i="71"/>
  <c r="Q169" i="71"/>
  <c r="P170" i="71"/>
  <c r="Q170" i="71"/>
  <c r="P171" i="71"/>
  <c r="Q171" i="71"/>
  <c r="P172" i="71"/>
  <c r="Q172" i="71"/>
  <c r="P173" i="71"/>
  <c r="Q173" i="71"/>
  <c r="P174" i="71"/>
  <c r="Q174" i="71"/>
  <c r="P175" i="71"/>
  <c r="Q175" i="71"/>
  <c r="P176" i="71"/>
  <c r="Q176" i="71"/>
  <c r="P177" i="71"/>
  <c r="Q177" i="71"/>
  <c r="P178" i="71"/>
  <c r="Q178" i="71"/>
  <c r="P179" i="71"/>
  <c r="Q179" i="71"/>
  <c r="P180" i="71"/>
  <c r="Q180" i="71"/>
  <c r="P181" i="71"/>
  <c r="Q181" i="71"/>
  <c r="P182" i="71"/>
  <c r="Q182" i="71"/>
  <c r="P183" i="71"/>
  <c r="Q183" i="71"/>
  <c r="P184" i="71"/>
  <c r="Q184" i="71"/>
  <c r="P185" i="71"/>
  <c r="Q185" i="71"/>
  <c r="P186" i="71"/>
  <c r="Q186" i="71"/>
  <c r="P187" i="71"/>
  <c r="Q187" i="71"/>
  <c r="P188" i="71"/>
  <c r="Q188" i="71"/>
  <c r="P189" i="71"/>
  <c r="Q189" i="71"/>
  <c r="P190" i="71"/>
  <c r="Q190" i="71"/>
  <c r="P191" i="71"/>
  <c r="Q191" i="71"/>
  <c r="P192" i="71"/>
  <c r="Q192" i="71"/>
  <c r="P193" i="71"/>
  <c r="Q193" i="71"/>
  <c r="P194" i="71"/>
  <c r="Q194" i="71"/>
  <c r="P195" i="71"/>
  <c r="Q195" i="71"/>
  <c r="P196" i="71"/>
  <c r="Q196" i="71"/>
  <c r="P197" i="71"/>
  <c r="Q197" i="71"/>
  <c r="P198" i="71"/>
  <c r="Q198" i="71"/>
  <c r="P199" i="71"/>
  <c r="Q199" i="71"/>
  <c r="P200" i="71"/>
  <c r="Q200" i="71"/>
  <c r="P201" i="71"/>
  <c r="Q201" i="71"/>
  <c r="P202" i="71"/>
  <c r="Q202" i="71"/>
  <c r="P203" i="71"/>
  <c r="Q203" i="71"/>
  <c r="P204" i="71"/>
  <c r="Q204" i="71"/>
  <c r="P205" i="71"/>
  <c r="Q205" i="71"/>
  <c r="P206" i="71"/>
  <c r="Q206" i="71"/>
  <c r="P207" i="71"/>
  <c r="Q207" i="71"/>
  <c r="Q8" i="71"/>
  <c r="P8" i="71"/>
  <c r="V208" i="62"/>
  <c r="U208" i="62"/>
  <c r="T208" i="62"/>
  <c r="S208" i="62"/>
  <c r="E28" i="74" l="1"/>
  <c r="F28" i="74"/>
  <c r="G28" i="74"/>
  <c r="H28" i="74"/>
  <c r="I28" i="74"/>
  <c r="J28" i="74"/>
  <c r="K28" i="74"/>
  <c r="L28" i="74"/>
  <c r="M28" i="74"/>
  <c r="N28" i="74"/>
  <c r="O28" i="74"/>
  <c r="D28" i="74"/>
  <c r="E12" i="74"/>
  <c r="F12" i="74" s="1"/>
  <c r="G12" i="74" s="1"/>
  <c r="H12" i="74" s="1"/>
  <c r="I12" i="74" s="1"/>
  <c r="J12" i="74" s="1"/>
  <c r="K12" i="74" s="1"/>
  <c r="L12" i="74" s="1"/>
  <c r="M12" i="74" s="1"/>
  <c r="N12" i="74" s="1"/>
  <c r="O12" i="74" s="1"/>
  <c r="D6" i="74"/>
  <c r="I206" i="73" l="1"/>
  <c r="J206" i="73"/>
  <c r="L206" i="73"/>
  <c r="M206" i="73"/>
  <c r="N206" i="73"/>
  <c r="O206" i="73"/>
  <c r="P206" i="73"/>
  <c r="Q206" i="73"/>
  <c r="R206" i="73"/>
  <c r="S206" i="73"/>
  <c r="H206" i="73"/>
  <c r="F204" i="73"/>
  <c r="F203" i="73"/>
  <c r="F202" i="73"/>
  <c r="F201" i="73"/>
  <c r="F200" i="73"/>
  <c r="F199" i="73"/>
  <c r="F198" i="73"/>
  <c r="F197" i="73"/>
  <c r="F196" i="73"/>
  <c r="F195" i="73"/>
  <c r="F194" i="73"/>
  <c r="F193" i="73"/>
  <c r="F192" i="73"/>
  <c r="F191" i="73"/>
  <c r="F190" i="73"/>
  <c r="F189" i="73"/>
  <c r="F188" i="73"/>
  <c r="F187" i="73"/>
  <c r="F186" i="73"/>
  <c r="F185" i="73"/>
  <c r="F184" i="73"/>
  <c r="F183" i="73"/>
  <c r="F182" i="73"/>
  <c r="F181" i="73"/>
  <c r="F180" i="73"/>
  <c r="F179" i="73"/>
  <c r="F178" i="73"/>
  <c r="F177" i="73"/>
  <c r="F176" i="73"/>
  <c r="F175" i="73"/>
  <c r="F174" i="73"/>
  <c r="F173" i="73"/>
  <c r="F172" i="73"/>
  <c r="F171" i="73"/>
  <c r="F170" i="73"/>
  <c r="F169" i="73"/>
  <c r="F168" i="73"/>
  <c r="F167" i="73"/>
  <c r="F166" i="73"/>
  <c r="F165" i="73"/>
  <c r="F164" i="73"/>
  <c r="F163" i="73"/>
  <c r="F162" i="73"/>
  <c r="F161" i="73"/>
  <c r="F160" i="73"/>
  <c r="F159" i="73"/>
  <c r="F158" i="73"/>
  <c r="F157" i="73"/>
  <c r="F156" i="73"/>
  <c r="F155" i="73"/>
  <c r="F154" i="73"/>
  <c r="F153" i="73"/>
  <c r="F152" i="73"/>
  <c r="F151" i="73"/>
  <c r="F150" i="73"/>
  <c r="F149" i="73"/>
  <c r="F148" i="73"/>
  <c r="F147" i="73"/>
  <c r="F146" i="73"/>
  <c r="F145" i="73"/>
  <c r="F144" i="73"/>
  <c r="F143" i="73"/>
  <c r="F142" i="73"/>
  <c r="F141" i="73"/>
  <c r="F140" i="73"/>
  <c r="F139" i="73"/>
  <c r="F138" i="73"/>
  <c r="F137" i="73"/>
  <c r="F136" i="73"/>
  <c r="F135" i="73"/>
  <c r="F134" i="73"/>
  <c r="F133" i="73"/>
  <c r="F132" i="73"/>
  <c r="F131" i="73"/>
  <c r="F130" i="73"/>
  <c r="F129" i="73"/>
  <c r="F128" i="73"/>
  <c r="F127" i="73"/>
  <c r="F126" i="73"/>
  <c r="F125" i="73"/>
  <c r="F124" i="73"/>
  <c r="F123" i="73"/>
  <c r="F122" i="73"/>
  <c r="F121" i="73"/>
  <c r="F120" i="73"/>
  <c r="F119" i="73"/>
  <c r="F118" i="73"/>
  <c r="F117" i="73"/>
  <c r="F116" i="73"/>
  <c r="F115" i="73"/>
  <c r="F114" i="73"/>
  <c r="F113" i="73"/>
  <c r="F112" i="73"/>
  <c r="F111" i="73"/>
  <c r="F110" i="73"/>
  <c r="F109" i="73"/>
  <c r="F108" i="73"/>
  <c r="F107" i="73"/>
  <c r="F106" i="73"/>
  <c r="F105" i="73"/>
  <c r="F104" i="73"/>
  <c r="F103" i="73"/>
  <c r="F102" i="73"/>
  <c r="F101" i="73"/>
  <c r="F100" i="73"/>
  <c r="F99" i="73"/>
  <c r="F98" i="73"/>
  <c r="F97" i="73"/>
  <c r="F96" i="73"/>
  <c r="F95" i="73"/>
  <c r="F94" i="73"/>
  <c r="F93" i="73"/>
  <c r="F92" i="73"/>
  <c r="F91" i="73"/>
  <c r="F90" i="73"/>
  <c r="F89" i="73"/>
  <c r="F88" i="73"/>
  <c r="F87" i="73"/>
  <c r="F86" i="73"/>
  <c r="F85" i="73"/>
  <c r="F84" i="73"/>
  <c r="F83" i="73"/>
  <c r="F82" i="73"/>
  <c r="F81" i="73"/>
  <c r="F80" i="73"/>
  <c r="F79" i="73"/>
  <c r="F78" i="73"/>
  <c r="F77" i="73"/>
  <c r="F76" i="73"/>
  <c r="F75" i="73"/>
  <c r="F74" i="73"/>
  <c r="F73" i="73"/>
  <c r="F72" i="73"/>
  <c r="F71" i="73"/>
  <c r="F70" i="73"/>
  <c r="F69" i="73"/>
  <c r="F68" i="73"/>
  <c r="F67" i="73"/>
  <c r="F66" i="73"/>
  <c r="F65" i="73"/>
  <c r="F64" i="73"/>
  <c r="F63" i="73"/>
  <c r="F62" i="73"/>
  <c r="F61" i="73"/>
  <c r="F60" i="73"/>
  <c r="F59" i="73"/>
  <c r="F58" i="73"/>
  <c r="F57" i="73"/>
  <c r="F56" i="73"/>
  <c r="F55" i="73"/>
  <c r="F54" i="73"/>
  <c r="F53" i="73"/>
  <c r="F52" i="73"/>
  <c r="F51" i="73"/>
  <c r="F50" i="73"/>
  <c r="F49" i="73"/>
  <c r="F48" i="73"/>
  <c r="F47" i="73"/>
  <c r="F46" i="73"/>
  <c r="F45" i="73"/>
  <c r="F44" i="73"/>
  <c r="F43" i="73"/>
  <c r="F42" i="73"/>
  <c r="F41" i="73"/>
  <c r="F40" i="73"/>
  <c r="F39" i="73"/>
  <c r="F38" i="73"/>
  <c r="F37" i="73"/>
  <c r="F36" i="73"/>
  <c r="F35" i="73"/>
  <c r="F34" i="73"/>
  <c r="F33" i="73"/>
  <c r="F32" i="73"/>
  <c r="F31" i="73"/>
  <c r="F30" i="73"/>
  <c r="F29" i="73"/>
  <c r="F28" i="73"/>
  <c r="F27" i="73"/>
  <c r="F26" i="73"/>
  <c r="F25" i="73"/>
  <c r="F24" i="73"/>
  <c r="F23" i="73"/>
  <c r="F22" i="73"/>
  <c r="F21" i="73"/>
  <c r="F20" i="73"/>
  <c r="F19" i="73"/>
  <c r="F18" i="73"/>
  <c r="F17" i="73"/>
  <c r="F16" i="73"/>
  <c r="F15" i="73"/>
  <c r="F14" i="73"/>
  <c r="F13" i="73"/>
  <c r="F12" i="73"/>
  <c r="F11" i="73"/>
  <c r="F10" i="73"/>
  <c r="F9" i="73"/>
  <c r="F8" i="73"/>
  <c r="F7" i="73"/>
  <c r="F6" i="73"/>
  <c r="F5" i="73"/>
  <c r="T6" i="72"/>
  <c r="T7" i="72"/>
  <c r="T8" i="72"/>
  <c r="T9" i="72"/>
  <c r="T10" i="72"/>
  <c r="T11" i="72"/>
  <c r="T12" i="72"/>
  <c r="T13" i="72"/>
  <c r="T14" i="72"/>
  <c r="T15" i="72"/>
  <c r="T16" i="72"/>
  <c r="T17" i="72"/>
  <c r="T18" i="72"/>
  <c r="T19" i="72"/>
  <c r="T20" i="72"/>
  <c r="T21" i="72"/>
  <c r="T22" i="72"/>
  <c r="T23" i="72"/>
  <c r="T24" i="72"/>
  <c r="T25" i="72"/>
  <c r="T26" i="72"/>
  <c r="T27" i="72"/>
  <c r="T28" i="72"/>
  <c r="T29" i="72"/>
  <c r="T30" i="72"/>
  <c r="T31" i="72"/>
  <c r="T32" i="72"/>
  <c r="T33" i="72"/>
  <c r="T34" i="72"/>
  <c r="T35" i="72"/>
  <c r="T36" i="72"/>
  <c r="T37" i="72"/>
  <c r="T38" i="72"/>
  <c r="T39" i="72"/>
  <c r="T40" i="72"/>
  <c r="T41" i="72"/>
  <c r="T42" i="72"/>
  <c r="T43" i="72"/>
  <c r="T44" i="72"/>
  <c r="T45" i="72"/>
  <c r="T46" i="72"/>
  <c r="T47" i="72"/>
  <c r="T48" i="72"/>
  <c r="T49" i="72"/>
  <c r="T50" i="72"/>
  <c r="T51" i="72"/>
  <c r="T52" i="72"/>
  <c r="T53" i="72"/>
  <c r="T54" i="72"/>
  <c r="T55" i="72"/>
  <c r="T56" i="72"/>
  <c r="T57" i="72"/>
  <c r="T58" i="72"/>
  <c r="T59" i="72"/>
  <c r="T60" i="72"/>
  <c r="T61" i="72"/>
  <c r="T62" i="72"/>
  <c r="T63" i="72"/>
  <c r="T64" i="72"/>
  <c r="T65" i="72"/>
  <c r="T66" i="72"/>
  <c r="T67" i="72"/>
  <c r="T68" i="72"/>
  <c r="T69" i="72"/>
  <c r="T70" i="72"/>
  <c r="T71" i="72"/>
  <c r="T72" i="72"/>
  <c r="T73" i="72"/>
  <c r="T74" i="72"/>
  <c r="T75" i="72"/>
  <c r="T76" i="72"/>
  <c r="T77" i="72"/>
  <c r="T78" i="72"/>
  <c r="T79" i="72"/>
  <c r="T80" i="72"/>
  <c r="T81" i="72"/>
  <c r="T82" i="72"/>
  <c r="T83" i="72"/>
  <c r="T84" i="72"/>
  <c r="T85" i="72"/>
  <c r="T86" i="72"/>
  <c r="T87" i="72"/>
  <c r="T88" i="72"/>
  <c r="T89" i="72"/>
  <c r="T90" i="72"/>
  <c r="T91" i="72"/>
  <c r="T92" i="72"/>
  <c r="T93" i="72"/>
  <c r="T94" i="72"/>
  <c r="T95" i="72"/>
  <c r="T96" i="72"/>
  <c r="T97" i="72"/>
  <c r="T98" i="72"/>
  <c r="T99" i="72"/>
  <c r="T100" i="72"/>
  <c r="T101" i="72"/>
  <c r="T102" i="72"/>
  <c r="T103" i="72"/>
  <c r="T104" i="72"/>
  <c r="T105" i="72"/>
  <c r="T106" i="72"/>
  <c r="T107" i="72"/>
  <c r="T108" i="72"/>
  <c r="T109" i="72"/>
  <c r="T110" i="72"/>
  <c r="T111" i="72"/>
  <c r="T112" i="72"/>
  <c r="T113" i="72"/>
  <c r="T114" i="72"/>
  <c r="T115" i="72"/>
  <c r="T117" i="72"/>
  <c r="T118" i="72"/>
  <c r="T119" i="72"/>
  <c r="T120" i="72"/>
  <c r="T121" i="72"/>
  <c r="T122" i="72"/>
  <c r="T123" i="72"/>
  <c r="T124" i="72"/>
  <c r="T125" i="72"/>
  <c r="T126" i="72"/>
  <c r="T127" i="72"/>
  <c r="T128" i="72"/>
  <c r="T129" i="72"/>
  <c r="T130" i="72"/>
  <c r="T131" i="72"/>
  <c r="T132" i="72"/>
  <c r="T133" i="72"/>
  <c r="T134" i="72"/>
  <c r="T135" i="72"/>
  <c r="T136" i="72"/>
  <c r="T137" i="72"/>
  <c r="T138" i="72"/>
  <c r="T139" i="72"/>
  <c r="T140" i="72"/>
  <c r="T141" i="72"/>
  <c r="T142" i="72"/>
  <c r="T143" i="72"/>
  <c r="T144" i="72"/>
  <c r="T145" i="72"/>
  <c r="T146" i="72"/>
  <c r="T147" i="72"/>
  <c r="T148" i="72"/>
  <c r="T149" i="72"/>
  <c r="T150" i="72"/>
  <c r="T151" i="72"/>
  <c r="T152" i="72"/>
  <c r="T153" i="72"/>
  <c r="T154" i="72"/>
  <c r="T155" i="72"/>
  <c r="T156" i="72"/>
  <c r="T157" i="72"/>
  <c r="T158" i="72"/>
  <c r="T159" i="72"/>
  <c r="T160" i="72"/>
  <c r="T161" i="72"/>
  <c r="T162" i="72"/>
  <c r="T163" i="72"/>
  <c r="T164" i="72"/>
  <c r="T165" i="72"/>
  <c r="T166" i="72"/>
  <c r="T167" i="72"/>
  <c r="T168" i="72"/>
  <c r="T169" i="72"/>
  <c r="T170" i="72"/>
  <c r="T171" i="72"/>
  <c r="T172" i="72"/>
  <c r="T173" i="72"/>
  <c r="T174" i="72"/>
  <c r="T175" i="72"/>
  <c r="T176" i="72"/>
  <c r="T177" i="72"/>
  <c r="T178" i="72"/>
  <c r="T179" i="72"/>
  <c r="T180" i="72"/>
  <c r="T181" i="72"/>
  <c r="T182" i="72"/>
  <c r="T183" i="72"/>
  <c r="T184" i="72"/>
  <c r="T185" i="72"/>
  <c r="T186" i="72"/>
  <c r="T187" i="72"/>
  <c r="T188" i="72"/>
  <c r="T189" i="72"/>
  <c r="T190" i="72"/>
  <c r="T191" i="72"/>
  <c r="T192" i="72"/>
  <c r="T193" i="72"/>
  <c r="T194" i="72"/>
  <c r="T195" i="72"/>
  <c r="T196" i="72"/>
  <c r="T197" i="72"/>
  <c r="T198" i="72"/>
  <c r="T199" i="72"/>
  <c r="T200" i="72"/>
  <c r="T201" i="72"/>
  <c r="T202" i="72"/>
  <c r="T203" i="72"/>
  <c r="T204" i="72"/>
  <c r="T5" i="72"/>
  <c r="Y9" i="67"/>
  <c r="Y10" i="67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4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194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8" i="67"/>
  <c r="AM9" i="67"/>
  <c r="AM10" i="67"/>
  <c r="AM11" i="67"/>
  <c r="AM12" i="67"/>
  <c r="AM13" i="67"/>
  <c r="AM14" i="67"/>
  <c r="AM15" i="67"/>
  <c r="AM16" i="67"/>
  <c r="AM17" i="67"/>
  <c r="AM18" i="67"/>
  <c r="AM19" i="67"/>
  <c r="AM20" i="67"/>
  <c r="AM21" i="67"/>
  <c r="AM22" i="67"/>
  <c r="AM23" i="67"/>
  <c r="AM24" i="67"/>
  <c r="AM25" i="67"/>
  <c r="AM26" i="67"/>
  <c r="AM27" i="67"/>
  <c r="AM28" i="67"/>
  <c r="AM29" i="67"/>
  <c r="AM30" i="67"/>
  <c r="AM31" i="67"/>
  <c r="AM32" i="67"/>
  <c r="AM33" i="67"/>
  <c r="AM34" i="67"/>
  <c r="AM35" i="67"/>
  <c r="AM36" i="67"/>
  <c r="AM37" i="67"/>
  <c r="AM38" i="67"/>
  <c r="AM39" i="67"/>
  <c r="AM40" i="67"/>
  <c r="AM41" i="67"/>
  <c r="AM42" i="67"/>
  <c r="AM43" i="67"/>
  <c r="AM44" i="67"/>
  <c r="AM45" i="67"/>
  <c r="AM46" i="67"/>
  <c r="AM47" i="67"/>
  <c r="AM48" i="67"/>
  <c r="AM49" i="67"/>
  <c r="AM50" i="67"/>
  <c r="AM51" i="67"/>
  <c r="AM52" i="67"/>
  <c r="AM53" i="67"/>
  <c r="AM54" i="67"/>
  <c r="AM55" i="67"/>
  <c r="AM56" i="67"/>
  <c r="AM57" i="67"/>
  <c r="AM58" i="67"/>
  <c r="AM59" i="67"/>
  <c r="AM60" i="67"/>
  <c r="AM61" i="67"/>
  <c r="AM62" i="67"/>
  <c r="AM63" i="67"/>
  <c r="AM64" i="67"/>
  <c r="AM65" i="67"/>
  <c r="AM66" i="67"/>
  <c r="AM67" i="67"/>
  <c r="AM68" i="67"/>
  <c r="AM69" i="67"/>
  <c r="AM70" i="67"/>
  <c r="AM71" i="67"/>
  <c r="AM72" i="67"/>
  <c r="AM73" i="67"/>
  <c r="AM74" i="67"/>
  <c r="AM75" i="67"/>
  <c r="AM76" i="67"/>
  <c r="AM77" i="67"/>
  <c r="AM78" i="67"/>
  <c r="AM79" i="67"/>
  <c r="AM80" i="67"/>
  <c r="AM81" i="67"/>
  <c r="AM82" i="67"/>
  <c r="AM83" i="67"/>
  <c r="AM84" i="67"/>
  <c r="AM85" i="67"/>
  <c r="AM86" i="67"/>
  <c r="AM87" i="67"/>
  <c r="AM88" i="67"/>
  <c r="AM89" i="67"/>
  <c r="AM90" i="67"/>
  <c r="AM91" i="67"/>
  <c r="AM92" i="67"/>
  <c r="AM93" i="67"/>
  <c r="AM94" i="67"/>
  <c r="AM95" i="67"/>
  <c r="AM96" i="67"/>
  <c r="AM194" i="67"/>
  <c r="AM97" i="67"/>
  <c r="AM98" i="67"/>
  <c r="AM99" i="67"/>
  <c r="AM100" i="67"/>
  <c r="AM101" i="67"/>
  <c r="AM102" i="67"/>
  <c r="AM103" i="67"/>
  <c r="AM104" i="67"/>
  <c r="AM105" i="67"/>
  <c r="AM106" i="67"/>
  <c r="AM107" i="67"/>
  <c r="AM108" i="67"/>
  <c r="AM109" i="67"/>
  <c r="AM110" i="67"/>
  <c r="AM111" i="67"/>
  <c r="AM112" i="67"/>
  <c r="AM113" i="67"/>
  <c r="AM114" i="67"/>
  <c r="AM115" i="67"/>
  <c r="AM116" i="67"/>
  <c r="AM117" i="67"/>
  <c r="AM118" i="67"/>
  <c r="AM119" i="67"/>
  <c r="AM120" i="67"/>
  <c r="AM121" i="67"/>
  <c r="AM122" i="67"/>
  <c r="AM123" i="67"/>
  <c r="AM124" i="67"/>
  <c r="AM125" i="67"/>
  <c r="AM126" i="67"/>
  <c r="AM127" i="67"/>
  <c r="AM128" i="67"/>
  <c r="AM129" i="67"/>
  <c r="AM130" i="67"/>
  <c r="AM131" i="67"/>
  <c r="AM132" i="67"/>
  <c r="AM133" i="67"/>
  <c r="AM134" i="67"/>
  <c r="AM135" i="67"/>
  <c r="AM136" i="67"/>
  <c r="AM137" i="67"/>
  <c r="AM138" i="67"/>
  <c r="AM139" i="67"/>
  <c r="AM140" i="67"/>
  <c r="AM141" i="67"/>
  <c r="AM142" i="67"/>
  <c r="AM143" i="67"/>
  <c r="AM144" i="67"/>
  <c r="AM145" i="67"/>
  <c r="AM146" i="67"/>
  <c r="AM147" i="67"/>
  <c r="AM148" i="67"/>
  <c r="AM149" i="67"/>
  <c r="AM150" i="67"/>
  <c r="AM151" i="67"/>
  <c r="AM152" i="67"/>
  <c r="AM153" i="67"/>
  <c r="AM154" i="67"/>
  <c r="AM155" i="67"/>
  <c r="AM156" i="67"/>
  <c r="AM157" i="67"/>
  <c r="AM158" i="67"/>
  <c r="AM159" i="67"/>
  <c r="AM160" i="67"/>
  <c r="AM161" i="67"/>
  <c r="AM162" i="67"/>
  <c r="AM163" i="67"/>
  <c r="AM164" i="67"/>
  <c r="AM165" i="67"/>
  <c r="AM166" i="67"/>
  <c r="AM167" i="67"/>
  <c r="AM168" i="67"/>
  <c r="AM169" i="67"/>
  <c r="AM170" i="67"/>
  <c r="AM171" i="67"/>
  <c r="AM172" i="67"/>
  <c r="AM173" i="67"/>
  <c r="AM174" i="67"/>
  <c r="AM175" i="67"/>
  <c r="AM176" i="67"/>
  <c r="AM177" i="67"/>
  <c r="AM178" i="67"/>
  <c r="AM179" i="67"/>
  <c r="AM180" i="67"/>
  <c r="AM181" i="67"/>
  <c r="AM182" i="67"/>
  <c r="AM183" i="67"/>
  <c r="AM184" i="67"/>
  <c r="AM185" i="67"/>
  <c r="AM186" i="67"/>
  <c r="AM187" i="67"/>
  <c r="AM188" i="67"/>
  <c r="AM189" i="67"/>
  <c r="AM190" i="67"/>
  <c r="AM191" i="67"/>
  <c r="AM192" i="67"/>
  <c r="AM193" i="67"/>
  <c r="AM8" i="67"/>
  <c r="BA9" i="67"/>
  <c r="BA10" i="67"/>
  <c r="BA11" i="67"/>
  <c r="BA12" i="67"/>
  <c r="BA13" i="67"/>
  <c r="BA14" i="67"/>
  <c r="BA15" i="67"/>
  <c r="BA16" i="67"/>
  <c r="BA17" i="67"/>
  <c r="BA18" i="67"/>
  <c r="BA19" i="67"/>
  <c r="BA20" i="67"/>
  <c r="BA21" i="67"/>
  <c r="BA22" i="67"/>
  <c r="BA23" i="67"/>
  <c r="BA24" i="67"/>
  <c r="BA25" i="67"/>
  <c r="BA26" i="67"/>
  <c r="BA27" i="67"/>
  <c r="BA28" i="67"/>
  <c r="BA29" i="67"/>
  <c r="BA30" i="67"/>
  <c r="BA31" i="67"/>
  <c r="BA32" i="67"/>
  <c r="BA33" i="67"/>
  <c r="BA34" i="67"/>
  <c r="BA35" i="67"/>
  <c r="BA36" i="67"/>
  <c r="BA37" i="67"/>
  <c r="BA38" i="67"/>
  <c r="BA39" i="67"/>
  <c r="BA40" i="67"/>
  <c r="BA41" i="67"/>
  <c r="BA42" i="67"/>
  <c r="BA43" i="67"/>
  <c r="BA44" i="67"/>
  <c r="BA45" i="67"/>
  <c r="BA46" i="67"/>
  <c r="BA47" i="67"/>
  <c r="BA48" i="67"/>
  <c r="BA49" i="67"/>
  <c r="BA50" i="67"/>
  <c r="BA51" i="67"/>
  <c r="BA52" i="67"/>
  <c r="BA53" i="67"/>
  <c r="BA54" i="67"/>
  <c r="BA55" i="67"/>
  <c r="BA56" i="67"/>
  <c r="BA57" i="67"/>
  <c r="BA58" i="67"/>
  <c r="BA59" i="67"/>
  <c r="BA60" i="67"/>
  <c r="BA61" i="67"/>
  <c r="BA62" i="67"/>
  <c r="BA63" i="67"/>
  <c r="BA64" i="67"/>
  <c r="BA65" i="67"/>
  <c r="BA66" i="67"/>
  <c r="BA67" i="67"/>
  <c r="BA68" i="67"/>
  <c r="BA69" i="67"/>
  <c r="BA70" i="67"/>
  <c r="BA71" i="67"/>
  <c r="BA72" i="67"/>
  <c r="BA73" i="67"/>
  <c r="BA74" i="67"/>
  <c r="BA75" i="67"/>
  <c r="BA76" i="67"/>
  <c r="BA77" i="67"/>
  <c r="BA78" i="67"/>
  <c r="BA79" i="67"/>
  <c r="BA80" i="67"/>
  <c r="BA81" i="67"/>
  <c r="BA82" i="67"/>
  <c r="BA83" i="67"/>
  <c r="BA84" i="67"/>
  <c r="BA85" i="67"/>
  <c r="BA86" i="67"/>
  <c r="BA87" i="67"/>
  <c r="BA88" i="67"/>
  <c r="BA89" i="67"/>
  <c r="BA90" i="67"/>
  <c r="BA91" i="67"/>
  <c r="BA92" i="67"/>
  <c r="BA93" i="67"/>
  <c r="BA94" i="67"/>
  <c r="BA95" i="67"/>
  <c r="BA96" i="67"/>
  <c r="BA194" i="67"/>
  <c r="BA97" i="67"/>
  <c r="BA98" i="67"/>
  <c r="BA99" i="67"/>
  <c r="BA100" i="67"/>
  <c r="BA101" i="67"/>
  <c r="BA102" i="67"/>
  <c r="BA103" i="67"/>
  <c r="BA104" i="67"/>
  <c r="BA105" i="67"/>
  <c r="BA106" i="67"/>
  <c r="BA107" i="67"/>
  <c r="BA108" i="67"/>
  <c r="BA109" i="67"/>
  <c r="BA110" i="67"/>
  <c r="BA111" i="67"/>
  <c r="BA112" i="67"/>
  <c r="BA113" i="67"/>
  <c r="BA114" i="67"/>
  <c r="BA116" i="67"/>
  <c r="BA117" i="67"/>
  <c r="BA118" i="67"/>
  <c r="BA119" i="67"/>
  <c r="BA120" i="67"/>
  <c r="BA121" i="67"/>
  <c r="BA122" i="67"/>
  <c r="BA123" i="67"/>
  <c r="BA124" i="67"/>
  <c r="BA125" i="67"/>
  <c r="BA126" i="67"/>
  <c r="BA127" i="67"/>
  <c r="BA128" i="67"/>
  <c r="BA129" i="67"/>
  <c r="BA130" i="67"/>
  <c r="BA131" i="67"/>
  <c r="BA132" i="67"/>
  <c r="BA133" i="67"/>
  <c r="BA134" i="67"/>
  <c r="BA135" i="67"/>
  <c r="BA136" i="67"/>
  <c r="BA137" i="67"/>
  <c r="BA138" i="67"/>
  <c r="BA139" i="67"/>
  <c r="BA140" i="67"/>
  <c r="BA141" i="67"/>
  <c r="BA142" i="67"/>
  <c r="BA143" i="67"/>
  <c r="BA144" i="67"/>
  <c r="BA145" i="67"/>
  <c r="BA146" i="67"/>
  <c r="BA147" i="67"/>
  <c r="BA148" i="67"/>
  <c r="BA149" i="67"/>
  <c r="BA150" i="67"/>
  <c r="BA151" i="67"/>
  <c r="BA152" i="67"/>
  <c r="BA153" i="67"/>
  <c r="BA154" i="67"/>
  <c r="BA155" i="67"/>
  <c r="BA156" i="67"/>
  <c r="BA157" i="67"/>
  <c r="BA158" i="67"/>
  <c r="BA159" i="67"/>
  <c r="BA160" i="67"/>
  <c r="BA161" i="67"/>
  <c r="BA162" i="67"/>
  <c r="BA163" i="67"/>
  <c r="BA164" i="67"/>
  <c r="BA165" i="67"/>
  <c r="BA166" i="67"/>
  <c r="BA167" i="67"/>
  <c r="BA168" i="67"/>
  <c r="BA169" i="67"/>
  <c r="BA170" i="67"/>
  <c r="BA171" i="67"/>
  <c r="BA172" i="67"/>
  <c r="BA173" i="67"/>
  <c r="BA174" i="67"/>
  <c r="BA175" i="67"/>
  <c r="BA176" i="67"/>
  <c r="BA177" i="67"/>
  <c r="BA178" i="67"/>
  <c r="BA179" i="67"/>
  <c r="BA180" i="67"/>
  <c r="BA181" i="67"/>
  <c r="BA182" i="67"/>
  <c r="BA183" i="67"/>
  <c r="BA184" i="67"/>
  <c r="BA185" i="67"/>
  <c r="BA186" i="67"/>
  <c r="BA187" i="67"/>
  <c r="BA188" i="67"/>
  <c r="BA189" i="67"/>
  <c r="BA190" i="67"/>
  <c r="BA191" i="67"/>
  <c r="BA192" i="67"/>
  <c r="BA193" i="67"/>
  <c r="BA8" i="67"/>
  <c r="X29" i="66" l="1"/>
  <c r="X30" i="66"/>
  <c r="X90" i="66"/>
  <c r="X204" i="66"/>
  <c r="Y7" i="66"/>
  <c r="Z7" i="66"/>
  <c r="AA7" i="66"/>
  <c r="AB7" i="66"/>
  <c r="AC7" i="66"/>
  <c r="AD7" i="66"/>
  <c r="AE7" i="66"/>
  <c r="F6" i="72"/>
  <c r="F7" i="72"/>
  <c r="F8" i="72"/>
  <c r="F9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F104" i="72"/>
  <c r="F105" i="72"/>
  <c r="F106" i="72"/>
  <c r="F107" i="72"/>
  <c r="F108" i="72"/>
  <c r="F109" i="72"/>
  <c r="F110" i="72"/>
  <c r="F111" i="72"/>
  <c r="F112" i="72"/>
  <c r="F113" i="72"/>
  <c r="F114" i="72"/>
  <c r="F115" i="72"/>
  <c r="F116" i="72"/>
  <c r="F117" i="72"/>
  <c r="F118" i="72"/>
  <c r="F119" i="72"/>
  <c r="F120" i="72"/>
  <c r="F121" i="72"/>
  <c r="F122" i="72"/>
  <c r="F123" i="72"/>
  <c r="F124" i="72"/>
  <c r="F125" i="72"/>
  <c r="F126" i="72"/>
  <c r="F127" i="72"/>
  <c r="F128" i="72"/>
  <c r="F129" i="72"/>
  <c r="F130" i="72"/>
  <c r="F131" i="72"/>
  <c r="F132" i="72"/>
  <c r="F133" i="72"/>
  <c r="F134" i="72"/>
  <c r="F135" i="72"/>
  <c r="F136" i="72"/>
  <c r="F137" i="72"/>
  <c r="F138" i="72"/>
  <c r="F139" i="72"/>
  <c r="F140" i="72"/>
  <c r="F141" i="72"/>
  <c r="F142" i="72"/>
  <c r="F143" i="72"/>
  <c r="F144" i="72"/>
  <c r="F145" i="72"/>
  <c r="F146" i="72"/>
  <c r="F147" i="72"/>
  <c r="F148" i="72"/>
  <c r="F149" i="72"/>
  <c r="F150" i="72"/>
  <c r="F151" i="72"/>
  <c r="F152" i="72"/>
  <c r="F153" i="72"/>
  <c r="F154" i="72"/>
  <c r="F155" i="72"/>
  <c r="F156" i="72"/>
  <c r="F157" i="72"/>
  <c r="F158" i="72"/>
  <c r="F159" i="72"/>
  <c r="F160" i="72"/>
  <c r="F161" i="72"/>
  <c r="F162" i="72"/>
  <c r="F163" i="72"/>
  <c r="F164" i="72"/>
  <c r="F165" i="72"/>
  <c r="F166" i="72"/>
  <c r="F167" i="72"/>
  <c r="F168" i="72"/>
  <c r="F169" i="72"/>
  <c r="F170" i="72"/>
  <c r="F171" i="72"/>
  <c r="F172" i="72"/>
  <c r="F173" i="72"/>
  <c r="F174" i="72"/>
  <c r="F175" i="72"/>
  <c r="F176" i="72"/>
  <c r="F177" i="72"/>
  <c r="F178" i="72"/>
  <c r="F179" i="72"/>
  <c r="F180" i="72"/>
  <c r="F181" i="72"/>
  <c r="F182" i="72"/>
  <c r="F183" i="72"/>
  <c r="F184" i="72"/>
  <c r="F185" i="72"/>
  <c r="F186" i="72"/>
  <c r="F187" i="72"/>
  <c r="F188" i="72"/>
  <c r="F189" i="72"/>
  <c r="F190" i="72"/>
  <c r="F191" i="72"/>
  <c r="F192" i="72"/>
  <c r="F193" i="72"/>
  <c r="F194" i="72"/>
  <c r="F195" i="72"/>
  <c r="F196" i="72"/>
  <c r="F197" i="72"/>
  <c r="F198" i="72"/>
  <c r="F199" i="72"/>
  <c r="F200" i="72"/>
  <c r="F201" i="72"/>
  <c r="F202" i="72"/>
  <c r="F203" i="72"/>
  <c r="F204" i="72"/>
  <c r="F5" i="72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F104" i="49"/>
  <c r="F105" i="49"/>
  <c r="F106" i="49"/>
  <c r="F107" i="49"/>
  <c r="F108" i="49"/>
  <c r="F109" i="49"/>
  <c r="F110" i="49"/>
  <c r="F111" i="49"/>
  <c r="F112" i="49"/>
  <c r="F113" i="49"/>
  <c r="F114" i="49"/>
  <c r="F115" i="49"/>
  <c r="F116" i="49"/>
  <c r="F117" i="49"/>
  <c r="F118" i="49"/>
  <c r="F119" i="49"/>
  <c r="F120" i="49"/>
  <c r="F121" i="49"/>
  <c r="F122" i="49"/>
  <c r="F123" i="49"/>
  <c r="F124" i="49"/>
  <c r="F125" i="49"/>
  <c r="F126" i="49"/>
  <c r="F127" i="49"/>
  <c r="F128" i="49"/>
  <c r="F129" i="49"/>
  <c r="F130" i="49"/>
  <c r="F131" i="49"/>
  <c r="F132" i="49"/>
  <c r="F133" i="49"/>
  <c r="F134" i="49"/>
  <c r="F135" i="49"/>
  <c r="F136" i="49"/>
  <c r="F137" i="49"/>
  <c r="F138" i="49"/>
  <c r="F139" i="49"/>
  <c r="F140" i="49"/>
  <c r="F141" i="49"/>
  <c r="F142" i="49"/>
  <c r="F143" i="49"/>
  <c r="F144" i="49"/>
  <c r="F145" i="49"/>
  <c r="F146" i="49"/>
  <c r="F147" i="49"/>
  <c r="F148" i="49"/>
  <c r="F149" i="49"/>
  <c r="F150" i="49"/>
  <c r="F151" i="49"/>
  <c r="F152" i="49"/>
  <c r="F153" i="49"/>
  <c r="F154" i="49"/>
  <c r="F155" i="49"/>
  <c r="F156" i="49"/>
  <c r="F157" i="49"/>
  <c r="F158" i="49"/>
  <c r="F159" i="49"/>
  <c r="F160" i="49"/>
  <c r="F161" i="49"/>
  <c r="F162" i="49"/>
  <c r="F163" i="49"/>
  <c r="F164" i="49"/>
  <c r="F165" i="49"/>
  <c r="F166" i="49"/>
  <c r="F167" i="49"/>
  <c r="F168" i="49"/>
  <c r="F169" i="49"/>
  <c r="F170" i="49"/>
  <c r="F171" i="49"/>
  <c r="F172" i="49"/>
  <c r="F173" i="49"/>
  <c r="F174" i="49"/>
  <c r="F175" i="49"/>
  <c r="F176" i="49"/>
  <c r="F177" i="49"/>
  <c r="F178" i="49"/>
  <c r="F179" i="49"/>
  <c r="F180" i="49"/>
  <c r="F181" i="49"/>
  <c r="F182" i="49"/>
  <c r="F183" i="49"/>
  <c r="F184" i="49"/>
  <c r="F185" i="49"/>
  <c r="F186" i="49"/>
  <c r="F187" i="49"/>
  <c r="F188" i="49"/>
  <c r="F189" i="49"/>
  <c r="F190" i="49"/>
  <c r="F191" i="49"/>
  <c r="F192" i="49"/>
  <c r="F193" i="49"/>
  <c r="F194" i="49"/>
  <c r="F195" i="49"/>
  <c r="F196" i="49"/>
  <c r="F197" i="49"/>
  <c r="F198" i="49"/>
  <c r="F199" i="49"/>
  <c r="F200" i="49"/>
  <c r="F201" i="49"/>
  <c r="F202" i="49"/>
  <c r="F203" i="49"/>
  <c r="F204" i="49"/>
  <c r="F205" i="49"/>
  <c r="F206" i="49"/>
  <c r="F7" i="49"/>
  <c r="F8" i="66"/>
  <c r="F9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F104" i="66"/>
  <c r="F105" i="66"/>
  <c r="F106" i="66"/>
  <c r="F107" i="66"/>
  <c r="F108" i="66"/>
  <c r="F109" i="66"/>
  <c r="F110" i="66"/>
  <c r="F111" i="66"/>
  <c r="F112" i="66"/>
  <c r="F113" i="66"/>
  <c r="F114" i="66"/>
  <c r="F115" i="66"/>
  <c r="F116" i="66"/>
  <c r="F117" i="66"/>
  <c r="F118" i="66"/>
  <c r="F119" i="66"/>
  <c r="F120" i="66"/>
  <c r="F121" i="66"/>
  <c r="F122" i="66"/>
  <c r="F123" i="66"/>
  <c r="F124" i="66"/>
  <c r="F125" i="66"/>
  <c r="F126" i="66"/>
  <c r="F127" i="66"/>
  <c r="F128" i="66"/>
  <c r="F129" i="66"/>
  <c r="F130" i="66"/>
  <c r="F131" i="66"/>
  <c r="F132" i="66"/>
  <c r="F133" i="66"/>
  <c r="F134" i="66"/>
  <c r="F135" i="66"/>
  <c r="F136" i="66"/>
  <c r="F137" i="66"/>
  <c r="F138" i="66"/>
  <c r="F139" i="66"/>
  <c r="F140" i="66"/>
  <c r="F141" i="66"/>
  <c r="F142" i="66"/>
  <c r="F143" i="66"/>
  <c r="F144" i="66"/>
  <c r="F145" i="66"/>
  <c r="F146" i="66"/>
  <c r="F147" i="66"/>
  <c r="F148" i="66"/>
  <c r="F149" i="66"/>
  <c r="F150" i="66"/>
  <c r="F151" i="66"/>
  <c r="F152" i="66"/>
  <c r="F153" i="66"/>
  <c r="F154" i="66"/>
  <c r="F155" i="66"/>
  <c r="F156" i="66"/>
  <c r="F157" i="66"/>
  <c r="F158" i="66"/>
  <c r="F159" i="66"/>
  <c r="F160" i="66"/>
  <c r="F161" i="66"/>
  <c r="F162" i="66"/>
  <c r="F163" i="66"/>
  <c r="F164" i="66"/>
  <c r="F165" i="66"/>
  <c r="F166" i="66"/>
  <c r="F167" i="66"/>
  <c r="F168" i="66"/>
  <c r="F169" i="66"/>
  <c r="F170" i="66"/>
  <c r="F171" i="66"/>
  <c r="F172" i="66"/>
  <c r="F173" i="66"/>
  <c r="F174" i="66"/>
  <c r="F175" i="66"/>
  <c r="F176" i="66"/>
  <c r="F177" i="66"/>
  <c r="F178" i="66"/>
  <c r="F179" i="66"/>
  <c r="F180" i="66"/>
  <c r="F181" i="66"/>
  <c r="F182" i="66"/>
  <c r="F183" i="66"/>
  <c r="F184" i="66"/>
  <c r="F185" i="66"/>
  <c r="F186" i="66"/>
  <c r="F187" i="66"/>
  <c r="F188" i="66"/>
  <c r="F189" i="66"/>
  <c r="F190" i="66"/>
  <c r="F191" i="66"/>
  <c r="F192" i="66"/>
  <c r="F193" i="66"/>
  <c r="F194" i="66"/>
  <c r="F195" i="66"/>
  <c r="F196" i="66"/>
  <c r="F197" i="66"/>
  <c r="F198" i="66"/>
  <c r="F199" i="66"/>
  <c r="F200" i="66"/>
  <c r="F201" i="66"/>
  <c r="F202" i="66"/>
  <c r="F203" i="66"/>
  <c r="F204" i="66"/>
  <c r="F205" i="66"/>
  <c r="F206" i="66"/>
  <c r="F7" i="66"/>
  <c r="H207" i="49" l="1"/>
  <c r="T208" i="66"/>
  <c r="U29" i="66" l="1"/>
  <c r="U30" i="66"/>
  <c r="U204" i="66"/>
  <c r="U90" i="66"/>
  <c r="J116" i="72" l="1"/>
  <c r="J207" i="72" s="1"/>
  <c r="AO8" i="61"/>
  <c r="BA115" i="67" l="1"/>
  <c r="T116" i="72"/>
  <c r="T207" i="72" s="1"/>
  <c r="GS204" i="67"/>
  <c r="AM30" i="71" s="1"/>
  <c r="GS205" i="67"/>
  <c r="AM31" i="71" s="1"/>
  <c r="GS207" i="67"/>
  <c r="AM91" i="71" s="1"/>
  <c r="GS206" i="67"/>
  <c r="AM205" i="71" s="1"/>
  <c r="H208" i="66" l="1"/>
  <c r="K208" i="66"/>
  <c r="L208" i="66"/>
  <c r="M208" i="66"/>
  <c r="O208" i="66"/>
  <c r="P208" i="66"/>
  <c r="Q208" i="66"/>
  <c r="R208" i="66"/>
  <c r="S208" i="66"/>
  <c r="I207" i="49"/>
  <c r="J207" i="49"/>
  <c r="K207" i="49"/>
  <c r="L207" i="49"/>
  <c r="M207" i="49"/>
  <c r="N207" i="49"/>
  <c r="O207" i="49"/>
  <c r="Q207" i="49"/>
  <c r="R207" i="49"/>
  <c r="S207" i="49"/>
  <c r="T207" i="49"/>
  <c r="V207" i="49"/>
  <c r="AA207" i="49"/>
  <c r="AB207" i="49"/>
  <c r="AC207" i="49"/>
  <c r="AD207" i="49"/>
  <c r="AE207" i="49"/>
  <c r="AF207" i="49"/>
  <c r="AG207" i="49"/>
  <c r="AH207" i="49"/>
  <c r="AI207" i="49"/>
  <c r="AJ207" i="49"/>
  <c r="AK207" i="49"/>
  <c r="AL207" i="49"/>
  <c r="AM207" i="49"/>
  <c r="AN207" i="49"/>
  <c r="AO207" i="49"/>
  <c r="AP207" i="49"/>
  <c r="AQ207" i="49"/>
  <c r="AR207" i="49"/>
  <c r="AS207" i="49"/>
  <c r="AT207" i="49"/>
  <c r="AU207" i="49"/>
  <c r="R9" i="67" l="1"/>
  <c r="R10" i="67"/>
  <c r="R11" i="67"/>
  <c r="R12" i="67"/>
  <c r="R13" i="67"/>
  <c r="R14" i="67"/>
  <c r="R15" i="67"/>
  <c r="R16" i="67"/>
  <c r="R17" i="67"/>
  <c r="R18" i="67"/>
  <c r="R19" i="67"/>
  <c r="R20" i="67"/>
  <c r="R21" i="67"/>
  <c r="R22" i="67"/>
  <c r="R23" i="67"/>
  <c r="R24" i="67"/>
  <c r="R25" i="67"/>
  <c r="R26" i="67"/>
  <c r="R27" i="67"/>
  <c r="R28" i="67"/>
  <c r="R29" i="67"/>
  <c r="R30" i="67"/>
  <c r="R31" i="67"/>
  <c r="R32" i="67"/>
  <c r="R33" i="67"/>
  <c r="R34" i="67"/>
  <c r="R35" i="67"/>
  <c r="R36" i="67"/>
  <c r="R37" i="67"/>
  <c r="R38" i="67"/>
  <c r="R39" i="67"/>
  <c r="R40" i="67"/>
  <c r="R41" i="67"/>
  <c r="R42" i="67"/>
  <c r="R43" i="67"/>
  <c r="R44" i="67"/>
  <c r="R45" i="67"/>
  <c r="R46" i="67"/>
  <c r="R47" i="67"/>
  <c r="R48" i="67"/>
  <c r="R49" i="67"/>
  <c r="R50" i="67"/>
  <c r="R51" i="67"/>
  <c r="R52" i="67"/>
  <c r="R53" i="67"/>
  <c r="R54" i="67"/>
  <c r="R55" i="67"/>
  <c r="R56" i="67"/>
  <c r="R57" i="67"/>
  <c r="R58" i="67"/>
  <c r="R59" i="67"/>
  <c r="R60" i="67"/>
  <c r="R61" i="67"/>
  <c r="R62" i="67"/>
  <c r="R63" i="67"/>
  <c r="R64" i="67"/>
  <c r="R65" i="67"/>
  <c r="R66" i="67"/>
  <c r="R67" i="67"/>
  <c r="R68" i="67"/>
  <c r="R69" i="67"/>
  <c r="R70" i="67"/>
  <c r="R71" i="67"/>
  <c r="R72" i="67"/>
  <c r="R73" i="67"/>
  <c r="R74" i="67"/>
  <c r="R75" i="67"/>
  <c r="R76" i="67"/>
  <c r="R77" i="67"/>
  <c r="R78" i="67"/>
  <c r="R79" i="67"/>
  <c r="R80" i="67"/>
  <c r="R81" i="67"/>
  <c r="R82" i="67"/>
  <c r="R83" i="67"/>
  <c r="R84" i="67"/>
  <c r="R85" i="67"/>
  <c r="R86" i="67"/>
  <c r="R87" i="67"/>
  <c r="R88" i="67"/>
  <c r="R89" i="67"/>
  <c r="R90" i="67"/>
  <c r="R91" i="67"/>
  <c r="R92" i="67"/>
  <c r="R93" i="67"/>
  <c r="R94" i="67"/>
  <c r="R95" i="67"/>
  <c r="R96" i="67"/>
  <c r="R194" i="67"/>
  <c r="R97" i="67"/>
  <c r="R98" i="67"/>
  <c r="R99" i="67"/>
  <c r="R100" i="67"/>
  <c r="R101" i="67"/>
  <c r="R102" i="67"/>
  <c r="R103" i="67"/>
  <c r="R104" i="67"/>
  <c r="R105" i="67"/>
  <c r="R106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123" i="67"/>
  <c r="R124" i="67"/>
  <c r="R125" i="67"/>
  <c r="R126" i="67"/>
  <c r="R127" i="67"/>
  <c r="R128" i="67"/>
  <c r="R129" i="67"/>
  <c r="R130" i="67"/>
  <c r="R131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6" i="67"/>
  <c r="R167" i="67"/>
  <c r="R175" i="67"/>
  <c r="R176" i="67"/>
  <c r="R187" i="67"/>
  <c r="R190" i="67"/>
  <c r="R163" i="67"/>
  <c r="R191" i="67"/>
  <c r="R164" i="67"/>
  <c r="R165" i="67"/>
  <c r="R168" i="67"/>
  <c r="R192" i="67"/>
  <c r="R169" i="67"/>
  <c r="R170" i="67"/>
  <c r="R171" i="67"/>
  <c r="R172" i="67"/>
  <c r="R173" i="67"/>
  <c r="R174" i="67"/>
  <c r="R177" i="67"/>
  <c r="R178" i="67"/>
  <c r="R179" i="67"/>
  <c r="R180" i="67"/>
  <c r="R181" i="67"/>
  <c r="R182" i="67"/>
  <c r="R193" i="67"/>
  <c r="R183" i="67"/>
  <c r="R184" i="67"/>
  <c r="R185" i="67"/>
  <c r="R186" i="67"/>
  <c r="R188" i="67"/>
  <c r="R189" i="67"/>
  <c r="R8" i="67"/>
  <c r="AF9" i="67"/>
  <c r="AF10" i="67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194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6" i="67"/>
  <c r="AF167" i="67"/>
  <c r="AF175" i="67"/>
  <c r="AF176" i="67"/>
  <c r="AF187" i="67"/>
  <c r="AF190" i="67"/>
  <c r="AF163" i="67"/>
  <c r="AF191" i="67"/>
  <c r="AF164" i="67"/>
  <c r="AF165" i="67"/>
  <c r="AF168" i="67"/>
  <c r="AF192" i="67"/>
  <c r="AF169" i="67"/>
  <c r="AF170" i="67"/>
  <c r="AF171" i="67"/>
  <c r="AF172" i="67"/>
  <c r="AF173" i="67"/>
  <c r="AF174" i="67"/>
  <c r="AF177" i="67"/>
  <c r="AF178" i="67"/>
  <c r="AF179" i="67"/>
  <c r="AF180" i="67"/>
  <c r="AF181" i="67"/>
  <c r="AF182" i="67"/>
  <c r="AF193" i="67"/>
  <c r="AF183" i="67"/>
  <c r="AF184" i="67"/>
  <c r="AF185" i="67"/>
  <c r="AF186" i="67"/>
  <c r="AF188" i="67"/>
  <c r="AF189" i="67"/>
  <c r="AF8" i="67"/>
  <c r="AT9" i="67"/>
  <c r="AT10" i="67"/>
  <c r="AT11" i="67"/>
  <c r="AT12" i="67"/>
  <c r="AT13" i="67"/>
  <c r="AT14" i="67"/>
  <c r="AT15" i="67"/>
  <c r="AT16" i="67"/>
  <c r="AT17" i="67"/>
  <c r="AT18" i="67"/>
  <c r="AT19" i="67"/>
  <c r="AT20" i="67"/>
  <c r="AT21" i="67"/>
  <c r="AT22" i="67"/>
  <c r="AT23" i="67"/>
  <c r="AT24" i="67"/>
  <c r="AT25" i="67"/>
  <c r="AT26" i="67"/>
  <c r="AT27" i="67"/>
  <c r="AT28" i="67"/>
  <c r="AT29" i="67"/>
  <c r="AT30" i="67"/>
  <c r="AT31" i="67"/>
  <c r="AT32" i="67"/>
  <c r="AT33" i="67"/>
  <c r="AT34" i="67"/>
  <c r="AT35" i="67"/>
  <c r="AT36" i="67"/>
  <c r="AT37" i="67"/>
  <c r="AT38" i="67"/>
  <c r="AT39" i="67"/>
  <c r="AT40" i="67"/>
  <c r="AT41" i="67"/>
  <c r="AT42" i="67"/>
  <c r="AT43" i="67"/>
  <c r="AT44" i="67"/>
  <c r="AT45" i="67"/>
  <c r="AT46" i="67"/>
  <c r="AT47" i="67"/>
  <c r="AT48" i="67"/>
  <c r="AT49" i="67"/>
  <c r="AT50" i="67"/>
  <c r="AT51" i="67"/>
  <c r="AT52" i="67"/>
  <c r="AT53" i="67"/>
  <c r="AT54" i="67"/>
  <c r="AT55" i="67"/>
  <c r="AT56" i="67"/>
  <c r="AT57" i="67"/>
  <c r="AT58" i="67"/>
  <c r="AT59" i="67"/>
  <c r="AT60" i="67"/>
  <c r="AT61" i="67"/>
  <c r="AT62" i="67"/>
  <c r="AT63" i="67"/>
  <c r="AT64" i="67"/>
  <c r="AT65" i="67"/>
  <c r="AT66" i="67"/>
  <c r="AT67" i="67"/>
  <c r="AT68" i="67"/>
  <c r="AT69" i="67"/>
  <c r="AT70" i="67"/>
  <c r="AT71" i="67"/>
  <c r="AT72" i="67"/>
  <c r="AT73" i="67"/>
  <c r="AT74" i="67"/>
  <c r="AT75" i="67"/>
  <c r="AT76" i="67"/>
  <c r="AT77" i="67"/>
  <c r="AT78" i="67"/>
  <c r="AT79" i="67"/>
  <c r="AT80" i="67"/>
  <c r="AT81" i="67"/>
  <c r="AT82" i="67"/>
  <c r="AT83" i="67"/>
  <c r="AT84" i="67"/>
  <c r="AT85" i="67"/>
  <c r="AT86" i="67"/>
  <c r="AT87" i="67"/>
  <c r="AT88" i="67"/>
  <c r="AT89" i="67"/>
  <c r="AT90" i="67"/>
  <c r="AT91" i="67"/>
  <c r="AT92" i="67"/>
  <c r="AT93" i="67"/>
  <c r="AT94" i="67"/>
  <c r="AT95" i="67"/>
  <c r="AT96" i="67"/>
  <c r="AT194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T110" i="67"/>
  <c r="AT111" i="67"/>
  <c r="AT112" i="67"/>
  <c r="AT113" i="67"/>
  <c r="AT114" i="67"/>
  <c r="AT115" i="67"/>
  <c r="AT116" i="67"/>
  <c r="AT117" i="67"/>
  <c r="AT118" i="67"/>
  <c r="AT119" i="67"/>
  <c r="AT120" i="67"/>
  <c r="AT121" i="67"/>
  <c r="AT122" i="67"/>
  <c r="AT123" i="67"/>
  <c r="AT124" i="67"/>
  <c r="AT125" i="67"/>
  <c r="AT126" i="67"/>
  <c r="AT127" i="67"/>
  <c r="AT128" i="67"/>
  <c r="AT129" i="67"/>
  <c r="AT130" i="67"/>
  <c r="AT131" i="67"/>
  <c r="AT132" i="67"/>
  <c r="AT133" i="67"/>
  <c r="AT134" i="67"/>
  <c r="AT135" i="67"/>
  <c r="AT136" i="67"/>
  <c r="AT137" i="67"/>
  <c r="AT138" i="67"/>
  <c r="AT139" i="67"/>
  <c r="AT140" i="67"/>
  <c r="AT141" i="67"/>
  <c r="AT142" i="67"/>
  <c r="AT143" i="67"/>
  <c r="AT144" i="67"/>
  <c r="AT145" i="67"/>
  <c r="AT146" i="67"/>
  <c r="AT147" i="67"/>
  <c r="AT148" i="67"/>
  <c r="AT149" i="67"/>
  <c r="AT150" i="67"/>
  <c r="AT151" i="67"/>
  <c r="AT152" i="67"/>
  <c r="AT153" i="67"/>
  <c r="AT154" i="67"/>
  <c r="AT155" i="67"/>
  <c r="AT156" i="67"/>
  <c r="AT157" i="67"/>
  <c r="AT158" i="67"/>
  <c r="AT159" i="67"/>
  <c r="AT160" i="67"/>
  <c r="AT161" i="67"/>
  <c r="AT162" i="67"/>
  <c r="AT166" i="67"/>
  <c r="AT167" i="67"/>
  <c r="AT175" i="67"/>
  <c r="AT176" i="67"/>
  <c r="AT187" i="67"/>
  <c r="AT190" i="67"/>
  <c r="AT163" i="67"/>
  <c r="AT191" i="67"/>
  <c r="AT164" i="67"/>
  <c r="AT165" i="67"/>
  <c r="AT168" i="67"/>
  <c r="AT192" i="67"/>
  <c r="AT169" i="67"/>
  <c r="AT170" i="67"/>
  <c r="AT171" i="67"/>
  <c r="AT172" i="67"/>
  <c r="AT173" i="67"/>
  <c r="AT174" i="67"/>
  <c r="AT177" i="67"/>
  <c r="AT178" i="67"/>
  <c r="AT179" i="67"/>
  <c r="AT180" i="67"/>
  <c r="AT181" i="67"/>
  <c r="AT182" i="67"/>
  <c r="AT193" i="67"/>
  <c r="AT183" i="67"/>
  <c r="AT184" i="67"/>
  <c r="AT185" i="67"/>
  <c r="AT186" i="67"/>
  <c r="AT188" i="67"/>
  <c r="AT189" i="67"/>
  <c r="AT8" i="67"/>
  <c r="BH9" i="67"/>
  <c r="BH10" i="67"/>
  <c r="BH11" i="67"/>
  <c r="BH12" i="67"/>
  <c r="BH13" i="67"/>
  <c r="BH14" i="67"/>
  <c r="BH15" i="67"/>
  <c r="BH16" i="67"/>
  <c r="BH17" i="67"/>
  <c r="BH18" i="67"/>
  <c r="BH19" i="67"/>
  <c r="BH20" i="67"/>
  <c r="BH21" i="67"/>
  <c r="BH22" i="67"/>
  <c r="BH23" i="67"/>
  <c r="BH24" i="67"/>
  <c r="BH25" i="67"/>
  <c r="BH26" i="67"/>
  <c r="BH27" i="67"/>
  <c r="BH28" i="67"/>
  <c r="BH29" i="67"/>
  <c r="BH30" i="67"/>
  <c r="BH31" i="67"/>
  <c r="BH32" i="67"/>
  <c r="BH33" i="67"/>
  <c r="BH34" i="67"/>
  <c r="BH35" i="67"/>
  <c r="BH36" i="67"/>
  <c r="BH37" i="67"/>
  <c r="BH38" i="67"/>
  <c r="BH39" i="67"/>
  <c r="BH40" i="67"/>
  <c r="BH41" i="67"/>
  <c r="BH42" i="67"/>
  <c r="BH43" i="67"/>
  <c r="BH44" i="67"/>
  <c r="BH45" i="67"/>
  <c r="BH46" i="67"/>
  <c r="BH47" i="67"/>
  <c r="BH48" i="67"/>
  <c r="BH49" i="67"/>
  <c r="BH50" i="67"/>
  <c r="BH51" i="67"/>
  <c r="BH52" i="67"/>
  <c r="BH53" i="67"/>
  <c r="BH54" i="67"/>
  <c r="BH55" i="67"/>
  <c r="BH56" i="67"/>
  <c r="BH57" i="67"/>
  <c r="BH58" i="67"/>
  <c r="BH59" i="67"/>
  <c r="BH60" i="67"/>
  <c r="BH61" i="67"/>
  <c r="BH62" i="67"/>
  <c r="BH63" i="67"/>
  <c r="BH64" i="67"/>
  <c r="BH65" i="67"/>
  <c r="BH66" i="67"/>
  <c r="BH67" i="67"/>
  <c r="BH68" i="67"/>
  <c r="BH69" i="67"/>
  <c r="BH70" i="67"/>
  <c r="BH71" i="67"/>
  <c r="BH72" i="67"/>
  <c r="BH73" i="67"/>
  <c r="BH74" i="67"/>
  <c r="BH75" i="67"/>
  <c r="BH76" i="67"/>
  <c r="BH77" i="67"/>
  <c r="BH78" i="67"/>
  <c r="BH79" i="67"/>
  <c r="BH80" i="67"/>
  <c r="BH81" i="67"/>
  <c r="BH82" i="67"/>
  <c r="BH83" i="67"/>
  <c r="BH84" i="67"/>
  <c r="BH85" i="67"/>
  <c r="BH86" i="67"/>
  <c r="BH87" i="67"/>
  <c r="BH88" i="67"/>
  <c r="BH89" i="67"/>
  <c r="BH90" i="67"/>
  <c r="BH91" i="67"/>
  <c r="BH92" i="67"/>
  <c r="BH93" i="67"/>
  <c r="BH94" i="67"/>
  <c r="BH95" i="67"/>
  <c r="BH96" i="67"/>
  <c r="BH194" i="67"/>
  <c r="BH97" i="67"/>
  <c r="BH98" i="67"/>
  <c r="BH99" i="67"/>
  <c r="BH100" i="67"/>
  <c r="BH101" i="67"/>
  <c r="BH102" i="67"/>
  <c r="BH103" i="67"/>
  <c r="BH104" i="67"/>
  <c r="BH105" i="67"/>
  <c r="BH106" i="67"/>
  <c r="BH107" i="67"/>
  <c r="BH108" i="67"/>
  <c r="BH109" i="67"/>
  <c r="BH110" i="67"/>
  <c r="BH111" i="67"/>
  <c r="BH112" i="67"/>
  <c r="BH113" i="67"/>
  <c r="BH114" i="67"/>
  <c r="BH115" i="67"/>
  <c r="BH116" i="67"/>
  <c r="BH117" i="67"/>
  <c r="BH118" i="67"/>
  <c r="BH119" i="67"/>
  <c r="BH120" i="67"/>
  <c r="BH121" i="67"/>
  <c r="BH122" i="67"/>
  <c r="BH123" i="67"/>
  <c r="BH124" i="67"/>
  <c r="BH125" i="67"/>
  <c r="BH126" i="67"/>
  <c r="BH127" i="67"/>
  <c r="BH128" i="67"/>
  <c r="BH129" i="67"/>
  <c r="BH130" i="67"/>
  <c r="BH131" i="67"/>
  <c r="BH132" i="67"/>
  <c r="BH133" i="67"/>
  <c r="BH134" i="67"/>
  <c r="BH135" i="67"/>
  <c r="BH136" i="67"/>
  <c r="BH137" i="67"/>
  <c r="BH138" i="67"/>
  <c r="BH139" i="67"/>
  <c r="BH140" i="67"/>
  <c r="BH141" i="67"/>
  <c r="BH142" i="67"/>
  <c r="BH143" i="67"/>
  <c r="BH144" i="67"/>
  <c r="BH145" i="67"/>
  <c r="BH146" i="67"/>
  <c r="BH147" i="67"/>
  <c r="BH148" i="67"/>
  <c r="BH149" i="67"/>
  <c r="BH150" i="67"/>
  <c r="BH151" i="67"/>
  <c r="BH152" i="67"/>
  <c r="BH153" i="67"/>
  <c r="BH154" i="67"/>
  <c r="BH155" i="67"/>
  <c r="BH156" i="67"/>
  <c r="BH157" i="67"/>
  <c r="BH158" i="67"/>
  <c r="BH159" i="67"/>
  <c r="BH160" i="67"/>
  <c r="BH161" i="67"/>
  <c r="BH162" i="67"/>
  <c r="BH166" i="67"/>
  <c r="BH167" i="67"/>
  <c r="BH175" i="67"/>
  <c r="BH176" i="67"/>
  <c r="BH187" i="67"/>
  <c r="BH190" i="67"/>
  <c r="BH163" i="67"/>
  <c r="BH191" i="67"/>
  <c r="BH164" i="67"/>
  <c r="BH165" i="67"/>
  <c r="BH168" i="67"/>
  <c r="BH192" i="67"/>
  <c r="BH169" i="67"/>
  <c r="BH170" i="67"/>
  <c r="BH171" i="67"/>
  <c r="BH172" i="67"/>
  <c r="BH173" i="67"/>
  <c r="BH174" i="67"/>
  <c r="BH177" i="67"/>
  <c r="BH178" i="67"/>
  <c r="BH179" i="67"/>
  <c r="BH180" i="67"/>
  <c r="BH181" i="67"/>
  <c r="BH182" i="67"/>
  <c r="BH193" i="67"/>
  <c r="BH183" i="67"/>
  <c r="BH184" i="67"/>
  <c r="BH185" i="67"/>
  <c r="BH186" i="67"/>
  <c r="BH188" i="67"/>
  <c r="BH189" i="67"/>
  <c r="BH8" i="67"/>
  <c r="FV9" i="67"/>
  <c r="FV10" i="67"/>
  <c r="FV11" i="67"/>
  <c r="FV12" i="67"/>
  <c r="FV13" i="67"/>
  <c r="FV14" i="67"/>
  <c r="FV15" i="67"/>
  <c r="FV16" i="67"/>
  <c r="FV17" i="67"/>
  <c r="FV18" i="67"/>
  <c r="FV19" i="67"/>
  <c r="FV20" i="67"/>
  <c r="FV22" i="67"/>
  <c r="FV23" i="67"/>
  <c r="FV24" i="67"/>
  <c r="FV26" i="67"/>
  <c r="FV27" i="67"/>
  <c r="FV28" i="67"/>
  <c r="FV29" i="67"/>
  <c r="FV30" i="67"/>
  <c r="FV31" i="67"/>
  <c r="FV32" i="67"/>
  <c r="FV33" i="67"/>
  <c r="FV34" i="67"/>
  <c r="FV35" i="67"/>
  <c r="FV36" i="67"/>
  <c r="FV37" i="67"/>
  <c r="FV38" i="67"/>
  <c r="FV39" i="67"/>
  <c r="FV40" i="67"/>
  <c r="FV41" i="67"/>
  <c r="FV42" i="67"/>
  <c r="FV44" i="67"/>
  <c r="FV45" i="67"/>
  <c r="FV46" i="67"/>
  <c r="FV47" i="67"/>
  <c r="FV48" i="67"/>
  <c r="FV49" i="67"/>
  <c r="FV50" i="67"/>
  <c r="FV51" i="67"/>
  <c r="FV52" i="67"/>
  <c r="FV53" i="67"/>
  <c r="FV54" i="67"/>
  <c r="FV55" i="67"/>
  <c r="FV56" i="67"/>
  <c r="FV57" i="67"/>
  <c r="FV58" i="67"/>
  <c r="FV59" i="67"/>
  <c r="FV60" i="67"/>
  <c r="FV61" i="67"/>
  <c r="FV62" i="67"/>
  <c r="FV63" i="67"/>
  <c r="FV64" i="67"/>
  <c r="FV65" i="67"/>
  <c r="FV66" i="67"/>
  <c r="FV67" i="67"/>
  <c r="FV68" i="67"/>
  <c r="FV69" i="67"/>
  <c r="FV70" i="67"/>
  <c r="FV72" i="67"/>
  <c r="FV73" i="67"/>
  <c r="FV74" i="67"/>
  <c r="FV75" i="67"/>
  <c r="FV76" i="67"/>
  <c r="FV77" i="67"/>
  <c r="FV78" i="67"/>
  <c r="FV79" i="67"/>
  <c r="FV80" i="67"/>
  <c r="FV81" i="67"/>
  <c r="FV82" i="67"/>
  <c r="FV83" i="67"/>
  <c r="FV84" i="67"/>
  <c r="FV85" i="67"/>
  <c r="FV86" i="67"/>
  <c r="FV87" i="67"/>
  <c r="FV88" i="67"/>
  <c r="FV89" i="67"/>
  <c r="FV90" i="67"/>
  <c r="FV91" i="67"/>
  <c r="FV93" i="67"/>
  <c r="FV94" i="67"/>
  <c r="FV95" i="67"/>
  <c r="FV96" i="67"/>
  <c r="FV97" i="67"/>
  <c r="FV98" i="67"/>
  <c r="FV99" i="67"/>
  <c r="FV100" i="67"/>
  <c r="FV101" i="67"/>
  <c r="FV102" i="67"/>
  <c r="FV103" i="67"/>
  <c r="FV104" i="67"/>
  <c r="FV105" i="67"/>
  <c r="FV106" i="67"/>
  <c r="FV107" i="67"/>
  <c r="FV108" i="67"/>
  <c r="FV109" i="67"/>
  <c r="FV110" i="67"/>
  <c r="FV111" i="67"/>
  <c r="FV112" i="67"/>
  <c r="FV113" i="67"/>
  <c r="FV114" i="67"/>
  <c r="FV115" i="67"/>
  <c r="FV116" i="67"/>
  <c r="FV117" i="67"/>
  <c r="FV118" i="67"/>
  <c r="FV119" i="67"/>
  <c r="FV120" i="67"/>
  <c r="FV121" i="67"/>
  <c r="FV122" i="67"/>
  <c r="FV123" i="67"/>
  <c r="FV124" i="67"/>
  <c r="FV125" i="67"/>
  <c r="FV126" i="67"/>
  <c r="FV127" i="67"/>
  <c r="FV128" i="67"/>
  <c r="FV129" i="67"/>
  <c r="FV130" i="67"/>
  <c r="FV131" i="67"/>
  <c r="FV132" i="67"/>
  <c r="FV133" i="67"/>
  <c r="FV135" i="67"/>
  <c r="FV136" i="67"/>
  <c r="FV137" i="67"/>
  <c r="FV138" i="67"/>
  <c r="FV139" i="67"/>
  <c r="FV140" i="67"/>
  <c r="FV141" i="67"/>
  <c r="FV142" i="67"/>
  <c r="FV143" i="67"/>
  <c r="FV144" i="67"/>
  <c r="FV145" i="67"/>
  <c r="FV146" i="67"/>
  <c r="FV147" i="67"/>
  <c r="FV148" i="67"/>
  <c r="FV149" i="67"/>
  <c r="FV150" i="67"/>
  <c r="FV151" i="67"/>
  <c r="FV152" i="67"/>
  <c r="FV153" i="67"/>
  <c r="FV154" i="67"/>
  <c r="FV155" i="67"/>
  <c r="FV156" i="67"/>
  <c r="FV157" i="67"/>
  <c r="FV158" i="67"/>
  <c r="FV159" i="67"/>
  <c r="FV160" i="67"/>
  <c r="FV161" i="67"/>
  <c r="FV162" i="67"/>
  <c r="FV166" i="67"/>
  <c r="FV167" i="67"/>
  <c r="FV175" i="67"/>
  <c r="FV176" i="67"/>
  <c r="FV187" i="67"/>
  <c r="FV190" i="67"/>
  <c r="FV163" i="67"/>
  <c r="FV191" i="67"/>
  <c r="FV164" i="67"/>
  <c r="FV165" i="67"/>
  <c r="FV168" i="67"/>
  <c r="FV192" i="67"/>
  <c r="FV169" i="67"/>
  <c r="FV170" i="67"/>
  <c r="FV171" i="67"/>
  <c r="FV172" i="67"/>
  <c r="FV173" i="67"/>
  <c r="FV174" i="67"/>
  <c r="FV177" i="67"/>
  <c r="FV178" i="67"/>
  <c r="FV179" i="67"/>
  <c r="FV180" i="67"/>
  <c r="FV181" i="67"/>
  <c r="FV182" i="67"/>
  <c r="FV193" i="67"/>
  <c r="FV183" i="67"/>
  <c r="FV184" i="67"/>
  <c r="FV185" i="67"/>
  <c r="FV186" i="67"/>
  <c r="FV188" i="67"/>
  <c r="FV189" i="67"/>
  <c r="FV8" i="67"/>
  <c r="FG9" i="67"/>
  <c r="FG10" i="67"/>
  <c r="FG11" i="67"/>
  <c r="FG12" i="67"/>
  <c r="FG13" i="67"/>
  <c r="FG14" i="67"/>
  <c r="FG15" i="67"/>
  <c r="FG16" i="67"/>
  <c r="FG17" i="67"/>
  <c r="FG18" i="67"/>
  <c r="FG19" i="67"/>
  <c r="FG20" i="67"/>
  <c r="FG22" i="67"/>
  <c r="FG23" i="67"/>
  <c r="FG24" i="67"/>
  <c r="FG26" i="67"/>
  <c r="FG27" i="67"/>
  <c r="FG28" i="67"/>
  <c r="FG29" i="67"/>
  <c r="FG30" i="67"/>
  <c r="FG31" i="67"/>
  <c r="FG32" i="67"/>
  <c r="FG33" i="67"/>
  <c r="FG34" i="67"/>
  <c r="FG35" i="67"/>
  <c r="FG36" i="67"/>
  <c r="FG37" i="67"/>
  <c r="FG38" i="67"/>
  <c r="FG39" i="67"/>
  <c r="FG40" i="67"/>
  <c r="FG41" i="67"/>
  <c r="FG42" i="67"/>
  <c r="FG44" i="67"/>
  <c r="FG45" i="67"/>
  <c r="FG46" i="67"/>
  <c r="FG47" i="67"/>
  <c r="FG48" i="67"/>
  <c r="FG49" i="67"/>
  <c r="FG50" i="67"/>
  <c r="FG51" i="67"/>
  <c r="FG52" i="67"/>
  <c r="FG53" i="67"/>
  <c r="FG54" i="67"/>
  <c r="FG55" i="67"/>
  <c r="FG56" i="67"/>
  <c r="FG57" i="67"/>
  <c r="FG58" i="67"/>
  <c r="FG59" i="67"/>
  <c r="FG60" i="67"/>
  <c r="FG61" i="67"/>
  <c r="FG62" i="67"/>
  <c r="FG63" i="67"/>
  <c r="FG64" i="67"/>
  <c r="FG65" i="67"/>
  <c r="FG66" i="67"/>
  <c r="FG67" i="67"/>
  <c r="FG68" i="67"/>
  <c r="FG69" i="67"/>
  <c r="FG70" i="67"/>
  <c r="FG72" i="67"/>
  <c r="FG73" i="67"/>
  <c r="FG74" i="67"/>
  <c r="FG75" i="67"/>
  <c r="FG76" i="67"/>
  <c r="FG77" i="67"/>
  <c r="FG78" i="67"/>
  <c r="FG79" i="67"/>
  <c r="FG80" i="67"/>
  <c r="FG81" i="67"/>
  <c r="FG82" i="67"/>
  <c r="FG83" i="67"/>
  <c r="FG84" i="67"/>
  <c r="FG85" i="67"/>
  <c r="FG86" i="67"/>
  <c r="FG87" i="67"/>
  <c r="FG88" i="67"/>
  <c r="FG89" i="67"/>
  <c r="FG90" i="67"/>
  <c r="FG91" i="67"/>
  <c r="FG93" i="67"/>
  <c r="FG94" i="67"/>
  <c r="FG95" i="67"/>
  <c r="FG96" i="67"/>
  <c r="FG97" i="67"/>
  <c r="FG98" i="67"/>
  <c r="FG99" i="67"/>
  <c r="FG100" i="67"/>
  <c r="FG101" i="67"/>
  <c r="FG102" i="67"/>
  <c r="FG103" i="67"/>
  <c r="FG104" i="67"/>
  <c r="FG105" i="67"/>
  <c r="FG106" i="67"/>
  <c r="FG107" i="67"/>
  <c r="FG108" i="67"/>
  <c r="FG109" i="67"/>
  <c r="FG110" i="67"/>
  <c r="FG111" i="67"/>
  <c r="FG112" i="67"/>
  <c r="FG113" i="67"/>
  <c r="FG114" i="67"/>
  <c r="FG115" i="67"/>
  <c r="FG116" i="67"/>
  <c r="FG117" i="67"/>
  <c r="FG118" i="67"/>
  <c r="FG119" i="67"/>
  <c r="FG120" i="67"/>
  <c r="FG121" i="67"/>
  <c r="FG122" i="67"/>
  <c r="FG123" i="67"/>
  <c r="FG124" i="67"/>
  <c r="FG125" i="67"/>
  <c r="FG126" i="67"/>
  <c r="FG127" i="67"/>
  <c r="FG128" i="67"/>
  <c r="FG129" i="67"/>
  <c r="FG130" i="67"/>
  <c r="FG131" i="67"/>
  <c r="FG132" i="67"/>
  <c r="FG133" i="67"/>
  <c r="FG135" i="67"/>
  <c r="FG136" i="67"/>
  <c r="FG137" i="67"/>
  <c r="FG138" i="67"/>
  <c r="FG139" i="67"/>
  <c r="FG140" i="67"/>
  <c r="FG141" i="67"/>
  <c r="FG142" i="67"/>
  <c r="FG143" i="67"/>
  <c r="FG144" i="67"/>
  <c r="FG145" i="67"/>
  <c r="FG146" i="67"/>
  <c r="FG147" i="67"/>
  <c r="FG148" i="67"/>
  <c r="FG149" i="67"/>
  <c r="FG150" i="67"/>
  <c r="FG151" i="67"/>
  <c r="FG152" i="67"/>
  <c r="FG153" i="67"/>
  <c r="FG154" i="67"/>
  <c r="FG155" i="67"/>
  <c r="FG156" i="67"/>
  <c r="FG157" i="67"/>
  <c r="FG158" i="67"/>
  <c r="FG159" i="67"/>
  <c r="FG160" i="67"/>
  <c r="FG161" i="67"/>
  <c r="FG162" i="67"/>
  <c r="FG166" i="67"/>
  <c r="FG167" i="67"/>
  <c r="FG175" i="67"/>
  <c r="FG176" i="67"/>
  <c r="FG187" i="67"/>
  <c r="FG190" i="67"/>
  <c r="FG163" i="67"/>
  <c r="FG191" i="67"/>
  <c r="FG164" i="67"/>
  <c r="FG165" i="67"/>
  <c r="FG168" i="67"/>
  <c r="FG192" i="67"/>
  <c r="FG169" i="67"/>
  <c r="FG170" i="67"/>
  <c r="FG171" i="67"/>
  <c r="FG172" i="67"/>
  <c r="FG173" i="67"/>
  <c r="FG174" i="67"/>
  <c r="FG177" i="67"/>
  <c r="FG178" i="67"/>
  <c r="FG179" i="67"/>
  <c r="FG180" i="67"/>
  <c r="FG181" i="67"/>
  <c r="FG182" i="67"/>
  <c r="FG193" i="67"/>
  <c r="FG183" i="67"/>
  <c r="FG184" i="67"/>
  <c r="FG185" i="67"/>
  <c r="FG186" i="67"/>
  <c r="FG188" i="67"/>
  <c r="FG189" i="67"/>
  <c r="FG8" i="67"/>
  <c r="ER9" i="67"/>
  <c r="ER10" i="67"/>
  <c r="ER11" i="67"/>
  <c r="ER12" i="67"/>
  <c r="ER13" i="67"/>
  <c r="ER14" i="67"/>
  <c r="ER15" i="67"/>
  <c r="ER16" i="67"/>
  <c r="ER17" i="67"/>
  <c r="ER18" i="67"/>
  <c r="ER19" i="67"/>
  <c r="ER20" i="67"/>
  <c r="ER22" i="67"/>
  <c r="ER23" i="67"/>
  <c r="ER24" i="67"/>
  <c r="ER26" i="67"/>
  <c r="ER27" i="67"/>
  <c r="ER28" i="67"/>
  <c r="ER29" i="67"/>
  <c r="ER30" i="67"/>
  <c r="ER31" i="67"/>
  <c r="ER32" i="67"/>
  <c r="ER33" i="67"/>
  <c r="ER34" i="67"/>
  <c r="ER35" i="67"/>
  <c r="ER36" i="67"/>
  <c r="ER37" i="67"/>
  <c r="ER38" i="67"/>
  <c r="ER39" i="67"/>
  <c r="ER40" i="67"/>
  <c r="ER41" i="67"/>
  <c r="ER42" i="67"/>
  <c r="ER44" i="67"/>
  <c r="ER45" i="67"/>
  <c r="ER46" i="67"/>
  <c r="ER47" i="67"/>
  <c r="ER48" i="67"/>
  <c r="ER49" i="67"/>
  <c r="ER50" i="67"/>
  <c r="ER51" i="67"/>
  <c r="ER52" i="67"/>
  <c r="ER53" i="67"/>
  <c r="ER54" i="67"/>
  <c r="ER55" i="67"/>
  <c r="ER56" i="67"/>
  <c r="ER57" i="67"/>
  <c r="ER58" i="67"/>
  <c r="ER59" i="67"/>
  <c r="ER60" i="67"/>
  <c r="ER61" i="67"/>
  <c r="ER62" i="67"/>
  <c r="ER63" i="67"/>
  <c r="ER64" i="67"/>
  <c r="ER65" i="67"/>
  <c r="ER66" i="67"/>
  <c r="ER67" i="67"/>
  <c r="ER68" i="67"/>
  <c r="ER69" i="67"/>
  <c r="ER70" i="67"/>
  <c r="ER72" i="67"/>
  <c r="ER73" i="67"/>
  <c r="ER74" i="67"/>
  <c r="ER75" i="67"/>
  <c r="ER76" i="67"/>
  <c r="ER77" i="67"/>
  <c r="ER78" i="67"/>
  <c r="ER79" i="67"/>
  <c r="ER80" i="67"/>
  <c r="ER81" i="67"/>
  <c r="ER82" i="67"/>
  <c r="ER83" i="67"/>
  <c r="ER84" i="67"/>
  <c r="ER85" i="67"/>
  <c r="ER86" i="67"/>
  <c r="ER87" i="67"/>
  <c r="ER88" i="67"/>
  <c r="ER89" i="67"/>
  <c r="ER90" i="67"/>
  <c r="ER91" i="67"/>
  <c r="ER93" i="67"/>
  <c r="ER94" i="67"/>
  <c r="ER95" i="67"/>
  <c r="ER96" i="67"/>
  <c r="ER97" i="67"/>
  <c r="ER98" i="67"/>
  <c r="ER99" i="67"/>
  <c r="ER100" i="67"/>
  <c r="ER101" i="67"/>
  <c r="ER102" i="67"/>
  <c r="ER103" i="67"/>
  <c r="ER104" i="67"/>
  <c r="ER105" i="67"/>
  <c r="ER106" i="67"/>
  <c r="ER107" i="67"/>
  <c r="ER108" i="67"/>
  <c r="ER109" i="67"/>
  <c r="ER110" i="67"/>
  <c r="ER111" i="67"/>
  <c r="ER112" i="67"/>
  <c r="ER113" i="67"/>
  <c r="ER114" i="67"/>
  <c r="ER115" i="67"/>
  <c r="ER116" i="67"/>
  <c r="ER117" i="67"/>
  <c r="ER118" i="67"/>
  <c r="ER119" i="67"/>
  <c r="ER120" i="67"/>
  <c r="ER121" i="67"/>
  <c r="ER122" i="67"/>
  <c r="ER123" i="67"/>
  <c r="ER124" i="67"/>
  <c r="ER125" i="67"/>
  <c r="ER126" i="67"/>
  <c r="ER127" i="67"/>
  <c r="ER128" i="67"/>
  <c r="ER129" i="67"/>
  <c r="ER130" i="67"/>
  <c r="ER131" i="67"/>
  <c r="ER132" i="67"/>
  <c r="ER133" i="67"/>
  <c r="ER135" i="67"/>
  <c r="ER136" i="67"/>
  <c r="ER137" i="67"/>
  <c r="ER138" i="67"/>
  <c r="ER139" i="67"/>
  <c r="ER140" i="67"/>
  <c r="ER141" i="67"/>
  <c r="ER142" i="67"/>
  <c r="ER143" i="67"/>
  <c r="ER144" i="67"/>
  <c r="ER145" i="67"/>
  <c r="ER146" i="67"/>
  <c r="ER147" i="67"/>
  <c r="ER148" i="67"/>
  <c r="ER149" i="67"/>
  <c r="ER150" i="67"/>
  <c r="ER151" i="67"/>
  <c r="ER152" i="67"/>
  <c r="ER153" i="67"/>
  <c r="ER154" i="67"/>
  <c r="ER155" i="67"/>
  <c r="ER156" i="67"/>
  <c r="ER157" i="67"/>
  <c r="ER158" i="67"/>
  <c r="ER159" i="67"/>
  <c r="ER160" i="67"/>
  <c r="ER161" i="67"/>
  <c r="ER162" i="67"/>
  <c r="ER166" i="67"/>
  <c r="ER167" i="67"/>
  <c r="ER175" i="67"/>
  <c r="ER176" i="67"/>
  <c r="ER187" i="67"/>
  <c r="ER190" i="67"/>
  <c r="ER163" i="67"/>
  <c r="ER191" i="67"/>
  <c r="ER164" i="67"/>
  <c r="ER165" i="67"/>
  <c r="ER168" i="67"/>
  <c r="ER192" i="67"/>
  <c r="ER169" i="67"/>
  <c r="ER170" i="67"/>
  <c r="ER171" i="67"/>
  <c r="ER172" i="67"/>
  <c r="ER173" i="67"/>
  <c r="ER174" i="67"/>
  <c r="ER177" i="67"/>
  <c r="ER178" i="67"/>
  <c r="ER179" i="67"/>
  <c r="ER180" i="67"/>
  <c r="ER181" i="67"/>
  <c r="ER182" i="67"/>
  <c r="ER193" i="67"/>
  <c r="ER183" i="67"/>
  <c r="ER184" i="67"/>
  <c r="ER185" i="67"/>
  <c r="ER186" i="67"/>
  <c r="ER188" i="67"/>
  <c r="ER189" i="67"/>
  <c r="ER8" i="67"/>
  <c r="EC9" i="67"/>
  <c r="EC10" i="67"/>
  <c r="EC11" i="67"/>
  <c r="EC12" i="67"/>
  <c r="EC13" i="67"/>
  <c r="EC14" i="67"/>
  <c r="EC15" i="67"/>
  <c r="EC16" i="67"/>
  <c r="EC17" i="67"/>
  <c r="EC18" i="67"/>
  <c r="EC19" i="67"/>
  <c r="EC20" i="67"/>
  <c r="EC22" i="67"/>
  <c r="EC23" i="67"/>
  <c r="EC24" i="67"/>
  <c r="EC26" i="67"/>
  <c r="EC27" i="67"/>
  <c r="EC28" i="67"/>
  <c r="EC29" i="67"/>
  <c r="EC30" i="67"/>
  <c r="EC31" i="67"/>
  <c r="EC32" i="67"/>
  <c r="EC33" i="67"/>
  <c r="EC34" i="67"/>
  <c r="EC35" i="67"/>
  <c r="EC36" i="67"/>
  <c r="EC37" i="67"/>
  <c r="EC38" i="67"/>
  <c r="EC39" i="67"/>
  <c r="EC40" i="67"/>
  <c r="EC41" i="67"/>
  <c r="EC42" i="67"/>
  <c r="EC44" i="67"/>
  <c r="EC45" i="67"/>
  <c r="EC46" i="67"/>
  <c r="EC47" i="67"/>
  <c r="EC48" i="67"/>
  <c r="EC49" i="67"/>
  <c r="EC50" i="67"/>
  <c r="EC51" i="67"/>
  <c r="EC52" i="67"/>
  <c r="EC53" i="67"/>
  <c r="EC54" i="67"/>
  <c r="EC55" i="67"/>
  <c r="EC56" i="67"/>
  <c r="EC57" i="67"/>
  <c r="EC58" i="67"/>
  <c r="EC59" i="67"/>
  <c r="EC60" i="67"/>
  <c r="EC61" i="67"/>
  <c r="EC62" i="67"/>
  <c r="EC63" i="67"/>
  <c r="EC64" i="67"/>
  <c r="EC65" i="67"/>
  <c r="EC66" i="67"/>
  <c r="EC67" i="67"/>
  <c r="EC68" i="67"/>
  <c r="EC69" i="67"/>
  <c r="EC70" i="67"/>
  <c r="EC72" i="67"/>
  <c r="EC73" i="67"/>
  <c r="EC74" i="67"/>
  <c r="EC75" i="67"/>
  <c r="EC76" i="67"/>
  <c r="EC77" i="67"/>
  <c r="EC78" i="67"/>
  <c r="EC79" i="67"/>
  <c r="EC80" i="67"/>
  <c r="EC81" i="67"/>
  <c r="EC82" i="67"/>
  <c r="EC83" i="67"/>
  <c r="EC84" i="67"/>
  <c r="EC85" i="67"/>
  <c r="EC86" i="67"/>
  <c r="EC87" i="67"/>
  <c r="EC88" i="67"/>
  <c r="EC89" i="67"/>
  <c r="EC90" i="67"/>
  <c r="EC91" i="67"/>
  <c r="EC93" i="67"/>
  <c r="EC94" i="67"/>
  <c r="EC95" i="67"/>
  <c r="EC96" i="67"/>
  <c r="EC97" i="67"/>
  <c r="EC98" i="67"/>
  <c r="EC99" i="67"/>
  <c r="EC100" i="67"/>
  <c r="EC101" i="67"/>
  <c r="EC102" i="67"/>
  <c r="EC103" i="67"/>
  <c r="EC104" i="67"/>
  <c r="EC105" i="67"/>
  <c r="EC106" i="67"/>
  <c r="EC107" i="67"/>
  <c r="EC108" i="67"/>
  <c r="EC109" i="67"/>
  <c r="EC110" i="67"/>
  <c r="EC111" i="67"/>
  <c r="EC112" i="67"/>
  <c r="EC113" i="67"/>
  <c r="EC114" i="67"/>
  <c r="EC115" i="67"/>
  <c r="EC116" i="67"/>
  <c r="EC117" i="67"/>
  <c r="EC118" i="67"/>
  <c r="EC119" i="67"/>
  <c r="EC120" i="67"/>
  <c r="EC121" i="67"/>
  <c r="EC122" i="67"/>
  <c r="EC123" i="67"/>
  <c r="EC124" i="67"/>
  <c r="EC125" i="67"/>
  <c r="EC126" i="67"/>
  <c r="EC127" i="67"/>
  <c r="EC128" i="67"/>
  <c r="EC129" i="67"/>
  <c r="EC130" i="67"/>
  <c r="EC131" i="67"/>
  <c r="EC132" i="67"/>
  <c r="EC133" i="67"/>
  <c r="EC135" i="67"/>
  <c r="EC136" i="67"/>
  <c r="EC137" i="67"/>
  <c r="EC138" i="67"/>
  <c r="EC139" i="67"/>
  <c r="EC140" i="67"/>
  <c r="EC141" i="67"/>
  <c r="EC142" i="67"/>
  <c r="EC143" i="67"/>
  <c r="EC144" i="67"/>
  <c r="EC145" i="67"/>
  <c r="EC146" i="67"/>
  <c r="EC147" i="67"/>
  <c r="EC148" i="67"/>
  <c r="EC149" i="67"/>
  <c r="EC150" i="67"/>
  <c r="EC151" i="67"/>
  <c r="EC152" i="67"/>
  <c r="EC153" i="67"/>
  <c r="EC154" i="67"/>
  <c r="EC155" i="67"/>
  <c r="EC156" i="67"/>
  <c r="EC157" i="67"/>
  <c r="EC158" i="67"/>
  <c r="EC159" i="67"/>
  <c r="EC160" i="67"/>
  <c r="EC161" i="67"/>
  <c r="EC162" i="67"/>
  <c r="EC166" i="67"/>
  <c r="EC167" i="67"/>
  <c r="EC175" i="67"/>
  <c r="EC176" i="67"/>
  <c r="EC187" i="67"/>
  <c r="EC190" i="67"/>
  <c r="EC163" i="67"/>
  <c r="EC191" i="67"/>
  <c r="EC164" i="67"/>
  <c r="EC165" i="67"/>
  <c r="EC168" i="67"/>
  <c r="EC192" i="67"/>
  <c r="EC169" i="67"/>
  <c r="EC170" i="67"/>
  <c r="EC171" i="67"/>
  <c r="EC172" i="67"/>
  <c r="EC173" i="67"/>
  <c r="EC174" i="67"/>
  <c r="EC177" i="67"/>
  <c r="EC178" i="67"/>
  <c r="EC179" i="67"/>
  <c r="EC180" i="67"/>
  <c r="EC181" i="67"/>
  <c r="EC182" i="67"/>
  <c r="EC193" i="67"/>
  <c r="EC183" i="67"/>
  <c r="EC184" i="67"/>
  <c r="EC185" i="67"/>
  <c r="EC186" i="67"/>
  <c r="EC188" i="67"/>
  <c r="EC189" i="67"/>
  <c r="EC8" i="67"/>
  <c r="DN9" i="67"/>
  <c r="DN10" i="67"/>
  <c r="DN11" i="67"/>
  <c r="DN12" i="67"/>
  <c r="DN13" i="67"/>
  <c r="DN14" i="67"/>
  <c r="DN15" i="67"/>
  <c r="DN16" i="67"/>
  <c r="DN17" i="67"/>
  <c r="DN18" i="67"/>
  <c r="DN19" i="67"/>
  <c r="DN20" i="67"/>
  <c r="DN22" i="67"/>
  <c r="DN23" i="67"/>
  <c r="DN24" i="67"/>
  <c r="DN26" i="67"/>
  <c r="DN27" i="67"/>
  <c r="DN28" i="67"/>
  <c r="DN29" i="67"/>
  <c r="DN30" i="67"/>
  <c r="DN31" i="67"/>
  <c r="DN32" i="67"/>
  <c r="DN33" i="67"/>
  <c r="DN34" i="67"/>
  <c r="DN35" i="67"/>
  <c r="DN36" i="67"/>
  <c r="DN37" i="67"/>
  <c r="DN38" i="67"/>
  <c r="DN39" i="67"/>
  <c r="DN40" i="67"/>
  <c r="DN41" i="67"/>
  <c r="DN42" i="67"/>
  <c r="DN44" i="67"/>
  <c r="DN45" i="67"/>
  <c r="DN46" i="67"/>
  <c r="DN47" i="67"/>
  <c r="DN48" i="67"/>
  <c r="DN49" i="67"/>
  <c r="DN50" i="67"/>
  <c r="DN51" i="67"/>
  <c r="DN52" i="67"/>
  <c r="DN53" i="67"/>
  <c r="DN54" i="67"/>
  <c r="DN55" i="67"/>
  <c r="DN56" i="67"/>
  <c r="DN57" i="67"/>
  <c r="DN58" i="67"/>
  <c r="DN59" i="67"/>
  <c r="DN60" i="67"/>
  <c r="DN61" i="67"/>
  <c r="DN62" i="67"/>
  <c r="DN63" i="67"/>
  <c r="DN64" i="67"/>
  <c r="DN65" i="67"/>
  <c r="DN66" i="67"/>
  <c r="DN67" i="67"/>
  <c r="DN68" i="67"/>
  <c r="DN69" i="67"/>
  <c r="DN70" i="67"/>
  <c r="DN72" i="67"/>
  <c r="DN73" i="67"/>
  <c r="DN74" i="67"/>
  <c r="DN75" i="67"/>
  <c r="DN76" i="67"/>
  <c r="DN77" i="67"/>
  <c r="DN78" i="67"/>
  <c r="DN79" i="67"/>
  <c r="DN80" i="67"/>
  <c r="DN81" i="67"/>
  <c r="DN82" i="67"/>
  <c r="DN83" i="67"/>
  <c r="DN84" i="67"/>
  <c r="DN85" i="67"/>
  <c r="DN86" i="67"/>
  <c r="DN87" i="67"/>
  <c r="DN88" i="67"/>
  <c r="DN89" i="67"/>
  <c r="DN90" i="67"/>
  <c r="DN91" i="67"/>
  <c r="DN93" i="67"/>
  <c r="DN94" i="67"/>
  <c r="DN95" i="67"/>
  <c r="DN96" i="67"/>
  <c r="DN97" i="67"/>
  <c r="DN98" i="67"/>
  <c r="DN99" i="67"/>
  <c r="DN100" i="67"/>
  <c r="DN101" i="67"/>
  <c r="DN102" i="67"/>
  <c r="DN103" i="67"/>
  <c r="DN104" i="67"/>
  <c r="DN105" i="67"/>
  <c r="DN106" i="67"/>
  <c r="DN107" i="67"/>
  <c r="DN108" i="67"/>
  <c r="DN109" i="67"/>
  <c r="DN110" i="67"/>
  <c r="DN111" i="67"/>
  <c r="DN112" i="67"/>
  <c r="DN113" i="67"/>
  <c r="DN114" i="67"/>
  <c r="DN115" i="67"/>
  <c r="DN116" i="67"/>
  <c r="DN117" i="67"/>
  <c r="DN118" i="67"/>
  <c r="DN119" i="67"/>
  <c r="DN120" i="67"/>
  <c r="DN121" i="67"/>
  <c r="DN122" i="67"/>
  <c r="DN123" i="67"/>
  <c r="DN124" i="67"/>
  <c r="DN125" i="67"/>
  <c r="DN126" i="67"/>
  <c r="DN127" i="67"/>
  <c r="DN128" i="67"/>
  <c r="DN129" i="67"/>
  <c r="DN130" i="67"/>
  <c r="DN131" i="67"/>
  <c r="DN132" i="67"/>
  <c r="DN133" i="67"/>
  <c r="DN135" i="67"/>
  <c r="DN136" i="67"/>
  <c r="DN137" i="67"/>
  <c r="DN138" i="67"/>
  <c r="DN139" i="67"/>
  <c r="DN140" i="67"/>
  <c r="DN141" i="67"/>
  <c r="DN142" i="67"/>
  <c r="DN143" i="67"/>
  <c r="DN144" i="67"/>
  <c r="DN145" i="67"/>
  <c r="DN146" i="67"/>
  <c r="DN147" i="67"/>
  <c r="DN148" i="67"/>
  <c r="DN149" i="67"/>
  <c r="DN150" i="67"/>
  <c r="DN151" i="67"/>
  <c r="DN152" i="67"/>
  <c r="DN153" i="67"/>
  <c r="DN154" i="67"/>
  <c r="DN155" i="67"/>
  <c r="DN156" i="67"/>
  <c r="DN157" i="67"/>
  <c r="DN158" i="67"/>
  <c r="DN159" i="67"/>
  <c r="DN160" i="67"/>
  <c r="DN161" i="67"/>
  <c r="DN162" i="67"/>
  <c r="DN166" i="67"/>
  <c r="DN167" i="67"/>
  <c r="DN175" i="67"/>
  <c r="DN176" i="67"/>
  <c r="DN187" i="67"/>
  <c r="DN190" i="67"/>
  <c r="DN163" i="67"/>
  <c r="DN191" i="67"/>
  <c r="DN164" i="67"/>
  <c r="DN165" i="67"/>
  <c r="DN168" i="67"/>
  <c r="DN192" i="67"/>
  <c r="DN169" i="67"/>
  <c r="DN170" i="67"/>
  <c r="DN171" i="67"/>
  <c r="DN172" i="67"/>
  <c r="DN173" i="67"/>
  <c r="DN174" i="67"/>
  <c r="DN177" i="67"/>
  <c r="DN178" i="67"/>
  <c r="DN179" i="67"/>
  <c r="DN180" i="67"/>
  <c r="DN181" i="67"/>
  <c r="DN182" i="67"/>
  <c r="DN193" i="67"/>
  <c r="DN183" i="67"/>
  <c r="DN184" i="67"/>
  <c r="DN185" i="67"/>
  <c r="DN186" i="67"/>
  <c r="DN188" i="67"/>
  <c r="DN189" i="67"/>
  <c r="DN8" i="67"/>
  <c r="CY9" i="67"/>
  <c r="CY10" i="67"/>
  <c r="CY11" i="67"/>
  <c r="CY12" i="67"/>
  <c r="CY13" i="67"/>
  <c r="CY14" i="67"/>
  <c r="CY15" i="67"/>
  <c r="CY16" i="67"/>
  <c r="CY17" i="67"/>
  <c r="CY18" i="67"/>
  <c r="CY19" i="67"/>
  <c r="CY20" i="67"/>
  <c r="CY22" i="67"/>
  <c r="CY23" i="67"/>
  <c r="CY24" i="67"/>
  <c r="CY26" i="67"/>
  <c r="CY27" i="67"/>
  <c r="CY28" i="67"/>
  <c r="CY29" i="67"/>
  <c r="CY30" i="67"/>
  <c r="CY31" i="67"/>
  <c r="CY32" i="67"/>
  <c r="CY33" i="67"/>
  <c r="CY34" i="67"/>
  <c r="CY35" i="67"/>
  <c r="CY36" i="67"/>
  <c r="CY37" i="67"/>
  <c r="CY38" i="67"/>
  <c r="CY39" i="67"/>
  <c r="CY40" i="67"/>
  <c r="CY41" i="67"/>
  <c r="CY42" i="67"/>
  <c r="CY44" i="67"/>
  <c r="CY45" i="67"/>
  <c r="CY46" i="67"/>
  <c r="CY47" i="67"/>
  <c r="CY48" i="67"/>
  <c r="CY49" i="67"/>
  <c r="CY50" i="67"/>
  <c r="CY51" i="67"/>
  <c r="CY52" i="67"/>
  <c r="CY53" i="67"/>
  <c r="CY54" i="67"/>
  <c r="CY55" i="67"/>
  <c r="CY56" i="67"/>
  <c r="CY57" i="67"/>
  <c r="CY58" i="67"/>
  <c r="CY59" i="67"/>
  <c r="CY60" i="67"/>
  <c r="CY61" i="67"/>
  <c r="CY62" i="67"/>
  <c r="CY63" i="67"/>
  <c r="CY64" i="67"/>
  <c r="CY65" i="67"/>
  <c r="CY66" i="67"/>
  <c r="CY67" i="67"/>
  <c r="CY68" i="67"/>
  <c r="CY69" i="67"/>
  <c r="CY70" i="67"/>
  <c r="CY72" i="67"/>
  <c r="CY73" i="67"/>
  <c r="CY74" i="67"/>
  <c r="CY75" i="67"/>
  <c r="CY76" i="67"/>
  <c r="CY77" i="67"/>
  <c r="CY78" i="67"/>
  <c r="CY79" i="67"/>
  <c r="CY80" i="67"/>
  <c r="CY81" i="67"/>
  <c r="CY82" i="67"/>
  <c r="CY83" i="67"/>
  <c r="CY84" i="67"/>
  <c r="CY85" i="67"/>
  <c r="CY86" i="67"/>
  <c r="CY87" i="67"/>
  <c r="CY88" i="67"/>
  <c r="CY89" i="67"/>
  <c r="CY90" i="67"/>
  <c r="CY91" i="67"/>
  <c r="CY93" i="67"/>
  <c r="CY94" i="67"/>
  <c r="CY95" i="67"/>
  <c r="CY96" i="67"/>
  <c r="CY97" i="67"/>
  <c r="CY98" i="67"/>
  <c r="CY99" i="67"/>
  <c r="CY100" i="67"/>
  <c r="CY101" i="67"/>
  <c r="CY102" i="67"/>
  <c r="CY103" i="67"/>
  <c r="CY104" i="67"/>
  <c r="CY105" i="67"/>
  <c r="CY106" i="67"/>
  <c r="CY107" i="67"/>
  <c r="CY108" i="67"/>
  <c r="CY109" i="67"/>
  <c r="CY110" i="67"/>
  <c r="CY111" i="67"/>
  <c r="CY112" i="67"/>
  <c r="CY113" i="67"/>
  <c r="CY114" i="67"/>
  <c r="CY115" i="67"/>
  <c r="CY116" i="67"/>
  <c r="CY117" i="67"/>
  <c r="CY118" i="67"/>
  <c r="CY119" i="67"/>
  <c r="CY120" i="67"/>
  <c r="CY121" i="67"/>
  <c r="CY122" i="67"/>
  <c r="CY123" i="67"/>
  <c r="CY124" i="67"/>
  <c r="CY125" i="67"/>
  <c r="CY126" i="67"/>
  <c r="CY127" i="67"/>
  <c r="CY128" i="67"/>
  <c r="CY129" i="67"/>
  <c r="CY130" i="67"/>
  <c r="CY131" i="67"/>
  <c r="CY132" i="67"/>
  <c r="CY133" i="67"/>
  <c r="CY135" i="67"/>
  <c r="CY136" i="67"/>
  <c r="CY137" i="67"/>
  <c r="CY138" i="67"/>
  <c r="CY139" i="67"/>
  <c r="CY140" i="67"/>
  <c r="CY141" i="67"/>
  <c r="CY142" i="67"/>
  <c r="CY143" i="67"/>
  <c r="CY144" i="67"/>
  <c r="CY145" i="67"/>
  <c r="CY146" i="67"/>
  <c r="CY147" i="67"/>
  <c r="CY148" i="67"/>
  <c r="CY149" i="67"/>
  <c r="CY150" i="67"/>
  <c r="CY151" i="67"/>
  <c r="CY152" i="67"/>
  <c r="CY153" i="67"/>
  <c r="CY154" i="67"/>
  <c r="CY155" i="67"/>
  <c r="CY156" i="67"/>
  <c r="CY157" i="67"/>
  <c r="CY158" i="67"/>
  <c r="CY159" i="67"/>
  <c r="CY160" i="67"/>
  <c r="CY161" i="67"/>
  <c r="CY162" i="67"/>
  <c r="CY166" i="67"/>
  <c r="CY167" i="67"/>
  <c r="CY175" i="67"/>
  <c r="CY176" i="67"/>
  <c r="CY187" i="67"/>
  <c r="CY190" i="67"/>
  <c r="CY163" i="67"/>
  <c r="CY191" i="67"/>
  <c r="CY164" i="67"/>
  <c r="CY165" i="67"/>
  <c r="CY168" i="67"/>
  <c r="CY192" i="67"/>
  <c r="CY169" i="67"/>
  <c r="CY170" i="67"/>
  <c r="CY171" i="67"/>
  <c r="CY172" i="67"/>
  <c r="CY173" i="67"/>
  <c r="CY174" i="67"/>
  <c r="CY177" i="67"/>
  <c r="CY178" i="67"/>
  <c r="CY179" i="67"/>
  <c r="CY180" i="67"/>
  <c r="CY181" i="67"/>
  <c r="CY182" i="67"/>
  <c r="CY193" i="67"/>
  <c r="CY183" i="67"/>
  <c r="CY184" i="67"/>
  <c r="CY185" i="67"/>
  <c r="CY186" i="67"/>
  <c r="CY188" i="67"/>
  <c r="CY189" i="67"/>
  <c r="CY8" i="67"/>
  <c r="GC208" i="67"/>
  <c r="GB208" i="67"/>
  <c r="FS208" i="67"/>
  <c r="FN208" i="67"/>
  <c r="FM208" i="67"/>
  <c r="FD208" i="67"/>
  <c r="EY208" i="67"/>
  <c r="EX208" i="67"/>
  <c r="EO208" i="67"/>
  <c r="EJ208" i="67"/>
  <c r="EI208" i="67"/>
  <c r="DZ208" i="67"/>
  <c r="EB189" i="67"/>
  <c r="EB188" i="67"/>
  <c r="EB186" i="67"/>
  <c r="EB185" i="67"/>
  <c r="EB184" i="67"/>
  <c r="EB183" i="67"/>
  <c r="EB193" i="67"/>
  <c r="EB182" i="67"/>
  <c r="EB181" i="67"/>
  <c r="EB180" i="67"/>
  <c r="EB179" i="67"/>
  <c r="EB178" i="67"/>
  <c r="EB177" i="67"/>
  <c r="EB174" i="67"/>
  <c r="EB173" i="67"/>
  <c r="EB172" i="67"/>
  <c r="EB171" i="67"/>
  <c r="EB170" i="67"/>
  <c r="EB169" i="67"/>
  <c r="EB192" i="67"/>
  <c r="EB168" i="67"/>
  <c r="EB165" i="67"/>
  <c r="EB164" i="67"/>
  <c r="EB191" i="67"/>
  <c r="EB163" i="67"/>
  <c r="EB190" i="67"/>
  <c r="EB187" i="67"/>
  <c r="EB176" i="67"/>
  <c r="EB175" i="67"/>
  <c r="EB167" i="67"/>
  <c r="EB166" i="67"/>
  <c r="EB162" i="67"/>
  <c r="EB161" i="67"/>
  <c r="EB160" i="67"/>
  <c r="EB159" i="67"/>
  <c r="EB158" i="67"/>
  <c r="EB157" i="67"/>
  <c r="EB156" i="67"/>
  <c r="EB155" i="67"/>
  <c r="EB154" i="67"/>
  <c r="EB153" i="67"/>
  <c r="EB152" i="67"/>
  <c r="EB151" i="67"/>
  <c r="EB150" i="67"/>
  <c r="EB149" i="67"/>
  <c r="EB148" i="67"/>
  <c r="EB147" i="67"/>
  <c r="EB146" i="67"/>
  <c r="EB145" i="67"/>
  <c r="EB144" i="67"/>
  <c r="EB143" i="67"/>
  <c r="EB142" i="67"/>
  <c r="EB141" i="67"/>
  <c r="EB140" i="67"/>
  <c r="EB139" i="67"/>
  <c r="EB138" i="67"/>
  <c r="EB137" i="67"/>
  <c r="EB136" i="67"/>
  <c r="EB135" i="67"/>
  <c r="EB134" i="67"/>
  <c r="EB133" i="67"/>
  <c r="EB132" i="67"/>
  <c r="EB131" i="67"/>
  <c r="EB130" i="67"/>
  <c r="EB129" i="67"/>
  <c r="EB128" i="67"/>
  <c r="EB127" i="67"/>
  <c r="EB126" i="67"/>
  <c r="EB125" i="67"/>
  <c r="EB124" i="67"/>
  <c r="EB123" i="67"/>
  <c r="EB122" i="67"/>
  <c r="EB121" i="67"/>
  <c r="EB120" i="67"/>
  <c r="EB119" i="67"/>
  <c r="EB118" i="67"/>
  <c r="EB117" i="67"/>
  <c r="EB116" i="67"/>
  <c r="EB115" i="67"/>
  <c r="EB114" i="67"/>
  <c r="EB113" i="67"/>
  <c r="EB112" i="67"/>
  <c r="EB111" i="67"/>
  <c r="EB110" i="67"/>
  <c r="EB109" i="67"/>
  <c r="EB108" i="67"/>
  <c r="EB107" i="67"/>
  <c r="EB106" i="67"/>
  <c r="EB105" i="67"/>
  <c r="EB104" i="67"/>
  <c r="EB103" i="67"/>
  <c r="EB102" i="67"/>
  <c r="EB101" i="67"/>
  <c r="EB100" i="67"/>
  <c r="EB99" i="67"/>
  <c r="EB98" i="67"/>
  <c r="EB97" i="67"/>
  <c r="EB96" i="67"/>
  <c r="EB95" i="67"/>
  <c r="EB94" i="67"/>
  <c r="EB93" i="67"/>
  <c r="EB92" i="67"/>
  <c r="EB91" i="67"/>
  <c r="EB90" i="67"/>
  <c r="EB89" i="67"/>
  <c r="EB88" i="67"/>
  <c r="EB87" i="67"/>
  <c r="EB86" i="67"/>
  <c r="EB85" i="67"/>
  <c r="EB84" i="67"/>
  <c r="EB83" i="67"/>
  <c r="EB82" i="67"/>
  <c r="EB81" i="67"/>
  <c r="EB80" i="67"/>
  <c r="EB79" i="67"/>
  <c r="EB78" i="67"/>
  <c r="EB77" i="67"/>
  <c r="EB76" i="67"/>
  <c r="EB75" i="67"/>
  <c r="EB74" i="67"/>
  <c r="EB73" i="67"/>
  <c r="EB72" i="67"/>
  <c r="EB71" i="67"/>
  <c r="EB70" i="67"/>
  <c r="EB69" i="67"/>
  <c r="EB68" i="67"/>
  <c r="EB67" i="67"/>
  <c r="EB66" i="67"/>
  <c r="EB65" i="67"/>
  <c r="EB64" i="67"/>
  <c r="EB63" i="67"/>
  <c r="EB62" i="67"/>
  <c r="EB61" i="67"/>
  <c r="EB60" i="67"/>
  <c r="EB59" i="67"/>
  <c r="EB58" i="67"/>
  <c r="EB57" i="67"/>
  <c r="EB56" i="67"/>
  <c r="EB55" i="67"/>
  <c r="EB54" i="67"/>
  <c r="EB53" i="67"/>
  <c r="EB52" i="67"/>
  <c r="EB51" i="67"/>
  <c r="EB50" i="67"/>
  <c r="EB49" i="67"/>
  <c r="EB48" i="67"/>
  <c r="EB47" i="67"/>
  <c r="EB46" i="67"/>
  <c r="EB45" i="67"/>
  <c r="EB44" i="67"/>
  <c r="EB43" i="67"/>
  <c r="EB42" i="67"/>
  <c r="EB41" i="67"/>
  <c r="EB40" i="67"/>
  <c r="EB39" i="67"/>
  <c r="EB38" i="67"/>
  <c r="EB37" i="67"/>
  <c r="EB36" i="67"/>
  <c r="EB35" i="67"/>
  <c r="EB34" i="67"/>
  <c r="EB33" i="67"/>
  <c r="EB32" i="67"/>
  <c r="EB31" i="67"/>
  <c r="EB30" i="67"/>
  <c r="EB29" i="67"/>
  <c r="EB28" i="67"/>
  <c r="EB27" i="67"/>
  <c r="EB26" i="67"/>
  <c r="EB25" i="67"/>
  <c r="EB24" i="67"/>
  <c r="EB23" i="67"/>
  <c r="EB22" i="67"/>
  <c r="EB21" i="67"/>
  <c r="EB20" i="67"/>
  <c r="EB19" i="67"/>
  <c r="EB18" i="67"/>
  <c r="EB17" i="67"/>
  <c r="EB16" i="67"/>
  <c r="EB15" i="67"/>
  <c r="EB14" i="67"/>
  <c r="EB13" i="67"/>
  <c r="EB12" i="67"/>
  <c r="EB11" i="67"/>
  <c r="EB10" i="67"/>
  <c r="EB9" i="67"/>
  <c r="EB8" i="67"/>
  <c r="DU208" i="67"/>
  <c r="DT208" i="67"/>
  <c r="DK208" i="67"/>
  <c r="DF208" i="67"/>
  <c r="DE208" i="67"/>
  <c r="CV208" i="67"/>
  <c r="DA189" i="67"/>
  <c r="CX189" i="67"/>
  <c r="CW189" i="67"/>
  <c r="DA188" i="67"/>
  <c r="CX188" i="67"/>
  <c r="CW188" i="67"/>
  <c r="DA186" i="67"/>
  <c r="CX186" i="67"/>
  <c r="CW186" i="67"/>
  <c r="DA185" i="67"/>
  <c r="CX185" i="67"/>
  <c r="CW185" i="67"/>
  <c r="DA184" i="67"/>
  <c r="CX184" i="67"/>
  <c r="CW184" i="67"/>
  <c r="DA183" i="67"/>
  <c r="CX183" i="67"/>
  <c r="CW183" i="67"/>
  <c r="DA193" i="67"/>
  <c r="CX193" i="67"/>
  <c r="CW193" i="67"/>
  <c r="DA182" i="67"/>
  <c r="CX182" i="67"/>
  <c r="CW182" i="67"/>
  <c r="DA181" i="67"/>
  <c r="CX181" i="67"/>
  <c r="CW181" i="67"/>
  <c r="DA180" i="67"/>
  <c r="CX180" i="67"/>
  <c r="CW180" i="67"/>
  <c r="DA179" i="67"/>
  <c r="CX179" i="67"/>
  <c r="CW179" i="67"/>
  <c r="DA178" i="67"/>
  <c r="CX178" i="67"/>
  <c r="CW178" i="67"/>
  <c r="DA177" i="67"/>
  <c r="CX177" i="67"/>
  <c r="CW177" i="67"/>
  <c r="DA174" i="67"/>
  <c r="CX174" i="67"/>
  <c r="CW174" i="67"/>
  <c r="DA173" i="67"/>
  <c r="CX173" i="67"/>
  <c r="CW173" i="67"/>
  <c r="DA172" i="67"/>
  <c r="CX172" i="67"/>
  <c r="CW172" i="67"/>
  <c r="DA171" i="67"/>
  <c r="CX171" i="67"/>
  <c r="CW171" i="67"/>
  <c r="DA170" i="67"/>
  <c r="CX170" i="67"/>
  <c r="CW170" i="67"/>
  <c r="DA169" i="67"/>
  <c r="CX169" i="67"/>
  <c r="CW169" i="67"/>
  <c r="DA192" i="67"/>
  <c r="CX192" i="67"/>
  <c r="CW192" i="67"/>
  <c r="DA168" i="67"/>
  <c r="CX168" i="67"/>
  <c r="CW168" i="67"/>
  <c r="DA165" i="67"/>
  <c r="CX165" i="67"/>
  <c r="CW165" i="67"/>
  <c r="DA164" i="67"/>
  <c r="CX164" i="67"/>
  <c r="CW164" i="67"/>
  <c r="DA191" i="67"/>
  <c r="CX191" i="67"/>
  <c r="CW191" i="67"/>
  <c r="DA163" i="67"/>
  <c r="CX163" i="67"/>
  <c r="CW163" i="67"/>
  <c r="DA190" i="67"/>
  <c r="CX190" i="67"/>
  <c r="CW190" i="67"/>
  <c r="DA187" i="67"/>
  <c r="CX187" i="67"/>
  <c r="CW187" i="67"/>
  <c r="DA176" i="67"/>
  <c r="CX176" i="67"/>
  <c r="CW176" i="67"/>
  <c r="DA175" i="67"/>
  <c r="CX175" i="67"/>
  <c r="CW175" i="67"/>
  <c r="DA167" i="67"/>
  <c r="CX167" i="67"/>
  <c r="CW167" i="67"/>
  <c r="DA166" i="67"/>
  <c r="CX166" i="67"/>
  <c r="CW166" i="67"/>
  <c r="DA162" i="67"/>
  <c r="CX162" i="67"/>
  <c r="CW162" i="67"/>
  <c r="DA161" i="67"/>
  <c r="CX161" i="67"/>
  <c r="CW161" i="67"/>
  <c r="DA160" i="67"/>
  <c r="CX160" i="67"/>
  <c r="CW160" i="67"/>
  <c r="DA159" i="67"/>
  <c r="CX159" i="67"/>
  <c r="CW159" i="67"/>
  <c r="DA158" i="67"/>
  <c r="CX158" i="67"/>
  <c r="CW158" i="67"/>
  <c r="DA157" i="67"/>
  <c r="CX157" i="67"/>
  <c r="CW157" i="67"/>
  <c r="DA156" i="67"/>
  <c r="CX156" i="67"/>
  <c r="CW156" i="67"/>
  <c r="DA155" i="67"/>
  <c r="CX155" i="67"/>
  <c r="CW155" i="67"/>
  <c r="DA154" i="67"/>
  <c r="CX154" i="67"/>
  <c r="CW154" i="67"/>
  <c r="DA153" i="67"/>
  <c r="CX153" i="67"/>
  <c r="CW153" i="67"/>
  <c r="DA152" i="67"/>
  <c r="CX152" i="67"/>
  <c r="CW152" i="67"/>
  <c r="DA151" i="67"/>
  <c r="CX151" i="67"/>
  <c r="CW151" i="67"/>
  <c r="DA150" i="67"/>
  <c r="CX150" i="67"/>
  <c r="CW150" i="67"/>
  <c r="DA149" i="67"/>
  <c r="CX149" i="67"/>
  <c r="CW149" i="67"/>
  <c r="DA148" i="67"/>
  <c r="CX148" i="67"/>
  <c r="CW148" i="67"/>
  <c r="DA147" i="67"/>
  <c r="CX147" i="67"/>
  <c r="CW147" i="67"/>
  <c r="DA146" i="67"/>
  <c r="CX146" i="67"/>
  <c r="CW146" i="67"/>
  <c r="DA145" i="67"/>
  <c r="CX145" i="67"/>
  <c r="CW145" i="67"/>
  <c r="DA144" i="67"/>
  <c r="CX144" i="67"/>
  <c r="CW144" i="67"/>
  <c r="DA143" i="67"/>
  <c r="CX143" i="67"/>
  <c r="CW143" i="67"/>
  <c r="DA142" i="67"/>
  <c r="CX142" i="67"/>
  <c r="CW142" i="67"/>
  <c r="DA141" i="67"/>
  <c r="CX141" i="67"/>
  <c r="CW141" i="67"/>
  <c r="DA140" i="67"/>
  <c r="CX140" i="67"/>
  <c r="CW140" i="67"/>
  <c r="DA139" i="67"/>
  <c r="CX139" i="67"/>
  <c r="CW139" i="67"/>
  <c r="DA138" i="67"/>
  <c r="CX138" i="67"/>
  <c r="CW138" i="67"/>
  <c r="DA137" i="67"/>
  <c r="CX137" i="67"/>
  <c r="CW137" i="67"/>
  <c r="DA136" i="67"/>
  <c r="CX136" i="67"/>
  <c r="CW136" i="67"/>
  <c r="DA135" i="67"/>
  <c r="CX135" i="67"/>
  <c r="CW135" i="67"/>
  <c r="DA134" i="67"/>
  <c r="CX134" i="67"/>
  <c r="CW134" i="67"/>
  <c r="DA133" i="67"/>
  <c r="CX133" i="67"/>
  <c r="CW133" i="67"/>
  <c r="DA132" i="67"/>
  <c r="CX132" i="67"/>
  <c r="CW132" i="67"/>
  <c r="DA131" i="67"/>
  <c r="CX131" i="67"/>
  <c r="CW131" i="67"/>
  <c r="DA130" i="67"/>
  <c r="CX130" i="67"/>
  <c r="CW130" i="67"/>
  <c r="DA129" i="67"/>
  <c r="CX129" i="67"/>
  <c r="CW129" i="67"/>
  <c r="DA128" i="67"/>
  <c r="CX128" i="67"/>
  <c r="CW128" i="67"/>
  <c r="DA127" i="67"/>
  <c r="CX127" i="67"/>
  <c r="CW127" i="67"/>
  <c r="DA126" i="67"/>
  <c r="CX126" i="67"/>
  <c r="CW126" i="67"/>
  <c r="DA125" i="67"/>
  <c r="CX125" i="67"/>
  <c r="CW125" i="67"/>
  <c r="DA124" i="67"/>
  <c r="CX124" i="67"/>
  <c r="CW124" i="67"/>
  <c r="DA123" i="67"/>
  <c r="CX123" i="67"/>
  <c r="CW123" i="67"/>
  <c r="DA122" i="67"/>
  <c r="CX122" i="67"/>
  <c r="CW122" i="67"/>
  <c r="DA121" i="67"/>
  <c r="CX121" i="67"/>
  <c r="CW121" i="67"/>
  <c r="DA120" i="67"/>
  <c r="CX120" i="67"/>
  <c r="CW120" i="67"/>
  <c r="DA119" i="67"/>
  <c r="CX119" i="67"/>
  <c r="CW119" i="67"/>
  <c r="DA118" i="67"/>
  <c r="CX118" i="67"/>
  <c r="CW118" i="67"/>
  <c r="DA117" i="67"/>
  <c r="CX117" i="67"/>
  <c r="CW117" i="67"/>
  <c r="DA116" i="67"/>
  <c r="CX116" i="67"/>
  <c r="CW116" i="67"/>
  <c r="DA115" i="67"/>
  <c r="CX115" i="67"/>
  <c r="CW115" i="67"/>
  <c r="DA114" i="67"/>
  <c r="CX114" i="67"/>
  <c r="CW114" i="67"/>
  <c r="DA113" i="67"/>
  <c r="CX113" i="67"/>
  <c r="CW113" i="67"/>
  <c r="DA112" i="67"/>
  <c r="CX112" i="67"/>
  <c r="CW112" i="67"/>
  <c r="DA111" i="67"/>
  <c r="CX111" i="67"/>
  <c r="CW111" i="67"/>
  <c r="DA110" i="67"/>
  <c r="CX110" i="67"/>
  <c r="CW110" i="67"/>
  <c r="DA109" i="67"/>
  <c r="CX109" i="67"/>
  <c r="CW109" i="67"/>
  <c r="DA108" i="67"/>
  <c r="CX108" i="67"/>
  <c r="CW108" i="67"/>
  <c r="DA107" i="67"/>
  <c r="CX107" i="67"/>
  <c r="CW107" i="67"/>
  <c r="DA106" i="67"/>
  <c r="CX106" i="67"/>
  <c r="CW106" i="67"/>
  <c r="DA105" i="67"/>
  <c r="CX105" i="67"/>
  <c r="CW105" i="67"/>
  <c r="DA104" i="67"/>
  <c r="CX104" i="67"/>
  <c r="CW104" i="67"/>
  <c r="DA103" i="67"/>
  <c r="CX103" i="67"/>
  <c r="CW103" i="67"/>
  <c r="DA102" i="67"/>
  <c r="CX102" i="67"/>
  <c r="CW102" i="67"/>
  <c r="DA101" i="67"/>
  <c r="CX101" i="67"/>
  <c r="CW101" i="67"/>
  <c r="DA100" i="67"/>
  <c r="CX100" i="67"/>
  <c r="CW100" i="67"/>
  <c r="DA99" i="67"/>
  <c r="CX99" i="67"/>
  <c r="CW99" i="67"/>
  <c r="DA98" i="67"/>
  <c r="CX98" i="67"/>
  <c r="CW98" i="67"/>
  <c r="DA97" i="67"/>
  <c r="CX97" i="67"/>
  <c r="CW97" i="67"/>
  <c r="DA96" i="67"/>
  <c r="CX96" i="67"/>
  <c r="CW96" i="67"/>
  <c r="DA95" i="67"/>
  <c r="CX95" i="67"/>
  <c r="CW95" i="67"/>
  <c r="DA94" i="67"/>
  <c r="CX94" i="67"/>
  <c r="CW94" i="67"/>
  <c r="DA93" i="67"/>
  <c r="CX93" i="67"/>
  <c r="CW93" i="67"/>
  <c r="DA92" i="67"/>
  <c r="CX92" i="67"/>
  <c r="CW92" i="67"/>
  <c r="DA91" i="67"/>
  <c r="CX91" i="67"/>
  <c r="CW91" i="67"/>
  <c r="DA90" i="67"/>
  <c r="CX90" i="67"/>
  <c r="CW90" i="67"/>
  <c r="DA89" i="67"/>
  <c r="CX89" i="67"/>
  <c r="CW89" i="67"/>
  <c r="DA88" i="67"/>
  <c r="CX88" i="67"/>
  <c r="CW88" i="67"/>
  <c r="DA87" i="67"/>
  <c r="CX87" i="67"/>
  <c r="CW87" i="67"/>
  <c r="DA86" i="67"/>
  <c r="CX86" i="67"/>
  <c r="CW86" i="67"/>
  <c r="DA85" i="67"/>
  <c r="CX85" i="67"/>
  <c r="CW85" i="67"/>
  <c r="DA84" i="67"/>
  <c r="CX84" i="67"/>
  <c r="CW84" i="67"/>
  <c r="DA83" i="67"/>
  <c r="CX83" i="67"/>
  <c r="CW83" i="67"/>
  <c r="DA82" i="67"/>
  <c r="CX82" i="67"/>
  <c r="CW82" i="67"/>
  <c r="DA81" i="67"/>
  <c r="CX81" i="67"/>
  <c r="CW81" i="67"/>
  <c r="DA80" i="67"/>
  <c r="CX80" i="67"/>
  <c r="CW80" i="67"/>
  <c r="DA79" i="67"/>
  <c r="CX79" i="67"/>
  <c r="CW79" i="67"/>
  <c r="DA78" i="67"/>
  <c r="CX78" i="67"/>
  <c r="CW78" i="67"/>
  <c r="DA77" i="67"/>
  <c r="CX77" i="67"/>
  <c r="CW77" i="67"/>
  <c r="DA76" i="67"/>
  <c r="CX76" i="67"/>
  <c r="CW76" i="67"/>
  <c r="DA75" i="67"/>
  <c r="CX75" i="67"/>
  <c r="CW75" i="67"/>
  <c r="DA74" i="67"/>
  <c r="CX74" i="67"/>
  <c r="CW74" i="67"/>
  <c r="DA73" i="67"/>
  <c r="CX73" i="67"/>
  <c r="CW73" i="67"/>
  <c r="DA72" i="67"/>
  <c r="CX72" i="67"/>
  <c r="CW72" i="67"/>
  <c r="DA71" i="67"/>
  <c r="CX71" i="67"/>
  <c r="CW71" i="67"/>
  <c r="DA70" i="67"/>
  <c r="CX70" i="67"/>
  <c r="CW70" i="67"/>
  <c r="DA69" i="67"/>
  <c r="CX69" i="67"/>
  <c r="CW69" i="67"/>
  <c r="DA68" i="67"/>
  <c r="CX68" i="67"/>
  <c r="CW68" i="67"/>
  <c r="DA67" i="67"/>
  <c r="CX67" i="67"/>
  <c r="CW67" i="67"/>
  <c r="DA66" i="67"/>
  <c r="CX66" i="67"/>
  <c r="CW66" i="67"/>
  <c r="DA65" i="67"/>
  <c r="CX65" i="67"/>
  <c r="CW65" i="67"/>
  <c r="DA64" i="67"/>
  <c r="CX64" i="67"/>
  <c r="CW64" i="67"/>
  <c r="DA63" i="67"/>
  <c r="CX63" i="67"/>
  <c r="CW63" i="67"/>
  <c r="DA62" i="67"/>
  <c r="CX62" i="67"/>
  <c r="CW62" i="67"/>
  <c r="DA61" i="67"/>
  <c r="CX61" i="67"/>
  <c r="CW61" i="67"/>
  <c r="DA60" i="67"/>
  <c r="CX60" i="67"/>
  <c r="CW60" i="67"/>
  <c r="DA59" i="67"/>
  <c r="CX59" i="67"/>
  <c r="CW59" i="67"/>
  <c r="DA58" i="67"/>
  <c r="CX58" i="67"/>
  <c r="CW58" i="67"/>
  <c r="DA57" i="67"/>
  <c r="CX57" i="67"/>
  <c r="CW57" i="67"/>
  <c r="DA56" i="67"/>
  <c r="CX56" i="67"/>
  <c r="CW56" i="67"/>
  <c r="DA55" i="67"/>
  <c r="CX55" i="67"/>
  <c r="CW55" i="67"/>
  <c r="DA54" i="67"/>
  <c r="CX54" i="67"/>
  <c r="CW54" i="67"/>
  <c r="DA53" i="67"/>
  <c r="CX53" i="67"/>
  <c r="CW53" i="67"/>
  <c r="DA52" i="67"/>
  <c r="CX52" i="67"/>
  <c r="CW52" i="67"/>
  <c r="DA51" i="67"/>
  <c r="CX51" i="67"/>
  <c r="CW51" i="67"/>
  <c r="DA50" i="67"/>
  <c r="CX50" i="67"/>
  <c r="CW50" i="67"/>
  <c r="DA49" i="67"/>
  <c r="CX49" i="67"/>
  <c r="CW49" i="67"/>
  <c r="DA48" i="67"/>
  <c r="CX48" i="67"/>
  <c r="CW48" i="67"/>
  <c r="DA47" i="67"/>
  <c r="CX47" i="67"/>
  <c r="CW47" i="67"/>
  <c r="DA46" i="67"/>
  <c r="CX46" i="67"/>
  <c r="CW46" i="67"/>
  <c r="DA45" i="67"/>
  <c r="CX45" i="67"/>
  <c r="CW45" i="67"/>
  <c r="DA44" i="67"/>
  <c r="CX44" i="67"/>
  <c r="CW44" i="67"/>
  <c r="DA43" i="67"/>
  <c r="CX43" i="67"/>
  <c r="CW43" i="67"/>
  <c r="DA42" i="67"/>
  <c r="CX42" i="67"/>
  <c r="CW42" i="67"/>
  <c r="DA41" i="67"/>
  <c r="CX41" i="67"/>
  <c r="CW41" i="67"/>
  <c r="DA40" i="67"/>
  <c r="CX40" i="67"/>
  <c r="CW40" i="67"/>
  <c r="DA39" i="67"/>
  <c r="CX39" i="67"/>
  <c r="CW39" i="67"/>
  <c r="DA38" i="67"/>
  <c r="CX38" i="67"/>
  <c r="CW38" i="67"/>
  <c r="DA37" i="67"/>
  <c r="CX37" i="67"/>
  <c r="CW37" i="67"/>
  <c r="DA36" i="67"/>
  <c r="CX36" i="67"/>
  <c r="CW36" i="67"/>
  <c r="DA35" i="67"/>
  <c r="CX35" i="67"/>
  <c r="CW35" i="67"/>
  <c r="DA34" i="67"/>
  <c r="CX34" i="67"/>
  <c r="CW34" i="67"/>
  <c r="DA33" i="67"/>
  <c r="CX33" i="67"/>
  <c r="CW33" i="67"/>
  <c r="DA32" i="67"/>
  <c r="CX32" i="67"/>
  <c r="CW32" i="67"/>
  <c r="DA31" i="67"/>
  <c r="CX31" i="67"/>
  <c r="CW31" i="67"/>
  <c r="DA30" i="67"/>
  <c r="CX30" i="67"/>
  <c r="CW30" i="67"/>
  <c r="DA29" i="67"/>
  <c r="CX29" i="67"/>
  <c r="CW29" i="67"/>
  <c r="DA28" i="67"/>
  <c r="CX28" i="67"/>
  <c r="CW28" i="67"/>
  <c r="DA27" i="67"/>
  <c r="CX27" i="67"/>
  <c r="CW27" i="67"/>
  <c r="DA26" i="67"/>
  <c r="CX26" i="67"/>
  <c r="CW26" i="67"/>
  <c r="DA25" i="67"/>
  <c r="CX25" i="67"/>
  <c r="CW25" i="67"/>
  <c r="DA24" i="67"/>
  <c r="CX24" i="67"/>
  <c r="CW24" i="67"/>
  <c r="DA23" i="67"/>
  <c r="CX23" i="67"/>
  <c r="CW23" i="67"/>
  <c r="DA22" i="67"/>
  <c r="CX22" i="67"/>
  <c r="CW22" i="67"/>
  <c r="DA21" i="67"/>
  <c r="CX21" i="67"/>
  <c r="CW21" i="67"/>
  <c r="DA20" i="67"/>
  <c r="CX20" i="67"/>
  <c r="CW20" i="67"/>
  <c r="DA19" i="67"/>
  <c r="CX19" i="67"/>
  <c r="CW19" i="67"/>
  <c r="DA18" i="67"/>
  <c r="CX18" i="67"/>
  <c r="CW18" i="67"/>
  <c r="DA17" i="67"/>
  <c r="CX17" i="67"/>
  <c r="CW17" i="67"/>
  <c r="DA16" i="67"/>
  <c r="CX16" i="67"/>
  <c r="CW16" i="67"/>
  <c r="DA15" i="67"/>
  <c r="CX15" i="67"/>
  <c r="CW15" i="67"/>
  <c r="DA14" i="67"/>
  <c r="CX14" i="67"/>
  <c r="CW14" i="67"/>
  <c r="DA13" i="67"/>
  <c r="CX13" i="67"/>
  <c r="CW13" i="67"/>
  <c r="DA12" i="67"/>
  <c r="CX12" i="67"/>
  <c r="CW12" i="67"/>
  <c r="DA11" i="67"/>
  <c r="CX11" i="67"/>
  <c r="CW11" i="67"/>
  <c r="DA10" i="67"/>
  <c r="CX10" i="67"/>
  <c r="CW10" i="67"/>
  <c r="DA9" i="67"/>
  <c r="CX9" i="67"/>
  <c r="CW9" i="67"/>
  <c r="CX8" i="67"/>
  <c r="CW8" i="67"/>
  <c r="CL189" i="67"/>
  <c r="CI189" i="67"/>
  <c r="CH189" i="67"/>
  <c r="CL188" i="67"/>
  <c r="CI188" i="67"/>
  <c r="CH188" i="67"/>
  <c r="CL186" i="67"/>
  <c r="CI186" i="67"/>
  <c r="CH186" i="67"/>
  <c r="CL185" i="67"/>
  <c r="CI185" i="67"/>
  <c r="CH185" i="67"/>
  <c r="CL184" i="67"/>
  <c r="CI184" i="67"/>
  <c r="CH184" i="67"/>
  <c r="CL183" i="67"/>
  <c r="CI183" i="67"/>
  <c r="CH183" i="67"/>
  <c r="CL193" i="67"/>
  <c r="CI193" i="67"/>
  <c r="CH193" i="67"/>
  <c r="CL182" i="67"/>
  <c r="CI182" i="67"/>
  <c r="CH182" i="67"/>
  <c r="CL181" i="67"/>
  <c r="CI181" i="67"/>
  <c r="CH181" i="67"/>
  <c r="CL180" i="67"/>
  <c r="CI180" i="67"/>
  <c r="CH180" i="67"/>
  <c r="CL179" i="67"/>
  <c r="CI179" i="67"/>
  <c r="CH179" i="67"/>
  <c r="CL178" i="67"/>
  <c r="CI178" i="67"/>
  <c r="CH178" i="67"/>
  <c r="CL177" i="67"/>
  <c r="CI177" i="67"/>
  <c r="CH177" i="67"/>
  <c r="CL174" i="67"/>
  <c r="CI174" i="67"/>
  <c r="CH174" i="67"/>
  <c r="CL173" i="67"/>
  <c r="CI173" i="67"/>
  <c r="CH173" i="67"/>
  <c r="CL172" i="67"/>
  <c r="CI172" i="67"/>
  <c r="CH172" i="67"/>
  <c r="CL171" i="67"/>
  <c r="CI171" i="67"/>
  <c r="CH171" i="67"/>
  <c r="CL170" i="67"/>
  <c r="CI170" i="67"/>
  <c r="CH170" i="67"/>
  <c r="CL169" i="67"/>
  <c r="CI169" i="67"/>
  <c r="CH169" i="67"/>
  <c r="CL192" i="67"/>
  <c r="CI192" i="67"/>
  <c r="CH192" i="67"/>
  <c r="CL168" i="67"/>
  <c r="CI168" i="67"/>
  <c r="CH168" i="67"/>
  <c r="CL165" i="67"/>
  <c r="CI165" i="67"/>
  <c r="CH165" i="67"/>
  <c r="CL164" i="67"/>
  <c r="CI164" i="67"/>
  <c r="CH164" i="67"/>
  <c r="CL191" i="67"/>
  <c r="CI191" i="67"/>
  <c r="CH191" i="67"/>
  <c r="CL163" i="67"/>
  <c r="CI163" i="67"/>
  <c r="CH163" i="67"/>
  <c r="CL190" i="67"/>
  <c r="CI190" i="67"/>
  <c r="CH190" i="67"/>
  <c r="CL187" i="67"/>
  <c r="CI187" i="67"/>
  <c r="CH187" i="67"/>
  <c r="CL176" i="67"/>
  <c r="CI176" i="67"/>
  <c r="CH176" i="67"/>
  <c r="CL175" i="67"/>
  <c r="CI175" i="67"/>
  <c r="CH175" i="67"/>
  <c r="CL167" i="67"/>
  <c r="CI167" i="67"/>
  <c r="CH167" i="67"/>
  <c r="CL166" i="67"/>
  <c r="CI166" i="67"/>
  <c r="CH166" i="67"/>
  <c r="CL162" i="67"/>
  <c r="CI162" i="67"/>
  <c r="CH162" i="67"/>
  <c r="CL161" i="67"/>
  <c r="CI161" i="67"/>
  <c r="CH161" i="67"/>
  <c r="CL160" i="67"/>
  <c r="CI160" i="67"/>
  <c r="CH160" i="67"/>
  <c r="CL159" i="67"/>
  <c r="CI159" i="67"/>
  <c r="CH159" i="67"/>
  <c r="CL158" i="67"/>
  <c r="CI158" i="67"/>
  <c r="CH158" i="67"/>
  <c r="CL157" i="67"/>
  <c r="CI157" i="67"/>
  <c r="CH157" i="67"/>
  <c r="CL156" i="67"/>
  <c r="CI156" i="67"/>
  <c r="CH156" i="67"/>
  <c r="CL155" i="67"/>
  <c r="CI155" i="67"/>
  <c r="CH155" i="67"/>
  <c r="CL154" i="67"/>
  <c r="CI154" i="67"/>
  <c r="CH154" i="67"/>
  <c r="CL153" i="67"/>
  <c r="CI153" i="67"/>
  <c r="CH153" i="67"/>
  <c r="CL152" i="67"/>
  <c r="CI152" i="67"/>
  <c r="CH152" i="67"/>
  <c r="CL151" i="67"/>
  <c r="CI151" i="67"/>
  <c r="CH151" i="67"/>
  <c r="CL150" i="67"/>
  <c r="CI150" i="67"/>
  <c r="CH150" i="67"/>
  <c r="CL149" i="67"/>
  <c r="CI149" i="67"/>
  <c r="CH149" i="67"/>
  <c r="CL148" i="67"/>
  <c r="CI148" i="67"/>
  <c r="CH148" i="67"/>
  <c r="CL147" i="67"/>
  <c r="CI147" i="67"/>
  <c r="CH147" i="67"/>
  <c r="CL146" i="67"/>
  <c r="CI146" i="67"/>
  <c r="CH146" i="67"/>
  <c r="CL145" i="67"/>
  <c r="CI145" i="67"/>
  <c r="CH145" i="67"/>
  <c r="CL144" i="67"/>
  <c r="CI144" i="67"/>
  <c r="CH144" i="67"/>
  <c r="CL143" i="67"/>
  <c r="CI143" i="67"/>
  <c r="CH143" i="67"/>
  <c r="CL142" i="67"/>
  <c r="CI142" i="67"/>
  <c r="CH142" i="67"/>
  <c r="CL141" i="67"/>
  <c r="CI141" i="67"/>
  <c r="CH141" i="67"/>
  <c r="CL140" i="67"/>
  <c r="CI140" i="67"/>
  <c r="CH140" i="67"/>
  <c r="CL139" i="67"/>
  <c r="CI139" i="67"/>
  <c r="CH139" i="67"/>
  <c r="CL138" i="67"/>
  <c r="CI138" i="67"/>
  <c r="CH138" i="67"/>
  <c r="CL137" i="67"/>
  <c r="CI137" i="67"/>
  <c r="CH137" i="67"/>
  <c r="CL136" i="67"/>
  <c r="CI136" i="67"/>
  <c r="CH136" i="67"/>
  <c r="CL135" i="67"/>
  <c r="CI135" i="67"/>
  <c r="CH135" i="67"/>
  <c r="CL134" i="67"/>
  <c r="CI134" i="67"/>
  <c r="CH134" i="67"/>
  <c r="CL133" i="67"/>
  <c r="CI133" i="67"/>
  <c r="CH133" i="67"/>
  <c r="CL132" i="67"/>
  <c r="CI132" i="67"/>
  <c r="CH132" i="67"/>
  <c r="CL131" i="67"/>
  <c r="CI131" i="67"/>
  <c r="CH131" i="67"/>
  <c r="CL130" i="67"/>
  <c r="CI130" i="67"/>
  <c r="CH130" i="67"/>
  <c r="CL129" i="67"/>
  <c r="CI129" i="67"/>
  <c r="CH129" i="67"/>
  <c r="CL128" i="67"/>
  <c r="CI128" i="67"/>
  <c r="CH128" i="67"/>
  <c r="CL127" i="67"/>
  <c r="CI127" i="67"/>
  <c r="CH127" i="67"/>
  <c r="CL126" i="67"/>
  <c r="CI126" i="67"/>
  <c r="CH126" i="67"/>
  <c r="CL125" i="67"/>
  <c r="CI125" i="67"/>
  <c r="CH125" i="67"/>
  <c r="CL124" i="67"/>
  <c r="CI124" i="67"/>
  <c r="CH124" i="67"/>
  <c r="CL123" i="67"/>
  <c r="CI123" i="67"/>
  <c r="CH123" i="67"/>
  <c r="CL122" i="67"/>
  <c r="CI122" i="67"/>
  <c r="CH122" i="67"/>
  <c r="CL121" i="67"/>
  <c r="CI121" i="67"/>
  <c r="CH121" i="67"/>
  <c r="CL120" i="67"/>
  <c r="CI120" i="67"/>
  <c r="CH120" i="67"/>
  <c r="CL119" i="67"/>
  <c r="CI119" i="67"/>
  <c r="CH119" i="67"/>
  <c r="CL118" i="67"/>
  <c r="CI118" i="67"/>
  <c r="CH118" i="67"/>
  <c r="CL117" i="67"/>
  <c r="CI117" i="67"/>
  <c r="CH117" i="67"/>
  <c r="CL116" i="67"/>
  <c r="CI116" i="67"/>
  <c r="CH116" i="67"/>
  <c r="CL115" i="67"/>
  <c r="CI115" i="67"/>
  <c r="CH115" i="67"/>
  <c r="CL114" i="67"/>
  <c r="CI114" i="67"/>
  <c r="CH114" i="67"/>
  <c r="CL113" i="67"/>
  <c r="CI113" i="67"/>
  <c r="CH113" i="67"/>
  <c r="CL112" i="67"/>
  <c r="CI112" i="67"/>
  <c r="CH112" i="67"/>
  <c r="CL111" i="67"/>
  <c r="CI111" i="67"/>
  <c r="CH111" i="67"/>
  <c r="CL110" i="67"/>
  <c r="CI110" i="67"/>
  <c r="CH110" i="67"/>
  <c r="CL109" i="67"/>
  <c r="CI109" i="67"/>
  <c r="CH109" i="67"/>
  <c r="CL108" i="67"/>
  <c r="CI108" i="67"/>
  <c r="CH108" i="67"/>
  <c r="CL107" i="67"/>
  <c r="CI107" i="67"/>
  <c r="CH107" i="67"/>
  <c r="CL106" i="67"/>
  <c r="CI106" i="67"/>
  <c r="CH106" i="67"/>
  <c r="CL105" i="67"/>
  <c r="CI105" i="67"/>
  <c r="CH105" i="67"/>
  <c r="CL104" i="67"/>
  <c r="CI104" i="67"/>
  <c r="CH104" i="67"/>
  <c r="CL103" i="67"/>
  <c r="CI103" i="67"/>
  <c r="CH103" i="67"/>
  <c r="CL102" i="67"/>
  <c r="CI102" i="67"/>
  <c r="CH102" i="67"/>
  <c r="CL101" i="67"/>
  <c r="CI101" i="67"/>
  <c r="CH101" i="67"/>
  <c r="CL100" i="67"/>
  <c r="CI100" i="67"/>
  <c r="CH100" i="67"/>
  <c r="CL99" i="67"/>
  <c r="CI99" i="67"/>
  <c r="CH99" i="67"/>
  <c r="CL98" i="67"/>
  <c r="CI98" i="67"/>
  <c r="CH98" i="67"/>
  <c r="CL97" i="67"/>
  <c r="CI97" i="67"/>
  <c r="CH97" i="67"/>
  <c r="CL194" i="67"/>
  <c r="CI194" i="67"/>
  <c r="CH194" i="67"/>
  <c r="CL96" i="67"/>
  <c r="CI96" i="67"/>
  <c r="CH96" i="67"/>
  <c r="CL95" i="67"/>
  <c r="CI95" i="67"/>
  <c r="CH95" i="67"/>
  <c r="CL94" i="67"/>
  <c r="CI94" i="67"/>
  <c r="CH94" i="67"/>
  <c r="CL93" i="67"/>
  <c r="CI93" i="67"/>
  <c r="CH93" i="67"/>
  <c r="CL92" i="67"/>
  <c r="CI92" i="67"/>
  <c r="CH92" i="67"/>
  <c r="CL91" i="67"/>
  <c r="CI91" i="67"/>
  <c r="CH91" i="67"/>
  <c r="CL90" i="67"/>
  <c r="CI90" i="67"/>
  <c r="CH90" i="67"/>
  <c r="CL89" i="67"/>
  <c r="CI89" i="67"/>
  <c r="CH89" i="67"/>
  <c r="CL88" i="67"/>
  <c r="CI88" i="67"/>
  <c r="CH88" i="67"/>
  <c r="CL87" i="67"/>
  <c r="CI87" i="67"/>
  <c r="CH87" i="67"/>
  <c r="CL86" i="67"/>
  <c r="CI86" i="67"/>
  <c r="CH86" i="67"/>
  <c r="CL85" i="67"/>
  <c r="CI85" i="67"/>
  <c r="CH85" i="67"/>
  <c r="CL84" i="67"/>
  <c r="CI84" i="67"/>
  <c r="CH84" i="67"/>
  <c r="CL83" i="67"/>
  <c r="CI83" i="67"/>
  <c r="CH83" i="67"/>
  <c r="CL82" i="67"/>
  <c r="CI82" i="67"/>
  <c r="CH82" i="67"/>
  <c r="CL81" i="67"/>
  <c r="CI81" i="67"/>
  <c r="CH81" i="67"/>
  <c r="CL80" i="67"/>
  <c r="CI80" i="67"/>
  <c r="CH80" i="67"/>
  <c r="CL79" i="67"/>
  <c r="CI79" i="67"/>
  <c r="CH79" i="67"/>
  <c r="CL78" i="67"/>
  <c r="CI78" i="67"/>
  <c r="CH78" i="67"/>
  <c r="CL77" i="67"/>
  <c r="CI77" i="67"/>
  <c r="CH77" i="67"/>
  <c r="CL76" i="67"/>
  <c r="CI76" i="67"/>
  <c r="CH76" i="67"/>
  <c r="CL75" i="67"/>
  <c r="CI75" i="67"/>
  <c r="CH75" i="67"/>
  <c r="CL74" i="67"/>
  <c r="CI74" i="67"/>
  <c r="CH74" i="67"/>
  <c r="CL73" i="67"/>
  <c r="CI73" i="67"/>
  <c r="CH73" i="67"/>
  <c r="CL72" i="67"/>
  <c r="CI72" i="67"/>
  <c r="CH72" i="67"/>
  <c r="CL71" i="67"/>
  <c r="CI71" i="67"/>
  <c r="CH71" i="67"/>
  <c r="CL70" i="67"/>
  <c r="CI70" i="67"/>
  <c r="CH70" i="67"/>
  <c r="CL69" i="67"/>
  <c r="CI69" i="67"/>
  <c r="CH69" i="67"/>
  <c r="CL68" i="67"/>
  <c r="CI68" i="67"/>
  <c r="CH68" i="67"/>
  <c r="CL67" i="67"/>
  <c r="CI67" i="67"/>
  <c r="CH67" i="67"/>
  <c r="CL66" i="67"/>
  <c r="CI66" i="67"/>
  <c r="CH66" i="67"/>
  <c r="CL65" i="67"/>
  <c r="CI65" i="67"/>
  <c r="CH65" i="67"/>
  <c r="CL64" i="67"/>
  <c r="CI64" i="67"/>
  <c r="CH64" i="67"/>
  <c r="CL63" i="67"/>
  <c r="CI63" i="67"/>
  <c r="CH63" i="67"/>
  <c r="CL62" i="67"/>
  <c r="CI62" i="67"/>
  <c r="CH62" i="67"/>
  <c r="CL61" i="67"/>
  <c r="CI61" i="67"/>
  <c r="CH61" i="67"/>
  <c r="CL60" i="67"/>
  <c r="CI60" i="67"/>
  <c r="CH60" i="67"/>
  <c r="CL59" i="67"/>
  <c r="CI59" i="67"/>
  <c r="CH59" i="67"/>
  <c r="CL58" i="67"/>
  <c r="CI58" i="67"/>
  <c r="CH58" i="67"/>
  <c r="CL57" i="67"/>
  <c r="CI57" i="67"/>
  <c r="CH57" i="67"/>
  <c r="CL56" i="67"/>
  <c r="CI56" i="67"/>
  <c r="CH56" i="67"/>
  <c r="CL55" i="67"/>
  <c r="CI55" i="67"/>
  <c r="CH55" i="67"/>
  <c r="CL54" i="67"/>
  <c r="CI54" i="67"/>
  <c r="CH54" i="67"/>
  <c r="CL53" i="67"/>
  <c r="CI53" i="67"/>
  <c r="CH53" i="67"/>
  <c r="CL52" i="67"/>
  <c r="CI52" i="67"/>
  <c r="CH52" i="67"/>
  <c r="CL51" i="67"/>
  <c r="CI51" i="67"/>
  <c r="CH51" i="67"/>
  <c r="CL50" i="67"/>
  <c r="CI50" i="67"/>
  <c r="CH50" i="67"/>
  <c r="CL49" i="67"/>
  <c r="CI49" i="67"/>
  <c r="CH49" i="67"/>
  <c r="CL48" i="67"/>
  <c r="CI48" i="67"/>
  <c r="CH48" i="67"/>
  <c r="CL47" i="67"/>
  <c r="CI47" i="67"/>
  <c r="CH47" i="67"/>
  <c r="CL46" i="67"/>
  <c r="CI46" i="67"/>
  <c r="CH46" i="67"/>
  <c r="CL45" i="67"/>
  <c r="CI45" i="67"/>
  <c r="CH45" i="67"/>
  <c r="CL44" i="67"/>
  <c r="CI44" i="67"/>
  <c r="CH44" i="67"/>
  <c r="CL43" i="67"/>
  <c r="CI43" i="67"/>
  <c r="CH43" i="67"/>
  <c r="CL42" i="67"/>
  <c r="CI42" i="67"/>
  <c r="CH42" i="67"/>
  <c r="CL41" i="67"/>
  <c r="CI41" i="67"/>
  <c r="CH41" i="67"/>
  <c r="CL40" i="67"/>
  <c r="CI40" i="67"/>
  <c r="CH40" i="67"/>
  <c r="CL39" i="67"/>
  <c r="CI39" i="67"/>
  <c r="CH39" i="67"/>
  <c r="CL38" i="67"/>
  <c r="CI38" i="67"/>
  <c r="CH38" i="67"/>
  <c r="CL37" i="67"/>
  <c r="CI37" i="67"/>
  <c r="CH37" i="67"/>
  <c r="CL36" i="67"/>
  <c r="CI36" i="67"/>
  <c r="CH36" i="67"/>
  <c r="CL35" i="67"/>
  <c r="CI35" i="67"/>
  <c r="CH35" i="67"/>
  <c r="CL34" i="67"/>
  <c r="CI34" i="67"/>
  <c r="CH34" i="67"/>
  <c r="CL33" i="67"/>
  <c r="CI33" i="67"/>
  <c r="CH33" i="67"/>
  <c r="CL32" i="67"/>
  <c r="CI32" i="67"/>
  <c r="CH32" i="67"/>
  <c r="CL31" i="67"/>
  <c r="CI31" i="67"/>
  <c r="CH31" i="67"/>
  <c r="CL30" i="67"/>
  <c r="CI30" i="67"/>
  <c r="CH30" i="67"/>
  <c r="CL29" i="67"/>
  <c r="CI29" i="67"/>
  <c r="CH29" i="67"/>
  <c r="CL28" i="67"/>
  <c r="CI28" i="67"/>
  <c r="CH28" i="67"/>
  <c r="CL27" i="67"/>
  <c r="CI27" i="67"/>
  <c r="CH27" i="67"/>
  <c r="CL26" i="67"/>
  <c r="CI26" i="67"/>
  <c r="CH26" i="67"/>
  <c r="CL25" i="67"/>
  <c r="CI25" i="67"/>
  <c r="CH25" i="67"/>
  <c r="CL24" i="67"/>
  <c r="CI24" i="67"/>
  <c r="CH24" i="67"/>
  <c r="CL23" i="67"/>
  <c r="CI23" i="67"/>
  <c r="CH23" i="67"/>
  <c r="CL22" i="67"/>
  <c r="CI22" i="67"/>
  <c r="CH22" i="67"/>
  <c r="CL21" i="67"/>
  <c r="CI21" i="67"/>
  <c r="CH21" i="67"/>
  <c r="CL20" i="67"/>
  <c r="CI20" i="67"/>
  <c r="CH20" i="67"/>
  <c r="CL19" i="67"/>
  <c r="CI19" i="67"/>
  <c r="CH19" i="67"/>
  <c r="CL18" i="67"/>
  <c r="CI18" i="67"/>
  <c r="CH18" i="67"/>
  <c r="CL17" i="67"/>
  <c r="CI17" i="67"/>
  <c r="CH17" i="67"/>
  <c r="CL16" i="67"/>
  <c r="CI16" i="67"/>
  <c r="CH16" i="67"/>
  <c r="CL15" i="67"/>
  <c r="CI15" i="67"/>
  <c r="CH15" i="67"/>
  <c r="CL14" i="67"/>
  <c r="CI14" i="67"/>
  <c r="CH14" i="67"/>
  <c r="CL13" i="67"/>
  <c r="CI13" i="67"/>
  <c r="CH13" i="67"/>
  <c r="CL12" i="67"/>
  <c r="CI12" i="67"/>
  <c r="CH12" i="67"/>
  <c r="CL11" i="67"/>
  <c r="CI11" i="67"/>
  <c r="CH11" i="67"/>
  <c r="CL10" i="67"/>
  <c r="CI10" i="67"/>
  <c r="CH10" i="67"/>
  <c r="CL9" i="67"/>
  <c r="CI9" i="67"/>
  <c r="CH9" i="67"/>
  <c r="CL8" i="67"/>
  <c r="CI8" i="67"/>
  <c r="CH8" i="67"/>
  <c r="CC208" i="67"/>
  <c r="CB208" i="67"/>
  <c r="BS208" i="67"/>
  <c r="BX189" i="67"/>
  <c r="BU189" i="67"/>
  <c r="BT189" i="67"/>
  <c r="BX188" i="67"/>
  <c r="BU188" i="67"/>
  <c r="BT188" i="67"/>
  <c r="BX186" i="67"/>
  <c r="BU186" i="67"/>
  <c r="BT186" i="67"/>
  <c r="BX185" i="67"/>
  <c r="BU185" i="67"/>
  <c r="BT185" i="67"/>
  <c r="BX184" i="67"/>
  <c r="BU184" i="67"/>
  <c r="BT184" i="67"/>
  <c r="BX183" i="67"/>
  <c r="BU183" i="67"/>
  <c r="BT183" i="67"/>
  <c r="BX193" i="67"/>
  <c r="BU193" i="67"/>
  <c r="BT193" i="67"/>
  <c r="BX182" i="67"/>
  <c r="BU182" i="67"/>
  <c r="BT182" i="67"/>
  <c r="BX181" i="67"/>
  <c r="BU181" i="67"/>
  <c r="BT181" i="67"/>
  <c r="BX180" i="67"/>
  <c r="BU180" i="67"/>
  <c r="BT180" i="67"/>
  <c r="BX179" i="67"/>
  <c r="BU179" i="67"/>
  <c r="BT179" i="67"/>
  <c r="BX178" i="67"/>
  <c r="BU178" i="67"/>
  <c r="BT178" i="67"/>
  <c r="BX177" i="67"/>
  <c r="BU177" i="67"/>
  <c r="BT177" i="67"/>
  <c r="BX174" i="67"/>
  <c r="BU174" i="67"/>
  <c r="BT174" i="67"/>
  <c r="BX173" i="67"/>
  <c r="BU173" i="67"/>
  <c r="BT173" i="67"/>
  <c r="BX172" i="67"/>
  <c r="BU172" i="67"/>
  <c r="BT172" i="67"/>
  <c r="BX171" i="67"/>
  <c r="BU171" i="67"/>
  <c r="BT171" i="67"/>
  <c r="BX170" i="67"/>
  <c r="BU170" i="67"/>
  <c r="BT170" i="67"/>
  <c r="BX169" i="67"/>
  <c r="BU169" i="67"/>
  <c r="BT169" i="67"/>
  <c r="BX192" i="67"/>
  <c r="BU192" i="67"/>
  <c r="BT192" i="67"/>
  <c r="BX168" i="67"/>
  <c r="BU168" i="67"/>
  <c r="BT168" i="67"/>
  <c r="BX165" i="67"/>
  <c r="BU165" i="67"/>
  <c r="BT165" i="67"/>
  <c r="BX164" i="67"/>
  <c r="BU164" i="67"/>
  <c r="BT164" i="67"/>
  <c r="BX191" i="67"/>
  <c r="BU191" i="67"/>
  <c r="BT191" i="67"/>
  <c r="BX163" i="67"/>
  <c r="BU163" i="67"/>
  <c r="BT163" i="67"/>
  <c r="BX190" i="67"/>
  <c r="BU190" i="67"/>
  <c r="BT190" i="67"/>
  <c r="BX187" i="67"/>
  <c r="BU187" i="67"/>
  <c r="BT187" i="67"/>
  <c r="BX176" i="67"/>
  <c r="BU176" i="67"/>
  <c r="BT176" i="67"/>
  <c r="BX175" i="67"/>
  <c r="BU175" i="67"/>
  <c r="BT175" i="67"/>
  <c r="BX167" i="67"/>
  <c r="BU167" i="67"/>
  <c r="BT167" i="67"/>
  <c r="BX166" i="67"/>
  <c r="BU166" i="67"/>
  <c r="BT166" i="67"/>
  <c r="BX162" i="67"/>
  <c r="BU162" i="67"/>
  <c r="BT162" i="67"/>
  <c r="BX161" i="67"/>
  <c r="BU161" i="67"/>
  <c r="BT161" i="67"/>
  <c r="BX160" i="67"/>
  <c r="BU160" i="67"/>
  <c r="BT160" i="67"/>
  <c r="BX159" i="67"/>
  <c r="BU159" i="67"/>
  <c r="BT159" i="67"/>
  <c r="BX158" i="67"/>
  <c r="BU158" i="67"/>
  <c r="BT158" i="67"/>
  <c r="BX157" i="67"/>
  <c r="BU157" i="67"/>
  <c r="BT157" i="67"/>
  <c r="BX156" i="67"/>
  <c r="BU156" i="67"/>
  <c r="BT156" i="67"/>
  <c r="BX155" i="67"/>
  <c r="BU155" i="67"/>
  <c r="BT155" i="67"/>
  <c r="BX154" i="67"/>
  <c r="BU154" i="67"/>
  <c r="BT154" i="67"/>
  <c r="BX153" i="67"/>
  <c r="BU153" i="67"/>
  <c r="BT153" i="67"/>
  <c r="BX152" i="67"/>
  <c r="BU152" i="67"/>
  <c r="BT152" i="67"/>
  <c r="BX151" i="67"/>
  <c r="BU151" i="67"/>
  <c r="BT151" i="67"/>
  <c r="BX150" i="67"/>
  <c r="BU150" i="67"/>
  <c r="BT150" i="67"/>
  <c r="BX149" i="67"/>
  <c r="BU149" i="67"/>
  <c r="BT149" i="67"/>
  <c r="BX148" i="67"/>
  <c r="BU148" i="67"/>
  <c r="BT148" i="67"/>
  <c r="BX147" i="67"/>
  <c r="BU147" i="67"/>
  <c r="BT147" i="67"/>
  <c r="BX146" i="67"/>
  <c r="BU146" i="67"/>
  <c r="BT146" i="67"/>
  <c r="BX145" i="67"/>
  <c r="BU145" i="67"/>
  <c r="BT145" i="67"/>
  <c r="BX144" i="67"/>
  <c r="BU144" i="67"/>
  <c r="BT144" i="67"/>
  <c r="BX143" i="67"/>
  <c r="BU143" i="67"/>
  <c r="BT143" i="67"/>
  <c r="BX142" i="67"/>
  <c r="BU142" i="67"/>
  <c r="BT142" i="67"/>
  <c r="BX141" i="67"/>
  <c r="BU141" i="67"/>
  <c r="BT141" i="67"/>
  <c r="BX140" i="67"/>
  <c r="BU140" i="67"/>
  <c r="BT140" i="67"/>
  <c r="BX139" i="67"/>
  <c r="BU139" i="67"/>
  <c r="BT139" i="67"/>
  <c r="BX138" i="67"/>
  <c r="BU138" i="67"/>
  <c r="BT138" i="67"/>
  <c r="BX137" i="67"/>
  <c r="BU137" i="67"/>
  <c r="BT137" i="67"/>
  <c r="BX136" i="67"/>
  <c r="BU136" i="67"/>
  <c r="BT136" i="67"/>
  <c r="BX135" i="67"/>
  <c r="BU135" i="67"/>
  <c r="BT135" i="67"/>
  <c r="BX134" i="67"/>
  <c r="BU134" i="67"/>
  <c r="BT134" i="67"/>
  <c r="BX133" i="67"/>
  <c r="BU133" i="67"/>
  <c r="BT133" i="67"/>
  <c r="BX132" i="67"/>
  <c r="BU132" i="67"/>
  <c r="BT132" i="67"/>
  <c r="BX131" i="67"/>
  <c r="BU131" i="67"/>
  <c r="BT131" i="67"/>
  <c r="BX130" i="67"/>
  <c r="BU130" i="67"/>
  <c r="BT130" i="67"/>
  <c r="BX129" i="67"/>
  <c r="BU129" i="67"/>
  <c r="BT129" i="67"/>
  <c r="BX128" i="67"/>
  <c r="BU128" i="67"/>
  <c r="BT128" i="67"/>
  <c r="BX127" i="67"/>
  <c r="BU127" i="67"/>
  <c r="BT127" i="67"/>
  <c r="BX126" i="67"/>
  <c r="BU126" i="67"/>
  <c r="BT126" i="67"/>
  <c r="BX125" i="67"/>
  <c r="BU125" i="67"/>
  <c r="BT125" i="67"/>
  <c r="BX124" i="67"/>
  <c r="BU124" i="67"/>
  <c r="BT124" i="67"/>
  <c r="BX123" i="67"/>
  <c r="BU123" i="67"/>
  <c r="BT123" i="67"/>
  <c r="BX122" i="67"/>
  <c r="BU122" i="67"/>
  <c r="BT122" i="67"/>
  <c r="BX121" i="67"/>
  <c r="BU121" i="67"/>
  <c r="BT121" i="67"/>
  <c r="BX120" i="67"/>
  <c r="BU120" i="67"/>
  <c r="BT120" i="67"/>
  <c r="BX119" i="67"/>
  <c r="BU119" i="67"/>
  <c r="BT119" i="67"/>
  <c r="BX118" i="67"/>
  <c r="BU118" i="67"/>
  <c r="BT118" i="67"/>
  <c r="BX117" i="67"/>
  <c r="BU117" i="67"/>
  <c r="BT117" i="67"/>
  <c r="BX116" i="67"/>
  <c r="BU116" i="67"/>
  <c r="BT116" i="67"/>
  <c r="BX115" i="67"/>
  <c r="BU115" i="67"/>
  <c r="BT115" i="67"/>
  <c r="BX114" i="67"/>
  <c r="BU114" i="67"/>
  <c r="BT114" i="67"/>
  <c r="BX113" i="67"/>
  <c r="BU113" i="67"/>
  <c r="BT113" i="67"/>
  <c r="BX112" i="67"/>
  <c r="BU112" i="67"/>
  <c r="BT112" i="67"/>
  <c r="BX111" i="67"/>
  <c r="BU111" i="67"/>
  <c r="BT111" i="67"/>
  <c r="BX110" i="67"/>
  <c r="BU110" i="67"/>
  <c r="BT110" i="67"/>
  <c r="BX109" i="67"/>
  <c r="BU109" i="67"/>
  <c r="BT109" i="67"/>
  <c r="BX108" i="67"/>
  <c r="BU108" i="67"/>
  <c r="BT108" i="67"/>
  <c r="BX107" i="67"/>
  <c r="BU107" i="67"/>
  <c r="BT107" i="67"/>
  <c r="BX106" i="67"/>
  <c r="BU106" i="67"/>
  <c r="BT106" i="67"/>
  <c r="BX105" i="67"/>
  <c r="BU105" i="67"/>
  <c r="BT105" i="67"/>
  <c r="BX104" i="67"/>
  <c r="BU104" i="67"/>
  <c r="BT104" i="67"/>
  <c r="BX103" i="67"/>
  <c r="BU103" i="67"/>
  <c r="BT103" i="67"/>
  <c r="BX102" i="67"/>
  <c r="BU102" i="67"/>
  <c r="BT102" i="67"/>
  <c r="BX101" i="67"/>
  <c r="BU101" i="67"/>
  <c r="BT101" i="67"/>
  <c r="BX100" i="67"/>
  <c r="BU100" i="67"/>
  <c r="BT100" i="67"/>
  <c r="BX99" i="67"/>
  <c r="BU99" i="67"/>
  <c r="BT99" i="67"/>
  <c r="BX98" i="67"/>
  <c r="BU98" i="67"/>
  <c r="BT98" i="67"/>
  <c r="BX97" i="67"/>
  <c r="BU97" i="67"/>
  <c r="BT97" i="67"/>
  <c r="BX194" i="67"/>
  <c r="BU194" i="67"/>
  <c r="BT194" i="67"/>
  <c r="BX96" i="67"/>
  <c r="BU96" i="67"/>
  <c r="BT96" i="67"/>
  <c r="BX95" i="67"/>
  <c r="BU95" i="67"/>
  <c r="BT95" i="67"/>
  <c r="BX94" i="67"/>
  <c r="BU94" i="67"/>
  <c r="BT94" i="67"/>
  <c r="BX93" i="67"/>
  <c r="BU93" i="67"/>
  <c r="BT93" i="67"/>
  <c r="BX92" i="67"/>
  <c r="BU92" i="67"/>
  <c r="BT92" i="67"/>
  <c r="BX91" i="67"/>
  <c r="BU91" i="67"/>
  <c r="BT91" i="67"/>
  <c r="BX90" i="67"/>
  <c r="BU90" i="67"/>
  <c r="BT90" i="67"/>
  <c r="BX89" i="67"/>
  <c r="BU89" i="67"/>
  <c r="BT89" i="67"/>
  <c r="BX88" i="67"/>
  <c r="BU88" i="67"/>
  <c r="BT88" i="67"/>
  <c r="BX87" i="67"/>
  <c r="BU87" i="67"/>
  <c r="BT87" i="67"/>
  <c r="BX86" i="67"/>
  <c r="BU86" i="67"/>
  <c r="BT86" i="67"/>
  <c r="BX85" i="67"/>
  <c r="BU85" i="67"/>
  <c r="BT85" i="67"/>
  <c r="BX84" i="67"/>
  <c r="BU84" i="67"/>
  <c r="BT84" i="67"/>
  <c r="BX83" i="67"/>
  <c r="BU83" i="67"/>
  <c r="BT83" i="67"/>
  <c r="BX82" i="67"/>
  <c r="BU82" i="67"/>
  <c r="BT82" i="67"/>
  <c r="BX81" i="67"/>
  <c r="BU81" i="67"/>
  <c r="BT81" i="67"/>
  <c r="BX80" i="67"/>
  <c r="BU80" i="67"/>
  <c r="BT80" i="67"/>
  <c r="BX79" i="67"/>
  <c r="BU79" i="67"/>
  <c r="BT79" i="67"/>
  <c r="BX78" i="67"/>
  <c r="BU78" i="67"/>
  <c r="BT78" i="67"/>
  <c r="BX77" i="67"/>
  <c r="BU77" i="67"/>
  <c r="BT77" i="67"/>
  <c r="BX76" i="67"/>
  <c r="BU76" i="67"/>
  <c r="BT76" i="67"/>
  <c r="BX75" i="67"/>
  <c r="BU75" i="67"/>
  <c r="BT75" i="67"/>
  <c r="BX74" i="67"/>
  <c r="BU74" i="67"/>
  <c r="BT74" i="67"/>
  <c r="BX73" i="67"/>
  <c r="BU73" i="67"/>
  <c r="BT73" i="67"/>
  <c r="BX72" i="67"/>
  <c r="BU72" i="67"/>
  <c r="BT72" i="67"/>
  <c r="BX71" i="67"/>
  <c r="BU71" i="67"/>
  <c r="BT71" i="67"/>
  <c r="BX70" i="67"/>
  <c r="BU70" i="67"/>
  <c r="BT70" i="67"/>
  <c r="BX69" i="67"/>
  <c r="BU69" i="67"/>
  <c r="BT69" i="67"/>
  <c r="BX68" i="67"/>
  <c r="BU68" i="67"/>
  <c r="BT68" i="67"/>
  <c r="BX67" i="67"/>
  <c r="BU67" i="67"/>
  <c r="BT67" i="67"/>
  <c r="BX66" i="67"/>
  <c r="BU66" i="67"/>
  <c r="BT66" i="67"/>
  <c r="BX65" i="67"/>
  <c r="BU65" i="67"/>
  <c r="BT65" i="67"/>
  <c r="BX64" i="67"/>
  <c r="BU64" i="67"/>
  <c r="BT64" i="67"/>
  <c r="BX63" i="67"/>
  <c r="BU63" i="67"/>
  <c r="BT63" i="67"/>
  <c r="BX62" i="67"/>
  <c r="BU62" i="67"/>
  <c r="BT62" i="67"/>
  <c r="BX61" i="67"/>
  <c r="BU61" i="67"/>
  <c r="BT61" i="67"/>
  <c r="BX60" i="67"/>
  <c r="BU60" i="67"/>
  <c r="BT60" i="67"/>
  <c r="BX59" i="67"/>
  <c r="BU59" i="67"/>
  <c r="BT59" i="67"/>
  <c r="BX58" i="67"/>
  <c r="BU58" i="67"/>
  <c r="BT58" i="67"/>
  <c r="BX57" i="67"/>
  <c r="BU57" i="67"/>
  <c r="BT57" i="67"/>
  <c r="BX56" i="67"/>
  <c r="BU56" i="67"/>
  <c r="BT56" i="67"/>
  <c r="BX55" i="67"/>
  <c r="BU55" i="67"/>
  <c r="BT55" i="67"/>
  <c r="BX54" i="67"/>
  <c r="BU54" i="67"/>
  <c r="BT54" i="67"/>
  <c r="BX53" i="67"/>
  <c r="BU53" i="67"/>
  <c r="BT53" i="67"/>
  <c r="BX52" i="67"/>
  <c r="BU52" i="67"/>
  <c r="BT52" i="67"/>
  <c r="BX51" i="67"/>
  <c r="BU51" i="67"/>
  <c r="BT51" i="67"/>
  <c r="BX50" i="67"/>
  <c r="BU50" i="67"/>
  <c r="BT50" i="67"/>
  <c r="BX49" i="67"/>
  <c r="BU49" i="67"/>
  <c r="BT49" i="67"/>
  <c r="BX48" i="67"/>
  <c r="BU48" i="67"/>
  <c r="BT48" i="67"/>
  <c r="BX47" i="67"/>
  <c r="BU47" i="67"/>
  <c r="BT47" i="67"/>
  <c r="BX46" i="67"/>
  <c r="BU46" i="67"/>
  <c r="BT46" i="67"/>
  <c r="BX45" i="67"/>
  <c r="BU45" i="67"/>
  <c r="BT45" i="67"/>
  <c r="BX44" i="67"/>
  <c r="BU44" i="67"/>
  <c r="BT44" i="67"/>
  <c r="BX43" i="67"/>
  <c r="BU43" i="67"/>
  <c r="BT43" i="67"/>
  <c r="BX42" i="67"/>
  <c r="BU42" i="67"/>
  <c r="BT42" i="67"/>
  <c r="BX41" i="67"/>
  <c r="BU41" i="67"/>
  <c r="BT41" i="67"/>
  <c r="BX40" i="67"/>
  <c r="BU40" i="67"/>
  <c r="BT40" i="67"/>
  <c r="BX39" i="67"/>
  <c r="BU39" i="67"/>
  <c r="BT39" i="67"/>
  <c r="BX38" i="67"/>
  <c r="BU38" i="67"/>
  <c r="BT38" i="67"/>
  <c r="BX37" i="67"/>
  <c r="BU37" i="67"/>
  <c r="BT37" i="67"/>
  <c r="BX36" i="67"/>
  <c r="BU36" i="67"/>
  <c r="BT36" i="67"/>
  <c r="BX35" i="67"/>
  <c r="BU35" i="67"/>
  <c r="BT35" i="67"/>
  <c r="BX34" i="67"/>
  <c r="BU34" i="67"/>
  <c r="BT34" i="67"/>
  <c r="BX33" i="67"/>
  <c r="BU33" i="67"/>
  <c r="BT33" i="67"/>
  <c r="BX32" i="67"/>
  <c r="BU32" i="67"/>
  <c r="BT32" i="67"/>
  <c r="BX31" i="67"/>
  <c r="BU31" i="67"/>
  <c r="BT31" i="67"/>
  <c r="BX30" i="67"/>
  <c r="BU30" i="67"/>
  <c r="BT30" i="67"/>
  <c r="BX29" i="67"/>
  <c r="BU29" i="67"/>
  <c r="BT29" i="67"/>
  <c r="BX28" i="67"/>
  <c r="BU28" i="67"/>
  <c r="BT28" i="67"/>
  <c r="BX27" i="67"/>
  <c r="BU27" i="67"/>
  <c r="BT27" i="67"/>
  <c r="BX26" i="67"/>
  <c r="BU26" i="67"/>
  <c r="BT26" i="67"/>
  <c r="BX25" i="67"/>
  <c r="BU25" i="67"/>
  <c r="BT25" i="67"/>
  <c r="BX24" i="67"/>
  <c r="BU24" i="67"/>
  <c r="BT24" i="67"/>
  <c r="BX23" i="67"/>
  <c r="BU23" i="67"/>
  <c r="BT23" i="67"/>
  <c r="BX22" i="67"/>
  <c r="BU22" i="67"/>
  <c r="BT22" i="67"/>
  <c r="BX21" i="67"/>
  <c r="BU21" i="67"/>
  <c r="BT21" i="67"/>
  <c r="BX20" i="67"/>
  <c r="BU20" i="67"/>
  <c r="BT20" i="67"/>
  <c r="BX19" i="67"/>
  <c r="BU19" i="67"/>
  <c r="BT19" i="67"/>
  <c r="BX18" i="67"/>
  <c r="BU18" i="67"/>
  <c r="BT18" i="67"/>
  <c r="BX17" i="67"/>
  <c r="BU17" i="67"/>
  <c r="BT17" i="67"/>
  <c r="BX16" i="67"/>
  <c r="BU16" i="67"/>
  <c r="BT16" i="67"/>
  <c r="BX15" i="67"/>
  <c r="BU15" i="67"/>
  <c r="BT15" i="67"/>
  <c r="BX14" i="67"/>
  <c r="BU14" i="67"/>
  <c r="BT14" i="67"/>
  <c r="BX13" i="67"/>
  <c r="BU13" i="67"/>
  <c r="BT13" i="67"/>
  <c r="BX12" i="67"/>
  <c r="BU12" i="67"/>
  <c r="BT12" i="67"/>
  <c r="BX11" i="67"/>
  <c r="BU11" i="67"/>
  <c r="BT11" i="67"/>
  <c r="BX10" i="67"/>
  <c r="BU10" i="67"/>
  <c r="BT10" i="67"/>
  <c r="BX9" i="67"/>
  <c r="BU9" i="67"/>
  <c r="BT9" i="67"/>
  <c r="BX8" i="67"/>
  <c r="BU8" i="67"/>
  <c r="BT8" i="67"/>
  <c r="BO208" i="67"/>
  <c r="BN208" i="67"/>
  <c r="BE208" i="67"/>
  <c r="BJ189" i="67"/>
  <c r="BG189" i="67"/>
  <c r="BF189" i="67"/>
  <c r="BJ188" i="67"/>
  <c r="BG188" i="67"/>
  <c r="BF188" i="67"/>
  <c r="BJ186" i="67"/>
  <c r="BG186" i="67"/>
  <c r="BF186" i="67"/>
  <c r="BJ185" i="67"/>
  <c r="BG185" i="67"/>
  <c r="BF185" i="67"/>
  <c r="BJ184" i="67"/>
  <c r="BG184" i="67"/>
  <c r="BF184" i="67"/>
  <c r="BJ183" i="67"/>
  <c r="BG183" i="67"/>
  <c r="BF183" i="67"/>
  <c r="BJ193" i="67"/>
  <c r="BG193" i="67"/>
  <c r="BF193" i="67"/>
  <c r="BJ182" i="67"/>
  <c r="BG182" i="67"/>
  <c r="BF182" i="67"/>
  <c r="BJ181" i="67"/>
  <c r="BG181" i="67"/>
  <c r="BF181" i="67"/>
  <c r="BJ180" i="67"/>
  <c r="BG180" i="67"/>
  <c r="BF180" i="67"/>
  <c r="BJ179" i="67"/>
  <c r="BG179" i="67"/>
  <c r="BF179" i="67"/>
  <c r="BJ178" i="67"/>
  <c r="BG178" i="67"/>
  <c r="BF178" i="67"/>
  <c r="BJ177" i="67"/>
  <c r="BG177" i="67"/>
  <c r="BF177" i="67"/>
  <c r="BJ174" i="67"/>
  <c r="BG174" i="67"/>
  <c r="BF174" i="67"/>
  <c r="BJ173" i="67"/>
  <c r="BG173" i="67"/>
  <c r="BF173" i="67"/>
  <c r="BJ172" i="67"/>
  <c r="BG172" i="67"/>
  <c r="BF172" i="67"/>
  <c r="BJ171" i="67"/>
  <c r="BG171" i="67"/>
  <c r="BF171" i="67"/>
  <c r="BJ170" i="67"/>
  <c r="BG170" i="67"/>
  <c r="BF170" i="67"/>
  <c r="BJ169" i="67"/>
  <c r="BG169" i="67"/>
  <c r="BF169" i="67"/>
  <c r="BJ192" i="67"/>
  <c r="BG192" i="67"/>
  <c r="BF192" i="67"/>
  <c r="BJ168" i="67"/>
  <c r="BG168" i="67"/>
  <c r="BF168" i="67"/>
  <c r="BJ165" i="67"/>
  <c r="BG165" i="67"/>
  <c r="BF165" i="67"/>
  <c r="BJ164" i="67"/>
  <c r="BG164" i="67"/>
  <c r="BF164" i="67"/>
  <c r="BJ191" i="67"/>
  <c r="BG191" i="67"/>
  <c r="BF191" i="67"/>
  <c r="BJ163" i="67"/>
  <c r="BG163" i="67"/>
  <c r="BF163" i="67"/>
  <c r="BJ190" i="67"/>
  <c r="BG190" i="67"/>
  <c r="BF190" i="67"/>
  <c r="BJ187" i="67"/>
  <c r="BG187" i="67"/>
  <c r="BF187" i="67"/>
  <c r="BJ176" i="67"/>
  <c r="BG176" i="67"/>
  <c r="BF176" i="67"/>
  <c r="BJ175" i="67"/>
  <c r="BG175" i="67"/>
  <c r="BF175" i="67"/>
  <c r="BJ167" i="67"/>
  <c r="BG167" i="67"/>
  <c r="BF167" i="67"/>
  <c r="BJ166" i="67"/>
  <c r="BG166" i="67"/>
  <c r="BF166" i="67"/>
  <c r="BJ162" i="67"/>
  <c r="BG162" i="67"/>
  <c r="BF162" i="67"/>
  <c r="BJ161" i="67"/>
  <c r="BG161" i="67"/>
  <c r="BF161" i="67"/>
  <c r="BJ160" i="67"/>
  <c r="BG160" i="67"/>
  <c r="BF160" i="67"/>
  <c r="BJ159" i="67"/>
  <c r="BG159" i="67"/>
  <c r="BF159" i="67"/>
  <c r="BJ158" i="67"/>
  <c r="BG158" i="67"/>
  <c r="BF158" i="67"/>
  <c r="BJ157" i="67"/>
  <c r="BG157" i="67"/>
  <c r="BF157" i="67"/>
  <c r="BJ156" i="67"/>
  <c r="BG156" i="67"/>
  <c r="BF156" i="67"/>
  <c r="BJ155" i="67"/>
  <c r="BG155" i="67"/>
  <c r="BF155" i="67"/>
  <c r="BJ154" i="67"/>
  <c r="BG154" i="67"/>
  <c r="BF154" i="67"/>
  <c r="BJ153" i="67"/>
  <c r="BG153" i="67"/>
  <c r="BF153" i="67"/>
  <c r="BJ152" i="67"/>
  <c r="BG152" i="67"/>
  <c r="BF152" i="67"/>
  <c r="BJ151" i="67"/>
  <c r="BG151" i="67"/>
  <c r="BF151" i="67"/>
  <c r="BJ150" i="67"/>
  <c r="BG150" i="67"/>
  <c r="BF150" i="67"/>
  <c r="BJ149" i="67"/>
  <c r="BG149" i="67"/>
  <c r="BF149" i="67"/>
  <c r="BJ148" i="67"/>
  <c r="BG148" i="67"/>
  <c r="BF148" i="67"/>
  <c r="BJ147" i="67"/>
  <c r="BG147" i="67"/>
  <c r="BF147" i="67"/>
  <c r="BJ146" i="67"/>
  <c r="BG146" i="67"/>
  <c r="BF146" i="67"/>
  <c r="BJ145" i="67"/>
  <c r="BG145" i="67"/>
  <c r="BF145" i="67"/>
  <c r="BJ144" i="67"/>
  <c r="BG144" i="67"/>
  <c r="BF144" i="67"/>
  <c r="BJ143" i="67"/>
  <c r="BG143" i="67"/>
  <c r="BF143" i="67"/>
  <c r="BJ142" i="67"/>
  <c r="BG142" i="67"/>
  <c r="BF142" i="67"/>
  <c r="BJ141" i="67"/>
  <c r="BG141" i="67"/>
  <c r="BF141" i="67"/>
  <c r="BJ140" i="67"/>
  <c r="BG140" i="67"/>
  <c r="BF140" i="67"/>
  <c r="BJ139" i="67"/>
  <c r="BG139" i="67"/>
  <c r="BF139" i="67"/>
  <c r="BJ138" i="67"/>
  <c r="BG138" i="67"/>
  <c r="BF138" i="67"/>
  <c r="BJ137" i="67"/>
  <c r="BG137" i="67"/>
  <c r="BF137" i="67"/>
  <c r="BJ136" i="67"/>
  <c r="BG136" i="67"/>
  <c r="BF136" i="67"/>
  <c r="BJ135" i="67"/>
  <c r="BG135" i="67"/>
  <c r="BF135" i="67"/>
  <c r="BJ134" i="67"/>
  <c r="BG134" i="67"/>
  <c r="BF134" i="67"/>
  <c r="BJ133" i="67"/>
  <c r="BG133" i="67"/>
  <c r="BF133" i="67"/>
  <c r="BJ132" i="67"/>
  <c r="BG132" i="67"/>
  <c r="BF132" i="67"/>
  <c r="BJ131" i="67"/>
  <c r="BG131" i="67"/>
  <c r="BF131" i="67"/>
  <c r="BJ130" i="67"/>
  <c r="BG130" i="67"/>
  <c r="BF130" i="67"/>
  <c r="BJ129" i="67"/>
  <c r="BG129" i="67"/>
  <c r="BF129" i="67"/>
  <c r="BJ128" i="67"/>
  <c r="BG128" i="67"/>
  <c r="BF128" i="67"/>
  <c r="BJ127" i="67"/>
  <c r="BG127" i="67"/>
  <c r="BF127" i="67"/>
  <c r="BJ126" i="67"/>
  <c r="BG126" i="67"/>
  <c r="BF126" i="67"/>
  <c r="BJ125" i="67"/>
  <c r="BG125" i="67"/>
  <c r="BF125" i="67"/>
  <c r="BJ124" i="67"/>
  <c r="BG124" i="67"/>
  <c r="BF124" i="67"/>
  <c r="BJ123" i="67"/>
  <c r="BG123" i="67"/>
  <c r="BF123" i="67"/>
  <c r="BJ122" i="67"/>
  <c r="BG122" i="67"/>
  <c r="BF122" i="67"/>
  <c r="BJ121" i="67"/>
  <c r="BG121" i="67"/>
  <c r="BF121" i="67"/>
  <c r="BJ120" i="67"/>
  <c r="BG120" i="67"/>
  <c r="BF120" i="67"/>
  <c r="BJ119" i="67"/>
  <c r="BG119" i="67"/>
  <c r="BF119" i="67"/>
  <c r="BJ118" i="67"/>
  <c r="BG118" i="67"/>
  <c r="BF118" i="67"/>
  <c r="BJ117" i="67"/>
  <c r="BG117" i="67"/>
  <c r="BF117" i="67"/>
  <c r="BJ116" i="67"/>
  <c r="BG116" i="67"/>
  <c r="BF116" i="67"/>
  <c r="BJ115" i="67"/>
  <c r="BG115" i="67"/>
  <c r="BF115" i="67"/>
  <c r="BJ114" i="67"/>
  <c r="BG114" i="67"/>
  <c r="BF114" i="67"/>
  <c r="BJ113" i="67"/>
  <c r="BG113" i="67"/>
  <c r="BF113" i="67"/>
  <c r="BJ112" i="67"/>
  <c r="BG112" i="67"/>
  <c r="BF112" i="67"/>
  <c r="BJ111" i="67"/>
  <c r="BG111" i="67"/>
  <c r="BF111" i="67"/>
  <c r="BJ110" i="67"/>
  <c r="BG110" i="67"/>
  <c r="BF110" i="67"/>
  <c r="BJ109" i="67"/>
  <c r="BG109" i="67"/>
  <c r="BF109" i="67"/>
  <c r="BJ108" i="67"/>
  <c r="BG108" i="67"/>
  <c r="BF108" i="67"/>
  <c r="BJ107" i="67"/>
  <c r="BG107" i="67"/>
  <c r="BF107" i="67"/>
  <c r="BJ106" i="67"/>
  <c r="BG106" i="67"/>
  <c r="BF106" i="67"/>
  <c r="BJ105" i="67"/>
  <c r="BG105" i="67"/>
  <c r="BF105" i="67"/>
  <c r="BJ104" i="67"/>
  <c r="BG104" i="67"/>
  <c r="BF104" i="67"/>
  <c r="BJ103" i="67"/>
  <c r="BG103" i="67"/>
  <c r="BF103" i="67"/>
  <c r="BJ102" i="67"/>
  <c r="BG102" i="67"/>
  <c r="BF102" i="67"/>
  <c r="BJ101" i="67"/>
  <c r="BG101" i="67"/>
  <c r="BF101" i="67"/>
  <c r="BJ100" i="67"/>
  <c r="BG100" i="67"/>
  <c r="BF100" i="67"/>
  <c r="BJ99" i="67"/>
  <c r="BG99" i="67"/>
  <c r="BF99" i="67"/>
  <c r="BJ98" i="67"/>
  <c r="BG98" i="67"/>
  <c r="BF98" i="67"/>
  <c r="BJ97" i="67"/>
  <c r="BG97" i="67"/>
  <c r="BF97" i="67"/>
  <c r="BJ194" i="67"/>
  <c r="BG194" i="67"/>
  <c r="BF194" i="67"/>
  <c r="BJ96" i="67"/>
  <c r="BG96" i="67"/>
  <c r="BF96" i="67"/>
  <c r="BJ95" i="67"/>
  <c r="BG95" i="67"/>
  <c r="BF95" i="67"/>
  <c r="BJ94" i="67"/>
  <c r="BG94" i="67"/>
  <c r="BF94" i="67"/>
  <c r="BJ93" i="67"/>
  <c r="BG93" i="67"/>
  <c r="BF93" i="67"/>
  <c r="BJ92" i="67"/>
  <c r="BG92" i="67"/>
  <c r="BF92" i="67"/>
  <c r="BJ91" i="67"/>
  <c r="BG91" i="67"/>
  <c r="BF91" i="67"/>
  <c r="BJ90" i="67"/>
  <c r="BG90" i="67"/>
  <c r="BF90" i="67"/>
  <c r="BJ89" i="67"/>
  <c r="BG89" i="67"/>
  <c r="BF89" i="67"/>
  <c r="BJ88" i="67"/>
  <c r="BG88" i="67"/>
  <c r="BF88" i="67"/>
  <c r="BJ87" i="67"/>
  <c r="BG87" i="67"/>
  <c r="BF87" i="67"/>
  <c r="BJ86" i="67"/>
  <c r="BG86" i="67"/>
  <c r="BF86" i="67"/>
  <c r="BJ85" i="67"/>
  <c r="BG85" i="67"/>
  <c r="BF85" i="67"/>
  <c r="BJ84" i="67"/>
  <c r="BG84" i="67"/>
  <c r="BF84" i="67"/>
  <c r="BJ83" i="67"/>
  <c r="BG83" i="67"/>
  <c r="BF83" i="67"/>
  <c r="BJ82" i="67"/>
  <c r="BG82" i="67"/>
  <c r="BF82" i="67"/>
  <c r="BJ81" i="67"/>
  <c r="BG81" i="67"/>
  <c r="BF81" i="67"/>
  <c r="BJ80" i="67"/>
  <c r="BG80" i="67"/>
  <c r="BF80" i="67"/>
  <c r="BJ79" i="67"/>
  <c r="BG79" i="67"/>
  <c r="BF79" i="67"/>
  <c r="BJ78" i="67"/>
  <c r="BG78" i="67"/>
  <c r="BF78" i="67"/>
  <c r="BJ77" i="67"/>
  <c r="BG77" i="67"/>
  <c r="BF77" i="67"/>
  <c r="BJ76" i="67"/>
  <c r="BG76" i="67"/>
  <c r="BF76" i="67"/>
  <c r="BJ75" i="67"/>
  <c r="BG75" i="67"/>
  <c r="BF75" i="67"/>
  <c r="BJ74" i="67"/>
  <c r="BG74" i="67"/>
  <c r="BF74" i="67"/>
  <c r="BJ73" i="67"/>
  <c r="BG73" i="67"/>
  <c r="BF73" i="67"/>
  <c r="BJ72" i="67"/>
  <c r="BG72" i="67"/>
  <c r="BF72" i="67"/>
  <c r="BJ71" i="67"/>
  <c r="BG71" i="67"/>
  <c r="BF71" i="67"/>
  <c r="BJ70" i="67"/>
  <c r="BG70" i="67"/>
  <c r="BF70" i="67"/>
  <c r="BJ69" i="67"/>
  <c r="BG69" i="67"/>
  <c r="BF69" i="67"/>
  <c r="BJ68" i="67"/>
  <c r="BG68" i="67"/>
  <c r="BF68" i="67"/>
  <c r="BJ67" i="67"/>
  <c r="BG67" i="67"/>
  <c r="BF67" i="67"/>
  <c r="BJ66" i="67"/>
  <c r="BG66" i="67"/>
  <c r="BF66" i="67"/>
  <c r="BJ65" i="67"/>
  <c r="BG65" i="67"/>
  <c r="BF65" i="67"/>
  <c r="BJ64" i="67"/>
  <c r="BG64" i="67"/>
  <c r="BF64" i="67"/>
  <c r="BJ63" i="67"/>
  <c r="BG63" i="67"/>
  <c r="BF63" i="67"/>
  <c r="BJ62" i="67"/>
  <c r="BG62" i="67"/>
  <c r="BF62" i="67"/>
  <c r="BJ61" i="67"/>
  <c r="BG61" i="67"/>
  <c r="BF61" i="67"/>
  <c r="BJ60" i="67"/>
  <c r="BG60" i="67"/>
  <c r="BF60" i="67"/>
  <c r="BJ59" i="67"/>
  <c r="BG59" i="67"/>
  <c r="BF59" i="67"/>
  <c r="BJ58" i="67"/>
  <c r="BG58" i="67"/>
  <c r="BF58" i="67"/>
  <c r="BJ57" i="67"/>
  <c r="BG57" i="67"/>
  <c r="BF57" i="67"/>
  <c r="BJ56" i="67"/>
  <c r="BG56" i="67"/>
  <c r="BF56" i="67"/>
  <c r="BJ55" i="67"/>
  <c r="BG55" i="67"/>
  <c r="BF55" i="67"/>
  <c r="BJ54" i="67"/>
  <c r="BG54" i="67"/>
  <c r="BF54" i="67"/>
  <c r="BJ53" i="67"/>
  <c r="BG53" i="67"/>
  <c r="BF53" i="67"/>
  <c r="BJ52" i="67"/>
  <c r="BG52" i="67"/>
  <c r="BF52" i="67"/>
  <c r="BJ51" i="67"/>
  <c r="BG51" i="67"/>
  <c r="BF51" i="67"/>
  <c r="BJ50" i="67"/>
  <c r="BG50" i="67"/>
  <c r="BF50" i="67"/>
  <c r="BJ49" i="67"/>
  <c r="BG49" i="67"/>
  <c r="BF49" i="67"/>
  <c r="BJ48" i="67"/>
  <c r="BG48" i="67"/>
  <c r="BF48" i="67"/>
  <c r="BJ47" i="67"/>
  <c r="BG47" i="67"/>
  <c r="BF47" i="67"/>
  <c r="BJ46" i="67"/>
  <c r="BG46" i="67"/>
  <c r="BF46" i="67"/>
  <c r="BJ45" i="67"/>
  <c r="BG45" i="67"/>
  <c r="BF45" i="67"/>
  <c r="BJ44" i="67"/>
  <c r="BG44" i="67"/>
  <c r="BF44" i="67"/>
  <c r="BJ43" i="67"/>
  <c r="BG43" i="67"/>
  <c r="BF43" i="67"/>
  <c r="BJ42" i="67"/>
  <c r="BG42" i="67"/>
  <c r="BF42" i="67"/>
  <c r="BJ41" i="67"/>
  <c r="BG41" i="67"/>
  <c r="BF41" i="67"/>
  <c r="BJ40" i="67"/>
  <c r="BG40" i="67"/>
  <c r="BF40" i="67"/>
  <c r="BJ39" i="67"/>
  <c r="BG39" i="67"/>
  <c r="BF39" i="67"/>
  <c r="BJ38" i="67"/>
  <c r="BG38" i="67"/>
  <c r="BF38" i="67"/>
  <c r="BJ37" i="67"/>
  <c r="BG37" i="67"/>
  <c r="BF37" i="67"/>
  <c r="BJ36" i="67"/>
  <c r="BG36" i="67"/>
  <c r="BF36" i="67"/>
  <c r="BJ35" i="67"/>
  <c r="BG35" i="67"/>
  <c r="BF35" i="67"/>
  <c r="BJ34" i="67"/>
  <c r="BG34" i="67"/>
  <c r="BF34" i="67"/>
  <c r="BJ33" i="67"/>
  <c r="BG33" i="67"/>
  <c r="BF33" i="67"/>
  <c r="BJ32" i="67"/>
  <c r="BG32" i="67"/>
  <c r="BF32" i="67"/>
  <c r="BJ31" i="67"/>
  <c r="BG31" i="67"/>
  <c r="BF31" i="67"/>
  <c r="BJ30" i="67"/>
  <c r="BG30" i="67"/>
  <c r="BF30" i="67"/>
  <c r="BJ29" i="67"/>
  <c r="BG29" i="67"/>
  <c r="BF29" i="67"/>
  <c r="BJ28" i="67"/>
  <c r="BG28" i="67"/>
  <c r="BF28" i="67"/>
  <c r="BJ27" i="67"/>
  <c r="BG27" i="67"/>
  <c r="BF27" i="67"/>
  <c r="BJ26" i="67"/>
  <c r="BG26" i="67"/>
  <c r="BF26" i="67"/>
  <c r="BJ25" i="67"/>
  <c r="BG25" i="67"/>
  <c r="BF25" i="67"/>
  <c r="BJ24" i="67"/>
  <c r="BG24" i="67"/>
  <c r="BF24" i="67"/>
  <c r="BJ23" i="67"/>
  <c r="BG23" i="67"/>
  <c r="BF23" i="67"/>
  <c r="BJ22" i="67"/>
  <c r="BG22" i="67"/>
  <c r="BF22" i="67"/>
  <c r="BJ21" i="67"/>
  <c r="BG21" i="67"/>
  <c r="BF21" i="67"/>
  <c r="BJ20" i="67"/>
  <c r="BG20" i="67"/>
  <c r="BF20" i="67"/>
  <c r="BJ19" i="67"/>
  <c r="BG19" i="67"/>
  <c r="BF19" i="67"/>
  <c r="BJ18" i="67"/>
  <c r="BG18" i="67"/>
  <c r="BF18" i="67"/>
  <c r="BJ17" i="67"/>
  <c r="BG17" i="67"/>
  <c r="BF17" i="67"/>
  <c r="BJ16" i="67"/>
  <c r="BG16" i="67"/>
  <c r="BF16" i="67"/>
  <c r="BJ15" i="67"/>
  <c r="BG15" i="67"/>
  <c r="BF15" i="67"/>
  <c r="BJ14" i="67"/>
  <c r="BG14" i="67"/>
  <c r="BF14" i="67"/>
  <c r="BJ13" i="67"/>
  <c r="BG13" i="67"/>
  <c r="BF13" i="67"/>
  <c r="BJ12" i="67"/>
  <c r="BG12" i="67"/>
  <c r="BF12" i="67"/>
  <c r="BJ11" i="67"/>
  <c r="BG11" i="67"/>
  <c r="BF11" i="67"/>
  <c r="BJ10" i="67"/>
  <c r="BG10" i="67"/>
  <c r="BF10" i="67"/>
  <c r="BJ9" i="67"/>
  <c r="BG9" i="67"/>
  <c r="BF9" i="67"/>
  <c r="BJ8" i="67"/>
  <c r="BG8" i="67"/>
  <c r="BF8" i="67"/>
  <c r="BA208" i="67"/>
  <c r="AZ208" i="67"/>
  <c r="AQ208" i="67"/>
  <c r="AS189" i="67"/>
  <c r="AR189" i="67"/>
  <c r="AS188" i="67"/>
  <c r="AR188" i="67"/>
  <c r="AS186" i="67"/>
  <c r="AR186" i="67"/>
  <c r="AS185" i="67"/>
  <c r="AR185" i="67"/>
  <c r="AS184" i="67"/>
  <c r="AR184" i="67"/>
  <c r="AS183" i="67"/>
  <c r="AR183" i="67"/>
  <c r="AS193" i="67"/>
  <c r="AR193" i="67"/>
  <c r="AS182" i="67"/>
  <c r="AR182" i="67"/>
  <c r="AS181" i="67"/>
  <c r="AR181" i="67"/>
  <c r="AS180" i="67"/>
  <c r="AR180" i="67"/>
  <c r="AS179" i="67"/>
  <c r="AR179" i="67"/>
  <c r="AS178" i="67"/>
  <c r="AR178" i="67"/>
  <c r="AS177" i="67"/>
  <c r="AR177" i="67"/>
  <c r="AS174" i="67"/>
  <c r="AR174" i="67"/>
  <c r="AS173" i="67"/>
  <c r="AR173" i="67"/>
  <c r="AS172" i="67"/>
  <c r="AR172" i="67"/>
  <c r="AS171" i="67"/>
  <c r="AR171" i="67"/>
  <c r="AS170" i="67"/>
  <c r="AR170" i="67"/>
  <c r="AS169" i="67"/>
  <c r="AR169" i="67"/>
  <c r="AS192" i="67"/>
  <c r="AR192" i="67"/>
  <c r="AS168" i="67"/>
  <c r="AR168" i="67"/>
  <c r="AS165" i="67"/>
  <c r="AR165" i="67"/>
  <c r="AS164" i="67"/>
  <c r="AR164" i="67"/>
  <c r="AS191" i="67"/>
  <c r="AR191" i="67"/>
  <c r="AS163" i="67"/>
  <c r="AR163" i="67"/>
  <c r="AS190" i="67"/>
  <c r="AR190" i="67"/>
  <c r="AS187" i="67"/>
  <c r="AR187" i="67"/>
  <c r="AS176" i="67"/>
  <c r="AR176" i="67"/>
  <c r="AS175" i="67"/>
  <c r="AR175" i="67"/>
  <c r="AS167" i="67"/>
  <c r="AR167" i="67"/>
  <c r="AS166" i="67"/>
  <c r="AR166" i="67"/>
  <c r="AS162" i="67"/>
  <c r="AR162" i="67"/>
  <c r="AS161" i="67"/>
  <c r="AR161" i="67"/>
  <c r="AS160" i="67"/>
  <c r="AR160" i="67"/>
  <c r="AS159" i="67"/>
  <c r="AR159" i="67"/>
  <c r="AS158" i="67"/>
  <c r="AR158" i="67"/>
  <c r="AS157" i="67"/>
  <c r="AR157" i="67"/>
  <c r="AS156" i="67"/>
  <c r="AR156" i="67"/>
  <c r="AS155" i="67"/>
  <c r="AR155" i="67"/>
  <c r="AS154" i="67"/>
  <c r="AR154" i="67"/>
  <c r="AS153" i="67"/>
  <c r="AR153" i="67"/>
  <c r="AS152" i="67"/>
  <c r="AR152" i="67"/>
  <c r="AS151" i="67"/>
  <c r="AR151" i="67"/>
  <c r="AS150" i="67"/>
  <c r="AR150" i="67"/>
  <c r="AS149" i="67"/>
  <c r="AR149" i="67"/>
  <c r="AS148" i="67"/>
  <c r="AR148" i="67"/>
  <c r="AS147" i="67"/>
  <c r="AR147" i="67"/>
  <c r="AS146" i="67"/>
  <c r="AR146" i="67"/>
  <c r="AS145" i="67"/>
  <c r="AR145" i="67"/>
  <c r="AS144" i="67"/>
  <c r="AR144" i="67"/>
  <c r="AS143" i="67"/>
  <c r="AR143" i="67"/>
  <c r="AS142" i="67"/>
  <c r="AR142" i="67"/>
  <c r="AS141" i="67"/>
  <c r="AR141" i="67"/>
  <c r="AS140" i="67"/>
  <c r="AR140" i="67"/>
  <c r="AS139" i="67"/>
  <c r="AR139" i="67"/>
  <c r="AS138" i="67"/>
  <c r="AR138" i="67"/>
  <c r="AS137" i="67"/>
  <c r="AR137" i="67"/>
  <c r="AS136" i="67"/>
  <c r="AR136" i="67"/>
  <c r="AS135" i="67"/>
  <c r="AR135" i="67"/>
  <c r="AS134" i="67"/>
  <c r="AR134" i="67"/>
  <c r="AS133" i="67"/>
  <c r="AR133" i="67"/>
  <c r="AS132" i="67"/>
  <c r="AR132" i="67"/>
  <c r="AS131" i="67"/>
  <c r="AR131" i="67"/>
  <c r="AS130" i="67"/>
  <c r="AR130" i="67"/>
  <c r="AS129" i="67"/>
  <c r="AR129" i="67"/>
  <c r="AS128" i="67"/>
  <c r="AR128" i="67"/>
  <c r="AS127" i="67"/>
  <c r="AR127" i="67"/>
  <c r="AS126" i="67"/>
  <c r="AR126" i="67"/>
  <c r="AS125" i="67"/>
  <c r="AR125" i="67"/>
  <c r="AS124" i="67"/>
  <c r="AR124" i="67"/>
  <c r="AS123" i="67"/>
  <c r="AR123" i="67"/>
  <c r="AS122" i="67"/>
  <c r="AR122" i="67"/>
  <c r="AS121" i="67"/>
  <c r="AR121" i="67"/>
  <c r="AS120" i="67"/>
  <c r="AR120" i="67"/>
  <c r="AS119" i="67"/>
  <c r="AR119" i="67"/>
  <c r="AS118" i="67"/>
  <c r="AR118" i="67"/>
  <c r="AS117" i="67"/>
  <c r="AR117" i="67"/>
  <c r="AS116" i="67"/>
  <c r="AR116" i="67"/>
  <c r="AS115" i="67"/>
  <c r="AR115" i="67"/>
  <c r="AS114" i="67"/>
  <c r="AR114" i="67"/>
  <c r="AS113" i="67"/>
  <c r="AR113" i="67"/>
  <c r="AS112" i="67"/>
  <c r="AR112" i="67"/>
  <c r="AS111" i="67"/>
  <c r="AR111" i="67"/>
  <c r="AS110" i="67"/>
  <c r="AR110" i="67"/>
  <c r="AS109" i="67"/>
  <c r="AR109" i="67"/>
  <c r="AS108" i="67"/>
  <c r="AR108" i="67"/>
  <c r="AS107" i="67"/>
  <c r="AR107" i="67"/>
  <c r="AS106" i="67"/>
  <c r="AR106" i="67"/>
  <c r="AS105" i="67"/>
  <c r="AR105" i="67"/>
  <c r="AS104" i="67"/>
  <c r="AR104" i="67"/>
  <c r="AS103" i="67"/>
  <c r="AR103" i="67"/>
  <c r="AS102" i="67"/>
  <c r="AR102" i="67"/>
  <c r="AS101" i="67"/>
  <c r="AR101" i="67"/>
  <c r="AS100" i="67"/>
  <c r="AR100" i="67"/>
  <c r="AS99" i="67"/>
  <c r="AR99" i="67"/>
  <c r="AS98" i="67"/>
  <c r="AR98" i="67"/>
  <c r="AS97" i="67"/>
  <c r="AR97" i="67"/>
  <c r="AS194" i="67"/>
  <c r="AR194" i="67"/>
  <c r="AS96" i="67"/>
  <c r="AR96" i="67"/>
  <c r="AS95" i="67"/>
  <c r="AR95" i="67"/>
  <c r="AS94" i="67"/>
  <c r="AR94" i="67"/>
  <c r="AS93" i="67"/>
  <c r="AR93" i="67"/>
  <c r="AS92" i="67"/>
  <c r="AR92" i="67"/>
  <c r="AS91" i="67"/>
  <c r="AR91" i="67"/>
  <c r="AS90" i="67"/>
  <c r="AR90" i="67"/>
  <c r="AS89" i="67"/>
  <c r="AR89" i="67"/>
  <c r="AS88" i="67"/>
  <c r="AR88" i="67"/>
  <c r="AS87" i="67"/>
  <c r="AR87" i="67"/>
  <c r="AS86" i="67"/>
  <c r="AR86" i="67"/>
  <c r="AS85" i="67"/>
  <c r="AR85" i="67"/>
  <c r="AS84" i="67"/>
  <c r="AR84" i="67"/>
  <c r="AS83" i="67"/>
  <c r="AR83" i="67"/>
  <c r="AS82" i="67"/>
  <c r="AR82" i="67"/>
  <c r="AS81" i="67"/>
  <c r="AR81" i="67"/>
  <c r="AS80" i="67"/>
  <c r="AR80" i="67"/>
  <c r="AS79" i="67"/>
  <c r="AR79" i="67"/>
  <c r="AS78" i="67"/>
  <c r="AR78" i="67"/>
  <c r="AS77" i="67"/>
  <c r="AR77" i="67"/>
  <c r="AS76" i="67"/>
  <c r="AR76" i="67"/>
  <c r="AS75" i="67"/>
  <c r="AR75" i="67"/>
  <c r="AS74" i="67"/>
  <c r="AR74" i="67"/>
  <c r="AS73" i="67"/>
  <c r="AR73" i="67"/>
  <c r="AS72" i="67"/>
  <c r="AR72" i="67"/>
  <c r="AS71" i="67"/>
  <c r="AR71" i="67"/>
  <c r="AS70" i="67"/>
  <c r="AR70" i="67"/>
  <c r="AS69" i="67"/>
  <c r="AR69" i="67"/>
  <c r="AS68" i="67"/>
  <c r="AR68" i="67"/>
  <c r="AS67" i="67"/>
  <c r="AR67" i="67"/>
  <c r="AS66" i="67"/>
  <c r="AR66" i="67"/>
  <c r="AS65" i="67"/>
  <c r="AR65" i="67"/>
  <c r="AS64" i="67"/>
  <c r="AR64" i="67"/>
  <c r="AS63" i="67"/>
  <c r="AR63" i="67"/>
  <c r="AS62" i="67"/>
  <c r="AR62" i="67"/>
  <c r="AS61" i="67"/>
  <c r="AR61" i="67"/>
  <c r="AS60" i="67"/>
  <c r="AR60" i="67"/>
  <c r="AS59" i="67"/>
  <c r="AR59" i="67"/>
  <c r="AS58" i="67"/>
  <c r="AR58" i="67"/>
  <c r="AS57" i="67"/>
  <c r="AR57" i="67"/>
  <c r="AS56" i="67"/>
  <c r="AR56" i="67"/>
  <c r="AS55" i="67"/>
  <c r="AR55" i="67"/>
  <c r="AS54" i="67"/>
  <c r="AR54" i="67"/>
  <c r="AS53" i="67"/>
  <c r="AR53" i="67"/>
  <c r="AS52" i="67"/>
  <c r="AR52" i="67"/>
  <c r="AS51" i="67"/>
  <c r="AR51" i="67"/>
  <c r="AS50" i="67"/>
  <c r="AR50" i="67"/>
  <c r="AS49" i="67"/>
  <c r="AR49" i="67"/>
  <c r="AS48" i="67"/>
  <c r="AR48" i="67"/>
  <c r="AS47" i="67"/>
  <c r="AR47" i="67"/>
  <c r="AS46" i="67"/>
  <c r="AR46" i="67"/>
  <c r="AS45" i="67"/>
  <c r="AR45" i="67"/>
  <c r="AS44" i="67"/>
  <c r="AR44" i="67"/>
  <c r="AS43" i="67"/>
  <c r="AR43" i="67"/>
  <c r="AS42" i="67"/>
  <c r="AR42" i="67"/>
  <c r="AS41" i="67"/>
  <c r="AR41" i="67"/>
  <c r="AS40" i="67"/>
  <c r="AR40" i="67"/>
  <c r="AS39" i="67"/>
  <c r="AR39" i="67"/>
  <c r="AS38" i="67"/>
  <c r="AR38" i="67"/>
  <c r="AS37" i="67"/>
  <c r="AR37" i="67"/>
  <c r="AS36" i="67"/>
  <c r="AR36" i="67"/>
  <c r="AS35" i="67"/>
  <c r="AR35" i="67"/>
  <c r="AS34" i="67"/>
  <c r="AR34" i="67"/>
  <c r="AS33" i="67"/>
  <c r="AR33" i="67"/>
  <c r="AS32" i="67"/>
  <c r="AR32" i="67"/>
  <c r="AS31" i="67"/>
  <c r="AR31" i="67"/>
  <c r="AS30" i="67"/>
  <c r="AR30" i="67"/>
  <c r="AS29" i="67"/>
  <c r="AR29" i="67"/>
  <c r="AS28" i="67"/>
  <c r="AR28" i="67"/>
  <c r="AS27" i="67"/>
  <c r="AR27" i="67"/>
  <c r="AS26" i="67"/>
  <c r="AR26" i="67"/>
  <c r="AS25" i="67"/>
  <c r="AR25" i="67"/>
  <c r="AS24" i="67"/>
  <c r="AR24" i="67"/>
  <c r="AS23" i="67"/>
  <c r="AR23" i="67"/>
  <c r="AS22" i="67"/>
  <c r="AR22" i="67"/>
  <c r="AS21" i="67"/>
  <c r="AR21" i="67"/>
  <c r="AS20" i="67"/>
  <c r="AR20" i="67"/>
  <c r="AS19" i="67"/>
  <c r="AR19" i="67"/>
  <c r="AS18" i="67"/>
  <c r="AR18" i="67"/>
  <c r="AS17" i="67"/>
  <c r="AR17" i="67"/>
  <c r="AS16" i="67"/>
  <c r="AR16" i="67"/>
  <c r="AS15" i="67"/>
  <c r="AR15" i="67"/>
  <c r="AS14" i="67"/>
  <c r="AR14" i="67"/>
  <c r="AS13" i="67"/>
  <c r="AR13" i="67"/>
  <c r="AS12" i="67"/>
  <c r="AR12" i="67"/>
  <c r="AS11" i="67"/>
  <c r="AR11" i="67"/>
  <c r="AS10" i="67"/>
  <c r="AR10" i="67"/>
  <c r="AS9" i="67"/>
  <c r="AR9" i="67"/>
  <c r="AS8" i="67"/>
  <c r="AR8" i="67"/>
  <c r="AM208" i="67"/>
  <c r="AL208" i="67"/>
  <c r="AC208" i="67"/>
  <c r="AH189" i="67"/>
  <c r="AE189" i="67"/>
  <c r="AD189" i="67"/>
  <c r="AH188" i="67"/>
  <c r="AE188" i="67"/>
  <c r="AD188" i="67"/>
  <c r="AH186" i="67"/>
  <c r="AE186" i="67"/>
  <c r="AD186" i="67"/>
  <c r="AH185" i="67"/>
  <c r="AE185" i="67"/>
  <c r="AD185" i="67"/>
  <c r="AH184" i="67"/>
  <c r="AE184" i="67"/>
  <c r="AD184" i="67"/>
  <c r="AH183" i="67"/>
  <c r="AE183" i="67"/>
  <c r="AD183" i="67"/>
  <c r="AH193" i="67"/>
  <c r="AE193" i="67"/>
  <c r="AD193" i="67"/>
  <c r="AH182" i="67"/>
  <c r="AE182" i="67"/>
  <c r="AD182" i="67"/>
  <c r="AH181" i="67"/>
  <c r="AE181" i="67"/>
  <c r="AD181" i="67"/>
  <c r="AH180" i="67"/>
  <c r="AE180" i="67"/>
  <c r="AD180" i="67"/>
  <c r="AH179" i="67"/>
  <c r="AE179" i="67"/>
  <c r="AD179" i="67"/>
  <c r="AH178" i="67"/>
  <c r="AE178" i="67"/>
  <c r="AD178" i="67"/>
  <c r="AH177" i="67"/>
  <c r="AE177" i="67"/>
  <c r="AD177" i="67"/>
  <c r="AH174" i="67"/>
  <c r="AE174" i="67"/>
  <c r="AD174" i="67"/>
  <c r="AH173" i="67"/>
  <c r="AE173" i="67"/>
  <c r="AD173" i="67"/>
  <c r="AH172" i="67"/>
  <c r="AE172" i="67"/>
  <c r="AD172" i="67"/>
  <c r="AH171" i="67"/>
  <c r="AE171" i="67"/>
  <c r="AD171" i="67"/>
  <c r="AH170" i="67"/>
  <c r="AE170" i="67"/>
  <c r="AD170" i="67"/>
  <c r="AH169" i="67"/>
  <c r="AE169" i="67"/>
  <c r="AD169" i="67"/>
  <c r="AH192" i="67"/>
  <c r="AE192" i="67"/>
  <c r="AD192" i="67"/>
  <c r="AH168" i="67"/>
  <c r="AE168" i="67"/>
  <c r="AD168" i="67"/>
  <c r="AH165" i="67"/>
  <c r="AE165" i="67"/>
  <c r="AD165" i="67"/>
  <c r="AH164" i="67"/>
  <c r="AE164" i="67"/>
  <c r="AD164" i="67"/>
  <c r="AH191" i="67"/>
  <c r="AE191" i="67"/>
  <c r="AD191" i="67"/>
  <c r="AH163" i="67"/>
  <c r="AE163" i="67"/>
  <c r="AD163" i="67"/>
  <c r="AH190" i="67"/>
  <c r="AE190" i="67"/>
  <c r="AD190" i="67"/>
  <c r="AH187" i="67"/>
  <c r="AE187" i="67"/>
  <c r="AD187" i="67"/>
  <c r="AH176" i="67"/>
  <c r="AE176" i="67"/>
  <c r="AD176" i="67"/>
  <c r="AH175" i="67"/>
  <c r="AE175" i="67"/>
  <c r="AD175" i="67"/>
  <c r="AH167" i="67"/>
  <c r="AE167" i="67"/>
  <c r="AD167" i="67"/>
  <c r="AH166" i="67"/>
  <c r="AE166" i="67"/>
  <c r="AD166" i="67"/>
  <c r="AH162" i="67"/>
  <c r="AE162" i="67"/>
  <c r="AD162" i="67"/>
  <c r="AH161" i="67"/>
  <c r="AE161" i="67"/>
  <c r="AD161" i="67"/>
  <c r="AH160" i="67"/>
  <c r="AE160" i="67"/>
  <c r="AD160" i="67"/>
  <c r="AH159" i="67"/>
  <c r="AE159" i="67"/>
  <c r="AD159" i="67"/>
  <c r="AH158" i="67"/>
  <c r="AE158" i="67"/>
  <c r="AD158" i="67"/>
  <c r="AH157" i="67"/>
  <c r="AE157" i="67"/>
  <c r="AD157" i="67"/>
  <c r="AH156" i="67"/>
  <c r="AE156" i="67"/>
  <c r="AD156" i="67"/>
  <c r="AH155" i="67"/>
  <c r="AE155" i="67"/>
  <c r="AD155" i="67"/>
  <c r="AH154" i="67"/>
  <c r="AE154" i="67"/>
  <c r="AD154" i="67"/>
  <c r="AH153" i="67"/>
  <c r="AE153" i="67"/>
  <c r="AD153" i="67"/>
  <c r="AH152" i="67"/>
  <c r="AE152" i="67"/>
  <c r="AD152" i="67"/>
  <c r="AH151" i="67"/>
  <c r="AE151" i="67"/>
  <c r="AD151" i="67"/>
  <c r="AH150" i="67"/>
  <c r="AE150" i="67"/>
  <c r="AD150" i="67"/>
  <c r="AH149" i="67"/>
  <c r="AE149" i="67"/>
  <c r="AD149" i="67"/>
  <c r="AH148" i="67"/>
  <c r="AE148" i="67"/>
  <c r="AD148" i="67"/>
  <c r="AH147" i="67"/>
  <c r="AE147" i="67"/>
  <c r="AD147" i="67"/>
  <c r="AH146" i="67"/>
  <c r="AE146" i="67"/>
  <c r="AD146" i="67"/>
  <c r="AH145" i="67"/>
  <c r="AE145" i="67"/>
  <c r="AD145" i="67"/>
  <c r="AH144" i="67"/>
  <c r="AE144" i="67"/>
  <c r="AD144" i="67"/>
  <c r="AH143" i="67"/>
  <c r="AE143" i="67"/>
  <c r="AD143" i="67"/>
  <c r="AH142" i="67"/>
  <c r="AE142" i="67"/>
  <c r="AD142" i="67"/>
  <c r="AH141" i="67"/>
  <c r="AE141" i="67"/>
  <c r="AD141" i="67"/>
  <c r="AH140" i="67"/>
  <c r="AE140" i="67"/>
  <c r="AD140" i="67"/>
  <c r="AH139" i="67"/>
  <c r="AE139" i="67"/>
  <c r="AD139" i="67"/>
  <c r="AH138" i="67"/>
  <c r="AE138" i="67"/>
  <c r="AD138" i="67"/>
  <c r="AH137" i="67"/>
  <c r="AE137" i="67"/>
  <c r="AD137" i="67"/>
  <c r="AH136" i="67"/>
  <c r="AE136" i="67"/>
  <c r="AD136" i="67"/>
  <c r="AH135" i="67"/>
  <c r="AE135" i="67"/>
  <c r="AD135" i="67"/>
  <c r="AH134" i="67"/>
  <c r="AE134" i="67"/>
  <c r="AD134" i="67"/>
  <c r="AH133" i="67"/>
  <c r="AE133" i="67"/>
  <c r="AD133" i="67"/>
  <c r="AH132" i="67"/>
  <c r="AE132" i="67"/>
  <c r="AD132" i="67"/>
  <c r="AH131" i="67"/>
  <c r="AE131" i="67"/>
  <c r="AD131" i="67"/>
  <c r="AH130" i="67"/>
  <c r="AE130" i="67"/>
  <c r="AD130" i="67"/>
  <c r="AH129" i="67"/>
  <c r="AE129" i="67"/>
  <c r="AD129" i="67"/>
  <c r="AH128" i="67"/>
  <c r="AE128" i="67"/>
  <c r="AD128" i="67"/>
  <c r="AH127" i="67"/>
  <c r="AE127" i="67"/>
  <c r="AD127" i="67"/>
  <c r="AH126" i="67"/>
  <c r="AE126" i="67"/>
  <c r="AD126" i="67"/>
  <c r="AH125" i="67"/>
  <c r="AE125" i="67"/>
  <c r="AD125" i="67"/>
  <c r="AH124" i="67"/>
  <c r="AE124" i="67"/>
  <c r="AD124" i="67"/>
  <c r="AH123" i="67"/>
  <c r="AE123" i="67"/>
  <c r="AD123" i="67"/>
  <c r="AH122" i="67"/>
  <c r="AE122" i="67"/>
  <c r="AD122" i="67"/>
  <c r="AH121" i="67"/>
  <c r="AE121" i="67"/>
  <c r="AD121" i="67"/>
  <c r="AH120" i="67"/>
  <c r="AE120" i="67"/>
  <c r="AD120" i="67"/>
  <c r="AH119" i="67"/>
  <c r="AE119" i="67"/>
  <c r="AD119" i="67"/>
  <c r="AH118" i="67"/>
  <c r="AE118" i="67"/>
  <c r="AD118" i="67"/>
  <c r="AH117" i="67"/>
  <c r="AE117" i="67"/>
  <c r="AD117" i="67"/>
  <c r="AH116" i="67"/>
  <c r="AE116" i="67"/>
  <c r="AD116" i="67"/>
  <c r="AH115" i="67"/>
  <c r="AE115" i="67"/>
  <c r="AD115" i="67"/>
  <c r="AH114" i="67"/>
  <c r="AE114" i="67"/>
  <c r="AD114" i="67"/>
  <c r="AH113" i="67"/>
  <c r="AE113" i="67"/>
  <c r="AD113" i="67"/>
  <c r="AH112" i="67"/>
  <c r="AE112" i="67"/>
  <c r="AD112" i="67"/>
  <c r="AH111" i="67"/>
  <c r="AE111" i="67"/>
  <c r="AD111" i="67"/>
  <c r="AH110" i="67"/>
  <c r="AE110" i="67"/>
  <c r="AD110" i="67"/>
  <c r="AH109" i="67"/>
  <c r="AE109" i="67"/>
  <c r="AD109" i="67"/>
  <c r="AH108" i="67"/>
  <c r="AE108" i="67"/>
  <c r="AD108" i="67"/>
  <c r="AH107" i="67"/>
  <c r="AE107" i="67"/>
  <c r="AD107" i="67"/>
  <c r="AH106" i="67"/>
  <c r="AE106" i="67"/>
  <c r="AD106" i="67"/>
  <c r="AH105" i="67"/>
  <c r="AE105" i="67"/>
  <c r="AD105" i="67"/>
  <c r="AH104" i="67"/>
  <c r="AE104" i="67"/>
  <c r="AD104" i="67"/>
  <c r="AH103" i="67"/>
  <c r="AE103" i="67"/>
  <c r="AD103" i="67"/>
  <c r="AH102" i="67"/>
  <c r="AE102" i="67"/>
  <c r="AD102" i="67"/>
  <c r="AH101" i="67"/>
  <c r="AE101" i="67"/>
  <c r="AD101" i="67"/>
  <c r="AH100" i="67"/>
  <c r="AE100" i="67"/>
  <c r="AD100" i="67"/>
  <c r="AH99" i="67"/>
  <c r="AE99" i="67"/>
  <c r="AD99" i="67"/>
  <c r="AH98" i="67"/>
  <c r="AE98" i="67"/>
  <c r="AD98" i="67"/>
  <c r="AH97" i="67"/>
  <c r="AE97" i="67"/>
  <c r="AD97" i="67"/>
  <c r="AH194" i="67"/>
  <c r="AE194" i="67"/>
  <c r="AD194" i="67"/>
  <c r="AH96" i="67"/>
  <c r="AE96" i="67"/>
  <c r="AD96" i="67"/>
  <c r="AH95" i="67"/>
  <c r="AE95" i="67"/>
  <c r="AD95" i="67"/>
  <c r="AH94" i="67"/>
  <c r="AE94" i="67"/>
  <c r="AD94" i="67"/>
  <c r="AH93" i="67"/>
  <c r="AE93" i="67"/>
  <c r="AD93" i="67"/>
  <c r="AH92" i="67"/>
  <c r="AE92" i="67"/>
  <c r="AD92" i="67"/>
  <c r="AH91" i="67"/>
  <c r="AE91" i="67"/>
  <c r="AD91" i="67"/>
  <c r="AH90" i="67"/>
  <c r="AE90" i="67"/>
  <c r="AD90" i="67"/>
  <c r="AH89" i="67"/>
  <c r="AE89" i="67"/>
  <c r="AD89" i="67"/>
  <c r="AH88" i="67"/>
  <c r="AE88" i="67"/>
  <c r="AD88" i="67"/>
  <c r="AH87" i="67"/>
  <c r="AE87" i="67"/>
  <c r="AD87" i="67"/>
  <c r="AH86" i="67"/>
  <c r="AE86" i="67"/>
  <c r="AD86" i="67"/>
  <c r="AH85" i="67"/>
  <c r="AE85" i="67"/>
  <c r="AD85" i="67"/>
  <c r="AH84" i="67"/>
  <c r="AE84" i="67"/>
  <c r="AD84" i="67"/>
  <c r="AH83" i="67"/>
  <c r="AE83" i="67"/>
  <c r="AD83" i="67"/>
  <c r="AH82" i="67"/>
  <c r="AE82" i="67"/>
  <c r="AD82" i="67"/>
  <c r="AH81" i="67"/>
  <c r="AE81" i="67"/>
  <c r="AD81" i="67"/>
  <c r="AH80" i="67"/>
  <c r="AE80" i="67"/>
  <c r="AD80" i="67"/>
  <c r="AH79" i="67"/>
  <c r="AE79" i="67"/>
  <c r="AD79" i="67"/>
  <c r="AH78" i="67"/>
  <c r="AE78" i="67"/>
  <c r="AD78" i="67"/>
  <c r="AH77" i="67"/>
  <c r="AE77" i="67"/>
  <c r="AD77" i="67"/>
  <c r="AH76" i="67"/>
  <c r="AE76" i="67"/>
  <c r="AD76" i="67"/>
  <c r="AH75" i="67"/>
  <c r="AE75" i="67"/>
  <c r="AD75" i="67"/>
  <c r="AH74" i="67"/>
  <c r="AE74" i="67"/>
  <c r="AD74" i="67"/>
  <c r="AH73" i="67"/>
  <c r="AE73" i="67"/>
  <c r="AD73" i="67"/>
  <c r="AH72" i="67"/>
  <c r="AE72" i="67"/>
  <c r="AD72" i="67"/>
  <c r="AH71" i="67"/>
  <c r="AE71" i="67"/>
  <c r="AD71" i="67"/>
  <c r="AH70" i="67"/>
  <c r="AE70" i="67"/>
  <c r="AD70" i="67"/>
  <c r="AH69" i="67"/>
  <c r="AE69" i="67"/>
  <c r="AD69" i="67"/>
  <c r="AH68" i="67"/>
  <c r="AE68" i="67"/>
  <c r="AD68" i="67"/>
  <c r="AH67" i="67"/>
  <c r="AE67" i="67"/>
  <c r="AD67" i="67"/>
  <c r="AH66" i="67"/>
  <c r="AE66" i="67"/>
  <c r="AD66" i="67"/>
  <c r="AH65" i="67"/>
  <c r="AE65" i="67"/>
  <c r="AD65" i="67"/>
  <c r="AH64" i="67"/>
  <c r="AE64" i="67"/>
  <c r="AD64" i="67"/>
  <c r="AH63" i="67"/>
  <c r="AE63" i="67"/>
  <c r="AD63" i="67"/>
  <c r="AH62" i="67"/>
  <c r="AE62" i="67"/>
  <c r="AD62" i="67"/>
  <c r="AH61" i="67"/>
  <c r="AE61" i="67"/>
  <c r="AD61" i="67"/>
  <c r="AH60" i="67"/>
  <c r="AE60" i="67"/>
  <c r="AD60" i="67"/>
  <c r="AH59" i="67"/>
  <c r="AE59" i="67"/>
  <c r="AD59" i="67"/>
  <c r="AH58" i="67"/>
  <c r="AE58" i="67"/>
  <c r="AD58" i="67"/>
  <c r="AH57" i="67"/>
  <c r="AE57" i="67"/>
  <c r="AD57" i="67"/>
  <c r="AH56" i="67"/>
  <c r="AE56" i="67"/>
  <c r="AD56" i="67"/>
  <c r="AH55" i="67"/>
  <c r="AE55" i="67"/>
  <c r="AD55" i="67"/>
  <c r="AH54" i="67"/>
  <c r="AE54" i="67"/>
  <c r="AD54" i="67"/>
  <c r="AH53" i="67"/>
  <c r="AE53" i="67"/>
  <c r="AD53" i="67"/>
  <c r="AH52" i="67"/>
  <c r="AE52" i="67"/>
  <c r="AD52" i="67"/>
  <c r="AH51" i="67"/>
  <c r="AE51" i="67"/>
  <c r="AD51" i="67"/>
  <c r="AH50" i="67"/>
  <c r="AE50" i="67"/>
  <c r="AD50" i="67"/>
  <c r="AH49" i="67"/>
  <c r="AE49" i="67"/>
  <c r="AD49" i="67"/>
  <c r="AH48" i="67"/>
  <c r="AE48" i="67"/>
  <c r="AD48" i="67"/>
  <c r="AH47" i="67"/>
  <c r="AE47" i="67"/>
  <c r="AD47" i="67"/>
  <c r="AH46" i="67"/>
  <c r="AE46" i="67"/>
  <c r="AD46" i="67"/>
  <c r="AH45" i="67"/>
  <c r="AE45" i="67"/>
  <c r="AD45" i="67"/>
  <c r="AH44" i="67"/>
  <c r="AE44" i="67"/>
  <c r="AD44" i="67"/>
  <c r="AH43" i="67"/>
  <c r="AE43" i="67"/>
  <c r="AD43" i="67"/>
  <c r="AH42" i="67"/>
  <c r="AE42" i="67"/>
  <c r="AD42" i="67"/>
  <c r="AH41" i="67"/>
  <c r="AE41" i="67"/>
  <c r="AD41" i="67"/>
  <c r="AH40" i="67"/>
  <c r="AE40" i="67"/>
  <c r="AD40" i="67"/>
  <c r="AH39" i="67"/>
  <c r="AE39" i="67"/>
  <c r="AD39" i="67"/>
  <c r="AH38" i="67"/>
  <c r="AE38" i="67"/>
  <c r="AD38" i="67"/>
  <c r="AH37" i="67"/>
  <c r="AE37" i="67"/>
  <c r="AD37" i="67"/>
  <c r="AH36" i="67"/>
  <c r="AE36" i="67"/>
  <c r="AD36" i="67"/>
  <c r="AH35" i="67"/>
  <c r="AE35" i="67"/>
  <c r="AD35" i="67"/>
  <c r="AH34" i="67"/>
  <c r="AE34" i="67"/>
  <c r="AD34" i="67"/>
  <c r="AH33" i="67"/>
  <c r="AE33" i="67"/>
  <c r="AD33" i="67"/>
  <c r="AH32" i="67"/>
  <c r="AE32" i="67"/>
  <c r="AD32" i="67"/>
  <c r="AH31" i="67"/>
  <c r="AE31" i="67"/>
  <c r="AD31" i="67"/>
  <c r="AH30" i="67"/>
  <c r="AE30" i="67"/>
  <c r="AD30" i="67"/>
  <c r="AH29" i="67"/>
  <c r="AE29" i="67"/>
  <c r="AD29" i="67"/>
  <c r="AH28" i="67"/>
  <c r="AE28" i="67"/>
  <c r="AD28" i="67"/>
  <c r="AH27" i="67"/>
  <c r="AE27" i="67"/>
  <c r="AD27" i="67"/>
  <c r="AH26" i="67"/>
  <c r="AE26" i="67"/>
  <c r="AD26" i="67"/>
  <c r="AH25" i="67"/>
  <c r="AE25" i="67"/>
  <c r="AD25" i="67"/>
  <c r="AH24" i="67"/>
  <c r="AE24" i="67"/>
  <c r="AD24" i="67"/>
  <c r="AH23" i="67"/>
  <c r="AE23" i="67"/>
  <c r="AD23" i="67"/>
  <c r="AH22" i="67"/>
  <c r="AE22" i="67"/>
  <c r="AD22" i="67"/>
  <c r="AH21" i="67"/>
  <c r="AE21" i="67"/>
  <c r="AD21" i="67"/>
  <c r="AH20" i="67"/>
  <c r="AE20" i="67"/>
  <c r="AD20" i="67"/>
  <c r="AH19" i="67"/>
  <c r="AE19" i="67"/>
  <c r="AD19" i="67"/>
  <c r="AH18" i="67"/>
  <c r="AE18" i="67"/>
  <c r="AD18" i="67"/>
  <c r="AH17" i="67"/>
  <c r="AE17" i="67"/>
  <c r="AD17" i="67"/>
  <c r="AH16" i="67"/>
  <c r="AE16" i="67"/>
  <c r="AD16" i="67"/>
  <c r="AH15" i="67"/>
  <c r="AE15" i="67"/>
  <c r="AD15" i="67"/>
  <c r="AH14" i="67"/>
  <c r="AE14" i="67"/>
  <c r="AD14" i="67"/>
  <c r="AH13" i="67"/>
  <c r="AE13" i="67"/>
  <c r="AD13" i="67"/>
  <c r="AH12" i="67"/>
  <c r="AE12" i="67"/>
  <c r="AD12" i="67"/>
  <c r="AH11" i="67"/>
  <c r="AE11" i="67"/>
  <c r="AD11" i="67"/>
  <c r="AH10" i="67"/>
  <c r="AE10" i="67"/>
  <c r="AD10" i="67"/>
  <c r="AH9" i="67"/>
  <c r="AE9" i="67"/>
  <c r="AD9" i="67"/>
  <c r="AH8" i="67"/>
  <c r="AE8" i="67"/>
  <c r="AD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194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6" i="67"/>
  <c r="Q167" i="67"/>
  <c r="Q175" i="67"/>
  <c r="Q176" i="67"/>
  <c r="Q187" i="67"/>
  <c r="Q190" i="67"/>
  <c r="Q163" i="67"/>
  <c r="Q191" i="67"/>
  <c r="Q164" i="67"/>
  <c r="Q165" i="67"/>
  <c r="Q168" i="67"/>
  <c r="Q192" i="67"/>
  <c r="Q169" i="67"/>
  <c r="Q170" i="67"/>
  <c r="Q171" i="67"/>
  <c r="Q172" i="67"/>
  <c r="Q173" i="67"/>
  <c r="Q174" i="67"/>
  <c r="Q177" i="67"/>
  <c r="Q178" i="67"/>
  <c r="Q179" i="67"/>
  <c r="Q180" i="67"/>
  <c r="Q181" i="67"/>
  <c r="Q182" i="67"/>
  <c r="Q193" i="67"/>
  <c r="Q183" i="67"/>
  <c r="Q184" i="67"/>
  <c r="Q185" i="67"/>
  <c r="Q186" i="67"/>
  <c r="Q188" i="67"/>
  <c r="Q189" i="67"/>
  <c r="Q8" i="67"/>
  <c r="T9" i="67"/>
  <c r="T10" i="67"/>
  <c r="T11" i="67"/>
  <c r="T12" i="67"/>
  <c r="T13" i="67"/>
  <c r="T14" i="67"/>
  <c r="T15" i="67"/>
  <c r="T16" i="67"/>
  <c r="T17" i="67"/>
  <c r="T18" i="67"/>
  <c r="T19" i="67"/>
  <c r="T20" i="67"/>
  <c r="T21" i="67"/>
  <c r="T22" i="67"/>
  <c r="T23" i="67"/>
  <c r="T24" i="67"/>
  <c r="T25" i="67"/>
  <c r="T26" i="67"/>
  <c r="T27" i="67"/>
  <c r="T28" i="67"/>
  <c r="T29" i="67"/>
  <c r="T30" i="67"/>
  <c r="T31" i="67"/>
  <c r="T32" i="67"/>
  <c r="T33" i="67"/>
  <c r="T34" i="67"/>
  <c r="T35" i="67"/>
  <c r="T36" i="67"/>
  <c r="T37" i="67"/>
  <c r="T38" i="67"/>
  <c r="T39" i="67"/>
  <c r="T40" i="67"/>
  <c r="T41" i="67"/>
  <c r="T42" i="67"/>
  <c r="T43" i="67"/>
  <c r="T44" i="67"/>
  <c r="T45" i="67"/>
  <c r="T46" i="67"/>
  <c r="T47" i="67"/>
  <c r="T48" i="67"/>
  <c r="T49" i="67"/>
  <c r="T50" i="67"/>
  <c r="T51" i="67"/>
  <c r="T52" i="67"/>
  <c r="T53" i="67"/>
  <c r="T54" i="67"/>
  <c r="T55" i="67"/>
  <c r="T56" i="67"/>
  <c r="T57" i="67"/>
  <c r="T58" i="67"/>
  <c r="T59" i="67"/>
  <c r="T60" i="67"/>
  <c r="T61" i="67"/>
  <c r="T62" i="67"/>
  <c r="T63" i="67"/>
  <c r="T64" i="67"/>
  <c r="T65" i="67"/>
  <c r="T66" i="67"/>
  <c r="T67" i="67"/>
  <c r="T68" i="67"/>
  <c r="T69" i="67"/>
  <c r="T70" i="67"/>
  <c r="T71" i="67"/>
  <c r="T72" i="67"/>
  <c r="T73" i="67"/>
  <c r="T74" i="67"/>
  <c r="T75" i="67"/>
  <c r="T76" i="67"/>
  <c r="T77" i="67"/>
  <c r="T78" i="67"/>
  <c r="T79" i="67"/>
  <c r="T80" i="67"/>
  <c r="T81" i="67"/>
  <c r="T82" i="67"/>
  <c r="T83" i="67"/>
  <c r="T84" i="67"/>
  <c r="T85" i="67"/>
  <c r="T86" i="67"/>
  <c r="T87" i="67"/>
  <c r="T88" i="67"/>
  <c r="T89" i="67"/>
  <c r="T90" i="67"/>
  <c r="T91" i="67"/>
  <c r="T92" i="67"/>
  <c r="T93" i="67"/>
  <c r="T94" i="67"/>
  <c r="T95" i="67"/>
  <c r="T96" i="67"/>
  <c r="T194" i="67"/>
  <c r="T97" i="67"/>
  <c r="T98" i="67"/>
  <c r="T99" i="67"/>
  <c r="T100" i="67"/>
  <c r="T101" i="67"/>
  <c r="T102" i="67"/>
  <c r="T103" i="67"/>
  <c r="T104" i="67"/>
  <c r="T105" i="67"/>
  <c r="T106" i="67"/>
  <c r="T107" i="67"/>
  <c r="T108" i="67"/>
  <c r="T109" i="67"/>
  <c r="T110" i="67"/>
  <c r="T111" i="67"/>
  <c r="T112" i="67"/>
  <c r="T113" i="67"/>
  <c r="T114" i="67"/>
  <c r="T115" i="67"/>
  <c r="T116" i="67"/>
  <c r="T117" i="67"/>
  <c r="T118" i="67"/>
  <c r="T119" i="67"/>
  <c r="T120" i="67"/>
  <c r="T121" i="67"/>
  <c r="T122" i="67"/>
  <c r="T123" i="67"/>
  <c r="T124" i="67"/>
  <c r="T125" i="67"/>
  <c r="T126" i="67"/>
  <c r="T127" i="67"/>
  <c r="T128" i="67"/>
  <c r="T129" i="67"/>
  <c r="T130" i="67"/>
  <c r="T131" i="67"/>
  <c r="T132" i="67"/>
  <c r="T133" i="67"/>
  <c r="T134" i="67"/>
  <c r="T135" i="67"/>
  <c r="T136" i="67"/>
  <c r="T137" i="67"/>
  <c r="T138" i="67"/>
  <c r="T139" i="67"/>
  <c r="T140" i="67"/>
  <c r="T141" i="67"/>
  <c r="T142" i="67"/>
  <c r="T143" i="67"/>
  <c r="T144" i="67"/>
  <c r="T145" i="67"/>
  <c r="T146" i="67"/>
  <c r="T147" i="67"/>
  <c r="T148" i="67"/>
  <c r="T149" i="67"/>
  <c r="T150" i="67"/>
  <c r="T151" i="67"/>
  <c r="T152" i="67"/>
  <c r="T153" i="67"/>
  <c r="T154" i="67"/>
  <c r="T155" i="67"/>
  <c r="T156" i="67"/>
  <c r="T157" i="67"/>
  <c r="T158" i="67"/>
  <c r="T159" i="67"/>
  <c r="T160" i="67"/>
  <c r="T161" i="67"/>
  <c r="T162" i="67"/>
  <c r="T166" i="67"/>
  <c r="T167" i="67"/>
  <c r="T175" i="67"/>
  <c r="T176" i="67"/>
  <c r="T187" i="67"/>
  <c r="T190" i="67"/>
  <c r="T163" i="67"/>
  <c r="T191" i="67"/>
  <c r="T164" i="67"/>
  <c r="T165" i="67"/>
  <c r="T168" i="67"/>
  <c r="T192" i="67"/>
  <c r="T169" i="67"/>
  <c r="T170" i="67"/>
  <c r="T171" i="67"/>
  <c r="T172" i="67"/>
  <c r="T173" i="67"/>
  <c r="T174" i="67"/>
  <c r="T177" i="67"/>
  <c r="T178" i="67"/>
  <c r="T179" i="67"/>
  <c r="T180" i="67"/>
  <c r="T181" i="67"/>
  <c r="T182" i="67"/>
  <c r="T193" i="67"/>
  <c r="T183" i="67"/>
  <c r="T184" i="67"/>
  <c r="T185" i="67"/>
  <c r="T186" i="67"/>
  <c r="T188" i="67"/>
  <c r="T189" i="67"/>
  <c r="T8" i="67"/>
  <c r="J208" i="62"/>
  <c r="K105" i="62"/>
  <c r="K107" i="62"/>
  <c r="K109" i="62"/>
  <c r="K111" i="62"/>
  <c r="K114" i="62"/>
  <c r="K118" i="62"/>
  <c r="K120" i="62"/>
  <c r="K8" i="62"/>
  <c r="K9" i="62"/>
  <c r="K10" i="62"/>
  <c r="K11" i="62"/>
  <c r="K12" i="62"/>
  <c r="K13" i="62"/>
  <c r="K14" i="62"/>
  <c r="K15" i="62"/>
  <c r="K16" i="62"/>
  <c r="K17" i="62"/>
  <c r="K18" i="62"/>
  <c r="K19" i="62"/>
  <c r="K20" i="62"/>
  <c r="K21" i="62"/>
  <c r="K22" i="62"/>
  <c r="K23" i="62"/>
  <c r="K24" i="62"/>
  <c r="K25" i="62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41" i="62"/>
  <c r="K42" i="62"/>
  <c r="K43" i="62"/>
  <c r="K44" i="62"/>
  <c r="K45" i="62"/>
  <c r="K46" i="62"/>
  <c r="K47" i="62"/>
  <c r="K48" i="62"/>
  <c r="K49" i="62"/>
  <c r="K50" i="62"/>
  <c r="K51" i="62"/>
  <c r="K52" i="62"/>
  <c r="K53" i="62"/>
  <c r="K54" i="62"/>
  <c r="K55" i="62"/>
  <c r="K56" i="62"/>
  <c r="K57" i="62"/>
  <c r="K58" i="62"/>
  <c r="K59" i="62"/>
  <c r="K60" i="62"/>
  <c r="K61" i="62"/>
  <c r="K62" i="62"/>
  <c r="K63" i="62"/>
  <c r="K64" i="62"/>
  <c r="K65" i="62"/>
  <c r="K66" i="62"/>
  <c r="K67" i="62"/>
  <c r="K68" i="62"/>
  <c r="K69" i="62"/>
  <c r="K70" i="62"/>
  <c r="K71" i="62"/>
  <c r="K72" i="62"/>
  <c r="K73" i="62"/>
  <c r="K74" i="62"/>
  <c r="K75" i="62"/>
  <c r="K76" i="62"/>
  <c r="K77" i="62"/>
  <c r="K78" i="62"/>
  <c r="K79" i="62"/>
  <c r="K80" i="62"/>
  <c r="K81" i="62"/>
  <c r="K82" i="62"/>
  <c r="K83" i="62"/>
  <c r="K84" i="62"/>
  <c r="K85" i="62"/>
  <c r="K86" i="62"/>
  <c r="K87" i="62"/>
  <c r="K88" i="62"/>
  <c r="K89" i="62"/>
  <c r="K90" i="62"/>
  <c r="K91" i="62"/>
  <c r="K92" i="62"/>
  <c r="K93" i="62"/>
  <c r="K94" i="62"/>
  <c r="K95" i="62"/>
  <c r="K96" i="62"/>
  <c r="K97" i="62"/>
  <c r="K98" i="62"/>
  <c r="K99" i="62"/>
  <c r="K100" i="62"/>
  <c r="K101" i="62"/>
  <c r="K102" i="62"/>
  <c r="K103" i="62"/>
  <c r="K104" i="62"/>
  <c r="K106" i="62"/>
  <c r="K108" i="62"/>
  <c r="K110" i="62"/>
  <c r="K112" i="62"/>
  <c r="K113" i="62"/>
  <c r="K115" i="62"/>
  <c r="K116" i="62"/>
  <c r="K117" i="62"/>
  <c r="K119" i="62"/>
  <c r="K121" i="62"/>
  <c r="K122" i="62"/>
  <c r="K123" i="62"/>
  <c r="K124" i="62"/>
  <c r="K125" i="62"/>
  <c r="K126" i="62"/>
  <c r="K127" i="62"/>
  <c r="K128" i="62"/>
  <c r="K129" i="62"/>
  <c r="K130" i="62"/>
  <c r="K131" i="62"/>
  <c r="K132" i="62"/>
  <c r="K133" i="62"/>
  <c r="K134" i="62"/>
  <c r="K135" i="62"/>
  <c r="K136" i="62"/>
  <c r="K137" i="62"/>
  <c r="K138" i="62"/>
  <c r="K139" i="62"/>
  <c r="K140" i="62"/>
  <c r="K141" i="62"/>
  <c r="K142" i="62"/>
  <c r="K143" i="62"/>
  <c r="K144" i="62"/>
  <c r="K145" i="62"/>
  <c r="K146" i="62"/>
  <c r="K147" i="62"/>
  <c r="K148" i="62"/>
  <c r="K149" i="62"/>
  <c r="K150" i="62"/>
  <c r="K151" i="62"/>
  <c r="K152" i="62"/>
  <c r="K153" i="62"/>
  <c r="K154" i="62"/>
  <c r="K155" i="62"/>
  <c r="K156" i="62"/>
  <c r="K157" i="62"/>
  <c r="K158" i="62"/>
  <c r="K159" i="62"/>
  <c r="K160" i="62"/>
  <c r="K161" i="62"/>
  <c r="K162" i="62"/>
  <c r="K163" i="62"/>
  <c r="K164" i="62"/>
  <c r="K165" i="62"/>
  <c r="K166" i="62"/>
  <c r="K167" i="62"/>
  <c r="K168" i="62"/>
  <c r="K169" i="62"/>
  <c r="K170" i="62"/>
  <c r="K171" i="62"/>
  <c r="K172" i="62"/>
  <c r="K173" i="62"/>
  <c r="K174" i="62"/>
  <c r="K175" i="62"/>
  <c r="K176" i="62"/>
  <c r="K177" i="62"/>
  <c r="K178" i="62"/>
  <c r="K179" i="62"/>
  <c r="K180" i="62"/>
  <c r="K181" i="62"/>
  <c r="K182" i="62"/>
  <c r="K183" i="62"/>
  <c r="K184" i="62"/>
  <c r="K185" i="62"/>
  <c r="K186" i="62"/>
  <c r="K187" i="62"/>
  <c r="K188" i="62"/>
  <c r="K189" i="62"/>
  <c r="K190" i="62"/>
  <c r="K191" i="62"/>
  <c r="K192" i="62"/>
  <c r="K193" i="62"/>
  <c r="K194" i="62"/>
  <c r="K195" i="62"/>
  <c r="K196" i="62"/>
  <c r="K197" i="62"/>
  <c r="K198" i="62"/>
  <c r="K199" i="62"/>
  <c r="K200" i="62"/>
  <c r="K201" i="62"/>
  <c r="K202" i="62"/>
  <c r="K203" i="62"/>
  <c r="K204" i="62"/>
  <c r="K205" i="62"/>
  <c r="K206" i="62"/>
  <c r="K207" i="62"/>
  <c r="CL208" i="67" l="1"/>
  <c r="CI208" i="67"/>
  <c r="CK208" i="67"/>
  <c r="CH208" i="67"/>
  <c r="GO8" i="67"/>
  <c r="GO184" i="67"/>
  <c r="GO180" i="67"/>
  <c r="GO171" i="67"/>
  <c r="GO163" i="67"/>
  <c r="GO162" i="67"/>
  <c r="GO155" i="67"/>
  <c r="GO147" i="67"/>
  <c r="GO140" i="67"/>
  <c r="GO132" i="67"/>
  <c r="GO124" i="67"/>
  <c r="GO116" i="67"/>
  <c r="GO108" i="67"/>
  <c r="GO100" i="67"/>
  <c r="GO93" i="67"/>
  <c r="GO86" i="67"/>
  <c r="GO78" i="67"/>
  <c r="GO70" i="67"/>
  <c r="GO62" i="67"/>
  <c r="GO54" i="67"/>
  <c r="GO46" i="67"/>
  <c r="GO38" i="67"/>
  <c r="GO30" i="67"/>
  <c r="GO24" i="67"/>
  <c r="GO16" i="67"/>
  <c r="GO189" i="67"/>
  <c r="GO201" i="67"/>
  <c r="GO179" i="67"/>
  <c r="GO170" i="67"/>
  <c r="GO190" i="67"/>
  <c r="GO161" i="67"/>
  <c r="GO154" i="67"/>
  <c r="GO146" i="67"/>
  <c r="GO139" i="67"/>
  <c r="GO131" i="67"/>
  <c r="GO123" i="67"/>
  <c r="GO115" i="67"/>
  <c r="GO107" i="67"/>
  <c r="GO99" i="67"/>
  <c r="GO85" i="67"/>
  <c r="GO77" i="67"/>
  <c r="GO69" i="67"/>
  <c r="GO61" i="67"/>
  <c r="GO53" i="67"/>
  <c r="GO45" i="67"/>
  <c r="GO37" i="67"/>
  <c r="GO205" i="67"/>
  <c r="GO23" i="67"/>
  <c r="GO15" i="67"/>
  <c r="GO188" i="67"/>
  <c r="GO200" i="67"/>
  <c r="GO197" i="67"/>
  <c r="GO169" i="67"/>
  <c r="GO187" i="67"/>
  <c r="GO160" i="67"/>
  <c r="GO153" i="67"/>
  <c r="GO145" i="67"/>
  <c r="GO138" i="67"/>
  <c r="GO130" i="67"/>
  <c r="GO122" i="67"/>
  <c r="GO114" i="67"/>
  <c r="GO106" i="67"/>
  <c r="GO98" i="67"/>
  <c r="GO91" i="67"/>
  <c r="GO84" i="67"/>
  <c r="GO76" i="67"/>
  <c r="GO68" i="67"/>
  <c r="GO60" i="67"/>
  <c r="GO52" i="67"/>
  <c r="GO44" i="67"/>
  <c r="GO36" i="67"/>
  <c r="GO204" i="67"/>
  <c r="GO22" i="67"/>
  <c r="GO14" i="67"/>
  <c r="GO206" i="67"/>
  <c r="GO199" i="67"/>
  <c r="GO178" i="67"/>
  <c r="GO192" i="67"/>
  <c r="GO198" i="67"/>
  <c r="GO159" i="67"/>
  <c r="GO152" i="67"/>
  <c r="GO144" i="67"/>
  <c r="GO137" i="67"/>
  <c r="GO129" i="67"/>
  <c r="GO121" i="67"/>
  <c r="GO113" i="67"/>
  <c r="GO105" i="67"/>
  <c r="GO97" i="67"/>
  <c r="GO90" i="67"/>
  <c r="GO83" i="67"/>
  <c r="GO75" i="67"/>
  <c r="GO67" i="67"/>
  <c r="GO59" i="67"/>
  <c r="GO51" i="67"/>
  <c r="GO35" i="67"/>
  <c r="GO29" i="67"/>
  <c r="GO13" i="67"/>
  <c r="GO203" i="67"/>
  <c r="GO183" i="67"/>
  <c r="GO177" i="67"/>
  <c r="GO168" i="67"/>
  <c r="GO176" i="67"/>
  <c r="GO158" i="67"/>
  <c r="GO151" i="67"/>
  <c r="GO143" i="67"/>
  <c r="GO136" i="67"/>
  <c r="GO128" i="67"/>
  <c r="GO120" i="67"/>
  <c r="GO112" i="67"/>
  <c r="GO104" i="67"/>
  <c r="GO194" i="67"/>
  <c r="GO89" i="67"/>
  <c r="GO82" i="67"/>
  <c r="GO74" i="67"/>
  <c r="GO66" i="67"/>
  <c r="GO58" i="67"/>
  <c r="GO50" i="67"/>
  <c r="GO42" i="67"/>
  <c r="GO34" i="67"/>
  <c r="GO28" i="67"/>
  <c r="GO20" i="67"/>
  <c r="GO12" i="67"/>
  <c r="GO186" i="67"/>
  <c r="GO193" i="67"/>
  <c r="GO174" i="67"/>
  <c r="GO165" i="67"/>
  <c r="GO175" i="67"/>
  <c r="GO157" i="67"/>
  <c r="GO150" i="67"/>
  <c r="GO142" i="67"/>
  <c r="GO135" i="67"/>
  <c r="GO127" i="67"/>
  <c r="GO119" i="67"/>
  <c r="GO111" i="67"/>
  <c r="GO103" i="67"/>
  <c r="GO96" i="67"/>
  <c r="GO207" i="67"/>
  <c r="GO81" i="67"/>
  <c r="GO73" i="67"/>
  <c r="GO65" i="67"/>
  <c r="GO57" i="67"/>
  <c r="GO49" i="67"/>
  <c r="GO41" i="67"/>
  <c r="GO33" i="67"/>
  <c r="GO27" i="67"/>
  <c r="GO19" i="67"/>
  <c r="GO11" i="67"/>
  <c r="GO202" i="67"/>
  <c r="GO182" i="67"/>
  <c r="GO173" i="67"/>
  <c r="GO164" i="67"/>
  <c r="GO167" i="67"/>
  <c r="GO196" i="67"/>
  <c r="GO149" i="67"/>
  <c r="GO141" i="67"/>
  <c r="GO126" i="67"/>
  <c r="GO118" i="67"/>
  <c r="GO110" i="67"/>
  <c r="GO102" i="67"/>
  <c r="GO95" i="67"/>
  <c r="GO88" i="67"/>
  <c r="GO80" i="67"/>
  <c r="GO72" i="67"/>
  <c r="GO64" i="67"/>
  <c r="GO56" i="67"/>
  <c r="GO48" i="67"/>
  <c r="GO40" i="67"/>
  <c r="GO32" i="67"/>
  <c r="GO26" i="67"/>
  <c r="GO18" i="67"/>
  <c r="GO10" i="67"/>
  <c r="GO185" i="67"/>
  <c r="GO181" i="67"/>
  <c r="GO172" i="67"/>
  <c r="GO191" i="67"/>
  <c r="GO166" i="67"/>
  <c r="GO156" i="67"/>
  <c r="GO148" i="67"/>
  <c r="GO195" i="67"/>
  <c r="GO133" i="67"/>
  <c r="GO125" i="67"/>
  <c r="GO117" i="67"/>
  <c r="GO109" i="67"/>
  <c r="GO101" i="67"/>
  <c r="GO94" i="67"/>
  <c r="GO87" i="67"/>
  <c r="GO79" i="67"/>
  <c r="GO63" i="67"/>
  <c r="GO55" i="67"/>
  <c r="GO47" i="67"/>
  <c r="GO39" i="67"/>
  <c r="GO31" i="67"/>
  <c r="GO17" i="67"/>
  <c r="GO9" i="67"/>
  <c r="DM208" i="67"/>
  <c r="FU208" i="67"/>
  <c r="FX208" i="67"/>
  <c r="AE208" i="67"/>
  <c r="AF208" i="67"/>
  <c r="AH208" i="67"/>
  <c r="AR208" i="67"/>
  <c r="AS208" i="67"/>
  <c r="BJ208" i="67"/>
  <c r="AT208" i="67"/>
  <c r="AV208" i="67"/>
  <c r="AD208" i="67"/>
  <c r="BU208" i="67"/>
  <c r="BF208" i="67"/>
  <c r="BG208" i="67"/>
  <c r="BX208" i="67"/>
  <c r="BH208" i="67"/>
  <c r="BT208" i="67"/>
  <c r="CW208" i="67"/>
  <c r="CX208" i="67"/>
  <c r="DP208" i="67"/>
  <c r="DA208" i="67"/>
  <c r="DL208" i="67"/>
  <c r="EE208" i="67"/>
  <c r="EB208" i="67"/>
  <c r="EA208" i="67"/>
  <c r="ET208" i="67"/>
  <c r="EP208" i="67"/>
  <c r="EQ208" i="67"/>
  <c r="FE208" i="67"/>
  <c r="FI208" i="67"/>
  <c r="FF208" i="67"/>
  <c r="FT208" i="67"/>
  <c r="P12" i="62" l="1"/>
  <c r="P13" i="62"/>
  <c r="P16" i="62"/>
  <c r="P20" i="62"/>
  <c r="P21" i="62"/>
  <c r="P24" i="62"/>
  <c r="P28" i="62"/>
  <c r="P29" i="62"/>
  <c r="P32" i="62"/>
  <c r="P33" i="62"/>
  <c r="P36" i="62"/>
  <c r="P37" i="62"/>
  <c r="P40" i="62"/>
  <c r="P41" i="62"/>
  <c r="P45" i="62"/>
  <c r="P48" i="62"/>
  <c r="P56" i="62"/>
  <c r="P57" i="62"/>
  <c r="P60" i="62"/>
  <c r="P61" i="62"/>
  <c r="P64" i="62"/>
  <c r="P65" i="62"/>
  <c r="P68" i="62"/>
  <c r="P69" i="62"/>
  <c r="P72" i="62"/>
  <c r="P76" i="62"/>
  <c r="P77" i="62"/>
  <c r="P78" i="62"/>
  <c r="P80" i="62"/>
  <c r="P84" i="62"/>
  <c r="P85" i="62"/>
  <c r="P88" i="62"/>
  <c r="P92" i="62"/>
  <c r="P93" i="62"/>
  <c r="P96" i="62"/>
  <c r="P97" i="62"/>
  <c r="P100" i="62"/>
  <c r="P101" i="62"/>
  <c r="P104" i="62"/>
  <c r="P105" i="62"/>
  <c r="P108" i="62"/>
  <c r="P110" i="62"/>
  <c r="P117" i="62"/>
  <c r="P121" i="62"/>
  <c r="P124" i="62"/>
  <c r="P125" i="62"/>
  <c r="P133" i="62"/>
  <c r="P137" i="62"/>
  <c r="P141" i="62"/>
  <c r="P143" i="62"/>
  <c r="P145" i="62"/>
  <c r="P149" i="62"/>
  <c r="P153" i="62"/>
  <c r="P157" i="62"/>
  <c r="P158" i="62"/>
  <c r="P159" i="62"/>
  <c r="P161" i="62"/>
  <c r="P165" i="62"/>
  <c r="P167" i="62"/>
  <c r="P169" i="62"/>
  <c r="P173" i="62"/>
  <c r="P174" i="62"/>
  <c r="P175" i="62"/>
  <c r="P181" i="62"/>
  <c r="P189" i="62"/>
  <c r="P191" i="62"/>
  <c r="P199" i="62"/>
  <c r="P205" i="62"/>
  <c r="P106" i="62"/>
  <c r="P9" i="62"/>
  <c r="P10" i="62"/>
  <c r="P11" i="62"/>
  <c r="P14" i="62"/>
  <c r="P15" i="62"/>
  <c r="P17" i="62"/>
  <c r="P18" i="62"/>
  <c r="P19" i="62"/>
  <c r="P22" i="62"/>
  <c r="P23" i="62"/>
  <c r="P25" i="62"/>
  <c r="P26" i="62"/>
  <c r="P27" i="62"/>
  <c r="P30" i="62"/>
  <c r="P31" i="62"/>
  <c r="P34" i="62"/>
  <c r="P35" i="62"/>
  <c r="P38" i="62"/>
  <c r="P39" i="62"/>
  <c r="P42" i="62"/>
  <c r="P43" i="62"/>
  <c r="P44" i="62"/>
  <c r="P46" i="62"/>
  <c r="P47" i="62"/>
  <c r="P49" i="62"/>
  <c r="P50" i="62"/>
  <c r="P51" i="62"/>
  <c r="P52" i="62"/>
  <c r="P53" i="62"/>
  <c r="P54" i="62"/>
  <c r="P55" i="62"/>
  <c r="P58" i="62"/>
  <c r="P59" i="62"/>
  <c r="P62" i="62"/>
  <c r="P63" i="62"/>
  <c r="P66" i="62"/>
  <c r="P67" i="62"/>
  <c r="P70" i="62"/>
  <c r="P71" i="62"/>
  <c r="P73" i="62"/>
  <c r="P74" i="62"/>
  <c r="P75" i="62"/>
  <c r="P79" i="62"/>
  <c r="P81" i="62"/>
  <c r="P82" i="62"/>
  <c r="P83" i="62"/>
  <c r="P86" i="62"/>
  <c r="P87" i="62"/>
  <c r="P89" i="62"/>
  <c r="P90" i="62"/>
  <c r="P91" i="62"/>
  <c r="P94" i="62"/>
  <c r="P95" i="62"/>
  <c r="P98" i="62"/>
  <c r="P99" i="62"/>
  <c r="P102" i="62"/>
  <c r="P103" i="62"/>
  <c r="P107" i="62"/>
  <c r="P111" i="62"/>
  <c r="P116" i="62"/>
  <c r="P126" i="62"/>
  <c r="P127" i="62"/>
  <c r="P142" i="62"/>
  <c r="P151" i="62"/>
  <c r="P183" i="62"/>
  <c r="P197" i="62"/>
  <c r="P207" i="62"/>
  <c r="EU112" i="67" l="1"/>
  <c r="EF112" i="67"/>
  <c r="DQ112" i="67"/>
  <c r="DB112" i="67"/>
  <c r="CM112" i="67"/>
  <c r="BY112" i="67"/>
  <c r="AW112" i="67"/>
  <c r="U112" i="67"/>
  <c r="AI112" i="67"/>
  <c r="BK112" i="67"/>
  <c r="EU91" i="67"/>
  <c r="EF91" i="67"/>
  <c r="DQ91" i="67"/>
  <c r="DB91" i="67"/>
  <c r="CM91" i="67"/>
  <c r="BY91" i="67"/>
  <c r="AW91" i="67"/>
  <c r="BK91" i="67"/>
  <c r="AI91" i="67"/>
  <c r="U91" i="67"/>
  <c r="EU79" i="67"/>
  <c r="EF79" i="67"/>
  <c r="DB79" i="67"/>
  <c r="DQ79" i="67"/>
  <c r="CM79" i="67"/>
  <c r="BY79" i="67"/>
  <c r="BK79" i="67"/>
  <c r="AW79" i="67"/>
  <c r="AI79" i="67"/>
  <c r="U79" i="67"/>
  <c r="EF64" i="67"/>
  <c r="EU64" i="67"/>
  <c r="DQ64" i="67"/>
  <c r="DB64" i="67"/>
  <c r="CM64" i="67"/>
  <c r="BY64" i="67"/>
  <c r="AW64" i="67"/>
  <c r="U64" i="67"/>
  <c r="BK64" i="67"/>
  <c r="AI64" i="67"/>
  <c r="EU50" i="67"/>
  <c r="EF50" i="67"/>
  <c r="DQ50" i="67"/>
  <c r="DB50" i="67"/>
  <c r="CM50" i="67"/>
  <c r="BY50" i="67"/>
  <c r="AW50" i="67"/>
  <c r="U50" i="67"/>
  <c r="AI50" i="67"/>
  <c r="BK50" i="67"/>
  <c r="EU40" i="67"/>
  <c r="EF40" i="67"/>
  <c r="DQ40" i="67"/>
  <c r="DB40" i="67"/>
  <c r="CM40" i="67"/>
  <c r="BY40" i="67"/>
  <c r="AW40" i="67"/>
  <c r="U40" i="67"/>
  <c r="AI40" i="67"/>
  <c r="BK40" i="67"/>
  <c r="EU26" i="67"/>
  <c r="EF26" i="67"/>
  <c r="DQ26" i="67"/>
  <c r="DB26" i="67"/>
  <c r="CM26" i="67"/>
  <c r="BY26" i="67"/>
  <c r="U26" i="67"/>
  <c r="AW26" i="67"/>
  <c r="AI26" i="67"/>
  <c r="BK26" i="67"/>
  <c r="EU14" i="67"/>
  <c r="EF14" i="67"/>
  <c r="DQ14" i="67"/>
  <c r="DB14" i="67"/>
  <c r="CM14" i="67"/>
  <c r="BY14" i="67"/>
  <c r="BK14" i="67"/>
  <c r="AW14" i="67"/>
  <c r="AI14" i="67"/>
  <c r="U14" i="67"/>
  <c r="EU161" i="67"/>
  <c r="DQ161" i="67"/>
  <c r="EF161" i="67"/>
  <c r="DB161" i="67"/>
  <c r="CM161" i="67"/>
  <c r="BY161" i="67"/>
  <c r="BK161" i="67"/>
  <c r="AW161" i="67"/>
  <c r="U161" i="67"/>
  <c r="AI161" i="67"/>
  <c r="EU113" i="67"/>
  <c r="EF113" i="67"/>
  <c r="DQ113" i="67"/>
  <c r="DB113" i="67"/>
  <c r="CM113" i="67"/>
  <c r="BY113" i="67"/>
  <c r="BK113" i="67"/>
  <c r="AW113" i="67"/>
  <c r="U113" i="67"/>
  <c r="AI113" i="67"/>
  <c r="EU93" i="67"/>
  <c r="EF93" i="67"/>
  <c r="DQ93" i="67"/>
  <c r="DB93" i="67"/>
  <c r="CM93" i="67"/>
  <c r="BY93" i="67"/>
  <c r="AW93" i="67"/>
  <c r="BK93" i="67"/>
  <c r="AI93" i="67"/>
  <c r="U93" i="67"/>
  <c r="EU75" i="67"/>
  <c r="EF75" i="67"/>
  <c r="DB75" i="67"/>
  <c r="DQ75" i="67"/>
  <c r="CM75" i="67"/>
  <c r="BY75" i="67"/>
  <c r="BK75" i="67"/>
  <c r="AW75" i="67"/>
  <c r="U75" i="67"/>
  <c r="AI75" i="67"/>
  <c r="EU58" i="67"/>
  <c r="EF58" i="67"/>
  <c r="DQ58" i="67"/>
  <c r="DB58" i="67"/>
  <c r="CM58" i="67"/>
  <c r="BY58" i="67"/>
  <c r="AW58" i="67"/>
  <c r="BK58" i="67"/>
  <c r="U58" i="67"/>
  <c r="AI58" i="67"/>
  <c r="EU34" i="67"/>
  <c r="EF34" i="67"/>
  <c r="DQ34" i="67"/>
  <c r="DB34" i="67"/>
  <c r="CM34" i="67"/>
  <c r="U34" i="67"/>
  <c r="BY34" i="67"/>
  <c r="AI34" i="67"/>
  <c r="BK34" i="67"/>
  <c r="AW34" i="67"/>
  <c r="EU16" i="67"/>
  <c r="EF16" i="67"/>
  <c r="DQ16" i="67"/>
  <c r="DB16" i="67"/>
  <c r="CM16" i="67"/>
  <c r="BY16" i="67"/>
  <c r="BK16" i="67"/>
  <c r="AI16" i="67"/>
  <c r="AW16" i="67"/>
  <c r="U16" i="67"/>
  <c r="EU189" i="67"/>
  <c r="DQ189" i="67"/>
  <c r="EF189" i="67"/>
  <c r="DB189" i="67"/>
  <c r="CM189" i="67"/>
  <c r="BY189" i="67"/>
  <c r="BK189" i="67"/>
  <c r="AW189" i="67"/>
  <c r="U189" i="67"/>
  <c r="AI189" i="67"/>
  <c r="EU107" i="67"/>
  <c r="EF107" i="67"/>
  <c r="DB107" i="67"/>
  <c r="DQ107" i="67"/>
  <c r="CM107" i="67"/>
  <c r="BY107" i="67"/>
  <c r="BK107" i="67"/>
  <c r="AW107" i="67"/>
  <c r="U107" i="67"/>
  <c r="AI107" i="67"/>
  <c r="EU77" i="67"/>
  <c r="EF77" i="67"/>
  <c r="DB77" i="67"/>
  <c r="DQ77" i="67"/>
  <c r="CM77" i="67"/>
  <c r="BY77" i="67"/>
  <c r="BK77" i="67"/>
  <c r="AW77" i="67"/>
  <c r="U77" i="67"/>
  <c r="AI77" i="67"/>
  <c r="EU61" i="67"/>
  <c r="EF61" i="67"/>
  <c r="DB61" i="67"/>
  <c r="DQ61" i="67"/>
  <c r="CM61" i="67"/>
  <c r="BY61" i="67"/>
  <c r="BK61" i="67"/>
  <c r="AW61" i="67"/>
  <c r="U61" i="67"/>
  <c r="AI61" i="67"/>
  <c r="EU49" i="67"/>
  <c r="EF49" i="67"/>
  <c r="DB49" i="67"/>
  <c r="DQ49" i="67"/>
  <c r="BY49" i="67"/>
  <c r="BK49" i="67"/>
  <c r="CM49" i="67"/>
  <c r="AW49" i="67"/>
  <c r="U49" i="67"/>
  <c r="AI49" i="67"/>
  <c r="EU37" i="67"/>
  <c r="DQ37" i="67"/>
  <c r="EF37" i="67"/>
  <c r="CM37" i="67"/>
  <c r="DB37" i="67"/>
  <c r="BY37" i="67"/>
  <c r="BK37" i="67"/>
  <c r="AW37" i="67"/>
  <c r="U37" i="67"/>
  <c r="AI37" i="67"/>
  <c r="EU25" i="67"/>
  <c r="DQ25" i="67"/>
  <c r="EF25" i="67"/>
  <c r="DB25" i="67"/>
  <c r="CM25" i="67"/>
  <c r="BY25" i="67"/>
  <c r="BK25" i="67"/>
  <c r="AW25" i="67"/>
  <c r="AI25" i="67"/>
  <c r="U25" i="67"/>
  <c r="EU11" i="67"/>
  <c r="EF11" i="67"/>
  <c r="DQ11" i="67"/>
  <c r="DB11" i="67"/>
  <c r="CM11" i="67"/>
  <c r="BY11" i="67"/>
  <c r="BK11" i="67"/>
  <c r="AW11" i="67"/>
  <c r="U11" i="67"/>
  <c r="AI11" i="67"/>
  <c r="EU179" i="67"/>
  <c r="DQ179" i="67"/>
  <c r="EF179" i="67"/>
  <c r="DB179" i="67"/>
  <c r="CM179" i="67"/>
  <c r="BY179" i="67"/>
  <c r="BK179" i="67"/>
  <c r="AW179" i="67"/>
  <c r="U179" i="67"/>
  <c r="AI179" i="67"/>
  <c r="EU159" i="67"/>
  <c r="DQ159" i="67"/>
  <c r="EF159" i="67"/>
  <c r="DB159" i="67"/>
  <c r="CM159" i="67"/>
  <c r="BY159" i="67"/>
  <c r="BK159" i="67"/>
  <c r="AW159" i="67"/>
  <c r="U159" i="67"/>
  <c r="AI159" i="67"/>
  <c r="EU139" i="67"/>
  <c r="DQ139" i="67"/>
  <c r="EF139" i="67"/>
  <c r="DB139" i="67"/>
  <c r="CM139" i="67"/>
  <c r="BY139" i="67"/>
  <c r="BK139" i="67"/>
  <c r="AW139" i="67"/>
  <c r="U139" i="67"/>
  <c r="AI139" i="67"/>
  <c r="EU106" i="67"/>
  <c r="EF106" i="67"/>
  <c r="DQ106" i="67"/>
  <c r="DB106" i="67"/>
  <c r="CM106" i="67"/>
  <c r="BY106" i="67"/>
  <c r="AW106" i="67"/>
  <c r="BK106" i="67"/>
  <c r="AI106" i="67"/>
  <c r="U106" i="67"/>
  <c r="EU90" i="67"/>
  <c r="EF90" i="67"/>
  <c r="DB90" i="67"/>
  <c r="DQ90" i="67"/>
  <c r="CM90" i="67"/>
  <c r="BY90" i="67"/>
  <c r="BK90" i="67"/>
  <c r="AW90" i="67"/>
  <c r="U90" i="67"/>
  <c r="AI90" i="67"/>
  <c r="EU74" i="67"/>
  <c r="EF74" i="67"/>
  <c r="DQ74" i="67"/>
  <c r="DB74" i="67"/>
  <c r="CM74" i="67"/>
  <c r="BY74" i="67"/>
  <c r="AW74" i="67"/>
  <c r="BK74" i="67"/>
  <c r="U74" i="67"/>
  <c r="AI74" i="67"/>
  <c r="EU55" i="67"/>
  <c r="EF55" i="67"/>
  <c r="DB55" i="67"/>
  <c r="DQ55" i="67"/>
  <c r="CM55" i="67"/>
  <c r="BY55" i="67"/>
  <c r="BK55" i="67"/>
  <c r="AW55" i="67"/>
  <c r="AI55" i="67"/>
  <c r="U55" i="67"/>
  <c r="EU31" i="67"/>
  <c r="EF31" i="67"/>
  <c r="DQ31" i="67"/>
  <c r="DB31" i="67"/>
  <c r="CM31" i="67"/>
  <c r="BY31" i="67"/>
  <c r="BK31" i="67"/>
  <c r="AW31" i="67"/>
  <c r="AI31" i="67"/>
  <c r="U31" i="67"/>
  <c r="EU13" i="67"/>
  <c r="EF13" i="67"/>
  <c r="DQ13" i="67"/>
  <c r="DB13" i="67"/>
  <c r="CM13" i="67"/>
  <c r="BY13" i="67"/>
  <c r="BK13" i="67"/>
  <c r="AW13" i="67"/>
  <c r="U13" i="67"/>
  <c r="AI13" i="67"/>
  <c r="EU103" i="67"/>
  <c r="EF103" i="67"/>
  <c r="DB103" i="67"/>
  <c r="DQ103" i="67"/>
  <c r="CM103" i="67"/>
  <c r="BY103" i="67"/>
  <c r="BK103" i="67"/>
  <c r="AW103" i="67"/>
  <c r="U103" i="67"/>
  <c r="AI103" i="67"/>
  <c r="EU73" i="67"/>
  <c r="EF73" i="67"/>
  <c r="DB73" i="67"/>
  <c r="DQ73" i="67"/>
  <c r="CM73" i="67"/>
  <c r="BY73" i="67"/>
  <c r="BK73" i="67"/>
  <c r="AW73" i="67"/>
  <c r="U73" i="67"/>
  <c r="AI73" i="67"/>
  <c r="EU60" i="67"/>
  <c r="EF60" i="67"/>
  <c r="DQ60" i="67"/>
  <c r="DB60" i="67"/>
  <c r="CM60" i="67"/>
  <c r="BY60" i="67"/>
  <c r="AW60" i="67"/>
  <c r="BK60" i="67"/>
  <c r="AI60" i="67"/>
  <c r="U60" i="67"/>
  <c r="EU48" i="67"/>
  <c r="EF48" i="67"/>
  <c r="DQ48" i="67"/>
  <c r="DB48" i="67"/>
  <c r="CM48" i="67"/>
  <c r="BY48" i="67"/>
  <c r="AW48" i="67"/>
  <c r="U48" i="67"/>
  <c r="BK48" i="67"/>
  <c r="AI48" i="67"/>
  <c r="EU36" i="67"/>
  <c r="EF36" i="67"/>
  <c r="DQ36" i="67"/>
  <c r="DB36" i="67"/>
  <c r="CM36" i="67"/>
  <c r="BY36" i="67"/>
  <c r="AW36" i="67"/>
  <c r="AI36" i="67"/>
  <c r="BK36" i="67"/>
  <c r="U36" i="67"/>
  <c r="EU23" i="67"/>
  <c r="DQ23" i="67"/>
  <c r="EF23" i="67"/>
  <c r="CM23" i="67"/>
  <c r="DB23" i="67"/>
  <c r="BY23" i="67"/>
  <c r="BK23" i="67"/>
  <c r="AW23" i="67"/>
  <c r="U23" i="67"/>
  <c r="AI23" i="67"/>
  <c r="EU10" i="67"/>
  <c r="EF10" i="67"/>
  <c r="DQ10" i="67"/>
  <c r="DB10" i="67"/>
  <c r="CM10" i="67"/>
  <c r="BY10" i="67"/>
  <c r="U10" i="67"/>
  <c r="AW10" i="67"/>
  <c r="AI10" i="67"/>
  <c r="BK10" i="67"/>
  <c r="EU178" i="67"/>
  <c r="DQ178" i="67"/>
  <c r="EF178" i="67"/>
  <c r="DB178" i="67"/>
  <c r="CM178" i="67"/>
  <c r="BY178" i="67"/>
  <c r="BK178" i="67"/>
  <c r="AW178" i="67"/>
  <c r="U178" i="67"/>
  <c r="AI178" i="67"/>
  <c r="EU156" i="67"/>
  <c r="DQ156" i="67"/>
  <c r="EF156" i="67"/>
  <c r="DB156" i="67"/>
  <c r="CM156" i="67"/>
  <c r="BY156" i="67"/>
  <c r="BK156" i="67"/>
  <c r="AW156" i="67"/>
  <c r="AI156" i="67"/>
  <c r="U156" i="67"/>
  <c r="EU137" i="67"/>
  <c r="DQ137" i="67"/>
  <c r="EF137" i="67"/>
  <c r="DB137" i="67"/>
  <c r="CM137" i="67"/>
  <c r="BY137" i="67"/>
  <c r="BK137" i="67"/>
  <c r="AW137" i="67"/>
  <c r="U137" i="67"/>
  <c r="AI137" i="67"/>
  <c r="EU104" i="67"/>
  <c r="EF104" i="67"/>
  <c r="DQ104" i="67"/>
  <c r="DB104" i="67"/>
  <c r="CM104" i="67"/>
  <c r="BY104" i="67"/>
  <c r="AW104" i="67"/>
  <c r="BK104" i="67"/>
  <c r="U104" i="67"/>
  <c r="AI104" i="67"/>
  <c r="EU54" i="67"/>
  <c r="EF54" i="67"/>
  <c r="DQ54" i="67"/>
  <c r="DB54" i="67"/>
  <c r="CM54" i="67"/>
  <c r="BY54" i="67"/>
  <c r="AW54" i="67"/>
  <c r="AI54" i="67"/>
  <c r="BK54" i="67"/>
  <c r="U54" i="67"/>
  <c r="EU30" i="67"/>
  <c r="EF30" i="67"/>
  <c r="DQ30" i="67"/>
  <c r="DB30" i="67"/>
  <c r="CM30" i="67"/>
  <c r="BY30" i="67"/>
  <c r="BK30" i="67"/>
  <c r="AI30" i="67"/>
  <c r="AW30" i="67"/>
  <c r="U30" i="67"/>
  <c r="EU12" i="67"/>
  <c r="EF12" i="67"/>
  <c r="DQ12" i="67"/>
  <c r="DB12" i="67"/>
  <c r="CM12" i="67"/>
  <c r="BY12" i="67"/>
  <c r="BK12" i="67"/>
  <c r="AW12" i="67"/>
  <c r="U12" i="67"/>
  <c r="AI12" i="67"/>
  <c r="EU70" i="67"/>
  <c r="EF70" i="67"/>
  <c r="DQ70" i="67"/>
  <c r="DB70" i="67"/>
  <c r="CM70" i="67"/>
  <c r="BY70" i="67"/>
  <c r="AW70" i="67"/>
  <c r="AI70" i="67"/>
  <c r="BK70" i="67"/>
  <c r="U70" i="67"/>
  <c r="EU170" i="67"/>
  <c r="DQ170" i="67"/>
  <c r="EF170" i="67"/>
  <c r="DB170" i="67"/>
  <c r="CM170" i="67"/>
  <c r="BY170" i="67"/>
  <c r="BK170" i="67"/>
  <c r="AW170" i="67"/>
  <c r="AI170" i="67"/>
  <c r="U170" i="67"/>
  <c r="EU99" i="67"/>
  <c r="EF99" i="67"/>
  <c r="DB99" i="67"/>
  <c r="DQ99" i="67"/>
  <c r="CM99" i="67"/>
  <c r="BY99" i="67"/>
  <c r="BK99" i="67"/>
  <c r="AW99" i="67"/>
  <c r="U99" i="67"/>
  <c r="AI99" i="67"/>
  <c r="EU87" i="67"/>
  <c r="EF87" i="67"/>
  <c r="DB87" i="67"/>
  <c r="DQ87" i="67"/>
  <c r="CM87" i="67"/>
  <c r="BY87" i="67"/>
  <c r="BK87" i="67"/>
  <c r="AW87" i="67"/>
  <c r="AI87" i="67"/>
  <c r="U87" i="67"/>
  <c r="EU72" i="67"/>
  <c r="EF72" i="67"/>
  <c r="DQ72" i="67"/>
  <c r="DB72" i="67"/>
  <c r="CM72" i="67"/>
  <c r="BY72" i="67"/>
  <c r="AW72" i="67"/>
  <c r="U72" i="67"/>
  <c r="AI72" i="67"/>
  <c r="BK72" i="67"/>
  <c r="EU57" i="67"/>
  <c r="EF57" i="67"/>
  <c r="DB57" i="67"/>
  <c r="DQ57" i="67"/>
  <c r="CM57" i="67"/>
  <c r="BY57" i="67"/>
  <c r="BK57" i="67"/>
  <c r="AW57" i="67"/>
  <c r="U57" i="67"/>
  <c r="AI57" i="67"/>
  <c r="EU47" i="67"/>
  <c r="EF47" i="67"/>
  <c r="DB47" i="67"/>
  <c r="DQ47" i="67"/>
  <c r="BY47" i="67"/>
  <c r="CM47" i="67"/>
  <c r="BK47" i="67"/>
  <c r="AW47" i="67"/>
  <c r="AI47" i="67"/>
  <c r="U47" i="67"/>
  <c r="EU33" i="67"/>
  <c r="EF33" i="67"/>
  <c r="DQ33" i="67"/>
  <c r="DB33" i="67"/>
  <c r="CM33" i="67"/>
  <c r="BY33" i="67"/>
  <c r="BK33" i="67"/>
  <c r="AW33" i="67"/>
  <c r="U33" i="67"/>
  <c r="AI33" i="67"/>
  <c r="EU22" i="67"/>
  <c r="EF22" i="67"/>
  <c r="DQ22" i="67"/>
  <c r="DB22" i="67"/>
  <c r="CM22" i="67"/>
  <c r="BY22" i="67"/>
  <c r="AI22" i="67"/>
  <c r="U22" i="67"/>
  <c r="BK22" i="67"/>
  <c r="AW22" i="67"/>
  <c r="EU9" i="67"/>
  <c r="DQ9" i="67"/>
  <c r="EF9" i="67"/>
  <c r="DB9" i="67"/>
  <c r="CM9" i="67"/>
  <c r="BY9" i="67"/>
  <c r="BK9" i="67"/>
  <c r="AW9" i="67"/>
  <c r="AI9" i="67"/>
  <c r="U9" i="67"/>
  <c r="EU192" i="67"/>
  <c r="DQ192" i="67"/>
  <c r="EF192" i="67"/>
  <c r="DB192" i="67"/>
  <c r="CM192" i="67"/>
  <c r="BY192" i="67"/>
  <c r="BK192" i="67"/>
  <c r="AW192" i="67"/>
  <c r="U192" i="67"/>
  <c r="AI192" i="67"/>
  <c r="EU154" i="67"/>
  <c r="DQ154" i="67"/>
  <c r="EF154" i="67"/>
  <c r="DB154" i="67"/>
  <c r="CM154" i="67"/>
  <c r="BY154" i="67"/>
  <c r="BK154" i="67"/>
  <c r="AW154" i="67"/>
  <c r="U154" i="67"/>
  <c r="AI154" i="67"/>
  <c r="EU133" i="67"/>
  <c r="DQ133" i="67"/>
  <c r="EF133" i="67"/>
  <c r="DB133" i="67"/>
  <c r="CM133" i="67"/>
  <c r="BY133" i="67"/>
  <c r="BK133" i="67"/>
  <c r="AW133" i="67"/>
  <c r="AI133" i="67"/>
  <c r="U133" i="67"/>
  <c r="EU101" i="67"/>
  <c r="EF101" i="67"/>
  <c r="DB101" i="67"/>
  <c r="DQ101" i="67"/>
  <c r="CM101" i="67"/>
  <c r="BY101" i="67"/>
  <c r="BK101" i="67"/>
  <c r="AW101" i="67"/>
  <c r="AI101" i="67"/>
  <c r="U101" i="67"/>
  <c r="EU86" i="67"/>
  <c r="EF86" i="67"/>
  <c r="DQ86" i="67"/>
  <c r="DB86" i="67"/>
  <c r="CM86" i="67"/>
  <c r="BY86" i="67"/>
  <c r="AW86" i="67"/>
  <c r="AI86" i="67"/>
  <c r="BK86" i="67"/>
  <c r="U86" i="67"/>
  <c r="EU67" i="67"/>
  <c r="EF67" i="67"/>
  <c r="DB67" i="67"/>
  <c r="DQ67" i="67"/>
  <c r="CM67" i="67"/>
  <c r="BY67" i="67"/>
  <c r="BK67" i="67"/>
  <c r="AW67" i="67"/>
  <c r="U67" i="67"/>
  <c r="AI67" i="67"/>
  <c r="EU46" i="67"/>
  <c r="EF46" i="67"/>
  <c r="DQ46" i="67"/>
  <c r="DB46" i="67"/>
  <c r="CM46" i="67"/>
  <c r="BY46" i="67"/>
  <c r="AW46" i="67"/>
  <c r="BK46" i="67"/>
  <c r="AI46" i="67"/>
  <c r="U46" i="67"/>
  <c r="EU29" i="67"/>
  <c r="EF29" i="67"/>
  <c r="DQ29" i="67"/>
  <c r="DB29" i="67"/>
  <c r="CM29" i="67"/>
  <c r="BY29" i="67"/>
  <c r="BK29" i="67"/>
  <c r="AW29" i="67"/>
  <c r="U29" i="67"/>
  <c r="AI29" i="67"/>
  <c r="EU88" i="67"/>
  <c r="EF88" i="67"/>
  <c r="DQ88" i="67"/>
  <c r="DB88" i="67"/>
  <c r="CM88" i="67"/>
  <c r="BY88" i="67"/>
  <c r="AW88" i="67"/>
  <c r="U88" i="67"/>
  <c r="AI88" i="67"/>
  <c r="BK88" i="67"/>
  <c r="EU89" i="67"/>
  <c r="EF89" i="67"/>
  <c r="DQ89" i="67"/>
  <c r="DB89" i="67"/>
  <c r="CM89" i="67"/>
  <c r="BY89" i="67"/>
  <c r="AW89" i="67"/>
  <c r="BK89" i="67"/>
  <c r="U89" i="67"/>
  <c r="AI89" i="67"/>
  <c r="EU146" i="67"/>
  <c r="DQ146" i="67"/>
  <c r="EF146" i="67"/>
  <c r="DB146" i="67"/>
  <c r="CM146" i="67"/>
  <c r="BY146" i="67"/>
  <c r="BK146" i="67"/>
  <c r="AW146" i="67"/>
  <c r="U146" i="67"/>
  <c r="AI146" i="67"/>
  <c r="EU98" i="67"/>
  <c r="EF98" i="67"/>
  <c r="DQ98" i="67"/>
  <c r="DB98" i="67"/>
  <c r="CM98" i="67"/>
  <c r="BY98" i="67"/>
  <c r="AW98" i="67"/>
  <c r="AI98" i="67"/>
  <c r="BK98" i="67"/>
  <c r="U98" i="67"/>
  <c r="EU85" i="67"/>
  <c r="EF85" i="67"/>
  <c r="DB85" i="67"/>
  <c r="DQ85" i="67"/>
  <c r="CM85" i="67"/>
  <c r="BY85" i="67"/>
  <c r="BK85" i="67"/>
  <c r="AW85" i="67"/>
  <c r="U85" i="67"/>
  <c r="AI85" i="67"/>
  <c r="EU71" i="67"/>
  <c r="EF71" i="67"/>
  <c r="DB71" i="67"/>
  <c r="DQ71" i="67"/>
  <c r="CM71" i="67"/>
  <c r="BY71" i="67"/>
  <c r="BK71" i="67"/>
  <c r="AW71" i="67"/>
  <c r="AI71" i="67"/>
  <c r="U71" i="67"/>
  <c r="EU56" i="67"/>
  <c r="EF56" i="67"/>
  <c r="DQ56" i="67"/>
  <c r="DB56" i="67"/>
  <c r="CM56" i="67"/>
  <c r="BY56" i="67"/>
  <c r="AW56" i="67"/>
  <c r="U56" i="67"/>
  <c r="AI56" i="67"/>
  <c r="BK56" i="67"/>
  <c r="EU45" i="67"/>
  <c r="EF45" i="67"/>
  <c r="DB45" i="67"/>
  <c r="DQ45" i="67"/>
  <c r="CM45" i="67"/>
  <c r="BY45" i="67"/>
  <c r="BK45" i="67"/>
  <c r="AW45" i="67"/>
  <c r="U45" i="67"/>
  <c r="AI45" i="67"/>
  <c r="EU32" i="67"/>
  <c r="EF32" i="67"/>
  <c r="DQ32" i="67"/>
  <c r="DB32" i="67"/>
  <c r="CM32" i="67"/>
  <c r="BY32" i="67"/>
  <c r="U32" i="67"/>
  <c r="AW32" i="67"/>
  <c r="BK32" i="67"/>
  <c r="AI32" i="67"/>
  <c r="EU19" i="67"/>
  <c r="EF19" i="67"/>
  <c r="DQ19" i="67"/>
  <c r="DB19" i="67"/>
  <c r="CM19" i="67"/>
  <c r="BY19" i="67"/>
  <c r="BK19" i="67"/>
  <c r="AW19" i="67"/>
  <c r="U19" i="67"/>
  <c r="AI19" i="67"/>
  <c r="EU190" i="67"/>
  <c r="DQ190" i="67"/>
  <c r="EF190" i="67"/>
  <c r="DB190" i="67"/>
  <c r="CM190" i="67"/>
  <c r="BY190" i="67"/>
  <c r="BK190" i="67"/>
  <c r="AW190" i="67"/>
  <c r="U190" i="67"/>
  <c r="AI190" i="67"/>
  <c r="EU153" i="67"/>
  <c r="EF153" i="67"/>
  <c r="DQ153" i="67"/>
  <c r="DB153" i="67"/>
  <c r="CM153" i="67"/>
  <c r="BY153" i="67"/>
  <c r="AW153" i="67"/>
  <c r="BK153" i="67"/>
  <c r="AI153" i="67"/>
  <c r="U153" i="67"/>
  <c r="EU129" i="67"/>
  <c r="EF129" i="67"/>
  <c r="DQ129" i="67"/>
  <c r="DB129" i="67"/>
  <c r="CM129" i="67"/>
  <c r="BY129" i="67"/>
  <c r="BK129" i="67"/>
  <c r="AW129" i="67"/>
  <c r="U129" i="67"/>
  <c r="AI129" i="67"/>
  <c r="EU100" i="67"/>
  <c r="EF100" i="67"/>
  <c r="DQ100" i="67"/>
  <c r="DB100" i="67"/>
  <c r="CM100" i="67"/>
  <c r="BY100" i="67"/>
  <c r="AW100" i="67"/>
  <c r="AI100" i="67"/>
  <c r="BK100" i="67"/>
  <c r="U100" i="67"/>
  <c r="EU83" i="67"/>
  <c r="EF83" i="67"/>
  <c r="DB83" i="67"/>
  <c r="DQ83" i="67"/>
  <c r="CM83" i="67"/>
  <c r="BY83" i="67"/>
  <c r="BK83" i="67"/>
  <c r="AW83" i="67"/>
  <c r="U83" i="67"/>
  <c r="AI83" i="67"/>
  <c r="EF66" i="67"/>
  <c r="EU66" i="67"/>
  <c r="DQ66" i="67"/>
  <c r="DB66" i="67"/>
  <c r="CM66" i="67"/>
  <c r="BY66" i="67"/>
  <c r="AW66" i="67"/>
  <c r="U66" i="67"/>
  <c r="AI66" i="67"/>
  <c r="BK66" i="67"/>
  <c r="EU43" i="67"/>
  <c r="EF43" i="67"/>
  <c r="DQ43" i="67"/>
  <c r="DB43" i="67"/>
  <c r="CM43" i="67"/>
  <c r="BY43" i="67"/>
  <c r="BK43" i="67"/>
  <c r="AW43" i="67"/>
  <c r="U43" i="67"/>
  <c r="AI43" i="67"/>
  <c r="EU28" i="67"/>
  <c r="EF28" i="67"/>
  <c r="DQ28" i="67"/>
  <c r="DB28" i="67"/>
  <c r="CM28" i="67"/>
  <c r="BY28" i="67"/>
  <c r="BK28" i="67"/>
  <c r="AW28" i="67"/>
  <c r="U28" i="67"/>
  <c r="AI28" i="67"/>
  <c r="EU138" i="67"/>
  <c r="EF138" i="67"/>
  <c r="DQ138" i="67"/>
  <c r="DB138" i="67"/>
  <c r="CM138" i="67"/>
  <c r="BY138" i="67"/>
  <c r="AW138" i="67"/>
  <c r="BK138" i="67"/>
  <c r="AI138" i="67"/>
  <c r="U138" i="67"/>
  <c r="EU96" i="67"/>
  <c r="EF96" i="67"/>
  <c r="DB96" i="67"/>
  <c r="DQ96" i="67"/>
  <c r="CM96" i="67"/>
  <c r="BY96" i="67"/>
  <c r="BK96" i="67"/>
  <c r="AW96" i="67"/>
  <c r="U96" i="67"/>
  <c r="AI96" i="67"/>
  <c r="EU84" i="67"/>
  <c r="EF84" i="67"/>
  <c r="DQ84" i="67"/>
  <c r="DB84" i="67"/>
  <c r="CM84" i="67"/>
  <c r="BY84" i="67"/>
  <c r="AW84" i="67"/>
  <c r="BK84" i="67"/>
  <c r="AI84" i="67"/>
  <c r="U84" i="67"/>
  <c r="EU69" i="67"/>
  <c r="EF69" i="67"/>
  <c r="DB69" i="67"/>
  <c r="DQ69" i="67"/>
  <c r="CM69" i="67"/>
  <c r="BY69" i="67"/>
  <c r="BK69" i="67"/>
  <c r="AW69" i="67"/>
  <c r="AI69" i="67"/>
  <c r="U69" i="67"/>
  <c r="EU53" i="67"/>
  <c r="EF53" i="67"/>
  <c r="DB53" i="67"/>
  <c r="DQ53" i="67"/>
  <c r="CM53" i="67"/>
  <c r="BY53" i="67"/>
  <c r="BK53" i="67"/>
  <c r="AW53" i="67"/>
  <c r="U53" i="67"/>
  <c r="AI53" i="67"/>
  <c r="EU44" i="67"/>
  <c r="EF44" i="67"/>
  <c r="DQ44" i="67"/>
  <c r="DB44" i="67"/>
  <c r="CM44" i="67"/>
  <c r="BY44" i="67"/>
  <c r="AW44" i="67"/>
  <c r="BK44" i="67"/>
  <c r="AI44" i="67"/>
  <c r="U44" i="67"/>
  <c r="EU18" i="67"/>
  <c r="EF18" i="67"/>
  <c r="DQ18" i="67"/>
  <c r="DB18" i="67"/>
  <c r="CM18" i="67"/>
  <c r="BY18" i="67"/>
  <c r="U18" i="67"/>
  <c r="AW18" i="67"/>
  <c r="BK18" i="67"/>
  <c r="AI18" i="67"/>
  <c r="EU187" i="67"/>
  <c r="EF187" i="67"/>
  <c r="DQ187" i="67"/>
  <c r="DB187" i="67"/>
  <c r="CM187" i="67"/>
  <c r="BY187" i="67"/>
  <c r="AW187" i="67"/>
  <c r="BK187" i="67"/>
  <c r="AI187" i="67"/>
  <c r="U187" i="67"/>
  <c r="EU152" i="67"/>
  <c r="DQ152" i="67"/>
  <c r="EF152" i="67"/>
  <c r="DB152" i="67"/>
  <c r="CM152" i="67"/>
  <c r="BY152" i="67"/>
  <c r="BK152" i="67"/>
  <c r="AW152" i="67"/>
  <c r="U152" i="67"/>
  <c r="AI152" i="67"/>
  <c r="EU121" i="67"/>
  <c r="EF121" i="67"/>
  <c r="DB121" i="67"/>
  <c r="DQ121" i="67"/>
  <c r="CM121" i="67"/>
  <c r="BY121" i="67"/>
  <c r="BK121" i="67"/>
  <c r="AW121" i="67"/>
  <c r="U121" i="67"/>
  <c r="AI121" i="67"/>
  <c r="EU97" i="67"/>
  <c r="EF97" i="67"/>
  <c r="DB97" i="67"/>
  <c r="DQ97" i="67"/>
  <c r="CM97" i="67"/>
  <c r="BY97" i="67"/>
  <c r="BK97" i="67"/>
  <c r="AW97" i="67"/>
  <c r="U97" i="67"/>
  <c r="AI97" i="67"/>
  <c r="EU82" i="67"/>
  <c r="EF82" i="67"/>
  <c r="DQ82" i="67"/>
  <c r="DB82" i="67"/>
  <c r="CM82" i="67"/>
  <c r="BY82" i="67"/>
  <c r="AW82" i="67"/>
  <c r="U82" i="67"/>
  <c r="AI82" i="67"/>
  <c r="BK82" i="67"/>
  <c r="EU63" i="67"/>
  <c r="EF63" i="67"/>
  <c r="DB63" i="67"/>
  <c r="DQ63" i="67"/>
  <c r="BY63" i="67"/>
  <c r="CM63" i="67"/>
  <c r="BK63" i="67"/>
  <c r="AW63" i="67"/>
  <c r="AI63" i="67"/>
  <c r="U63" i="67"/>
  <c r="EU39" i="67"/>
  <c r="EF39" i="67"/>
  <c r="DQ39" i="67"/>
  <c r="DB39" i="67"/>
  <c r="CM39" i="67"/>
  <c r="BY39" i="67"/>
  <c r="BK39" i="67"/>
  <c r="AW39" i="67"/>
  <c r="AI39" i="67"/>
  <c r="U39" i="67"/>
  <c r="EU24" i="67"/>
  <c r="EF24" i="67"/>
  <c r="DQ24" i="67"/>
  <c r="DB24" i="67"/>
  <c r="CM24" i="67"/>
  <c r="BY24" i="67"/>
  <c r="AW24" i="67"/>
  <c r="AI24" i="67"/>
  <c r="BK24" i="67"/>
  <c r="U24" i="67"/>
  <c r="EU123" i="67"/>
  <c r="EF123" i="67"/>
  <c r="DB123" i="67"/>
  <c r="DQ123" i="67"/>
  <c r="CM123" i="67"/>
  <c r="BY123" i="67"/>
  <c r="BK123" i="67"/>
  <c r="AW123" i="67"/>
  <c r="AI123" i="67"/>
  <c r="U123" i="67"/>
  <c r="EU95" i="67"/>
  <c r="EF95" i="67"/>
  <c r="DQ95" i="67"/>
  <c r="DB95" i="67"/>
  <c r="CM95" i="67"/>
  <c r="BY95" i="67"/>
  <c r="AW95" i="67"/>
  <c r="U95" i="67"/>
  <c r="BK95" i="67"/>
  <c r="AI95" i="67"/>
  <c r="EU81" i="67"/>
  <c r="EF81" i="67"/>
  <c r="DB81" i="67"/>
  <c r="DQ81" i="67"/>
  <c r="CM81" i="67"/>
  <c r="BY81" i="67"/>
  <c r="BK81" i="67"/>
  <c r="AW81" i="67"/>
  <c r="U81" i="67"/>
  <c r="AI81" i="67"/>
  <c r="EU68" i="67"/>
  <c r="EF68" i="67"/>
  <c r="DQ68" i="67"/>
  <c r="DB68" i="67"/>
  <c r="CM68" i="67"/>
  <c r="BY68" i="67"/>
  <c r="AW68" i="67"/>
  <c r="AI68" i="67"/>
  <c r="U68" i="67"/>
  <c r="BK68" i="67"/>
  <c r="EU52" i="67"/>
  <c r="EF52" i="67"/>
  <c r="DQ52" i="67"/>
  <c r="DB52" i="67"/>
  <c r="CM52" i="67"/>
  <c r="BY52" i="67"/>
  <c r="AW52" i="67"/>
  <c r="BK52" i="67"/>
  <c r="AI52" i="67"/>
  <c r="U52" i="67"/>
  <c r="EU42" i="67"/>
  <c r="EF42" i="67"/>
  <c r="DQ42" i="67"/>
  <c r="DB42" i="67"/>
  <c r="CM42" i="67"/>
  <c r="BY42" i="67"/>
  <c r="AW42" i="67"/>
  <c r="BK42" i="67"/>
  <c r="U42" i="67"/>
  <c r="AI42" i="67"/>
  <c r="EU17" i="67"/>
  <c r="EF17" i="67"/>
  <c r="DQ17" i="67"/>
  <c r="DB17" i="67"/>
  <c r="CM17" i="67"/>
  <c r="BY17" i="67"/>
  <c r="BK17" i="67"/>
  <c r="AW17" i="67"/>
  <c r="AI17" i="67"/>
  <c r="U17" i="67"/>
  <c r="EU102" i="67"/>
  <c r="EF102" i="67"/>
  <c r="DQ102" i="67"/>
  <c r="DB102" i="67"/>
  <c r="CM102" i="67"/>
  <c r="BY102" i="67"/>
  <c r="AW102" i="67"/>
  <c r="U102" i="67"/>
  <c r="AI102" i="67"/>
  <c r="BK102" i="67"/>
  <c r="EU148" i="67"/>
  <c r="DQ148" i="67"/>
  <c r="EF148" i="67"/>
  <c r="DB148" i="67"/>
  <c r="CM148" i="67"/>
  <c r="BY148" i="67"/>
  <c r="BK148" i="67"/>
  <c r="AW148" i="67"/>
  <c r="AI148" i="67"/>
  <c r="U148" i="67"/>
  <c r="EU120" i="67"/>
  <c r="EF120" i="67"/>
  <c r="DQ120" i="67"/>
  <c r="DB120" i="67"/>
  <c r="CM120" i="67"/>
  <c r="BY120" i="67"/>
  <c r="AW120" i="67"/>
  <c r="BK120" i="67"/>
  <c r="U120" i="67"/>
  <c r="AI120" i="67"/>
  <c r="CM194" i="67"/>
  <c r="BY194" i="67"/>
  <c r="AW194" i="67"/>
  <c r="U194" i="67"/>
  <c r="AI194" i="67"/>
  <c r="BK194" i="67"/>
  <c r="EU78" i="67"/>
  <c r="EF78" i="67"/>
  <c r="DQ78" i="67"/>
  <c r="DB78" i="67"/>
  <c r="CM78" i="67"/>
  <c r="BY78" i="67"/>
  <c r="AW78" i="67"/>
  <c r="BK78" i="67"/>
  <c r="AI78" i="67"/>
  <c r="U78" i="67"/>
  <c r="EU62" i="67"/>
  <c r="EF62" i="67"/>
  <c r="DQ62" i="67"/>
  <c r="DB62" i="67"/>
  <c r="CM62" i="67"/>
  <c r="BY62" i="67"/>
  <c r="AW62" i="67"/>
  <c r="BK62" i="67"/>
  <c r="AI62" i="67"/>
  <c r="U62" i="67"/>
  <c r="EU38" i="67"/>
  <c r="EF38" i="67"/>
  <c r="DQ38" i="67"/>
  <c r="DB38" i="67"/>
  <c r="CM38" i="67"/>
  <c r="BY38" i="67"/>
  <c r="AW38" i="67"/>
  <c r="AI38" i="67"/>
  <c r="BK38" i="67"/>
  <c r="U38" i="67"/>
  <c r="EU21" i="67"/>
  <c r="EF21" i="67"/>
  <c r="DQ21" i="67"/>
  <c r="DB21" i="67"/>
  <c r="CM21" i="67"/>
  <c r="BY21" i="67"/>
  <c r="BK21" i="67"/>
  <c r="AW21" i="67"/>
  <c r="U21" i="67"/>
  <c r="AI21" i="67"/>
  <c r="EU122" i="67"/>
  <c r="EF122" i="67"/>
  <c r="DQ122" i="67"/>
  <c r="DB122" i="67"/>
  <c r="CM122" i="67"/>
  <c r="BY122" i="67"/>
  <c r="AW122" i="67"/>
  <c r="BK122" i="67"/>
  <c r="AI122" i="67"/>
  <c r="U122" i="67"/>
  <c r="EU92" i="67"/>
  <c r="EF92" i="67"/>
  <c r="DB92" i="67"/>
  <c r="DQ92" i="67"/>
  <c r="CM92" i="67"/>
  <c r="BY92" i="67"/>
  <c r="BK92" i="67"/>
  <c r="AW92" i="67"/>
  <c r="U92" i="67"/>
  <c r="AI92" i="67"/>
  <c r="EU80" i="67"/>
  <c r="EF80" i="67"/>
  <c r="DQ80" i="67"/>
  <c r="DB80" i="67"/>
  <c r="CM80" i="67"/>
  <c r="BY80" i="67"/>
  <c r="AW80" i="67"/>
  <c r="U80" i="67"/>
  <c r="BK80" i="67"/>
  <c r="AI80" i="67"/>
  <c r="EU65" i="67"/>
  <c r="EF65" i="67"/>
  <c r="DB65" i="67"/>
  <c r="DQ65" i="67"/>
  <c r="BY65" i="67"/>
  <c r="CM65" i="67"/>
  <c r="BK65" i="67"/>
  <c r="AW65" i="67"/>
  <c r="U65" i="67"/>
  <c r="AI65" i="67"/>
  <c r="EU51" i="67"/>
  <c r="EF51" i="67"/>
  <c r="DB51" i="67"/>
  <c r="DQ51" i="67"/>
  <c r="CM51" i="67"/>
  <c r="BY51" i="67"/>
  <c r="BK51" i="67"/>
  <c r="AW51" i="67"/>
  <c r="U51" i="67"/>
  <c r="AI51" i="67"/>
  <c r="EU41" i="67"/>
  <c r="EF41" i="67"/>
  <c r="DQ41" i="67"/>
  <c r="DB41" i="67"/>
  <c r="CM41" i="67"/>
  <c r="BY41" i="67"/>
  <c r="BK41" i="67"/>
  <c r="AW41" i="67"/>
  <c r="U41" i="67"/>
  <c r="AI41" i="67"/>
  <c r="EU27" i="67"/>
  <c r="EF27" i="67"/>
  <c r="DQ27" i="67"/>
  <c r="DB27" i="67"/>
  <c r="CM27" i="67"/>
  <c r="BY27" i="67"/>
  <c r="BK27" i="67"/>
  <c r="AW27" i="67"/>
  <c r="U27" i="67"/>
  <c r="AI27" i="67"/>
  <c r="EU15" i="67"/>
  <c r="EF15" i="67"/>
  <c r="DQ15" i="67"/>
  <c r="DB15" i="67"/>
  <c r="CM15" i="67"/>
  <c r="BY15" i="67"/>
  <c r="BK15" i="67"/>
  <c r="AW15" i="67"/>
  <c r="AI15" i="67"/>
  <c r="U15" i="67"/>
  <c r="EU166" i="67"/>
  <c r="DQ166" i="67"/>
  <c r="EF166" i="67"/>
  <c r="DB166" i="67"/>
  <c r="CM166" i="67"/>
  <c r="BY166" i="67"/>
  <c r="BK166" i="67"/>
  <c r="AW166" i="67"/>
  <c r="AI166" i="67"/>
  <c r="U166" i="67"/>
  <c r="EU144" i="67"/>
  <c r="DQ144" i="67"/>
  <c r="EF144" i="67"/>
  <c r="DB144" i="67"/>
  <c r="CM144" i="67"/>
  <c r="BY144" i="67"/>
  <c r="BK144" i="67"/>
  <c r="AW144" i="67"/>
  <c r="U144" i="67"/>
  <c r="AI144" i="67"/>
  <c r="EU117" i="67"/>
  <c r="EF117" i="67"/>
  <c r="DB117" i="67"/>
  <c r="DQ117" i="67"/>
  <c r="CM117" i="67"/>
  <c r="BY117" i="67"/>
  <c r="BK117" i="67"/>
  <c r="AW117" i="67"/>
  <c r="AI117" i="67"/>
  <c r="U117" i="67"/>
  <c r="EU94" i="67"/>
  <c r="EF94" i="67"/>
  <c r="DB94" i="67"/>
  <c r="DQ94" i="67"/>
  <c r="CM94" i="67"/>
  <c r="BY94" i="67"/>
  <c r="BK94" i="67"/>
  <c r="AW94" i="67"/>
  <c r="AI94" i="67"/>
  <c r="U94" i="67"/>
  <c r="EU76" i="67"/>
  <c r="EF76" i="67"/>
  <c r="DQ76" i="67"/>
  <c r="DB76" i="67"/>
  <c r="CM76" i="67"/>
  <c r="BY76" i="67"/>
  <c r="AW76" i="67"/>
  <c r="BK76" i="67"/>
  <c r="AI76" i="67"/>
  <c r="U76" i="67"/>
  <c r="EU59" i="67"/>
  <c r="EF59" i="67"/>
  <c r="DB59" i="67"/>
  <c r="DQ59" i="67"/>
  <c r="CM59" i="67"/>
  <c r="BY59" i="67"/>
  <c r="BK59" i="67"/>
  <c r="AW59" i="67"/>
  <c r="U59" i="67"/>
  <c r="AI59" i="67"/>
  <c r="EU35" i="67"/>
  <c r="EF35" i="67"/>
  <c r="DQ35" i="67"/>
  <c r="DB35" i="67"/>
  <c r="CM35" i="67"/>
  <c r="BY35" i="67"/>
  <c r="BK35" i="67"/>
  <c r="AW35" i="67"/>
  <c r="U35" i="67"/>
  <c r="AI35" i="67"/>
  <c r="EU20" i="67"/>
  <c r="EF20" i="67"/>
  <c r="DQ20" i="67"/>
  <c r="DB20" i="67"/>
  <c r="CM20" i="67"/>
  <c r="BY20" i="67"/>
  <c r="U20" i="67"/>
  <c r="AI20" i="67"/>
  <c r="BK20" i="67"/>
  <c r="AW20" i="67"/>
  <c r="P206" i="62"/>
  <c r="P198" i="62"/>
  <c r="P190" i="62"/>
  <c r="P182" i="62"/>
  <c r="P166" i="62"/>
  <c r="P150" i="62"/>
  <c r="N208" i="62"/>
  <c r="P177" i="62"/>
  <c r="P201" i="62"/>
  <c r="P193" i="62"/>
  <c r="P185" i="62"/>
  <c r="P200" i="62"/>
  <c r="P192" i="62"/>
  <c r="P184" i="62"/>
  <c r="P176" i="62"/>
  <c r="P168" i="62"/>
  <c r="P160" i="62"/>
  <c r="P152" i="62"/>
  <c r="P144" i="62"/>
  <c r="P128" i="62"/>
  <c r="P112" i="62"/>
  <c r="P129" i="62"/>
  <c r="P136" i="62"/>
  <c r="P135" i="62"/>
  <c r="P134" i="62"/>
  <c r="P204" i="62"/>
  <c r="P196" i="62"/>
  <c r="P188" i="62"/>
  <c r="P180" i="62"/>
  <c r="P172" i="62"/>
  <c r="P164" i="62"/>
  <c r="P156" i="62"/>
  <c r="P148" i="62"/>
  <c r="P140" i="62"/>
  <c r="P132" i="62"/>
  <c r="P113" i="62"/>
  <c r="P120" i="62"/>
  <c r="P119" i="62"/>
  <c r="P118" i="62"/>
  <c r="P109" i="62"/>
  <c r="P203" i="62"/>
  <c r="P195" i="62"/>
  <c r="P187" i="62"/>
  <c r="P179" i="62"/>
  <c r="P171" i="62"/>
  <c r="P163" i="62"/>
  <c r="P155" i="62"/>
  <c r="P147" i="62"/>
  <c r="P139" i="62"/>
  <c r="P131" i="62"/>
  <c r="P123" i="62"/>
  <c r="P115" i="62"/>
  <c r="P202" i="62"/>
  <c r="P194" i="62"/>
  <c r="P186" i="62"/>
  <c r="P178" i="62"/>
  <c r="P170" i="62"/>
  <c r="P162" i="62"/>
  <c r="P154" i="62"/>
  <c r="P146" i="62"/>
  <c r="P138" i="62"/>
  <c r="P130" i="62"/>
  <c r="P122" i="62"/>
  <c r="P114" i="62"/>
  <c r="P8" i="62"/>
  <c r="EU142" i="67" l="1"/>
  <c r="DQ142" i="67"/>
  <c r="EF142" i="67"/>
  <c r="DB142" i="67"/>
  <c r="CM142" i="67"/>
  <c r="BY142" i="67"/>
  <c r="BK142" i="67"/>
  <c r="AW142" i="67"/>
  <c r="U142" i="67"/>
  <c r="AI142" i="67"/>
  <c r="EU118" i="67"/>
  <c r="EF118" i="67"/>
  <c r="DQ118" i="67"/>
  <c r="DB118" i="67"/>
  <c r="CM118" i="67"/>
  <c r="BY118" i="67"/>
  <c r="AW118" i="67"/>
  <c r="U118" i="67"/>
  <c r="AI118" i="67"/>
  <c r="BK118" i="67"/>
  <c r="EU173" i="67"/>
  <c r="EF173" i="67"/>
  <c r="DQ173" i="67"/>
  <c r="DB173" i="67"/>
  <c r="CM173" i="67"/>
  <c r="BY173" i="67"/>
  <c r="AW173" i="67"/>
  <c r="U173" i="67"/>
  <c r="AI173" i="67"/>
  <c r="BK173" i="67"/>
  <c r="EU150" i="67"/>
  <c r="DQ150" i="67"/>
  <c r="EF150" i="67"/>
  <c r="DB150" i="67"/>
  <c r="CM150" i="67"/>
  <c r="BY150" i="67"/>
  <c r="BK150" i="67"/>
  <c r="AW150" i="67"/>
  <c r="U150" i="67"/>
  <c r="AI150" i="67"/>
  <c r="EU114" i="67"/>
  <c r="EF114" i="67"/>
  <c r="DQ114" i="67"/>
  <c r="DB114" i="67"/>
  <c r="CM114" i="67"/>
  <c r="BY114" i="67"/>
  <c r="AW114" i="67"/>
  <c r="AI114" i="67"/>
  <c r="U114" i="67"/>
  <c r="BK114" i="67"/>
  <c r="EU158" i="67"/>
  <c r="EF158" i="67"/>
  <c r="DQ158" i="67"/>
  <c r="DB158" i="67"/>
  <c r="CM158" i="67"/>
  <c r="BY158" i="67"/>
  <c r="AW158" i="67"/>
  <c r="U158" i="67"/>
  <c r="AI158" i="67"/>
  <c r="BK158" i="67"/>
  <c r="EU132" i="67"/>
  <c r="EF132" i="67"/>
  <c r="DQ132" i="67"/>
  <c r="DB132" i="67"/>
  <c r="CM132" i="67"/>
  <c r="BY132" i="67"/>
  <c r="AW132" i="67"/>
  <c r="AI132" i="67"/>
  <c r="BK132" i="67"/>
  <c r="U132" i="67"/>
  <c r="EU163" i="67"/>
  <c r="EF163" i="67"/>
  <c r="DQ163" i="67"/>
  <c r="DB163" i="67"/>
  <c r="CM163" i="67"/>
  <c r="BY163" i="67"/>
  <c r="AW163" i="67"/>
  <c r="BK163" i="67"/>
  <c r="AI163" i="67"/>
  <c r="U163" i="67"/>
  <c r="EU105" i="67"/>
  <c r="EF105" i="67"/>
  <c r="DB105" i="67"/>
  <c r="DQ105" i="67"/>
  <c r="CM105" i="67"/>
  <c r="BY105" i="67"/>
  <c r="BK105" i="67"/>
  <c r="AW105" i="67"/>
  <c r="U105" i="67"/>
  <c r="AI105" i="67"/>
  <c r="EU176" i="67"/>
  <c r="EF176" i="67"/>
  <c r="DQ176" i="67"/>
  <c r="DB176" i="67"/>
  <c r="CM176" i="67"/>
  <c r="BY176" i="67"/>
  <c r="AW176" i="67"/>
  <c r="BK176" i="67"/>
  <c r="U176" i="67"/>
  <c r="AI176" i="67"/>
  <c r="EU164" i="67"/>
  <c r="EF164" i="67"/>
  <c r="DQ164" i="67"/>
  <c r="DB164" i="67"/>
  <c r="CM164" i="67"/>
  <c r="BY164" i="67"/>
  <c r="AW164" i="67"/>
  <c r="U164" i="67"/>
  <c r="BK164" i="67"/>
  <c r="AI164" i="67"/>
  <c r="EU126" i="67"/>
  <c r="EF126" i="67"/>
  <c r="DQ126" i="67"/>
  <c r="DB126" i="67"/>
  <c r="CM126" i="67"/>
  <c r="BY126" i="67"/>
  <c r="AW126" i="67"/>
  <c r="U126" i="67"/>
  <c r="BK126" i="67"/>
  <c r="AI126" i="67"/>
  <c r="EU182" i="67"/>
  <c r="EF182" i="67"/>
  <c r="DQ182" i="67"/>
  <c r="DB182" i="67"/>
  <c r="CM182" i="67"/>
  <c r="BY182" i="67"/>
  <c r="AW182" i="67"/>
  <c r="U182" i="67"/>
  <c r="BK182" i="67"/>
  <c r="AI182" i="67"/>
  <c r="EU115" i="67"/>
  <c r="EF115" i="67"/>
  <c r="DB115" i="67"/>
  <c r="DQ115" i="67"/>
  <c r="CM115" i="67"/>
  <c r="BY115" i="67"/>
  <c r="BK115" i="67"/>
  <c r="AW115" i="67"/>
  <c r="U115" i="67"/>
  <c r="AI115" i="67"/>
  <c r="EU125" i="67"/>
  <c r="EF125" i="67"/>
  <c r="DB125" i="67"/>
  <c r="DQ125" i="67"/>
  <c r="CM125" i="67"/>
  <c r="BY125" i="67"/>
  <c r="BK125" i="67"/>
  <c r="AW125" i="67"/>
  <c r="AI125" i="67"/>
  <c r="U125" i="67"/>
  <c r="EU171" i="67"/>
  <c r="EF171" i="67"/>
  <c r="DQ171" i="67"/>
  <c r="DB171" i="67"/>
  <c r="CM171" i="67"/>
  <c r="BY171" i="67"/>
  <c r="AW171" i="67"/>
  <c r="AI171" i="67"/>
  <c r="BK171" i="67"/>
  <c r="U171" i="67"/>
  <c r="EU145" i="67"/>
  <c r="EF145" i="67"/>
  <c r="DQ145" i="67"/>
  <c r="DB145" i="67"/>
  <c r="CM145" i="67"/>
  <c r="BY145" i="67"/>
  <c r="AW145" i="67"/>
  <c r="AI145" i="67"/>
  <c r="U145" i="67"/>
  <c r="BK145" i="67"/>
  <c r="EU134" i="67"/>
  <c r="EF134" i="67"/>
  <c r="DQ134" i="67"/>
  <c r="DB134" i="67"/>
  <c r="CM134" i="67"/>
  <c r="BY134" i="67"/>
  <c r="AW134" i="67"/>
  <c r="U134" i="67"/>
  <c r="AI134" i="67"/>
  <c r="BK134" i="67"/>
  <c r="EU175" i="67"/>
  <c r="DQ175" i="67"/>
  <c r="EF175" i="67"/>
  <c r="DB175" i="67"/>
  <c r="CM175" i="67"/>
  <c r="BY175" i="67"/>
  <c r="BK175" i="67"/>
  <c r="AW175" i="67"/>
  <c r="U175" i="67"/>
  <c r="AI175" i="67"/>
  <c r="EU168" i="67"/>
  <c r="EF168" i="67"/>
  <c r="DQ168" i="67"/>
  <c r="DB168" i="67"/>
  <c r="CM168" i="67"/>
  <c r="BY168" i="67"/>
  <c r="AW168" i="67"/>
  <c r="U168" i="67"/>
  <c r="AI168" i="67"/>
  <c r="BK168" i="67"/>
  <c r="EU108" i="67"/>
  <c r="EF108" i="67"/>
  <c r="DQ108" i="67"/>
  <c r="DB108" i="67"/>
  <c r="CM108" i="67"/>
  <c r="BY108" i="67"/>
  <c r="AW108" i="67"/>
  <c r="BK108" i="67"/>
  <c r="AI108" i="67"/>
  <c r="U108" i="67"/>
  <c r="EU160" i="67"/>
  <c r="EF160" i="67"/>
  <c r="DQ160" i="67"/>
  <c r="DB160" i="67"/>
  <c r="CM160" i="67"/>
  <c r="BY160" i="67"/>
  <c r="AW160" i="67"/>
  <c r="BK160" i="67"/>
  <c r="AI160" i="67"/>
  <c r="U160" i="67"/>
  <c r="EU110" i="67"/>
  <c r="EF110" i="67"/>
  <c r="DQ110" i="67"/>
  <c r="DB110" i="67"/>
  <c r="CM110" i="67"/>
  <c r="BY110" i="67"/>
  <c r="AW110" i="67"/>
  <c r="U110" i="67"/>
  <c r="BK110" i="67"/>
  <c r="AI110" i="67"/>
  <c r="EU151" i="67"/>
  <c r="EF151" i="67"/>
  <c r="DQ151" i="67"/>
  <c r="DB151" i="67"/>
  <c r="CM151" i="67"/>
  <c r="BY151" i="67"/>
  <c r="AW151" i="67"/>
  <c r="BK151" i="67"/>
  <c r="U151" i="67"/>
  <c r="AI151" i="67"/>
  <c r="EU157" i="67"/>
  <c r="DQ157" i="67"/>
  <c r="EF157" i="67"/>
  <c r="DB157" i="67"/>
  <c r="CM157" i="67"/>
  <c r="BY157" i="67"/>
  <c r="BK157" i="67"/>
  <c r="AW157" i="67"/>
  <c r="U157" i="67"/>
  <c r="AI157" i="67"/>
  <c r="EU116" i="67"/>
  <c r="EF116" i="67"/>
  <c r="DQ116" i="67"/>
  <c r="DB116" i="67"/>
  <c r="CM116" i="67"/>
  <c r="BY116" i="67"/>
  <c r="AW116" i="67"/>
  <c r="AI116" i="67"/>
  <c r="BK116" i="67"/>
  <c r="U116" i="67"/>
  <c r="EU180" i="67"/>
  <c r="EF180" i="67"/>
  <c r="DQ180" i="67"/>
  <c r="DB180" i="67"/>
  <c r="CM180" i="67"/>
  <c r="BY180" i="67"/>
  <c r="AW180" i="67"/>
  <c r="BK180" i="67"/>
  <c r="AI180" i="67"/>
  <c r="U180" i="67"/>
  <c r="EU141" i="67"/>
  <c r="EF141" i="67"/>
  <c r="DQ141" i="67"/>
  <c r="DB141" i="67"/>
  <c r="CM141" i="67"/>
  <c r="BY141" i="67"/>
  <c r="AW141" i="67"/>
  <c r="U141" i="67"/>
  <c r="BK141" i="67"/>
  <c r="AI141" i="67"/>
  <c r="EU111" i="67"/>
  <c r="EF111" i="67"/>
  <c r="DB111" i="67"/>
  <c r="DQ111" i="67"/>
  <c r="CM111" i="67"/>
  <c r="BY111" i="67"/>
  <c r="BK111" i="67"/>
  <c r="AW111" i="67"/>
  <c r="U111" i="67"/>
  <c r="AI111" i="67"/>
  <c r="EU165" i="67"/>
  <c r="DQ165" i="67"/>
  <c r="EF165" i="67"/>
  <c r="DB165" i="67"/>
  <c r="CM165" i="67"/>
  <c r="BY165" i="67"/>
  <c r="BK165" i="67"/>
  <c r="AW165" i="67"/>
  <c r="U165" i="67"/>
  <c r="AI165" i="67"/>
  <c r="EU109" i="67"/>
  <c r="EF109" i="67"/>
  <c r="DB109" i="67"/>
  <c r="DQ109" i="67"/>
  <c r="CM109" i="67"/>
  <c r="BY109" i="67"/>
  <c r="BK109" i="67"/>
  <c r="AW109" i="67"/>
  <c r="AI109" i="67"/>
  <c r="U109" i="67"/>
  <c r="EU177" i="67"/>
  <c r="EF177" i="67"/>
  <c r="DQ177" i="67"/>
  <c r="DB177" i="67"/>
  <c r="CM177" i="67"/>
  <c r="BY177" i="67"/>
  <c r="AW177" i="67"/>
  <c r="BK177" i="67"/>
  <c r="U177" i="67"/>
  <c r="AI177" i="67"/>
  <c r="EU124" i="67"/>
  <c r="EF124" i="67"/>
  <c r="DQ124" i="67"/>
  <c r="DB124" i="67"/>
  <c r="CM124" i="67"/>
  <c r="BY124" i="67"/>
  <c r="AW124" i="67"/>
  <c r="BK124" i="67"/>
  <c r="AI124" i="67"/>
  <c r="U124" i="67"/>
  <c r="EU184" i="67"/>
  <c r="EF184" i="67"/>
  <c r="DQ184" i="67"/>
  <c r="DB184" i="67"/>
  <c r="CM184" i="67"/>
  <c r="BY184" i="67"/>
  <c r="AW184" i="67"/>
  <c r="AI184" i="67"/>
  <c r="BK184" i="67"/>
  <c r="U184" i="67"/>
  <c r="EU169" i="67"/>
  <c r="EF169" i="67"/>
  <c r="DQ169" i="67"/>
  <c r="DB169" i="67"/>
  <c r="CM169" i="67"/>
  <c r="BY169" i="67"/>
  <c r="AW169" i="67"/>
  <c r="AI169" i="67"/>
  <c r="U169" i="67"/>
  <c r="BK169" i="67"/>
  <c r="EU162" i="67"/>
  <c r="EF162" i="67"/>
  <c r="DQ162" i="67"/>
  <c r="DB162" i="67"/>
  <c r="CM162" i="67"/>
  <c r="BY162" i="67"/>
  <c r="AW162" i="67"/>
  <c r="AI162" i="67"/>
  <c r="BK162" i="67"/>
  <c r="U162" i="67"/>
  <c r="EU119" i="67"/>
  <c r="EF119" i="67"/>
  <c r="DB119" i="67"/>
  <c r="DQ119" i="67"/>
  <c r="CM119" i="67"/>
  <c r="BY119" i="67"/>
  <c r="BK119" i="67"/>
  <c r="AW119" i="67"/>
  <c r="U119" i="67"/>
  <c r="AI119" i="67"/>
  <c r="EU172" i="67"/>
  <c r="DQ172" i="67"/>
  <c r="EF172" i="67"/>
  <c r="DB172" i="67"/>
  <c r="CM172" i="67"/>
  <c r="BY172" i="67"/>
  <c r="BK172" i="67"/>
  <c r="AW172" i="67"/>
  <c r="AI172" i="67"/>
  <c r="U172" i="67"/>
  <c r="EU131" i="67"/>
  <c r="EF131" i="67"/>
  <c r="DB131" i="67"/>
  <c r="DQ131" i="67"/>
  <c r="CM131" i="67"/>
  <c r="BY131" i="67"/>
  <c r="BK131" i="67"/>
  <c r="AW131" i="67"/>
  <c r="U131" i="67"/>
  <c r="AI131" i="67"/>
  <c r="EU174" i="67"/>
  <c r="DQ174" i="67"/>
  <c r="EF174" i="67"/>
  <c r="DB174" i="67"/>
  <c r="CM174" i="67"/>
  <c r="BY174" i="67"/>
  <c r="BK174" i="67"/>
  <c r="AW174" i="67"/>
  <c r="U174" i="67"/>
  <c r="AI174" i="67"/>
  <c r="EU128" i="67"/>
  <c r="EF128" i="67"/>
  <c r="DQ128" i="67"/>
  <c r="DB128" i="67"/>
  <c r="CM128" i="67"/>
  <c r="BY128" i="67"/>
  <c r="AW128" i="67"/>
  <c r="U128" i="67"/>
  <c r="AI128" i="67"/>
  <c r="BK128" i="67"/>
  <c r="EU183" i="67"/>
  <c r="EF183" i="67"/>
  <c r="DQ183" i="67"/>
  <c r="DB183" i="67"/>
  <c r="CM183" i="67"/>
  <c r="BY183" i="67"/>
  <c r="AW183" i="67"/>
  <c r="U183" i="67"/>
  <c r="AI183" i="67"/>
  <c r="BK183" i="67"/>
  <c r="EU127" i="67"/>
  <c r="EF127" i="67"/>
  <c r="DB127" i="67"/>
  <c r="DQ127" i="67"/>
  <c r="CM127" i="67"/>
  <c r="BY127" i="67"/>
  <c r="BK127" i="67"/>
  <c r="AW127" i="67"/>
  <c r="U127" i="67"/>
  <c r="AI127" i="67"/>
  <c r="EU136" i="67"/>
  <c r="EF136" i="67"/>
  <c r="DQ136" i="67"/>
  <c r="DB136" i="67"/>
  <c r="CM136" i="67"/>
  <c r="BY136" i="67"/>
  <c r="AW136" i="67"/>
  <c r="BK136" i="67"/>
  <c r="U136" i="67"/>
  <c r="AI136" i="67"/>
  <c r="EU147" i="67"/>
  <c r="EF147" i="67"/>
  <c r="DQ147" i="67"/>
  <c r="DB147" i="67"/>
  <c r="CM147" i="67"/>
  <c r="BY147" i="67"/>
  <c r="AW147" i="67"/>
  <c r="AI147" i="67"/>
  <c r="BK147" i="67"/>
  <c r="U147" i="67"/>
  <c r="EU181" i="67"/>
  <c r="DQ181" i="67"/>
  <c r="EF181" i="67"/>
  <c r="DB181" i="67"/>
  <c r="CM181" i="67"/>
  <c r="BY181" i="67"/>
  <c r="BK181" i="67"/>
  <c r="AW181" i="67"/>
  <c r="AI181" i="67"/>
  <c r="U181" i="67"/>
  <c r="EU191" i="67"/>
  <c r="DQ191" i="67"/>
  <c r="EF191" i="67"/>
  <c r="DB191" i="67"/>
  <c r="CM191" i="67"/>
  <c r="BY191" i="67"/>
  <c r="BK191" i="67"/>
  <c r="AW191" i="67"/>
  <c r="AI191" i="67"/>
  <c r="U191" i="67"/>
  <c r="EU149" i="67"/>
  <c r="EF149" i="67"/>
  <c r="DQ149" i="67"/>
  <c r="DB149" i="67"/>
  <c r="CM149" i="67"/>
  <c r="BY149" i="67"/>
  <c r="AW149" i="67"/>
  <c r="U149" i="67"/>
  <c r="AI149" i="67"/>
  <c r="BK149" i="67"/>
  <c r="EU140" i="67"/>
  <c r="EF140" i="67"/>
  <c r="DQ140" i="67"/>
  <c r="DB140" i="67"/>
  <c r="CM140" i="67"/>
  <c r="BY140" i="67"/>
  <c r="AW140" i="67"/>
  <c r="BK140" i="67"/>
  <c r="AI140" i="67"/>
  <c r="U140" i="67"/>
  <c r="EU193" i="67"/>
  <c r="DQ193" i="67"/>
  <c r="EF193" i="67"/>
  <c r="DB193" i="67"/>
  <c r="CM193" i="67"/>
  <c r="BY193" i="67"/>
  <c r="BK193" i="67"/>
  <c r="AW193" i="67"/>
  <c r="U193" i="67"/>
  <c r="AI193" i="67"/>
  <c r="EU8" i="67"/>
  <c r="EF8" i="67"/>
  <c r="DQ8" i="67"/>
  <c r="DB8" i="67"/>
  <c r="CM8" i="67"/>
  <c r="BY8" i="67"/>
  <c r="AW8" i="67"/>
  <c r="AI8" i="67"/>
  <c r="BK8" i="67"/>
  <c r="U8" i="67"/>
  <c r="EU167" i="67"/>
  <c r="EF167" i="67"/>
  <c r="DQ167" i="67"/>
  <c r="DB167" i="67"/>
  <c r="CM167" i="67"/>
  <c r="BY167" i="67"/>
  <c r="AW167" i="67"/>
  <c r="U167" i="67"/>
  <c r="AI167" i="67"/>
  <c r="BK167" i="67"/>
  <c r="EU135" i="67"/>
  <c r="DQ135" i="67"/>
  <c r="EF135" i="67"/>
  <c r="DB135" i="67"/>
  <c r="CM135" i="67"/>
  <c r="BY135" i="67"/>
  <c r="BK135" i="67"/>
  <c r="AW135" i="67"/>
  <c r="U135" i="67"/>
  <c r="AI135" i="67"/>
  <c r="EU186" i="67"/>
  <c r="DQ186" i="67"/>
  <c r="EF186" i="67"/>
  <c r="DB186" i="67"/>
  <c r="CM186" i="67"/>
  <c r="BY186" i="67"/>
  <c r="BK186" i="67"/>
  <c r="AW186" i="67"/>
  <c r="U186" i="67"/>
  <c r="AI186" i="67"/>
  <c r="EU143" i="67"/>
  <c r="EF143" i="67"/>
  <c r="DQ143" i="67"/>
  <c r="DB143" i="67"/>
  <c r="CM143" i="67"/>
  <c r="BY143" i="67"/>
  <c r="AW143" i="67"/>
  <c r="U143" i="67"/>
  <c r="AI143" i="67"/>
  <c r="BK143" i="67"/>
  <c r="EU130" i="67"/>
  <c r="EF130" i="67"/>
  <c r="DQ130" i="67"/>
  <c r="DB130" i="67"/>
  <c r="CM130" i="67"/>
  <c r="BY130" i="67"/>
  <c r="AW130" i="67"/>
  <c r="BK130" i="67"/>
  <c r="AI130" i="67"/>
  <c r="U130" i="67"/>
  <c r="EU155" i="67"/>
  <c r="EF155" i="67"/>
  <c r="DQ155" i="67"/>
  <c r="DB155" i="67"/>
  <c r="CM155" i="67"/>
  <c r="BY155" i="67"/>
  <c r="AW155" i="67"/>
  <c r="BK155" i="67"/>
  <c r="AI155" i="67"/>
  <c r="U155" i="67"/>
  <c r="EU185" i="67"/>
  <c r="DQ185" i="67"/>
  <c r="EF185" i="67"/>
  <c r="DB185" i="67"/>
  <c r="CM185" i="67"/>
  <c r="BY185" i="67"/>
  <c r="BK185" i="67"/>
  <c r="AW185" i="67"/>
  <c r="AI185" i="67"/>
  <c r="U185" i="67"/>
  <c r="EU188" i="67"/>
  <c r="EF188" i="67"/>
  <c r="DQ188" i="67"/>
  <c r="DB188" i="67"/>
  <c r="CM188" i="67"/>
  <c r="BY188" i="67"/>
  <c r="AW188" i="67"/>
  <c r="BK188" i="67"/>
  <c r="AI188" i="67"/>
  <c r="U188" i="67"/>
  <c r="CM208" i="67" l="1"/>
  <c r="BK208" i="67"/>
  <c r="EU208" i="67"/>
  <c r="AI208" i="67"/>
  <c r="FJ208" i="67"/>
  <c r="AW208" i="67"/>
  <c r="FY208" i="67"/>
  <c r="BY208" i="67"/>
  <c r="EF208" i="67"/>
  <c r="DB208" i="67"/>
  <c r="DQ208" i="67"/>
  <c r="GH9" i="67" l="1"/>
  <c r="GH10" i="67"/>
  <c r="GH11" i="67"/>
  <c r="GH12" i="67"/>
  <c r="GH13" i="67"/>
  <c r="GH14" i="67"/>
  <c r="GH15" i="67"/>
  <c r="GH16" i="67"/>
  <c r="GH17" i="67"/>
  <c r="GH18" i="67"/>
  <c r="GH19" i="67"/>
  <c r="GH20" i="67"/>
  <c r="GH22" i="67"/>
  <c r="GH23" i="67"/>
  <c r="GH24" i="67"/>
  <c r="GH26" i="67"/>
  <c r="GH27" i="67"/>
  <c r="GH28" i="67"/>
  <c r="GH29" i="67"/>
  <c r="GH204" i="67"/>
  <c r="GH205" i="67"/>
  <c r="GH30" i="67"/>
  <c r="GH31" i="67"/>
  <c r="GH32" i="67"/>
  <c r="GH33" i="67"/>
  <c r="GH34" i="67"/>
  <c r="GH35" i="67"/>
  <c r="GH36" i="67"/>
  <c r="GH37" i="67"/>
  <c r="GH38" i="67"/>
  <c r="GH39" i="67"/>
  <c r="GH40" i="67"/>
  <c r="GH41" i="67"/>
  <c r="GH42" i="67"/>
  <c r="GH44" i="67"/>
  <c r="GH45" i="67"/>
  <c r="GH46" i="67"/>
  <c r="GH47" i="67"/>
  <c r="GH48" i="67"/>
  <c r="GH49" i="67"/>
  <c r="GH50" i="67"/>
  <c r="GH51" i="67"/>
  <c r="GH52" i="67"/>
  <c r="GH53" i="67"/>
  <c r="GH54" i="67"/>
  <c r="GH55" i="67"/>
  <c r="GH56" i="67"/>
  <c r="GH57" i="67"/>
  <c r="GH58" i="67"/>
  <c r="GH59" i="67"/>
  <c r="GH60" i="67"/>
  <c r="GH61" i="67"/>
  <c r="GH62" i="67"/>
  <c r="GH63" i="67"/>
  <c r="GH64" i="67"/>
  <c r="GH65" i="67"/>
  <c r="GH66" i="67"/>
  <c r="GH67" i="67"/>
  <c r="GH68" i="67"/>
  <c r="GH69" i="67"/>
  <c r="GH70" i="67"/>
  <c r="GH72" i="67"/>
  <c r="GH73" i="67"/>
  <c r="GH74" i="67"/>
  <c r="GH75" i="67"/>
  <c r="GH76" i="67"/>
  <c r="GH77" i="67"/>
  <c r="GH78" i="67"/>
  <c r="GH79" i="67"/>
  <c r="GH80" i="67"/>
  <c r="GH81" i="67"/>
  <c r="GH82" i="67"/>
  <c r="GH83" i="67"/>
  <c r="GH84" i="67"/>
  <c r="GH85" i="67"/>
  <c r="GH86" i="67"/>
  <c r="GH87" i="67"/>
  <c r="GH88" i="67"/>
  <c r="GH207" i="67"/>
  <c r="GH89" i="67"/>
  <c r="GH90" i="67"/>
  <c r="GH91" i="67"/>
  <c r="GH93" i="67"/>
  <c r="GH94" i="67"/>
  <c r="GH95" i="67"/>
  <c r="GH96" i="67"/>
  <c r="GH194" i="67"/>
  <c r="GH97" i="67"/>
  <c r="GH98" i="67"/>
  <c r="GH99" i="67"/>
  <c r="GH100" i="67"/>
  <c r="GH101" i="67"/>
  <c r="GH102" i="67"/>
  <c r="GH103" i="67"/>
  <c r="GH104" i="67"/>
  <c r="GH105" i="67"/>
  <c r="GH106" i="67"/>
  <c r="GH107" i="67"/>
  <c r="GH108" i="67"/>
  <c r="GH109" i="67"/>
  <c r="GH110" i="67"/>
  <c r="GH111" i="67"/>
  <c r="GH112" i="67"/>
  <c r="GH113" i="67"/>
  <c r="GH114" i="67"/>
  <c r="GH115" i="67"/>
  <c r="GH116" i="67"/>
  <c r="GH117" i="67"/>
  <c r="GH118" i="67"/>
  <c r="GH119" i="67"/>
  <c r="GH120" i="67"/>
  <c r="GH121" i="67"/>
  <c r="GH122" i="67"/>
  <c r="GH123" i="67"/>
  <c r="GH124" i="67"/>
  <c r="GH125" i="67"/>
  <c r="GH126" i="67"/>
  <c r="GH127" i="67"/>
  <c r="GH128" i="67"/>
  <c r="GH129" i="67"/>
  <c r="GH130" i="67"/>
  <c r="GH131" i="67"/>
  <c r="GH132" i="67"/>
  <c r="GH133" i="67"/>
  <c r="GH135" i="67"/>
  <c r="GH136" i="67"/>
  <c r="GH137" i="67"/>
  <c r="GH138" i="67"/>
  <c r="GH139" i="67"/>
  <c r="GH140" i="67"/>
  <c r="GH195" i="67"/>
  <c r="GH141" i="67"/>
  <c r="GH142" i="67"/>
  <c r="GH143" i="67"/>
  <c r="GH144" i="67"/>
  <c r="GH145" i="67"/>
  <c r="GH146" i="67"/>
  <c r="GH147" i="67"/>
  <c r="GH148" i="67"/>
  <c r="GH149" i="67"/>
  <c r="GH150" i="67"/>
  <c r="GH151" i="67"/>
  <c r="GH152" i="67"/>
  <c r="GH153" i="67"/>
  <c r="GH154" i="67"/>
  <c r="GH155" i="67"/>
  <c r="GH156" i="67"/>
  <c r="GH196" i="67"/>
  <c r="GH157" i="67"/>
  <c r="GH158" i="67"/>
  <c r="GH159" i="67"/>
  <c r="GH160" i="67"/>
  <c r="GH161" i="67"/>
  <c r="GH162" i="67"/>
  <c r="GH166" i="67"/>
  <c r="GH167" i="67"/>
  <c r="GH175" i="67"/>
  <c r="GH176" i="67"/>
  <c r="GH198" i="67"/>
  <c r="GH187" i="67"/>
  <c r="GH190" i="67"/>
  <c r="GH163" i="67"/>
  <c r="GH191" i="67"/>
  <c r="GH164" i="67"/>
  <c r="GH165" i="67"/>
  <c r="GH168" i="67"/>
  <c r="GH192" i="67"/>
  <c r="GH169" i="67"/>
  <c r="GH170" i="67"/>
  <c r="GH171" i="67"/>
  <c r="GH172" i="67"/>
  <c r="GH173" i="67"/>
  <c r="GH174" i="67"/>
  <c r="GH177" i="67"/>
  <c r="GH178" i="67"/>
  <c r="GH197" i="67"/>
  <c r="GH179" i="67"/>
  <c r="GH180" i="67"/>
  <c r="GH181" i="67"/>
  <c r="GH182" i="67"/>
  <c r="GH193" i="67"/>
  <c r="GH183" i="67"/>
  <c r="GH199" i="67"/>
  <c r="GH200" i="67"/>
  <c r="GH201" i="67"/>
  <c r="GH184" i="67"/>
  <c r="GH185" i="67"/>
  <c r="GH202" i="67"/>
  <c r="GH186" i="67"/>
  <c r="GH203" i="67"/>
  <c r="GH206" i="67"/>
  <c r="GH188" i="67"/>
  <c r="GH189" i="67"/>
  <c r="GH8" i="67"/>
  <c r="P9" i="67"/>
  <c r="P10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194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6" i="67"/>
  <c r="P167" i="67"/>
  <c r="P175" i="67"/>
  <c r="P176" i="67"/>
  <c r="P187" i="67"/>
  <c r="P190" i="67"/>
  <c r="P163" i="67"/>
  <c r="P191" i="67"/>
  <c r="P164" i="67"/>
  <c r="P165" i="67"/>
  <c r="P168" i="67"/>
  <c r="P192" i="67"/>
  <c r="P169" i="67"/>
  <c r="P170" i="67"/>
  <c r="P171" i="67"/>
  <c r="P172" i="67"/>
  <c r="P173" i="67"/>
  <c r="P174" i="67"/>
  <c r="P177" i="67"/>
  <c r="P178" i="67"/>
  <c r="P179" i="67"/>
  <c r="P180" i="67"/>
  <c r="P181" i="67"/>
  <c r="P182" i="67"/>
  <c r="P193" i="67"/>
  <c r="P183" i="67"/>
  <c r="P184" i="67"/>
  <c r="P185" i="67"/>
  <c r="P186" i="67"/>
  <c r="P188" i="67"/>
  <c r="P189" i="67"/>
  <c r="P8" i="67"/>
  <c r="AQ9" i="61" l="1"/>
  <c r="AQ10" i="61"/>
  <c r="AQ12" i="61"/>
  <c r="AQ16" i="61"/>
  <c r="AQ17" i="61"/>
  <c r="AQ18" i="61"/>
  <c r="AQ20" i="61"/>
  <c r="AQ21" i="61"/>
  <c r="AQ24" i="61"/>
  <c r="AQ25" i="61"/>
  <c r="AQ27" i="61"/>
  <c r="AQ28" i="61"/>
  <c r="AQ31" i="61"/>
  <c r="AQ33" i="61"/>
  <c r="AQ35" i="61"/>
  <c r="AQ36" i="61"/>
  <c r="AQ41" i="61"/>
  <c r="AQ43" i="61"/>
  <c r="AQ45" i="61"/>
  <c r="AQ47" i="61"/>
  <c r="AQ48" i="61"/>
  <c r="AQ51" i="61"/>
  <c r="AQ53" i="61"/>
  <c r="AQ55" i="61"/>
  <c r="AQ56" i="61"/>
  <c r="AQ58" i="61"/>
  <c r="AQ59" i="61"/>
  <c r="AQ62" i="61"/>
  <c r="AQ65" i="61"/>
  <c r="AQ66" i="61"/>
  <c r="AQ70" i="61"/>
  <c r="AQ71" i="61"/>
  <c r="AQ73" i="61"/>
  <c r="AQ77" i="61"/>
  <c r="AQ81" i="61"/>
  <c r="AQ82" i="61"/>
  <c r="AQ83" i="61"/>
  <c r="AQ84" i="61"/>
  <c r="AQ86" i="61"/>
  <c r="AQ87" i="61"/>
  <c r="AQ88" i="61"/>
  <c r="AQ90" i="61"/>
  <c r="AQ92" i="61"/>
  <c r="AQ93" i="61"/>
  <c r="AQ94" i="61"/>
  <c r="AQ95" i="61"/>
  <c r="AQ98" i="61"/>
  <c r="AQ100" i="61"/>
  <c r="AQ104" i="61"/>
  <c r="AQ105" i="61"/>
  <c r="AQ107" i="61"/>
  <c r="AQ110" i="61"/>
  <c r="AQ111" i="61"/>
  <c r="AQ115" i="61"/>
  <c r="AQ117" i="61"/>
  <c r="AQ118" i="61"/>
  <c r="AQ119" i="61"/>
  <c r="AQ120" i="61"/>
  <c r="AQ121" i="61"/>
  <c r="AQ123" i="61"/>
  <c r="AQ127" i="61"/>
  <c r="AQ129" i="61"/>
  <c r="AQ130" i="61"/>
  <c r="AQ132" i="61"/>
  <c r="AQ133" i="61"/>
  <c r="AQ135" i="61"/>
  <c r="AQ136" i="61"/>
  <c r="AQ137" i="61"/>
  <c r="AQ138" i="61"/>
  <c r="AQ140" i="61"/>
  <c r="AQ143" i="61"/>
  <c r="AQ144" i="61"/>
  <c r="AQ146" i="61"/>
  <c r="AQ147" i="61"/>
  <c r="AQ148" i="61"/>
  <c r="AQ149" i="61"/>
  <c r="AQ151" i="61"/>
  <c r="AQ153" i="61"/>
  <c r="AQ158" i="61"/>
  <c r="AQ161" i="61"/>
  <c r="AQ162" i="61"/>
  <c r="AQ164" i="61"/>
  <c r="AQ165" i="61"/>
  <c r="AQ166" i="61"/>
  <c r="AQ170" i="61"/>
  <c r="AQ172" i="61"/>
  <c r="AQ173" i="61"/>
  <c r="AQ175" i="61"/>
  <c r="AQ177" i="61"/>
  <c r="AQ178" i="61"/>
  <c r="AQ179" i="61"/>
  <c r="AQ181" i="61"/>
  <c r="AQ182" i="61"/>
  <c r="AQ183" i="61"/>
  <c r="AQ184" i="61"/>
  <c r="AQ185" i="61"/>
  <c r="AQ193" i="61"/>
  <c r="AQ194" i="61"/>
  <c r="AQ199" i="61"/>
  <c r="AQ200" i="61"/>
  <c r="AQ202" i="61"/>
  <c r="AQ205" i="61"/>
  <c r="AQ207" i="61"/>
  <c r="AP9" i="61"/>
  <c r="DE9" i="61" s="1"/>
  <c r="DF9" i="61" s="1"/>
  <c r="AP10" i="61"/>
  <c r="DE10" i="61" s="1"/>
  <c r="DF10" i="61" s="1"/>
  <c r="AP12" i="61"/>
  <c r="DE12" i="61" s="1"/>
  <c r="DF12" i="61" s="1"/>
  <c r="AP16" i="61"/>
  <c r="DE16" i="61" s="1"/>
  <c r="DF16" i="61" s="1"/>
  <c r="AP17" i="61"/>
  <c r="DE17" i="61" s="1"/>
  <c r="DF17" i="61" s="1"/>
  <c r="AP18" i="61"/>
  <c r="DE18" i="61" s="1"/>
  <c r="DF18" i="61" s="1"/>
  <c r="AP20" i="61"/>
  <c r="DE20" i="61" s="1"/>
  <c r="DF20" i="61" s="1"/>
  <c r="AP21" i="61"/>
  <c r="DE21" i="61" s="1"/>
  <c r="DF21" i="61" s="1"/>
  <c r="AP24" i="61"/>
  <c r="DE24" i="61" s="1"/>
  <c r="DF24" i="61" s="1"/>
  <c r="AP25" i="61"/>
  <c r="DE25" i="61" s="1"/>
  <c r="DF25" i="61" s="1"/>
  <c r="AP27" i="61"/>
  <c r="DE27" i="61" s="1"/>
  <c r="DF27" i="61" s="1"/>
  <c r="AP28" i="61"/>
  <c r="DE28" i="61" s="1"/>
  <c r="DF28" i="61" s="1"/>
  <c r="AP31" i="61"/>
  <c r="DE31" i="61" s="1"/>
  <c r="DF31" i="61" s="1"/>
  <c r="AP33" i="61"/>
  <c r="DE33" i="61" s="1"/>
  <c r="DF33" i="61" s="1"/>
  <c r="AP35" i="61"/>
  <c r="DE35" i="61" s="1"/>
  <c r="DF35" i="61" s="1"/>
  <c r="AP36" i="61"/>
  <c r="DE36" i="61" s="1"/>
  <c r="DF36" i="61" s="1"/>
  <c r="AP41" i="61"/>
  <c r="DE41" i="61" s="1"/>
  <c r="DF41" i="61" s="1"/>
  <c r="AP43" i="61"/>
  <c r="DE43" i="61" s="1"/>
  <c r="DF43" i="61" s="1"/>
  <c r="AP45" i="61"/>
  <c r="DE45" i="61" s="1"/>
  <c r="DF45" i="61" s="1"/>
  <c r="AP47" i="61"/>
  <c r="DE47" i="61" s="1"/>
  <c r="DF47" i="61" s="1"/>
  <c r="AP48" i="61"/>
  <c r="DE48" i="61" s="1"/>
  <c r="DF48" i="61" s="1"/>
  <c r="AP51" i="61"/>
  <c r="DE51" i="61" s="1"/>
  <c r="DF51" i="61" s="1"/>
  <c r="AP53" i="61"/>
  <c r="DE53" i="61" s="1"/>
  <c r="DF53" i="61" s="1"/>
  <c r="AP55" i="61"/>
  <c r="DE55" i="61" s="1"/>
  <c r="DF55" i="61" s="1"/>
  <c r="AP56" i="61"/>
  <c r="DE56" i="61" s="1"/>
  <c r="DF56" i="61" s="1"/>
  <c r="AP58" i="61"/>
  <c r="DE58" i="61" s="1"/>
  <c r="DF58" i="61" s="1"/>
  <c r="AP59" i="61"/>
  <c r="DE59" i="61" s="1"/>
  <c r="DF59" i="61" s="1"/>
  <c r="AP62" i="61"/>
  <c r="DE62" i="61" s="1"/>
  <c r="DF62" i="61" s="1"/>
  <c r="AP65" i="61"/>
  <c r="DE65" i="61" s="1"/>
  <c r="DF65" i="61" s="1"/>
  <c r="AP66" i="61"/>
  <c r="DE66" i="61" s="1"/>
  <c r="DF66" i="61" s="1"/>
  <c r="AP70" i="61"/>
  <c r="DE70" i="61" s="1"/>
  <c r="DF70" i="61" s="1"/>
  <c r="AP71" i="61"/>
  <c r="DE71" i="61" s="1"/>
  <c r="DF71" i="61" s="1"/>
  <c r="AP73" i="61"/>
  <c r="DE73" i="61" s="1"/>
  <c r="DF73" i="61" s="1"/>
  <c r="AP77" i="61"/>
  <c r="DE77" i="61" s="1"/>
  <c r="DF77" i="61" s="1"/>
  <c r="AP81" i="61"/>
  <c r="DE81" i="61" s="1"/>
  <c r="DF81" i="61" s="1"/>
  <c r="AP82" i="61"/>
  <c r="DE82" i="61" s="1"/>
  <c r="DF82" i="61" s="1"/>
  <c r="AP83" i="61"/>
  <c r="DE83" i="61" s="1"/>
  <c r="DF83" i="61" s="1"/>
  <c r="AP84" i="61"/>
  <c r="DE84" i="61" s="1"/>
  <c r="AP86" i="61"/>
  <c r="DE86" i="61" s="1"/>
  <c r="DF86" i="61" s="1"/>
  <c r="AP87" i="61"/>
  <c r="DE87" i="61" s="1"/>
  <c r="DF87" i="61" s="1"/>
  <c r="AP88" i="61"/>
  <c r="DE88" i="61" s="1"/>
  <c r="DF88" i="61" s="1"/>
  <c r="AP90" i="61"/>
  <c r="DE90" i="61" s="1"/>
  <c r="DF90" i="61" s="1"/>
  <c r="AP92" i="61"/>
  <c r="DE92" i="61" s="1"/>
  <c r="DF92" i="61" s="1"/>
  <c r="AP93" i="61"/>
  <c r="DE93" i="61" s="1"/>
  <c r="DF93" i="61" s="1"/>
  <c r="AP94" i="61"/>
  <c r="DE94" i="61" s="1"/>
  <c r="DF94" i="61" s="1"/>
  <c r="AP95" i="61"/>
  <c r="DE95" i="61" s="1"/>
  <c r="DF95" i="61" s="1"/>
  <c r="AP98" i="61"/>
  <c r="DE98" i="61" s="1"/>
  <c r="DF98" i="61" s="1"/>
  <c r="AP100" i="61"/>
  <c r="DE100" i="61" s="1"/>
  <c r="DF100" i="61" s="1"/>
  <c r="AP104" i="61"/>
  <c r="DE104" i="61" s="1"/>
  <c r="DF104" i="61" s="1"/>
  <c r="AP105" i="61"/>
  <c r="DE105" i="61" s="1"/>
  <c r="DF105" i="61" s="1"/>
  <c r="AP107" i="61"/>
  <c r="DE107" i="61" s="1"/>
  <c r="DF107" i="61" s="1"/>
  <c r="AP110" i="61"/>
  <c r="DE110" i="61" s="1"/>
  <c r="DF110" i="61" s="1"/>
  <c r="AP111" i="61"/>
  <c r="DE111" i="61" s="1"/>
  <c r="DF111" i="61" s="1"/>
  <c r="AP115" i="61"/>
  <c r="DE115" i="61" s="1"/>
  <c r="DF115" i="61" s="1"/>
  <c r="AP117" i="61"/>
  <c r="DE117" i="61" s="1"/>
  <c r="DF117" i="61" s="1"/>
  <c r="AP118" i="61"/>
  <c r="DE118" i="61" s="1"/>
  <c r="DF118" i="61" s="1"/>
  <c r="AP119" i="61"/>
  <c r="DE119" i="61" s="1"/>
  <c r="DF119" i="61" s="1"/>
  <c r="AP120" i="61"/>
  <c r="DE120" i="61" s="1"/>
  <c r="DF120" i="61" s="1"/>
  <c r="AP121" i="61"/>
  <c r="DE121" i="61" s="1"/>
  <c r="DF121" i="61" s="1"/>
  <c r="AP123" i="61"/>
  <c r="DE123" i="61" s="1"/>
  <c r="DF123" i="61" s="1"/>
  <c r="AP127" i="61"/>
  <c r="DE127" i="61" s="1"/>
  <c r="DF127" i="61" s="1"/>
  <c r="AP129" i="61"/>
  <c r="DE129" i="61" s="1"/>
  <c r="DF129" i="61" s="1"/>
  <c r="AP130" i="61"/>
  <c r="DE130" i="61" s="1"/>
  <c r="DF130" i="61" s="1"/>
  <c r="AP132" i="61"/>
  <c r="DE132" i="61" s="1"/>
  <c r="DF132" i="61" s="1"/>
  <c r="AP133" i="61"/>
  <c r="DE133" i="61" s="1"/>
  <c r="DF133" i="61" s="1"/>
  <c r="AP135" i="61"/>
  <c r="DE135" i="61" s="1"/>
  <c r="DF135" i="61" s="1"/>
  <c r="AP136" i="61"/>
  <c r="DE136" i="61" s="1"/>
  <c r="DF136" i="61" s="1"/>
  <c r="AP137" i="61"/>
  <c r="DE137" i="61" s="1"/>
  <c r="DF137" i="61" s="1"/>
  <c r="AP138" i="61"/>
  <c r="DE138" i="61" s="1"/>
  <c r="DF138" i="61" s="1"/>
  <c r="AP140" i="61"/>
  <c r="DE140" i="61" s="1"/>
  <c r="DF140" i="61" s="1"/>
  <c r="AP143" i="61"/>
  <c r="DE143" i="61" s="1"/>
  <c r="DF143" i="61" s="1"/>
  <c r="AP144" i="61"/>
  <c r="DE144" i="61" s="1"/>
  <c r="DF144" i="61" s="1"/>
  <c r="AP146" i="61"/>
  <c r="DE146" i="61" s="1"/>
  <c r="DF146" i="61" s="1"/>
  <c r="AP147" i="61"/>
  <c r="DE147" i="61" s="1"/>
  <c r="DF147" i="61" s="1"/>
  <c r="AP148" i="61"/>
  <c r="DE148" i="61" s="1"/>
  <c r="DF148" i="61" s="1"/>
  <c r="AP149" i="61"/>
  <c r="DE149" i="61" s="1"/>
  <c r="AP151" i="61"/>
  <c r="DE151" i="61" s="1"/>
  <c r="DF151" i="61" s="1"/>
  <c r="AP153" i="61"/>
  <c r="DE153" i="61" s="1"/>
  <c r="DF153" i="61" s="1"/>
  <c r="AP158" i="61"/>
  <c r="DE158" i="61" s="1"/>
  <c r="DF158" i="61" s="1"/>
  <c r="AP161" i="61"/>
  <c r="DE161" i="61" s="1"/>
  <c r="DF161" i="61" s="1"/>
  <c r="AP162" i="61"/>
  <c r="DE162" i="61" s="1"/>
  <c r="DF162" i="61" s="1"/>
  <c r="AP164" i="61"/>
  <c r="DE164" i="61" s="1"/>
  <c r="DF164" i="61" s="1"/>
  <c r="AP165" i="61"/>
  <c r="DE165" i="61" s="1"/>
  <c r="DF165" i="61" s="1"/>
  <c r="AP166" i="61"/>
  <c r="DE166" i="61" s="1"/>
  <c r="DF166" i="61" s="1"/>
  <c r="AP170" i="61"/>
  <c r="DE170" i="61" s="1"/>
  <c r="DF170" i="61" s="1"/>
  <c r="AP172" i="61"/>
  <c r="DE172" i="61" s="1"/>
  <c r="DF172" i="61" s="1"/>
  <c r="AP173" i="61"/>
  <c r="DE173" i="61" s="1"/>
  <c r="DF173" i="61" s="1"/>
  <c r="AP175" i="61"/>
  <c r="DE175" i="61" s="1"/>
  <c r="DF175" i="61" s="1"/>
  <c r="AP177" i="61"/>
  <c r="DE177" i="61" s="1"/>
  <c r="AP178" i="61"/>
  <c r="DE178" i="61" s="1"/>
  <c r="DF178" i="61" s="1"/>
  <c r="AP179" i="61"/>
  <c r="DE179" i="61" s="1"/>
  <c r="DF179" i="61" s="1"/>
  <c r="AP181" i="61"/>
  <c r="DE181" i="61" s="1"/>
  <c r="DF181" i="61" s="1"/>
  <c r="AP182" i="61"/>
  <c r="DE182" i="61" s="1"/>
  <c r="DF182" i="61" s="1"/>
  <c r="AP183" i="61"/>
  <c r="DE183" i="61" s="1"/>
  <c r="DF183" i="61" s="1"/>
  <c r="AP184" i="61"/>
  <c r="DE184" i="61" s="1"/>
  <c r="DF184" i="61" s="1"/>
  <c r="AP185" i="61"/>
  <c r="DE185" i="61" s="1"/>
  <c r="DF185" i="61" s="1"/>
  <c r="AP193" i="61"/>
  <c r="DE193" i="61" s="1"/>
  <c r="DF193" i="61" s="1"/>
  <c r="AP194" i="61"/>
  <c r="DE194" i="61" s="1"/>
  <c r="AP199" i="61"/>
  <c r="DE199" i="61" s="1"/>
  <c r="DF199" i="61" s="1"/>
  <c r="AP200" i="61"/>
  <c r="DE200" i="61" s="1"/>
  <c r="DF200" i="61" s="1"/>
  <c r="AP202" i="61"/>
  <c r="DE202" i="61" s="1"/>
  <c r="DF202" i="61" s="1"/>
  <c r="AP205" i="61"/>
  <c r="DE205" i="61" s="1"/>
  <c r="DF205" i="61" s="1"/>
  <c r="AP207" i="61"/>
  <c r="DE207" i="61" s="1"/>
  <c r="DF207" i="61" s="1"/>
  <c r="AO9" i="61"/>
  <c r="M9" i="71" s="1"/>
  <c r="AO10" i="61"/>
  <c r="M10" i="71" s="1"/>
  <c r="AO12" i="61"/>
  <c r="M12" i="71" s="1"/>
  <c r="AO16" i="61"/>
  <c r="M16" i="71" s="1"/>
  <c r="AO17" i="61"/>
  <c r="M17" i="71" s="1"/>
  <c r="AO18" i="61"/>
  <c r="M18" i="71" s="1"/>
  <c r="AO20" i="61"/>
  <c r="M20" i="71" s="1"/>
  <c r="AO21" i="61"/>
  <c r="M21" i="71" s="1"/>
  <c r="AO24" i="61"/>
  <c r="M24" i="71" s="1"/>
  <c r="AO25" i="61"/>
  <c r="M25" i="71" s="1"/>
  <c r="AO27" i="61"/>
  <c r="M27" i="71" s="1"/>
  <c r="AO28" i="61"/>
  <c r="M28" i="71" s="1"/>
  <c r="AO31" i="61"/>
  <c r="M31" i="71" s="1"/>
  <c r="AO33" i="61"/>
  <c r="M33" i="71" s="1"/>
  <c r="AO35" i="61"/>
  <c r="M35" i="71" s="1"/>
  <c r="AO36" i="61"/>
  <c r="M36" i="71" s="1"/>
  <c r="AO41" i="61"/>
  <c r="M41" i="71" s="1"/>
  <c r="AO43" i="61"/>
  <c r="M43" i="71" s="1"/>
  <c r="AO45" i="61"/>
  <c r="M45" i="71" s="1"/>
  <c r="AO47" i="61"/>
  <c r="M47" i="71" s="1"/>
  <c r="AO48" i="61"/>
  <c r="M48" i="71" s="1"/>
  <c r="AO51" i="61"/>
  <c r="M51" i="71" s="1"/>
  <c r="AO53" i="61"/>
  <c r="M53" i="71" s="1"/>
  <c r="AO55" i="61"/>
  <c r="M55" i="71" s="1"/>
  <c r="AO56" i="61"/>
  <c r="M56" i="71" s="1"/>
  <c r="AO58" i="61"/>
  <c r="M58" i="71" s="1"/>
  <c r="AO59" i="61"/>
  <c r="M59" i="71" s="1"/>
  <c r="AO62" i="61"/>
  <c r="M62" i="71" s="1"/>
  <c r="AO65" i="61"/>
  <c r="M65" i="71" s="1"/>
  <c r="AO66" i="61"/>
  <c r="M66" i="71" s="1"/>
  <c r="AO70" i="61"/>
  <c r="M70" i="71" s="1"/>
  <c r="AO71" i="61"/>
  <c r="M71" i="71" s="1"/>
  <c r="AO73" i="61"/>
  <c r="M73" i="71" s="1"/>
  <c r="AO77" i="61"/>
  <c r="M77" i="71" s="1"/>
  <c r="AO81" i="61"/>
  <c r="M81" i="71" s="1"/>
  <c r="AO82" i="61"/>
  <c r="M82" i="71" s="1"/>
  <c r="AO83" i="61"/>
  <c r="M83" i="71" s="1"/>
  <c r="AO84" i="61"/>
  <c r="AO86" i="61"/>
  <c r="M86" i="71" s="1"/>
  <c r="AO87" i="61"/>
  <c r="M87" i="71" s="1"/>
  <c r="AO88" i="61"/>
  <c r="M88" i="71" s="1"/>
  <c r="AO90" i="61"/>
  <c r="M90" i="71" s="1"/>
  <c r="AO92" i="61"/>
  <c r="M92" i="71" s="1"/>
  <c r="AO93" i="61"/>
  <c r="M93" i="71" s="1"/>
  <c r="AO94" i="61"/>
  <c r="M94" i="71" s="1"/>
  <c r="AO95" i="61"/>
  <c r="M95" i="71" s="1"/>
  <c r="AO98" i="61"/>
  <c r="M98" i="71" s="1"/>
  <c r="AO100" i="61"/>
  <c r="M100" i="71" s="1"/>
  <c r="AO104" i="61"/>
  <c r="M104" i="71" s="1"/>
  <c r="AO105" i="61"/>
  <c r="M105" i="71" s="1"/>
  <c r="AO107" i="61"/>
  <c r="M107" i="71" s="1"/>
  <c r="AO110" i="61"/>
  <c r="M110" i="71" s="1"/>
  <c r="AO111" i="61"/>
  <c r="M111" i="71" s="1"/>
  <c r="AO115" i="61"/>
  <c r="M115" i="71" s="1"/>
  <c r="AO117" i="61"/>
  <c r="M117" i="71" s="1"/>
  <c r="AO118" i="61"/>
  <c r="M118" i="71" s="1"/>
  <c r="AO119" i="61"/>
  <c r="M119" i="71" s="1"/>
  <c r="AO120" i="61"/>
  <c r="M120" i="71" s="1"/>
  <c r="AO121" i="61"/>
  <c r="M121" i="71" s="1"/>
  <c r="AO123" i="61"/>
  <c r="M123" i="71" s="1"/>
  <c r="AO127" i="61"/>
  <c r="M127" i="71" s="1"/>
  <c r="AO129" i="61"/>
  <c r="M129" i="71" s="1"/>
  <c r="AO130" i="61"/>
  <c r="M130" i="71" s="1"/>
  <c r="AO132" i="61"/>
  <c r="M132" i="71" s="1"/>
  <c r="AO133" i="61"/>
  <c r="M133" i="71" s="1"/>
  <c r="AO135" i="61"/>
  <c r="M135" i="71" s="1"/>
  <c r="AO136" i="61"/>
  <c r="M136" i="71" s="1"/>
  <c r="AO137" i="61"/>
  <c r="M137" i="71" s="1"/>
  <c r="AO138" i="61"/>
  <c r="M138" i="71" s="1"/>
  <c r="AO140" i="61"/>
  <c r="M140" i="71" s="1"/>
  <c r="AO143" i="61"/>
  <c r="M143" i="71" s="1"/>
  <c r="AO144" i="61"/>
  <c r="M144" i="71" s="1"/>
  <c r="AO146" i="61"/>
  <c r="M146" i="71" s="1"/>
  <c r="AO147" i="61"/>
  <c r="M147" i="71" s="1"/>
  <c r="AO148" i="61"/>
  <c r="M148" i="71" s="1"/>
  <c r="AO149" i="61"/>
  <c r="AO151" i="61"/>
  <c r="M151" i="71" s="1"/>
  <c r="AO153" i="61"/>
  <c r="M153" i="71" s="1"/>
  <c r="AO158" i="61"/>
  <c r="M158" i="71" s="1"/>
  <c r="AO161" i="61"/>
  <c r="M161" i="71" s="1"/>
  <c r="AO162" i="61"/>
  <c r="M162" i="71" s="1"/>
  <c r="AO164" i="61"/>
  <c r="M164" i="71" s="1"/>
  <c r="AO165" i="61"/>
  <c r="M165" i="71" s="1"/>
  <c r="AO166" i="61"/>
  <c r="M166" i="71" s="1"/>
  <c r="AO170" i="61"/>
  <c r="M170" i="71" s="1"/>
  <c r="AO172" i="61"/>
  <c r="M172" i="71" s="1"/>
  <c r="AO173" i="61"/>
  <c r="M173" i="71" s="1"/>
  <c r="AO175" i="61"/>
  <c r="M175" i="71" s="1"/>
  <c r="AO177" i="61"/>
  <c r="AO178" i="61"/>
  <c r="M178" i="71" s="1"/>
  <c r="AO179" i="61"/>
  <c r="M179" i="71" s="1"/>
  <c r="AO181" i="61"/>
  <c r="M181" i="71" s="1"/>
  <c r="AO182" i="61"/>
  <c r="M182" i="71" s="1"/>
  <c r="AO183" i="61"/>
  <c r="M183" i="71" s="1"/>
  <c r="AO184" i="61"/>
  <c r="M184" i="71" s="1"/>
  <c r="AO185" i="61"/>
  <c r="M185" i="71" s="1"/>
  <c r="AO193" i="61"/>
  <c r="M193" i="71" s="1"/>
  <c r="AO194" i="61"/>
  <c r="AO199" i="61"/>
  <c r="M199" i="71" s="1"/>
  <c r="AO200" i="61"/>
  <c r="M200" i="71" s="1"/>
  <c r="AO202" i="61"/>
  <c r="M202" i="71" s="1"/>
  <c r="AO205" i="61"/>
  <c r="M205" i="71" s="1"/>
  <c r="AO207" i="61"/>
  <c r="M207" i="71" s="1"/>
  <c r="S9" i="71"/>
  <c r="X9" i="71" s="1"/>
  <c r="S10" i="71"/>
  <c r="X10" i="71" s="1"/>
  <c r="S11" i="71"/>
  <c r="X11" i="71" s="1"/>
  <c r="S12" i="71"/>
  <c r="X12" i="71" s="1"/>
  <c r="S13" i="71"/>
  <c r="X13" i="71" s="1"/>
  <c r="S14" i="71"/>
  <c r="X14" i="71" s="1"/>
  <c r="S15" i="71"/>
  <c r="X15" i="71" s="1"/>
  <c r="S16" i="71"/>
  <c r="X16" i="71" s="1"/>
  <c r="S17" i="71"/>
  <c r="X17" i="71" s="1"/>
  <c r="S18" i="71"/>
  <c r="X18" i="71" s="1"/>
  <c r="S19" i="71"/>
  <c r="X19" i="71" s="1"/>
  <c r="S20" i="71"/>
  <c r="X20" i="71" s="1"/>
  <c r="S22" i="71"/>
  <c r="X22" i="71" s="1"/>
  <c r="S23" i="71"/>
  <c r="X23" i="71" s="1"/>
  <c r="S24" i="71"/>
  <c r="X24" i="71" s="1"/>
  <c r="S26" i="71"/>
  <c r="X26" i="71" s="1"/>
  <c r="S27" i="71"/>
  <c r="X27" i="71" s="1"/>
  <c r="S28" i="71"/>
  <c r="X28" i="71" s="1"/>
  <c r="S29" i="71"/>
  <c r="X29" i="71" s="1"/>
  <c r="S30" i="71"/>
  <c r="X30" i="71" s="1"/>
  <c r="S31" i="71"/>
  <c r="X31" i="71" s="1"/>
  <c r="S32" i="71"/>
  <c r="X32" i="71" s="1"/>
  <c r="S33" i="71"/>
  <c r="X33" i="71" s="1"/>
  <c r="S34" i="71"/>
  <c r="X34" i="71" s="1"/>
  <c r="S35" i="71"/>
  <c r="X35" i="71" s="1"/>
  <c r="S36" i="71"/>
  <c r="X36" i="71" s="1"/>
  <c r="S37" i="71"/>
  <c r="X37" i="71" s="1"/>
  <c r="S38" i="71"/>
  <c r="X38" i="71" s="1"/>
  <c r="S39" i="71"/>
  <c r="X39" i="71" s="1"/>
  <c r="S40" i="71"/>
  <c r="X40" i="71" s="1"/>
  <c r="S41" i="71"/>
  <c r="X41" i="71" s="1"/>
  <c r="S42" i="71"/>
  <c r="X42" i="71" s="1"/>
  <c r="S43" i="71"/>
  <c r="X43" i="71" s="1"/>
  <c r="S44" i="71"/>
  <c r="X44" i="71" s="1"/>
  <c r="S46" i="71"/>
  <c r="X46" i="71" s="1"/>
  <c r="S47" i="71"/>
  <c r="X47" i="71" s="1"/>
  <c r="S48" i="71"/>
  <c r="X48" i="71" s="1"/>
  <c r="S49" i="71"/>
  <c r="X49" i="71" s="1"/>
  <c r="S50" i="71"/>
  <c r="X50" i="71" s="1"/>
  <c r="S51" i="71"/>
  <c r="X51" i="71" s="1"/>
  <c r="S52" i="71"/>
  <c r="X52" i="71" s="1"/>
  <c r="S53" i="71"/>
  <c r="X53" i="71" s="1"/>
  <c r="S54" i="71"/>
  <c r="X54" i="71" s="1"/>
  <c r="S55" i="71"/>
  <c r="X55" i="71" s="1"/>
  <c r="S56" i="71"/>
  <c r="X56" i="71" s="1"/>
  <c r="S57" i="71"/>
  <c r="X57" i="71" s="1"/>
  <c r="S58" i="71"/>
  <c r="X58" i="71" s="1"/>
  <c r="S59" i="71"/>
  <c r="X59" i="71" s="1"/>
  <c r="S60" i="71"/>
  <c r="X60" i="71" s="1"/>
  <c r="S61" i="71"/>
  <c r="X61" i="71" s="1"/>
  <c r="S62" i="71"/>
  <c r="X62" i="71" s="1"/>
  <c r="S63" i="71"/>
  <c r="X63" i="71" s="1"/>
  <c r="S64" i="71"/>
  <c r="X64" i="71" s="1"/>
  <c r="S65" i="71"/>
  <c r="X65" i="71" s="1"/>
  <c r="S66" i="71"/>
  <c r="X66" i="71" s="1"/>
  <c r="S67" i="71"/>
  <c r="X67" i="71" s="1"/>
  <c r="S68" i="71"/>
  <c r="X68" i="71" s="1"/>
  <c r="S69" i="71"/>
  <c r="X69" i="71" s="1"/>
  <c r="S70" i="71"/>
  <c r="X70" i="71" s="1"/>
  <c r="S71" i="71"/>
  <c r="X71" i="71" s="1"/>
  <c r="S72" i="71"/>
  <c r="X72" i="71" s="1"/>
  <c r="S74" i="71"/>
  <c r="X74" i="71" s="1"/>
  <c r="S75" i="71"/>
  <c r="X75" i="71" s="1"/>
  <c r="S76" i="71"/>
  <c r="X76" i="71" s="1"/>
  <c r="S77" i="71"/>
  <c r="X77" i="71" s="1"/>
  <c r="S78" i="71"/>
  <c r="X78" i="71" s="1"/>
  <c r="S79" i="71"/>
  <c r="X79" i="71" s="1"/>
  <c r="S80" i="71"/>
  <c r="X80" i="71" s="1"/>
  <c r="S81" i="71"/>
  <c r="X81" i="71" s="1"/>
  <c r="S82" i="71"/>
  <c r="X82" i="71" s="1"/>
  <c r="S83" i="71"/>
  <c r="X83" i="71" s="1"/>
  <c r="S84" i="71"/>
  <c r="X84" i="71" s="1"/>
  <c r="S85" i="71"/>
  <c r="X85" i="71" s="1"/>
  <c r="S86" i="71"/>
  <c r="X86" i="71" s="1"/>
  <c r="S87" i="71"/>
  <c r="X87" i="71" s="1"/>
  <c r="S88" i="71"/>
  <c r="X88" i="71" s="1"/>
  <c r="S89" i="71"/>
  <c r="X89" i="71" s="1"/>
  <c r="S90" i="71"/>
  <c r="X90" i="71" s="1"/>
  <c r="S91" i="71"/>
  <c r="X91" i="71" s="1"/>
  <c r="S92" i="71"/>
  <c r="X92" i="71" s="1"/>
  <c r="S93" i="71"/>
  <c r="X93" i="71" s="1"/>
  <c r="S94" i="71"/>
  <c r="X94" i="71" s="1"/>
  <c r="S96" i="71"/>
  <c r="X96" i="71" s="1"/>
  <c r="S97" i="71"/>
  <c r="X97" i="71" s="1"/>
  <c r="S98" i="71"/>
  <c r="X98" i="71" s="1"/>
  <c r="S99" i="71"/>
  <c r="X99" i="71" s="1"/>
  <c r="S100" i="71"/>
  <c r="X100" i="71" s="1"/>
  <c r="S101" i="71"/>
  <c r="X101" i="71" s="1"/>
  <c r="S102" i="71"/>
  <c r="X102" i="71" s="1"/>
  <c r="S103" i="71"/>
  <c r="X103" i="71" s="1"/>
  <c r="S104" i="71"/>
  <c r="X104" i="71" s="1"/>
  <c r="S105" i="71"/>
  <c r="X105" i="71" s="1"/>
  <c r="S106" i="71"/>
  <c r="X106" i="71" s="1"/>
  <c r="S107" i="71"/>
  <c r="X107" i="71" s="1"/>
  <c r="S108" i="71"/>
  <c r="X108" i="71" s="1"/>
  <c r="S109" i="71"/>
  <c r="X109" i="71" s="1"/>
  <c r="S110" i="71"/>
  <c r="X110" i="71" s="1"/>
  <c r="S111" i="71"/>
  <c r="X111" i="71" s="1"/>
  <c r="S112" i="71"/>
  <c r="X112" i="71" s="1"/>
  <c r="S113" i="71"/>
  <c r="X113" i="71" s="1"/>
  <c r="S114" i="71"/>
  <c r="X114" i="71" s="1"/>
  <c r="S115" i="71"/>
  <c r="X115" i="71" s="1"/>
  <c r="S116" i="71"/>
  <c r="X116" i="71" s="1"/>
  <c r="S117" i="71"/>
  <c r="X117" i="71" s="1"/>
  <c r="S118" i="71"/>
  <c r="X118" i="71" s="1"/>
  <c r="S119" i="71"/>
  <c r="X119" i="71" s="1"/>
  <c r="S120" i="71"/>
  <c r="X120" i="71" s="1"/>
  <c r="S121" i="71"/>
  <c r="X121" i="71" s="1"/>
  <c r="S122" i="71"/>
  <c r="X122" i="71" s="1"/>
  <c r="S123" i="71"/>
  <c r="X123" i="71" s="1"/>
  <c r="S124" i="71"/>
  <c r="X124" i="71" s="1"/>
  <c r="S125" i="71"/>
  <c r="X125" i="71" s="1"/>
  <c r="S126" i="71"/>
  <c r="X126" i="71" s="1"/>
  <c r="S127" i="71"/>
  <c r="X127" i="71" s="1"/>
  <c r="S128" i="71"/>
  <c r="X128" i="71" s="1"/>
  <c r="S129" i="71"/>
  <c r="X129" i="71" s="1"/>
  <c r="S130" i="71"/>
  <c r="X130" i="71" s="1"/>
  <c r="S131" i="71"/>
  <c r="X131" i="71" s="1"/>
  <c r="S132" i="71"/>
  <c r="X132" i="71" s="1"/>
  <c r="S133" i="71"/>
  <c r="X133" i="71" s="1"/>
  <c r="S134" i="71"/>
  <c r="X134" i="71" s="1"/>
  <c r="S135" i="71"/>
  <c r="X135" i="71" s="1"/>
  <c r="S136" i="71"/>
  <c r="X136" i="71" s="1"/>
  <c r="S137" i="71"/>
  <c r="X137" i="71" s="1"/>
  <c r="S139" i="71"/>
  <c r="X139" i="71" s="1"/>
  <c r="S140" i="71"/>
  <c r="X140" i="71" s="1"/>
  <c r="S141" i="71"/>
  <c r="X141" i="71" s="1"/>
  <c r="S142" i="71"/>
  <c r="X142" i="71" s="1"/>
  <c r="S143" i="71"/>
  <c r="X143" i="71" s="1"/>
  <c r="S144" i="71"/>
  <c r="X144" i="71" s="1"/>
  <c r="S145" i="71"/>
  <c r="X145" i="71" s="1"/>
  <c r="S146" i="71"/>
  <c r="X146" i="71" s="1"/>
  <c r="S147" i="71"/>
  <c r="X147" i="71" s="1"/>
  <c r="S148" i="71"/>
  <c r="X148" i="71" s="1"/>
  <c r="S149" i="71"/>
  <c r="X149" i="71" s="1"/>
  <c r="S150" i="71"/>
  <c r="X150" i="71" s="1"/>
  <c r="S151" i="71"/>
  <c r="X151" i="71" s="1"/>
  <c r="S152" i="71"/>
  <c r="X152" i="71" s="1"/>
  <c r="S153" i="71"/>
  <c r="X153" i="71" s="1"/>
  <c r="S154" i="71"/>
  <c r="X154" i="71" s="1"/>
  <c r="S155" i="71"/>
  <c r="X155" i="71" s="1"/>
  <c r="S156" i="71"/>
  <c r="X156" i="71" s="1"/>
  <c r="S157" i="71"/>
  <c r="X157" i="71" s="1"/>
  <c r="S158" i="71"/>
  <c r="X158" i="71" s="1"/>
  <c r="S159" i="71"/>
  <c r="X159" i="71" s="1"/>
  <c r="S160" i="71"/>
  <c r="X160" i="71" s="1"/>
  <c r="S161" i="71"/>
  <c r="X161" i="71" s="1"/>
  <c r="S162" i="71"/>
  <c r="X162" i="71" s="1"/>
  <c r="S163" i="71"/>
  <c r="X163" i="71" s="1"/>
  <c r="S164" i="71"/>
  <c r="X164" i="71" s="1"/>
  <c r="S165" i="71"/>
  <c r="X165" i="71" s="1"/>
  <c r="S166" i="71"/>
  <c r="X166" i="71" s="1"/>
  <c r="S167" i="71"/>
  <c r="X167" i="71" s="1"/>
  <c r="S168" i="71"/>
  <c r="X168" i="71" s="1"/>
  <c r="S169" i="71"/>
  <c r="X169" i="71" s="1"/>
  <c r="S170" i="71"/>
  <c r="X170" i="71" s="1"/>
  <c r="S171" i="71"/>
  <c r="X171" i="71" s="1"/>
  <c r="S172" i="71"/>
  <c r="X172" i="71" s="1"/>
  <c r="S173" i="71"/>
  <c r="X173" i="71" s="1"/>
  <c r="S174" i="71"/>
  <c r="X174" i="71" s="1"/>
  <c r="S175" i="71"/>
  <c r="X175" i="71" s="1"/>
  <c r="S176" i="71"/>
  <c r="X176" i="71" s="1"/>
  <c r="S177" i="71"/>
  <c r="X177" i="71" s="1"/>
  <c r="S178" i="71"/>
  <c r="X178" i="71" s="1"/>
  <c r="S179" i="71"/>
  <c r="X179" i="71" s="1"/>
  <c r="S180" i="71"/>
  <c r="X180" i="71" s="1"/>
  <c r="S181" i="71"/>
  <c r="X181" i="71" s="1"/>
  <c r="S182" i="71"/>
  <c r="X182" i="71" s="1"/>
  <c r="S183" i="71"/>
  <c r="X183" i="71" s="1"/>
  <c r="S184" i="71"/>
  <c r="X184" i="71" s="1"/>
  <c r="S185" i="71"/>
  <c r="X185" i="71" s="1"/>
  <c r="S186" i="71"/>
  <c r="X186" i="71" s="1"/>
  <c r="S187" i="71"/>
  <c r="X187" i="71" s="1"/>
  <c r="S188" i="71"/>
  <c r="X188" i="71" s="1"/>
  <c r="S189" i="71"/>
  <c r="X189" i="71" s="1"/>
  <c r="S190" i="71"/>
  <c r="X190" i="71" s="1"/>
  <c r="S191" i="71"/>
  <c r="X191" i="71" s="1"/>
  <c r="S192" i="71"/>
  <c r="X192" i="71" s="1"/>
  <c r="S193" i="71"/>
  <c r="X193" i="71" s="1"/>
  <c r="S194" i="71"/>
  <c r="X194" i="71" s="1"/>
  <c r="S195" i="71"/>
  <c r="X195" i="71" s="1"/>
  <c r="S196" i="71"/>
  <c r="X196" i="71" s="1"/>
  <c r="S197" i="71"/>
  <c r="X197" i="71" s="1"/>
  <c r="S198" i="71"/>
  <c r="X198" i="71" s="1"/>
  <c r="S199" i="71"/>
  <c r="X199" i="71" s="1"/>
  <c r="S200" i="71"/>
  <c r="X200" i="71" s="1"/>
  <c r="S201" i="71"/>
  <c r="X201" i="71" s="1"/>
  <c r="S202" i="71"/>
  <c r="X202" i="71" s="1"/>
  <c r="S203" i="71"/>
  <c r="X203" i="71" s="1"/>
  <c r="S204" i="71"/>
  <c r="X204" i="71" s="1"/>
  <c r="S205" i="71"/>
  <c r="X205" i="71" s="1"/>
  <c r="S206" i="71"/>
  <c r="X206" i="71" s="1"/>
  <c r="S207" i="71"/>
  <c r="X207" i="71" s="1"/>
  <c r="S8" i="71"/>
  <c r="X8" i="71" s="1"/>
  <c r="W10" i="65" l="1"/>
  <c r="W11" i="65"/>
  <c r="W12" i="65"/>
  <c r="W13" i="65"/>
  <c r="W14" i="65"/>
  <c r="W9" i="65"/>
  <c r="AG10" i="65"/>
  <c r="AH10" i="65"/>
  <c r="AI10" i="65"/>
  <c r="AJ10" i="65"/>
  <c r="AG11" i="65"/>
  <c r="AH11" i="65"/>
  <c r="AI11" i="65"/>
  <c r="AJ11" i="65"/>
  <c r="AG12" i="65"/>
  <c r="AH12" i="65"/>
  <c r="AI12" i="65"/>
  <c r="AJ12" i="65"/>
  <c r="AG13" i="65"/>
  <c r="AK13" i="65" s="1"/>
  <c r="AH13" i="65"/>
  <c r="AI13" i="65"/>
  <c r="AJ13" i="65"/>
  <c r="AG14" i="65"/>
  <c r="AH14" i="65"/>
  <c r="AI14" i="65"/>
  <c r="AJ14" i="65"/>
  <c r="AH9" i="65"/>
  <c r="AI9" i="65"/>
  <c r="AJ9" i="65"/>
  <c r="AG9" i="65"/>
  <c r="X10" i="65"/>
  <c r="Y10" i="65"/>
  <c r="Z10" i="65"/>
  <c r="AA10" i="65"/>
  <c r="AB10" i="65"/>
  <c r="AC10" i="65"/>
  <c r="AD10" i="65"/>
  <c r="AE10" i="65"/>
  <c r="X11" i="65"/>
  <c r="Y11" i="65"/>
  <c r="Z11" i="65"/>
  <c r="AA11" i="65"/>
  <c r="AB11" i="65"/>
  <c r="AC11" i="65"/>
  <c r="AD11" i="65"/>
  <c r="AE11" i="65"/>
  <c r="X12" i="65"/>
  <c r="Y12" i="65"/>
  <c r="Z12" i="65"/>
  <c r="AA12" i="65"/>
  <c r="AB12" i="65"/>
  <c r="AC12" i="65"/>
  <c r="AD12" i="65"/>
  <c r="AE12" i="65"/>
  <c r="X13" i="65"/>
  <c r="Y13" i="65"/>
  <c r="Z13" i="65"/>
  <c r="AA13" i="65"/>
  <c r="AB13" i="65"/>
  <c r="AC13" i="65"/>
  <c r="AD13" i="65"/>
  <c r="AE13" i="65"/>
  <c r="X14" i="65"/>
  <c r="Y14" i="65"/>
  <c r="Z14" i="65"/>
  <c r="AA14" i="65"/>
  <c r="AB14" i="65"/>
  <c r="AC14" i="65"/>
  <c r="AD14" i="65"/>
  <c r="AE14" i="65"/>
  <c r="AF9" i="65"/>
  <c r="AB9" i="65"/>
  <c r="AC9" i="65"/>
  <c r="AD9" i="65"/>
  <c r="AE9" i="65"/>
  <c r="EC21" i="67" l="1"/>
  <c r="AO9" i="65"/>
  <c r="AR9" i="65" s="1"/>
  <c r="BV21" i="67"/>
  <c r="CJ21" i="67"/>
  <c r="AK11" i="65"/>
  <c r="AC16" i="65"/>
  <c r="FV21" i="67"/>
  <c r="FG21" i="67"/>
  <c r="ER21" i="67"/>
  <c r="DN21" i="67"/>
  <c r="CY21" i="67"/>
  <c r="AF12" i="65"/>
  <c r="AK14" i="65"/>
  <c r="AF14" i="65"/>
  <c r="AK10" i="65"/>
  <c r="AF11" i="65"/>
  <c r="AK12" i="65"/>
  <c r="Z16" i="65"/>
  <c r="AF13" i="65"/>
  <c r="AJ16" i="65"/>
  <c r="AA16" i="65"/>
  <c r="Y16" i="65"/>
  <c r="X16" i="65"/>
  <c r="AE16" i="65"/>
  <c r="AI16" i="65"/>
  <c r="AH16" i="65"/>
  <c r="AF10" i="65"/>
  <c r="AD16" i="65"/>
  <c r="AG16" i="65"/>
  <c r="AB16" i="65"/>
  <c r="AK9" i="65"/>
  <c r="AL16" i="65"/>
  <c r="GO21" i="67" l="1"/>
  <c r="AM12" i="65"/>
  <c r="DN71" i="67"/>
  <c r="EC71" i="67"/>
  <c r="S73" i="71"/>
  <c r="FG71" i="67"/>
  <c r="ER71" i="67"/>
  <c r="CY71" i="67"/>
  <c r="FV71" i="67"/>
  <c r="AM11" i="65"/>
  <c r="ER43" i="67"/>
  <c r="DN43" i="67"/>
  <c r="EC43" i="67"/>
  <c r="S45" i="71"/>
  <c r="FV43" i="67"/>
  <c r="CY43" i="67"/>
  <c r="FG43" i="67"/>
  <c r="AM10" i="65"/>
  <c r="CY25" i="67"/>
  <c r="FG25" i="67"/>
  <c r="S25" i="71"/>
  <c r="ER25" i="67"/>
  <c r="DN25" i="67"/>
  <c r="EC25" i="67"/>
  <c r="FV25" i="67"/>
  <c r="EC134" i="67"/>
  <c r="DN134" i="67"/>
  <c r="FV134" i="67"/>
  <c r="ER134" i="67"/>
  <c r="S138" i="71"/>
  <c r="FG134" i="67"/>
  <c r="CY134" i="67"/>
  <c r="AM13" i="65"/>
  <c r="DN92" i="67"/>
  <c r="EC92" i="67"/>
  <c r="ER92" i="67"/>
  <c r="S95" i="71"/>
  <c r="FG92" i="67"/>
  <c r="FV92" i="67"/>
  <c r="CY92" i="67"/>
  <c r="S21" i="71"/>
  <c r="GH21" i="67"/>
  <c r="AM14" i="65"/>
  <c r="AF16" i="65"/>
  <c r="AM9" i="65"/>
  <c r="AK16" i="65"/>
  <c r="GO43" i="67" l="1"/>
  <c r="GO25" i="67"/>
  <c r="GO92" i="67"/>
  <c r="GO71" i="67"/>
  <c r="GO134" i="67"/>
  <c r="X21" i="71"/>
  <c r="CJ208" i="67"/>
  <c r="CY208" i="67"/>
  <c r="GH71" i="67"/>
  <c r="X73" i="71" s="1"/>
  <c r="GH43" i="67"/>
  <c r="X45" i="71" s="1"/>
  <c r="DN208" i="67"/>
  <c r="FV208" i="67"/>
  <c r="GH25" i="67"/>
  <c r="X25" i="71" s="1"/>
  <c r="ER208" i="67"/>
  <c r="AR16" i="65"/>
  <c r="EC208" i="67"/>
  <c r="GH134" i="67"/>
  <c r="X138" i="71" s="1"/>
  <c r="FG208" i="67"/>
  <c r="GH92" i="67"/>
  <c r="X95" i="71" s="1"/>
  <c r="BV208" i="67"/>
  <c r="T16" i="65"/>
  <c r="S16" i="65"/>
  <c r="Q16" i="65"/>
  <c r="R16" i="65"/>
  <c r="GO208" i="67" l="1"/>
  <c r="GH208" i="67"/>
  <c r="U16" i="65"/>
  <c r="AQ142" i="61"/>
  <c r="AP142" i="61"/>
  <c r="DE142" i="61" s="1"/>
  <c r="DF142" i="61" s="1"/>
  <c r="AQ150" i="61"/>
  <c r="AP60" i="61" l="1"/>
  <c r="DE60" i="61" s="1"/>
  <c r="AO112" i="61"/>
  <c r="AO126" i="61"/>
  <c r="AQ128" i="61"/>
  <c r="AP125" i="61"/>
  <c r="DE125" i="61" s="1"/>
  <c r="AP206" i="61"/>
  <c r="DE206" i="61" s="1"/>
  <c r="AQ197" i="61"/>
  <c r="AP201" i="61"/>
  <c r="DE201" i="61" s="1"/>
  <c r="AP42" i="61"/>
  <c r="DE42" i="61" s="1"/>
  <c r="AP91" i="61"/>
  <c r="DE91" i="61" s="1"/>
  <c r="AO102" i="61"/>
  <c r="AQ190" i="61"/>
  <c r="AO61" i="61"/>
  <c r="AO176" i="61"/>
  <c r="AP106" i="61"/>
  <c r="DE106" i="61" s="1"/>
  <c r="AP176" i="61"/>
  <c r="DE176" i="61" s="1"/>
  <c r="AP34" i="61"/>
  <c r="DE34" i="61" s="1"/>
  <c r="AP64" i="61"/>
  <c r="DE64" i="61" s="1"/>
  <c r="AO85" i="61"/>
  <c r="AP97" i="61"/>
  <c r="DE97" i="61" s="1"/>
  <c r="AP195" i="61"/>
  <c r="DE195" i="61" s="1"/>
  <c r="AP40" i="61"/>
  <c r="DE40" i="61" s="1"/>
  <c r="AQ126" i="61"/>
  <c r="AP122" i="61"/>
  <c r="DE122" i="61" s="1"/>
  <c r="AO198" i="61"/>
  <c r="AP22" i="61"/>
  <c r="DE22" i="61" s="1"/>
  <c r="AO103" i="61"/>
  <c r="AO75" i="61"/>
  <c r="AO204" i="61"/>
  <c r="AP101" i="61"/>
  <c r="DE101" i="61" s="1"/>
  <c r="AO134" i="61"/>
  <c r="AP131" i="61"/>
  <c r="DE131" i="61" s="1"/>
  <c r="AO72" i="61"/>
  <c r="AQ139" i="61"/>
  <c r="AP169" i="61"/>
  <c r="DE169" i="61" s="1"/>
  <c r="AQ68" i="61"/>
  <c r="AO109" i="61"/>
  <c r="AQ32" i="61"/>
  <c r="AP159" i="61"/>
  <c r="DE159" i="61" s="1"/>
  <c r="AQ54" i="61"/>
  <c r="AQ74" i="61"/>
  <c r="AP145" i="61"/>
  <c r="DE145" i="61" s="1"/>
  <c r="DF145" i="61" s="1"/>
  <c r="AO197" i="61"/>
  <c r="AQ124" i="61"/>
  <c r="AP186" i="61"/>
  <c r="DE186" i="61" s="1"/>
  <c r="AQ42" i="61"/>
  <c r="AQ152" i="61"/>
  <c r="AQ157" i="61"/>
  <c r="AQ108" i="61"/>
  <c r="AO141" i="61"/>
  <c r="AP174" i="61"/>
  <c r="DE174" i="61" s="1"/>
  <c r="AO169" i="61"/>
  <c r="AQ57" i="61"/>
  <c r="AQ11" i="61"/>
  <c r="AO34" i="61"/>
  <c r="AQ75" i="61"/>
  <c r="AQ113" i="61"/>
  <c r="AO116" i="61"/>
  <c r="AP68" i="61"/>
  <c r="DE68" i="61" s="1"/>
  <c r="AO60" i="61"/>
  <c r="DG145" i="61" l="1"/>
  <c r="AQ122" i="61"/>
  <c r="AQ79" i="61"/>
  <c r="AQ114" i="61"/>
  <c r="AQ40" i="61"/>
  <c r="AQ63" i="61"/>
  <c r="AP15" i="61"/>
  <c r="DE15" i="61" s="1"/>
  <c r="AQ141" i="61"/>
  <c r="AP50" i="61"/>
  <c r="DE50" i="61" s="1"/>
  <c r="AQ89" i="61"/>
  <c r="AO167" i="61"/>
  <c r="AP113" i="61"/>
  <c r="DE113" i="61" s="1"/>
  <c r="AQ159" i="61"/>
  <c r="AO114" i="61"/>
  <c r="AO89" i="61"/>
  <c r="AQ19" i="61"/>
  <c r="AP196" i="61"/>
  <c r="DE196" i="61" s="1"/>
  <c r="AP80" i="61"/>
  <c r="DE80" i="61" s="1"/>
  <c r="AQ97" i="61"/>
  <c r="AP197" i="61"/>
  <c r="DE197" i="61" s="1"/>
  <c r="AQ116" i="61"/>
  <c r="AQ78" i="61"/>
  <c r="AQ188" i="61"/>
  <c r="AO156" i="61"/>
  <c r="AO189" i="61"/>
  <c r="M189" i="71" s="1"/>
  <c r="AQ145" i="61"/>
  <c r="AQ52" i="61"/>
  <c r="AO150" i="61"/>
  <c r="AP14" i="61"/>
  <c r="DE14" i="61" s="1"/>
  <c r="AO15" i="61"/>
  <c r="AP76" i="61"/>
  <c r="DE76" i="61" s="1"/>
  <c r="AQ106" i="61"/>
  <c r="AP39" i="61"/>
  <c r="DE39" i="61" s="1"/>
  <c r="AO22" i="61"/>
  <c r="AQ176" i="61"/>
  <c r="AQ91" i="61"/>
  <c r="AP79" i="61"/>
  <c r="DE79" i="61" s="1"/>
  <c r="AQ22" i="61"/>
  <c r="AP52" i="61"/>
  <c r="DE52" i="61" s="1"/>
  <c r="AQ169" i="61"/>
  <c r="AO68" i="61"/>
  <c r="AQ46" i="61"/>
  <c r="AP57" i="61"/>
  <c r="DE57" i="61" s="1"/>
  <c r="AP203" i="61"/>
  <c r="DE203" i="61" s="1"/>
  <c r="AQ99" i="61"/>
  <c r="AP180" i="61"/>
  <c r="DE180" i="61" s="1"/>
  <c r="AO186" i="61"/>
  <c r="AP116" i="61"/>
  <c r="DE116" i="61" s="1"/>
  <c r="AP156" i="61"/>
  <c r="DE156" i="61" s="1"/>
  <c r="AQ160" i="61"/>
  <c r="AQ125" i="61"/>
  <c r="AP141" i="61"/>
  <c r="DE141" i="61" s="1"/>
  <c r="AO74" i="61"/>
  <c r="AO23" i="61"/>
  <c r="AO44" i="61"/>
  <c r="AO195" i="61"/>
  <c r="AQ13" i="61"/>
  <c r="AQ30" i="61"/>
  <c r="AO142" i="61"/>
  <c r="M142" i="71" s="1"/>
  <c r="AQ189" i="61"/>
  <c r="AP89" i="61"/>
  <c r="DE89" i="61" s="1"/>
  <c r="AO157" i="61"/>
  <c r="AP163" i="61"/>
  <c r="DE163" i="61" s="1"/>
  <c r="AQ49" i="61"/>
  <c r="AO113" i="61"/>
  <c r="AO188" i="61"/>
  <c r="AQ195" i="61"/>
  <c r="AP13" i="61"/>
  <c r="DE13" i="61" s="1"/>
  <c r="AP61" i="61"/>
  <c r="DE61" i="61" s="1"/>
  <c r="AQ180" i="61"/>
  <c r="AQ29" i="61"/>
  <c r="AO26" i="61"/>
  <c r="AO76" i="61"/>
  <c r="AQ198" i="61"/>
  <c r="AO139" i="61"/>
  <c r="AQ112" i="61"/>
  <c r="AQ203" i="61"/>
  <c r="AQ38" i="61"/>
  <c r="AO14" i="61"/>
  <c r="AP160" i="61"/>
  <c r="DE160" i="61" s="1"/>
  <c r="AP29" i="61"/>
  <c r="DE29" i="61" s="1"/>
  <c r="AO52" i="61"/>
  <c r="AO201" i="61"/>
  <c r="AO32" i="61"/>
  <c r="AQ109" i="61"/>
  <c r="AO174" i="61"/>
  <c r="AQ187" i="61"/>
  <c r="AP128" i="61"/>
  <c r="DE128" i="61" s="1"/>
  <c r="AO145" i="61"/>
  <c r="M145" i="71" s="1"/>
  <c r="AQ154" i="61"/>
  <c r="AP114" i="61"/>
  <c r="DE114" i="61" s="1"/>
  <c r="AP69" i="61"/>
  <c r="DE69" i="61" s="1"/>
  <c r="AQ64" i="61"/>
  <c r="AQ23" i="61"/>
  <c r="AP157" i="61"/>
  <c r="DE157" i="61" s="1"/>
  <c r="AO63" i="61"/>
  <c r="AP134" i="61"/>
  <c r="DE134" i="61" s="1"/>
  <c r="AO78" i="61"/>
  <c r="AO191" i="61"/>
  <c r="AQ134" i="61"/>
  <c r="AP74" i="61"/>
  <c r="DE74" i="61" s="1"/>
  <c r="AQ174" i="61"/>
  <c r="AP171" i="61"/>
  <c r="DE171" i="61" s="1"/>
  <c r="AO42" i="61"/>
  <c r="AO38" i="61"/>
  <c r="AO124" i="61"/>
  <c r="AQ67" i="61"/>
  <c r="AO106" i="61"/>
  <c r="AQ14" i="61"/>
  <c r="AQ167" i="61"/>
  <c r="AQ156" i="61"/>
  <c r="AP155" i="61"/>
  <c r="DE155" i="61" s="1"/>
  <c r="AO11" i="61"/>
  <c r="AO163" i="61"/>
  <c r="AO96" i="61"/>
  <c r="AO40" i="61"/>
  <c r="AP102" i="61"/>
  <c r="DE102" i="61" s="1"/>
  <c r="AP38" i="61"/>
  <c r="DE38" i="61" s="1"/>
  <c r="AO122" i="61"/>
  <c r="AP154" i="61"/>
  <c r="DE154" i="61" s="1"/>
  <c r="AQ61" i="61"/>
  <c r="AO91" i="61"/>
  <c r="AQ15" i="61"/>
  <c r="AO46" i="61"/>
  <c r="AQ192" i="61"/>
  <c r="AP198" i="61"/>
  <c r="DE198" i="61" s="1"/>
  <c r="AP124" i="61"/>
  <c r="DE124" i="61" s="1"/>
  <c r="AQ76" i="61"/>
  <c r="AO57" i="61"/>
  <c r="AO196" i="61"/>
  <c r="AP192" i="61"/>
  <c r="DE192" i="61" s="1"/>
  <c r="DF192" i="61" s="1"/>
  <c r="AO80" i="61"/>
  <c r="AQ155" i="61"/>
  <c r="AP108" i="61"/>
  <c r="DE108" i="61" s="1"/>
  <c r="AP78" i="61"/>
  <c r="DE78" i="61" s="1"/>
  <c r="AP126" i="61"/>
  <c r="DE126" i="61" s="1"/>
  <c r="AO39" i="61"/>
  <c r="AP112" i="61"/>
  <c r="DE112" i="61" s="1"/>
  <c r="AP49" i="61"/>
  <c r="DE49" i="61" s="1"/>
  <c r="AO190" i="61"/>
  <c r="AO54" i="61"/>
  <c r="AO155" i="61"/>
  <c r="AO79" i="61"/>
  <c r="AQ26" i="61"/>
  <c r="AO69" i="61"/>
  <c r="AO29" i="61"/>
  <c r="AP187" i="61"/>
  <c r="DE187" i="61" s="1"/>
  <c r="AO160" i="61"/>
  <c r="AO67" i="61"/>
  <c r="AQ69" i="61"/>
  <c r="AP109" i="61"/>
  <c r="DE109" i="61" s="1"/>
  <c r="AQ163" i="61"/>
  <c r="AQ196" i="61"/>
  <c r="AQ72" i="61"/>
  <c r="AP150" i="61"/>
  <c r="DE150" i="61" s="1"/>
  <c r="AO131" i="61"/>
  <c r="AQ102" i="61"/>
  <c r="AO99" i="61"/>
  <c r="AO101" i="61"/>
  <c r="AQ85" i="61"/>
  <c r="AP167" i="61"/>
  <c r="DE167" i="61" s="1"/>
  <c r="AO192" i="61"/>
  <c r="M192" i="71" s="1"/>
  <c r="AO30" i="61"/>
  <c r="AO128" i="61"/>
  <c r="AO50" i="61"/>
  <c r="AO97" i="61"/>
  <c r="AO13" i="61"/>
  <c r="AO159" i="61"/>
  <c r="AP189" i="61"/>
  <c r="DE189" i="61" s="1"/>
  <c r="DF189" i="61" s="1"/>
  <c r="AP11" i="61"/>
  <c r="DE11" i="61" s="1"/>
  <c r="AO108" i="61"/>
  <c r="AO168" i="61"/>
  <c r="AP32" i="61"/>
  <c r="DE32" i="61" s="1"/>
  <c r="AP26" i="61"/>
  <c r="DE26" i="61" s="1"/>
  <c r="AO37" i="61"/>
  <c r="AO49" i="61"/>
  <c r="AQ80" i="61"/>
  <c r="AP103" i="61"/>
  <c r="DE103" i="61" s="1"/>
  <c r="AP67" i="61"/>
  <c r="DE67" i="61" s="1"/>
  <c r="AP139" i="61"/>
  <c r="DE139" i="61" s="1"/>
  <c r="AQ204" i="61"/>
  <c r="AP30" i="61"/>
  <c r="DE30" i="61" s="1"/>
  <c r="DF30" i="61" s="1"/>
  <c r="AP204" i="61"/>
  <c r="DE204" i="61" s="1"/>
  <c r="AP63" i="61"/>
  <c r="DE63" i="61" s="1"/>
  <c r="AQ103" i="61"/>
  <c r="AP99" i="61"/>
  <c r="DE99" i="61" s="1"/>
  <c r="AQ171" i="61"/>
  <c r="AO187" i="61"/>
  <c r="AP191" i="61"/>
  <c r="DE191" i="61" s="1"/>
  <c r="AP190" i="61"/>
  <c r="DE190" i="61" s="1"/>
  <c r="AQ131" i="61"/>
  <c r="AP54" i="61"/>
  <c r="DE54" i="61" s="1"/>
  <c r="AQ50" i="61"/>
  <c r="AP96" i="61"/>
  <c r="DE96" i="61" s="1"/>
  <c r="AO19" i="61"/>
  <c r="AQ44" i="61"/>
  <c r="AQ186" i="61"/>
  <c r="AP72" i="61"/>
  <c r="DE72" i="61" s="1"/>
  <c r="AP168" i="61"/>
  <c r="DE168" i="61" s="1"/>
  <c r="AO171" i="61"/>
  <c r="AP152" i="61"/>
  <c r="DE152" i="61" s="1"/>
  <c r="AQ34" i="61"/>
  <c r="AP44" i="61"/>
  <c r="DE44" i="61" s="1"/>
  <c r="AQ168" i="61"/>
  <c r="AO64" i="61"/>
  <c r="AQ101" i="61"/>
  <c r="AQ96" i="61"/>
  <c r="AP19" i="61"/>
  <c r="DE19" i="61" s="1"/>
  <c r="AP85" i="61"/>
  <c r="DE85" i="61" s="1"/>
  <c r="AP37" i="61"/>
  <c r="DE37" i="61" s="1"/>
  <c r="AO180" i="61"/>
  <c r="AO206" i="61"/>
  <c r="AO152" i="61"/>
  <c r="AQ60" i="61"/>
  <c r="AQ206" i="61"/>
  <c r="AQ191" i="61"/>
  <c r="AO154" i="61"/>
  <c r="AP75" i="61"/>
  <c r="DE75" i="61" s="1"/>
  <c r="AP188" i="61"/>
  <c r="DE188" i="61" s="1"/>
  <c r="AP46" i="61"/>
  <c r="DE46" i="61" s="1"/>
  <c r="AO203" i="61"/>
  <c r="AO125" i="61"/>
  <c r="AP23" i="61"/>
  <c r="DE23" i="61" s="1"/>
  <c r="AQ201" i="61"/>
  <c r="AQ39" i="61"/>
  <c r="AQ37" i="61"/>
  <c r="AQ8" i="61"/>
  <c r="DG30" i="61" l="1"/>
  <c r="AQ208" i="61"/>
  <c r="AM208" i="61"/>
  <c r="AO208" i="61"/>
  <c r="AK208" i="61"/>
  <c r="AP8" i="61"/>
  <c r="DE8" i="61" s="1"/>
  <c r="AL208" i="61"/>
  <c r="DE208" i="61" l="1"/>
  <c r="AP208" i="61"/>
  <c r="S9" i="67"/>
  <c r="S10" i="67"/>
  <c r="S11" i="67"/>
  <c r="S12" i="67"/>
  <c r="S13" i="67"/>
  <c r="S14" i="67"/>
  <c r="S15" i="67"/>
  <c r="S16" i="67"/>
  <c r="S17" i="67"/>
  <c r="S18" i="67"/>
  <c r="S19" i="67"/>
  <c r="S20" i="67"/>
  <c r="S21" i="67"/>
  <c r="S22" i="67"/>
  <c r="S23" i="67"/>
  <c r="S24" i="67"/>
  <c r="S25" i="67"/>
  <c r="S26" i="67"/>
  <c r="S27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S58" i="67"/>
  <c r="S59" i="67"/>
  <c r="S60" i="67"/>
  <c r="S61" i="67"/>
  <c r="S62" i="67"/>
  <c r="S63" i="67"/>
  <c r="S64" i="67"/>
  <c r="S65" i="67"/>
  <c r="S66" i="67"/>
  <c r="S67" i="67"/>
  <c r="S68" i="67"/>
  <c r="S69" i="67"/>
  <c r="S70" i="67"/>
  <c r="S71" i="67"/>
  <c r="S72" i="67"/>
  <c r="S73" i="67"/>
  <c r="S74" i="67"/>
  <c r="S75" i="67"/>
  <c r="S76" i="67"/>
  <c r="S77" i="67"/>
  <c r="S78" i="67"/>
  <c r="S79" i="67"/>
  <c r="S80" i="67"/>
  <c r="S81" i="67"/>
  <c r="S82" i="67"/>
  <c r="S83" i="67"/>
  <c r="S84" i="67"/>
  <c r="S85" i="67"/>
  <c r="S86" i="67"/>
  <c r="S87" i="67"/>
  <c r="S88" i="67"/>
  <c r="S89" i="67"/>
  <c r="S90" i="67"/>
  <c r="S91" i="67"/>
  <c r="S92" i="67"/>
  <c r="S93" i="67"/>
  <c r="S94" i="67"/>
  <c r="S95" i="67"/>
  <c r="S96" i="67"/>
  <c r="S194" i="67"/>
  <c r="S97" i="67"/>
  <c r="S98" i="67"/>
  <c r="S99" i="67"/>
  <c r="S100" i="67"/>
  <c r="S101" i="67"/>
  <c r="S102" i="67"/>
  <c r="S103" i="67"/>
  <c r="S104" i="67"/>
  <c r="S105" i="67"/>
  <c r="S106" i="67"/>
  <c r="S107" i="67"/>
  <c r="S108" i="67"/>
  <c r="S109" i="67"/>
  <c r="S110" i="67"/>
  <c r="S111" i="67"/>
  <c r="S112" i="67"/>
  <c r="S113" i="67"/>
  <c r="S114" i="67"/>
  <c r="S115" i="67"/>
  <c r="S116" i="67"/>
  <c r="S117" i="67"/>
  <c r="S118" i="67"/>
  <c r="S119" i="67"/>
  <c r="S120" i="67"/>
  <c r="S121" i="67"/>
  <c r="S122" i="67"/>
  <c r="S123" i="67"/>
  <c r="S124" i="67"/>
  <c r="S125" i="67"/>
  <c r="S126" i="67"/>
  <c r="S127" i="67"/>
  <c r="S128" i="67"/>
  <c r="S129" i="67"/>
  <c r="S130" i="67"/>
  <c r="S131" i="67"/>
  <c r="S132" i="67"/>
  <c r="S133" i="67"/>
  <c r="S134" i="67"/>
  <c r="S135" i="67"/>
  <c r="S136" i="67"/>
  <c r="S137" i="67"/>
  <c r="S138" i="67"/>
  <c r="S139" i="67"/>
  <c r="S140" i="67"/>
  <c r="S141" i="67"/>
  <c r="S142" i="67"/>
  <c r="S143" i="67"/>
  <c r="S144" i="67"/>
  <c r="S145" i="67"/>
  <c r="S146" i="67"/>
  <c r="S147" i="67"/>
  <c r="S148" i="67"/>
  <c r="S149" i="67"/>
  <c r="S150" i="67"/>
  <c r="S151" i="67"/>
  <c r="S152" i="67"/>
  <c r="S153" i="67"/>
  <c r="S154" i="67"/>
  <c r="S155" i="67"/>
  <c r="S156" i="67"/>
  <c r="S157" i="67"/>
  <c r="S158" i="67"/>
  <c r="S159" i="67"/>
  <c r="S160" i="67"/>
  <c r="S161" i="67"/>
  <c r="S162" i="67"/>
  <c r="S166" i="67"/>
  <c r="S167" i="67"/>
  <c r="S175" i="67"/>
  <c r="S176" i="67"/>
  <c r="S187" i="67"/>
  <c r="S190" i="67"/>
  <c r="S163" i="67"/>
  <c r="S191" i="67"/>
  <c r="S164" i="67"/>
  <c r="S165" i="67"/>
  <c r="S168" i="67"/>
  <c r="S192" i="67"/>
  <c r="S169" i="67"/>
  <c r="S170" i="67"/>
  <c r="S171" i="67"/>
  <c r="S172" i="67"/>
  <c r="S173" i="67"/>
  <c r="S174" i="67"/>
  <c r="S177" i="67"/>
  <c r="S178" i="67"/>
  <c r="S179" i="67"/>
  <c r="S180" i="67"/>
  <c r="S181" i="67"/>
  <c r="S182" i="67"/>
  <c r="S193" i="67"/>
  <c r="S183" i="67"/>
  <c r="S184" i="67"/>
  <c r="S185" i="67"/>
  <c r="S186" i="67"/>
  <c r="S188" i="67"/>
  <c r="S189" i="67"/>
  <c r="GI179" i="67" l="1"/>
  <c r="Y191" i="71" s="1"/>
  <c r="GP179" i="67"/>
  <c r="GI154" i="67"/>
  <c r="Y159" i="71" s="1"/>
  <c r="GP154" i="67"/>
  <c r="GI123" i="67"/>
  <c r="Y127" i="71" s="1"/>
  <c r="GP123" i="67"/>
  <c r="GI99" i="67"/>
  <c r="Y103" i="71" s="1"/>
  <c r="GP99" i="67"/>
  <c r="GI92" i="67"/>
  <c r="Y95" i="71" s="1"/>
  <c r="GP92" i="67"/>
  <c r="GI85" i="67"/>
  <c r="Y87" i="71" s="1"/>
  <c r="GP85" i="67"/>
  <c r="GI77" i="67"/>
  <c r="Y79" i="71" s="1"/>
  <c r="GP77" i="67"/>
  <c r="GI69" i="67"/>
  <c r="Y71" i="71" s="1"/>
  <c r="GP69" i="67"/>
  <c r="GI61" i="67"/>
  <c r="Y63" i="71" s="1"/>
  <c r="GP61" i="67"/>
  <c r="GI53" i="67"/>
  <c r="Y55" i="71" s="1"/>
  <c r="GP53" i="67"/>
  <c r="GI45" i="67"/>
  <c r="Y47" i="71" s="1"/>
  <c r="GP45" i="67"/>
  <c r="GI37" i="67"/>
  <c r="Y39" i="71" s="1"/>
  <c r="GP37" i="67"/>
  <c r="GI205" i="67"/>
  <c r="Y31" i="71" s="1"/>
  <c r="GP205" i="67"/>
  <c r="GI23" i="67"/>
  <c r="Y23" i="71" s="1"/>
  <c r="GP23" i="67"/>
  <c r="GI15" i="67"/>
  <c r="Y15" i="71" s="1"/>
  <c r="GP15" i="67"/>
  <c r="GI188" i="67"/>
  <c r="Y206" i="71" s="1"/>
  <c r="GP188" i="67"/>
  <c r="GI200" i="67"/>
  <c r="Y198" i="71" s="1"/>
  <c r="GP200" i="67"/>
  <c r="GI197" i="67"/>
  <c r="Y190" i="71" s="1"/>
  <c r="GP197" i="67"/>
  <c r="GI169" i="67"/>
  <c r="Y182" i="71" s="1"/>
  <c r="GP169" i="67"/>
  <c r="GI187" i="67"/>
  <c r="Y174" i="71" s="1"/>
  <c r="GP187" i="67"/>
  <c r="GI160" i="67"/>
  <c r="Y166" i="71" s="1"/>
  <c r="GP160" i="67"/>
  <c r="GI153" i="67"/>
  <c r="Y158" i="71" s="1"/>
  <c r="GP153" i="67"/>
  <c r="GI145" i="67"/>
  <c r="Y150" i="71" s="1"/>
  <c r="GP145" i="67"/>
  <c r="GI138" i="67"/>
  <c r="Y142" i="71" s="1"/>
  <c r="GP138" i="67"/>
  <c r="GI130" i="67"/>
  <c r="Y134" i="71" s="1"/>
  <c r="GP130" i="67"/>
  <c r="GI122" i="67"/>
  <c r="Y126" i="71" s="1"/>
  <c r="GP122" i="67"/>
  <c r="GI114" i="67"/>
  <c r="Y118" i="71" s="1"/>
  <c r="GP114" i="67"/>
  <c r="GI106" i="67"/>
  <c r="Y110" i="71" s="1"/>
  <c r="GP106" i="67"/>
  <c r="GI98" i="67"/>
  <c r="Y102" i="71" s="1"/>
  <c r="GP98" i="67"/>
  <c r="GI91" i="67"/>
  <c r="Y94" i="71" s="1"/>
  <c r="GP91" i="67"/>
  <c r="GI84" i="67"/>
  <c r="Y86" i="71" s="1"/>
  <c r="GP84" i="67"/>
  <c r="GI76" i="67"/>
  <c r="Y78" i="71" s="1"/>
  <c r="GP76" i="67"/>
  <c r="GI68" i="67"/>
  <c r="Y70" i="71" s="1"/>
  <c r="GP68" i="67"/>
  <c r="GI60" i="67"/>
  <c r="Y62" i="71" s="1"/>
  <c r="GP60" i="67"/>
  <c r="GI52" i="67"/>
  <c r="Y54" i="71" s="1"/>
  <c r="GP52" i="67"/>
  <c r="GI44" i="67"/>
  <c r="Y46" i="71" s="1"/>
  <c r="GP44" i="67"/>
  <c r="GI36" i="67"/>
  <c r="Y38" i="71" s="1"/>
  <c r="GP36" i="67"/>
  <c r="GI204" i="67"/>
  <c r="Y30" i="71" s="1"/>
  <c r="GP204" i="67"/>
  <c r="GI22" i="67"/>
  <c r="Y22" i="71" s="1"/>
  <c r="GP22" i="67"/>
  <c r="GI14" i="67"/>
  <c r="Y14" i="71" s="1"/>
  <c r="GP14" i="67"/>
  <c r="GI170" i="67"/>
  <c r="Y183" i="71" s="1"/>
  <c r="GP170" i="67"/>
  <c r="GI146" i="67"/>
  <c r="Y151" i="71" s="1"/>
  <c r="GP146" i="67"/>
  <c r="GI115" i="67"/>
  <c r="Y119" i="71" s="1"/>
  <c r="GP115" i="67"/>
  <c r="GI199" i="67"/>
  <c r="Y197" i="71" s="1"/>
  <c r="GP199" i="67"/>
  <c r="GI198" i="67"/>
  <c r="Y173" i="71" s="1"/>
  <c r="GP198" i="67"/>
  <c r="GI144" i="67"/>
  <c r="Y149" i="71" s="1"/>
  <c r="GP144" i="67"/>
  <c r="GI121" i="67"/>
  <c r="Y125" i="71" s="1"/>
  <c r="GP121" i="67"/>
  <c r="GI97" i="67"/>
  <c r="Y101" i="71" s="1"/>
  <c r="GP97" i="67"/>
  <c r="GI75" i="67"/>
  <c r="Y77" i="71" s="1"/>
  <c r="GP75" i="67"/>
  <c r="GI51" i="67"/>
  <c r="Y53" i="71" s="1"/>
  <c r="GP51" i="67"/>
  <c r="GI29" i="67"/>
  <c r="Y29" i="71" s="1"/>
  <c r="GP29" i="67"/>
  <c r="GI203" i="67"/>
  <c r="Y204" i="71" s="1"/>
  <c r="GP203" i="67"/>
  <c r="GI183" i="67"/>
  <c r="Y196" i="71" s="1"/>
  <c r="GP183" i="67"/>
  <c r="GI177" i="67"/>
  <c r="Y188" i="71" s="1"/>
  <c r="GP177" i="67"/>
  <c r="GI168" i="67"/>
  <c r="Y180" i="71" s="1"/>
  <c r="GP168" i="67"/>
  <c r="GI176" i="67"/>
  <c r="Y172" i="71" s="1"/>
  <c r="GP176" i="67"/>
  <c r="GI158" i="67"/>
  <c r="Y164" i="71" s="1"/>
  <c r="GP158" i="67"/>
  <c r="GI151" i="67"/>
  <c r="Y156" i="71" s="1"/>
  <c r="GP151" i="67"/>
  <c r="GI143" i="67"/>
  <c r="Y148" i="71" s="1"/>
  <c r="GP143" i="67"/>
  <c r="GI136" i="67"/>
  <c r="Y140" i="71" s="1"/>
  <c r="GP136" i="67"/>
  <c r="GI128" i="67"/>
  <c r="Y132" i="71" s="1"/>
  <c r="GP128" i="67"/>
  <c r="GI120" i="67"/>
  <c r="Y124" i="71" s="1"/>
  <c r="GP120" i="67"/>
  <c r="GI112" i="67"/>
  <c r="Y116" i="71" s="1"/>
  <c r="GP112" i="67"/>
  <c r="GI104" i="67"/>
  <c r="Y108" i="71" s="1"/>
  <c r="GP104" i="67"/>
  <c r="GI194" i="67"/>
  <c r="Y100" i="71" s="1"/>
  <c r="GP194" i="67"/>
  <c r="GI89" i="67"/>
  <c r="Y92" i="71" s="1"/>
  <c r="GP89" i="67"/>
  <c r="GI82" i="67"/>
  <c r="Y84" i="71" s="1"/>
  <c r="GP82" i="67"/>
  <c r="GI74" i="67"/>
  <c r="Y76" i="71" s="1"/>
  <c r="GP74" i="67"/>
  <c r="GI66" i="67"/>
  <c r="Y68" i="71" s="1"/>
  <c r="GP66" i="67"/>
  <c r="GI58" i="67"/>
  <c r="Y60" i="71" s="1"/>
  <c r="GP58" i="67"/>
  <c r="GI50" i="67"/>
  <c r="Y52" i="71" s="1"/>
  <c r="GP50" i="67"/>
  <c r="GI42" i="67"/>
  <c r="Y44" i="71" s="1"/>
  <c r="GP42" i="67"/>
  <c r="GI34" i="67"/>
  <c r="Y36" i="71" s="1"/>
  <c r="GP34" i="67"/>
  <c r="GI28" i="67"/>
  <c r="Y28" i="71" s="1"/>
  <c r="GP28" i="67"/>
  <c r="GI20" i="67"/>
  <c r="Y20" i="71" s="1"/>
  <c r="GP20" i="67"/>
  <c r="GI12" i="67"/>
  <c r="Y12" i="71" s="1"/>
  <c r="GP12" i="67"/>
  <c r="GI201" i="67"/>
  <c r="Y199" i="71" s="1"/>
  <c r="GP201" i="67"/>
  <c r="GI161" i="67"/>
  <c r="Y167" i="71" s="1"/>
  <c r="GP161" i="67"/>
  <c r="GI139" i="67"/>
  <c r="Y143" i="71" s="1"/>
  <c r="GP139" i="67"/>
  <c r="GI107" i="67"/>
  <c r="Y111" i="71" s="1"/>
  <c r="GP107" i="67"/>
  <c r="GI178" i="67"/>
  <c r="Y189" i="71" s="1"/>
  <c r="GP178" i="67"/>
  <c r="GI159" i="67"/>
  <c r="Y165" i="71" s="1"/>
  <c r="GP159" i="67"/>
  <c r="GI137" i="67"/>
  <c r="Y141" i="71" s="1"/>
  <c r="GP137" i="67"/>
  <c r="GI113" i="67"/>
  <c r="Y117" i="71" s="1"/>
  <c r="GP113" i="67"/>
  <c r="GI90" i="67"/>
  <c r="Y93" i="71" s="1"/>
  <c r="GP90" i="67"/>
  <c r="GI67" i="67"/>
  <c r="Y69" i="71" s="1"/>
  <c r="GP67" i="67"/>
  <c r="GI43" i="67"/>
  <c r="Y45" i="71" s="1"/>
  <c r="GP43" i="67"/>
  <c r="GI21" i="67"/>
  <c r="Y21" i="71" s="1"/>
  <c r="GP21" i="67"/>
  <c r="GI186" i="67"/>
  <c r="Y203" i="71" s="1"/>
  <c r="GP186" i="67"/>
  <c r="GI193" i="67"/>
  <c r="Y195" i="71" s="1"/>
  <c r="GP193" i="67"/>
  <c r="GI174" i="67"/>
  <c r="Y187" i="71" s="1"/>
  <c r="GP174" i="67"/>
  <c r="GI165" i="67"/>
  <c r="Y179" i="71" s="1"/>
  <c r="GP165" i="67"/>
  <c r="GI175" i="67"/>
  <c r="Y171" i="71" s="1"/>
  <c r="GP175" i="67"/>
  <c r="GI157" i="67"/>
  <c r="Y163" i="71" s="1"/>
  <c r="GP157" i="67"/>
  <c r="GI150" i="67"/>
  <c r="Y155" i="71" s="1"/>
  <c r="GP150" i="67"/>
  <c r="GI142" i="67"/>
  <c r="Y147" i="71" s="1"/>
  <c r="GP142" i="67"/>
  <c r="GI135" i="67"/>
  <c r="Y139" i="71" s="1"/>
  <c r="GP135" i="67"/>
  <c r="GI127" i="67"/>
  <c r="Y131" i="71" s="1"/>
  <c r="GP127" i="67"/>
  <c r="GI119" i="67"/>
  <c r="Y123" i="71" s="1"/>
  <c r="GP119" i="67"/>
  <c r="GI111" i="67"/>
  <c r="Y115" i="71" s="1"/>
  <c r="GP111" i="67"/>
  <c r="GI103" i="67"/>
  <c r="Y107" i="71" s="1"/>
  <c r="GP103" i="67"/>
  <c r="GI96" i="67"/>
  <c r="Y99" i="71" s="1"/>
  <c r="GP96" i="67"/>
  <c r="GI207" i="67"/>
  <c r="Y91" i="71" s="1"/>
  <c r="GP207" i="67"/>
  <c r="GI81" i="67"/>
  <c r="Y83" i="71" s="1"/>
  <c r="GP81" i="67"/>
  <c r="GI73" i="67"/>
  <c r="Y75" i="71" s="1"/>
  <c r="GP73" i="67"/>
  <c r="GI65" i="67"/>
  <c r="Y67" i="71" s="1"/>
  <c r="GP65" i="67"/>
  <c r="GI57" i="67"/>
  <c r="Y59" i="71" s="1"/>
  <c r="GP57" i="67"/>
  <c r="GI49" i="67"/>
  <c r="Y51" i="71" s="1"/>
  <c r="GP49" i="67"/>
  <c r="GI41" i="67"/>
  <c r="Y43" i="71" s="1"/>
  <c r="GP41" i="67"/>
  <c r="GI33" i="67"/>
  <c r="Y35" i="71" s="1"/>
  <c r="GP33" i="67"/>
  <c r="GI27" i="67"/>
  <c r="Y27" i="71" s="1"/>
  <c r="GP27" i="67"/>
  <c r="GI19" i="67"/>
  <c r="Y19" i="71" s="1"/>
  <c r="GP19" i="67"/>
  <c r="GI11" i="67"/>
  <c r="Y11" i="71" s="1"/>
  <c r="GP11" i="67"/>
  <c r="GI189" i="67"/>
  <c r="Y207" i="71" s="1"/>
  <c r="GP189" i="67"/>
  <c r="GI190" i="67"/>
  <c r="Y175" i="71" s="1"/>
  <c r="GP190" i="67"/>
  <c r="GI131" i="67"/>
  <c r="Y135" i="71" s="1"/>
  <c r="GP131" i="67"/>
  <c r="GI206" i="67"/>
  <c r="Y205" i="71" s="1"/>
  <c r="GP206" i="67"/>
  <c r="GI192" i="67"/>
  <c r="Y181" i="71" s="1"/>
  <c r="GP192" i="67"/>
  <c r="GI152" i="67"/>
  <c r="Y157" i="71" s="1"/>
  <c r="GP152" i="67"/>
  <c r="GI129" i="67"/>
  <c r="Y133" i="71" s="1"/>
  <c r="GP129" i="67"/>
  <c r="GI105" i="67"/>
  <c r="Y109" i="71" s="1"/>
  <c r="GP105" i="67"/>
  <c r="GI83" i="67"/>
  <c r="Y85" i="71" s="1"/>
  <c r="GP83" i="67"/>
  <c r="GI59" i="67"/>
  <c r="Y61" i="71" s="1"/>
  <c r="GP59" i="67"/>
  <c r="GI35" i="67"/>
  <c r="Y37" i="71" s="1"/>
  <c r="GP35" i="67"/>
  <c r="GI13" i="67"/>
  <c r="Y13" i="71" s="1"/>
  <c r="GP13" i="67"/>
  <c r="GI202" i="67"/>
  <c r="Y202" i="71" s="1"/>
  <c r="GP202" i="67"/>
  <c r="GI182" i="67"/>
  <c r="Y194" i="71" s="1"/>
  <c r="GP182" i="67"/>
  <c r="GI173" i="67"/>
  <c r="Y186" i="71" s="1"/>
  <c r="GP173" i="67"/>
  <c r="GI164" i="67"/>
  <c r="Y178" i="71" s="1"/>
  <c r="GP164" i="67"/>
  <c r="GI167" i="67"/>
  <c r="Y170" i="71" s="1"/>
  <c r="GP167" i="67"/>
  <c r="GI196" i="67"/>
  <c r="Y162" i="71" s="1"/>
  <c r="GP196" i="67"/>
  <c r="GI149" i="67"/>
  <c r="Y154" i="71" s="1"/>
  <c r="GP149" i="67"/>
  <c r="GI141" i="67"/>
  <c r="Y146" i="71" s="1"/>
  <c r="GP141" i="67"/>
  <c r="GI134" i="67"/>
  <c r="Y138" i="71" s="1"/>
  <c r="GP134" i="67"/>
  <c r="GI126" i="67"/>
  <c r="Y130" i="71" s="1"/>
  <c r="GP126" i="67"/>
  <c r="GI118" i="67"/>
  <c r="Y122" i="71" s="1"/>
  <c r="GP118" i="67"/>
  <c r="GI110" i="67"/>
  <c r="Y114" i="71" s="1"/>
  <c r="GP110" i="67"/>
  <c r="GI102" i="67"/>
  <c r="Y106" i="71" s="1"/>
  <c r="GP102" i="67"/>
  <c r="GI95" i="67"/>
  <c r="Y98" i="71" s="1"/>
  <c r="GP95" i="67"/>
  <c r="GI88" i="67"/>
  <c r="Y90" i="71" s="1"/>
  <c r="GP88" i="67"/>
  <c r="GI80" i="67"/>
  <c r="Y82" i="71" s="1"/>
  <c r="GP80" i="67"/>
  <c r="GI72" i="67"/>
  <c r="Y74" i="71" s="1"/>
  <c r="GP72" i="67"/>
  <c r="GI64" i="67"/>
  <c r="Y66" i="71" s="1"/>
  <c r="GP64" i="67"/>
  <c r="GI56" i="67"/>
  <c r="Y58" i="71" s="1"/>
  <c r="GP56" i="67"/>
  <c r="GI48" i="67"/>
  <c r="Y50" i="71" s="1"/>
  <c r="GP48" i="67"/>
  <c r="GI40" i="67"/>
  <c r="Y42" i="71" s="1"/>
  <c r="GP40" i="67"/>
  <c r="GI32" i="67"/>
  <c r="Y34" i="71" s="1"/>
  <c r="GP32" i="67"/>
  <c r="GI26" i="67"/>
  <c r="Y26" i="71" s="1"/>
  <c r="GP26" i="67"/>
  <c r="GI18" i="67"/>
  <c r="Y18" i="71" s="1"/>
  <c r="GP18" i="67"/>
  <c r="GI10" i="67"/>
  <c r="Y10" i="71" s="1"/>
  <c r="GP10" i="67"/>
  <c r="GI185" i="67"/>
  <c r="Y201" i="71" s="1"/>
  <c r="GP185" i="67"/>
  <c r="GI181" i="67"/>
  <c r="Y193" i="71" s="1"/>
  <c r="GP181" i="67"/>
  <c r="GI172" i="67"/>
  <c r="Y185" i="71" s="1"/>
  <c r="GP172" i="67"/>
  <c r="GI191" i="67"/>
  <c r="Y177" i="71" s="1"/>
  <c r="GP191" i="67"/>
  <c r="GI166" i="67"/>
  <c r="Y169" i="71" s="1"/>
  <c r="GP166" i="67"/>
  <c r="GI156" i="67"/>
  <c r="Y161" i="71" s="1"/>
  <c r="GP156" i="67"/>
  <c r="GI148" i="67"/>
  <c r="Y153" i="71" s="1"/>
  <c r="GP148" i="67"/>
  <c r="GI195" i="67"/>
  <c r="Y145" i="71" s="1"/>
  <c r="GP195" i="67"/>
  <c r="GI133" i="67"/>
  <c r="Y137" i="71" s="1"/>
  <c r="GP133" i="67"/>
  <c r="GI125" i="67"/>
  <c r="Y129" i="71" s="1"/>
  <c r="GP125" i="67"/>
  <c r="GI117" i="67"/>
  <c r="Y121" i="71" s="1"/>
  <c r="GP117" i="67"/>
  <c r="GI109" i="67"/>
  <c r="Y113" i="71" s="1"/>
  <c r="GP109" i="67"/>
  <c r="GI101" i="67"/>
  <c r="Y105" i="71" s="1"/>
  <c r="GP101" i="67"/>
  <c r="GI94" i="67"/>
  <c r="Y97" i="71" s="1"/>
  <c r="GP94" i="67"/>
  <c r="GI87" i="67"/>
  <c r="Y89" i="71" s="1"/>
  <c r="GP87" i="67"/>
  <c r="GI79" i="67"/>
  <c r="Y81" i="71" s="1"/>
  <c r="GP79" i="67"/>
  <c r="GI71" i="67"/>
  <c r="Y73" i="71" s="1"/>
  <c r="GP71" i="67"/>
  <c r="GI63" i="67"/>
  <c r="Y65" i="71" s="1"/>
  <c r="GP63" i="67"/>
  <c r="GI55" i="67"/>
  <c r="Y57" i="71" s="1"/>
  <c r="GP55" i="67"/>
  <c r="GI47" i="67"/>
  <c r="Y49" i="71" s="1"/>
  <c r="GP47" i="67"/>
  <c r="GI39" i="67"/>
  <c r="Y41" i="71" s="1"/>
  <c r="GP39" i="67"/>
  <c r="GI31" i="67"/>
  <c r="Y33" i="71" s="1"/>
  <c r="GP31" i="67"/>
  <c r="GI25" i="67"/>
  <c r="Y25" i="71" s="1"/>
  <c r="GP25" i="67"/>
  <c r="GI17" i="67"/>
  <c r="Y17" i="71" s="1"/>
  <c r="GP17" i="67"/>
  <c r="GI9" i="67"/>
  <c r="Y9" i="71" s="1"/>
  <c r="GP9" i="67"/>
  <c r="GI184" i="67"/>
  <c r="Y200" i="71" s="1"/>
  <c r="GP184" i="67"/>
  <c r="GI180" i="67"/>
  <c r="Y192" i="71" s="1"/>
  <c r="GP180" i="67"/>
  <c r="GI171" i="67"/>
  <c r="Y184" i="71" s="1"/>
  <c r="GP171" i="67"/>
  <c r="GI163" i="67"/>
  <c r="Y176" i="71" s="1"/>
  <c r="GP163" i="67"/>
  <c r="GI162" i="67"/>
  <c r="Y168" i="71" s="1"/>
  <c r="GP162" i="67"/>
  <c r="GI155" i="67"/>
  <c r="Y160" i="71" s="1"/>
  <c r="GP155" i="67"/>
  <c r="GI147" i="67"/>
  <c r="Y152" i="71" s="1"/>
  <c r="GP147" i="67"/>
  <c r="GI140" i="67"/>
  <c r="Y144" i="71" s="1"/>
  <c r="GP140" i="67"/>
  <c r="GI132" i="67"/>
  <c r="Y136" i="71" s="1"/>
  <c r="GP132" i="67"/>
  <c r="GI124" i="67"/>
  <c r="Y128" i="71" s="1"/>
  <c r="GP124" i="67"/>
  <c r="GI116" i="67"/>
  <c r="Y120" i="71" s="1"/>
  <c r="GP116" i="67"/>
  <c r="GI108" i="67"/>
  <c r="Y112" i="71" s="1"/>
  <c r="GP108" i="67"/>
  <c r="GI100" i="67"/>
  <c r="Y104" i="71" s="1"/>
  <c r="GP100" i="67"/>
  <c r="GI93" i="67"/>
  <c r="Y96" i="71" s="1"/>
  <c r="GP93" i="67"/>
  <c r="GI86" i="67"/>
  <c r="Y88" i="71" s="1"/>
  <c r="GP86" i="67"/>
  <c r="GI78" i="67"/>
  <c r="Y80" i="71" s="1"/>
  <c r="GP78" i="67"/>
  <c r="GI70" i="67"/>
  <c r="Y72" i="71" s="1"/>
  <c r="GP70" i="67"/>
  <c r="GI62" i="67"/>
  <c r="Y64" i="71" s="1"/>
  <c r="GP62" i="67"/>
  <c r="GI54" i="67"/>
  <c r="Y56" i="71" s="1"/>
  <c r="GP54" i="67"/>
  <c r="GI46" i="67"/>
  <c r="Y48" i="71" s="1"/>
  <c r="GP46" i="67"/>
  <c r="GI38" i="67"/>
  <c r="Y40" i="71" s="1"/>
  <c r="GP38" i="67"/>
  <c r="GI30" i="67"/>
  <c r="Y32" i="71" s="1"/>
  <c r="GP30" i="67"/>
  <c r="GI24" i="67"/>
  <c r="Y24" i="71" s="1"/>
  <c r="GP24" i="67"/>
  <c r="GI16" i="67"/>
  <c r="Y16" i="71" s="1"/>
  <c r="GP16" i="67"/>
  <c r="P204" i="61"/>
  <c r="BM204" i="61" s="1"/>
  <c r="P26" i="61"/>
  <c r="BM26" i="61" s="1"/>
  <c r="P17" i="61"/>
  <c r="BM17" i="61" s="1"/>
  <c r="P16" i="61"/>
  <c r="BM16" i="61" s="1"/>
  <c r="P15" i="61"/>
  <c r="BM15" i="61" s="1"/>
  <c r="P14" i="61"/>
  <c r="BM14" i="61" s="1"/>
  <c r="P11" i="61"/>
  <c r="BM11" i="61" s="1"/>
  <c r="P10" i="61"/>
  <c r="BM10" i="61" s="1"/>
  <c r="P9" i="61"/>
  <c r="BM9" i="61" s="1"/>
  <c r="P18" i="61"/>
  <c r="BM18" i="61" s="1"/>
  <c r="P24" i="61"/>
  <c r="BM24" i="61" s="1"/>
  <c r="P13" i="61"/>
  <c r="BM13" i="61" s="1"/>
  <c r="P12" i="61"/>
  <c r="BM12" i="61" s="1"/>
  <c r="P19" i="61"/>
  <c r="BM19" i="61" s="1"/>
  <c r="P25" i="61"/>
  <c r="BM25" i="61" s="1"/>
  <c r="P32" i="61"/>
  <c r="BM32" i="61" s="1"/>
  <c r="P46" i="61"/>
  <c r="BM46" i="61" s="1"/>
  <c r="P38" i="61"/>
  <c r="BM38" i="61" s="1"/>
  <c r="P30" i="61"/>
  <c r="P22" i="61"/>
  <c r="BM22" i="61" s="1"/>
  <c r="AB208" i="61"/>
  <c r="P21" i="61"/>
  <c r="BM21" i="61" s="1"/>
  <c r="P20" i="61"/>
  <c r="BM20" i="61" s="1"/>
  <c r="P31" i="61"/>
  <c r="BM31" i="61" s="1"/>
  <c r="P23" i="61"/>
  <c r="BM23" i="61" s="1"/>
  <c r="P53" i="61"/>
  <c r="BM53" i="61" s="1"/>
  <c r="P45" i="61"/>
  <c r="BM45" i="61" s="1"/>
  <c r="P37" i="61"/>
  <c r="BM37" i="61" s="1"/>
  <c r="P29" i="61"/>
  <c r="BM29" i="61" s="1"/>
  <c r="P52" i="61"/>
  <c r="BM52" i="61" s="1"/>
  <c r="P44" i="61"/>
  <c r="BM44" i="61" s="1"/>
  <c r="P36" i="61"/>
  <c r="BM36" i="61" s="1"/>
  <c r="P28" i="61"/>
  <c r="BM28" i="61" s="1"/>
  <c r="P51" i="61"/>
  <c r="BM51" i="61" s="1"/>
  <c r="P43" i="61"/>
  <c r="BM43" i="61" s="1"/>
  <c r="P35" i="61"/>
  <c r="BM35" i="61" s="1"/>
  <c r="P27" i="61"/>
  <c r="BM27" i="61" s="1"/>
  <c r="P202" i="61"/>
  <c r="BM202" i="61" s="1"/>
  <c r="P194" i="61"/>
  <c r="BM194" i="61" s="1"/>
  <c r="P186" i="61"/>
  <c r="BM186" i="61" s="1"/>
  <c r="P178" i="61"/>
  <c r="BM178" i="61" s="1"/>
  <c r="P170" i="61"/>
  <c r="BM170" i="61" s="1"/>
  <c r="P162" i="61"/>
  <c r="BM162" i="61" s="1"/>
  <c r="P154" i="61"/>
  <c r="BM154" i="61" s="1"/>
  <c r="P146" i="61"/>
  <c r="BM146" i="61" s="1"/>
  <c r="P138" i="61"/>
  <c r="BM138" i="61" s="1"/>
  <c r="P130" i="61"/>
  <c r="BM130" i="61" s="1"/>
  <c r="P122" i="61"/>
  <c r="BM122" i="61" s="1"/>
  <c r="P114" i="61"/>
  <c r="BM114" i="61" s="1"/>
  <c r="P106" i="61"/>
  <c r="BM106" i="61" s="1"/>
  <c r="P98" i="61"/>
  <c r="BM98" i="61" s="1"/>
  <c r="P90" i="61"/>
  <c r="BM90" i="61" s="1"/>
  <c r="P82" i="61"/>
  <c r="BM82" i="61" s="1"/>
  <c r="P74" i="61"/>
  <c r="BM74" i="61" s="1"/>
  <c r="P66" i="61"/>
  <c r="BM66" i="61" s="1"/>
  <c r="P58" i="61"/>
  <c r="BM58" i="61" s="1"/>
  <c r="P50" i="61"/>
  <c r="BM50" i="61" s="1"/>
  <c r="P42" i="61"/>
  <c r="BM42" i="61" s="1"/>
  <c r="P34" i="61"/>
  <c r="BM34" i="61" s="1"/>
  <c r="P201" i="61"/>
  <c r="BM201" i="61" s="1"/>
  <c r="P193" i="61"/>
  <c r="BM193" i="61" s="1"/>
  <c r="P185" i="61"/>
  <c r="BM185" i="61" s="1"/>
  <c r="P177" i="61"/>
  <c r="BM177" i="61" s="1"/>
  <c r="P169" i="61"/>
  <c r="BM169" i="61" s="1"/>
  <c r="P161" i="61"/>
  <c r="BM161" i="61" s="1"/>
  <c r="P153" i="61"/>
  <c r="BM153" i="61" s="1"/>
  <c r="P145" i="61"/>
  <c r="BM145" i="61" s="1"/>
  <c r="P137" i="61"/>
  <c r="BM137" i="61" s="1"/>
  <c r="P129" i="61"/>
  <c r="BM129" i="61" s="1"/>
  <c r="P121" i="61"/>
  <c r="BM121" i="61" s="1"/>
  <c r="P113" i="61"/>
  <c r="BM113" i="61" s="1"/>
  <c r="P105" i="61"/>
  <c r="BM105" i="61" s="1"/>
  <c r="P97" i="61"/>
  <c r="BM97" i="61" s="1"/>
  <c r="P89" i="61"/>
  <c r="BM89" i="61" s="1"/>
  <c r="P73" i="61"/>
  <c r="BM73" i="61" s="1"/>
  <c r="P65" i="61"/>
  <c r="BM65" i="61" s="1"/>
  <c r="P57" i="61"/>
  <c r="BM57" i="61" s="1"/>
  <c r="P49" i="61"/>
  <c r="BM49" i="61" s="1"/>
  <c r="P41" i="61"/>
  <c r="BM41" i="61" s="1"/>
  <c r="P33" i="61"/>
  <c r="BM33" i="61" s="1"/>
  <c r="P72" i="61"/>
  <c r="BM72" i="61" s="1"/>
  <c r="P64" i="61"/>
  <c r="BM64" i="61" s="1"/>
  <c r="P56" i="61"/>
  <c r="BM56" i="61" s="1"/>
  <c r="P48" i="61"/>
  <c r="BM48" i="61" s="1"/>
  <c r="P40" i="61"/>
  <c r="BM40" i="61" s="1"/>
  <c r="P55" i="61"/>
  <c r="BM55" i="61" s="1"/>
  <c r="P47" i="61"/>
  <c r="BM47" i="61" s="1"/>
  <c r="P39" i="61"/>
  <c r="BM39" i="61" s="1"/>
  <c r="AC208" i="61"/>
  <c r="AD208" i="61"/>
  <c r="AF208" i="61"/>
  <c r="P81" i="61"/>
  <c r="BM81" i="61" s="1"/>
  <c r="P200" i="61"/>
  <c r="BM200" i="61" s="1"/>
  <c r="P192" i="61"/>
  <c r="BM192" i="61" s="1"/>
  <c r="P184" i="61"/>
  <c r="BM184" i="61" s="1"/>
  <c r="P176" i="61"/>
  <c r="BM176" i="61" s="1"/>
  <c r="P168" i="61"/>
  <c r="BM168" i="61" s="1"/>
  <c r="P160" i="61"/>
  <c r="BM160" i="61" s="1"/>
  <c r="P152" i="61"/>
  <c r="BM152" i="61" s="1"/>
  <c r="P144" i="61"/>
  <c r="BM144" i="61" s="1"/>
  <c r="P136" i="61"/>
  <c r="BM136" i="61" s="1"/>
  <c r="P128" i="61"/>
  <c r="BM128" i="61" s="1"/>
  <c r="P120" i="61"/>
  <c r="BM120" i="61" s="1"/>
  <c r="P112" i="61"/>
  <c r="BM112" i="61" s="1"/>
  <c r="P104" i="61"/>
  <c r="BM104" i="61" s="1"/>
  <c r="P96" i="61"/>
  <c r="BM96" i="61" s="1"/>
  <c r="P88" i="61"/>
  <c r="BM88" i="61" s="1"/>
  <c r="P80" i="61"/>
  <c r="BM80" i="61" s="1"/>
  <c r="AE208" i="61"/>
  <c r="P207" i="61"/>
  <c r="BM207" i="61" s="1"/>
  <c r="P199" i="61"/>
  <c r="BM199" i="61" s="1"/>
  <c r="P191" i="61"/>
  <c r="BM191" i="61" s="1"/>
  <c r="P183" i="61"/>
  <c r="BM183" i="61" s="1"/>
  <c r="P175" i="61"/>
  <c r="BM175" i="61" s="1"/>
  <c r="P167" i="61"/>
  <c r="BM167" i="61" s="1"/>
  <c r="P159" i="61"/>
  <c r="BM159" i="61" s="1"/>
  <c r="P151" i="61"/>
  <c r="BM151" i="61" s="1"/>
  <c r="P143" i="61"/>
  <c r="BM143" i="61" s="1"/>
  <c r="P135" i="61"/>
  <c r="BM135" i="61" s="1"/>
  <c r="P127" i="61"/>
  <c r="BM127" i="61" s="1"/>
  <c r="P119" i="61"/>
  <c r="BM119" i="61" s="1"/>
  <c r="P111" i="61"/>
  <c r="BM111" i="61" s="1"/>
  <c r="P103" i="61"/>
  <c r="BM103" i="61" s="1"/>
  <c r="P95" i="61"/>
  <c r="BM95" i="61" s="1"/>
  <c r="P87" i="61"/>
  <c r="BM87" i="61" s="1"/>
  <c r="P79" i="61"/>
  <c r="BM79" i="61" s="1"/>
  <c r="P71" i="61"/>
  <c r="BM71" i="61" s="1"/>
  <c r="P63" i="61"/>
  <c r="BM63" i="61" s="1"/>
  <c r="P206" i="61"/>
  <c r="BM206" i="61" s="1"/>
  <c r="P198" i="61"/>
  <c r="BM198" i="61" s="1"/>
  <c r="P190" i="61"/>
  <c r="BM190" i="61" s="1"/>
  <c r="P182" i="61"/>
  <c r="BM182" i="61" s="1"/>
  <c r="P174" i="61"/>
  <c r="BM174" i="61" s="1"/>
  <c r="P166" i="61"/>
  <c r="BM166" i="61" s="1"/>
  <c r="P158" i="61"/>
  <c r="BM158" i="61" s="1"/>
  <c r="P150" i="61"/>
  <c r="BM150" i="61" s="1"/>
  <c r="P142" i="61"/>
  <c r="BM142" i="61" s="1"/>
  <c r="P134" i="61"/>
  <c r="BM134" i="61" s="1"/>
  <c r="P126" i="61"/>
  <c r="BM126" i="61" s="1"/>
  <c r="P118" i="61"/>
  <c r="BM118" i="61" s="1"/>
  <c r="P110" i="61"/>
  <c r="BM110" i="61" s="1"/>
  <c r="P102" i="61"/>
  <c r="BM102" i="61" s="1"/>
  <c r="P94" i="61"/>
  <c r="BM94" i="61" s="1"/>
  <c r="P86" i="61"/>
  <c r="BM86" i="61" s="1"/>
  <c r="P78" i="61"/>
  <c r="BM78" i="61" s="1"/>
  <c r="P70" i="61"/>
  <c r="BM70" i="61" s="1"/>
  <c r="P62" i="61"/>
  <c r="BM62" i="61" s="1"/>
  <c r="P54" i="61"/>
  <c r="BM54" i="61" s="1"/>
  <c r="P205" i="61"/>
  <c r="BM205" i="61" s="1"/>
  <c r="P197" i="61"/>
  <c r="BM197" i="61" s="1"/>
  <c r="P189" i="61"/>
  <c r="BM189" i="61" s="1"/>
  <c r="P181" i="61"/>
  <c r="BM181" i="61" s="1"/>
  <c r="P173" i="61"/>
  <c r="BM173" i="61" s="1"/>
  <c r="P165" i="61"/>
  <c r="BM165" i="61" s="1"/>
  <c r="P157" i="61"/>
  <c r="BM157" i="61" s="1"/>
  <c r="P149" i="61"/>
  <c r="BM149" i="61" s="1"/>
  <c r="P141" i="61"/>
  <c r="BM141" i="61" s="1"/>
  <c r="P133" i="61"/>
  <c r="BM133" i="61" s="1"/>
  <c r="P125" i="61"/>
  <c r="BM125" i="61" s="1"/>
  <c r="P117" i="61"/>
  <c r="BM117" i="61" s="1"/>
  <c r="P109" i="61"/>
  <c r="BM109" i="61" s="1"/>
  <c r="P101" i="61"/>
  <c r="BM101" i="61" s="1"/>
  <c r="P93" i="61"/>
  <c r="BM93" i="61" s="1"/>
  <c r="P85" i="61"/>
  <c r="BM85" i="61" s="1"/>
  <c r="P77" i="61"/>
  <c r="BM77" i="61" s="1"/>
  <c r="P69" i="61"/>
  <c r="BM69" i="61" s="1"/>
  <c r="P61" i="61"/>
  <c r="BM61" i="61" s="1"/>
  <c r="P196" i="61"/>
  <c r="BM196" i="61" s="1"/>
  <c r="P188" i="61"/>
  <c r="BM188" i="61" s="1"/>
  <c r="P180" i="61"/>
  <c r="BM180" i="61" s="1"/>
  <c r="P172" i="61"/>
  <c r="BM172" i="61" s="1"/>
  <c r="P164" i="61"/>
  <c r="BM164" i="61" s="1"/>
  <c r="P156" i="61"/>
  <c r="BM156" i="61" s="1"/>
  <c r="P148" i="61"/>
  <c r="BM148" i="61" s="1"/>
  <c r="P140" i="61"/>
  <c r="BM140" i="61" s="1"/>
  <c r="P132" i="61"/>
  <c r="BM132" i="61" s="1"/>
  <c r="P124" i="61"/>
  <c r="BM124" i="61" s="1"/>
  <c r="P116" i="61"/>
  <c r="BM116" i="61" s="1"/>
  <c r="P108" i="61"/>
  <c r="BM108" i="61" s="1"/>
  <c r="P100" i="61"/>
  <c r="BM100" i="61" s="1"/>
  <c r="P92" i="61"/>
  <c r="BM92" i="61" s="1"/>
  <c r="P84" i="61"/>
  <c r="BM84" i="61" s="1"/>
  <c r="P76" i="61"/>
  <c r="BM76" i="61" s="1"/>
  <c r="P68" i="61"/>
  <c r="BM68" i="61" s="1"/>
  <c r="P60" i="61"/>
  <c r="BM60" i="61" s="1"/>
  <c r="AG208" i="61"/>
  <c r="P203" i="61"/>
  <c r="BM203" i="61" s="1"/>
  <c r="P195" i="61"/>
  <c r="BM195" i="61" s="1"/>
  <c r="P187" i="61"/>
  <c r="BM187" i="61" s="1"/>
  <c r="P179" i="61"/>
  <c r="BM179" i="61" s="1"/>
  <c r="P171" i="61"/>
  <c r="BM171" i="61" s="1"/>
  <c r="P163" i="61"/>
  <c r="BM163" i="61" s="1"/>
  <c r="P155" i="61"/>
  <c r="BM155" i="61" s="1"/>
  <c r="P147" i="61"/>
  <c r="BM147" i="61" s="1"/>
  <c r="P139" i="61"/>
  <c r="BM139" i="61" s="1"/>
  <c r="P131" i="61"/>
  <c r="BM131" i="61" s="1"/>
  <c r="P123" i="61"/>
  <c r="BM123" i="61" s="1"/>
  <c r="P115" i="61"/>
  <c r="BM115" i="61" s="1"/>
  <c r="P107" i="61"/>
  <c r="BM107" i="61" s="1"/>
  <c r="P99" i="61"/>
  <c r="BM99" i="61" s="1"/>
  <c r="P91" i="61"/>
  <c r="P83" i="61"/>
  <c r="BM83" i="61" s="1"/>
  <c r="P75" i="61"/>
  <c r="BM75" i="61" s="1"/>
  <c r="P67" i="61"/>
  <c r="BM67" i="61" s="1"/>
  <c r="P59" i="61"/>
  <c r="BM59" i="61" s="1"/>
  <c r="AH8" i="61"/>
  <c r="AI8" i="61" s="1"/>
  <c r="AH9" i="61" l="1"/>
  <c r="AH10" i="61"/>
  <c r="AH11" i="61"/>
  <c r="AH12" i="61"/>
  <c r="AH13" i="61"/>
  <c r="AH14" i="61"/>
  <c r="AH15" i="61"/>
  <c r="AH16" i="61"/>
  <c r="AH17" i="61"/>
  <c r="AH18" i="61"/>
  <c r="AH19" i="61"/>
  <c r="AH20" i="61"/>
  <c r="AH21" i="61"/>
  <c r="AH22" i="61"/>
  <c r="AH23" i="61"/>
  <c r="AH24" i="61"/>
  <c r="AH25" i="61"/>
  <c r="AH26" i="61"/>
  <c r="AH27" i="61"/>
  <c r="AH28" i="61"/>
  <c r="AH29" i="61"/>
  <c r="AH31" i="61"/>
  <c r="AH32" i="61"/>
  <c r="AH33" i="61"/>
  <c r="AH34" i="61"/>
  <c r="AH35" i="61"/>
  <c r="AH36" i="61"/>
  <c r="AH37" i="61"/>
  <c r="AH38" i="61"/>
  <c r="AH39" i="61"/>
  <c r="AH40" i="61"/>
  <c r="AH41" i="61"/>
  <c r="AH42" i="61"/>
  <c r="AH43" i="61"/>
  <c r="AH44" i="61"/>
  <c r="AH45" i="61"/>
  <c r="AH46" i="61"/>
  <c r="AH47" i="61"/>
  <c r="AH48" i="61"/>
  <c r="AH49" i="61"/>
  <c r="AH50" i="61"/>
  <c r="AH51" i="61"/>
  <c r="AH52" i="61"/>
  <c r="AH53" i="61"/>
  <c r="AH54" i="61"/>
  <c r="AH55" i="61"/>
  <c r="AH56" i="61"/>
  <c r="AH57" i="61"/>
  <c r="AH58" i="61"/>
  <c r="AH59" i="61"/>
  <c r="AH60" i="61"/>
  <c r="AH61" i="61"/>
  <c r="AH62" i="61"/>
  <c r="AH63" i="61"/>
  <c r="AH64" i="61"/>
  <c r="AH65" i="61"/>
  <c r="AH66" i="61"/>
  <c r="AH67" i="61"/>
  <c r="AH68" i="61"/>
  <c r="AH69" i="61"/>
  <c r="AH70" i="61"/>
  <c r="AH71" i="61"/>
  <c r="AH72" i="61"/>
  <c r="AH73" i="61"/>
  <c r="AH74" i="61"/>
  <c r="AH75" i="61"/>
  <c r="AH76" i="61"/>
  <c r="AH77" i="61"/>
  <c r="AH78" i="61"/>
  <c r="AH79" i="61"/>
  <c r="AH80" i="61"/>
  <c r="AH81" i="61"/>
  <c r="AH82" i="61"/>
  <c r="AH83" i="61"/>
  <c r="AH85" i="61"/>
  <c r="AH86" i="61"/>
  <c r="AH87" i="61"/>
  <c r="AH88" i="61"/>
  <c r="AH89" i="61"/>
  <c r="AH90" i="61"/>
  <c r="AH92" i="61"/>
  <c r="AH93" i="61"/>
  <c r="AH94" i="61"/>
  <c r="AH95" i="61"/>
  <c r="AH96" i="61"/>
  <c r="AH97" i="61"/>
  <c r="AH98" i="61"/>
  <c r="AH99" i="61"/>
  <c r="AH100" i="61"/>
  <c r="AH101" i="61"/>
  <c r="AH102" i="61"/>
  <c r="AH103" i="61"/>
  <c r="AH104" i="61"/>
  <c r="AH105" i="61"/>
  <c r="AH106" i="61"/>
  <c r="AH107" i="61"/>
  <c r="AH108" i="61"/>
  <c r="AH109" i="61"/>
  <c r="AH110" i="61"/>
  <c r="AH111" i="61"/>
  <c r="AH112" i="61"/>
  <c r="AH113" i="61"/>
  <c r="AH114" i="61"/>
  <c r="AH115" i="61"/>
  <c r="AH116" i="61"/>
  <c r="AH117" i="61"/>
  <c r="AH118" i="61"/>
  <c r="AH119" i="61"/>
  <c r="AH120" i="61"/>
  <c r="AH121" i="61"/>
  <c r="AH122" i="61"/>
  <c r="AH123" i="61"/>
  <c r="AH124" i="61"/>
  <c r="AH125" i="61"/>
  <c r="AH126" i="61"/>
  <c r="AH127" i="61"/>
  <c r="AH128" i="61"/>
  <c r="AH129" i="61"/>
  <c r="AH130" i="61"/>
  <c r="AH131" i="61"/>
  <c r="AH132" i="61"/>
  <c r="AH133" i="61"/>
  <c r="AH134" i="61"/>
  <c r="AH135" i="61"/>
  <c r="AH136" i="61"/>
  <c r="AH137" i="61"/>
  <c r="AH138" i="61"/>
  <c r="AH139" i="61"/>
  <c r="AH140" i="61"/>
  <c r="AH141" i="61"/>
  <c r="AH142" i="61"/>
  <c r="AH143" i="61"/>
  <c r="AH144" i="61"/>
  <c r="AH147" i="61"/>
  <c r="AH148" i="61"/>
  <c r="AH150" i="61"/>
  <c r="AH151" i="61"/>
  <c r="AH152" i="61"/>
  <c r="AH153" i="61"/>
  <c r="AH154" i="61"/>
  <c r="AH155" i="61"/>
  <c r="AH156" i="61"/>
  <c r="AH157" i="61"/>
  <c r="AH158" i="61"/>
  <c r="AH159" i="61"/>
  <c r="AH160" i="61"/>
  <c r="AH161" i="61"/>
  <c r="AH162" i="61"/>
  <c r="AH163" i="61"/>
  <c r="AH164" i="61"/>
  <c r="AH165" i="61"/>
  <c r="AH166" i="61"/>
  <c r="AH167" i="61"/>
  <c r="AH168" i="61"/>
  <c r="AH169" i="61"/>
  <c r="AH170" i="61"/>
  <c r="AH171" i="61"/>
  <c r="AH172" i="61"/>
  <c r="AH173" i="61"/>
  <c r="AH174" i="61"/>
  <c r="AH175" i="61"/>
  <c r="AH176" i="61"/>
  <c r="AH178" i="61"/>
  <c r="AH179" i="61"/>
  <c r="AH180" i="61"/>
  <c r="AH181" i="61"/>
  <c r="AH182" i="61"/>
  <c r="AH183" i="61"/>
  <c r="AH184" i="61"/>
  <c r="AH185" i="61"/>
  <c r="AH186" i="61"/>
  <c r="AH187" i="61"/>
  <c r="AH188" i="61"/>
  <c r="AH189" i="61"/>
  <c r="AH191" i="61"/>
  <c r="AH192" i="61"/>
  <c r="AH193" i="61"/>
  <c r="AH195" i="61"/>
  <c r="AH196" i="61"/>
  <c r="AH199" i="61"/>
  <c r="AH200" i="61"/>
  <c r="AH201" i="61"/>
  <c r="AH202" i="61"/>
  <c r="AH203" i="61"/>
  <c r="AH205" i="61"/>
  <c r="AH206" i="61"/>
  <c r="AH207" i="61"/>
  <c r="S8" i="67"/>
  <c r="GP8" i="67" s="1"/>
  <c r="GP208" i="67" s="1"/>
  <c r="F4" i="44"/>
  <c r="F5" i="44"/>
  <c r="F6" i="44"/>
  <c r="F7" i="44"/>
  <c r="F8" i="44"/>
  <c r="F9" i="44"/>
  <c r="F10" i="44"/>
  <c r="F12" i="44"/>
  <c r="F14" i="44"/>
  <c r="F15" i="44"/>
  <c r="F16" i="44"/>
  <c r="F17" i="44"/>
  <c r="F19" i="44"/>
  <c r="F21" i="44"/>
  <c r="F22" i="44"/>
  <c r="F23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9" i="44"/>
  <c r="F50" i="44"/>
  <c r="F52" i="44"/>
  <c r="F53" i="44"/>
  <c r="F54" i="44"/>
  <c r="F55" i="44"/>
  <c r="F56" i="44"/>
  <c r="F57" i="44"/>
  <c r="F58" i="44"/>
  <c r="F59" i="44"/>
  <c r="F61" i="44"/>
  <c r="F62" i="44"/>
  <c r="F63" i="44"/>
  <c r="F64" i="44"/>
  <c r="F65" i="44"/>
  <c r="F66" i="44"/>
  <c r="F68" i="44"/>
  <c r="F69" i="44"/>
  <c r="F70" i="44"/>
  <c r="F73" i="44"/>
  <c r="F74" i="44"/>
  <c r="F75" i="44"/>
  <c r="F76" i="44"/>
  <c r="F77" i="44"/>
  <c r="F78" i="44"/>
  <c r="F80" i="44"/>
  <c r="F81" i="44"/>
  <c r="F82" i="44"/>
  <c r="F83" i="44"/>
  <c r="F86" i="44"/>
  <c r="F87" i="44"/>
  <c r="F88" i="44"/>
  <c r="F89" i="44"/>
  <c r="F90" i="44"/>
  <c r="F94" i="44"/>
  <c r="F95" i="44"/>
  <c r="F96" i="44"/>
  <c r="F97" i="44"/>
  <c r="F98" i="44"/>
  <c r="F99" i="44"/>
  <c r="F100" i="44"/>
  <c r="F102" i="44"/>
  <c r="F103" i="44"/>
  <c r="F104" i="44"/>
  <c r="F105" i="44"/>
  <c r="F106" i="44"/>
  <c r="F107" i="44"/>
  <c r="F108" i="44"/>
  <c r="F109" i="44"/>
  <c r="F110" i="44"/>
  <c r="F111" i="44"/>
  <c r="F114" i="44"/>
  <c r="F115" i="44"/>
  <c r="F116" i="44"/>
  <c r="F117" i="44"/>
  <c r="F120" i="44"/>
  <c r="F122" i="44"/>
  <c r="F124" i="44"/>
  <c r="F125" i="44"/>
  <c r="F126" i="44"/>
  <c r="F127" i="44"/>
  <c r="F128" i="44"/>
  <c r="F130" i="44"/>
  <c r="F131" i="44"/>
  <c r="F132" i="44"/>
  <c r="F133" i="44"/>
  <c r="F134" i="44"/>
  <c r="F135" i="44"/>
  <c r="F136" i="44"/>
  <c r="F137" i="44"/>
  <c r="F138" i="44"/>
  <c r="F139" i="44"/>
  <c r="F141" i="44"/>
  <c r="F143" i="44"/>
  <c r="F144" i="44"/>
  <c r="F145" i="44"/>
  <c r="F146" i="44"/>
  <c r="F148" i="44"/>
  <c r="F149" i="44"/>
  <c r="F150" i="44"/>
  <c r="F152" i="44"/>
  <c r="F153" i="44"/>
  <c r="F154" i="44"/>
  <c r="F155" i="44"/>
  <c r="F156" i="44"/>
  <c r="F157" i="44"/>
  <c r="F158" i="44"/>
  <c r="F160" i="44"/>
  <c r="F161" i="44"/>
  <c r="F162" i="44"/>
  <c r="F164" i="44"/>
  <c r="F165" i="44"/>
  <c r="F166" i="44"/>
  <c r="F170" i="44"/>
  <c r="F171" i="44"/>
  <c r="F172" i="44"/>
  <c r="F173" i="44"/>
  <c r="F175" i="44"/>
  <c r="F176" i="44"/>
  <c r="F177" i="44"/>
  <c r="F178" i="44"/>
  <c r="F179" i="44"/>
  <c r="F180" i="44"/>
  <c r="F181" i="44"/>
  <c r="F182" i="44"/>
  <c r="F184" i="44"/>
  <c r="F185" i="44"/>
  <c r="F186" i="44"/>
  <c r="F188" i="44"/>
  <c r="F190" i="44"/>
  <c r="F191" i="44"/>
  <c r="F192" i="44"/>
  <c r="F193" i="44"/>
  <c r="F195" i="44"/>
  <c r="F196" i="44"/>
  <c r="F197" i="44"/>
  <c r="F198" i="44"/>
  <c r="F199" i="44"/>
  <c r="F200" i="44"/>
  <c r="F201" i="44"/>
  <c r="F202" i="44"/>
  <c r="F24" i="44"/>
  <c r="F48" i="44"/>
  <c r="F91" i="44"/>
  <c r="F92" i="44"/>
  <c r="F140" i="44"/>
  <c r="F183" i="44"/>
  <c r="F194" i="44"/>
  <c r="F11" i="44"/>
  <c r="F13" i="44"/>
  <c r="F18" i="44"/>
  <c r="F20" i="44"/>
  <c r="F51" i="44"/>
  <c r="F60" i="44"/>
  <c r="F67" i="44"/>
  <c r="F71" i="44"/>
  <c r="F72" i="44"/>
  <c r="F79" i="44"/>
  <c r="F84" i="44"/>
  <c r="F85" i="44"/>
  <c r="F93" i="44"/>
  <c r="F101" i="44"/>
  <c r="F112" i="44"/>
  <c r="F113" i="44"/>
  <c r="F118" i="44"/>
  <c r="F119" i="44"/>
  <c r="F121" i="44"/>
  <c r="F123" i="44"/>
  <c r="F129" i="44"/>
  <c r="F142" i="44"/>
  <c r="F147" i="44"/>
  <c r="F151" i="44"/>
  <c r="F159" i="44"/>
  <c r="F163" i="44"/>
  <c r="F167" i="44"/>
  <c r="F168" i="44"/>
  <c r="F169" i="44"/>
  <c r="F174" i="44"/>
  <c r="F187" i="44"/>
  <c r="F189" i="44"/>
  <c r="F3" i="44"/>
  <c r="F3" i="52"/>
  <c r="G3" i="52"/>
  <c r="H3" i="52"/>
  <c r="I3" i="52"/>
  <c r="J3" i="52"/>
  <c r="K3" i="52"/>
  <c r="L3" i="52"/>
  <c r="M3" i="52"/>
  <c r="N3" i="52"/>
  <c r="O3" i="52"/>
  <c r="P3" i="52"/>
  <c r="Q3" i="52"/>
  <c r="R3" i="52"/>
  <c r="S3" i="52"/>
  <c r="T3" i="52"/>
  <c r="U3" i="52"/>
  <c r="V3" i="52"/>
  <c r="W3" i="52"/>
  <c r="X3" i="52"/>
  <c r="Y3" i="52"/>
  <c r="Z3" i="52"/>
  <c r="AA3" i="52"/>
  <c r="AB3" i="52"/>
  <c r="AC3" i="52"/>
  <c r="AD3" i="52"/>
  <c r="AE3" i="52"/>
  <c r="AF3" i="52"/>
  <c r="AG3" i="52"/>
  <c r="AH3" i="52"/>
  <c r="AI3" i="52"/>
  <c r="AJ3" i="52"/>
  <c r="AK3" i="52"/>
  <c r="AL3" i="52"/>
  <c r="AM3" i="52"/>
  <c r="AN3" i="52"/>
  <c r="AO3" i="52"/>
  <c r="AP3" i="52"/>
  <c r="AQ3" i="52"/>
  <c r="AR3" i="52"/>
  <c r="AS3" i="52"/>
  <c r="AT3" i="52"/>
  <c r="AU3" i="52"/>
  <c r="AV3" i="52"/>
  <c r="AW3" i="52"/>
  <c r="AX3" i="52"/>
  <c r="AY3" i="52"/>
  <c r="AZ3" i="52"/>
  <c r="BA3" i="52"/>
  <c r="BB3" i="52"/>
  <c r="BC3" i="52"/>
  <c r="BD3" i="52"/>
  <c r="BE3" i="52"/>
  <c r="BF3" i="52"/>
  <c r="BG3" i="52"/>
  <c r="BH3" i="52"/>
  <c r="BI3" i="52"/>
  <c r="BJ3" i="52"/>
  <c r="BK3" i="52"/>
  <c r="BL3" i="52"/>
  <c r="BM3" i="52"/>
  <c r="BN3" i="52"/>
  <c r="BO3" i="52"/>
  <c r="BP3" i="52"/>
  <c r="BQ3" i="52"/>
  <c r="BR3" i="52"/>
  <c r="BS3" i="52"/>
  <c r="BT3" i="52"/>
  <c r="BU3" i="52"/>
  <c r="BV3" i="52"/>
  <c r="BW3" i="52"/>
  <c r="BX3" i="52"/>
  <c r="BY3" i="52"/>
  <c r="E3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4" i="52"/>
  <c r="J199" i="71" l="1"/>
  <c r="H162" i="71"/>
  <c r="H145" i="71"/>
  <c r="H198" i="71"/>
  <c r="H204" i="71"/>
  <c r="J202" i="71"/>
  <c r="H202" i="71"/>
  <c r="J190" i="71"/>
  <c r="J162" i="71"/>
  <c r="J204" i="71"/>
  <c r="J197" i="71"/>
  <c r="H197" i="71"/>
  <c r="J173" i="71"/>
  <c r="H190" i="71"/>
  <c r="H199" i="71"/>
  <c r="J198" i="71"/>
  <c r="H173" i="71"/>
  <c r="H200" i="67"/>
  <c r="I197" i="67"/>
  <c r="CN197" i="67" s="1"/>
  <c r="I201" i="67"/>
  <c r="CN201" i="67" s="1"/>
  <c r="I196" i="67"/>
  <c r="CN196" i="67" s="1"/>
  <c r="H197" i="67"/>
  <c r="H201" i="67"/>
  <c r="H196" i="67"/>
  <c r="H203" i="67"/>
  <c r="I200" i="67"/>
  <c r="CN200" i="67" s="1"/>
  <c r="I198" i="67"/>
  <c r="CN198" i="67" s="1"/>
  <c r="I202" i="67"/>
  <c r="CN202" i="67" s="1"/>
  <c r="H198" i="67"/>
  <c r="H202" i="67"/>
  <c r="I199" i="67"/>
  <c r="CN199" i="67" s="1"/>
  <c r="I203" i="67"/>
  <c r="CN203" i="67" s="1"/>
  <c r="H199" i="67"/>
  <c r="H195" i="67"/>
  <c r="I204" i="67"/>
  <c r="BL204" i="67" s="1"/>
  <c r="I205" i="67"/>
  <c r="BL205" i="67" s="1"/>
  <c r="H204" i="67"/>
  <c r="J91" i="71"/>
  <c r="H30" i="71"/>
  <c r="I207" i="67"/>
  <c r="AJ207" i="67" s="1"/>
  <c r="J31" i="71"/>
  <c r="H91" i="71"/>
  <c r="H207" i="67"/>
  <c r="H31" i="71"/>
  <c r="J205" i="71"/>
  <c r="H205" i="67"/>
  <c r="H205" i="71"/>
  <c r="J30" i="71"/>
  <c r="I206" i="67"/>
  <c r="AJ206" i="67" s="1"/>
  <c r="H206" i="67"/>
  <c r="K174" i="67"/>
  <c r="S208" i="67"/>
  <c r="GI8" i="67"/>
  <c r="AI207" i="61"/>
  <c r="EN189" i="67" s="1"/>
  <c r="AI206" i="61"/>
  <c r="AI205" i="61"/>
  <c r="AI203" i="61"/>
  <c r="AI202" i="61"/>
  <c r="AI201" i="61"/>
  <c r="AI200" i="61"/>
  <c r="EN184" i="67" s="1"/>
  <c r="AI199" i="61"/>
  <c r="AI196" i="61"/>
  <c r="AI195" i="61"/>
  <c r="AI193" i="61"/>
  <c r="EN181" i="67" s="1"/>
  <c r="AI192" i="61"/>
  <c r="AI191" i="61"/>
  <c r="AI189" i="61"/>
  <c r="AI188" i="61"/>
  <c r="AI187" i="61"/>
  <c r="AI186" i="61"/>
  <c r="AI185" i="61"/>
  <c r="EN172" i="67" s="1"/>
  <c r="AI184" i="61"/>
  <c r="EN171" i="67" s="1"/>
  <c r="AI183" i="61"/>
  <c r="EN170" i="67" s="1"/>
  <c r="AI182" i="61"/>
  <c r="EN169" i="67" s="1"/>
  <c r="AI181" i="61"/>
  <c r="EN192" i="67" s="1"/>
  <c r="AI180" i="61"/>
  <c r="AI179" i="61"/>
  <c r="EN165" i="67" s="1"/>
  <c r="AI178" i="61"/>
  <c r="EN164" i="67" s="1"/>
  <c r="AI176" i="61"/>
  <c r="AI175" i="61"/>
  <c r="EN190" i="67" s="1"/>
  <c r="AI174" i="61"/>
  <c r="AI173" i="61"/>
  <c r="AI172" i="61"/>
  <c r="EN176" i="67" s="1"/>
  <c r="AI171" i="61"/>
  <c r="AI170" i="61"/>
  <c r="EN167" i="67" s="1"/>
  <c r="AI169" i="61"/>
  <c r="AI168" i="61"/>
  <c r="AI167" i="61"/>
  <c r="AI166" i="61"/>
  <c r="EN160" i="67" s="1"/>
  <c r="AI165" i="61"/>
  <c r="EN159" i="67" s="1"/>
  <c r="AI164" i="61"/>
  <c r="EN158" i="67" s="1"/>
  <c r="AI163" i="61"/>
  <c r="AI162" i="61"/>
  <c r="AI161" i="61"/>
  <c r="EN156" i="67" s="1"/>
  <c r="AI160" i="61"/>
  <c r="AI159" i="61"/>
  <c r="AI158" i="61"/>
  <c r="EN153" i="67" s="1"/>
  <c r="AI157" i="61"/>
  <c r="AI156" i="61"/>
  <c r="AI155" i="61"/>
  <c r="AI154" i="61"/>
  <c r="AI153" i="61"/>
  <c r="EN148" i="67" s="1"/>
  <c r="AI152" i="61"/>
  <c r="AI151" i="61"/>
  <c r="EN146" i="67" s="1"/>
  <c r="AI150" i="61"/>
  <c r="AI148" i="61"/>
  <c r="EN143" i="67" s="1"/>
  <c r="AI147" i="61"/>
  <c r="EN142" i="67" s="1"/>
  <c r="EN141" i="67"/>
  <c r="AI144" i="61"/>
  <c r="EN140" i="67" s="1"/>
  <c r="AI143" i="61"/>
  <c r="EN139" i="67" s="1"/>
  <c r="AI142" i="61"/>
  <c r="EN138" i="67" s="1"/>
  <c r="AI141" i="61"/>
  <c r="AI140" i="61"/>
  <c r="EN136" i="67" s="1"/>
  <c r="AI139" i="61"/>
  <c r="AI138" i="61"/>
  <c r="EN134" i="67" s="1"/>
  <c r="AI137" i="61"/>
  <c r="EN133" i="67" s="1"/>
  <c r="AI136" i="61"/>
  <c r="EN132" i="67" s="1"/>
  <c r="AI135" i="61"/>
  <c r="EN131" i="67" s="1"/>
  <c r="AI134" i="61"/>
  <c r="AI133" i="61"/>
  <c r="EN129" i="67" s="1"/>
  <c r="AI132" i="61"/>
  <c r="EN128" i="67" s="1"/>
  <c r="AI131" i="61"/>
  <c r="AI130" i="61"/>
  <c r="EN126" i="67" s="1"/>
  <c r="AI129" i="61"/>
  <c r="EN125" i="67" s="1"/>
  <c r="AI128" i="61"/>
  <c r="AI127" i="61"/>
  <c r="EN123" i="67" s="1"/>
  <c r="AI126" i="61"/>
  <c r="AI125" i="61"/>
  <c r="AI124" i="61"/>
  <c r="AI123" i="61"/>
  <c r="EN119" i="67" s="1"/>
  <c r="AI122" i="61"/>
  <c r="AI121" i="61"/>
  <c r="EN117" i="67" s="1"/>
  <c r="AI120" i="61"/>
  <c r="EN116" i="67" s="1"/>
  <c r="AI119" i="61"/>
  <c r="EN115" i="67" s="1"/>
  <c r="AI118" i="61"/>
  <c r="EN114" i="67" s="1"/>
  <c r="AI117" i="61"/>
  <c r="EN113" i="67" s="1"/>
  <c r="AI116" i="61"/>
  <c r="AI115" i="61"/>
  <c r="EN111" i="67" s="1"/>
  <c r="AI114" i="61"/>
  <c r="AI113" i="61"/>
  <c r="AI112" i="61"/>
  <c r="AI111" i="61"/>
  <c r="EN107" i="67" s="1"/>
  <c r="AI110" i="61"/>
  <c r="EN106" i="67" s="1"/>
  <c r="AI109" i="61"/>
  <c r="AI108" i="61"/>
  <c r="AI107" i="61"/>
  <c r="EN103" i="67" s="1"/>
  <c r="AI106" i="61"/>
  <c r="AI105" i="61"/>
  <c r="EN101" i="67" s="1"/>
  <c r="AI104" i="61"/>
  <c r="EN100" i="67" s="1"/>
  <c r="AI103" i="61"/>
  <c r="AI102" i="61"/>
  <c r="AI101" i="61"/>
  <c r="AI100" i="61"/>
  <c r="AI99" i="61"/>
  <c r="AI98" i="61"/>
  <c r="EN95" i="67" s="1"/>
  <c r="AI97" i="61"/>
  <c r="AI96" i="61"/>
  <c r="AI95" i="61"/>
  <c r="EN92" i="67" s="1"/>
  <c r="AI94" i="61"/>
  <c r="EN91" i="67" s="1"/>
  <c r="AI93" i="61"/>
  <c r="EN90" i="67" s="1"/>
  <c r="AI92" i="61"/>
  <c r="EN89" i="67" s="1"/>
  <c r="AI90" i="61"/>
  <c r="EN88" i="67" s="1"/>
  <c r="AI89" i="61"/>
  <c r="AI88" i="61"/>
  <c r="EN86" i="67" s="1"/>
  <c r="AI87" i="61"/>
  <c r="EN85" i="67" s="1"/>
  <c r="AI86" i="61"/>
  <c r="EN84" i="67" s="1"/>
  <c r="AI85" i="61"/>
  <c r="AI83" i="61"/>
  <c r="EN81" i="67" s="1"/>
  <c r="AI82" i="61"/>
  <c r="EN80" i="67" s="1"/>
  <c r="AI81" i="61"/>
  <c r="EN79" i="67" s="1"/>
  <c r="AI80" i="61"/>
  <c r="AI79" i="61"/>
  <c r="AI78" i="61"/>
  <c r="AI77" i="61"/>
  <c r="EN75" i="67" s="1"/>
  <c r="AI76" i="61"/>
  <c r="AI75" i="61"/>
  <c r="AI74" i="61"/>
  <c r="AI73" i="61"/>
  <c r="EN71" i="67" s="1"/>
  <c r="AI72" i="61"/>
  <c r="AI71" i="61"/>
  <c r="EN69" i="67" s="1"/>
  <c r="AI70" i="61"/>
  <c r="EN68" i="67" s="1"/>
  <c r="AI69" i="61"/>
  <c r="AI68" i="61"/>
  <c r="AI67" i="61"/>
  <c r="AI66" i="61"/>
  <c r="EN64" i="67" s="1"/>
  <c r="AI65" i="61"/>
  <c r="EN63" i="67" s="1"/>
  <c r="AI64" i="61"/>
  <c r="AI63" i="61"/>
  <c r="AI62" i="61"/>
  <c r="EN60" i="67" s="1"/>
  <c r="AI61" i="61"/>
  <c r="AI60" i="61"/>
  <c r="AI59" i="61"/>
  <c r="EN57" i="67" s="1"/>
  <c r="AI58" i="61"/>
  <c r="EN56" i="67" s="1"/>
  <c r="AI57" i="61"/>
  <c r="AI56" i="61"/>
  <c r="EN54" i="67" s="1"/>
  <c r="AI55" i="61"/>
  <c r="EN53" i="67" s="1"/>
  <c r="AI54" i="61"/>
  <c r="AI53" i="61"/>
  <c r="EN51" i="67" s="1"/>
  <c r="AI52" i="61"/>
  <c r="AI51" i="61"/>
  <c r="EN49" i="67" s="1"/>
  <c r="AI50" i="61"/>
  <c r="AI49" i="61"/>
  <c r="AI48" i="61"/>
  <c r="EN46" i="67" s="1"/>
  <c r="AI47" i="61"/>
  <c r="EN45" i="67" s="1"/>
  <c r="AI46" i="61"/>
  <c r="AI45" i="61"/>
  <c r="EN43" i="67" s="1"/>
  <c r="AI44" i="61"/>
  <c r="AI43" i="61"/>
  <c r="EN41" i="67" s="1"/>
  <c r="AI42" i="61"/>
  <c r="AI41" i="61"/>
  <c r="EN39" i="67" s="1"/>
  <c r="AI40" i="61"/>
  <c r="AI39" i="61"/>
  <c r="AI38" i="61"/>
  <c r="AI37" i="61"/>
  <c r="AI36" i="61"/>
  <c r="EN34" i="67" s="1"/>
  <c r="AI35" i="61"/>
  <c r="EN33" i="67" s="1"/>
  <c r="AI34" i="61"/>
  <c r="AI33" i="61"/>
  <c r="EN31" i="67" s="1"/>
  <c r="AI32" i="61"/>
  <c r="AI31" i="61"/>
  <c r="AI29" i="61"/>
  <c r="AI28" i="61"/>
  <c r="EN28" i="67" s="1"/>
  <c r="AI27" i="61"/>
  <c r="EN27" i="67" s="1"/>
  <c r="AI26" i="61"/>
  <c r="AI25" i="61"/>
  <c r="EN25" i="67" s="1"/>
  <c r="AI24" i="61"/>
  <c r="EN24" i="67" s="1"/>
  <c r="AI23" i="61"/>
  <c r="AI22" i="61"/>
  <c r="AI21" i="61"/>
  <c r="EN21" i="67" s="1"/>
  <c r="AI20" i="61"/>
  <c r="EN20" i="67" s="1"/>
  <c r="AI19" i="61"/>
  <c r="AI18" i="61"/>
  <c r="EN18" i="67" s="1"/>
  <c r="AI17" i="61"/>
  <c r="EN17" i="67" s="1"/>
  <c r="AI16" i="61"/>
  <c r="EN16" i="67" s="1"/>
  <c r="AI15" i="61"/>
  <c r="AI14" i="61"/>
  <c r="AI13" i="61"/>
  <c r="AI12" i="61"/>
  <c r="EN12" i="67" s="1"/>
  <c r="AI11" i="61"/>
  <c r="AI10" i="61"/>
  <c r="EN10" i="67" s="1"/>
  <c r="AI9" i="61"/>
  <c r="EN9" i="67" s="1"/>
  <c r="Y175" i="61"/>
  <c r="CX175" i="61" s="1"/>
  <c r="AH208" i="61"/>
  <c r="Q107" i="61"/>
  <c r="BW107" i="61" s="1"/>
  <c r="Q157" i="61"/>
  <c r="BW157" i="61" s="1"/>
  <c r="Q141" i="61"/>
  <c r="BW141" i="61" s="1"/>
  <c r="Q131" i="61"/>
  <c r="BW131" i="61" s="1"/>
  <c r="Q109" i="61"/>
  <c r="BW109" i="61" s="1"/>
  <c r="Q162" i="61"/>
  <c r="BW162" i="61" s="1"/>
  <c r="Q124" i="61"/>
  <c r="BW124" i="61" s="1"/>
  <c r="Q108" i="61"/>
  <c r="BW108" i="61" s="1"/>
  <c r="Q98" i="61"/>
  <c r="BW98" i="61" s="1"/>
  <c r="Q36" i="61"/>
  <c r="BW36" i="61" s="1"/>
  <c r="Q34" i="61"/>
  <c r="BW34" i="61" s="1"/>
  <c r="S208" i="61"/>
  <c r="Y202" i="61"/>
  <c r="CX202" i="61" s="1"/>
  <c r="Y194" i="61"/>
  <c r="Y186" i="61"/>
  <c r="Y178" i="61"/>
  <c r="CX178" i="61" s="1"/>
  <c r="Y170" i="61"/>
  <c r="CX170" i="61" s="1"/>
  <c r="Y166" i="61"/>
  <c r="CX166" i="61" s="1"/>
  <c r="Y158" i="61"/>
  <c r="CX158" i="61" s="1"/>
  <c r="Y150" i="61"/>
  <c r="Y138" i="61"/>
  <c r="CX138" i="61" s="1"/>
  <c r="Y134" i="61"/>
  <c r="Y126" i="61"/>
  <c r="Y114" i="61"/>
  <c r="Y106" i="61"/>
  <c r="Y98" i="61"/>
  <c r="CX98" i="61" s="1"/>
  <c r="Y90" i="61"/>
  <c r="CX90" i="61" s="1"/>
  <c r="Y82" i="61"/>
  <c r="CX82" i="61" s="1"/>
  <c r="Y74" i="61"/>
  <c r="Y66" i="61"/>
  <c r="CX66" i="61" s="1"/>
  <c r="Y58" i="61"/>
  <c r="CX58" i="61" s="1"/>
  <c r="Y50" i="61"/>
  <c r="Y46" i="61"/>
  <c r="V208" i="61"/>
  <c r="Y207" i="61"/>
  <c r="CX207" i="61" s="1"/>
  <c r="Y203" i="61"/>
  <c r="Y199" i="61"/>
  <c r="CX199" i="61" s="1"/>
  <c r="Y195" i="61"/>
  <c r="Y191" i="61"/>
  <c r="Y187" i="61"/>
  <c r="Y183" i="61"/>
  <c r="CX183" i="61" s="1"/>
  <c r="Y179" i="61"/>
  <c r="CX179" i="61" s="1"/>
  <c r="T208" i="61"/>
  <c r="Y206" i="61"/>
  <c r="Y182" i="61"/>
  <c r="CX182" i="61" s="1"/>
  <c r="Y174" i="61"/>
  <c r="Y162" i="61"/>
  <c r="CX162" i="61" s="1"/>
  <c r="Y154" i="61"/>
  <c r="Y146" i="61"/>
  <c r="CX146" i="61" s="1"/>
  <c r="Y142" i="61"/>
  <c r="CX142" i="61" s="1"/>
  <c r="Y130" i="61"/>
  <c r="CX130" i="61" s="1"/>
  <c r="Y122" i="61"/>
  <c r="Y118" i="61"/>
  <c r="CX118" i="61" s="1"/>
  <c r="Y110" i="61"/>
  <c r="CX110" i="61" s="1"/>
  <c r="Y102" i="61"/>
  <c r="Y94" i="61"/>
  <c r="CX94" i="61" s="1"/>
  <c r="Y86" i="61"/>
  <c r="CX86" i="61" s="1"/>
  <c r="Y78" i="61"/>
  <c r="Y70" i="61"/>
  <c r="CX70" i="61" s="1"/>
  <c r="Y62" i="61"/>
  <c r="CX62" i="61" s="1"/>
  <c r="Y54" i="61"/>
  <c r="Y42" i="61"/>
  <c r="Y38" i="61"/>
  <c r="Y34" i="61"/>
  <c r="U208" i="61"/>
  <c r="Y205" i="61"/>
  <c r="CX205" i="61" s="1"/>
  <c r="Y201" i="61"/>
  <c r="Y193" i="61"/>
  <c r="CX193" i="61" s="1"/>
  <c r="Y189" i="61"/>
  <c r="CX189" i="61" s="1"/>
  <c r="Y185" i="61"/>
  <c r="CX185" i="61" s="1"/>
  <c r="Y181" i="61"/>
  <c r="CX181" i="61" s="1"/>
  <c r="Y177" i="61"/>
  <c r="Y173" i="61"/>
  <c r="CX173" i="61" s="1"/>
  <c r="Y169" i="61"/>
  <c r="Y165" i="61"/>
  <c r="CX165" i="61" s="1"/>
  <c r="Y161" i="61"/>
  <c r="CX161" i="61" s="1"/>
  <c r="Y157" i="61"/>
  <c r="Y153" i="61"/>
  <c r="CX153" i="61" s="1"/>
  <c r="Y149" i="61"/>
  <c r="Y141" i="61"/>
  <c r="Y137" i="61"/>
  <c r="CX137" i="61" s="1"/>
  <c r="Y133" i="61"/>
  <c r="CX133" i="61" s="1"/>
  <c r="Y129" i="61"/>
  <c r="CX129" i="61" s="1"/>
  <c r="Y125" i="61"/>
  <c r="Y26" i="61"/>
  <c r="Y22" i="61"/>
  <c r="Y18" i="61"/>
  <c r="CX18" i="61" s="1"/>
  <c r="Y14" i="61"/>
  <c r="Y10" i="61"/>
  <c r="CX10" i="61" s="1"/>
  <c r="Y23" i="61"/>
  <c r="Y19" i="61"/>
  <c r="Y15" i="61"/>
  <c r="Y11" i="61"/>
  <c r="Y20" i="61"/>
  <c r="CX20" i="61" s="1"/>
  <c r="Y16" i="61"/>
  <c r="CX16" i="61" s="1"/>
  <c r="Y12" i="61"/>
  <c r="CX12" i="61" s="1"/>
  <c r="Y171" i="61"/>
  <c r="Y167" i="61"/>
  <c r="Y163" i="61"/>
  <c r="Y159" i="61"/>
  <c r="Y155" i="61"/>
  <c r="Y151" i="61"/>
  <c r="CX151" i="61" s="1"/>
  <c r="Y147" i="61"/>
  <c r="CX147" i="61" s="1"/>
  <c r="Y143" i="61"/>
  <c r="CX143" i="61" s="1"/>
  <c r="Y139" i="61"/>
  <c r="Y135" i="61"/>
  <c r="CX135" i="61" s="1"/>
  <c r="Y131" i="61"/>
  <c r="Y127" i="61"/>
  <c r="CX127" i="61" s="1"/>
  <c r="Y123" i="61"/>
  <c r="CX123" i="61" s="1"/>
  <c r="Y119" i="61"/>
  <c r="CX119" i="61" s="1"/>
  <c r="Y115" i="61"/>
  <c r="CX115" i="61" s="1"/>
  <c r="Y111" i="61"/>
  <c r="CX111" i="61" s="1"/>
  <c r="Y107" i="61"/>
  <c r="CX107" i="61" s="1"/>
  <c r="Y103" i="61"/>
  <c r="Y99" i="61"/>
  <c r="Y95" i="61"/>
  <c r="CX95" i="61" s="1"/>
  <c r="Y87" i="61"/>
  <c r="CX87" i="61" s="1"/>
  <c r="Y83" i="61"/>
  <c r="CX83" i="61" s="1"/>
  <c r="Y79" i="61"/>
  <c r="Y75" i="61"/>
  <c r="Y71" i="61"/>
  <c r="CX71" i="61" s="1"/>
  <c r="Y67" i="61"/>
  <c r="Y63" i="61"/>
  <c r="Y59" i="61"/>
  <c r="CX59" i="61" s="1"/>
  <c r="Y55" i="61"/>
  <c r="CX55" i="61" s="1"/>
  <c r="Y51" i="61"/>
  <c r="CX51" i="61" s="1"/>
  <c r="Y47" i="61"/>
  <c r="CX47" i="61" s="1"/>
  <c r="Y43" i="61"/>
  <c r="CX43" i="61" s="1"/>
  <c r="Y39" i="61"/>
  <c r="Y35" i="61"/>
  <c r="CX35" i="61" s="1"/>
  <c r="Y31" i="61"/>
  <c r="CX31" i="61" s="1"/>
  <c r="Y27" i="61"/>
  <c r="CX27" i="61" s="1"/>
  <c r="W208" i="61"/>
  <c r="X208" i="61"/>
  <c r="Y200" i="61"/>
  <c r="CX200" i="61" s="1"/>
  <c r="Y196" i="61"/>
  <c r="Y192" i="61"/>
  <c r="CX192" i="61" s="1"/>
  <c r="Y188" i="61"/>
  <c r="Y184" i="61"/>
  <c r="CX184" i="61" s="1"/>
  <c r="Y180" i="61"/>
  <c r="Y176" i="61"/>
  <c r="Y172" i="61"/>
  <c r="CX172" i="61" s="1"/>
  <c r="Y168" i="61"/>
  <c r="Y164" i="61"/>
  <c r="CX164" i="61" s="1"/>
  <c r="Y160" i="61"/>
  <c r="Y156" i="61"/>
  <c r="Y152" i="61"/>
  <c r="Y148" i="61"/>
  <c r="CX148" i="61" s="1"/>
  <c r="Y144" i="61"/>
  <c r="CX144" i="61" s="1"/>
  <c r="Y140" i="61"/>
  <c r="CX140" i="61" s="1"/>
  <c r="Y136" i="61"/>
  <c r="CX136" i="61" s="1"/>
  <c r="Y132" i="61"/>
  <c r="CX132" i="61" s="1"/>
  <c r="Y128" i="61"/>
  <c r="Y124" i="61"/>
  <c r="Y120" i="61"/>
  <c r="CX120" i="61" s="1"/>
  <c r="Y116" i="61"/>
  <c r="Y112" i="61"/>
  <c r="Y108" i="61"/>
  <c r="Y104" i="61"/>
  <c r="CX104" i="61" s="1"/>
  <c r="Y100" i="61"/>
  <c r="CX100" i="61" s="1"/>
  <c r="Y96" i="61"/>
  <c r="Y92" i="61"/>
  <c r="CX92" i="61" s="1"/>
  <c r="Y88" i="61"/>
  <c r="CX88" i="61" s="1"/>
  <c r="Y84" i="61"/>
  <c r="Y80" i="61"/>
  <c r="Y76" i="61"/>
  <c r="Y72" i="61"/>
  <c r="Y68" i="61"/>
  <c r="Y64" i="61"/>
  <c r="Y60" i="61"/>
  <c r="Y56" i="61"/>
  <c r="CX56" i="61" s="1"/>
  <c r="Y52" i="61"/>
  <c r="Y48" i="61"/>
  <c r="CX48" i="61" s="1"/>
  <c r="Y44" i="61"/>
  <c r="Y40" i="61"/>
  <c r="Y36" i="61"/>
  <c r="CX36" i="61" s="1"/>
  <c r="Y32" i="61"/>
  <c r="Y28" i="61"/>
  <c r="CX28" i="61" s="1"/>
  <c r="Y24" i="61"/>
  <c r="CX24" i="61" s="1"/>
  <c r="Y121" i="61"/>
  <c r="CX121" i="61" s="1"/>
  <c r="Y117" i="61"/>
  <c r="CX117" i="61" s="1"/>
  <c r="Y113" i="61"/>
  <c r="Y109" i="61"/>
  <c r="Y105" i="61"/>
  <c r="CX105" i="61" s="1"/>
  <c r="Y101" i="61"/>
  <c r="Y97" i="61"/>
  <c r="Y93" i="61"/>
  <c r="CX93" i="61" s="1"/>
  <c r="Y89" i="61"/>
  <c r="Y85" i="61"/>
  <c r="Y81" i="61"/>
  <c r="CX81" i="61" s="1"/>
  <c r="Y77" i="61"/>
  <c r="CX77" i="61" s="1"/>
  <c r="Y73" i="61"/>
  <c r="CX73" i="61" s="1"/>
  <c r="Y69" i="61"/>
  <c r="Y65" i="61"/>
  <c r="CX65" i="61" s="1"/>
  <c r="Y61" i="61"/>
  <c r="Y57" i="61"/>
  <c r="Y53" i="61"/>
  <c r="CX53" i="61" s="1"/>
  <c r="Y49" i="61"/>
  <c r="Y45" i="61"/>
  <c r="CX45" i="61" s="1"/>
  <c r="Y41" i="61"/>
  <c r="CX41" i="61" s="1"/>
  <c r="Y37" i="61"/>
  <c r="Y33" i="61"/>
  <c r="CX33" i="61" s="1"/>
  <c r="Y29" i="61"/>
  <c r="Y25" i="61"/>
  <c r="CX25" i="61" s="1"/>
  <c r="Y21" i="61"/>
  <c r="CX21" i="61" s="1"/>
  <c r="Y17" i="61"/>
  <c r="CX17" i="61" s="1"/>
  <c r="Y13" i="61"/>
  <c r="Y9" i="61"/>
  <c r="CX9" i="61" s="1"/>
  <c r="Y8" i="61"/>
  <c r="Q159" i="61"/>
  <c r="BW159" i="61" s="1"/>
  <c r="Q44" i="61"/>
  <c r="BW44" i="61" s="1"/>
  <c r="Q180" i="61"/>
  <c r="BW180" i="61" s="1"/>
  <c r="Q164" i="61"/>
  <c r="BW164" i="61" s="1"/>
  <c r="Q67" i="61"/>
  <c r="BW67" i="61" s="1"/>
  <c r="Q181" i="61"/>
  <c r="BW181" i="61" s="1"/>
  <c r="Q99" i="61"/>
  <c r="BW99" i="61" s="1"/>
  <c r="Q76" i="61"/>
  <c r="BW76" i="61" s="1"/>
  <c r="Q198" i="61"/>
  <c r="BW198" i="61" s="1"/>
  <c r="Q203" i="61"/>
  <c r="BW203" i="61" s="1"/>
  <c r="Q100" i="61"/>
  <c r="BW100" i="61" s="1"/>
  <c r="Q13" i="61"/>
  <c r="BW13" i="61" s="1"/>
  <c r="Q158" i="61"/>
  <c r="BW158" i="61" s="1"/>
  <c r="Q140" i="61"/>
  <c r="BW140" i="61" s="1"/>
  <c r="Q35" i="61"/>
  <c r="BW35" i="61" s="1"/>
  <c r="H208" i="61"/>
  <c r="Q163" i="61"/>
  <c r="BW163" i="61" s="1"/>
  <c r="Q150" i="61"/>
  <c r="BW150" i="61" s="1"/>
  <c r="Q45" i="61"/>
  <c r="BW45" i="61" s="1"/>
  <c r="Q43" i="61"/>
  <c r="BW43" i="61" s="1"/>
  <c r="Q9" i="61"/>
  <c r="BW9" i="61" s="1"/>
  <c r="Q132" i="61"/>
  <c r="BW132" i="61" s="1"/>
  <c r="Q130" i="61"/>
  <c r="BW130" i="61" s="1"/>
  <c r="Q139" i="61"/>
  <c r="BW139" i="61" s="1"/>
  <c r="Q21" i="61"/>
  <c r="BW21" i="61" s="1"/>
  <c r="Q186" i="61"/>
  <c r="BW186" i="61" s="1"/>
  <c r="Q182" i="61"/>
  <c r="BW182" i="61" s="1"/>
  <c r="Q178" i="61"/>
  <c r="BW178" i="61" s="1"/>
  <c r="Q173" i="61"/>
  <c r="BW173" i="61" s="1"/>
  <c r="Q22" i="61"/>
  <c r="BW22" i="61" s="1"/>
  <c r="Q68" i="61"/>
  <c r="BW68" i="61" s="1"/>
  <c r="Q66" i="61"/>
  <c r="BW66" i="61" s="1"/>
  <c r="Q23" i="61"/>
  <c r="BW23" i="61" s="1"/>
  <c r="Q204" i="61"/>
  <c r="BW204" i="61" s="1"/>
  <c r="Q77" i="61"/>
  <c r="BW77" i="61" s="1"/>
  <c r="Q75" i="61"/>
  <c r="BW75" i="61" s="1"/>
  <c r="Q74" i="61"/>
  <c r="BW74" i="61" s="1"/>
  <c r="Q60" i="61"/>
  <c r="BW60" i="61" s="1"/>
  <c r="Q50" i="61"/>
  <c r="BW50" i="61" s="1"/>
  <c r="Q28" i="61"/>
  <c r="BW28" i="61" s="1"/>
  <c r="L208" i="61"/>
  <c r="M208" i="61"/>
  <c r="Q146" i="61"/>
  <c r="BW146" i="61" s="1"/>
  <c r="Q82" i="61"/>
  <c r="BW82" i="61" s="1"/>
  <c r="N208" i="61"/>
  <c r="O208" i="61"/>
  <c r="Q147" i="61"/>
  <c r="BW147" i="61" s="1"/>
  <c r="Q91" i="61"/>
  <c r="Q83" i="61"/>
  <c r="BW83" i="61" s="1"/>
  <c r="Q187" i="61"/>
  <c r="BW187" i="61" s="1"/>
  <c r="Q179" i="61"/>
  <c r="BW179" i="61" s="1"/>
  <c r="Q106" i="61"/>
  <c r="BW106" i="61" s="1"/>
  <c r="Q42" i="61"/>
  <c r="BW42" i="61" s="1"/>
  <c r="Q205" i="61"/>
  <c r="BW205" i="61" s="1"/>
  <c r="Q174" i="61"/>
  <c r="BW174" i="61" s="1"/>
  <c r="Q170" i="61"/>
  <c r="BW170" i="61" s="1"/>
  <c r="Q114" i="61"/>
  <c r="BW114" i="61" s="1"/>
  <c r="Q92" i="61"/>
  <c r="BW92" i="61" s="1"/>
  <c r="P8" i="61"/>
  <c r="BM8" i="61" s="1"/>
  <c r="J208" i="61"/>
  <c r="Q196" i="61"/>
  <c r="BW196" i="61" s="1"/>
  <c r="Q188" i="61"/>
  <c r="BW188" i="61" s="1"/>
  <c r="K208" i="61"/>
  <c r="Q171" i="61"/>
  <c r="BW171" i="61" s="1"/>
  <c r="Q123" i="61"/>
  <c r="BW123" i="61" s="1"/>
  <c r="Q115" i="61"/>
  <c r="BW115" i="61" s="1"/>
  <c r="Q59" i="61"/>
  <c r="BW59" i="61" s="1"/>
  <c r="Q51" i="61"/>
  <c r="BW51" i="61" s="1"/>
  <c r="Q29" i="61"/>
  <c r="BW29" i="61" s="1"/>
  <c r="Q27" i="61"/>
  <c r="BW27" i="61" s="1"/>
  <c r="Q17" i="61"/>
  <c r="BW17" i="61" s="1"/>
  <c r="Q18" i="61"/>
  <c r="BW18" i="61" s="1"/>
  <c r="Q10" i="61"/>
  <c r="BW10" i="61" s="1"/>
  <c r="Q19" i="61"/>
  <c r="BW19" i="61" s="1"/>
  <c r="Q11" i="61"/>
  <c r="BW11" i="61" s="1"/>
  <c r="Q24" i="61"/>
  <c r="BW24" i="61" s="1"/>
  <c r="Q20" i="61"/>
  <c r="BW20" i="61" s="1"/>
  <c r="Q16" i="61"/>
  <c r="BW16" i="61" s="1"/>
  <c r="Q14" i="61"/>
  <c r="BW14" i="61" s="1"/>
  <c r="Q12" i="61"/>
  <c r="BW12" i="61" s="1"/>
  <c r="Q165" i="61"/>
  <c r="BW165" i="61" s="1"/>
  <c r="Q142" i="61"/>
  <c r="BW142" i="61" s="1"/>
  <c r="Q138" i="61"/>
  <c r="BW138" i="61" s="1"/>
  <c r="Q133" i="61"/>
  <c r="BW133" i="61" s="1"/>
  <c r="Q101" i="61"/>
  <c r="BW101" i="61" s="1"/>
  <c r="Q69" i="61"/>
  <c r="BW69" i="61" s="1"/>
  <c r="Q37" i="61"/>
  <c r="BW37" i="61" s="1"/>
  <c r="Q206" i="61"/>
  <c r="BW206" i="61" s="1"/>
  <c r="Q202" i="61"/>
  <c r="BW202" i="61" s="1"/>
  <c r="Q197" i="61"/>
  <c r="BW197" i="61" s="1"/>
  <c r="Q194" i="61"/>
  <c r="BW194" i="61" s="1"/>
  <c r="Q193" i="61"/>
  <c r="BW193" i="61" s="1"/>
  <c r="Q189" i="61"/>
  <c r="BW189" i="61" s="1"/>
  <c r="Q166" i="61"/>
  <c r="BW166" i="61" s="1"/>
  <c r="Q156" i="61"/>
  <c r="BW156" i="61" s="1"/>
  <c r="Q148" i="61"/>
  <c r="BW148" i="61" s="1"/>
  <c r="Q125" i="61"/>
  <c r="BW125" i="61" s="1"/>
  <c r="Q116" i="61"/>
  <c r="BW116" i="61" s="1"/>
  <c r="Q93" i="61"/>
  <c r="BW93" i="61" s="1"/>
  <c r="Q84" i="61"/>
  <c r="BW84" i="61" s="1"/>
  <c r="Q61" i="61"/>
  <c r="BW61" i="61" s="1"/>
  <c r="Q52" i="61"/>
  <c r="BW52" i="61" s="1"/>
  <c r="Q195" i="61"/>
  <c r="BW195" i="61" s="1"/>
  <c r="Q122" i="61"/>
  <c r="BW122" i="61" s="1"/>
  <c r="Q90" i="61"/>
  <c r="BW90" i="61" s="1"/>
  <c r="Q58" i="61"/>
  <c r="BW58" i="61" s="1"/>
  <c r="Q26" i="61"/>
  <c r="BW26" i="61" s="1"/>
  <c r="Q190" i="61"/>
  <c r="BW190" i="61" s="1"/>
  <c r="Q176" i="61"/>
  <c r="BW176" i="61" s="1"/>
  <c r="Q172" i="61"/>
  <c r="BW172" i="61" s="1"/>
  <c r="Q154" i="61"/>
  <c r="BW154" i="61" s="1"/>
  <c r="Q149" i="61"/>
  <c r="BW149" i="61" s="1"/>
  <c r="Q117" i="61"/>
  <c r="BW117" i="61" s="1"/>
  <c r="Q85" i="61"/>
  <c r="BW85" i="61" s="1"/>
  <c r="Q53" i="61"/>
  <c r="BW53" i="61" s="1"/>
  <c r="Q30" i="61"/>
  <c r="Q155" i="61"/>
  <c r="BW155" i="61" s="1"/>
  <c r="Q15" i="61"/>
  <c r="BW15" i="61" s="1"/>
  <c r="Q200" i="61"/>
  <c r="BW200" i="61" s="1"/>
  <c r="Q183" i="61"/>
  <c r="BW183" i="61" s="1"/>
  <c r="Q153" i="61"/>
  <c r="BW153" i="61" s="1"/>
  <c r="Q136" i="61"/>
  <c r="BW136" i="61" s="1"/>
  <c r="Q126" i="61"/>
  <c r="BW126" i="61" s="1"/>
  <c r="Q120" i="61"/>
  <c r="BW120" i="61" s="1"/>
  <c r="Q110" i="61"/>
  <c r="BW110" i="61" s="1"/>
  <c r="Q104" i="61"/>
  <c r="BW104" i="61" s="1"/>
  <c r="Q94" i="61"/>
  <c r="BW94" i="61" s="1"/>
  <c r="Q88" i="61"/>
  <c r="BW88" i="61" s="1"/>
  <c r="Q78" i="61"/>
  <c r="BW78" i="61" s="1"/>
  <c r="Q72" i="61"/>
  <c r="BW72" i="61" s="1"/>
  <c r="Q62" i="61"/>
  <c r="BW62" i="61" s="1"/>
  <c r="Q56" i="61"/>
  <c r="BW56" i="61" s="1"/>
  <c r="Q46" i="61"/>
  <c r="BW46" i="61" s="1"/>
  <c r="Q40" i="61"/>
  <c r="BW40" i="61" s="1"/>
  <c r="Q207" i="61"/>
  <c r="BW207" i="61" s="1"/>
  <c r="Q177" i="61"/>
  <c r="BW177" i="61" s="1"/>
  <c r="Q160" i="61"/>
  <c r="BW160" i="61" s="1"/>
  <c r="Q143" i="61"/>
  <c r="BW143" i="61" s="1"/>
  <c r="Q201" i="61"/>
  <c r="BW201" i="61" s="1"/>
  <c r="Q184" i="61"/>
  <c r="BW184" i="61" s="1"/>
  <c r="Q167" i="61"/>
  <c r="BW167" i="61" s="1"/>
  <c r="Q137" i="61"/>
  <c r="BW137" i="61" s="1"/>
  <c r="Q127" i="61"/>
  <c r="BW127" i="61" s="1"/>
  <c r="Q121" i="61"/>
  <c r="BW121" i="61" s="1"/>
  <c r="Q111" i="61"/>
  <c r="BW111" i="61" s="1"/>
  <c r="Q105" i="61"/>
  <c r="BW105" i="61" s="1"/>
  <c r="Q95" i="61"/>
  <c r="BW95" i="61" s="1"/>
  <c r="Q89" i="61"/>
  <c r="BW89" i="61" s="1"/>
  <c r="Q79" i="61"/>
  <c r="BW79" i="61" s="1"/>
  <c r="Q73" i="61"/>
  <c r="BW73" i="61" s="1"/>
  <c r="Q63" i="61"/>
  <c r="BW63" i="61" s="1"/>
  <c r="Q57" i="61"/>
  <c r="BW57" i="61" s="1"/>
  <c r="Q47" i="61"/>
  <c r="BW47" i="61" s="1"/>
  <c r="Q41" i="61"/>
  <c r="BW41" i="61" s="1"/>
  <c r="Q191" i="61"/>
  <c r="BW191" i="61" s="1"/>
  <c r="Q161" i="61"/>
  <c r="BW161" i="61" s="1"/>
  <c r="Q144" i="61"/>
  <c r="BW144" i="61" s="1"/>
  <c r="Q185" i="61"/>
  <c r="BW185" i="61" s="1"/>
  <c r="Q168" i="61"/>
  <c r="BW168" i="61" s="1"/>
  <c r="Q151" i="61"/>
  <c r="BW151" i="61" s="1"/>
  <c r="Q134" i="61"/>
  <c r="BW134" i="61" s="1"/>
  <c r="Q128" i="61"/>
  <c r="BW128" i="61" s="1"/>
  <c r="Q118" i="61"/>
  <c r="BW118" i="61" s="1"/>
  <c r="Q112" i="61"/>
  <c r="BW112" i="61" s="1"/>
  <c r="Q102" i="61"/>
  <c r="BW102" i="61" s="1"/>
  <c r="Q96" i="61"/>
  <c r="BW96" i="61" s="1"/>
  <c r="Q86" i="61"/>
  <c r="BW86" i="61" s="1"/>
  <c r="Q80" i="61"/>
  <c r="BW80" i="61" s="1"/>
  <c r="Q70" i="61"/>
  <c r="BW70" i="61" s="1"/>
  <c r="Q64" i="61"/>
  <c r="BW64" i="61" s="1"/>
  <c r="Q54" i="61"/>
  <c r="BW54" i="61" s="1"/>
  <c r="Q48" i="61"/>
  <c r="BW48" i="61" s="1"/>
  <c r="Q38" i="61"/>
  <c r="BW38" i="61" s="1"/>
  <c r="Q192" i="61"/>
  <c r="BW192" i="61" s="1"/>
  <c r="Q175" i="61"/>
  <c r="BW175" i="61" s="1"/>
  <c r="Q145" i="61"/>
  <c r="BW145" i="61" s="1"/>
  <c r="Q199" i="61"/>
  <c r="BW199" i="61" s="1"/>
  <c r="Q169" i="61"/>
  <c r="BW169" i="61" s="1"/>
  <c r="Q152" i="61"/>
  <c r="BW152" i="61" s="1"/>
  <c r="Q135" i="61"/>
  <c r="BW135" i="61" s="1"/>
  <c r="Q129" i="61"/>
  <c r="BW129" i="61" s="1"/>
  <c r="Q119" i="61"/>
  <c r="BW119" i="61" s="1"/>
  <c r="Q113" i="61"/>
  <c r="BW113" i="61" s="1"/>
  <c r="Q103" i="61"/>
  <c r="BW103" i="61" s="1"/>
  <c r="Q97" i="61"/>
  <c r="BW97" i="61" s="1"/>
  <c r="Q87" i="61"/>
  <c r="BW87" i="61" s="1"/>
  <c r="Q81" i="61"/>
  <c r="BW81" i="61" s="1"/>
  <c r="Q71" i="61"/>
  <c r="BW71" i="61" s="1"/>
  <c r="Q65" i="61"/>
  <c r="BW65" i="61" s="1"/>
  <c r="Q55" i="61"/>
  <c r="BW55" i="61" s="1"/>
  <c r="Q49" i="61"/>
  <c r="BW49" i="61" s="1"/>
  <c r="Q39" i="61"/>
  <c r="BW39" i="61" s="1"/>
  <c r="Q33" i="61"/>
  <c r="BW33" i="61" s="1"/>
  <c r="Q31" i="61"/>
  <c r="BW31" i="61" s="1"/>
  <c r="Q25" i="61"/>
  <c r="BW25" i="61" s="1"/>
  <c r="Q32" i="61"/>
  <c r="BW32" i="61" s="1"/>
  <c r="H140" i="67"/>
  <c r="H129" i="71"/>
  <c r="K141" i="67"/>
  <c r="K8" i="67"/>
  <c r="K184" i="67"/>
  <c r="K180" i="67"/>
  <c r="K171" i="67"/>
  <c r="K163" i="67"/>
  <c r="K162" i="67"/>
  <c r="K155" i="67"/>
  <c r="K147" i="67"/>
  <c r="K140" i="67"/>
  <c r="K132" i="67"/>
  <c r="K124" i="67"/>
  <c r="K116" i="67"/>
  <c r="K107" i="67"/>
  <c r="K94" i="67"/>
  <c r="K84" i="67"/>
  <c r="K70" i="67"/>
  <c r="K58" i="67"/>
  <c r="K42" i="67"/>
  <c r="K25" i="67"/>
  <c r="J189" i="67"/>
  <c r="J171" i="67"/>
  <c r="J156" i="67"/>
  <c r="J139" i="67"/>
  <c r="J116" i="67"/>
  <c r="J94" i="67"/>
  <c r="J77" i="67"/>
  <c r="J54" i="67"/>
  <c r="J31" i="67"/>
  <c r="J15" i="67"/>
  <c r="I180" i="67"/>
  <c r="I166" i="67"/>
  <c r="I146" i="67"/>
  <c r="I124" i="67"/>
  <c r="I101" i="67"/>
  <c r="I85" i="67"/>
  <c r="I62" i="67"/>
  <c r="I39" i="67"/>
  <c r="I23" i="67"/>
  <c r="H184" i="67"/>
  <c r="H191" i="67"/>
  <c r="H154" i="67"/>
  <c r="H132" i="67"/>
  <c r="H109" i="67"/>
  <c r="H92" i="67"/>
  <c r="H70" i="67"/>
  <c r="H47" i="67"/>
  <c r="H29" i="67"/>
  <c r="H192" i="71"/>
  <c r="K157" i="67"/>
  <c r="K142" i="67"/>
  <c r="K119" i="67"/>
  <c r="K87" i="67"/>
  <c r="K47" i="67"/>
  <c r="J180" i="67"/>
  <c r="J124" i="67"/>
  <c r="J85" i="67"/>
  <c r="J39" i="67"/>
  <c r="I154" i="67"/>
  <c r="I109" i="67"/>
  <c r="I47" i="67"/>
  <c r="H172" i="67"/>
  <c r="H117" i="67"/>
  <c r="H55" i="67"/>
  <c r="H36" i="67"/>
  <c r="H89" i="71"/>
  <c r="K10" i="71"/>
  <c r="K18" i="71"/>
  <c r="K26" i="71"/>
  <c r="K34" i="71"/>
  <c r="K42" i="71"/>
  <c r="K50" i="71"/>
  <c r="K58" i="71"/>
  <c r="K66" i="71"/>
  <c r="K74" i="71"/>
  <c r="K82" i="71"/>
  <c r="K90" i="71"/>
  <c r="K98" i="71"/>
  <c r="K106" i="71"/>
  <c r="K114" i="71"/>
  <c r="K122" i="71"/>
  <c r="K130" i="71"/>
  <c r="K138" i="71"/>
  <c r="K146" i="71"/>
  <c r="K154" i="71"/>
  <c r="K162" i="71"/>
  <c r="K170" i="71"/>
  <c r="K178" i="71"/>
  <c r="K186" i="71"/>
  <c r="K194" i="71"/>
  <c r="K202" i="71"/>
  <c r="J10" i="71"/>
  <c r="J18" i="71"/>
  <c r="J26" i="71"/>
  <c r="J34" i="71"/>
  <c r="J42" i="71"/>
  <c r="J50" i="71"/>
  <c r="J58" i="71"/>
  <c r="J66" i="71"/>
  <c r="J74" i="71"/>
  <c r="J82" i="71"/>
  <c r="J90" i="71"/>
  <c r="J98" i="71"/>
  <c r="J106" i="71"/>
  <c r="J114" i="71"/>
  <c r="J122" i="71"/>
  <c r="J130" i="71"/>
  <c r="J138" i="71"/>
  <c r="J146" i="71"/>
  <c r="J154" i="71"/>
  <c r="J170" i="71"/>
  <c r="J178" i="71"/>
  <c r="J186" i="71"/>
  <c r="J194" i="71"/>
  <c r="H10" i="71"/>
  <c r="H18" i="71"/>
  <c r="H26" i="71"/>
  <c r="H34" i="71"/>
  <c r="H42" i="71"/>
  <c r="H50" i="71"/>
  <c r="H58" i="71"/>
  <c r="H66" i="71"/>
  <c r="H74" i="71"/>
  <c r="H82" i="71"/>
  <c r="K11" i="71"/>
  <c r="K19" i="71"/>
  <c r="K27" i="71"/>
  <c r="K35" i="71"/>
  <c r="K43" i="71"/>
  <c r="K51" i="71"/>
  <c r="K59" i="71"/>
  <c r="K67" i="71"/>
  <c r="K75" i="71"/>
  <c r="K83" i="71"/>
  <c r="K91" i="71"/>
  <c r="K99" i="71"/>
  <c r="K107" i="71"/>
  <c r="K115" i="71"/>
  <c r="K123" i="71"/>
  <c r="K131" i="71"/>
  <c r="K139" i="71"/>
  <c r="K147" i="71"/>
  <c r="K155" i="71"/>
  <c r="K163" i="71"/>
  <c r="K171" i="71"/>
  <c r="K179" i="71"/>
  <c r="K187" i="71"/>
  <c r="K195" i="71"/>
  <c r="K203" i="71"/>
  <c r="J11" i="71"/>
  <c r="J19" i="71"/>
  <c r="J27" i="71"/>
  <c r="J35" i="71"/>
  <c r="J43" i="71"/>
  <c r="J51" i="71"/>
  <c r="J59" i="71"/>
  <c r="J67" i="71"/>
  <c r="J75" i="71"/>
  <c r="J83" i="71"/>
  <c r="J99" i="71"/>
  <c r="J107" i="71"/>
  <c r="J115" i="71"/>
  <c r="J123" i="71"/>
  <c r="J131" i="71"/>
  <c r="J139" i="71"/>
  <c r="J147" i="71"/>
  <c r="J155" i="71"/>
  <c r="J163" i="71"/>
  <c r="J171" i="71"/>
  <c r="J179" i="71"/>
  <c r="J187" i="71"/>
  <c r="J195" i="71"/>
  <c r="J203" i="71"/>
  <c r="H11" i="71"/>
  <c r="H19" i="71"/>
  <c r="H27" i="71"/>
  <c r="H35" i="71"/>
  <c r="H43" i="71"/>
  <c r="H51" i="71"/>
  <c r="H59" i="71"/>
  <c r="H67" i="71"/>
  <c r="H75" i="71"/>
  <c r="H83" i="71"/>
  <c r="K12" i="71"/>
  <c r="K20" i="71"/>
  <c r="K28" i="71"/>
  <c r="K36" i="71"/>
  <c r="K44" i="71"/>
  <c r="K52" i="71"/>
  <c r="K60" i="71"/>
  <c r="K68" i="71"/>
  <c r="K76" i="71"/>
  <c r="K84" i="71"/>
  <c r="K92" i="71"/>
  <c r="K100" i="71"/>
  <c r="K108" i="71"/>
  <c r="K116" i="71"/>
  <c r="K124" i="71"/>
  <c r="K132" i="71"/>
  <c r="K140" i="71"/>
  <c r="K148" i="71"/>
  <c r="K156" i="71"/>
  <c r="K164" i="71"/>
  <c r="K172" i="71"/>
  <c r="K180" i="71"/>
  <c r="K188" i="71"/>
  <c r="K196" i="71"/>
  <c r="K204" i="71"/>
  <c r="J12" i="71"/>
  <c r="J20" i="71"/>
  <c r="J28" i="71"/>
  <c r="J36" i="71"/>
  <c r="J44" i="71"/>
  <c r="J52" i="71"/>
  <c r="J60" i="71"/>
  <c r="J68" i="71"/>
  <c r="J76" i="71"/>
  <c r="J84" i="71"/>
  <c r="J92" i="71"/>
  <c r="J100" i="71"/>
  <c r="J108" i="71"/>
  <c r="J116" i="71"/>
  <c r="J124" i="71"/>
  <c r="J132" i="71"/>
  <c r="J140" i="71"/>
  <c r="J148" i="71"/>
  <c r="J156" i="71"/>
  <c r="J164" i="71"/>
  <c r="J172" i="71"/>
  <c r="J180" i="71"/>
  <c r="J188" i="71"/>
  <c r="J196" i="71"/>
  <c r="H12" i="71"/>
  <c r="H20" i="71"/>
  <c r="H28" i="71"/>
  <c r="H36" i="71"/>
  <c r="H44" i="71"/>
  <c r="H52" i="71"/>
  <c r="H60" i="71"/>
  <c r="H68" i="71"/>
  <c r="H76" i="71"/>
  <c r="H84" i="71"/>
  <c r="K13" i="71"/>
  <c r="K21" i="71"/>
  <c r="K29" i="71"/>
  <c r="K37" i="71"/>
  <c r="K45" i="71"/>
  <c r="K53" i="71"/>
  <c r="K61" i="71"/>
  <c r="K69" i="71"/>
  <c r="K77" i="71"/>
  <c r="K85" i="71"/>
  <c r="K93" i="71"/>
  <c r="K101" i="71"/>
  <c r="K109" i="71"/>
  <c r="K117" i="71"/>
  <c r="K125" i="71"/>
  <c r="K133" i="71"/>
  <c r="K141" i="71"/>
  <c r="K149" i="71"/>
  <c r="K157" i="71"/>
  <c r="K165" i="71"/>
  <c r="K173" i="71"/>
  <c r="K181" i="71"/>
  <c r="K189" i="71"/>
  <c r="K197" i="71"/>
  <c r="K205" i="71"/>
  <c r="J13" i="71"/>
  <c r="J21" i="71"/>
  <c r="J29" i="71"/>
  <c r="J37" i="71"/>
  <c r="J45" i="71"/>
  <c r="J53" i="71"/>
  <c r="J61" i="71"/>
  <c r="J69" i="71"/>
  <c r="J77" i="71"/>
  <c r="J85" i="71"/>
  <c r="J93" i="71"/>
  <c r="J101" i="71"/>
  <c r="J109" i="71"/>
  <c r="J117" i="71"/>
  <c r="J125" i="71"/>
  <c r="J133" i="71"/>
  <c r="J141" i="71"/>
  <c r="J149" i="71"/>
  <c r="J157" i="71"/>
  <c r="J165" i="71"/>
  <c r="J181" i="71"/>
  <c r="J189" i="71"/>
  <c r="H13" i="71"/>
  <c r="H21" i="71"/>
  <c r="H29" i="71"/>
  <c r="H37" i="71"/>
  <c r="H45" i="71"/>
  <c r="H53" i="71"/>
  <c r="H61" i="71"/>
  <c r="H69" i="71"/>
  <c r="H77" i="71"/>
  <c r="H85" i="71"/>
  <c r="K14" i="71"/>
  <c r="K22" i="71"/>
  <c r="K30" i="71"/>
  <c r="K38" i="71"/>
  <c r="K46" i="71"/>
  <c r="K54" i="71"/>
  <c r="K62" i="71"/>
  <c r="K70" i="71"/>
  <c r="K78" i="71"/>
  <c r="K86" i="71"/>
  <c r="K94" i="71"/>
  <c r="K102" i="71"/>
  <c r="K110" i="71"/>
  <c r="K118" i="71"/>
  <c r="K126" i="71"/>
  <c r="K134" i="71"/>
  <c r="K142" i="71"/>
  <c r="K150" i="71"/>
  <c r="K158" i="71"/>
  <c r="K166" i="71"/>
  <c r="K174" i="71"/>
  <c r="K182" i="71"/>
  <c r="K190" i="71"/>
  <c r="K198" i="71"/>
  <c r="K206" i="71"/>
  <c r="J14" i="71"/>
  <c r="J22" i="71"/>
  <c r="J38" i="71"/>
  <c r="J46" i="71"/>
  <c r="J54" i="71"/>
  <c r="J62" i="71"/>
  <c r="J70" i="71"/>
  <c r="J78" i="71"/>
  <c r="J86" i="71"/>
  <c r="J94" i="71"/>
  <c r="J102" i="71"/>
  <c r="J110" i="71"/>
  <c r="J118" i="71"/>
  <c r="J126" i="71"/>
  <c r="J134" i="71"/>
  <c r="J142" i="71"/>
  <c r="J150" i="71"/>
  <c r="J158" i="71"/>
  <c r="J166" i="71"/>
  <c r="J174" i="71"/>
  <c r="J182" i="71"/>
  <c r="J206" i="71"/>
  <c r="H14" i="71"/>
  <c r="H22" i="71"/>
  <c r="H38" i="71"/>
  <c r="H46" i="71"/>
  <c r="H54" i="71"/>
  <c r="H62" i="71"/>
  <c r="H70" i="71"/>
  <c r="H78" i="71"/>
  <c r="H86" i="71"/>
  <c r="K15" i="71"/>
  <c r="K23" i="71"/>
  <c r="K31" i="71"/>
  <c r="K39" i="71"/>
  <c r="K47" i="71"/>
  <c r="K55" i="71"/>
  <c r="K63" i="71"/>
  <c r="K71" i="71"/>
  <c r="K79" i="71"/>
  <c r="K87" i="71"/>
  <c r="K95" i="71"/>
  <c r="K103" i="71"/>
  <c r="K111" i="71"/>
  <c r="K119" i="71"/>
  <c r="K127" i="71"/>
  <c r="K135" i="71"/>
  <c r="K143" i="71"/>
  <c r="K151" i="71"/>
  <c r="K159" i="71"/>
  <c r="K167" i="71"/>
  <c r="K175" i="71"/>
  <c r="K183" i="71"/>
  <c r="K191" i="71"/>
  <c r="K199" i="71"/>
  <c r="K207" i="71"/>
  <c r="J15" i="71"/>
  <c r="J23" i="71"/>
  <c r="J39" i="71"/>
  <c r="J47" i="71"/>
  <c r="J55" i="71"/>
  <c r="J63" i="71"/>
  <c r="J71" i="71"/>
  <c r="J79" i="71"/>
  <c r="J87" i="71"/>
  <c r="J95" i="71"/>
  <c r="J103" i="71"/>
  <c r="J111" i="71"/>
  <c r="J119" i="71"/>
  <c r="J127" i="71"/>
  <c r="J135" i="71"/>
  <c r="J143" i="71"/>
  <c r="J151" i="71"/>
  <c r="J159" i="71"/>
  <c r="J167" i="71"/>
  <c r="J175" i="71"/>
  <c r="J183" i="71"/>
  <c r="J191" i="71"/>
  <c r="J207" i="71"/>
  <c r="H15" i="71"/>
  <c r="H23" i="71"/>
  <c r="H39" i="71"/>
  <c r="H47" i="71"/>
  <c r="H55" i="71"/>
  <c r="H63" i="71"/>
  <c r="H71" i="71"/>
  <c r="H79" i="71"/>
  <c r="H87" i="71"/>
  <c r="K16" i="71"/>
  <c r="K24" i="71"/>
  <c r="K32" i="71"/>
  <c r="K40" i="71"/>
  <c r="K48" i="71"/>
  <c r="K56" i="71"/>
  <c r="K64" i="71"/>
  <c r="K72" i="71"/>
  <c r="K80" i="71"/>
  <c r="K88" i="71"/>
  <c r="K96" i="71"/>
  <c r="K104" i="71"/>
  <c r="K112" i="71"/>
  <c r="K120" i="71"/>
  <c r="K128" i="71"/>
  <c r="K136" i="71"/>
  <c r="K144" i="71"/>
  <c r="K152" i="71"/>
  <c r="K160" i="71"/>
  <c r="K168" i="71"/>
  <c r="K176" i="71"/>
  <c r="K184" i="71"/>
  <c r="K192" i="71"/>
  <c r="K200" i="71"/>
  <c r="K8" i="71"/>
  <c r="J16" i="71"/>
  <c r="J24" i="71"/>
  <c r="J32" i="71"/>
  <c r="J40" i="71"/>
  <c r="J48" i="71"/>
  <c r="J56" i="71"/>
  <c r="J64" i="71"/>
  <c r="J72" i="71"/>
  <c r="J80" i="71"/>
  <c r="J88" i="71"/>
  <c r="J96" i="71"/>
  <c r="J104" i="71"/>
  <c r="J112" i="71"/>
  <c r="J120" i="71"/>
  <c r="J128" i="71"/>
  <c r="J136" i="71"/>
  <c r="J144" i="71"/>
  <c r="J152" i="71"/>
  <c r="J160" i="71"/>
  <c r="J168" i="71"/>
  <c r="J176" i="71"/>
  <c r="J184" i="71"/>
  <c r="J192" i="71"/>
  <c r="J200" i="71"/>
  <c r="J8" i="71"/>
  <c r="H16" i="71"/>
  <c r="H24" i="71"/>
  <c r="H32" i="71"/>
  <c r="H40" i="71"/>
  <c r="H48" i="71"/>
  <c r="H56" i="71"/>
  <c r="H64" i="71"/>
  <c r="H72" i="71"/>
  <c r="H80" i="71"/>
  <c r="H88" i="71"/>
  <c r="K9" i="71"/>
  <c r="K17" i="71"/>
  <c r="K25" i="71"/>
  <c r="K33" i="71"/>
  <c r="K41" i="71"/>
  <c r="K49" i="71"/>
  <c r="K57" i="71"/>
  <c r="K65" i="71"/>
  <c r="K73" i="71"/>
  <c r="K81" i="71"/>
  <c r="K89" i="71"/>
  <c r="K97" i="71"/>
  <c r="K105" i="71"/>
  <c r="K113" i="71"/>
  <c r="K121" i="71"/>
  <c r="K129" i="71"/>
  <c r="K137" i="71"/>
  <c r="K145" i="71"/>
  <c r="K153" i="71"/>
  <c r="K161" i="71"/>
  <c r="K169" i="71"/>
  <c r="K177" i="71"/>
  <c r="K185" i="71"/>
  <c r="K193" i="71"/>
  <c r="K201" i="71"/>
  <c r="J9" i="71"/>
  <c r="J17" i="71"/>
  <c r="J25" i="71"/>
  <c r="J33" i="71"/>
  <c r="J41" i="71"/>
  <c r="J49" i="71"/>
  <c r="J57" i="71"/>
  <c r="J65" i="71"/>
  <c r="J73" i="71"/>
  <c r="J81" i="71"/>
  <c r="J89" i="71"/>
  <c r="J97" i="71"/>
  <c r="J105" i="71"/>
  <c r="J113" i="71"/>
  <c r="J121" i="71"/>
  <c r="J129" i="71"/>
  <c r="J137" i="71"/>
  <c r="J145" i="71"/>
  <c r="J153" i="71"/>
  <c r="J161" i="71"/>
  <c r="J169" i="71"/>
  <c r="J177" i="71"/>
  <c r="J185" i="71"/>
  <c r="J193" i="71"/>
  <c r="J201" i="71"/>
  <c r="H9" i="71"/>
  <c r="H17" i="71"/>
  <c r="H25" i="71"/>
  <c r="H33" i="71"/>
  <c r="H41" i="71"/>
  <c r="H49" i="71"/>
  <c r="H57" i="71"/>
  <c r="H65" i="71"/>
  <c r="H73" i="71"/>
  <c r="H81" i="71"/>
  <c r="H90" i="71"/>
  <c r="H98" i="71"/>
  <c r="H106" i="71"/>
  <c r="H114" i="71"/>
  <c r="H122" i="71"/>
  <c r="H130" i="71"/>
  <c r="H138" i="71"/>
  <c r="H146" i="71"/>
  <c r="H154" i="71"/>
  <c r="H170" i="71"/>
  <c r="H178" i="71"/>
  <c r="H186" i="71"/>
  <c r="H194" i="71"/>
  <c r="H10" i="67"/>
  <c r="H18" i="67"/>
  <c r="H26" i="67"/>
  <c r="H32" i="67"/>
  <c r="H40" i="67"/>
  <c r="H99" i="71"/>
  <c r="H107" i="71"/>
  <c r="H115" i="71"/>
  <c r="H123" i="71"/>
  <c r="H131" i="71"/>
  <c r="H139" i="71"/>
  <c r="H147" i="71"/>
  <c r="H155" i="71"/>
  <c r="H163" i="71"/>
  <c r="H171" i="71"/>
  <c r="H179" i="71"/>
  <c r="H187" i="71"/>
  <c r="H195" i="71"/>
  <c r="H203" i="71"/>
  <c r="H92" i="71"/>
  <c r="H100" i="71"/>
  <c r="H108" i="71"/>
  <c r="H116" i="71"/>
  <c r="H124" i="71"/>
  <c r="H132" i="71"/>
  <c r="H140" i="71"/>
  <c r="H148" i="71"/>
  <c r="H156" i="71"/>
  <c r="H164" i="71"/>
  <c r="H172" i="71"/>
  <c r="H180" i="71"/>
  <c r="H188" i="71"/>
  <c r="H196" i="71"/>
  <c r="H93" i="71"/>
  <c r="H101" i="71"/>
  <c r="H109" i="71"/>
  <c r="H117" i="71"/>
  <c r="H125" i="71"/>
  <c r="H133" i="71"/>
  <c r="H141" i="71"/>
  <c r="H149" i="71"/>
  <c r="H157" i="71"/>
  <c r="H165" i="71"/>
  <c r="H181" i="71"/>
  <c r="H189" i="71"/>
  <c r="H94" i="71"/>
  <c r="H102" i="71"/>
  <c r="H110" i="71"/>
  <c r="H118" i="71"/>
  <c r="H126" i="71"/>
  <c r="H134" i="71"/>
  <c r="H142" i="71"/>
  <c r="H150" i="71"/>
  <c r="H158" i="71"/>
  <c r="H166" i="71"/>
  <c r="H174" i="71"/>
  <c r="H182" i="71"/>
  <c r="H206" i="71"/>
  <c r="H95" i="71"/>
  <c r="H113" i="71"/>
  <c r="H136" i="71"/>
  <c r="H159" i="71"/>
  <c r="H177" i="71"/>
  <c r="H200" i="71"/>
  <c r="H14" i="67"/>
  <c r="H23" i="67"/>
  <c r="H30" i="67"/>
  <c r="H39" i="67"/>
  <c r="H48" i="67"/>
  <c r="H56" i="67"/>
  <c r="H64" i="67"/>
  <c r="H72" i="67"/>
  <c r="H80" i="67"/>
  <c r="H88" i="67"/>
  <c r="H95" i="67"/>
  <c r="H102" i="67"/>
  <c r="H110" i="67"/>
  <c r="H118" i="67"/>
  <c r="H126" i="67"/>
  <c r="H134" i="67"/>
  <c r="H141" i="67"/>
  <c r="H149" i="67"/>
  <c r="H167" i="67"/>
  <c r="H164" i="67"/>
  <c r="H173" i="67"/>
  <c r="H182" i="67"/>
  <c r="I10" i="67"/>
  <c r="I18" i="67"/>
  <c r="I26" i="67"/>
  <c r="I32" i="67"/>
  <c r="I40" i="67"/>
  <c r="I48" i="67"/>
  <c r="I56" i="67"/>
  <c r="I64" i="67"/>
  <c r="I72" i="67"/>
  <c r="I80" i="67"/>
  <c r="I88" i="67"/>
  <c r="I95" i="67"/>
  <c r="I102" i="67"/>
  <c r="I110" i="67"/>
  <c r="I118" i="67"/>
  <c r="I126" i="67"/>
  <c r="I134" i="67"/>
  <c r="I141" i="67"/>
  <c r="I149" i="67"/>
  <c r="I167" i="67"/>
  <c r="I164" i="67"/>
  <c r="I173" i="67"/>
  <c r="I182" i="67"/>
  <c r="J10" i="67"/>
  <c r="J18" i="67"/>
  <c r="J26" i="67"/>
  <c r="J32" i="67"/>
  <c r="J40" i="67"/>
  <c r="J48" i="67"/>
  <c r="J56" i="67"/>
  <c r="J64" i="67"/>
  <c r="J72" i="67"/>
  <c r="J80" i="67"/>
  <c r="J88" i="67"/>
  <c r="J95" i="67"/>
  <c r="J102" i="67"/>
  <c r="J110" i="67"/>
  <c r="J118" i="67"/>
  <c r="J126" i="67"/>
  <c r="J134" i="67"/>
  <c r="J141" i="67"/>
  <c r="J149" i="67"/>
  <c r="J196" i="67"/>
  <c r="CO196" i="67" s="1"/>
  <c r="J167" i="67"/>
  <c r="J164" i="67"/>
  <c r="J173" i="67"/>
  <c r="J182" i="67"/>
  <c r="J202" i="67"/>
  <c r="CO202" i="67" s="1"/>
  <c r="K10" i="67"/>
  <c r="K18" i="67"/>
  <c r="K26" i="67"/>
  <c r="K32" i="67"/>
  <c r="K40" i="67"/>
  <c r="K48" i="67"/>
  <c r="K56" i="67"/>
  <c r="K64" i="67"/>
  <c r="K72" i="67"/>
  <c r="K80" i="67"/>
  <c r="K88" i="67"/>
  <c r="K95" i="67"/>
  <c r="K102" i="67"/>
  <c r="K110" i="67"/>
  <c r="H96" i="71"/>
  <c r="H119" i="71"/>
  <c r="H137" i="71"/>
  <c r="H160" i="71"/>
  <c r="H183" i="71"/>
  <c r="H201" i="71"/>
  <c r="H15" i="67"/>
  <c r="H24" i="67"/>
  <c r="H31" i="67"/>
  <c r="H41" i="67"/>
  <c r="H49" i="67"/>
  <c r="H57" i="67"/>
  <c r="H65" i="67"/>
  <c r="H73" i="67"/>
  <c r="H81" i="67"/>
  <c r="H96" i="67"/>
  <c r="H103" i="67"/>
  <c r="H111" i="67"/>
  <c r="H119" i="67"/>
  <c r="H127" i="67"/>
  <c r="H135" i="67"/>
  <c r="H142" i="67"/>
  <c r="H150" i="67"/>
  <c r="H157" i="67"/>
  <c r="H175" i="67"/>
  <c r="H165" i="67"/>
  <c r="H174" i="67"/>
  <c r="H193" i="67"/>
  <c r="M193" i="67" s="1"/>
  <c r="H186" i="67"/>
  <c r="I11" i="67"/>
  <c r="I19" i="67"/>
  <c r="I27" i="67"/>
  <c r="I33" i="67"/>
  <c r="I41" i="67"/>
  <c r="I49" i="67"/>
  <c r="I57" i="67"/>
  <c r="I65" i="67"/>
  <c r="I73" i="67"/>
  <c r="I81" i="67"/>
  <c r="I96" i="67"/>
  <c r="I103" i="67"/>
  <c r="I111" i="67"/>
  <c r="I119" i="67"/>
  <c r="I127" i="67"/>
  <c r="I135" i="67"/>
  <c r="I142" i="67"/>
  <c r="I150" i="67"/>
  <c r="I157" i="67"/>
  <c r="I175" i="67"/>
  <c r="I165" i="67"/>
  <c r="I174" i="67"/>
  <c r="I193" i="67"/>
  <c r="I186" i="67"/>
  <c r="J11" i="67"/>
  <c r="J19" i="67"/>
  <c r="J27" i="67"/>
  <c r="J33" i="67"/>
  <c r="J41" i="67"/>
  <c r="J49" i="67"/>
  <c r="J57" i="67"/>
  <c r="J65" i="67"/>
  <c r="J73" i="67"/>
  <c r="J81" i="67"/>
  <c r="J207" i="67"/>
  <c r="AK207" i="67" s="1"/>
  <c r="J96" i="67"/>
  <c r="J103" i="67"/>
  <c r="J111" i="67"/>
  <c r="J119" i="67"/>
  <c r="J127" i="67"/>
  <c r="J135" i="67"/>
  <c r="J142" i="67"/>
  <c r="J150" i="67"/>
  <c r="J157" i="67"/>
  <c r="J175" i="67"/>
  <c r="J165" i="67"/>
  <c r="J174" i="67"/>
  <c r="J193" i="67"/>
  <c r="J186" i="67"/>
  <c r="K11" i="67"/>
  <c r="K19" i="67"/>
  <c r="K27" i="67"/>
  <c r="K33" i="67"/>
  <c r="K41" i="67"/>
  <c r="K49" i="67"/>
  <c r="K57" i="67"/>
  <c r="K65" i="67"/>
  <c r="K73" i="67"/>
  <c r="K81" i="67"/>
  <c r="K96" i="67"/>
  <c r="K103" i="67"/>
  <c r="H97" i="71"/>
  <c r="H120" i="71"/>
  <c r="H143" i="71"/>
  <c r="H161" i="71"/>
  <c r="H184" i="71"/>
  <c r="H207" i="71"/>
  <c r="H16" i="67"/>
  <c r="H25" i="67"/>
  <c r="H33" i="67"/>
  <c r="H42" i="67"/>
  <c r="H50" i="67"/>
  <c r="H58" i="67"/>
  <c r="H66" i="67"/>
  <c r="H74" i="67"/>
  <c r="H82" i="67"/>
  <c r="H89" i="67"/>
  <c r="H194" i="67"/>
  <c r="H104" i="67"/>
  <c r="H112" i="67"/>
  <c r="H120" i="67"/>
  <c r="H128" i="67"/>
  <c r="H136" i="67"/>
  <c r="H143" i="67"/>
  <c r="H151" i="67"/>
  <c r="H158" i="67"/>
  <c r="H176" i="67"/>
  <c r="H168" i="67"/>
  <c r="H177" i="67"/>
  <c r="H183" i="67"/>
  <c r="I12" i="67"/>
  <c r="I20" i="67"/>
  <c r="I28" i="67"/>
  <c r="I34" i="67"/>
  <c r="I42" i="67"/>
  <c r="I50" i="67"/>
  <c r="I58" i="67"/>
  <c r="I66" i="67"/>
  <c r="I74" i="67"/>
  <c r="I82" i="67"/>
  <c r="I89" i="67"/>
  <c r="I194" i="67"/>
  <c r="I104" i="67"/>
  <c r="I112" i="67"/>
  <c r="I120" i="67"/>
  <c r="I128" i="67"/>
  <c r="I136" i="67"/>
  <c r="I143" i="67"/>
  <c r="I151" i="67"/>
  <c r="I158" i="67"/>
  <c r="I176" i="67"/>
  <c r="I168" i="67"/>
  <c r="I177" i="67"/>
  <c r="I183" i="67"/>
  <c r="J12" i="67"/>
  <c r="J20" i="67"/>
  <c r="J28" i="67"/>
  <c r="J34" i="67"/>
  <c r="J42" i="67"/>
  <c r="J50" i="67"/>
  <c r="J58" i="67"/>
  <c r="J66" i="67"/>
  <c r="J74" i="67"/>
  <c r="J82" i="67"/>
  <c r="J89" i="67"/>
  <c r="J194" i="67"/>
  <c r="J104" i="67"/>
  <c r="J112" i="67"/>
  <c r="J120" i="67"/>
  <c r="J128" i="67"/>
  <c r="J136" i="67"/>
  <c r="J143" i="67"/>
  <c r="J151" i="67"/>
  <c r="J158" i="67"/>
  <c r="J176" i="67"/>
  <c r="J168" i="67"/>
  <c r="J177" i="67"/>
  <c r="J183" i="67"/>
  <c r="J203" i="67"/>
  <c r="CO203" i="67" s="1"/>
  <c r="K12" i="67"/>
  <c r="K20" i="67"/>
  <c r="K28" i="67"/>
  <c r="H103" i="71"/>
  <c r="H121" i="71"/>
  <c r="H144" i="71"/>
  <c r="H167" i="71"/>
  <c r="H185" i="71"/>
  <c r="H8" i="71"/>
  <c r="H17" i="67"/>
  <c r="H27" i="67"/>
  <c r="H34" i="67"/>
  <c r="H43" i="67"/>
  <c r="H51" i="67"/>
  <c r="H59" i="67"/>
  <c r="H67" i="67"/>
  <c r="H75" i="67"/>
  <c r="H83" i="67"/>
  <c r="H90" i="67"/>
  <c r="H97" i="67"/>
  <c r="H105" i="67"/>
  <c r="H113" i="67"/>
  <c r="H121" i="67"/>
  <c r="H129" i="67"/>
  <c r="H137" i="67"/>
  <c r="H144" i="67"/>
  <c r="H152" i="67"/>
  <c r="H159" i="67"/>
  <c r="H192" i="67"/>
  <c r="H178" i="67"/>
  <c r="I13" i="67"/>
  <c r="I21" i="67"/>
  <c r="I29" i="67"/>
  <c r="I35" i="67"/>
  <c r="I43" i="67"/>
  <c r="I51" i="67"/>
  <c r="I59" i="67"/>
  <c r="I67" i="67"/>
  <c r="I75" i="67"/>
  <c r="I83" i="67"/>
  <c r="I90" i="67"/>
  <c r="I97" i="67"/>
  <c r="I105" i="67"/>
  <c r="I113" i="67"/>
  <c r="I121" i="67"/>
  <c r="I129" i="67"/>
  <c r="I137" i="67"/>
  <c r="I144" i="67"/>
  <c r="I152" i="67"/>
  <c r="I159" i="67"/>
  <c r="I192" i="67"/>
  <c r="I178" i="67"/>
  <c r="J13" i="67"/>
  <c r="J21" i="67"/>
  <c r="J29" i="67"/>
  <c r="J35" i="67"/>
  <c r="J43" i="67"/>
  <c r="J51" i="67"/>
  <c r="J59" i="67"/>
  <c r="J67" i="67"/>
  <c r="J75" i="67"/>
  <c r="J83" i="67"/>
  <c r="J90" i="67"/>
  <c r="J97" i="67"/>
  <c r="J105" i="67"/>
  <c r="J113" i="67"/>
  <c r="J121" i="67"/>
  <c r="J129" i="67"/>
  <c r="J137" i="67"/>
  <c r="J144" i="67"/>
  <c r="J152" i="67"/>
  <c r="J159" i="67"/>
  <c r="J198" i="67"/>
  <c r="CO198" i="67" s="1"/>
  <c r="J192" i="67"/>
  <c r="J178" i="67"/>
  <c r="J199" i="67"/>
  <c r="CO199" i="67" s="1"/>
  <c r="J206" i="67"/>
  <c r="AK206" i="67" s="1"/>
  <c r="K13" i="67"/>
  <c r="K21" i="67"/>
  <c r="K29" i="67"/>
  <c r="K35" i="67"/>
  <c r="K43" i="67"/>
  <c r="K51" i="67"/>
  <c r="K59" i="67"/>
  <c r="K67" i="67"/>
  <c r="K75" i="67"/>
  <c r="K83" i="67"/>
  <c r="K90" i="67"/>
  <c r="K97" i="67"/>
  <c r="K105" i="67"/>
  <c r="H104" i="71"/>
  <c r="H127" i="71"/>
  <c r="H168" i="71"/>
  <c r="H191" i="71"/>
  <c r="H9" i="67"/>
  <c r="H19" i="67"/>
  <c r="H28" i="67"/>
  <c r="H35" i="67"/>
  <c r="H44" i="67"/>
  <c r="H52" i="67"/>
  <c r="H60" i="67"/>
  <c r="H68" i="67"/>
  <c r="H76" i="67"/>
  <c r="H84" i="67"/>
  <c r="H91" i="67"/>
  <c r="H98" i="67"/>
  <c r="H106" i="67"/>
  <c r="H114" i="67"/>
  <c r="H122" i="67"/>
  <c r="H130" i="67"/>
  <c r="H138" i="67"/>
  <c r="H145" i="67"/>
  <c r="H153" i="67"/>
  <c r="H160" i="67"/>
  <c r="H187" i="67"/>
  <c r="H169" i="67"/>
  <c r="H188" i="67"/>
  <c r="I14" i="67"/>
  <c r="I22" i="67"/>
  <c r="I36" i="67"/>
  <c r="I44" i="67"/>
  <c r="I52" i="67"/>
  <c r="I60" i="67"/>
  <c r="I68" i="67"/>
  <c r="I76" i="67"/>
  <c r="I84" i="67"/>
  <c r="I91" i="67"/>
  <c r="I98" i="67"/>
  <c r="I106" i="67"/>
  <c r="I114" i="67"/>
  <c r="I122" i="67"/>
  <c r="I130" i="67"/>
  <c r="I138" i="67"/>
  <c r="I145" i="67"/>
  <c r="I153" i="67"/>
  <c r="I160" i="67"/>
  <c r="I187" i="67"/>
  <c r="I169" i="67"/>
  <c r="I188" i="67"/>
  <c r="J14" i="67"/>
  <c r="J22" i="67"/>
  <c r="J204" i="67"/>
  <c r="BM204" i="67" s="1"/>
  <c r="J36" i="67"/>
  <c r="J44" i="67"/>
  <c r="J52" i="67"/>
  <c r="J60" i="67"/>
  <c r="J68" i="67"/>
  <c r="J76" i="67"/>
  <c r="J84" i="67"/>
  <c r="J91" i="67"/>
  <c r="J98" i="67"/>
  <c r="J106" i="67"/>
  <c r="J114" i="67"/>
  <c r="J122" i="67"/>
  <c r="J130" i="67"/>
  <c r="J138" i="67"/>
  <c r="J145" i="67"/>
  <c r="J153" i="67"/>
  <c r="J160" i="67"/>
  <c r="J187" i="67"/>
  <c r="J169" i="67"/>
  <c r="J197" i="67"/>
  <c r="CO197" i="67" s="1"/>
  <c r="J200" i="67"/>
  <c r="CO200" i="67" s="1"/>
  <c r="J188" i="67"/>
  <c r="K14" i="67"/>
  <c r="K22" i="67"/>
  <c r="K36" i="67"/>
  <c r="K44" i="67"/>
  <c r="K52" i="67"/>
  <c r="K182" i="67"/>
  <c r="K134" i="67"/>
  <c r="K98" i="67"/>
  <c r="K46" i="67"/>
  <c r="J162" i="67"/>
  <c r="J61" i="67"/>
  <c r="I163" i="67"/>
  <c r="I87" i="67"/>
  <c r="I25" i="67"/>
  <c r="H139" i="67"/>
  <c r="H94" i="67"/>
  <c r="H11" i="67"/>
  <c r="H151" i="71"/>
  <c r="K181" i="67"/>
  <c r="K156" i="67"/>
  <c r="K125" i="67"/>
  <c r="K85" i="67"/>
  <c r="K45" i="67"/>
  <c r="J161" i="67"/>
  <c r="J78" i="67"/>
  <c r="I190" i="67"/>
  <c r="I86" i="67"/>
  <c r="H185" i="67"/>
  <c r="H155" i="67"/>
  <c r="H93" i="67"/>
  <c r="H193" i="71"/>
  <c r="K189" i="67"/>
  <c r="K179" i="67"/>
  <c r="K170" i="67"/>
  <c r="K190" i="67"/>
  <c r="K161" i="67"/>
  <c r="K154" i="67"/>
  <c r="K146" i="67"/>
  <c r="K139" i="67"/>
  <c r="K131" i="67"/>
  <c r="K123" i="67"/>
  <c r="K115" i="67"/>
  <c r="K106" i="67"/>
  <c r="K93" i="67"/>
  <c r="K82" i="67"/>
  <c r="K69" i="67"/>
  <c r="K55" i="67"/>
  <c r="K39" i="67"/>
  <c r="K24" i="67"/>
  <c r="J185" i="67"/>
  <c r="J170" i="67"/>
  <c r="J155" i="67"/>
  <c r="J133" i="67"/>
  <c r="J115" i="67"/>
  <c r="J93" i="67"/>
  <c r="J71" i="67"/>
  <c r="J53" i="67"/>
  <c r="J30" i="67"/>
  <c r="J9" i="67"/>
  <c r="I179" i="67"/>
  <c r="I162" i="67"/>
  <c r="I195" i="67"/>
  <c r="CN195" i="67" s="1"/>
  <c r="I123" i="67"/>
  <c r="I100" i="67"/>
  <c r="I79" i="67"/>
  <c r="I61" i="67"/>
  <c r="I38" i="67"/>
  <c r="I17" i="67"/>
  <c r="H163" i="67"/>
  <c r="H148" i="67"/>
  <c r="H131" i="67"/>
  <c r="H108" i="67"/>
  <c r="H87" i="67"/>
  <c r="H69" i="67"/>
  <c r="H46" i="67"/>
  <c r="H22" i="67"/>
  <c r="H176" i="71"/>
  <c r="H128" i="71"/>
  <c r="K173" i="67"/>
  <c r="K126" i="67"/>
  <c r="K86" i="67"/>
  <c r="K30" i="67"/>
  <c r="J195" i="67"/>
  <c r="CO195" i="67" s="1"/>
  <c r="J79" i="67"/>
  <c r="I131" i="67"/>
  <c r="I69" i="67"/>
  <c r="H171" i="67"/>
  <c r="H77" i="67"/>
  <c r="K172" i="67"/>
  <c r="K148" i="67"/>
  <c r="K117" i="67"/>
  <c r="K71" i="67"/>
  <c r="J140" i="67"/>
  <c r="J37" i="67"/>
  <c r="I147" i="67"/>
  <c r="I63" i="67"/>
  <c r="H170" i="67"/>
  <c r="H71" i="67"/>
  <c r="K188" i="67"/>
  <c r="K169" i="67"/>
  <c r="K187" i="67"/>
  <c r="K160" i="67"/>
  <c r="K153" i="67"/>
  <c r="K145" i="67"/>
  <c r="K138" i="67"/>
  <c r="K130" i="67"/>
  <c r="K122" i="67"/>
  <c r="K114" i="67"/>
  <c r="K104" i="67"/>
  <c r="K92" i="67"/>
  <c r="K79" i="67"/>
  <c r="K68" i="67"/>
  <c r="K54" i="67"/>
  <c r="K38" i="67"/>
  <c r="K23" i="67"/>
  <c r="J184" i="67"/>
  <c r="J191" i="67"/>
  <c r="J154" i="67"/>
  <c r="J132" i="67"/>
  <c r="J109" i="67"/>
  <c r="J92" i="67"/>
  <c r="J70" i="67"/>
  <c r="J47" i="67"/>
  <c r="J205" i="67"/>
  <c r="BM205" i="67" s="1"/>
  <c r="I8" i="67"/>
  <c r="I172" i="67"/>
  <c r="I161" i="67"/>
  <c r="I140" i="67"/>
  <c r="I117" i="67"/>
  <c r="I99" i="67"/>
  <c r="I78" i="67"/>
  <c r="I55" i="67"/>
  <c r="I37" i="67"/>
  <c r="I16" i="67"/>
  <c r="H181" i="67"/>
  <c r="H190" i="67"/>
  <c r="H147" i="67"/>
  <c r="H125" i="67"/>
  <c r="H107" i="67"/>
  <c r="H86" i="67"/>
  <c r="H63" i="67"/>
  <c r="H45" i="67"/>
  <c r="H21" i="67"/>
  <c r="H175" i="71"/>
  <c r="H112" i="71"/>
  <c r="K193" i="67"/>
  <c r="K175" i="67"/>
  <c r="K135" i="67"/>
  <c r="K111" i="67"/>
  <c r="K76" i="67"/>
  <c r="K31" i="67"/>
  <c r="J166" i="67"/>
  <c r="J101" i="67"/>
  <c r="J23" i="67"/>
  <c r="I191" i="67"/>
  <c r="I92" i="67"/>
  <c r="I70" i="67"/>
  <c r="H8" i="67"/>
  <c r="H161" i="67"/>
  <c r="H99" i="67"/>
  <c r="H78" i="67"/>
  <c r="H12" i="67"/>
  <c r="H152" i="71"/>
  <c r="K167" i="67"/>
  <c r="K118" i="67"/>
  <c r="K74" i="67"/>
  <c r="K9" i="67"/>
  <c r="J100" i="67"/>
  <c r="J17" i="67"/>
  <c r="I108" i="67"/>
  <c r="H189" i="67"/>
  <c r="H116" i="67"/>
  <c r="K185" i="67"/>
  <c r="K166" i="67"/>
  <c r="K133" i="67"/>
  <c r="K194" i="67"/>
  <c r="K60" i="67"/>
  <c r="J172" i="67"/>
  <c r="J99" i="67"/>
  <c r="J16" i="67"/>
  <c r="I125" i="67"/>
  <c r="I45" i="67"/>
  <c r="H115" i="67"/>
  <c r="H53" i="67"/>
  <c r="H135" i="71"/>
  <c r="K178" i="67"/>
  <c r="K192" i="67"/>
  <c r="K159" i="67"/>
  <c r="K152" i="67"/>
  <c r="K144" i="67"/>
  <c r="K137" i="67"/>
  <c r="K129" i="67"/>
  <c r="K121" i="67"/>
  <c r="K113" i="67"/>
  <c r="K101" i="67"/>
  <c r="K91" i="67"/>
  <c r="K78" i="67"/>
  <c r="K66" i="67"/>
  <c r="K53" i="67"/>
  <c r="K37" i="67"/>
  <c r="K17" i="67"/>
  <c r="J201" i="67"/>
  <c r="CO201" i="67" s="1"/>
  <c r="J163" i="67"/>
  <c r="J148" i="67"/>
  <c r="J131" i="67"/>
  <c r="J108" i="67"/>
  <c r="J87" i="67"/>
  <c r="J69" i="67"/>
  <c r="J46" i="67"/>
  <c r="J25" i="67"/>
  <c r="I189" i="67"/>
  <c r="I171" i="67"/>
  <c r="I156" i="67"/>
  <c r="I139" i="67"/>
  <c r="I116" i="67"/>
  <c r="I94" i="67"/>
  <c r="I77" i="67"/>
  <c r="I54" i="67"/>
  <c r="I31" i="67"/>
  <c r="I15" i="67"/>
  <c r="H180" i="67"/>
  <c r="H166" i="67"/>
  <c r="H146" i="67"/>
  <c r="H124" i="67"/>
  <c r="H101" i="67"/>
  <c r="H85" i="67"/>
  <c r="H62" i="67"/>
  <c r="H38" i="67"/>
  <c r="H20" i="67"/>
  <c r="H169" i="71"/>
  <c r="H111" i="71"/>
  <c r="K186" i="67"/>
  <c r="K165" i="67"/>
  <c r="K150" i="67"/>
  <c r="K127" i="67"/>
  <c r="K99" i="67"/>
  <c r="K62" i="67"/>
  <c r="K15" i="67"/>
  <c r="J146" i="67"/>
  <c r="J62" i="67"/>
  <c r="I184" i="67"/>
  <c r="I132" i="67"/>
  <c r="K164" i="67"/>
  <c r="K149" i="67"/>
  <c r="K109" i="67"/>
  <c r="K61" i="67"/>
  <c r="J179" i="67"/>
  <c r="J123" i="67"/>
  <c r="J38" i="67"/>
  <c r="I148" i="67"/>
  <c r="I46" i="67"/>
  <c r="H156" i="67"/>
  <c r="H54" i="67"/>
  <c r="K191" i="67"/>
  <c r="K108" i="67"/>
  <c r="J8" i="67"/>
  <c r="J117" i="67"/>
  <c r="J55" i="67"/>
  <c r="I181" i="67"/>
  <c r="I107" i="67"/>
  <c r="I24" i="67"/>
  <c r="H133" i="67"/>
  <c r="K183" i="67"/>
  <c r="K177" i="67"/>
  <c r="K168" i="67"/>
  <c r="K176" i="67"/>
  <c r="K158" i="67"/>
  <c r="K151" i="67"/>
  <c r="K143" i="67"/>
  <c r="K136" i="67"/>
  <c r="K128" i="67"/>
  <c r="K120" i="67"/>
  <c r="K112" i="67"/>
  <c r="K100" i="67"/>
  <c r="K89" i="67"/>
  <c r="K77" i="67"/>
  <c r="K63" i="67"/>
  <c r="K50" i="67"/>
  <c r="K34" i="67"/>
  <c r="K16" i="67"/>
  <c r="J181" i="67"/>
  <c r="J190" i="67"/>
  <c r="J147" i="67"/>
  <c r="J125" i="67"/>
  <c r="J107" i="67"/>
  <c r="J86" i="67"/>
  <c r="J63" i="67"/>
  <c r="J45" i="67"/>
  <c r="J24" i="67"/>
  <c r="I185" i="67"/>
  <c r="I170" i="67"/>
  <c r="I155" i="67"/>
  <c r="I133" i="67"/>
  <c r="I115" i="67"/>
  <c r="I93" i="67"/>
  <c r="I71" i="67"/>
  <c r="I53" i="67"/>
  <c r="I30" i="67"/>
  <c r="I9" i="67"/>
  <c r="H179" i="67"/>
  <c r="H162" i="67"/>
  <c r="H123" i="67"/>
  <c r="H100" i="67"/>
  <c r="H79" i="67"/>
  <c r="H61" i="67"/>
  <c r="H37" i="67"/>
  <c r="H13" i="67"/>
  <c r="H153" i="71"/>
  <c r="H105" i="71"/>
  <c r="EN178" i="67" l="1"/>
  <c r="EN180" i="67"/>
  <c r="EB30" i="61"/>
  <c r="M30" i="71" s="1"/>
  <c r="EB91" i="61"/>
  <c r="M91" i="71" s="1"/>
  <c r="CE199" i="67"/>
  <c r="CS199" i="67" s="1"/>
  <c r="K199" i="67"/>
  <c r="CE203" i="67"/>
  <c r="CS203" i="67" s="1"/>
  <c r="K203" i="67"/>
  <c r="CE196" i="67"/>
  <c r="CS196" i="67" s="1"/>
  <c r="K196" i="67"/>
  <c r="CE201" i="67"/>
  <c r="CS201" i="67" s="1"/>
  <c r="K201" i="67"/>
  <c r="CE202" i="67"/>
  <c r="CS202" i="67" s="1"/>
  <c r="K202" i="67"/>
  <c r="CE197" i="67"/>
  <c r="CS197" i="67" s="1"/>
  <c r="K197" i="67"/>
  <c r="CE198" i="67"/>
  <c r="CS198" i="67" s="1"/>
  <c r="K198" i="67"/>
  <c r="K195" i="67"/>
  <c r="CE195" i="67"/>
  <c r="CS195" i="67" s="1"/>
  <c r="CE200" i="67"/>
  <c r="CS200" i="67" s="1"/>
  <c r="K200" i="67"/>
  <c r="Y8" i="71"/>
  <c r="GI208" i="67"/>
  <c r="Q8" i="61"/>
  <c r="N8" i="67" s="1"/>
  <c r="BM208" i="61"/>
  <c r="AA206" i="67"/>
  <c r="AN206" i="67" s="1"/>
  <c r="K206" i="67"/>
  <c r="K205" i="67"/>
  <c r="BC205" i="67"/>
  <c r="BP205" i="67" s="1"/>
  <c r="K204" i="67"/>
  <c r="BC204" i="67"/>
  <c r="AA207" i="67"/>
  <c r="AN207" i="67" s="1"/>
  <c r="K207" i="67"/>
  <c r="N20" i="67"/>
  <c r="N9" i="67"/>
  <c r="N153" i="67"/>
  <c r="N125" i="67"/>
  <c r="N69" i="67"/>
  <c r="N131" i="67"/>
  <c r="N46" i="67"/>
  <c r="N156" i="67"/>
  <c r="N171" i="67"/>
  <c r="N54" i="67"/>
  <c r="N116" i="67"/>
  <c r="N82" i="67"/>
  <c r="N181" i="67"/>
  <c r="N129" i="67"/>
  <c r="N24" i="67"/>
  <c r="N49" i="67"/>
  <c r="N80" i="67"/>
  <c r="N164" i="67"/>
  <c r="N41" i="67"/>
  <c r="N158" i="67"/>
  <c r="N63" i="67"/>
  <c r="N140" i="67"/>
  <c r="N106" i="67"/>
  <c r="N25" i="67"/>
  <c r="N79" i="67"/>
  <c r="N114" i="67"/>
  <c r="N92" i="67"/>
  <c r="N60" i="67"/>
  <c r="N51" i="67"/>
  <c r="N90" i="67"/>
  <c r="N182" i="67"/>
  <c r="N134" i="67"/>
  <c r="N57" i="67"/>
  <c r="N165" i="67"/>
  <c r="N141" i="67"/>
  <c r="N75" i="67"/>
  <c r="N169" i="67"/>
  <c r="N43" i="67"/>
  <c r="N194" i="67"/>
  <c r="N34" i="67"/>
  <c r="N85" i="67"/>
  <c r="N39" i="67"/>
  <c r="N101" i="67"/>
  <c r="N139" i="67"/>
  <c r="N132" i="67"/>
  <c r="N56" i="67"/>
  <c r="N138" i="67"/>
  <c r="N111" i="67"/>
  <c r="N89" i="67"/>
  <c r="N95" i="67"/>
  <c r="N31" i="67"/>
  <c r="N68" i="67"/>
  <c r="N45" i="67"/>
  <c r="N107" i="67"/>
  <c r="N148" i="67"/>
  <c r="N113" i="67"/>
  <c r="N88" i="67"/>
  <c r="N159" i="67"/>
  <c r="N10" i="67"/>
  <c r="N119" i="67"/>
  <c r="N81" i="67"/>
  <c r="N21" i="67"/>
  <c r="N103" i="67"/>
  <c r="N146" i="67"/>
  <c r="N117" i="67"/>
  <c r="N191" i="67"/>
  <c r="N86" i="67"/>
  <c r="N170" i="67"/>
  <c r="N144" i="67"/>
  <c r="N143" i="67"/>
  <c r="N12" i="67"/>
  <c r="N18" i="67"/>
  <c r="N167" i="67"/>
  <c r="N28" i="67"/>
  <c r="N64" i="67"/>
  <c r="N190" i="67"/>
  <c r="N84" i="67"/>
  <c r="N123" i="67"/>
  <c r="N189" i="67"/>
  <c r="N91" i="67"/>
  <c r="N184" i="67"/>
  <c r="N17" i="67"/>
  <c r="N142" i="67"/>
  <c r="N126" i="67"/>
  <c r="N33" i="67"/>
  <c r="N53" i="67"/>
  <c r="N115" i="67"/>
  <c r="N172" i="67"/>
  <c r="N71" i="67"/>
  <c r="N133" i="67"/>
  <c r="N100" i="67"/>
  <c r="N176" i="67"/>
  <c r="N160" i="67"/>
  <c r="N16" i="67"/>
  <c r="N27" i="67"/>
  <c r="N128" i="67"/>
  <c r="N136" i="67"/>
  <c r="N192" i="67"/>
  <c r="V71" i="67"/>
  <c r="FZ71" i="67"/>
  <c r="FK71" i="67"/>
  <c r="EV71" i="67"/>
  <c r="EG71" i="67"/>
  <c r="DR71" i="67"/>
  <c r="DC71" i="67"/>
  <c r="BZ71" i="67"/>
  <c r="AX71" i="67"/>
  <c r="CN71" i="67"/>
  <c r="BL71" i="67"/>
  <c r="AJ71" i="67"/>
  <c r="W100" i="67"/>
  <c r="GA100" i="67"/>
  <c r="FL100" i="67"/>
  <c r="EW100" i="67"/>
  <c r="EH100" i="67"/>
  <c r="DD100" i="67"/>
  <c r="CO100" i="67"/>
  <c r="CA100" i="67"/>
  <c r="DS100" i="67"/>
  <c r="BM100" i="67"/>
  <c r="AK100" i="67"/>
  <c r="AY100" i="67"/>
  <c r="V185" i="67"/>
  <c r="FZ185" i="67"/>
  <c r="FK185" i="67"/>
  <c r="EV185" i="67"/>
  <c r="DR185" i="67"/>
  <c r="EG185" i="67"/>
  <c r="DC185" i="67"/>
  <c r="CN185" i="67"/>
  <c r="AX185" i="67"/>
  <c r="BZ185" i="67"/>
  <c r="BL185" i="67"/>
  <c r="AJ185" i="67"/>
  <c r="V107" i="67"/>
  <c r="FZ107" i="67"/>
  <c r="FK107" i="67"/>
  <c r="EV107" i="67"/>
  <c r="EG107" i="67"/>
  <c r="DR107" i="67"/>
  <c r="DC107" i="67"/>
  <c r="CN107" i="67"/>
  <c r="BZ107" i="67"/>
  <c r="AX107" i="67"/>
  <c r="BL107" i="67"/>
  <c r="AJ107" i="67"/>
  <c r="M166" i="67"/>
  <c r="FQ166" i="67"/>
  <c r="FB166" i="67"/>
  <c r="EM166" i="67"/>
  <c r="DX166" i="67"/>
  <c r="DI166" i="67"/>
  <c r="CT166" i="67"/>
  <c r="CE166" i="67"/>
  <c r="BQ166" i="67"/>
  <c r="BC166" i="67"/>
  <c r="AA166" i="67"/>
  <c r="AO166" i="67"/>
  <c r="W108" i="67"/>
  <c r="GA108" i="67"/>
  <c r="FL108" i="67"/>
  <c r="EW108" i="67"/>
  <c r="EH108" i="67"/>
  <c r="DD108" i="67"/>
  <c r="DS108" i="67"/>
  <c r="CO108" i="67"/>
  <c r="CA108" i="67"/>
  <c r="BM108" i="67"/>
  <c r="AK108" i="67"/>
  <c r="AY108" i="67"/>
  <c r="W23" i="67"/>
  <c r="GA23" i="67"/>
  <c r="FL23" i="67"/>
  <c r="EW23" i="67"/>
  <c r="EH23" i="67"/>
  <c r="DS23" i="67"/>
  <c r="DD23" i="67"/>
  <c r="CO23" i="67"/>
  <c r="CA23" i="67"/>
  <c r="AY23" i="67"/>
  <c r="AK23" i="67"/>
  <c r="BM23" i="67"/>
  <c r="M125" i="67"/>
  <c r="FQ125" i="67"/>
  <c r="FB125" i="67"/>
  <c r="EM125" i="67"/>
  <c r="DX125" i="67"/>
  <c r="DI125" i="67"/>
  <c r="CT125" i="67"/>
  <c r="CE125" i="67"/>
  <c r="BQ125" i="67"/>
  <c r="BC125" i="67"/>
  <c r="AO125" i="67"/>
  <c r="AA125" i="67"/>
  <c r="W70" i="67"/>
  <c r="GA70" i="67"/>
  <c r="FL70" i="67"/>
  <c r="EW70" i="67"/>
  <c r="EH70" i="67"/>
  <c r="DS70" i="67"/>
  <c r="DD70" i="67"/>
  <c r="CO70" i="67"/>
  <c r="CA70" i="67"/>
  <c r="BM70" i="67"/>
  <c r="AY70" i="67"/>
  <c r="AK70" i="67"/>
  <c r="V131" i="67"/>
  <c r="FZ131" i="67"/>
  <c r="FK131" i="67"/>
  <c r="EV131" i="67"/>
  <c r="EG131" i="67"/>
  <c r="DR131" i="67"/>
  <c r="DC131" i="67"/>
  <c r="CN131" i="67"/>
  <c r="BZ131" i="67"/>
  <c r="AX131" i="67"/>
  <c r="BL131" i="67"/>
  <c r="AJ131" i="67"/>
  <c r="V79" i="67"/>
  <c r="FZ79" i="67"/>
  <c r="FK79" i="67"/>
  <c r="EV79" i="67"/>
  <c r="DR79" i="67"/>
  <c r="EG79" i="67"/>
  <c r="DC79" i="67"/>
  <c r="CN79" i="67"/>
  <c r="BZ79" i="67"/>
  <c r="AX79" i="67"/>
  <c r="BL79" i="67"/>
  <c r="AJ79" i="67"/>
  <c r="W53" i="67"/>
  <c r="GA53" i="67"/>
  <c r="FL53" i="67"/>
  <c r="EW53" i="67"/>
  <c r="EH53" i="67"/>
  <c r="DS53" i="67"/>
  <c r="DD53" i="67"/>
  <c r="CO53" i="67"/>
  <c r="CA53" i="67"/>
  <c r="BM53" i="67"/>
  <c r="AK53" i="67"/>
  <c r="AY53" i="67"/>
  <c r="V190" i="67"/>
  <c r="FZ190" i="67"/>
  <c r="FK190" i="67"/>
  <c r="EV190" i="67"/>
  <c r="EG190" i="67"/>
  <c r="DR190" i="67"/>
  <c r="DC190" i="67"/>
  <c r="CN190" i="67"/>
  <c r="BZ190" i="67"/>
  <c r="AX190" i="67"/>
  <c r="BL190" i="67"/>
  <c r="AJ190" i="67"/>
  <c r="W162" i="67"/>
  <c r="GA162" i="67"/>
  <c r="FL162" i="67"/>
  <c r="EW162" i="67"/>
  <c r="EH162" i="67"/>
  <c r="DS162" i="67"/>
  <c r="CO162" i="67"/>
  <c r="DD162" i="67"/>
  <c r="CA162" i="67"/>
  <c r="BM162" i="67"/>
  <c r="AK162" i="67"/>
  <c r="AY162" i="67"/>
  <c r="W160" i="67"/>
  <c r="GA160" i="67"/>
  <c r="FL160" i="67"/>
  <c r="EW160" i="67"/>
  <c r="EH160" i="67"/>
  <c r="DS160" i="67"/>
  <c r="DD160" i="67"/>
  <c r="CO160" i="67"/>
  <c r="CA160" i="67"/>
  <c r="BM160" i="67"/>
  <c r="AY160" i="67"/>
  <c r="AK160" i="67"/>
  <c r="W98" i="67"/>
  <c r="GA98" i="67"/>
  <c r="FL98" i="67"/>
  <c r="EW98" i="67"/>
  <c r="EH98" i="67"/>
  <c r="DS98" i="67"/>
  <c r="DD98" i="67"/>
  <c r="CO98" i="67"/>
  <c r="CA98" i="67"/>
  <c r="BM98" i="67"/>
  <c r="AY98" i="67"/>
  <c r="AK98" i="67"/>
  <c r="W36" i="67"/>
  <c r="FL36" i="67"/>
  <c r="GA36" i="67"/>
  <c r="EW36" i="67"/>
  <c r="EH36" i="67"/>
  <c r="DS36" i="67"/>
  <c r="DD36" i="67"/>
  <c r="CO36" i="67"/>
  <c r="CA36" i="67"/>
  <c r="BM36" i="67"/>
  <c r="AK36" i="67"/>
  <c r="AY36" i="67"/>
  <c r="V187" i="67"/>
  <c r="FZ187" i="67"/>
  <c r="FK187" i="67"/>
  <c r="EV187" i="67"/>
  <c r="EG187" i="67"/>
  <c r="DR187" i="67"/>
  <c r="DC187" i="67"/>
  <c r="CN187" i="67"/>
  <c r="BZ187" i="67"/>
  <c r="AX187" i="67"/>
  <c r="BL187" i="67"/>
  <c r="AJ187" i="67"/>
  <c r="V106" i="67"/>
  <c r="FZ106" i="67"/>
  <c r="FK106" i="67"/>
  <c r="EV106" i="67"/>
  <c r="EG106" i="67"/>
  <c r="DR106" i="67"/>
  <c r="DC106" i="67"/>
  <c r="CN106" i="67"/>
  <c r="BZ106" i="67"/>
  <c r="AX106" i="67"/>
  <c r="BL106" i="67"/>
  <c r="AJ106" i="67"/>
  <c r="V44" i="67"/>
  <c r="FZ44" i="67"/>
  <c r="FK44" i="67"/>
  <c r="EV44" i="67"/>
  <c r="EG44" i="67"/>
  <c r="DR44" i="67"/>
  <c r="DC44" i="67"/>
  <c r="CN44" i="67"/>
  <c r="BZ44" i="67"/>
  <c r="BL44" i="67"/>
  <c r="AJ44" i="67"/>
  <c r="AX44" i="67"/>
  <c r="M169" i="67"/>
  <c r="FQ169" i="67"/>
  <c r="FB169" i="67"/>
  <c r="EM169" i="67"/>
  <c r="DX169" i="67"/>
  <c r="DI169" i="67"/>
  <c r="CT169" i="67"/>
  <c r="CE169" i="67"/>
  <c r="BQ169" i="67"/>
  <c r="BC169" i="67"/>
  <c r="AO169" i="67"/>
  <c r="AA169" i="67"/>
  <c r="M114" i="67"/>
  <c r="FQ114" i="67"/>
  <c r="EM114" i="67"/>
  <c r="FB114" i="67"/>
  <c r="DX114" i="67"/>
  <c r="DI114" i="67"/>
  <c r="CT114" i="67"/>
  <c r="CE114" i="67"/>
  <c r="BQ114" i="67"/>
  <c r="BC114" i="67"/>
  <c r="AO114" i="67"/>
  <c r="AA114" i="67"/>
  <c r="M52" i="67"/>
  <c r="FQ52" i="67"/>
  <c r="FB52" i="67"/>
  <c r="EM52" i="67"/>
  <c r="DX52" i="67"/>
  <c r="DI52" i="67"/>
  <c r="CE52" i="67"/>
  <c r="CT52" i="67"/>
  <c r="BQ52" i="67"/>
  <c r="BC52" i="67"/>
  <c r="AO52" i="67"/>
  <c r="AA52" i="67"/>
  <c r="W137" i="67"/>
  <c r="GA137" i="67"/>
  <c r="FL137" i="67"/>
  <c r="EW137" i="67"/>
  <c r="EH137" i="67"/>
  <c r="DS137" i="67"/>
  <c r="DD137" i="67"/>
  <c r="CO137" i="67"/>
  <c r="CA137" i="67"/>
  <c r="BM137" i="67"/>
  <c r="AY137" i="67"/>
  <c r="AK137" i="67"/>
  <c r="W75" i="67"/>
  <c r="GA75" i="67"/>
  <c r="FL75" i="67"/>
  <c r="EW75" i="67"/>
  <c r="EH75" i="67"/>
  <c r="DS75" i="67"/>
  <c r="DD75" i="67"/>
  <c r="CO75" i="67"/>
  <c r="CA75" i="67"/>
  <c r="BM75" i="67"/>
  <c r="AY75" i="67"/>
  <c r="AK75" i="67"/>
  <c r="W13" i="67"/>
  <c r="GA13" i="67"/>
  <c r="FL13" i="67"/>
  <c r="EW13" i="67"/>
  <c r="EH13" i="67"/>
  <c r="DS13" i="67"/>
  <c r="DD13" i="67"/>
  <c r="CA13" i="67"/>
  <c r="CO13" i="67"/>
  <c r="AK13" i="67"/>
  <c r="BM13" i="67"/>
  <c r="AY13" i="67"/>
  <c r="V144" i="67"/>
  <c r="FZ144" i="67"/>
  <c r="EV144" i="67"/>
  <c r="FK144" i="67"/>
  <c r="EG144" i="67"/>
  <c r="DR144" i="67"/>
  <c r="DC144" i="67"/>
  <c r="CN144" i="67"/>
  <c r="BZ144" i="67"/>
  <c r="AX144" i="67"/>
  <c r="BL144" i="67"/>
  <c r="AJ144" i="67"/>
  <c r="V83" i="67"/>
  <c r="FZ83" i="67"/>
  <c r="FK83" i="67"/>
  <c r="EV83" i="67"/>
  <c r="EG83" i="67"/>
  <c r="DR83" i="67"/>
  <c r="DC83" i="67"/>
  <c r="CN83" i="67"/>
  <c r="BZ83" i="67"/>
  <c r="AX83" i="67"/>
  <c r="BL83" i="67"/>
  <c r="AJ83" i="67"/>
  <c r="V21" i="67"/>
  <c r="FZ21" i="67"/>
  <c r="FK21" i="67"/>
  <c r="EV21" i="67"/>
  <c r="EG21" i="67"/>
  <c r="DR21" i="67"/>
  <c r="DC21" i="67"/>
  <c r="BZ21" i="67"/>
  <c r="AX21" i="67"/>
  <c r="BL21" i="67"/>
  <c r="CN21" i="67"/>
  <c r="AJ21" i="67"/>
  <c r="M152" i="67"/>
  <c r="FQ152" i="67"/>
  <c r="FB152" i="67"/>
  <c r="EM152" i="67"/>
  <c r="DX152" i="67"/>
  <c r="CT152" i="67"/>
  <c r="DI152" i="67"/>
  <c r="CE152" i="67"/>
  <c r="BQ152" i="67"/>
  <c r="BC152" i="67"/>
  <c r="AO152" i="67"/>
  <c r="AA152" i="67"/>
  <c r="M90" i="67"/>
  <c r="FQ90" i="67"/>
  <c r="FB90" i="67"/>
  <c r="EM90" i="67"/>
  <c r="DX90" i="67"/>
  <c r="DI90" i="67"/>
  <c r="CE90" i="67"/>
  <c r="CT90" i="67"/>
  <c r="BQ90" i="67"/>
  <c r="BC90" i="67"/>
  <c r="AO90" i="67"/>
  <c r="AA90" i="67"/>
  <c r="M27" i="67"/>
  <c r="FQ27" i="67"/>
  <c r="FB27" i="67"/>
  <c r="EM27" i="67"/>
  <c r="DX27" i="67"/>
  <c r="DI27" i="67"/>
  <c r="CT27" i="67"/>
  <c r="BQ27" i="67"/>
  <c r="CE27" i="67"/>
  <c r="BC27" i="67"/>
  <c r="AA27" i="67"/>
  <c r="AO27" i="67"/>
  <c r="W158" i="67"/>
  <c r="GA158" i="67"/>
  <c r="FL158" i="67"/>
  <c r="EW158" i="67"/>
  <c r="EH158" i="67"/>
  <c r="DS158" i="67"/>
  <c r="CO158" i="67"/>
  <c r="DD158" i="67"/>
  <c r="CA158" i="67"/>
  <c r="BM158" i="67"/>
  <c r="AY158" i="67"/>
  <c r="AK158" i="67"/>
  <c r="W194" i="67"/>
  <c r="CO194" i="67"/>
  <c r="CA194" i="67"/>
  <c r="BM194" i="67"/>
  <c r="AY194" i="67"/>
  <c r="AK194" i="67"/>
  <c r="W34" i="67"/>
  <c r="GA34" i="67"/>
  <c r="FL34" i="67"/>
  <c r="EW34" i="67"/>
  <c r="EH34" i="67"/>
  <c r="DS34" i="67"/>
  <c r="DD34" i="67"/>
  <c r="CO34" i="67"/>
  <c r="CA34" i="67"/>
  <c r="AK34" i="67"/>
  <c r="BM34" i="67"/>
  <c r="AY34" i="67"/>
  <c r="V176" i="67"/>
  <c r="FZ176" i="67"/>
  <c r="FK176" i="67"/>
  <c r="EV176" i="67"/>
  <c r="EG176" i="67"/>
  <c r="DR176" i="67"/>
  <c r="DC176" i="67"/>
  <c r="CN176" i="67"/>
  <c r="BZ176" i="67"/>
  <c r="AX176" i="67"/>
  <c r="BL176" i="67"/>
  <c r="AJ176" i="67"/>
  <c r="V104" i="67"/>
  <c r="FZ104" i="67"/>
  <c r="FK104" i="67"/>
  <c r="EG104" i="67"/>
  <c r="EV104" i="67"/>
  <c r="DR104" i="67"/>
  <c r="CN104" i="67"/>
  <c r="DC104" i="67"/>
  <c r="BZ104" i="67"/>
  <c r="AX104" i="67"/>
  <c r="BL104" i="67"/>
  <c r="AJ104" i="67"/>
  <c r="V42" i="67"/>
  <c r="FZ42" i="67"/>
  <c r="FK42" i="67"/>
  <c r="EV42" i="67"/>
  <c r="EG42" i="67"/>
  <c r="DR42" i="67"/>
  <c r="DC42" i="67"/>
  <c r="BZ42" i="67"/>
  <c r="CN42" i="67"/>
  <c r="AJ42" i="67"/>
  <c r="BL42" i="67"/>
  <c r="AX42" i="67"/>
  <c r="M168" i="67"/>
  <c r="FQ168" i="67"/>
  <c r="FB168" i="67"/>
  <c r="EM168" i="67"/>
  <c r="DX168" i="67"/>
  <c r="DI168" i="67"/>
  <c r="CT168" i="67"/>
  <c r="BQ168" i="67"/>
  <c r="BC168" i="67"/>
  <c r="CE168" i="67"/>
  <c r="AA168" i="67"/>
  <c r="AO168" i="67"/>
  <c r="M112" i="67"/>
  <c r="FQ112" i="67"/>
  <c r="FB112" i="67"/>
  <c r="EM112" i="67"/>
  <c r="DX112" i="67"/>
  <c r="DI112" i="67"/>
  <c r="CT112" i="67"/>
  <c r="BC112" i="67"/>
  <c r="BQ112" i="67"/>
  <c r="CE112" i="67"/>
  <c r="AO112" i="67"/>
  <c r="AA112" i="67"/>
  <c r="M50" i="67"/>
  <c r="FQ50" i="67"/>
  <c r="FB50" i="67"/>
  <c r="EM50" i="67"/>
  <c r="DI50" i="67"/>
  <c r="DX50" i="67"/>
  <c r="CE50" i="67"/>
  <c r="CT50" i="67"/>
  <c r="BQ50" i="67"/>
  <c r="BC50" i="67"/>
  <c r="AO50" i="67"/>
  <c r="AA50" i="67"/>
  <c r="W186" i="67"/>
  <c r="GA186" i="67"/>
  <c r="FL186" i="67"/>
  <c r="EW186" i="67"/>
  <c r="EH186" i="67"/>
  <c r="DS186" i="67"/>
  <c r="CO186" i="67"/>
  <c r="DD186" i="67"/>
  <c r="CA186" i="67"/>
  <c r="BM186" i="67"/>
  <c r="AK186" i="67"/>
  <c r="AY186" i="67"/>
  <c r="W135" i="67"/>
  <c r="GA135" i="67"/>
  <c r="FL135" i="67"/>
  <c r="EW135" i="67"/>
  <c r="EH135" i="67"/>
  <c r="DS135" i="67"/>
  <c r="CO135" i="67"/>
  <c r="DD135" i="67"/>
  <c r="CA135" i="67"/>
  <c r="BM135" i="67"/>
  <c r="AK135" i="67"/>
  <c r="AY135" i="67"/>
  <c r="W73" i="67"/>
  <c r="GA73" i="67"/>
  <c r="FL73" i="67"/>
  <c r="EW73" i="67"/>
  <c r="EH73" i="67"/>
  <c r="DS73" i="67"/>
  <c r="DD73" i="67"/>
  <c r="CO73" i="67"/>
  <c r="CA73" i="67"/>
  <c r="BM73" i="67"/>
  <c r="AY73" i="67"/>
  <c r="AK73" i="67"/>
  <c r="W11" i="67"/>
  <c r="GA11" i="67"/>
  <c r="FL11" i="67"/>
  <c r="EW11" i="67"/>
  <c r="EH11" i="67"/>
  <c r="DS11" i="67"/>
  <c r="DD11" i="67"/>
  <c r="CA11" i="67"/>
  <c r="CO11" i="67"/>
  <c r="AK11" i="67"/>
  <c r="BM11" i="67"/>
  <c r="AY11" i="67"/>
  <c r="V142" i="67"/>
  <c r="FZ142" i="67"/>
  <c r="FK142" i="67"/>
  <c r="EV142" i="67"/>
  <c r="DR142" i="67"/>
  <c r="DC142" i="67"/>
  <c r="EG142" i="67"/>
  <c r="CN142" i="67"/>
  <c r="BZ142" i="67"/>
  <c r="AX142" i="67"/>
  <c r="BL142" i="67"/>
  <c r="AJ142" i="67"/>
  <c r="V81" i="67"/>
  <c r="FZ81" i="67"/>
  <c r="EV81" i="67"/>
  <c r="FK81" i="67"/>
  <c r="DR81" i="67"/>
  <c r="EG81" i="67"/>
  <c r="DC81" i="67"/>
  <c r="CN81" i="67"/>
  <c r="BZ81" i="67"/>
  <c r="AX81" i="67"/>
  <c r="BL81" i="67"/>
  <c r="AJ81" i="67"/>
  <c r="V19" i="67"/>
  <c r="FZ19" i="67"/>
  <c r="FK19" i="67"/>
  <c r="EV19" i="67"/>
  <c r="EG19" i="67"/>
  <c r="DR19" i="67"/>
  <c r="DC19" i="67"/>
  <c r="BL19" i="67"/>
  <c r="BZ19" i="67"/>
  <c r="CN19" i="67"/>
  <c r="AJ19" i="67"/>
  <c r="AX19" i="67"/>
  <c r="M150" i="67"/>
  <c r="FQ150" i="67"/>
  <c r="FB150" i="67"/>
  <c r="EM150" i="67"/>
  <c r="DX150" i="67"/>
  <c r="DI150" i="67"/>
  <c r="CT150" i="67"/>
  <c r="CE150" i="67"/>
  <c r="BC150" i="67"/>
  <c r="BQ150" i="67"/>
  <c r="AO150" i="67"/>
  <c r="AA150" i="67"/>
  <c r="M24" i="67"/>
  <c r="FQ24" i="67"/>
  <c r="FB24" i="67"/>
  <c r="EM24" i="67"/>
  <c r="DI24" i="67"/>
  <c r="DX24" i="67"/>
  <c r="CT24" i="67"/>
  <c r="CE24" i="67"/>
  <c r="BQ24" i="67"/>
  <c r="BC24" i="67"/>
  <c r="AO24" i="67"/>
  <c r="AA24" i="67"/>
  <c r="W173" i="67"/>
  <c r="GA173" i="67"/>
  <c r="FL173" i="67"/>
  <c r="EW173" i="67"/>
  <c r="EH173" i="67"/>
  <c r="DS173" i="67"/>
  <c r="DD173" i="67"/>
  <c r="CO173" i="67"/>
  <c r="CA173" i="67"/>
  <c r="BM173" i="67"/>
  <c r="AK173" i="67"/>
  <c r="AY173" i="67"/>
  <c r="W118" i="67"/>
  <c r="GA118" i="67"/>
  <c r="FL118" i="67"/>
  <c r="EW118" i="67"/>
  <c r="EH118" i="67"/>
  <c r="DS118" i="67"/>
  <c r="CO118" i="67"/>
  <c r="DD118" i="67"/>
  <c r="CA118" i="67"/>
  <c r="BM118" i="67"/>
  <c r="AY118" i="67"/>
  <c r="AK118" i="67"/>
  <c r="W56" i="67"/>
  <c r="FL56" i="67"/>
  <c r="GA56" i="67"/>
  <c r="EW56" i="67"/>
  <c r="EH56" i="67"/>
  <c r="DS56" i="67"/>
  <c r="DD56" i="67"/>
  <c r="CA56" i="67"/>
  <c r="BM56" i="67"/>
  <c r="AK56" i="67"/>
  <c r="CO56" i="67"/>
  <c r="AY56" i="67"/>
  <c r="V182" i="67"/>
  <c r="FZ182" i="67"/>
  <c r="FK182" i="67"/>
  <c r="EV182" i="67"/>
  <c r="DR182" i="67"/>
  <c r="EG182" i="67"/>
  <c r="DC182" i="67"/>
  <c r="CN182" i="67"/>
  <c r="AX182" i="67"/>
  <c r="BZ182" i="67"/>
  <c r="BL182" i="67"/>
  <c r="AJ182" i="67"/>
  <c r="V126" i="67"/>
  <c r="FZ126" i="67"/>
  <c r="FK126" i="67"/>
  <c r="EV126" i="67"/>
  <c r="DR126" i="67"/>
  <c r="EG126" i="67"/>
  <c r="DC126" i="67"/>
  <c r="CN126" i="67"/>
  <c r="AX126" i="67"/>
  <c r="BL126" i="67"/>
  <c r="BZ126" i="67"/>
  <c r="AJ126" i="67"/>
  <c r="V64" i="67"/>
  <c r="FZ64" i="67"/>
  <c r="FK64" i="67"/>
  <c r="EV64" i="67"/>
  <c r="EG64" i="67"/>
  <c r="DR64" i="67"/>
  <c r="DC64" i="67"/>
  <c r="CN64" i="67"/>
  <c r="BZ64" i="67"/>
  <c r="AX64" i="67"/>
  <c r="BL64" i="67"/>
  <c r="AJ64" i="67"/>
  <c r="M134" i="67"/>
  <c r="FQ134" i="67"/>
  <c r="FB134" i="67"/>
  <c r="EM134" i="67"/>
  <c r="DX134" i="67"/>
  <c r="CT134" i="67"/>
  <c r="DI134" i="67"/>
  <c r="CE134" i="67"/>
  <c r="BC134" i="67"/>
  <c r="BQ134" i="67"/>
  <c r="AA134" i="67"/>
  <c r="AO134" i="67"/>
  <c r="M72" i="67"/>
  <c r="FQ72" i="67"/>
  <c r="FB72" i="67"/>
  <c r="EM72" i="67"/>
  <c r="DX72" i="67"/>
  <c r="DI72" i="67"/>
  <c r="CE72" i="67"/>
  <c r="CT72" i="67"/>
  <c r="BQ72" i="67"/>
  <c r="BC72" i="67"/>
  <c r="AO72" i="67"/>
  <c r="AA72" i="67"/>
  <c r="M55" i="67"/>
  <c r="FQ55" i="67"/>
  <c r="FB55" i="67"/>
  <c r="EM55" i="67"/>
  <c r="DX55" i="67"/>
  <c r="DI55" i="67"/>
  <c r="CE55" i="67"/>
  <c r="CT55" i="67"/>
  <c r="BQ55" i="67"/>
  <c r="BC55" i="67"/>
  <c r="AA55" i="67"/>
  <c r="AO55" i="67"/>
  <c r="W85" i="67"/>
  <c r="GA85" i="67"/>
  <c r="FL85" i="67"/>
  <c r="EW85" i="67"/>
  <c r="EH85" i="67"/>
  <c r="DS85" i="67"/>
  <c r="DD85" i="67"/>
  <c r="CO85" i="67"/>
  <c r="CA85" i="67"/>
  <c r="BM85" i="67"/>
  <c r="AK85" i="67"/>
  <c r="AY85" i="67"/>
  <c r="M191" i="67"/>
  <c r="FQ191" i="67"/>
  <c r="FB191" i="67"/>
  <c r="EM191" i="67"/>
  <c r="DX191" i="67"/>
  <c r="DI191" i="67"/>
  <c r="CT191" i="67"/>
  <c r="CE191" i="67"/>
  <c r="BQ191" i="67"/>
  <c r="BC191" i="67"/>
  <c r="AA191" i="67"/>
  <c r="AO191" i="67"/>
  <c r="V146" i="67"/>
  <c r="FZ146" i="67"/>
  <c r="FK146" i="67"/>
  <c r="EV146" i="67"/>
  <c r="EG146" i="67"/>
  <c r="DR146" i="67"/>
  <c r="DC146" i="67"/>
  <c r="CN146" i="67"/>
  <c r="BZ146" i="67"/>
  <c r="AX146" i="67"/>
  <c r="BL146" i="67"/>
  <c r="AJ146" i="67"/>
  <c r="W116" i="67"/>
  <c r="GA116" i="67"/>
  <c r="FL116" i="67"/>
  <c r="EW116" i="67"/>
  <c r="EH116" i="67"/>
  <c r="DD116" i="67"/>
  <c r="CO116" i="67"/>
  <c r="CA116" i="67"/>
  <c r="DS116" i="67"/>
  <c r="BM116" i="67"/>
  <c r="AY116" i="67"/>
  <c r="AK116" i="67"/>
  <c r="M100" i="67"/>
  <c r="FQ100" i="67"/>
  <c r="EM100" i="67"/>
  <c r="FB100" i="67"/>
  <c r="DX100" i="67"/>
  <c r="DI100" i="67"/>
  <c r="CT100" i="67"/>
  <c r="CE100" i="67"/>
  <c r="BQ100" i="67"/>
  <c r="BC100" i="67"/>
  <c r="AO100" i="67"/>
  <c r="AA100" i="67"/>
  <c r="M190" i="67"/>
  <c r="FQ190" i="67"/>
  <c r="FB190" i="67"/>
  <c r="EM190" i="67"/>
  <c r="DX190" i="67"/>
  <c r="DI190" i="67"/>
  <c r="CT190" i="67"/>
  <c r="CE190" i="67"/>
  <c r="BQ190" i="67"/>
  <c r="BC190" i="67"/>
  <c r="AA190" i="67"/>
  <c r="AO190" i="67"/>
  <c r="V123" i="67"/>
  <c r="FZ123" i="67"/>
  <c r="FK123" i="67"/>
  <c r="EV123" i="67"/>
  <c r="EG123" i="67"/>
  <c r="DR123" i="67"/>
  <c r="DC123" i="67"/>
  <c r="CN123" i="67"/>
  <c r="BZ123" i="67"/>
  <c r="AX123" i="67"/>
  <c r="BL123" i="67"/>
  <c r="AJ123" i="67"/>
  <c r="M61" i="67"/>
  <c r="FQ61" i="67"/>
  <c r="FB61" i="67"/>
  <c r="EM61" i="67"/>
  <c r="DX61" i="67"/>
  <c r="DI61" i="67"/>
  <c r="CE61" i="67"/>
  <c r="CT61" i="67"/>
  <c r="BQ61" i="67"/>
  <c r="BC61" i="67"/>
  <c r="AA61" i="67"/>
  <c r="AO61" i="67"/>
  <c r="V30" i="67"/>
  <c r="FZ30" i="67"/>
  <c r="FK30" i="67"/>
  <c r="EV30" i="67"/>
  <c r="EG30" i="67"/>
  <c r="DR30" i="67"/>
  <c r="DC30" i="67"/>
  <c r="CN30" i="67"/>
  <c r="BZ30" i="67"/>
  <c r="BL30" i="67"/>
  <c r="AX30" i="67"/>
  <c r="AJ30" i="67"/>
  <c r="W190" i="67"/>
  <c r="GA190" i="67"/>
  <c r="FL190" i="67"/>
  <c r="EW190" i="67"/>
  <c r="EH190" i="67"/>
  <c r="DS190" i="67"/>
  <c r="CO190" i="67"/>
  <c r="DD190" i="67"/>
  <c r="BM190" i="67"/>
  <c r="CA190" i="67"/>
  <c r="AK190" i="67"/>
  <c r="AY190" i="67"/>
  <c r="V139" i="67"/>
  <c r="FZ139" i="67"/>
  <c r="FK139" i="67"/>
  <c r="EV139" i="67"/>
  <c r="EG139" i="67"/>
  <c r="DR139" i="67"/>
  <c r="DC139" i="67"/>
  <c r="CN139" i="67"/>
  <c r="BZ139" i="67"/>
  <c r="AX139" i="67"/>
  <c r="BL139" i="67"/>
  <c r="AJ139" i="67"/>
  <c r="V108" i="67"/>
  <c r="FZ108" i="67"/>
  <c r="FK108" i="67"/>
  <c r="EV108" i="67"/>
  <c r="EG108" i="67"/>
  <c r="DR108" i="67"/>
  <c r="DC108" i="67"/>
  <c r="CN108" i="67"/>
  <c r="AX108" i="67"/>
  <c r="BZ108" i="67"/>
  <c r="BL108" i="67"/>
  <c r="AJ108" i="67"/>
  <c r="M12" i="67"/>
  <c r="FQ12" i="67"/>
  <c r="FB12" i="67"/>
  <c r="EM12" i="67"/>
  <c r="DI12" i="67"/>
  <c r="DX12" i="67"/>
  <c r="CE12" i="67"/>
  <c r="CT12" i="67"/>
  <c r="BQ12" i="67"/>
  <c r="AA12" i="67"/>
  <c r="BC12" i="67"/>
  <c r="AO12" i="67"/>
  <c r="V99" i="67"/>
  <c r="FZ99" i="67"/>
  <c r="FK99" i="67"/>
  <c r="EV99" i="67"/>
  <c r="EG99" i="67"/>
  <c r="DR99" i="67"/>
  <c r="DC99" i="67"/>
  <c r="CN99" i="67"/>
  <c r="BZ99" i="67"/>
  <c r="AX99" i="67"/>
  <c r="BL99" i="67"/>
  <c r="AJ99" i="67"/>
  <c r="M108" i="67"/>
  <c r="FQ108" i="67"/>
  <c r="EM108" i="67"/>
  <c r="FB108" i="67"/>
  <c r="DX108" i="67"/>
  <c r="DI108" i="67"/>
  <c r="CT108" i="67"/>
  <c r="BQ108" i="67"/>
  <c r="CE108" i="67"/>
  <c r="BC108" i="67"/>
  <c r="AA108" i="67"/>
  <c r="AO108" i="67"/>
  <c r="M79" i="67"/>
  <c r="FQ79" i="67"/>
  <c r="FB79" i="67"/>
  <c r="EM79" i="67"/>
  <c r="DX79" i="67"/>
  <c r="DI79" i="67"/>
  <c r="CE79" i="67"/>
  <c r="CT79" i="67"/>
  <c r="BQ79" i="67"/>
  <c r="BC79" i="67"/>
  <c r="AA79" i="67"/>
  <c r="AO79" i="67"/>
  <c r="V53" i="67"/>
  <c r="FZ53" i="67"/>
  <c r="FK53" i="67"/>
  <c r="EV53" i="67"/>
  <c r="EG53" i="67"/>
  <c r="DR53" i="67"/>
  <c r="DC53" i="67"/>
  <c r="CN53" i="67"/>
  <c r="BZ53" i="67"/>
  <c r="BL53" i="67"/>
  <c r="AJ53" i="67"/>
  <c r="AX53" i="67"/>
  <c r="W24" i="67"/>
  <c r="GA24" i="67"/>
  <c r="FL24" i="67"/>
  <c r="EW24" i="67"/>
  <c r="EH24" i="67"/>
  <c r="DS24" i="67"/>
  <c r="DD24" i="67"/>
  <c r="CO24" i="67"/>
  <c r="CA24" i="67"/>
  <c r="BM24" i="67"/>
  <c r="AY24" i="67"/>
  <c r="AK24" i="67"/>
  <c r="W181" i="67"/>
  <c r="GA181" i="67"/>
  <c r="FL181" i="67"/>
  <c r="EW181" i="67"/>
  <c r="EH181" i="67"/>
  <c r="DS181" i="67"/>
  <c r="DD181" i="67"/>
  <c r="CO181" i="67"/>
  <c r="CA181" i="67"/>
  <c r="BM181" i="67"/>
  <c r="AY181" i="67"/>
  <c r="AK181" i="67"/>
  <c r="V181" i="67"/>
  <c r="FZ181" i="67"/>
  <c r="FK181" i="67"/>
  <c r="EV181" i="67"/>
  <c r="DR181" i="67"/>
  <c r="EG181" i="67"/>
  <c r="DC181" i="67"/>
  <c r="CN181" i="67"/>
  <c r="AX181" i="67"/>
  <c r="BZ181" i="67"/>
  <c r="BL181" i="67"/>
  <c r="AJ181" i="67"/>
  <c r="M54" i="67"/>
  <c r="FQ54" i="67"/>
  <c r="FB54" i="67"/>
  <c r="EM54" i="67"/>
  <c r="DX54" i="67"/>
  <c r="DI54" i="67"/>
  <c r="CE54" i="67"/>
  <c r="CT54" i="67"/>
  <c r="BQ54" i="67"/>
  <c r="BC54" i="67"/>
  <c r="AA54" i="67"/>
  <c r="AO54" i="67"/>
  <c r="M20" i="67"/>
  <c r="FQ20" i="67"/>
  <c r="FB20" i="67"/>
  <c r="EM20" i="67"/>
  <c r="DI20" i="67"/>
  <c r="DX20" i="67"/>
  <c r="CT20" i="67"/>
  <c r="BQ20" i="67"/>
  <c r="CE20" i="67"/>
  <c r="BC20" i="67"/>
  <c r="AO20" i="67"/>
  <c r="AA20" i="67"/>
  <c r="M180" i="67"/>
  <c r="FQ180" i="67"/>
  <c r="FB180" i="67"/>
  <c r="EM180" i="67"/>
  <c r="DX180" i="67"/>
  <c r="DI180" i="67"/>
  <c r="CT180" i="67"/>
  <c r="CE180" i="67"/>
  <c r="BQ180" i="67"/>
  <c r="BC180" i="67"/>
  <c r="AO180" i="67"/>
  <c r="AA180" i="67"/>
  <c r="V156" i="67"/>
  <c r="FZ156" i="67"/>
  <c r="FK156" i="67"/>
  <c r="EV156" i="67"/>
  <c r="DR156" i="67"/>
  <c r="EG156" i="67"/>
  <c r="DC156" i="67"/>
  <c r="CN156" i="67"/>
  <c r="AX156" i="67"/>
  <c r="BZ156" i="67"/>
  <c r="BL156" i="67"/>
  <c r="AJ156" i="67"/>
  <c r="W131" i="67"/>
  <c r="GA131" i="67"/>
  <c r="FL131" i="67"/>
  <c r="EW131" i="67"/>
  <c r="EH131" i="67"/>
  <c r="DS131" i="67"/>
  <c r="CO131" i="67"/>
  <c r="DD131" i="67"/>
  <c r="CA131" i="67"/>
  <c r="BM131" i="67"/>
  <c r="AY131" i="67"/>
  <c r="AK131" i="67"/>
  <c r="M53" i="67"/>
  <c r="FQ53" i="67"/>
  <c r="FB53" i="67"/>
  <c r="EM53" i="67"/>
  <c r="DX53" i="67"/>
  <c r="DI53" i="67"/>
  <c r="CE53" i="67"/>
  <c r="CT53" i="67"/>
  <c r="BQ53" i="67"/>
  <c r="BC53" i="67"/>
  <c r="AO53" i="67"/>
  <c r="AA53" i="67"/>
  <c r="W17" i="67"/>
  <c r="GA17" i="67"/>
  <c r="FL17" i="67"/>
  <c r="EW17" i="67"/>
  <c r="EH17" i="67"/>
  <c r="DS17" i="67"/>
  <c r="DD17" i="67"/>
  <c r="CA17" i="67"/>
  <c r="CO17" i="67"/>
  <c r="BM17" i="67"/>
  <c r="AY17" i="67"/>
  <c r="AK17" i="67"/>
  <c r="M78" i="67"/>
  <c r="FQ78" i="67"/>
  <c r="FB78" i="67"/>
  <c r="EM78" i="67"/>
  <c r="DX78" i="67"/>
  <c r="DI78" i="67"/>
  <c r="CE78" i="67"/>
  <c r="CT78" i="67"/>
  <c r="BQ78" i="67"/>
  <c r="BC78" i="67"/>
  <c r="AO78" i="67"/>
  <c r="AA78" i="67"/>
  <c r="W101" i="67"/>
  <c r="GA101" i="67"/>
  <c r="FL101" i="67"/>
  <c r="EW101" i="67"/>
  <c r="EH101" i="67"/>
  <c r="DS101" i="67"/>
  <c r="DD101" i="67"/>
  <c r="CO101" i="67"/>
  <c r="CA101" i="67"/>
  <c r="BM101" i="67"/>
  <c r="AK101" i="67"/>
  <c r="AY101" i="67"/>
  <c r="M147" i="67"/>
  <c r="FQ147" i="67"/>
  <c r="FB147" i="67"/>
  <c r="EM147" i="67"/>
  <c r="DX147" i="67"/>
  <c r="DI147" i="67"/>
  <c r="CT147" i="67"/>
  <c r="CE147" i="67"/>
  <c r="BQ147" i="67"/>
  <c r="BC147" i="67"/>
  <c r="AO147" i="67"/>
  <c r="AA147" i="67"/>
  <c r="V117" i="67"/>
  <c r="FZ117" i="67"/>
  <c r="FK117" i="67"/>
  <c r="EV117" i="67"/>
  <c r="DR117" i="67"/>
  <c r="EG117" i="67"/>
  <c r="DC117" i="67"/>
  <c r="CN117" i="67"/>
  <c r="AX117" i="67"/>
  <c r="BZ117" i="67"/>
  <c r="BL117" i="67"/>
  <c r="AJ117" i="67"/>
  <c r="W92" i="67"/>
  <c r="GA92" i="67"/>
  <c r="FL92" i="67"/>
  <c r="EW92" i="67"/>
  <c r="EH92" i="67"/>
  <c r="DS92" i="67"/>
  <c r="DD92" i="67"/>
  <c r="CO92" i="67"/>
  <c r="CA92" i="67"/>
  <c r="BM92" i="67"/>
  <c r="AY92" i="67"/>
  <c r="AK92" i="67"/>
  <c r="M131" i="67"/>
  <c r="FQ131" i="67"/>
  <c r="EM131" i="67"/>
  <c r="FB131" i="67"/>
  <c r="DX131" i="67"/>
  <c r="DI131" i="67"/>
  <c r="CT131" i="67"/>
  <c r="CE131" i="67"/>
  <c r="BQ131" i="67"/>
  <c r="BC131" i="67"/>
  <c r="AO131" i="67"/>
  <c r="AA131" i="67"/>
  <c r="V100" i="67"/>
  <c r="FZ100" i="67"/>
  <c r="FK100" i="67"/>
  <c r="EV100" i="67"/>
  <c r="EG100" i="67"/>
  <c r="DR100" i="67"/>
  <c r="DC100" i="67"/>
  <c r="CN100" i="67"/>
  <c r="AX100" i="67"/>
  <c r="BZ100" i="67"/>
  <c r="BL100" i="67"/>
  <c r="AJ100" i="67"/>
  <c r="W71" i="67"/>
  <c r="GA71" i="67"/>
  <c r="FL71" i="67"/>
  <c r="EW71" i="67"/>
  <c r="EH71" i="67"/>
  <c r="DS71" i="67"/>
  <c r="DD71" i="67"/>
  <c r="CO71" i="67"/>
  <c r="CA71" i="67"/>
  <c r="BM71" i="67"/>
  <c r="AY71" i="67"/>
  <c r="AK71" i="67"/>
  <c r="W78" i="67"/>
  <c r="GA78" i="67"/>
  <c r="FL78" i="67"/>
  <c r="EW78" i="67"/>
  <c r="EH78" i="67"/>
  <c r="DD78" i="67"/>
  <c r="DS78" i="67"/>
  <c r="CO78" i="67"/>
  <c r="CA78" i="67"/>
  <c r="BM78" i="67"/>
  <c r="AK78" i="67"/>
  <c r="AY78" i="67"/>
  <c r="M11" i="67"/>
  <c r="FQ11" i="67"/>
  <c r="FB11" i="67"/>
  <c r="EM11" i="67"/>
  <c r="DX11" i="67"/>
  <c r="DI11" i="67"/>
  <c r="CE11" i="67"/>
  <c r="CT11" i="67"/>
  <c r="BQ11" i="67"/>
  <c r="AA11" i="67"/>
  <c r="BC11" i="67"/>
  <c r="AO11" i="67"/>
  <c r="W153" i="67"/>
  <c r="GA153" i="67"/>
  <c r="FL153" i="67"/>
  <c r="EW153" i="67"/>
  <c r="EH153" i="67"/>
  <c r="DS153" i="67"/>
  <c r="DD153" i="67"/>
  <c r="CO153" i="67"/>
  <c r="CA153" i="67"/>
  <c r="BM153" i="67"/>
  <c r="AY153" i="67"/>
  <c r="AK153" i="67"/>
  <c r="W91" i="67"/>
  <c r="GA91" i="67"/>
  <c r="FL91" i="67"/>
  <c r="EW91" i="67"/>
  <c r="EH91" i="67"/>
  <c r="DS91" i="67"/>
  <c r="DD91" i="67"/>
  <c r="CO91" i="67"/>
  <c r="CA91" i="67"/>
  <c r="BM91" i="67"/>
  <c r="AY91" i="67"/>
  <c r="AK91" i="67"/>
  <c r="V160" i="67"/>
  <c r="FZ160" i="67"/>
  <c r="FK160" i="67"/>
  <c r="EV160" i="67"/>
  <c r="EG160" i="67"/>
  <c r="DR160" i="67"/>
  <c r="DC160" i="67"/>
  <c r="CN160" i="67"/>
  <c r="BZ160" i="67"/>
  <c r="AX160" i="67"/>
  <c r="BL160" i="67"/>
  <c r="AJ160" i="67"/>
  <c r="V98" i="67"/>
  <c r="FZ98" i="67"/>
  <c r="FK98" i="67"/>
  <c r="EV98" i="67"/>
  <c r="EG98" i="67"/>
  <c r="DR98" i="67"/>
  <c r="DC98" i="67"/>
  <c r="CN98" i="67"/>
  <c r="BZ98" i="67"/>
  <c r="AX98" i="67"/>
  <c r="BL98" i="67"/>
  <c r="AJ98" i="67"/>
  <c r="V36" i="67"/>
  <c r="FZ36" i="67"/>
  <c r="FK36" i="67"/>
  <c r="EV36" i="67"/>
  <c r="EG36" i="67"/>
  <c r="DR36" i="67"/>
  <c r="DC36" i="67"/>
  <c r="CN36" i="67"/>
  <c r="BZ36" i="67"/>
  <c r="BL36" i="67"/>
  <c r="AX36" i="67"/>
  <c r="AJ36" i="67"/>
  <c r="M187" i="67"/>
  <c r="FQ187" i="67"/>
  <c r="FB187" i="67"/>
  <c r="EM187" i="67"/>
  <c r="DX187" i="67"/>
  <c r="DI187" i="67"/>
  <c r="CT187" i="67"/>
  <c r="CE187" i="67"/>
  <c r="BQ187" i="67"/>
  <c r="BC187" i="67"/>
  <c r="AO187" i="67"/>
  <c r="AA187" i="67"/>
  <c r="M106" i="67"/>
  <c r="FQ106" i="67"/>
  <c r="EM106" i="67"/>
  <c r="FB106" i="67"/>
  <c r="DX106" i="67"/>
  <c r="DI106" i="67"/>
  <c r="CT106" i="67"/>
  <c r="CE106" i="67"/>
  <c r="BQ106" i="67"/>
  <c r="BC106" i="67"/>
  <c r="AO106" i="67"/>
  <c r="AA106" i="67"/>
  <c r="M44" i="67"/>
  <c r="FQ44" i="67"/>
  <c r="FB44" i="67"/>
  <c r="EM44" i="67"/>
  <c r="DI44" i="67"/>
  <c r="DX44" i="67"/>
  <c r="CT44" i="67"/>
  <c r="BQ44" i="67"/>
  <c r="BC44" i="67"/>
  <c r="CE44" i="67"/>
  <c r="AO44" i="67"/>
  <c r="AA44" i="67"/>
  <c r="W129" i="67"/>
  <c r="GA129" i="67"/>
  <c r="FL129" i="67"/>
  <c r="EW129" i="67"/>
  <c r="EH129" i="67"/>
  <c r="DS129" i="67"/>
  <c r="DD129" i="67"/>
  <c r="CO129" i="67"/>
  <c r="CA129" i="67"/>
  <c r="BM129" i="67"/>
  <c r="AY129" i="67"/>
  <c r="AK129" i="67"/>
  <c r="W67" i="67"/>
  <c r="GA67" i="67"/>
  <c r="FL67" i="67"/>
  <c r="EW67" i="67"/>
  <c r="EH67" i="67"/>
  <c r="DS67" i="67"/>
  <c r="DD67" i="67"/>
  <c r="CO67" i="67"/>
  <c r="CA67" i="67"/>
  <c r="BM67" i="67"/>
  <c r="AY67" i="67"/>
  <c r="AK67" i="67"/>
  <c r="V137" i="67"/>
  <c r="FZ137" i="67"/>
  <c r="EV137" i="67"/>
  <c r="FK137" i="67"/>
  <c r="EG137" i="67"/>
  <c r="DR137" i="67"/>
  <c r="DC137" i="67"/>
  <c r="CN137" i="67"/>
  <c r="BZ137" i="67"/>
  <c r="AX137" i="67"/>
  <c r="BL137" i="67"/>
  <c r="AJ137" i="67"/>
  <c r="V75" i="67"/>
  <c r="FZ75" i="67"/>
  <c r="FK75" i="67"/>
  <c r="EV75" i="67"/>
  <c r="EG75" i="67"/>
  <c r="DR75" i="67"/>
  <c r="DC75" i="67"/>
  <c r="CN75" i="67"/>
  <c r="BZ75" i="67"/>
  <c r="AX75" i="67"/>
  <c r="BL75" i="67"/>
  <c r="AJ75" i="67"/>
  <c r="V13" i="67"/>
  <c r="FZ13" i="67"/>
  <c r="FK13" i="67"/>
  <c r="EV13" i="67"/>
  <c r="EG13" i="67"/>
  <c r="DR13" i="67"/>
  <c r="DC13" i="67"/>
  <c r="CN13" i="67"/>
  <c r="BL13" i="67"/>
  <c r="BZ13" i="67"/>
  <c r="AJ13" i="67"/>
  <c r="AX13" i="67"/>
  <c r="M144" i="67"/>
  <c r="FQ144" i="67"/>
  <c r="FB144" i="67"/>
  <c r="EM144" i="67"/>
  <c r="DX144" i="67"/>
  <c r="CT144" i="67"/>
  <c r="DI144" i="67"/>
  <c r="CE144" i="67"/>
  <c r="BQ144" i="67"/>
  <c r="BC144" i="67"/>
  <c r="AO144" i="67"/>
  <c r="AA144" i="67"/>
  <c r="M83" i="67"/>
  <c r="FQ83" i="67"/>
  <c r="EM83" i="67"/>
  <c r="FB83" i="67"/>
  <c r="DX83" i="67"/>
  <c r="DI83" i="67"/>
  <c r="CE83" i="67"/>
  <c r="CT83" i="67"/>
  <c r="BQ83" i="67"/>
  <c r="BC83" i="67"/>
  <c r="AA83" i="67"/>
  <c r="AO83" i="67"/>
  <c r="M17" i="67"/>
  <c r="FQ17" i="67"/>
  <c r="FB17" i="67"/>
  <c r="EM17" i="67"/>
  <c r="DI17" i="67"/>
  <c r="DX17" i="67"/>
  <c r="CE17" i="67"/>
  <c r="CT17" i="67"/>
  <c r="BQ17" i="67"/>
  <c r="BC17" i="67"/>
  <c r="AO17" i="67"/>
  <c r="AA17" i="67"/>
  <c r="W151" i="67"/>
  <c r="GA151" i="67"/>
  <c r="FL151" i="67"/>
  <c r="EW151" i="67"/>
  <c r="DS151" i="67"/>
  <c r="CO151" i="67"/>
  <c r="EH151" i="67"/>
  <c r="DD151" i="67"/>
  <c r="CA151" i="67"/>
  <c r="BM151" i="67"/>
  <c r="AY151" i="67"/>
  <c r="AK151" i="67"/>
  <c r="W89" i="67"/>
  <c r="GA89" i="67"/>
  <c r="FL89" i="67"/>
  <c r="EW89" i="67"/>
  <c r="DS89" i="67"/>
  <c r="DD89" i="67"/>
  <c r="EH89" i="67"/>
  <c r="CO89" i="67"/>
  <c r="CA89" i="67"/>
  <c r="BM89" i="67"/>
  <c r="AY89" i="67"/>
  <c r="AK89" i="67"/>
  <c r="W28" i="67"/>
  <c r="GA28" i="67"/>
  <c r="FL28" i="67"/>
  <c r="EW28" i="67"/>
  <c r="EH28" i="67"/>
  <c r="DS28" i="67"/>
  <c r="DD28" i="67"/>
  <c r="CO28" i="67"/>
  <c r="CA28" i="67"/>
  <c r="BM28" i="67"/>
  <c r="AK28" i="67"/>
  <c r="AY28" i="67"/>
  <c r="V158" i="67"/>
  <c r="FZ158" i="67"/>
  <c r="FK158" i="67"/>
  <c r="EV158" i="67"/>
  <c r="EG158" i="67"/>
  <c r="DR158" i="67"/>
  <c r="DC158" i="67"/>
  <c r="CN158" i="67"/>
  <c r="BZ158" i="67"/>
  <c r="AX158" i="67"/>
  <c r="BL158" i="67"/>
  <c r="AJ158" i="67"/>
  <c r="V194" i="67"/>
  <c r="CN194" i="67"/>
  <c r="BZ194" i="67"/>
  <c r="AX194" i="67"/>
  <c r="BL194" i="67"/>
  <c r="AJ194" i="67"/>
  <c r="V34" i="67"/>
  <c r="FZ34" i="67"/>
  <c r="FK34" i="67"/>
  <c r="EV34" i="67"/>
  <c r="EG34" i="67"/>
  <c r="DR34" i="67"/>
  <c r="DC34" i="67"/>
  <c r="BZ34" i="67"/>
  <c r="CN34" i="67"/>
  <c r="AX34" i="67"/>
  <c r="AJ34" i="67"/>
  <c r="BL34" i="67"/>
  <c r="M176" i="67"/>
  <c r="FQ176" i="67"/>
  <c r="FB176" i="67"/>
  <c r="EM176" i="67"/>
  <c r="DX176" i="67"/>
  <c r="DI176" i="67"/>
  <c r="CT176" i="67"/>
  <c r="CE176" i="67"/>
  <c r="BC176" i="67"/>
  <c r="AA176" i="67"/>
  <c r="BQ176" i="67"/>
  <c r="AO176" i="67"/>
  <c r="M104" i="67"/>
  <c r="FQ104" i="67"/>
  <c r="FB104" i="67"/>
  <c r="EM104" i="67"/>
  <c r="DX104" i="67"/>
  <c r="DI104" i="67"/>
  <c r="CT104" i="67"/>
  <c r="CE104" i="67"/>
  <c r="BC104" i="67"/>
  <c r="AA104" i="67"/>
  <c r="BQ104" i="67"/>
  <c r="AO104" i="67"/>
  <c r="M42" i="67"/>
  <c r="FQ42" i="67"/>
  <c r="FB42" i="67"/>
  <c r="EM42" i="67"/>
  <c r="DI42" i="67"/>
  <c r="DX42" i="67"/>
  <c r="CT42" i="67"/>
  <c r="BQ42" i="67"/>
  <c r="CE42" i="67"/>
  <c r="BC42" i="67"/>
  <c r="AA42" i="67"/>
  <c r="AO42" i="67"/>
  <c r="W193" i="67"/>
  <c r="GA193" i="67"/>
  <c r="FL193" i="67"/>
  <c r="EW193" i="67"/>
  <c r="EH193" i="67"/>
  <c r="CO193" i="67"/>
  <c r="DS193" i="67"/>
  <c r="DD193" i="67"/>
  <c r="CA193" i="67"/>
  <c r="BM193" i="67"/>
  <c r="AY193" i="67"/>
  <c r="AK193" i="67"/>
  <c r="W127" i="67"/>
  <c r="GA127" i="67"/>
  <c r="FL127" i="67"/>
  <c r="EW127" i="67"/>
  <c r="EH127" i="67"/>
  <c r="CO127" i="67"/>
  <c r="DS127" i="67"/>
  <c r="DD127" i="67"/>
  <c r="CA127" i="67"/>
  <c r="BM127" i="67"/>
  <c r="AY127" i="67"/>
  <c r="AK127" i="67"/>
  <c r="W65" i="67"/>
  <c r="GA65" i="67"/>
  <c r="FL65" i="67"/>
  <c r="EW65" i="67"/>
  <c r="EH65" i="67"/>
  <c r="DS65" i="67"/>
  <c r="DD65" i="67"/>
  <c r="CO65" i="67"/>
  <c r="CA65" i="67"/>
  <c r="BM65" i="67"/>
  <c r="AK65" i="67"/>
  <c r="AY65" i="67"/>
  <c r="V186" i="67"/>
  <c r="FZ186" i="67"/>
  <c r="FK186" i="67"/>
  <c r="EV186" i="67"/>
  <c r="DR186" i="67"/>
  <c r="DC186" i="67"/>
  <c r="EG186" i="67"/>
  <c r="CN186" i="67"/>
  <c r="AX186" i="67"/>
  <c r="BL186" i="67"/>
  <c r="BZ186" i="67"/>
  <c r="AJ186" i="67"/>
  <c r="V135" i="67"/>
  <c r="FZ135" i="67"/>
  <c r="FK135" i="67"/>
  <c r="EV135" i="67"/>
  <c r="DR135" i="67"/>
  <c r="DC135" i="67"/>
  <c r="EG135" i="67"/>
  <c r="CN135" i="67"/>
  <c r="BZ135" i="67"/>
  <c r="AX135" i="67"/>
  <c r="BL135" i="67"/>
  <c r="AJ135" i="67"/>
  <c r="V73" i="67"/>
  <c r="FZ73" i="67"/>
  <c r="FK73" i="67"/>
  <c r="EV73" i="67"/>
  <c r="EG73" i="67"/>
  <c r="DR73" i="67"/>
  <c r="DC73" i="67"/>
  <c r="CN73" i="67"/>
  <c r="BZ73" i="67"/>
  <c r="AX73" i="67"/>
  <c r="BL73" i="67"/>
  <c r="AJ73" i="67"/>
  <c r="V11" i="67"/>
  <c r="FZ11" i="67"/>
  <c r="FK11" i="67"/>
  <c r="EV11" i="67"/>
  <c r="EG11" i="67"/>
  <c r="DR11" i="67"/>
  <c r="DC11" i="67"/>
  <c r="BL11" i="67"/>
  <c r="BZ11" i="67"/>
  <c r="CN11" i="67"/>
  <c r="AJ11" i="67"/>
  <c r="AX11" i="67"/>
  <c r="M142" i="67"/>
  <c r="FQ142" i="67"/>
  <c r="FB142" i="67"/>
  <c r="EM142" i="67"/>
  <c r="DX142" i="67"/>
  <c r="DI142" i="67"/>
  <c r="CT142" i="67"/>
  <c r="CE142" i="67"/>
  <c r="BC142" i="67"/>
  <c r="BQ142" i="67"/>
  <c r="AA142" i="67"/>
  <c r="AO142" i="67"/>
  <c r="M81" i="67"/>
  <c r="FQ81" i="67"/>
  <c r="EM81" i="67"/>
  <c r="FB81" i="67"/>
  <c r="DX81" i="67"/>
  <c r="DI81" i="67"/>
  <c r="CT81" i="67"/>
  <c r="CE81" i="67"/>
  <c r="BQ81" i="67"/>
  <c r="BC81" i="67"/>
  <c r="AA81" i="67"/>
  <c r="AO81" i="67"/>
  <c r="M15" i="67"/>
  <c r="FQ15" i="67"/>
  <c r="FB15" i="67"/>
  <c r="EM15" i="67"/>
  <c r="DX15" i="67"/>
  <c r="DI15" i="67"/>
  <c r="CE15" i="67"/>
  <c r="CT15" i="67"/>
  <c r="BQ15" i="67"/>
  <c r="AO15" i="67"/>
  <c r="BC15" i="67"/>
  <c r="AA15" i="67"/>
  <c r="W164" i="67"/>
  <c r="GA164" i="67"/>
  <c r="FL164" i="67"/>
  <c r="EW164" i="67"/>
  <c r="EH164" i="67"/>
  <c r="DS164" i="67"/>
  <c r="DD164" i="67"/>
  <c r="CO164" i="67"/>
  <c r="CA164" i="67"/>
  <c r="BM164" i="67"/>
  <c r="AK164" i="67"/>
  <c r="AY164" i="67"/>
  <c r="W110" i="67"/>
  <c r="GA110" i="67"/>
  <c r="FL110" i="67"/>
  <c r="EW110" i="67"/>
  <c r="EH110" i="67"/>
  <c r="DS110" i="67"/>
  <c r="CO110" i="67"/>
  <c r="DD110" i="67"/>
  <c r="CA110" i="67"/>
  <c r="BM110" i="67"/>
  <c r="AK110" i="67"/>
  <c r="AY110" i="67"/>
  <c r="W48" i="67"/>
  <c r="FL48" i="67"/>
  <c r="GA48" i="67"/>
  <c r="EW48" i="67"/>
  <c r="EH48" i="67"/>
  <c r="DS48" i="67"/>
  <c r="DD48" i="67"/>
  <c r="CO48" i="67"/>
  <c r="CA48" i="67"/>
  <c r="BM48" i="67"/>
  <c r="AY48" i="67"/>
  <c r="AK48" i="67"/>
  <c r="V173" i="67"/>
  <c r="FZ173" i="67"/>
  <c r="FK173" i="67"/>
  <c r="EV173" i="67"/>
  <c r="DR173" i="67"/>
  <c r="EG173" i="67"/>
  <c r="DC173" i="67"/>
  <c r="CN173" i="67"/>
  <c r="BZ173" i="67"/>
  <c r="AX173" i="67"/>
  <c r="BL173" i="67"/>
  <c r="AJ173" i="67"/>
  <c r="V118" i="67"/>
  <c r="FZ118" i="67"/>
  <c r="FK118" i="67"/>
  <c r="EV118" i="67"/>
  <c r="DR118" i="67"/>
  <c r="EG118" i="67"/>
  <c r="CN118" i="67"/>
  <c r="DC118" i="67"/>
  <c r="AX118" i="67"/>
  <c r="BL118" i="67"/>
  <c r="AJ118" i="67"/>
  <c r="BZ118" i="67"/>
  <c r="V56" i="67"/>
  <c r="FZ56" i="67"/>
  <c r="FK56" i="67"/>
  <c r="EV56" i="67"/>
  <c r="EG56" i="67"/>
  <c r="DR56" i="67"/>
  <c r="DC56" i="67"/>
  <c r="CN56" i="67"/>
  <c r="BZ56" i="67"/>
  <c r="BL56" i="67"/>
  <c r="AJ56" i="67"/>
  <c r="AX56" i="67"/>
  <c r="M182" i="67"/>
  <c r="FQ182" i="67"/>
  <c r="FB182" i="67"/>
  <c r="EM182" i="67"/>
  <c r="DX182" i="67"/>
  <c r="CT182" i="67"/>
  <c r="DI182" i="67"/>
  <c r="CE182" i="67"/>
  <c r="BQ182" i="67"/>
  <c r="BC182" i="67"/>
  <c r="AO182" i="67"/>
  <c r="AA182" i="67"/>
  <c r="M126" i="67"/>
  <c r="FQ126" i="67"/>
  <c r="FB126" i="67"/>
  <c r="EM126" i="67"/>
  <c r="DX126" i="67"/>
  <c r="CT126" i="67"/>
  <c r="DI126" i="67"/>
  <c r="CE126" i="67"/>
  <c r="BC126" i="67"/>
  <c r="BQ126" i="67"/>
  <c r="AO126" i="67"/>
  <c r="AA126" i="67"/>
  <c r="M64" i="67"/>
  <c r="FQ64" i="67"/>
  <c r="FB64" i="67"/>
  <c r="EM64" i="67"/>
  <c r="DX64" i="67"/>
  <c r="DI64" i="67"/>
  <c r="CE64" i="67"/>
  <c r="CT64" i="67"/>
  <c r="BQ64" i="67"/>
  <c r="BC64" i="67"/>
  <c r="AO64" i="67"/>
  <c r="AA64" i="67"/>
  <c r="M117" i="67"/>
  <c r="FQ117" i="67"/>
  <c r="FB117" i="67"/>
  <c r="EM117" i="67"/>
  <c r="DX117" i="67"/>
  <c r="DI117" i="67"/>
  <c r="CT117" i="67"/>
  <c r="CE117" i="67"/>
  <c r="BQ117" i="67"/>
  <c r="BC117" i="67"/>
  <c r="AO117" i="67"/>
  <c r="AA117" i="67"/>
  <c r="W124" i="67"/>
  <c r="GA124" i="67"/>
  <c r="FL124" i="67"/>
  <c r="EW124" i="67"/>
  <c r="EH124" i="67"/>
  <c r="DS124" i="67"/>
  <c r="CO124" i="67"/>
  <c r="DD124" i="67"/>
  <c r="CA124" i="67"/>
  <c r="BM124" i="67"/>
  <c r="AY124" i="67"/>
  <c r="AK124" i="67"/>
  <c r="M29" i="67"/>
  <c r="FQ29" i="67"/>
  <c r="FB29" i="67"/>
  <c r="EM29" i="67"/>
  <c r="DI29" i="67"/>
  <c r="DX29" i="67"/>
  <c r="CT29" i="67"/>
  <c r="BQ29" i="67"/>
  <c r="CE29" i="67"/>
  <c r="BC29" i="67"/>
  <c r="AA29" i="67"/>
  <c r="AO29" i="67"/>
  <c r="M184" i="67"/>
  <c r="FQ184" i="67"/>
  <c r="FB184" i="67"/>
  <c r="EM184" i="67"/>
  <c r="DX184" i="67"/>
  <c r="DI184" i="67"/>
  <c r="CT184" i="67"/>
  <c r="BQ184" i="67"/>
  <c r="BC184" i="67"/>
  <c r="CE184" i="67"/>
  <c r="AO184" i="67"/>
  <c r="AA184" i="67"/>
  <c r="V166" i="67"/>
  <c r="FZ166" i="67"/>
  <c r="FK166" i="67"/>
  <c r="EV166" i="67"/>
  <c r="DR166" i="67"/>
  <c r="EG166" i="67"/>
  <c r="DC166" i="67"/>
  <c r="CN166" i="67"/>
  <c r="AX166" i="67"/>
  <c r="BZ166" i="67"/>
  <c r="BL166" i="67"/>
  <c r="AJ166" i="67"/>
  <c r="W139" i="67"/>
  <c r="GA139" i="67"/>
  <c r="FL139" i="67"/>
  <c r="EW139" i="67"/>
  <c r="EH139" i="67"/>
  <c r="DS139" i="67"/>
  <c r="CO139" i="67"/>
  <c r="DD139" i="67"/>
  <c r="CA139" i="67"/>
  <c r="BM139" i="67"/>
  <c r="AK139" i="67"/>
  <c r="AY139" i="67"/>
  <c r="V171" i="67"/>
  <c r="FZ171" i="67"/>
  <c r="FK171" i="67"/>
  <c r="EV171" i="67"/>
  <c r="EG171" i="67"/>
  <c r="DR171" i="67"/>
  <c r="DC171" i="67"/>
  <c r="CN171" i="67"/>
  <c r="BZ171" i="67"/>
  <c r="AX171" i="67"/>
  <c r="BL171" i="67"/>
  <c r="AJ171" i="67"/>
  <c r="W79" i="67"/>
  <c r="GA79" i="67"/>
  <c r="FL79" i="67"/>
  <c r="EW79" i="67"/>
  <c r="EH79" i="67"/>
  <c r="DS79" i="67"/>
  <c r="DD79" i="67"/>
  <c r="CO79" i="67"/>
  <c r="CA79" i="67"/>
  <c r="BM79" i="67"/>
  <c r="AK79" i="67"/>
  <c r="AY79" i="67"/>
  <c r="W93" i="67"/>
  <c r="GA93" i="67"/>
  <c r="FL93" i="67"/>
  <c r="EW93" i="67"/>
  <c r="EH93" i="67"/>
  <c r="DD93" i="67"/>
  <c r="DS93" i="67"/>
  <c r="CO93" i="67"/>
  <c r="CA93" i="67"/>
  <c r="BM93" i="67"/>
  <c r="AY93" i="67"/>
  <c r="AK93" i="67"/>
  <c r="W161" i="67"/>
  <c r="GA161" i="67"/>
  <c r="FL161" i="67"/>
  <c r="EW161" i="67"/>
  <c r="EH161" i="67"/>
  <c r="DS161" i="67"/>
  <c r="CO161" i="67"/>
  <c r="DD161" i="67"/>
  <c r="CA161" i="67"/>
  <c r="BM161" i="67"/>
  <c r="AY161" i="67"/>
  <c r="AK161" i="67"/>
  <c r="M94" i="67"/>
  <c r="FQ94" i="67"/>
  <c r="FB94" i="67"/>
  <c r="EM94" i="67"/>
  <c r="DX94" i="67"/>
  <c r="DI94" i="67"/>
  <c r="CT94" i="67"/>
  <c r="CE94" i="67"/>
  <c r="BQ94" i="67"/>
  <c r="BC94" i="67"/>
  <c r="AO94" i="67"/>
  <c r="AA94" i="67"/>
  <c r="W145" i="67"/>
  <c r="GA145" i="67"/>
  <c r="FL145" i="67"/>
  <c r="EW145" i="67"/>
  <c r="EH145" i="67"/>
  <c r="DS145" i="67"/>
  <c r="DD145" i="67"/>
  <c r="CO145" i="67"/>
  <c r="CA145" i="67"/>
  <c r="BM145" i="67"/>
  <c r="AK145" i="67"/>
  <c r="AY145" i="67"/>
  <c r="W84" i="67"/>
  <c r="GA84" i="67"/>
  <c r="FL84" i="67"/>
  <c r="EW84" i="67"/>
  <c r="EH84" i="67"/>
  <c r="DS84" i="67"/>
  <c r="DD84" i="67"/>
  <c r="CO84" i="67"/>
  <c r="CA84" i="67"/>
  <c r="BM84" i="67"/>
  <c r="AK84" i="67"/>
  <c r="AY84" i="67"/>
  <c r="W22" i="67"/>
  <c r="FL22" i="67"/>
  <c r="GA22" i="67"/>
  <c r="EW22" i="67"/>
  <c r="EH22" i="67"/>
  <c r="DS22" i="67"/>
  <c r="DD22" i="67"/>
  <c r="CO22" i="67"/>
  <c r="CA22" i="67"/>
  <c r="BM22" i="67"/>
  <c r="AY22" i="67"/>
  <c r="AK22" i="67"/>
  <c r="V153" i="67"/>
  <c r="FZ153" i="67"/>
  <c r="FK153" i="67"/>
  <c r="EV153" i="67"/>
  <c r="EG153" i="67"/>
  <c r="DR153" i="67"/>
  <c r="DC153" i="67"/>
  <c r="CN153" i="67"/>
  <c r="BZ153" i="67"/>
  <c r="AX153" i="67"/>
  <c r="BL153" i="67"/>
  <c r="AJ153" i="67"/>
  <c r="V91" i="67"/>
  <c r="FZ91" i="67"/>
  <c r="FK91" i="67"/>
  <c r="EV91" i="67"/>
  <c r="EG91" i="67"/>
  <c r="DR91" i="67"/>
  <c r="DC91" i="67"/>
  <c r="CN91" i="67"/>
  <c r="BZ91" i="67"/>
  <c r="AX91" i="67"/>
  <c r="BL91" i="67"/>
  <c r="AJ91" i="67"/>
  <c r="M160" i="67"/>
  <c r="FQ160" i="67"/>
  <c r="FB160" i="67"/>
  <c r="EM160" i="67"/>
  <c r="DX160" i="67"/>
  <c r="DI160" i="67"/>
  <c r="CT160" i="67"/>
  <c r="CE160" i="67"/>
  <c r="BQ160" i="67"/>
  <c r="BC160" i="67"/>
  <c r="AO160" i="67"/>
  <c r="AA160" i="67"/>
  <c r="M98" i="67"/>
  <c r="FQ98" i="67"/>
  <c r="EM98" i="67"/>
  <c r="FB98" i="67"/>
  <c r="DX98" i="67"/>
  <c r="DI98" i="67"/>
  <c r="CT98" i="67"/>
  <c r="CE98" i="67"/>
  <c r="BQ98" i="67"/>
  <c r="BC98" i="67"/>
  <c r="AO98" i="67"/>
  <c r="AA98" i="67"/>
  <c r="M35" i="67"/>
  <c r="FQ35" i="67"/>
  <c r="FB35" i="67"/>
  <c r="EM35" i="67"/>
  <c r="DI35" i="67"/>
  <c r="DX35" i="67"/>
  <c r="CT35" i="67"/>
  <c r="BQ35" i="67"/>
  <c r="CE35" i="67"/>
  <c r="BC35" i="67"/>
  <c r="AA35" i="67"/>
  <c r="AO35" i="67"/>
  <c r="W178" i="67"/>
  <c r="GA178" i="67"/>
  <c r="FL178" i="67"/>
  <c r="EW178" i="67"/>
  <c r="EH178" i="67"/>
  <c r="DS178" i="67"/>
  <c r="DD178" i="67"/>
  <c r="CO178" i="67"/>
  <c r="CA178" i="67"/>
  <c r="BM178" i="67"/>
  <c r="AY178" i="67"/>
  <c r="AK178" i="67"/>
  <c r="W121" i="67"/>
  <c r="GA121" i="67"/>
  <c r="FL121" i="67"/>
  <c r="EW121" i="67"/>
  <c r="EH121" i="67"/>
  <c r="DS121" i="67"/>
  <c r="DD121" i="67"/>
  <c r="CO121" i="67"/>
  <c r="CA121" i="67"/>
  <c r="BM121" i="67"/>
  <c r="AY121" i="67"/>
  <c r="AK121" i="67"/>
  <c r="W59" i="67"/>
  <c r="GA59" i="67"/>
  <c r="FL59" i="67"/>
  <c r="EW59" i="67"/>
  <c r="EH59" i="67"/>
  <c r="DS59" i="67"/>
  <c r="DD59" i="67"/>
  <c r="CO59" i="67"/>
  <c r="CA59" i="67"/>
  <c r="BM59" i="67"/>
  <c r="AK59" i="67"/>
  <c r="AY59" i="67"/>
  <c r="V129" i="67"/>
  <c r="FZ129" i="67"/>
  <c r="FK129" i="67"/>
  <c r="EV129" i="67"/>
  <c r="EG129" i="67"/>
  <c r="DR129" i="67"/>
  <c r="DC129" i="67"/>
  <c r="CN129" i="67"/>
  <c r="BZ129" i="67"/>
  <c r="AX129" i="67"/>
  <c r="BL129" i="67"/>
  <c r="AJ129" i="67"/>
  <c r="V67" i="67"/>
  <c r="FZ67" i="67"/>
  <c r="FK67" i="67"/>
  <c r="EV67" i="67"/>
  <c r="EG67" i="67"/>
  <c r="DR67" i="67"/>
  <c r="DC67" i="67"/>
  <c r="CN67" i="67"/>
  <c r="BZ67" i="67"/>
  <c r="AX67" i="67"/>
  <c r="BL67" i="67"/>
  <c r="AJ67" i="67"/>
  <c r="M137" i="67"/>
  <c r="FQ137" i="67"/>
  <c r="EM137" i="67"/>
  <c r="FB137" i="67"/>
  <c r="DX137" i="67"/>
  <c r="CT137" i="67"/>
  <c r="DI137" i="67"/>
  <c r="CE137" i="67"/>
  <c r="BQ137" i="67"/>
  <c r="BC137" i="67"/>
  <c r="AA137" i="67"/>
  <c r="AO137" i="67"/>
  <c r="M75" i="67"/>
  <c r="FQ75" i="67"/>
  <c r="FB75" i="67"/>
  <c r="EM75" i="67"/>
  <c r="DX75" i="67"/>
  <c r="DI75" i="67"/>
  <c r="CE75" i="67"/>
  <c r="CT75" i="67"/>
  <c r="BQ75" i="67"/>
  <c r="BC75" i="67"/>
  <c r="AA75" i="67"/>
  <c r="AO75" i="67"/>
  <c r="W143" i="67"/>
  <c r="GA143" i="67"/>
  <c r="FL143" i="67"/>
  <c r="EW143" i="67"/>
  <c r="DS143" i="67"/>
  <c r="EH143" i="67"/>
  <c r="CO143" i="67"/>
  <c r="DD143" i="67"/>
  <c r="CA143" i="67"/>
  <c r="BM143" i="67"/>
  <c r="AY143" i="67"/>
  <c r="AK143" i="67"/>
  <c r="W82" i="67"/>
  <c r="GA82" i="67"/>
  <c r="FL82" i="67"/>
  <c r="EW82" i="67"/>
  <c r="DS82" i="67"/>
  <c r="EH82" i="67"/>
  <c r="DD82" i="67"/>
  <c r="CO82" i="67"/>
  <c r="CA82" i="67"/>
  <c r="BM82" i="67"/>
  <c r="AY82" i="67"/>
  <c r="AK82" i="67"/>
  <c r="W20" i="67"/>
  <c r="GA20" i="67"/>
  <c r="FL20" i="67"/>
  <c r="EW20" i="67"/>
  <c r="EH20" i="67"/>
  <c r="DS20" i="67"/>
  <c r="DD20" i="67"/>
  <c r="CO20" i="67"/>
  <c r="CA20" i="67"/>
  <c r="BM20" i="67"/>
  <c r="AY20" i="67"/>
  <c r="AK20" i="67"/>
  <c r="V151" i="67"/>
  <c r="FZ151" i="67"/>
  <c r="FK151" i="67"/>
  <c r="EV151" i="67"/>
  <c r="EG151" i="67"/>
  <c r="DR151" i="67"/>
  <c r="DC151" i="67"/>
  <c r="CN151" i="67"/>
  <c r="BZ151" i="67"/>
  <c r="AX151" i="67"/>
  <c r="BL151" i="67"/>
  <c r="AJ151" i="67"/>
  <c r="V89" i="67"/>
  <c r="FZ89" i="67"/>
  <c r="FK89" i="67"/>
  <c r="EV89" i="67"/>
  <c r="EG89" i="67"/>
  <c r="DR89" i="67"/>
  <c r="DC89" i="67"/>
  <c r="CN89" i="67"/>
  <c r="BZ89" i="67"/>
  <c r="AX89" i="67"/>
  <c r="BL89" i="67"/>
  <c r="AJ89" i="67"/>
  <c r="V28" i="67"/>
  <c r="FZ28" i="67"/>
  <c r="FK28" i="67"/>
  <c r="EV28" i="67"/>
  <c r="EG28" i="67"/>
  <c r="DR28" i="67"/>
  <c r="DC28" i="67"/>
  <c r="BZ28" i="67"/>
  <c r="CN28" i="67"/>
  <c r="AX28" i="67"/>
  <c r="BL28" i="67"/>
  <c r="AJ28" i="67"/>
  <c r="M158" i="67"/>
  <c r="FQ158" i="67"/>
  <c r="FB158" i="67"/>
  <c r="EM158" i="67"/>
  <c r="DX158" i="67"/>
  <c r="DI158" i="67"/>
  <c r="CT158" i="67"/>
  <c r="CE158" i="67"/>
  <c r="BC158" i="67"/>
  <c r="AA158" i="67"/>
  <c r="BQ158" i="67"/>
  <c r="AO158" i="67"/>
  <c r="M194" i="67"/>
  <c r="CT194" i="67"/>
  <c r="DH194" i="67" s="1"/>
  <c r="BQ194" i="67"/>
  <c r="CE194" i="67"/>
  <c r="BC194" i="67"/>
  <c r="AA194" i="67"/>
  <c r="AO194" i="67"/>
  <c r="M33" i="67"/>
  <c r="FQ33" i="67"/>
  <c r="FB33" i="67"/>
  <c r="EM33" i="67"/>
  <c r="DX33" i="67"/>
  <c r="DI33" i="67"/>
  <c r="CT33" i="67"/>
  <c r="BQ33" i="67"/>
  <c r="CE33" i="67"/>
  <c r="BC33" i="67"/>
  <c r="AA33" i="67"/>
  <c r="AO33" i="67"/>
  <c r="W174" i="67"/>
  <c r="GA174" i="67"/>
  <c r="FL174" i="67"/>
  <c r="EW174" i="67"/>
  <c r="EH174" i="67"/>
  <c r="CO174" i="67"/>
  <c r="DD174" i="67"/>
  <c r="DS174" i="67"/>
  <c r="BM174" i="67"/>
  <c r="CA174" i="67"/>
  <c r="AY174" i="67"/>
  <c r="AK174" i="67"/>
  <c r="W119" i="67"/>
  <c r="GA119" i="67"/>
  <c r="FL119" i="67"/>
  <c r="EW119" i="67"/>
  <c r="EH119" i="67"/>
  <c r="CO119" i="67"/>
  <c r="DD119" i="67"/>
  <c r="DS119" i="67"/>
  <c r="CA119" i="67"/>
  <c r="BM119" i="67"/>
  <c r="AY119" i="67"/>
  <c r="AK119" i="67"/>
  <c r="W57" i="67"/>
  <c r="GA57" i="67"/>
  <c r="FL57" i="67"/>
  <c r="EW57" i="67"/>
  <c r="EH57" i="67"/>
  <c r="DS57" i="67"/>
  <c r="DD57" i="67"/>
  <c r="CO57" i="67"/>
  <c r="CA57" i="67"/>
  <c r="BM57" i="67"/>
  <c r="AK57" i="67"/>
  <c r="AY57" i="67"/>
  <c r="V193" i="67"/>
  <c r="FZ193" i="67"/>
  <c r="FK193" i="67"/>
  <c r="EV193" i="67"/>
  <c r="DR193" i="67"/>
  <c r="DC193" i="67"/>
  <c r="EG193" i="67"/>
  <c r="CN193" i="67"/>
  <c r="AX193" i="67"/>
  <c r="BL193" i="67"/>
  <c r="BZ193" i="67"/>
  <c r="AJ193" i="67"/>
  <c r="V127" i="67"/>
  <c r="FZ127" i="67"/>
  <c r="FK127" i="67"/>
  <c r="EV127" i="67"/>
  <c r="DR127" i="67"/>
  <c r="DC127" i="67"/>
  <c r="EG127" i="67"/>
  <c r="CN127" i="67"/>
  <c r="BZ127" i="67"/>
  <c r="AX127" i="67"/>
  <c r="BL127" i="67"/>
  <c r="AJ127" i="67"/>
  <c r="V65" i="67"/>
  <c r="FZ65" i="67"/>
  <c r="FK65" i="67"/>
  <c r="EV65" i="67"/>
  <c r="DR65" i="67"/>
  <c r="EG65" i="67"/>
  <c r="DC65" i="67"/>
  <c r="BZ65" i="67"/>
  <c r="AX65" i="67"/>
  <c r="CN65" i="67"/>
  <c r="BL65" i="67"/>
  <c r="AJ65" i="67"/>
  <c r="M186" i="67"/>
  <c r="FQ186" i="67"/>
  <c r="FB186" i="67"/>
  <c r="EM186" i="67"/>
  <c r="DX186" i="67"/>
  <c r="DI186" i="67"/>
  <c r="CT186" i="67"/>
  <c r="CE186" i="67"/>
  <c r="BC186" i="67"/>
  <c r="BQ186" i="67"/>
  <c r="AA186" i="67"/>
  <c r="AO186" i="67"/>
  <c r="M135" i="67"/>
  <c r="FQ135" i="67"/>
  <c r="FB135" i="67"/>
  <c r="EM135" i="67"/>
  <c r="DX135" i="67"/>
  <c r="DI135" i="67"/>
  <c r="CT135" i="67"/>
  <c r="CE135" i="67"/>
  <c r="BC135" i="67"/>
  <c r="BQ135" i="67"/>
  <c r="AA135" i="67"/>
  <c r="AO135" i="67"/>
  <c r="M73" i="67"/>
  <c r="FQ73" i="67"/>
  <c r="FB73" i="67"/>
  <c r="DX73" i="67"/>
  <c r="EM73" i="67"/>
  <c r="DI73" i="67"/>
  <c r="CT73" i="67"/>
  <c r="CE73" i="67"/>
  <c r="BQ73" i="67"/>
  <c r="BC73" i="67"/>
  <c r="AA73" i="67"/>
  <c r="AO73" i="67"/>
  <c r="W167" i="67"/>
  <c r="GA167" i="67"/>
  <c r="FL167" i="67"/>
  <c r="EW167" i="67"/>
  <c r="EH167" i="67"/>
  <c r="DS167" i="67"/>
  <c r="DD167" i="67"/>
  <c r="CO167" i="67"/>
  <c r="CA167" i="67"/>
  <c r="BM167" i="67"/>
  <c r="AK167" i="67"/>
  <c r="AY167" i="67"/>
  <c r="W102" i="67"/>
  <c r="GA102" i="67"/>
  <c r="FL102" i="67"/>
  <c r="EW102" i="67"/>
  <c r="EH102" i="67"/>
  <c r="DS102" i="67"/>
  <c r="CO102" i="67"/>
  <c r="DD102" i="67"/>
  <c r="CA102" i="67"/>
  <c r="BM102" i="67"/>
  <c r="AK102" i="67"/>
  <c r="AY102" i="67"/>
  <c r="W40" i="67"/>
  <c r="GA40" i="67"/>
  <c r="FL40" i="67"/>
  <c r="EW40" i="67"/>
  <c r="EH40" i="67"/>
  <c r="DS40" i="67"/>
  <c r="DD40" i="67"/>
  <c r="CO40" i="67"/>
  <c r="CA40" i="67"/>
  <c r="BM40" i="67"/>
  <c r="AK40" i="67"/>
  <c r="AY40" i="67"/>
  <c r="V164" i="67"/>
  <c r="FZ164" i="67"/>
  <c r="FK164" i="67"/>
  <c r="EV164" i="67"/>
  <c r="DR164" i="67"/>
  <c r="EG164" i="67"/>
  <c r="DC164" i="67"/>
  <c r="CN164" i="67"/>
  <c r="BZ164" i="67"/>
  <c r="AX164" i="67"/>
  <c r="BL164" i="67"/>
  <c r="AJ164" i="67"/>
  <c r="V110" i="67"/>
  <c r="FZ110" i="67"/>
  <c r="FK110" i="67"/>
  <c r="EV110" i="67"/>
  <c r="DR110" i="67"/>
  <c r="EG110" i="67"/>
  <c r="CN110" i="67"/>
  <c r="DC110" i="67"/>
  <c r="AX110" i="67"/>
  <c r="BL110" i="67"/>
  <c r="BZ110" i="67"/>
  <c r="AJ110" i="67"/>
  <c r="V48" i="67"/>
  <c r="FZ48" i="67"/>
  <c r="FK48" i="67"/>
  <c r="EG48" i="67"/>
  <c r="EV48" i="67"/>
  <c r="DR48" i="67"/>
  <c r="DC48" i="67"/>
  <c r="BZ48" i="67"/>
  <c r="CN48" i="67"/>
  <c r="BL48" i="67"/>
  <c r="AX48" i="67"/>
  <c r="AJ48" i="67"/>
  <c r="M173" i="67"/>
  <c r="FQ173" i="67"/>
  <c r="FB173" i="67"/>
  <c r="EM173" i="67"/>
  <c r="DX173" i="67"/>
  <c r="CT173" i="67"/>
  <c r="DI173" i="67"/>
  <c r="CE173" i="67"/>
  <c r="BQ173" i="67"/>
  <c r="BC173" i="67"/>
  <c r="AO173" i="67"/>
  <c r="AA173" i="67"/>
  <c r="M118" i="67"/>
  <c r="FQ118" i="67"/>
  <c r="FB118" i="67"/>
  <c r="EM118" i="67"/>
  <c r="DX118" i="67"/>
  <c r="CT118" i="67"/>
  <c r="DI118" i="67"/>
  <c r="CE118" i="67"/>
  <c r="BC118" i="67"/>
  <c r="BQ118" i="67"/>
  <c r="AO118" i="67"/>
  <c r="AA118" i="67"/>
  <c r="M56" i="67"/>
  <c r="FQ56" i="67"/>
  <c r="FB56" i="67"/>
  <c r="EM56" i="67"/>
  <c r="DX56" i="67"/>
  <c r="DI56" i="67"/>
  <c r="CE56" i="67"/>
  <c r="CT56" i="67"/>
  <c r="BQ56" i="67"/>
  <c r="BC56" i="67"/>
  <c r="AA56" i="67"/>
  <c r="AO56" i="67"/>
  <c r="M40" i="67"/>
  <c r="FQ40" i="67"/>
  <c r="FB40" i="67"/>
  <c r="EM40" i="67"/>
  <c r="DI40" i="67"/>
  <c r="DX40" i="67"/>
  <c r="CT40" i="67"/>
  <c r="BQ40" i="67"/>
  <c r="CE40" i="67"/>
  <c r="BC40" i="67"/>
  <c r="AA40" i="67"/>
  <c r="AO40" i="67"/>
  <c r="M172" i="67"/>
  <c r="FQ172" i="67"/>
  <c r="FB172" i="67"/>
  <c r="EM172" i="67"/>
  <c r="DX172" i="67"/>
  <c r="DI172" i="67"/>
  <c r="CT172" i="67"/>
  <c r="CE172" i="67"/>
  <c r="BQ172" i="67"/>
  <c r="BC172" i="67"/>
  <c r="AO172" i="67"/>
  <c r="AA172" i="67"/>
  <c r="W180" i="67"/>
  <c r="GA180" i="67"/>
  <c r="FL180" i="67"/>
  <c r="EW180" i="67"/>
  <c r="EH180" i="67"/>
  <c r="DS180" i="67"/>
  <c r="CO180" i="67"/>
  <c r="DD180" i="67"/>
  <c r="CA180" i="67"/>
  <c r="BM180" i="67"/>
  <c r="AY180" i="67"/>
  <c r="AK180" i="67"/>
  <c r="M47" i="67"/>
  <c r="FQ47" i="67"/>
  <c r="FB47" i="67"/>
  <c r="EM47" i="67"/>
  <c r="DI47" i="67"/>
  <c r="DX47" i="67"/>
  <c r="CT47" i="67"/>
  <c r="BQ47" i="67"/>
  <c r="CE47" i="67"/>
  <c r="BC47" i="67"/>
  <c r="AO47" i="67"/>
  <c r="AA47" i="67"/>
  <c r="V23" i="67"/>
  <c r="FZ23" i="67"/>
  <c r="FK23" i="67"/>
  <c r="EV23" i="67"/>
  <c r="EG23" i="67"/>
  <c r="DR23" i="67"/>
  <c r="DC23" i="67"/>
  <c r="CN23" i="67"/>
  <c r="BZ23" i="67"/>
  <c r="BL23" i="67"/>
  <c r="AX23" i="67"/>
  <c r="AJ23" i="67"/>
  <c r="V180" i="67"/>
  <c r="FZ180" i="67"/>
  <c r="FK180" i="67"/>
  <c r="EV180" i="67"/>
  <c r="EG180" i="67"/>
  <c r="DR180" i="67"/>
  <c r="DC180" i="67"/>
  <c r="CN180" i="67"/>
  <c r="BZ180" i="67"/>
  <c r="AX180" i="67"/>
  <c r="BL180" i="67"/>
  <c r="AJ180" i="67"/>
  <c r="W156" i="67"/>
  <c r="GA156" i="67"/>
  <c r="FL156" i="67"/>
  <c r="EW156" i="67"/>
  <c r="EH156" i="67"/>
  <c r="DS156" i="67"/>
  <c r="DD156" i="67"/>
  <c r="CO156" i="67"/>
  <c r="CA156" i="67"/>
  <c r="BM156" i="67"/>
  <c r="AY156" i="67"/>
  <c r="AK156" i="67"/>
  <c r="M140" i="67"/>
  <c r="FQ140" i="67"/>
  <c r="FB140" i="67"/>
  <c r="EM140" i="67"/>
  <c r="DX140" i="67"/>
  <c r="DI140" i="67"/>
  <c r="CT140" i="67"/>
  <c r="BQ140" i="67"/>
  <c r="CE140" i="67"/>
  <c r="BC140" i="67"/>
  <c r="AA140" i="67"/>
  <c r="AO140" i="67"/>
  <c r="M70" i="67"/>
  <c r="FQ70" i="67"/>
  <c r="FB70" i="67"/>
  <c r="EM70" i="67"/>
  <c r="DX70" i="67"/>
  <c r="DI70" i="67"/>
  <c r="CE70" i="67"/>
  <c r="CT70" i="67"/>
  <c r="BQ70" i="67"/>
  <c r="BC70" i="67"/>
  <c r="AO70" i="67"/>
  <c r="AA70" i="67"/>
  <c r="V39" i="67"/>
  <c r="FZ39" i="67"/>
  <c r="FK39" i="67"/>
  <c r="EV39" i="67"/>
  <c r="EG39" i="67"/>
  <c r="DR39" i="67"/>
  <c r="DC39" i="67"/>
  <c r="BZ39" i="67"/>
  <c r="CN39" i="67"/>
  <c r="AJ39" i="67"/>
  <c r="BL39" i="67"/>
  <c r="AX39" i="67"/>
  <c r="W15" i="67"/>
  <c r="GA15" i="67"/>
  <c r="FL15" i="67"/>
  <c r="EW15" i="67"/>
  <c r="EH15" i="67"/>
  <c r="DS15" i="67"/>
  <c r="DD15" i="67"/>
  <c r="CO15" i="67"/>
  <c r="CA15" i="67"/>
  <c r="BM15" i="67"/>
  <c r="AK15" i="67"/>
  <c r="AY15" i="67"/>
  <c r="W171" i="67"/>
  <c r="GA171" i="67"/>
  <c r="FL171" i="67"/>
  <c r="EW171" i="67"/>
  <c r="EH171" i="67"/>
  <c r="DS171" i="67"/>
  <c r="CO171" i="67"/>
  <c r="DD171" i="67"/>
  <c r="CA171" i="67"/>
  <c r="BM171" i="67"/>
  <c r="AY171" i="67"/>
  <c r="AK171" i="67"/>
  <c r="W45" i="67"/>
  <c r="GA45" i="67"/>
  <c r="FL45" i="67"/>
  <c r="EW45" i="67"/>
  <c r="EH45" i="67"/>
  <c r="DS45" i="67"/>
  <c r="DD45" i="67"/>
  <c r="CO45" i="67"/>
  <c r="CA45" i="67"/>
  <c r="BM45" i="67"/>
  <c r="AY45" i="67"/>
  <c r="AK45" i="67"/>
  <c r="M156" i="67"/>
  <c r="FQ156" i="67"/>
  <c r="FB156" i="67"/>
  <c r="EM156" i="67"/>
  <c r="DX156" i="67"/>
  <c r="DI156" i="67"/>
  <c r="CT156" i="67"/>
  <c r="CE156" i="67"/>
  <c r="BQ156" i="67"/>
  <c r="BC156" i="67"/>
  <c r="AO156" i="67"/>
  <c r="AA156" i="67"/>
  <c r="M115" i="67"/>
  <c r="FQ115" i="67"/>
  <c r="EM115" i="67"/>
  <c r="FB115" i="67"/>
  <c r="DX115" i="67"/>
  <c r="DI115" i="67"/>
  <c r="CT115" i="67"/>
  <c r="CE115" i="67"/>
  <c r="BQ115" i="67"/>
  <c r="BC115" i="67"/>
  <c r="AO115" i="67"/>
  <c r="AA115" i="67"/>
  <c r="M123" i="67"/>
  <c r="FQ123" i="67"/>
  <c r="EM123" i="67"/>
  <c r="FB123" i="67"/>
  <c r="DX123" i="67"/>
  <c r="DI123" i="67"/>
  <c r="CT123" i="67"/>
  <c r="CE123" i="67"/>
  <c r="BQ123" i="67"/>
  <c r="BC123" i="67"/>
  <c r="AO123" i="67"/>
  <c r="AA123" i="67"/>
  <c r="V46" i="67"/>
  <c r="FZ46" i="67"/>
  <c r="FK46" i="67"/>
  <c r="EV46" i="67"/>
  <c r="EG46" i="67"/>
  <c r="DR46" i="67"/>
  <c r="DC46" i="67"/>
  <c r="CN46" i="67"/>
  <c r="BZ46" i="67"/>
  <c r="AJ46" i="67"/>
  <c r="BL46" i="67"/>
  <c r="AX46" i="67"/>
  <c r="V31" i="67"/>
  <c r="FZ31" i="67"/>
  <c r="FK31" i="67"/>
  <c r="EV31" i="67"/>
  <c r="EG31" i="67"/>
  <c r="DR31" i="67"/>
  <c r="DC31" i="67"/>
  <c r="BZ31" i="67"/>
  <c r="CN31" i="67"/>
  <c r="BL31" i="67"/>
  <c r="AJ31" i="67"/>
  <c r="AX31" i="67"/>
  <c r="V189" i="67"/>
  <c r="FZ189" i="67"/>
  <c r="FK189" i="67"/>
  <c r="EV189" i="67"/>
  <c r="EG189" i="67"/>
  <c r="DR189" i="67"/>
  <c r="DC189" i="67"/>
  <c r="CN189" i="67"/>
  <c r="BZ189" i="67"/>
  <c r="AX189" i="67"/>
  <c r="BL189" i="67"/>
  <c r="AJ189" i="67"/>
  <c r="W163" i="67"/>
  <c r="GA163" i="67"/>
  <c r="FL163" i="67"/>
  <c r="EW163" i="67"/>
  <c r="EH163" i="67"/>
  <c r="DS163" i="67"/>
  <c r="CO163" i="67"/>
  <c r="DD163" i="67"/>
  <c r="CA163" i="67"/>
  <c r="BM163" i="67"/>
  <c r="AK163" i="67"/>
  <c r="AY163" i="67"/>
  <c r="V45" i="67"/>
  <c r="FZ45" i="67"/>
  <c r="FK45" i="67"/>
  <c r="EV45" i="67"/>
  <c r="EG45" i="67"/>
  <c r="DR45" i="67"/>
  <c r="DC45" i="67"/>
  <c r="CN45" i="67"/>
  <c r="BZ45" i="67"/>
  <c r="AJ45" i="67"/>
  <c r="BL45" i="67"/>
  <c r="AX45" i="67"/>
  <c r="M161" i="67"/>
  <c r="FQ161" i="67"/>
  <c r="FB161" i="67"/>
  <c r="EM161" i="67"/>
  <c r="DX161" i="67"/>
  <c r="DI161" i="67"/>
  <c r="CT161" i="67"/>
  <c r="CE161" i="67"/>
  <c r="BQ161" i="67"/>
  <c r="BC161" i="67"/>
  <c r="AO161" i="67"/>
  <c r="AA161" i="67"/>
  <c r="M21" i="67"/>
  <c r="FQ21" i="67"/>
  <c r="FB21" i="67"/>
  <c r="EM21" i="67"/>
  <c r="DI21" i="67"/>
  <c r="DX21" i="67"/>
  <c r="CT21" i="67"/>
  <c r="BQ21" i="67"/>
  <c r="CE21" i="67"/>
  <c r="BC21" i="67"/>
  <c r="AO21" i="67"/>
  <c r="AA21" i="67"/>
  <c r="M181" i="67"/>
  <c r="FQ181" i="67"/>
  <c r="FB181" i="67"/>
  <c r="EM181" i="67"/>
  <c r="DX181" i="67"/>
  <c r="DI181" i="67"/>
  <c r="CT181" i="67"/>
  <c r="CE181" i="67"/>
  <c r="BQ181" i="67"/>
  <c r="BC181" i="67"/>
  <c r="AO181" i="67"/>
  <c r="AA181" i="67"/>
  <c r="V161" i="67"/>
  <c r="FZ161" i="67"/>
  <c r="FK161" i="67"/>
  <c r="EV161" i="67"/>
  <c r="EG161" i="67"/>
  <c r="DR161" i="67"/>
  <c r="DC161" i="67"/>
  <c r="CN161" i="67"/>
  <c r="BZ161" i="67"/>
  <c r="AX161" i="67"/>
  <c r="BL161" i="67"/>
  <c r="AJ161" i="67"/>
  <c r="W132" i="67"/>
  <c r="GA132" i="67"/>
  <c r="FL132" i="67"/>
  <c r="EW132" i="67"/>
  <c r="EH132" i="67"/>
  <c r="DS132" i="67"/>
  <c r="CO132" i="67"/>
  <c r="DD132" i="67"/>
  <c r="CA132" i="67"/>
  <c r="BM132" i="67"/>
  <c r="AK132" i="67"/>
  <c r="AY132" i="67"/>
  <c r="M170" i="67"/>
  <c r="FQ170" i="67"/>
  <c r="FB170" i="67"/>
  <c r="EM170" i="67"/>
  <c r="DX170" i="67"/>
  <c r="DI170" i="67"/>
  <c r="CT170" i="67"/>
  <c r="CE170" i="67"/>
  <c r="BQ170" i="67"/>
  <c r="BC170" i="67"/>
  <c r="AO170" i="67"/>
  <c r="AA170" i="67"/>
  <c r="M163" i="67"/>
  <c r="FQ163" i="67"/>
  <c r="FB163" i="67"/>
  <c r="EM163" i="67"/>
  <c r="DX163" i="67"/>
  <c r="DI163" i="67"/>
  <c r="CT163" i="67"/>
  <c r="BQ163" i="67"/>
  <c r="CE163" i="67"/>
  <c r="BC163" i="67"/>
  <c r="AA163" i="67"/>
  <c r="AO163" i="67"/>
  <c r="W115" i="67"/>
  <c r="GA115" i="67"/>
  <c r="FL115" i="67"/>
  <c r="EW115" i="67"/>
  <c r="EH115" i="67"/>
  <c r="DS115" i="67"/>
  <c r="DD115" i="67"/>
  <c r="CO115" i="67"/>
  <c r="CA115" i="67"/>
  <c r="BM115" i="67"/>
  <c r="AY115" i="67"/>
  <c r="AK115" i="67"/>
  <c r="M139" i="67"/>
  <c r="FQ139" i="67"/>
  <c r="FB139" i="67"/>
  <c r="EM139" i="67"/>
  <c r="DX139" i="67"/>
  <c r="DI139" i="67"/>
  <c r="CT139" i="67"/>
  <c r="CE139" i="67"/>
  <c r="BQ139" i="67"/>
  <c r="BC139" i="67"/>
  <c r="AA139" i="67"/>
  <c r="AO139" i="67"/>
  <c r="W188" i="67"/>
  <c r="GA188" i="67"/>
  <c r="FL188" i="67"/>
  <c r="EW188" i="67"/>
  <c r="EH188" i="67"/>
  <c r="DS188" i="67"/>
  <c r="DD188" i="67"/>
  <c r="CO188" i="67"/>
  <c r="CA188" i="67"/>
  <c r="BM188" i="67"/>
  <c r="AY188" i="67"/>
  <c r="AK188" i="67"/>
  <c r="W138" i="67"/>
  <c r="GA138" i="67"/>
  <c r="FL138" i="67"/>
  <c r="EW138" i="67"/>
  <c r="EH138" i="67"/>
  <c r="DS138" i="67"/>
  <c r="DD138" i="67"/>
  <c r="CO138" i="67"/>
  <c r="CA138" i="67"/>
  <c r="BM138" i="67"/>
  <c r="AY138" i="67"/>
  <c r="AK138" i="67"/>
  <c r="W76" i="67"/>
  <c r="GA76" i="67"/>
  <c r="FL76" i="67"/>
  <c r="EW76" i="67"/>
  <c r="EH76" i="67"/>
  <c r="DS76" i="67"/>
  <c r="DD76" i="67"/>
  <c r="CO76" i="67"/>
  <c r="CA76" i="67"/>
  <c r="BM76" i="67"/>
  <c r="AY76" i="67"/>
  <c r="AK76" i="67"/>
  <c r="W14" i="67"/>
  <c r="FL14" i="67"/>
  <c r="GA14" i="67"/>
  <c r="EW14" i="67"/>
  <c r="EH14" i="67"/>
  <c r="DS14" i="67"/>
  <c r="DD14" i="67"/>
  <c r="CO14" i="67"/>
  <c r="CA14" i="67"/>
  <c r="AK14" i="67"/>
  <c r="BM14" i="67"/>
  <c r="AY14" i="67"/>
  <c r="V145" i="67"/>
  <c r="FZ145" i="67"/>
  <c r="FK145" i="67"/>
  <c r="EV145" i="67"/>
  <c r="EG145" i="67"/>
  <c r="DR145" i="67"/>
  <c r="DC145" i="67"/>
  <c r="CN145" i="67"/>
  <c r="BZ145" i="67"/>
  <c r="AX145" i="67"/>
  <c r="BL145" i="67"/>
  <c r="AJ145" i="67"/>
  <c r="V84" i="67"/>
  <c r="FZ84" i="67"/>
  <c r="FK84" i="67"/>
  <c r="EV84" i="67"/>
  <c r="EG84" i="67"/>
  <c r="DR84" i="67"/>
  <c r="DC84" i="67"/>
  <c r="CN84" i="67"/>
  <c r="BZ84" i="67"/>
  <c r="AX84" i="67"/>
  <c r="BL84" i="67"/>
  <c r="AJ84" i="67"/>
  <c r="V22" i="67"/>
  <c r="FZ22" i="67"/>
  <c r="FK22" i="67"/>
  <c r="EV22" i="67"/>
  <c r="EG22" i="67"/>
  <c r="DR22" i="67"/>
  <c r="DC22" i="67"/>
  <c r="CN22" i="67"/>
  <c r="BZ22" i="67"/>
  <c r="AX22" i="67"/>
  <c r="BL22" i="67"/>
  <c r="AJ22" i="67"/>
  <c r="M153" i="67"/>
  <c r="FQ153" i="67"/>
  <c r="FB153" i="67"/>
  <c r="EM153" i="67"/>
  <c r="DX153" i="67"/>
  <c r="DI153" i="67"/>
  <c r="CT153" i="67"/>
  <c r="CE153" i="67"/>
  <c r="BQ153" i="67"/>
  <c r="BC153" i="67"/>
  <c r="AO153" i="67"/>
  <c r="AA153" i="67"/>
  <c r="M91" i="67"/>
  <c r="FQ91" i="67"/>
  <c r="EM91" i="67"/>
  <c r="FB91" i="67"/>
  <c r="DX91" i="67"/>
  <c r="DI91" i="67"/>
  <c r="CT91" i="67"/>
  <c r="CE91" i="67"/>
  <c r="BQ91" i="67"/>
  <c r="BC91" i="67"/>
  <c r="AO91" i="67"/>
  <c r="AA91" i="67"/>
  <c r="M28" i="67"/>
  <c r="FQ28" i="67"/>
  <c r="FB28" i="67"/>
  <c r="EM28" i="67"/>
  <c r="DI28" i="67"/>
  <c r="DX28" i="67"/>
  <c r="CT28" i="67"/>
  <c r="BQ28" i="67"/>
  <c r="CE28" i="67"/>
  <c r="BC28" i="67"/>
  <c r="AA28" i="67"/>
  <c r="AO28" i="67"/>
  <c r="W192" i="67"/>
  <c r="GA192" i="67"/>
  <c r="FL192" i="67"/>
  <c r="EW192" i="67"/>
  <c r="EH192" i="67"/>
  <c r="DS192" i="67"/>
  <c r="DD192" i="67"/>
  <c r="CO192" i="67"/>
  <c r="CA192" i="67"/>
  <c r="BM192" i="67"/>
  <c r="AK192" i="67"/>
  <c r="AY192" i="67"/>
  <c r="W113" i="67"/>
  <c r="GA113" i="67"/>
  <c r="FL113" i="67"/>
  <c r="EW113" i="67"/>
  <c r="EH113" i="67"/>
  <c r="DS113" i="67"/>
  <c r="CO113" i="67"/>
  <c r="CA113" i="67"/>
  <c r="DD113" i="67"/>
  <c r="BM113" i="67"/>
  <c r="AK113" i="67"/>
  <c r="AY113" i="67"/>
  <c r="W51" i="67"/>
  <c r="GA51" i="67"/>
  <c r="FL51" i="67"/>
  <c r="EW51" i="67"/>
  <c r="EH51" i="67"/>
  <c r="DS51" i="67"/>
  <c r="DD51" i="67"/>
  <c r="CO51" i="67"/>
  <c r="CA51" i="67"/>
  <c r="BM51" i="67"/>
  <c r="AY51" i="67"/>
  <c r="AK51" i="67"/>
  <c r="V178" i="67"/>
  <c r="FZ178" i="67"/>
  <c r="FK178" i="67"/>
  <c r="EV178" i="67"/>
  <c r="EG178" i="67"/>
  <c r="DR178" i="67"/>
  <c r="DC178" i="67"/>
  <c r="CN178" i="67"/>
  <c r="BZ178" i="67"/>
  <c r="AX178" i="67"/>
  <c r="BL178" i="67"/>
  <c r="AJ178" i="67"/>
  <c r="V121" i="67"/>
  <c r="FZ121" i="67"/>
  <c r="FK121" i="67"/>
  <c r="EV121" i="67"/>
  <c r="EG121" i="67"/>
  <c r="DR121" i="67"/>
  <c r="DC121" i="67"/>
  <c r="CN121" i="67"/>
  <c r="BZ121" i="67"/>
  <c r="AX121" i="67"/>
  <c r="BL121" i="67"/>
  <c r="AJ121" i="67"/>
  <c r="V59" i="67"/>
  <c r="FZ59" i="67"/>
  <c r="FK59" i="67"/>
  <c r="EV59" i="67"/>
  <c r="EG59" i="67"/>
  <c r="DR59" i="67"/>
  <c r="DC59" i="67"/>
  <c r="CN59" i="67"/>
  <c r="BZ59" i="67"/>
  <c r="BL59" i="67"/>
  <c r="AJ59" i="67"/>
  <c r="AX59" i="67"/>
  <c r="M129" i="67"/>
  <c r="FQ129" i="67"/>
  <c r="FB129" i="67"/>
  <c r="EM129" i="67"/>
  <c r="DX129" i="67"/>
  <c r="CT129" i="67"/>
  <c r="DI129" i="67"/>
  <c r="CE129" i="67"/>
  <c r="BQ129" i="67"/>
  <c r="BC129" i="67"/>
  <c r="AO129" i="67"/>
  <c r="AA129" i="67"/>
  <c r="M67" i="67"/>
  <c r="FQ67" i="67"/>
  <c r="FB67" i="67"/>
  <c r="EM67" i="67"/>
  <c r="DX67" i="67"/>
  <c r="DI67" i="67"/>
  <c r="CE67" i="67"/>
  <c r="CT67" i="67"/>
  <c r="BQ67" i="67"/>
  <c r="BC67" i="67"/>
  <c r="AO67" i="67"/>
  <c r="AA67" i="67"/>
  <c r="W136" i="67"/>
  <c r="GA136" i="67"/>
  <c r="FL136" i="67"/>
  <c r="EW136" i="67"/>
  <c r="DS136" i="67"/>
  <c r="EH136" i="67"/>
  <c r="CO136" i="67"/>
  <c r="DD136" i="67"/>
  <c r="CA136" i="67"/>
  <c r="BM136" i="67"/>
  <c r="AY136" i="67"/>
  <c r="AK136" i="67"/>
  <c r="W74" i="67"/>
  <c r="GA74" i="67"/>
  <c r="FL74" i="67"/>
  <c r="EW74" i="67"/>
  <c r="DS74" i="67"/>
  <c r="EH74" i="67"/>
  <c r="DD74" i="67"/>
  <c r="CO74" i="67"/>
  <c r="CA74" i="67"/>
  <c r="BM74" i="67"/>
  <c r="AY74" i="67"/>
  <c r="AK74" i="67"/>
  <c r="W12" i="67"/>
  <c r="GA12" i="67"/>
  <c r="FL12" i="67"/>
  <c r="EW12" i="67"/>
  <c r="EH12" i="67"/>
  <c r="DS12" i="67"/>
  <c r="DD12" i="67"/>
  <c r="CA12" i="67"/>
  <c r="CO12" i="67"/>
  <c r="AK12" i="67"/>
  <c r="BM12" i="67"/>
  <c r="AY12" i="67"/>
  <c r="V143" i="67"/>
  <c r="FZ143" i="67"/>
  <c r="FK143" i="67"/>
  <c r="EV143" i="67"/>
  <c r="EG143" i="67"/>
  <c r="DR143" i="67"/>
  <c r="DC143" i="67"/>
  <c r="CN143" i="67"/>
  <c r="BZ143" i="67"/>
  <c r="AX143" i="67"/>
  <c r="BL143" i="67"/>
  <c r="AJ143" i="67"/>
  <c r="V82" i="67"/>
  <c r="FZ82" i="67"/>
  <c r="FK82" i="67"/>
  <c r="EV82" i="67"/>
  <c r="EG82" i="67"/>
  <c r="DR82" i="67"/>
  <c r="DC82" i="67"/>
  <c r="CN82" i="67"/>
  <c r="BZ82" i="67"/>
  <c r="AX82" i="67"/>
  <c r="BL82" i="67"/>
  <c r="AJ82" i="67"/>
  <c r="V20" i="67"/>
  <c r="FZ20" i="67"/>
  <c r="FK20" i="67"/>
  <c r="EV20" i="67"/>
  <c r="EG20" i="67"/>
  <c r="DR20" i="67"/>
  <c r="DC20" i="67"/>
  <c r="BL20" i="67"/>
  <c r="BZ20" i="67"/>
  <c r="CN20" i="67"/>
  <c r="AX20" i="67"/>
  <c r="AJ20" i="67"/>
  <c r="M151" i="67"/>
  <c r="FQ151" i="67"/>
  <c r="FB151" i="67"/>
  <c r="EM151" i="67"/>
  <c r="DX151" i="67"/>
  <c r="DI151" i="67"/>
  <c r="CT151" i="67"/>
  <c r="BC151" i="67"/>
  <c r="CE151" i="67"/>
  <c r="BQ151" i="67"/>
  <c r="AA151" i="67"/>
  <c r="AO151" i="67"/>
  <c r="M89" i="67"/>
  <c r="FQ89" i="67"/>
  <c r="FB89" i="67"/>
  <c r="EM89" i="67"/>
  <c r="DX89" i="67"/>
  <c r="DI89" i="67"/>
  <c r="CT89" i="67"/>
  <c r="BQ89" i="67"/>
  <c r="BC89" i="67"/>
  <c r="CE89" i="67"/>
  <c r="AO89" i="67"/>
  <c r="AA89" i="67"/>
  <c r="M25" i="67"/>
  <c r="FQ25" i="67"/>
  <c r="FB25" i="67"/>
  <c r="EM25" i="67"/>
  <c r="DI25" i="67"/>
  <c r="DX25" i="67"/>
  <c r="CT25" i="67"/>
  <c r="CE25" i="67"/>
  <c r="BQ25" i="67"/>
  <c r="BC25" i="67"/>
  <c r="AO25" i="67"/>
  <c r="AA25" i="67"/>
  <c r="W165" i="67"/>
  <c r="GA165" i="67"/>
  <c r="FL165" i="67"/>
  <c r="EW165" i="67"/>
  <c r="EH165" i="67"/>
  <c r="DS165" i="67"/>
  <c r="CO165" i="67"/>
  <c r="DD165" i="67"/>
  <c r="BM165" i="67"/>
  <c r="CA165" i="67"/>
  <c r="AK165" i="67"/>
  <c r="AY165" i="67"/>
  <c r="W111" i="67"/>
  <c r="GA111" i="67"/>
  <c r="FL111" i="67"/>
  <c r="EW111" i="67"/>
  <c r="EH111" i="67"/>
  <c r="DS111" i="67"/>
  <c r="CO111" i="67"/>
  <c r="DD111" i="67"/>
  <c r="CA111" i="67"/>
  <c r="BM111" i="67"/>
  <c r="AK111" i="67"/>
  <c r="AY111" i="67"/>
  <c r="W49" i="67"/>
  <c r="GA49" i="67"/>
  <c r="FL49" i="67"/>
  <c r="EW49" i="67"/>
  <c r="EH49" i="67"/>
  <c r="DS49" i="67"/>
  <c r="DD49" i="67"/>
  <c r="CO49" i="67"/>
  <c r="CA49" i="67"/>
  <c r="BM49" i="67"/>
  <c r="AY49" i="67"/>
  <c r="AK49" i="67"/>
  <c r="V174" i="67"/>
  <c r="FZ174" i="67"/>
  <c r="FK174" i="67"/>
  <c r="EV174" i="67"/>
  <c r="DR174" i="67"/>
  <c r="EG174" i="67"/>
  <c r="DC174" i="67"/>
  <c r="CN174" i="67"/>
  <c r="BZ174" i="67"/>
  <c r="AX174" i="67"/>
  <c r="BL174" i="67"/>
  <c r="AJ174" i="67"/>
  <c r="V119" i="67"/>
  <c r="FZ119" i="67"/>
  <c r="FK119" i="67"/>
  <c r="EV119" i="67"/>
  <c r="DR119" i="67"/>
  <c r="EG119" i="67"/>
  <c r="CN119" i="67"/>
  <c r="DC119" i="67"/>
  <c r="BZ119" i="67"/>
  <c r="AX119" i="67"/>
  <c r="BL119" i="67"/>
  <c r="AJ119" i="67"/>
  <c r="V57" i="67"/>
  <c r="FZ57" i="67"/>
  <c r="FK57" i="67"/>
  <c r="EV57" i="67"/>
  <c r="EG57" i="67"/>
  <c r="DR57" i="67"/>
  <c r="DC57" i="67"/>
  <c r="CN57" i="67"/>
  <c r="BZ57" i="67"/>
  <c r="BL57" i="67"/>
  <c r="AJ57" i="67"/>
  <c r="AX57" i="67"/>
  <c r="FQ193" i="67"/>
  <c r="FB193" i="67"/>
  <c r="EM193" i="67"/>
  <c r="DX193" i="67"/>
  <c r="DI193" i="67"/>
  <c r="CT193" i="67"/>
  <c r="CE193" i="67"/>
  <c r="BC193" i="67"/>
  <c r="BQ193" i="67"/>
  <c r="AA193" i="67"/>
  <c r="AO193" i="67"/>
  <c r="M127" i="67"/>
  <c r="FQ127" i="67"/>
  <c r="FB127" i="67"/>
  <c r="EM127" i="67"/>
  <c r="DX127" i="67"/>
  <c r="DI127" i="67"/>
  <c r="CT127" i="67"/>
  <c r="CE127" i="67"/>
  <c r="BC127" i="67"/>
  <c r="BQ127" i="67"/>
  <c r="AA127" i="67"/>
  <c r="AO127" i="67"/>
  <c r="M65" i="67"/>
  <c r="FQ65" i="67"/>
  <c r="FB65" i="67"/>
  <c r="DX65" i="67"/>
  <c r="EM65" i="67"/>
  <c r="DI65" i="67"/>
  <c r="CE65" i="67"/>
  <c r="CT65" i="67"/>
  <c r="BQ65" i="67"/>
  <c r="BC65" i="67"/>
  <c r="AO65" i="67"/>
  <c r="AA65" i="67"/>
  <c r="W95" i="67"/>
  <c r="GA95" i="67"/>
  <c r="FL95" i="67"/>
  <c r="EW95" i="67"/>
  <c r="EH95" i="67"/>
  <c r="DS95" i="67"/>
  <c r="CO95" i="67"/>
  <c r="DD95" i="67"/>
  <c r="CA95" i="67"/>
  <c r="BM95" i="67"/>
  <c r="AY95" i="67"/>
  <c r="AK95" i="67"/>
  <c r="W32" i="67"/>
  <c r="FL32" i="67"/>
  <c r="GA32" i="67"/>
  <c r="EW32" i="67"/>
  <c r="EH32" i="67"/>
  <c r="DS32" i="67"/>
  <c r="DD32" i="67"/>
  <c r="CO32" i="67"/>
  <c r="CA32" i="67"/>
  <c r="BM32" i="67"/>
  <c r="AK32" i="67"/>
  <c r="AY32" i="67"/>
  <c r="V167" i="67"/>
  <c r="FZ167" i="67"/>
  <c r="FK167" i="67"/>
  <c r="EV167" i="67"/>
  <c r="DR167" i="67"/>
  <c r="EG167" i="67"/>
  <c r="DC167" i="67"/>
  <c r="CN167" i="67"/>
  <c r="AX167" i="67"/>
  <c r="BL167" i="67"/>
  <c r="BZ167" i="67"/>
  <c r="AJ167" i="67"/>
  <c r="V102" i="67"/>
  <c r="FZ102" i="67"/>
  <c r="FK102" i="67"/>
  <c r="EV102" i="67"/>
  <c r="DR102" i="67"/>
  <c r="EG102" i="67"/>
  <c r="DC102" i="67"/>
  <c r="AX102" i="67"/>
  <c r="BL102" i="67"/>
  <c r="CN102" i="67"/>
  <c r="BZ102" i="67"/>
  <c r="AJ102" i="67"/>
  <c r="V40" i="67"/>
  <c r="FZ40" i="67"/>
  <c r="FK40" i="67"/>
  <c r="EV40" i="67"/>
  <c r="EG40" i="67"/>
  <c r="DR40" i="67"/>
  <c r="DC40" i="67"/>
  <c r="BZ40" i="67"/>
  <c r="CN40" i="67"/>
  <c r="BL40" i="67"/>
  <c r="AJ40" i="67"/>
  <c r="AX40" i="67"/>
  <c r="M164" i="67"/>
  <c r="FQ164" i="67"/>
  <c r="FB164" i="67"/>
  <c r="EM164" i="67"/>
  <c r="DX164" i="67"/>
  <c r="CT164" i="67"/>
  <c r="DI164" i="67"/>
  <c r="CE164" i="67"/>
  <c r="BQ164" i="67"/>
  <c r="BC164" i="67"/>
  <c r="AA164" i="67"/>
  <c r="AO164" i="67"/>
  <c r="M110" i="67"/>
  <c r="FQ110" i="67"/>
  <c r="FB110" i="67"/>
  <c r="EM110" i="67"/>
  <c r="DX110" i="67"/>
  <c r="CT110" i="67"/>
  <c r="DI110" i="67"/>
  <c r="CE110" i="67"/>
  <c r="BC110" i="67"/>
  <c r="BQ110" i="67"/>
  <c r="AA110" i="67"/>
  <c r="AO110" i="67"/>
  <c r="M48" i="67"/>
  <c r="FQ48" i="67"/>
  <c r="FB48" i="67"/>
  <c r="EM48" i="67"/>
  <c r="DI48" i="67"/>
  <c r="DX48" i="67"/>
  <c r="CT48" i="67"/>
  <c r="BQ48" i="67"/>
  <c r="CE48" i="67"/>
  <c r="BC48" i="67"/>
  <c r="AO48" i="67"/>
  <c r="AA48" i="67"/>
  <c r="M32" i="67"/>
  <c r="FQ32" i="67"/>
  <c r="FB32" i="67"/>
  <c r="EM32" i="67"/>
  <c r="DI32" i="67"/>
  <c r="DX32" i="67"/>
  <c r="CT32" i="67"/>
  <c r="BQ32" i="67"/>
  <c r="CE32" i="67"/>
  <c r="BC32" i="67"/>
  <c r="AA32" i="67"/>
  <c r="AO32" i="67"/>
  <c r="V115" i="67"/>
  <c r="FZ115" i="67"/>
  <c r="FK115" i="67"/>
  <c r="EV115" i="67"/>
  <c r="EG115" i="67"/>
  <c r="DR115" i="67"/>
  <c r="DC115" i="67"/>
  <c r="CN115" i="67"/>
  <c r="BZ115" i="67"/>
  <c r="AX115" i="67"/>
  <c r="BL115" i="67"/>
  <c r="AJ115" i="67"/>
  <c r="W86" i="67"/>
  <c r="GA86" i="67"/>
  <c r="FL86" i="67"/>
  <c r="EW86" i="67"/>
  <c r="EH86" i="67"/>
  <c r="DD86" i="67"/>
  <c r="CO86" i="67"/>
  <c r="DS86" i="67"/>
  <c r="CA86" i="67"/>
  <c r="BM86" i="67"/>
  <c r="AK86" i="67"/>
  <c r="AY86" i="67"/>
  <c r="W8" i="67"/>
  <c r="GA8" i="67"/>
  <c r="FL8" i="67"/>
  <c r="EW8" i="67"/>
  <c r="EH8" i="67"/>
  <c r="DS8" i="67"/>
  <c r="DD8" i="67"/>
  <c r="CO8" i="67"/>
  <c r="CA8" i="67"/>
  <c r="BM8" i="67"/>
  <c r="AK8" i="67"/>
  <c r="AY8" i="67"/>
  <c r="V148" i="67"/>
  <c r="FZ148" i="67"/>
  <c r="FK148" i="67"/>
  <c r="EV148" i="67"/>
  <c r="DR148" i="67"/>
  <c r="EG148" i="67"/>
  <c r="DC148" i="67"/>
  <c r="CN148" i="67"/>
  <c r="AX148" i="67"/>
  <c r="BZ148" i="67"/>
  <c r="BL148" i="67"/>
  <c r="AJ148" i="67"/>
  <c r="V132" i="67"/>
  <c r="FZ132" i="67"/>
  <c r="FK132" i="67"/>
  <c r="EV132" i="67"/>
  <c r="EG132" i="67"/>
  <c r="DR132" i="67"/>
  <c r="DC132" i="67"/>
  <c r="CN132" i="67"/>
  <c r="AX132" i="67"/>
  <c r="BZ132" i="67"/>
  <c r="BL132" i="67"/>
  <c r="AJ132" i="67"/>
  <c r="M85" i="67"/>
  <c r="FQ85" i="67"/>
  <c r="EM85" i="67"/>
  <c r="FB85" i="67"/>
  <c r="DX85" i="67"/>
  <c r="DI85" i="67"/>
  <c r="CT85" i="67"/>
  <c r="CE85" i="67"/>
  <c r="BQ85" i="67"/>
  <c r="BC85" i="67"/>
  <c r="AA85" i="67"/>
  <c r="AO85" i="67"/>
  <c r="V54" i="67"/>
  <c r="FZ54" i="67"/>
  <c r="FK54" i="67"/>
  <c r="EV54" i="67"/>
  <c r="EG54" i="67"/>
  <c r="DR54" i="67"/>
  <c r="DC54" i="67"/>
  <c r="CN54" i="67"/>
  <c r="BZ54" i="67"/>
  <c r="BL54" i="67"/>
  <c r="AJ54" i="67"/>
  <c r="AX54" i="67"/>
  <c r="W25" i="67"/>
  <c r="GA25" i="67"/>
  <c r="FL25" i="67"/>
  <c r="EW25" i="67"/>
  <c r="EH25" i="67"/>
  <c r="DS25" i="67"/>
  <c r="DD25" i="67"/>
  <c r="CO25" i="67"/>
  <c r="CA25" i="67"/>
  <c r="BM25" i="67"/>
  <c r="AK25" i="67"/>
  <c r="AY25" i="67"/>
  <c r="V125" i="67"/>
  <c r="FZ125" i="67"/>
  <c r="FK125" i="67"/>
  <c r="EV125" i="67"/>
  <c r="DR125" i="67"/>
  <c r="EG125" i="67"/>
  <c r="DC125" i="67"/>
  <c r="CN125" i="67"/>
  <c r="AX125" i="67"/>
  <c r="BZ125" i="67"/>
  <c r="BL125" i="67"/>
  <c r="AJ125" i="67"/>
  <c r="FQ8" i="67"/>
  <c r="FB8" i="67"/>
  <c r="EM8" i="67"/>
  <c r="DI8" i="67"/>
  <c r="DX8" i="67"/>
  <c r="CE8" i="67"/>
  <c r="CT8" i="67"/>
  <c r="BQ8" i="67"/>
  <c r="AA8" i="67"/>
  <c r="BC8" i="67"/>
  <c r="AO8" i="67"/>
  <c r="M45" i="67"/>
  <c r="FQ45" i="67"/>
  <c r="FB45" i="67"/>
  <c r="EM45" i="67"/>
  <c r="DX45" i="67"/>
  <c r="DI45" i="67"/>
  <c r="CT45" i="67"/>
  <c r="BQ45" i="67"/>
  <c r="BC45" i="67"/>
  <c r="CE45" i="67"/>
  <c r="AO45" i="67"/>
  <c r="AA45" i="67"/>
  <c r="V16" i="67"/>
  <c r="FZ16" i="67"/>
  <c r="FK16" i="67"/>
  <c r="EV16" i="67"/>
  <c r="EG16" i="67"/>
  <c r="DR16" i="67"/>
  <c r="DC16" i="67"/>
  <c r="BL16" i="67"/>
  <c r="CN16" i="67"/>
  <c r="BZ16" i="67"/>
  <c r="AJ16" i="67"/>
  <c r="AX16" i="67"/>
  <c r="V172" i="67"/>
  <c r="FZ172" i="67"/>
  <c r="FK172" i="67"/>
  <c r="EV172" i="67"/>
  <c r="DR172" i="67"/>
  <c r="EG172" i="67"/>
  <c r="DC172" i="67"/>
  <c r="CN172" i="67"/>
  <c r="BZ172" i="67"/>
  <c r="AX172" i="67"/>
  <c r="BL172" i="67"/>
  <c r="AJ172" i="67"/>
  <c r="W154" i="67"/>
  <c r="GA154" i="67"/>
  <c r="FL154" i="67"/>
  <c r="EW154" i="67"/>
  <c r="EH154" i="67"/>
  <c r="DS154" i="67"/>
  <c r="CO154" i="67"/>
  <c r="DD154" i="67"/>
  <c r="CA154" i="67"/>
  <c r="BM154" i="67"/>
  <c r="AY154" i="67"/>
  <c r="AK154" i="67"/>
  <c r="V63" i="67"/>
  <c r="FZ63" i="67"/>
  <c r="FK63" i="67"/>
  <c r="EV63" i="67"/>
  <c r="EG63" i="67"/>
  <c r="DR63" i="67"/>
  <c r="DC63" i="67"/>
  <c r="CN63" i="67"/>
  <c r="BZ63" i="67"/>
  <c r="BL63" i="67"/>
  <c r="AJ63" i="67"/>
  <c r="AX63" i="67"/>
  <c r="M22" i="67"/>
  <c r="FQ22" i="67"/>
  <c r="FB22" i="67"/>
  <c r="EM22" i="67"/>
  <c r="DI22" i="67"/>
  <c r="DX22" i="67"/>
  <c r="CT22" i="67"/>
  <c r="BQ22" i="67"/>
  <c r="CE22" i="67"/>
  <c r="BC22" i="67"/>
  <c r="AO22" i="67"/>
  <c r="AA22" i="67"/>
  <c r="V162" i="67"/>
  <c r="FZ162" i="67"/>
  <c r="FK162" i="67"/>
  <c r="EV162" i="67"/>
  <c r="EG162" i="67"/>
  <c r="DR162" i="67"/>
  <c r="DC162" i="67"/>
  <c r="CN162" i="67"/>
  <c r="AX162" i="67"/>
  <c r="BZ162" i="67"/>
  <c r="BL162" i="67"/>
  <c r="AJ162" i="67"/>
  <c r="W133" i="67"/>
  <c r="GA133" i="67"/>
  <c r="FL133" i="67"/>
  <c r="EW133" i="67"/>
  <c r="EH133" i="67"/>
  <c r="DS133" i="67"/>
  <c r="DD133" i="67"/>
  <c r="CO133" i="67"/>
  <c r="CA133" i="67"/>
  <c r="BM133" i="67"/>
  <c r="AK133" i="67"/>
  <c r="AY133" i="67"/>
  <c r="M93" i="67"/>
  <c r="FQ93" i="67"/>
  <c r="EM93" i="67"/>
  <c r="FB93" i="67"/>
  <c r="DX93" i="67"/>
  <c r="DI93" i="67"/>
  <c r="CT93" i="67"/>
  <c r="CE93" i="67"/>
  <c r="BQ93" i="67"/>
  <c r="BC93" i="67"/>
  <c r="AO93" i="67"/>
  <c r="AA93" i="67"/>
  <c r="V25" i="67"/>
  <c r="FZ25" i="67"/>
  <c r="FK25" i="67"/>
  <c r="EV25" i="67"/>
  <c r="EG25" i="67"/>
  <c r="DR25" i="67"/>
  <c r="DC25" i="67"/>
  <c r="CN25" i="67"/>
  <c r="BZ25" i="67"/>
  <c r="AX25" i="67"/>
  <c r="BL25" i="67"/>
  <c r="AJ25" i="67"/>
  <c r="W130" i="67"/>
  <c r="GA130" i="67"/>
  <c r="FL130" i="67"/>
  <c r="EW130" i="67"/>
  <c r="EH130" i="67"/>
  <c r="DS130" i="67"/>
  <c r="DD130" i="67"/>
  <c r="CO130" i="67"/>
  <c r="CA130" i="67"/>
  <c r="BM130" i="67"/>
  <c r="AY130" i="67"/>
  <c r="AK130" i="67"/>
  <c r="W68" i="67"/>
  <c r="GA68" i="67"/>
  <c r="FL68" i="67"/>
  <c r="EW68" i="67"/>
  <c r="EH68" i="67"/>
  <c r="DS68" i="67"/>
  <c r="DD68" i="67"/>
  <c r="CO68" i="67"/>
  <c r="CA68" i="67"/>
  <c r="BM68" i="67"/>
  <c r="AY68" i="67"/>
  <c r="AK68" i="67"/>
  <c r="V188" i="67"/>
  <c r="FZ188" i="67"/>
  <c r="FK188" i="67"/>
  <c r="EV188" i="67"/>
  <c r="EG188" i="67"/>
  <c r="DR188" i="67"/>
  <c r="DC188" i="67"/>
  <c r="CN188" i="67"/>
  <c r="BZ188" i="67"/>
  <c r="AX188" i="67"/>
  <c r="BL188" i="67"/>
  <c r="AJ188" i="67"/>
  <c r="V138" i="67"/>
  <c r="FZ138" i="67"/>
  <c r="FK138" i="67"/>
  <c r="EV138" i="67"/>
  <c r="EG138" i="67"/>
  <c r="DR138" i="67"/>
  <c r="DC138" i="67"/>
  <c r="CN138" i="67"/>
  <c r="BZ138" i="67"/>
  <c r="AX138" i="67"/>
  <c r="BL138" i="67"/>
  <c r="AJ138" i="67"/>
  <c r="V76" i="67"/>
  <c r="FZ76" i="67"/>
  <c r="FK76" i="67"/>
  <c r="EV76" i="67"/>
  <c r="EG76" i="67"/>
  <c r="DR76" i="67"/>
  <c r="DC76" i="67"/>
  <c r="CN76" i="67"/>
  <c r="BZ76" i="67"/>
  <c r="AX76" i="67"/>
  <c r="BL76" i="67"/>
  <c r="AJ76" i="67"/>
  <c r="V14" i="67"/>
  <c r="FZ14" i="67"/>
  <c r="FK14" i="67"/>
  <c r="EV14" i="67"/>
  <c r="EG14" i="67"/>
  <c r="DR14" i="67"/>
  <c r="DC14" i="67"/>
  <c r="CN14" i="67"/>
  <c r="BL14" i="67"/>
  <c r="BZ14" i="67"/>
  <c r="AX14" i="67"/>
  <c r="AJ14" i="67"/>
  <c r="M145" i="67"/>
  <c r="FQ145" i="67"/>
  <c r="FB145" i="67"/>
  <c r="EM145" i="67"/>
  <c r="DX145" i="67"/>
  <c r="DI145" i="67"/>
  <c r="CT145" i="67"/>
  <c r="CE145" i="67"/>
  <c r="BQ145" i="67"/>
  <c r="BC145" i="67"/>
  <c r="AO145" i="67"/>
  <c r="AA145" i="67"/>
  <c r="M84" i="67"/>
  <c r="FQ84" i="67"/>
  <c r="EM84" i="67"/>
  <c r="FB84" i="67"/>
  <c r="DX84" i="67"/>
  <c r="DI84" i="67"/>
  <c r="CT84" i="67"/>
  <c r="CE84" i="67"/>
  <c r="BQ84" i="67"/>
  <c r="BC84" i="67"/>
  <c r="AO84" i="67"/>
  <c r="AA84" i="67"/>
  <c r="M19" i="67"/>
  <c r="FQ19" i="67"/>
  <c r="FB19" i="67"/>
  <c r="EM19" i="67"/>
  <c r="DX19" i="67"/>
  <c r="DI19" i="67"/>
  <c r="CT19" i="67"/>
  <c r="BQ19" i="67"/>
  <c r="CE19" i="67"/>
  <c r="BC19" i="67"/>
  <c r="AO19" i="67"/>
  <c r="AA19" i="67"/>
  <c r="W105" i="67"/>
  <c r="GA105" i="67"/>
  <c r="FL105" i="67"/>
  <c r="EW105" i="67"/>
  <c r="EH105" i="67"/>
  <c r="DS105" i="67"/>
  <c r="CO105" i="67"/>
  <c r="CA105" i="67"/>
  <c r="DD105" i="67"/>
  <c r="BM105" i="67"/>
  <c r="AY105" i="67"/>
  <c r="AK105" i="67"/>
  <c r="W43" i="67"/>
  <c r="GA43" i="67"/>
  <c r="FL43" i="67"/>
  <c r="EW43" i="67"/>
  <c r="EH43" i="67"/>
  <c r="DS43" i="67"/>
  <c r="DD43" i="67"/>
  <c r="CO43" i="67"/>
  <c r="CA43" i="67"/>
  <c r="BM43" i="67"/>
  <c r="AK43" i="67"/>
  <c r="AY43" i="67"/>
  <c r="V192" i="67"/>
  <c r="FZ192" i="67"/>
  <c r="FK192" i="67"/>
  <c r="EV192" i="67"/>
  <c r="EG192" i="67"/>
  <c r="DR192" i="67"/>
  <c r="DC192" i="67"/>
  <c r="CN192" i="67"/>
  <c r="BZ192" i="67"/>
  <c r="AX192" i="67"/>
  <c r="BL192" i="67"/>
  <c r="AJ192" i="67"/>
  <c r="V113" i="67"/>
  <c r="FZ113" i="67"/>
  <c r="FK113" i="67"/>
  <c r="EV113" i="67"/>
  <c r="EG113" i="67"/>
  <c r="DR113" i="67"/>
  <c r="DC113" i="67"/>
  <c r="CN113" i="67"/>
  <c r="BZ113" i="67"/>
  <c r="AX113" i="67"/>
  <c r="BL113" i="67"/>
  <c r="AJ113" i="67"/>
  <c r="V51" i="67"/>
  <c r="FZ51" i="67"/>
  <c r="FK51" i="67"/>
  <c r="EV51" i="67"/>
  <c r="EG51" i="67"/>
  <c r="DR51" i="67"/>
  <c r="DC51" i="67"/>
  <c r="CN51" i="67"/>
  <c r="BZ51" i="67"/>
  <c r="BL51" i="67"/>
  <c r="AX51" i="67"/>
  <c r="AJ51" i="67"/>
  <c r="M178" i="67"/>
  <c r="FQ178" i="67"/>
  <c r="FB178" i="67"/>
  <c r="EM178" i="67"/>
  <c r="DX178" i="67"/>
  <c r="CT178" i="67"/>
  <c r="DI178" i="67"/>
  <c r="CE178" i="67"/>
  <c r="BC178" i="67"/>
  <c r="AO178" i="67"/>
  <c r="AA178" i="67"/>
  <c r="BQ178" i="67"/>
  <c r="M121" i="67"/>
  <c r="FQ121" i="67"/>
  <c r="FB121" i="67"/>
  <c r="EM121" i="67"/>
  <c r="DX121" i="67"/>
  <c r="CT121" i="67"/>
  <c r="DI121" i="67"/>
  <c r="CE121" i="67"/>
  <c r="BQ121" i="67"/>
  <c r="BC121" i="67"/>
  <c r="AO121" i="67"/>
  <c r="AA121" i="67"/>
  <c r="M59" i="67"/>
  <c r="FQ59" i="67"/>
  <c r="FB59" i="67"/>
  <c r="EM59" i="67"/>
  <c r="DX59" i="67"/>
  <c r="DI59" i="67"/>
  <c r="CE59" i="67"/>
  <c r="CT59" i="67"/>
  <c r="BQ59" i="67"/>
  <c r="BC59" i="67"/>
  <c r="AA59" i="67"/>
  <c r="AO59" i="67"/>
  <c r="W183" i="67"/>
  <c r="GA183" i="67"/>
  <c r="FL183" i="67"/>
  <c r="EW183" i="67"/>
  <c r="EH183" i="67"/>
  <c r="DS183" i="67"/>
  <c r="CO183" i="67"/>
  <c r="DD183" i="67"/>
  <c r="CA183" i="67"/>
  <c r="BM183" i="67"/>
  <c r="AY183" i="67"/>
  <c r="AK183" i="67"/>
  <c r="W128" i="67"/>
  <c r="GA128" i="67"/>
  <c r="FL128" i="67"/>
  <c r="EW128" i="67"/>
  <c r="EH128" i="67"/>
  <c r="DS128" i="67"/>
  <c r="CO128" i="67"/>
  <c r="DD128" i="67"/>
  <c r="CA128" i="67"/>
  <c r="BM128" i="67"/>
  <c r="AY128" i="67"/>
  <c r="AK128" i="67"/>
  <c r="W66" i="67"/>
  <c r="GA66" i="67"/>
  <c r="FL66" i="67"/>
  <c r="EW66" i="67"/>
  <c r="EH66" i="67"/>
  <c r="DS66" i="67"/>
  <c r="DD66" i="67"/>
  <c r="CA66" i="67"/>
  <c r="BM66" i="67"/>
  <c r="AY66" i="67"/>
  <c r="AK66" i="67"/>
  <c r="CO66" i="67"/>
  <c r="V136" i="67"/>
  <c r="FZ136" i="67"/>
  <c r="FK136" i="67"/>
  <c r="EV136" i="67"/>
  <c r="EG136" i="67"/>
  <c r="DR136" i="67"/>
  <c r="DC136" i="67"/>
  <c r="CN136" i="67"/>
  <c r="BZ136" i="67"/>
  <c r="AX136" i="67"/>
  <c r="BL136" i="67"/>
  <c r="AJ136" i="67"/>
  <c r="V74" i="67"/>
  <c r="FZ74" i="67"/>
  <c r="FK74" i="67"/>
  <c r="EV74" i="67"/>
  <c r="EG74" i="67"/>
  <c r="DR74" i="67"/>
  <c r="DC74" i="67"/>
  <c r="CN74" i="67"/>
  <c r="BZ74" i="67"/>
  <c r="AX74" i="67"/>
  <c r="BL74" i="67"/>
  <c r="AJ74" i="67"/>
  <c r="V12" i="67"/>
  <c r="FZ12" i="67"/>
  <c r="FK12" i="67"/>
  <c r="EV12" i="67"/>
  <c r="EG12" i="67"/>
  <c r="DR12" i="67"/>
  <c r="DC12" i="67"/>
  <c r="BL12" i="67"/>
  <c r="BZ12" i="67"/>
  <c r="AJ12" i="67"/>
  <c r="AX12" i="67"/>
  <c r="CN12" i="67"/>
  <c r="M143" i="67"/>
  <c r="FQ143" i="67"/>
  <c r="FB143" i="67"/>
  <c r="EM143" i="67"/>
  <c r="DX143" i="67"/>
  <c r="DI143" i="67"/>
  <c r="CT143" i="67"/>
  <c r="BC143" i="67"/>
  <c r="CE143" i="67"/>
  <c r="BQ143" i="67"/>
  <c r="AO143" i="67"/>
  <c r="AA143" i="67"/>
  <c r="M82" i="67"/>
  <c r="FQ82" i="67"/>
  <c r="EM82" i="67"/>
  <c r="FB82" i="67"/>
  <c r="DX82" i="67"/>
  <c r="DI82" i="67"/>
  <c r="CT82" i="67"/>
  <c r="BQ82" i="67"/>
  <c r="BC82" i="67"/>
  <c r="AA82" i="67"/>
  <c r="CE82" i="67"/>
  <c r="AO82" i="67"/>
  <c r="M16" i="67"/>
  <c r="FQ16" i="67"/>
  <c r="FB16" i="67"/>
  <c r="EM16" i="67"/>
  <c r="DI16" i="67"/>
  <c r="CE16" i="67"/>
  <c r="CT16" i="67"/>
  <c r="DX16" i="67"/>
  <c r="BQ16" i="67"/>
  <c r="BC16" i="67"/>
  <c r="AO16" i="67"/>
  <c r="AA16" i="67"/>
  <c r="W175" i="67"/>
  <c r="GA175" i="67"/>
  <c r="FL175" i="67"/>
  <c r="EW175" i="67"/>
  <c r="EH175" i="67"/>
  <c r="DS175" i="67"/>
  <c r="CO175" i="67"/>
  <c r="DD175" i="67"/>
  <c r="CA175" i="67"/>
  <c r="BM175" i="67"/>
  <c r="AK175" i="67"/>
  <c r="AY175" i="67"/>
  <c r="W103" i="67"/>
  <c r="GA103" i="67"/>
  <c r="FL103" i="67"/>
  <c r="EW103" i="67"/>
  <c r="EH103" i="67"/>
  <c r="CO103" i="67"/>
  <c r="DD103" i="67"/>
  <c r="DS103" i="67"/>
  <c r="CA103" i="67"/>
  <c r="BM103" i="67"/>
  <c r="AK103" i="67"/>
  <c r="AY103" i="67"/>
  <c r="W41" i="67"/>
  <c r="GA41" i="67"/>
  <c r="FL41" i="67"/>
  <c r="EW41" i="67"/>
  <c r="EH41" i="67"/>
  <c r="DS41" i="67"/>
  <c r="DD41" i="67"/>
  <c r="CO41" i="67"/>
  <c r="CA41" i="67"/>
  <c r="BM41" i="67"/>
  <c r="AK41" i="67"/>
  <c r="AY41" i="67"/>
  <c r="V165" i="67"/>
  <c r="FZ165" i="67"/>
  <c r="FK165" i="67"/>
  <c r="EV165" i="67"/>
  <c r="DR165" i="67"/>
  <c r="DC165" i="67"/>
  <c r="EG165" i="67"/>
  <c r="CN165" i="67"/>
  <c r="BZ165" i="67"/>
  <c r="AX165" i="67"/>
  <c r="BL165" i="67"/>
  <c r="AJ165" i="67"/>
  <c r="V111" i="67"/>
  <c r="FZ111" i="67"/>
  <c r="FK111" i="67"/>
  <c r="EV111" i="67"/>
  <c r="DR111" i="67"/>
  <c r="CN111" i="67"/>
  <c r="EG111" i="67"/>
  <c r="DC111" i="67"/>
  <c r="BZ111" i="67"/>
  <c r="AX111" i="67"/>
  <c r="BL111" i="67"/>
  <c r="AJ111" i="67"/>
  <c r="V49" i="67"/>
  <c r="FZ49" i="67"/>
  <c r="FK49" i="67"/>
  <c r="EV49" i="67"/>
  <c r="EG49" i="67"/>
  <c r="DR49" i="67"/>
  <c r="DC49" i="67"/>
  <c r="BZ49" i="67"/>
  <c r="CN49" i="67"/>
  <c r="BL49" i="67"/>
  <c r="AX49" i="67"/>
  <c r="AJ49" i="67"/>
  <c r="M174" i="67"/>
  <c r="FQ174" i="67"/>
  <c r="FB174" i="67"/>
  <c r="EM174" i="67"/>
  <c r="DX174" i="67"/>
  <c r="DI174" i="67"/>
  <c r="CT174" i="67"/>
  <c r="CE174" i="67"/>
  <c r="BQ174" i="67"/>
  <c r="BC174" i="67"/>
  <c r="AO174" i="67"/>
  <c r="AA174" i="67"/>
  <c r="M119" i="67"/>
  <c r="FQ119" i="67"/>
  <c r="FB119" i="67"/>
  <c r="EM119" i="67"/>
  <c r="DX119" i="67"/>
  <c r="DI119" i="67"/>
  <c r="CT119" i="67"/>
  <c r="CE119" i="67"/>
  <c r="BC119" i="67"/>
  <c r="BQ119" i="67"/>
  <c r="AO119" i="67"/>
  <c r="AA119" i="67"/>
  <c r="M57" i="67"/>
  <c r="FQ57" i="67"/>
  <c r="FB57" i="67"/>
  <c r="DX57" i="67"/>
  <c r="EM57" i="67"/>
  <c r="DI57" i="67"/>
  <c r="CE57" i="67"/>
  <c r="CT57" i="67"/>
  <c r="BQ57" i="67"/>
  <c r="BC57" i="67"/>
  <c r="AA57" i="67"/>
  <c r="AO57" i="67"/>
  <c r="W149" i="67"/>
  <c r="GA149" i="67"/>
  <c r="FL149" i="67"/>
  <c r="EW149" i="67"/>
  <c r="EH149" i="67"/>
  <c r="DS149" i="67"/>
  <c r="DD149" i="67"/>
  <c r="CO149" i="67"/>
  <c r="CA149" i="67"/>
  <c r="BM149" i="67"/>
  <c r="AK149" i="67"/>
  <c r="AY149" i="67"/>
  <c r="W88" i="67"/>
  <c r="GA88" i="67"/>
  <c r="FL88" i="67"/>
  <c r="EW88" i="67"/>
  <c r="EH88" i="67"/>
  <c r="DS88" i="67"/>
  <c r="DD88" i="67"/>
  <c r="CO88" i="67"/>
  <c r="CA88" i="67"/>
  <c r="BM88" i="67"/>
  <c r="AK88" i="67"/>
  <c r="AY88" i="67"/>
  <c r="W26" i="67"/>
  <c r="FL26" i="67"/>
  <c r="GA26" i="67"/>
  <c r="EW26" i="67"/>
  <c r="EH26" i="67"/>
  <c r="DS26" i="67"/>
  <c r="DD26" i="67"/>
  <c r="CO26" i="67"/>
  <c r="CA26" i="67"/>
  <c r="BM26" i="67"/>
  <c r="AK26" i="67"/>
  <c r="AY26" i="67"/>
  <c r="V95" i="67"/>
  <c r="FZ95" i="67"/>
  <c r="FK95" i="67"/>
  <c r="EV95" i="67"/>
  <c r="DR95" i="67"/>
  <c r="EG95" i="67"/>
  <c r="DC95" i="67"/>
  <c r="CN95" i="67"/>
  <c r="BZ95" i="67"/>
  <c r="AX95" i="67"/>
  <c r="BL95" i="67"/>
  <c r="AJ95" i="67"/>
  <c r="V32" i="67"/>
  <c r="FZ32" i="67"/>
  <c r="FK32" i="67"/>
  <c r="EV32" i="67"/>
  <c r="EG32" i="67"/>
  <c r="DR32" i="67"/>
  <c r="DC32" i="67"/>
  <c r="BZ32" i="67"/>
  <c r="CN32" i="67"/>
  <c r="BL32" i="67"/>
  <c r="AX32" i="67"/>
  <c r="AJ32" i="67"/>
  <c r="M167" i="67"/>
  <c r="FQ167" i="67"/>
  <c r="FB167" i="67"/>
  <c r="EM167" i="67"/>
  <c r="DX167" i="67"/>
  <c r="CT167" i="67"/>
  <c r="DI167" i="67"/>
  <c r="CE167" i="67"/>
  <c r="BC167" i="67"/>
  <c r="BQ167" i="67"/>
  <c r="AA167" i="67"/>
  <c r="AO167" i="67"/>
  <c r="M102" i="67"/>
  <c r="FQ102" i="67"/>
  <c r="FB102" i="67"/>
  <c r="EM102" i="67"/>
  <c r="DX102" i="67"/>
  <c r="CT102" i="67"/>
  <c r="DI102" i="67"/>
  <c r="CE102" i="67"/>
  <c r="BC102" i="67"/>
  <c r="BQ102" i="67"/>
  <c r="AA102" i="67"/>
  <c r="AO102" i="67"/>
  <c r="M39" i="67"/>
  <c r="FQ39" i="67"/>
  <c r="FB39" i="67"/>
  <c r="EM39" i="67"/>
  <c r="DI39" i="67"/>
  <c r="DX39" i="67"/>
  <c r="CT39" i="67"/>
  <c r="BQ39" i="67"/>
  <c r="CE39" i="67"/>
  <c r="BC39" i="67"/>
  <c r="AA39" i="67"/>
  <c r="AO39" i="67"/>
  <c r="M26" i="67"/>
  <c r="FQ26" i="67"/>
  <c r="FB26" i="67"/>
  <c r="EM26" i="67"/>
  <c r="DI26" i="67"/>
  <c r="DX26" i="67"/>
  <c r="CT26" i="67"/>
  <c r="BQ26" i="67"/>
  <c r="CE26" i="67"/>
  <c r="BC26" i="67"/>
  <c r="AA26" i="67"/>
  <c r="AO26" i="67"/>
  <c r="V47" i="67"/>
  <c r="FZ47" i="67"/>
  <c r="FK47" i="67"/>
  <c r="EV47" i="67"/>
  <c r="EG47" i="67"/>
  <c r="DR47" i="67"/>
  <c r="DC47" i="67"/>
  <c r="BZ47" i="67"/>
  <c r="CN47" i="67"/>
  <c r="BL47" i="67"/>
  <c r="AX47" i="67"/>
  <c r="AJ47" i="67"/>
  <c r="M92" i="67"/>
  <c r="FQ92" i="67"/>
  <c r="EM92" i="67"/>
  <c r="FB92" i="67"/>
  <c r="DX92" i="67"/>
  <c r="DI92" i="67"/>
  <c r="CT92" i="67"/>
  <c r="CE92" i="67"/>
  <c r="BQ92" i="67"/>
  <c r="BC92" i="67"/>
  <c r="AO92" i="67"/>
  <c r="AA92" i="67"/>
  <c r="V62" i="67"/>
  <c r="FZ62" i="67"/>
  <c r="FK62" i="67"/>
  <c r="EV62" i="67"/>
  <c r="EG62" i="67"/>
  <c r="DR62" i="67"/>
  <c r="DC62" i="67"/>
  <c r="CN62" i="67"/>
  <c r="BZ62" i="67"/>
  <c r="BL62" i="67"/>
  <c r="AJ62" i="67"/>
  <c r="AX62" i="67"/>
  <c r="W31" i="67"/>
  <c r="GA31" i="67"/>
  <c r="FL31" i="67"/>
  <c r="EW31" i="67"/>
  <c r="EH31" i="67"/>
  <c r="DS31" i="67"/>
  <c r="DD31" i="67"/>
  <c r="CO31" i="67"/>
  <c r="CA31" i="67"/>
  <c r="BM31" i="67"/>
  <c r="AK31" i="67"/>
  <c r="AY31" i="67"/>
  <c r="W189" i="67"/>
  <c r="GA189" i="67"/>
  <c r="FL189" i="67"/>
  <c r="EW189" i="67"/>
  <c r="EH189" i="67"/>
  <c r="DS189" i="67"/>
  <c r="CO189" i="67"/>
  <c r="DD189" i="67"/>
  <c r="CA189" i="67"/>
  <c r="BM189" i="67"/>
  <c r="AK189" i="67"/>
  <c r="AY189" i="67"/>
  <c r="M38" i="67"/>
  <c r="FQ38" i="67"/>
  <c r="FB38" i="67"/>
  <c r="EM38" i="67"/>
  <c r="DI38" i="67"/>
  <c r="DX38" i="67"/>
  <c r="CT38" i="67"/>
  <c r="CE38" i="67"/>
  <c r="BQ38" i="67"/>
  <c r="BC38" i="67"/>
  <c r="AA38" i="67"/>
  <c r="AO38" i="67"/>
  <c r="M99" i="67"/>
  <c r="FQ99" i="67"/>
  <c r="EM99" i="67"/>
  <c r="FB99" i="67"/>
  <c r="DX99" i="67"/>
  <c r="DI99" i="67"/>
  <c r="CT99" i="67"/>
  <c r="CE99" i="67"/>
  <c r="BQ99" i="67"/>
  <c r="BC99" i="67"/>
  <c r="AO99" i="67"/>
  <c r="AA99" i="67"/>
  <c r="M71" i="67"/>
  <c r="FQ71" i="67"/>
  <c r="FB71" i="67"/>
  <c r="EM71" i="67"/>
  <c r="DX71" i="67"/>
  <c r="DI71" i="67"/>
  <c r="CE71" i="67"/>
  <c r="CT71" i="67"/>
  <c r="BQ71" i="67"/>
  <c r="BC71" i="67"/>
  <c r="AO71" i="67"/>
  <c r="AA71" i="67"/>
  <c r="V93" i="67"/>
  <c r="FZ93" i="67"/>
  <c r="FK93" i="67"/>
  <c r="EV93" i="67"/>
  <c r="EG93" i="67"/>
  <c r="DR93" i="67"/>
  <c r="DC93" i="67"/>
  <c r="CN93" i="67"/>
  <c r="BZ93" i="67"/>
  <c r="AX93" i="67"/>
  <c r="BL93" i="67"/>
  <c r="AJ93" i="67"/>
  <c r="M162" i="67"/>
  <c r="FQ162" i="67"/>
  <c r="FB162" i="67"/>
  <c r="EM162" i="67"/>
  <c r="DX162" i="67"/>
  <c r="DI162" i="67"/>
  <c r="CT162" i="67"/>
  <c r="BQ162" i="67"/>
  <c r="BC162" i="67"/>
  <c r="CE162" i="67"/>
  <c r="AO162" i="67"/>
  <c r="AA162" i="67"/>
  <c r="V184" i="67"/>
  <c r="FZ184" i="67"/>
  <c r="FK184" i="67"/>
  <c r="EV184" i="67"/>
  <c r="EG184" i="67"/>
  <c r="DR184" i="67"/>
  <c r="DC184" i="67"/>
  <c r="CN184" i="67"/>
  <c r="BZ184" i="67"/>
  <c r="AX184" i="67"/>
  <c r="BL184" i="67"/>
  <c r="AJ184" i="67"/>
  <c r="W46" i="67"/>
  <c r="GA46" i="67"/>
  <c r="FL46" i="67"/>
  <c r="EW46" i="67"/>
  <c r="EH46" i="67"/>
  <c r="DS46" i="67"/>
  <c r="DD46" i="67"/>
  <c r="CO46" i="67"/>
  <c r="CA46" i="67"/>
  <c r="BM46" i="67"/>
  <c r="AY46" i="67"/>
  <c r="AK46" i="67"/>
  <c r="M63" i="67"/>
  <c r="FQ63" i="67"/>
  <c r="FB63" i="67"/>
  <c r="EM63" i="67"/>
  <c r="DX63" i="67"/>
  <c r="DI63" i="67"/>
  <c r="CE63" i="67"/>
  <c r="CT63" i="67"/>
  <c r="BQ63" i="67"/>
  <c r="BC63" i="67"/>
  <c r="AA63" i="67"/>
  <c r="AO63" i="67"/>
  <c r="W191" i="67"/>
  <c r="GA191" i="67"/>
  <c r="FL191" i="67"/>
  <c r="EW191" i="67"/>
  <c r="EH191" i="67"/>
  <c r="DS191" i="67"/>
  <c r="DD191" i="67"/>
  <c r="CO191" i="67"/>
  <c r="CA191" i="67"/>
  <c r="BM191" i="67"/>
  <c r="AK191" i="67"/>
  <c r="AY191" i="67"/>
  <c r="V147" i="67"/>
  <c r="FZ147" i="67"/>
  <c r="FK147" i="67"/>
  <c r="EV147" i="67"/>
  <c r="EG147" i="67"/>
  <c r="DR147" i="67"/>
  <c r="DC147" i="67"/>
  <c r="CN147" i="67"/>
  <c r="AX147" i="67"/>
  <c r="BZ147" i="67"/>
  <c r="BL147" i="67"/>
  <c r="AJ147" i="67"/>
  <c r="M46" i="67"/>
  <c r="FQ46" i="67"/>
  <c r="FB46" i="67"/>
  <c r="EM46" i="67"/>
  <c r="DI46" i="67"/>
  <c r="DX46" i="67"/>
  <c r="CT46" i="67"/>
  <c r="CE46" i="67"/>
  <c r="BQ46" i="67"/>
  <c r="BC46" i="67"/>
  <c r="AO46" i="67"/>
  <c r="AA46" i="67"/>
  <c r="W155" i="67"/>
  <c r="GA155" i="67"/>
  <c r="FL155" i="67"/>
  <c r="EW155" i="67"/>
  <c r="EH155" i="67"/>
  <c r="DS155" i="67"/>
  <c r="CO155" i="67"/>
  <c r="DD155" i="67"/>
  <c r="CA155" i="67"/>
  <c r="BM155" i="67"/>
  <c r="AY155" i="67"/>
  <c r="AK155" i="67"/>
  <c r="W60" i="67"/>
  <c r="GA60" i="67"/>
  <c r="FL60" i="67"/>
  <c r="EW60" i="67"/>
  <c r="EH60" i="67"/>
  <c r="DS60" i="67"/>
  <c r="DD60" i="67"/>
  <c r="CO60" i="67"/>
  <c r="CA60" i="67"/>
  <c r="BM60" i="67"/>
  <c r="AK60" i="67"/>
  <c r="AY60" i="67"/>
  <c r="M188" i="67"/>
  <c r="FQ188" i="67"/>
  <c r="FB188" i="67"/>
  <c r="EM188" i="67"/>
  <c r="DX188" i="67"/>
  <c r="DI188" i="67"/>
  <c r="CT188" i="67"/>
  <c r="CE188" i="67"/>
  <c r="BQ188" i="67"/>
  <c r="BC188" i="67"/>
  <c r="AO188" i="67"/>
  <c r="AA188" i="67"/>
  <c r="V105" i="67"/>
  <c r="FZ105" i="67"/>
  <c r="FK105" i="67"/>
  <c r="EV105" i="67"/>
  <c r="EG105" i="67"/>
  <c r="DR105" i="67"/>
  <c r="DC105" i="67"/>
  <c r="CN105" i="67"/>
  <c r="BZ105" i="67"/>
  <c r="AX105" i="67"/>
  <c r="BL105" i="67"/>
  <c r="AJ105" i="67"/>
  <c r="M113" i="67"/>
  <c r="FQ113" i="67"/>
  <c r="FB113" i="67"/>
  <c r="EM113" i="67"/>
  <c r="DX113" i="67"/>
  <c r="CT113" i="67"/>
  <c r="DI113" i="67"/>
  <c r="CE113" i="67"/>
  <c r="BQ113" i="67"/>
  <c r="BC113" i="67"/>
  <c r="AO113" i="67"/>
  <c r="AA113" i="67"/>
  <c r="W120" i="67"/>
  <c r="GA120" i="67"/>
  <c r="FL120" i="67"/>
  <c r="EW120" i="67"/>
  <c r="DS120" i="67"/>
  <c r="EH120" i="67"/>
  <c r="CO120" i="67"/>
  <c r="DD120" i="67"/>
  <c r="CA120" i="67"/>
  <c r="BM120" i="67"/>
  <c r="AY120" i="67"/>
  <c r="AK120" i="67"/>
  <c r="V128" i="67"/>
  <c r="FZ128" i="67"/>
  <c r="FK128" i="67"/>
  <c r="EV128" i="67"/>
  <c r="EG128" i="67"/>
  <c r="DR128" i="67"/>
  <c r="DC128" i="67"/>
  <c r="CN128" i="67"/>
  <c r="BZ128" i="67"/>
  <c r="AX128" i="67"/>
  <c r="BL128" i="67"/>
  <c r="AJ128" i="67"/>
  <c r="W96" i="67"/>
  <c r="GA96" i="67"/>
  <c r="FL96" i="67"/>
  <c r="EW96" i="67"/>
  <c r="EH96" i="67"/>
  <c r="DS96" i="67"/>
  <c r="CO96" i="67"/>
  <c r="DD96" i="67"/>
  <c r="CA96" i="67"/>
  <c r="BM96" i="67"/>
  <c r="AY96" i="67"/>
  <c r="AK96" i="67"/>
  <c r="V175" i="67"/>
  <c r="FZ175" i="67"/>
  <c r="FK175" i="67"/>
  <c r="EV175" i="67"/>
  <c r="DR175" i="67"/>
  <c r="DC175" i="67"/>
  <c r="EG175" i="67"/>
  <c r="CN175" i="67"/>
  <c r="BZ175" i="67"/>
  <c r="AX175" i="67"/>
  <c r="BL175" i="67"/>
  <c r="AJ175" i="67"/>
  <c r="V103" i="67"/>
  <c r="FZ103" i="67"/>
  <c r="FK103" i="67"/>
  <c r="EV103" i="67"/>
  <c r="DR103" i="67"/>
  <c r="EG103" i="67"/>
  <c r="DC103" i="67"/>
  <c r="CN103" i="67"/>
  <c r="BZ103" i="67"/>
  <c r="AX103" i="67"/>
  <c r="BL103" i="67"/>
  <c r="AJ103" i="67"/>
  <c r="V41" i="67"/>
  <c r="FZ41" i="67"/>
  <c r="FK41" i="67"/>
  <c r="EV41" i="67"/>
  <c r="EG41" i="67"/>
  <c r="DR41" i="67"/>
  <c r="DC41" i="67"/>
  <c r="BZ41" i="67"/>
  <c r="CN41" i="67"/>
  <c r="BL41" i="67"/>
  <c r="AJ41" i="67"/>
  <c r="AX41" i="67"/>
  <c r="M49" i="67"/>
  <c r="FQ49" i="67"/>
  <c r="FB49" i="67"/>
  <c r="EM49" i="67"/>
  <c r="DX49" i="67"/>
  <c r="DI49" i="67"/>
  <c r="CT49" i="67"/>
  <c r="BQ49" i="67"/>
  <c r="CE49" i="67"/>
  <c r="BC49" i="67"/>
  <c r="AO49" i="67"/>
  <c r="AA49" i="67"/>
  <c r="W141" i="67"/>
  <c r="GA141" i="67"/>
  <c r="FL141" i="67"/>
  <c r="EW141" i="67"/>
  <c r="EH141" i="67"/>
  <c r="DS141" i="67"/>
  <c r="DD141" i="67"/>
  <c r="CO141" i="67"/>
  <c r="CA141" i="67"/>
  <c r="BM141" i="67"/>
  <c r="AK141" i="67"/>
  <c r="AY141" i="67"/>
  <c r="W80" i="67"/>
  <c r="GA80" i="67"/>
  <c r="FL80" i="67"/>
  <c r="EH80" i="67"/>
  <c r="DS80" i="67"/>
  <c r="DD80" i="67"/>
  <c r="EW80" i="67"/>
  <c r="CO80" i="67"/>
  <c r="CA80" i="67"/>
  <c r="BM80" i="67"/>
  <c r="AK80" i="67"/>
  <c r="AY80" i="67"/>
  <c r="W18" i="67"/>
  <c r="FL18" i="67"/>
  <c r="GA18" i="67"/>
  <c r="EW18" i="67"/>
  <c r="EH18" i="67"/>
  <c r="DS18" i="67"/>
  <c r="DD18" i="67"/>
  <c r="CA18" i="67"/>
  <c r="CO18" i="67"/>
  <c r="BM18" i="67"/>
  <c r="AY18" i="67"/>
  <c r="AK18" i="67"/>
  <c r="V149" i="67"/>
  <c r="FZ149" i="67"/>
  <c r="FK149" i="67"/>
  <c r="EV149" i="67"/>
  <c r="DR149" i="67"/>
  <c r="EG149" i="67"/>
  <c r="DC149" i="67"/>
  <c r="CN149" i="67"/>
  <c r="AX149" i="67"/>
  <c r="BL149" i="67"/>
  <c r="AJ149" i="67"/>
  <c r="BZ149" i="67"/>
  <c r="V88" i="67"/>
  <c r="FZ88" i="67"/>
  <c r="FK88" i="67"/>
  <c r="EV88" i="67"/>
  <c r="DR88" i="67"/>
  <c r="EG88" i="67"/>
  <c r="DC88" i="67"/>
  <c r="BZ88" i="67"/>
  <c r="CN88" i="67"/>
  <c r="AX88" i="67"/>
  <c r="BL88" i="67"/>
  <c r="AJ88" i="67"/>
  <c r="V26" i="67"/>
  <c r="FZ26" i="67"/>
  <c r="FK26" i="67"/>
  <c r="EV26" i="67"/>
  <c r="EG26" i="67"/>
  <c r="DR26" i="67"/>
  <c r="DC26" i="67"/>
  <c r="BZ26" i="67"/>
  <c r="CN26" i="67"/>
  <c r="BL26" i="67"/>
  <c r="AJ26" i="67"/>
  <c r="AX26" i="67"/>
  <c r="M95" i="67"/>
  <c r="FQ95" i="67"/>
  <c r="FB95" i="67"/>
  <c r="EM95" i="67"/>
  <c r="DX95" i="67"/>
  <c r="CT95" i="67"/>
  <c r="DI95" i="67"/>
  <c r="CE95" i="67"/>
  <c r="BQ95" i="67"/>
  <c r="BC95" i="67"/>
  <c r="AO95" i="67"/>
  <c r="AA95" i="67"/>
  <c r="M30" i="67"/>
  <c r="FQ30" i="67"/>
  <c r="FB30" i="67"/>
  <c r="EM30" i="67"/>
  <c r="DI30" i="67"/>
  <c r="DX30" i="67"/>
  <c r="CT30" i="67"/>
  <c r="CE30" i="67"/>
  <c r="BQ30" i="67"/>
  <c r="BC30" i="67"/>
  <c r="AA30" i="67"/>
  <c r="AO30" i="67"/>
  <c r="M18" i="67"/>
  <c r="FQ18" i="67"/>
  <c r="FB18" i="67"/>
  <c r="EM18" i="67"/>
  <c r="DI18" i="67"/>
  <c r="DX18" i="67"/>
  <c r="CT18" i="67"/>
  <c r="CE18" i="67"/>
  <c r="BQ18" i="67"/>
  <c r="BC18" i="67"/>
  <c r="AO18" i="67"/>
  <c r="AA18" i="67"/>
  <c r="V109" i="67"/>
  <c r="FZ109" i="67"/>
  <c r="FK109" i="67"/>
  <c r="EV109" i="67"/>
  <c r="DR109" i="67"/>
  <c r="EG109" i="67"/>
  <c r="DC109" i="67"/>
  <c r="CN109" i="67"/>
  <c r="AX109" i="67"/>
  <c r="BZ109" i="67"/>
  <c r="BL109" i="67"/>
  <c r="AJ109" i="67"/>
  <c r="M109" i="67"/>
  <c r="FQ109" i="67"/>
  <c r="FB109" i="67"/>
  <c r="EM109" i="67"/>
  <c r="DX109" i="67"/>
  <c r="DI109" i="67"/>
  <c r="CT109" i="67"/>
  <c r="CE109" i="67"/>
  <c r="BQ109" i="67"/>
  <c r="BC109" i="67"/>
  <c r="AA109" i="67"/>
  <c r="AO109" i="67"/>
  <c r="V85" i="67"/>
  <c r="FZ85" i="67"/>
  <c r="FK85" i="67"/>
  <c r="EV85" i="67"/>
  <c r="EG85" i="67"/>
  <c r="DR85" i="67"/>
  <c r="DC85" i="67"/>
  <c r="CN85" i="67"/>
  <c r="BZ85" i="67"/>
  <c r="AX85" i="67"/>
  <c r="BL85" i="67"/>
  <c r="AJ85" i="67"/>
  <c r="W54" i="67"/>
  <c r="GA54" i="67"/>
  <c r="FL54" i="67"/>
  <c r="EW54" i="67"/>
  <c r="EH54" i="67"/>
  <c r="DS54" i="67"/>
  <c r="DD54" i="67"/>
  <c r="CO54" i="67"/>
  <c r="CA54" i="67"/>
  <c r="BM54" i="67"/>
  <c r="AK54" i="67"/>
  <c r="AY54" i="67"/>
  <c r="V15" i="67"/>
  <c r="FZ15" i="67"/>
  <c r="FK15" i="67"/>
  <c r="EV15" i="67"/>
  <c r="EG15" i="67"/>
  <c r="DR15" i="67"/>
  <c r="DC15" i="67"/>
  <c r="BL15" i="67"/>
  <c r="CN15" i="67"/>
  <c r="BZ15" i="67"/>
  <c r="AJ15" i="67"/>
  <c r="AX15" i="67"/>
  <c r="V140" i="67"/>
  <c r="FZ140" i="67"/>
  <c r="FK140" i="67"/>
  <c r="EV140" i="67"/>
  <c r="EG140" i="67"/>
  <c r="DR140" i="67"/>
  <c r="DC140" i="67"/>
  <c r="CN140" i="67"/>
  <c r="AX140" i="67"/>
  <c r="BZ140" i="67"/>
  <c r="BL140" i="67"/>
  <c r="AJ140" i="67"/>
  <c r="M148" i="67"/>
  <c r="FQ148" i="67"/>
  <c r="FB148" i="67"/>
  <c r="EM148" i="67"/>
  <c r="DX148" i="67"/>
  <c r="DI148" i="67"/>
  <c r="CT148" i="67"/>
  <c r="CE148" i="67"/>
  <c r="BQ148" i="67"/>
  <c r="BC148" i="67"/>
  <c r="AO148" i="67"/>
  <c r="AA148" i="67"/>
  <c r="W63" i="67"/>
  <c r="GA63" i="67"/>
  <c r="FL63" i="67"/>
  <c r="EW63" i="67"/>
  <c r="EH63" i="67"/>
  <c r="DS63" i="67"/>
  <c r="DD63" i="67"/>
  <c r="CO63" i="67"/>
  <c r="CA63" i="67"/>
  <c r="BM63" i="67"/>
  <c r="AK63" i="67"/>
  <c r="AY63" i="67"/>
  <c r="W117" i="67"/>
  <c r="GA117" i="67"/>
  <c r="FL117" i="67"/>
  <c r="EW117" i="67"/>
  <c r="EH117" i="67"/>
  <c r="DS117" i="67"/>
  <c r="DD117" i="67"/>
  <c r="CO117" i="67"/>
  <c r="CA117" i="67"/>
  <c r="BM117" i="67"/>
  <c r="AY117" i="67"/>
  <c r="AK117" i="67"/>
  <c r="V133" i="67"/>
  <c r="FZ133" i="67"/>
  <c r="FK133" i="67"/>
  <c r="EV133" i="67"/>
  <c r="DR133" i="67"/>
  <c r="EG133" i="67"/>
  <c r="DC133" i="67"/>
  <c r="CN133" i="67"/>
  <c r="AX133" i="67"/>
  <c r="BZ133" i="67"/>
  <c r="BL133" i="67"/>
  <c r="AJ133" i="67"/>
  <c r="W38" i="67"/>
  <c r="GA38" i="67"/>
  <c r="FL38" i="67"/>
  <c r="EW38" i="67"/>
  <c r="EH38" i="67"/>
  <c r="DS38" i="67"/>
  <c r="DD38" i="67"/>
  <c r="CO38" i="67"/>
  <c r="CA38" i="67"/>
  <c r="BM38" i="67"/>
  <c r="AK38" i="67"/>
  <c r="AY38" i="67"/>
  <c r="M101" i="67"/>
  <c r="FQ101" i="67"/>
  <c r="FB101" i="67"/>
  <c r="EM101" i="67"/>
  <c r="DX101" i="67"/>
  <c r="DI101" i="67"/>
  <c r="CT101" i="67"/>
  <c r="CE101" i="67"/>
  <c r="BQ101" i="67"/>
  <c r="BC101" i="67"/>
  <c r="AA101" i="67"/>
  <c r="AO101" i="67"/>
  <c r="V70" i="67"/>
  <c r="FZ70" i="67"/>
  <c r="FK70" i="67"/>
  <c r="EV70" i="67"/>
  <c r="EG70" i="67"/>
  <c r="DR70" i="67"/>
  <c r="DC70" i="67"/>
  <c r="CN70" i="67"/>
  <c r="BZ70" i="67"/>
  <c r="AX70" i="67"/>
  <c r="BL70" i="67"/>
  <c r="AJ70" i="67"/>
  <c r="V37" i="67"/>
  <c r="FZ37" i="67"/>
  <c r="FK37" i="67"/>
  <c r="EV37" i="67"/>
  <c r="EG37" i="67"/>
  <c r="DR37" i="67"/>
  <c r="DC37" i="67"/>
  <c r="CN37" i="67"/>
  <c r="BZ37" i="67"/>
  <c r="BL37" i="67"/>
  <c r="AJ37" i="67"/>
  <c r="AX37" i="67"/>
  <c r="V17" i="67"/>
  <c r="FZ17" i="67"/>
  <c r="FK17" i="67"/>
  <c r="EV17" i="67"/>
  <c r="EG17" i="67"/>
  <c r="DR17" i="67"/>
  <c r="DC17" i="67"/>
  <c r="BL17" i="67"/>
  <c r="BZ17" i="67"/>
  <c r="CN17" i="67"/>
  <c r="AJ17" i="67"/>
  <c r="AX17" i="67"/>
  <c r="M155" i="67"/>
  <c r="FQ155" i="67"/>
  <c r="FB155" i="67"/>
  <c r="EM155" i="67"/>
  <c r="DX155" i="67"/>
  <c r="DI155" i="67"/>
  <c r="CT155" i="67"/>
  <c r="CE155" i="67"/>
  <c r="BQ155" i="67"/>
  <c r="BC155" i="67"/>
  <c r="AO155" i="67"/>
  <c r="AA155" i="67"/>
  <c r="V68" i="67"/>
  <c r="FZ68" i="67"/>
  <c r="FK68" i="67"/>
  <c r="EV68" i="67"/>
  <c r="EG68" i="67"/>
  <c r="DR68" i="67"/>
  <c r="DC68" i="67"/>
  <c r="CN68" i="67"/>
  <c r="BZ68" i="67"/>
  <c r="AX68" i="67"/>
  <c r="BL68" i="67"/>
  <c r="AJ68" i="67"/>
  <c r="M138" i="67"/>
  <c r="FQ138" i="67"/>
  <c r="FB138" i="67"/>
  <c r="EM138" i="67"/>
  <c r="DX138" i="67"/>
  <c r="DI138" i="67"/>
  <c r="CT138" i="67"/>
  <c r="CE138" i="67"/>
  <c r="BQ138" i="67"/>
  <c r="BC138" i="67"/>
  <c r="AO138" i="67"/>
  <c r="AA138" i="67"/>
  <c r="W97" i="67"/>
  <c r="GA97" i="67"/>
  <c r="FL97" i="67"/>
  <c r="EH97" i="67"/>
  <c r="EW97" i="67"/>
  <c r="DS97" i="67"/>
  <c r="CO97" i="67"/>
  <c r="CA97" i="67"/>
  <c r="DD97" i="67"/>
  <c r="BM97" i="67"/>
  <c r="AY97" i="67"/>
  <c r="AK97" i="67"/>
  <c r="W35" i="67"/>
  <c r="GA35" i="67"/>
  <c r="FL35" i="67"/>
  <c r="EW35" i="67"/>
  <c r="EH35" i="67"/>
  <c r="DS35" i="67"/>
  <c r="DD35" i="67"/>
  <c r="CO35" i="67"/>
  <c r="CA35" i="67"/>
  <c r="BM35" i="67"/>
  <c r="AK35" i="67"/>
  <c r="AY35" i="67"/>
  <c r="V43" i="67"/>
  <c r="FZ43" i="67"/>
  <c r="FK43" i="67"/>
  <c r="EV43" i="67"/>
  <c r="EG43" i="67"/>
  <c r="DR43" i="67"/>
  <c r="DC43" i="67"/>
  <c r="BZ43" i="67"/>
  <c r="CN43" i="67"/>
  <c r="AJ43" i="67"/>
  <c r="BL43" i="67"/>
  <c r="AX43" i="67"/>
  <c r="M51" i="67"/>
  <c r="FQ51" i="67"/>
  <c r="FB51" i="67"/>
  <c r="EM51" i="67"/>
  <c r="DI51" i="67"/>
  <c r="DX51" i="67"/>
  <c r="CE51" i="67"/>
  <c r="CT51" i="67"/>
  <c r="BQ51" i="67"/>
  <c r="BC51" i="67"/>
  <c r="AO51" i="67"/>
  <c r="AA51" i="67"/>
  <c r="W58" i="67"/>
  <c r="GA58" i="67"/>
  <c r="FL58" i="67"/>
  <c r="EW58" i="67"/>
  <c r="DS58" i="67"/>
  <c r="DD58" i="67"/>
  <c r="EH58" i="67"/>
  <c r="CA58" i="67"/>
  <c r="CO58" i="67"/>
  <c r="BM58" i="67"/>
  <c r="AK58" i="67"/>
  <c r="AY58" i="67"/>
  <c r="V66" i="67"/>
  <c r="FZ66" i="67"/>
  <c r="FK66" i="67"/>
  <c r="EV66" i="67"/>
  <c r="EG66" i="67"/>
  <c r="DR66" i="67"/>
  <c r="DC66" i="67"/>
  <c r="CN66" i="67"/>
  <c r="BZ66" i="67"/>
  <c r="AX66" i="67"/>
  <c r="BL66" i="67"/>
  <c r="AJ66" i="67"/>
  <c r="M74" i="67"/>
  <c r="FQ74" i="67"/>
  <c r="FB74" i="67"/>
  <c r="DX74" i="67"/>
  <c r="EM74" i="67"/>
  <c r="DI74" i="67"/>
  <c r="CT74" i="67"/>
  <c r="BQ74" i="67"/>
  <c r="CE74" i="67"/>
  <c r="BC74" i="67"/>
  <c r="AA74" i="67"/>
  <c r="AO74" i="67"/>
  <c r="W33" i="67"/>
  <c r="GA33" i="67"/>
  <c r="FL33" i="67"/>
  <c r="EW33" i="67"/>
  <c r="EH33" i="67"/>
  <c r="DS33" i="67"/>
  <c r="DD33" i="67"/>
  <c r="CO33" i="67"/>
  <c r="CA33" i="67"/>
  <c r="BM33" i="67"/>
  <c r="AK33" i="67"/>
  <c r="AY33" i="67"/>
  <c r="M111" i="67"/>
  <c r="FQ111" i="67"/>
  <c r="FB111" i="67"/>
  <c r="EM111" i="67"/>
  <c r="DX111" i="67"/>
  <c r="DI111" i="67"/>
  <c r="CT111" i="67"/>
  <c r="CE111" i="67"/>
  <c r="BC111" i="67"/>
  <c r="BQ111" i="67"/>
  <c r="AA111" i="67"/>
  <c r="AO111" i="67"/>
  <c r="M13" i="67"/>
  <c r="FQ13" i="67"/>
  <c r="FB13" i="67"/>
  <c r="EM13" i="67"/>
  <c r="DI13" i="67"/>
  <c r="DX13" i="67"/>
  <c r="CE13" i="67"/>
  <c r="CT13" i="67"/>
  <c r="BQ13" i="67"/>
  <c r="BC13" i="67"/>
  <c r="AO13" i="67"/>
  <c r="AA13" i="67"/>
  <c r="V155" i="67"/>
  <c r="FZ155" i="67"/>
  <c r="FK155" i="67"/>
  <c r="EV155" i="67"/>
  <c r="EG155" i="67"/>
  <c r="DR155" i="67"/>
  <c r="DC155" i="67"/>
  <c r="CN155" i="67"/>
  <c r="AX155" i="67"/>
  <c r="BZ155" i="67"/>
  <c r="BL155" i="67"/>
  <c r="AJ155" i="67"/>
  <c r="W62" i="67"/>
  <c r="GA62" i="67"/>
  <c r="FL62" i="67"/>
  <c r="EW62" i="67"/>
  <c r="EH62" i="67"/>
  <c r="DS62" i="67"/>
  <c r="DD62" i="67"/>
  <c r="CO62" i="67"/>
  <c r="CA62" i="67"/>
  <c r="BM62" i="67"/>
  <c r="AK62" i="67"/>
  <c r="AY62" i="67"/>
  <c r="M124" i="67"/>
  <c r="FQ124" i="67"/>
  <c r="EM124" i="67"/>
  <c r="FB124" i="67"/>
  <c r="DX124" i="67"/>
  <c r="DI124" i="67"/>
  <c r="CT124" i="67"/>
  <c r="CE124" i="67"/>
  <c r="BQ124" i="67"/>
  <c r="BC124" i="67"/>
  <c r="AO124" i="67"/>
  <c r="AA124" i="67"/>
  <c r="V94" i="67"/>
  <c r="FZ94" i="67"/>
  <c r="FK94" i="67"/>
  <c r="EV94" i="67"/>
  <c r="DR94" i="67"/>
  <c r="EG94" i="67"/>
  <c r="DC94" i="67"/>
  <c r="CN94" i="67"/>
  <c r="BZ94" i="67"/>
  <c r="AX94" i="67"/>
  <c r="BL94" i="67"/>
  <c r="AJ94" i="67"/>
  <c r="M116" i="67"/>
  <c r="FQ116" i="67"/>
  <c r="EM116" i="67"/>
  <c r="DX116" i="67"/>
  <c r="FB116" i="67"/>
  <c r="DI116" i="67"/>
  <c r="CT116" i="67"/>
  <c r="CE116" i="67"/>
  <c r="BQ116" i="67"/>
  <c r="BC116" i="67"/>
  <c r="AO116" i="67"/>
  <c r="AA116" i="67"/>
  <c r="V92" i="67"/>
  <c r="FZ92" i="67"/>
  <c r="FK92" i="67"/>
  <c r="EV92" i="67"/>
  <c r="EG92" i="67"/>
  <c r="DR92" i="67"/>
  <c r="DC92" i="67"/>
  <c r="CN92" i="67"/>
  <c r="BZ92" i="67"/>
  <c r="AX92" i="67"/>
  <c r="BL92" i="67"/>
  <c r="AJ92" i="67"/>
  <c r="V55" i="67"/>
  <c r="FZ55" i="67"/>
  <c r="FK55" i="67"/>
  <c r="EV55" i="67"/>
  <c r="EG55" i="67"/>
  <c r="DR55" i="67"/>
  <c r="DC55" i="67"/>
  <c r="BZ55" i="67"/>
  <c r="CN55" i="67"/>
  <c r="BL55" i="67"/>
  <c r="AJ55" i="67"/>
  <c r="AX55" i="67"/>
  <c r="W184" i="67"/>
  <c r="GA184" i="67"/>
  <c r="FL184" i="67"/>
  <c r="EW184" i="67"/>
  <c r="EH184" i="67"/>
  <c r="DS184" i="67"/>
  <c r="CO184" i="67"/>
  <c r="DD184" i="67"/>
  <c r="CA184" i="67"/>
  <c r="BM184" i="67"/>
  <c r="AK184" i="67"/>
  <c r="AY184" i="67"/>
  <c r="M171" i="67"/>
  <c r="FQ171" i="67"/>
  <c r="FB171" i="67"/>
  <c r="EM171" i="67"/>
  <c r="DX171" i="67"/>
  <c r="DI171" i="67"/>
  <c r="CT171" i="67"/>
  <c r="BQ171" i="67"/>
  <c r="CE171" i="67"/>
  <c r="BC171" i="67"/>
  <c r="AO171" i="67"/>
  <c r="AA171" i="67"/>
  <c r="M69" i="67"/>
  <c r="FQ69" i="67"/>
  <c r="FB69" i="67"/>
  <c r="EM69" i="67"/>
  <c r="DX69" i="67"/>
  <c r="DI69" i="67"/>
  <c r="CE69" i="67"/>
  <c r="CT69" i="67"/>
  <c r="BQ69" i="67"/>
  <c r="BC69" i="67"/>
  <c r="AO69" i="67"/>
  <c r="AA69" i="67"/>
  <c r="W9" i="67"/>
  <c r="GA9" i="67"/>
  <c r="FL9" i="67"/>
  <c r="EW9" i="67"/>
  <c r="EH9" i="67"/>
  <c r="DS9" i="67"/>
  <c r="DD9" i="67"/>
  <c r="CA9" i="67"/>
  <c r="CO9" i="67"/>
  <c r="AK9" i="67"/>
  <c r="BM9" i="67"/>
  <c r="AY9" i="67"/>
  <c r="W170" i="67"/>
  <c r="GA170" i="67"/>
  <c r="FL170" i="67"/>
  <c r="EW170" i="67"/>
  <c r="EH170" i="67"/>
  <c r="DS170" i="67"/>
  <c r="CO170" i="67"/>
  <c r="DD170" i="67"/>
  <c r="BM170" i="67"/>
  <c r="CA170" i="67"/>
  <c r="AK170" i="67"/>
  <c r="AY170" i="67"/>
  <c r="W169" i="67"/>
  <c r="GA169" i="67"/>
  <c r="FL169" i="67"/>
  <c r="EW169" i="67"/>
  <c r="EH169" i="67"/>
  <c r="DS169" i="67"/>
  <c r="DD169" i="67"/>
  <c r="CO169" i="67"/>
  <c r="CA169" i="67"/>
  <c r="BM169" i="67"/>
  <c r="AK169" i="67"/>
  <c r="AY169" i="67"/>
  <c r="M130" i="67"/>
  <c r="FQ130" i="67"/>
  <c r="EM130" i="67"/>
  <c r="FB130" i="67"/>
  <c r="DX130" i="67"/>
  <c r="DI130" i="67"/>
  <c r="CT130" i="67"/>
  <c r="CE130" i="67"/>
  <c r="BQ130" i="67"/>
  <c r="BC130" i="67"/>
  <c r="AO130" i="67"/>
  <c r="AA130" i="67"/>
  <c r="W90" i="67"/>
  <c r="GA90" i="67"/>
  <c r="FL90" i="67"/>
  <c r="EW90" i="67"/>
  <c r="EH90" i="67"/>
  <c r="DS90" i="67"/>
  <c r="DD90" i="67"/>
  <c r="CO90" i="67"/>
  <c r="CA90" i="67"/>
  <c r="BM90" i="67"/>
  <c r="AY90" i="67"/>
  <c r="AK90" i="67"/>
  <c r="V159" i="67"/>
  <c r="FZ159" i="67"/>
  <c r="FK159" i="67"/>
  <c r="EV159" i="67"/>
  <c r="EG159" i="67"/>
  <c r="DR159" i="67"/>
  <c r="DC159" i="67"/>
  <c r="CN159" i="67"/>
  <c r="BZ159" i="67"/>
  <c r="AX159" i="67"/>
  <c r="BL159" i="67"/>
  <c r="AJ159" i="67"/>
  <c r="M43" i="67"/>
  <c r="FQ43" i="67"/>
  <c r="FB43" i="67"/>
  <c r="EM43" i="67"/>
  <c r="DI43" i="67"/>
  <c r="DX43" i="67"/>
  <c r="CT43" i="67"/>
  <c r="BQ43" i="67"/>
  <c r="CE43" i="67"/>
  <c r="BC43" i="67"/>
  <c r="AO43" i="67"/>
  <c r="AA43" i="67"/>
  <c r="W112" i="67"/>
  <c r="GA112" i="67"/>
  <c r="FL112" i="67"/>
  <c r="EW112" i="67"/>
  <c r="DS112" i="67"/>
  <c r="EH112" i="67"/>
  <c r="CO112" i="67"/>
  <c r="DD112" i="67"/>
  <c r="CA112" i="67"/>
  <c r="BM112" i="67"/>
  <c r="AY112" i="67"/>
  <c r="AK112" i="67"/>
  <c r="V177" i="67"/>
  <c r="FZ177" i="67"/>
  <c r="FK177" i="67"/>
  <c r="EV177" i="67"/>
  <c r="EG177" i="67"/>
  <c r="DR177" i="67"/>
  <c r="DC177" i="67"/>
  <c r="CN177" i="67"/>
  <c r="BZ177" i="67"/>
  <c r="AX177" i="67"/>
  <c r="BL177" i="67"/>
  <c r="AJ177" i="67"/>
  <c r="V58" i="67"/>
  <c r="FZ58" i="67"/>
  <c r="FK58" i="67"/>
  <c r="EV58" i="67"/>
  <c r="EG58" i="67"/>
  <c r="DR58" i="67"/>
  <c r="DC58" i="67"/>
  <c r="CN58" i="67"/>
  <c r="BZ58" i="67"/>
  <c r="BL58" i="67"/>
  <c r="AJ58" i="67"/>
  <c r="AX58" i="67"/>
  <c r="M128" i="67"/>
  <c r="FQ128" i="67"/>
  <c r="FB128" i="67"/>
  <c r="EM128" i="67"/>
  <c r="DX128" i="67"/>
  <c r="DI128" i="67"/>
  <c r="CT128" i="67"/>
  <c r="CE128" i="67"/>
  <c r="BC128" i="67"/>
  <c r="AA128" i="67"/>
  <c r="BQ128" i="67"/>
  <c r="AO128" i="67"/>
  <c r="V157" i="67"/>
  <c r="FZ157" i="67"/>
  <c r="FK157" i="67"/>
  <c r="EV157" i="67"/>
  <c r="DR157" i="67"/>
  <c r="DC157" i="67"/>
  <c r="EG157" i="67"/>
  <c r="CN157" i="67"/>
  <c r="BZ157" i="67"/>
  <c r="AX157" i="67"/>
  <c r="BL157" i="67"/>
  <c r="AJ157" i="67"/>
  <c r="V33" i="67"/>
  <c r="FZ33" i="67"/>
  <c r="FK33" i="67"/>
  <c r="EV33" i="67"/>
  <c r="EG33" i="67"/>
  <c r="DR33" i="67"/>
  <c r="DC33" i="67"/>
  <c r="BZ33" i="67"/>
  <c r="CN33" i="67"/>
  <c r="BL33" i="67"/>
  <c r="AJ33" i="67"/>
  <c r="AX33" i="67"/>
  <c r="M41" i="67"/>
  <c r="FQ41" i="67"/>
  <c r="FB41" i="67"/>
  <c r="EM41" i="67"/>
  <c r="DX41" i="67"/>
  <c r="DI41" i="67"/>
  <c r="CT41" i="67"/>
  <c r="BQ41" i="67"/>
  <c r="CE41" i="67"/>
  <c r="BC41" i="67"/>
  <c r="AA41" i="67"/>
  <c r="AO41" i="67"/>
  <c r="W134" i="67"/>
  <c r="GA134" i="67"/>
  <c r="FL134" i="67"/>
  <c r="EW134" i="67"/>
  <c r="EH134" i="67"/>
  <c r="DS134" i="67"/>
  <c r="DD134" i="67"/>
  <c r="CO134" i="67"/>
  <c r="CA134" i="67"/>
  <c r="BM134" i="67"/>
  <c r="AK134" i="67"/>
  <c r="AY134" i="67"/>
  <c r="W10" i="67"/>
  <c r="GA10" i="67"/>
  <c r="FL10" i="67"/>
  <c r="EW10" i="67"/>
  <c r="EH10" i="67"/>
  <c r="DS10" i="67"/>
  <c r="DD10" i="67"/>
  <c r="CA10" i="67"/>
  <c r="CO10" i="67"/>
  <c r="AK10" i="67"/>
  <c r="BM10" i="67"/>
  <c r="AY10" i="67"/>
  <c r="M23" i="67"/>
  <c r="FQ23" i="67"/>
  <c r="FB23" i="67"/>
  <c r="EM23" i="67"/>
  <c r="DX23" i="67"/>
  <c r="DI23" i="67"/>
  <c r="CT23" i="67"/>
  <c r="BQ23" i="67"/>
  <c r="BC23" i="67"/>
  <c r="CE23" i="67"/>
  <c r="AO23" i="67"/>
  <c r="AA23" i="67"/>
  <c r="V154" i="67"/>
  <c r="FZ154" i="67"/>
  <c r="FK154" i="67"/>
  <c r="EV154" i="67"/>
  <c r="EG154" i="67"/>
  <c r="DR154" i="67"/>
  <c r="DC154" i="67"/>
  <c r="CN154" i="67"/>
  <c r="BZ154" i="67"/>
  <c r="AX154" i="67"/>
  <c r="BL154" i="67"/>
  <c r="AJ154" i="67"/>
  <c r="M132" i="67"/>
  <c r="FQ132" i="67"/>
  <c r="EM132" i="67"/>
  <c r="FB132" i="67"/>
  <c r="DX132" i="67"/>
  <c r="DI132" i="67"/>
  <c r="CT132" i="67"/>
  <c r="BQ132" i="67"/>
  <c r="BC132" i="67"/>
  <c r="CE132" i="67"/>
  <c r="AO132" i="67"/>
  <c r="AA132" i="67"/>
  <c r="V101" i="67"/>
  <c r="FZ101" i="67"/>
  <c r="FK101" i="67"/>
  <c r="EV101" i="67"/>
  <c r="DR101" i="67"/>
  <c r="EG101" i="67"/>
  <c r="DC101" i="67"/>
  <c r="CN101" i="67"/>
  <c r="AX101" i="67"/>
  <c r="BZ101" i="67"/>
  <c r="BL101" i="67"/>
  <c r="AJ101" i="67"/>
  <c r="W77" i="67"/>
  <c r="GA77" i="67"/>
  <c r="FL77" i="67"/>
  <c r="EW77" i="67"/>
  <c r="EH77" i="67"/>
  <c r="DS77" i="67"/>
  <c r="DD77" i="67"/>
  <c r="CO77" i="67"/>
  <c r="CA77" i="67"/>
  <c r="BM77" i="67"/>
  <c r="AY77" i="67"/>
  <c r="AK77" i="67"/>
  <c r="W55" i="67"/>
  <c r="GA55" i="67"/>
  <c r="FL55" i="67"/>
  <c r="EW55" i="67"/>
  <c r="EH55" i="67"/>
  <c r="DS55" i="67"/>
  <c r="DD55" i="67"/>
  <c r="CO55" i="67"/>
  <c r="CA55" i="67"/>
  <c r="BM55" i="67"/>
  <c r="AK55" i="67"/>
  <c r="AY55" i="67"/>
  <c r="W148" i="67"/>
  <c r="GA148" i="67"/>
  <c r="FL148" i="67"/>
  <c r="EW148" i="67"/>
  <c r="EH148" i="67"/>
  <c r="DS148" i="67"/>
  <c r="DD148" i="67"/>
  <c r="CO148" i="67"/>
  <c r="CA148" i="67"/>
  <c r="BM148" i="67"/>
  <c r="AK148" i="67"/>
  <c r="AY148" i="67"/>
  <c r="W166" i="67"/>
  <c r="GA166" i="67"/>
  <c r="FL166" i="67"/>
  <c r="EW166" i="67"/>
  <c r="EH166" i="67"/>
  <c r="DS166" i="67"/>
  <c r="DD166" i="67"/>
  <c r="CO166" i="67"/>
  <c r="CA166" i="67"/>
  <c r="BM166" i="67"/>
  <c r="AK166" i="67"/>
  <c r="AY166" i="67"/>
  <c r="W109" i="67"/>
  <c r="GA109" i="67"/>
  <c r="FL109" i="67"/>
  <c r="EW109" i="67"/>
  <c r="EH109" i="67"/>
  <c r="DS109" i="67"/>
  <c r="DD109" i="67"/>
  <c r="CO109" i="67"/>
  <c r="CA109" i="67"/>
  <c r="BM109" i="67"/>
  <c r="AK109" i="67"/>
  <c r="AY109" i="67"/>
  <c r="M62" i="67"/>
  <c r="FQ62" i="67"/>
  <c r="FB62" i="67"/>
  <c r="EM62" i="67"/>
  <c r="DX62" i="67"/>
  <c r="DI62" i="67"/>
  <c r="CE62" i="67"/>
  <c r="CT62" i="67"/>
  <c r="BQ62" i="67"/>
  <c r="BC62" i="67"/>
  <c r="AA62" i="67"/>
  <c r="AO62" i="67"/>
  <c r="W107" i="67"/>
  <c r="GA107" i="67"/>
  <c r="FL107" i="67"/>
  <c r="EW107" i="67"/>
  <c r="EH107" i="67"/>
  <c r="DS107" i="67"/>
  <c r="DD107" i="67"/>
  <c r="CO107" i="67"/>
  <c r="CA107" i="67"/>
  <c r="BM107" i="67"/>
  <c r="AK107" i="67"/>
  <c r="AY107" i="67"/>
  <c r="V77" i="67"/>
  <c r="FZ77" i="67"/>
  <c r="FK77" i="67"/>
  <c r="EV77" i="67"/>
  <c r="EG77" i="67"/>
  <c r="DR77" i="67"/>
  <c r="DC77" i="67"/>
  <c r="CN77" i="67"/>
  <c r="BZ77" i="67"/>
  <c r="AX77" i="67"/>
  <c r="BL77" i="67"/>
  <c r="AJ77" i="67"/>
  <c r="W16" i="67"/>
  <c r="GA16" i="67"/>
  <c r="FL16" i="67"/>
  <c r="EW16" i="67"/>
  <c r="EH16" i="67"/>
  <c r="DS16" i="67"/>
  <c r="DD16" i="67"/>
  <c r="CO16" i="67"/>
  <c r="CA16" i="67"/>
  <c r="AK16" i="67"/>
  <c r="BM16" i="67"/>
  <c r="AY16" i="67"/>
  <c r="V8" i="67"/>
  <c r="FZ8" i="67"/>
  <c r="FK8" i="67"/>
  <c r="EV8" i="67"/>
  <c r="EG8" i="67"/>
  <c r="DR8" i="67"/>
  <c r="DC8" i="67"/>
  <c r="BL8" i="67"/>
  <c r="CN8" i="67"/>
  <c r="BZ8" i="67"/>
  <c r="AX8" i="67"/>
  <c r="AJ8" i="67"/>
  <c r="M77" i="67"/>
  <c r="FQ77" i="67"/>
  <c r="FB77" i="67"/>
  <c r="EM77" i="67"/>
  <c r="DX77" i="67"/>
  <c r="DI77" i="67"/>
  <c r="CT77" i="67"/>
  <c r="CE77" i="67"/>
  <c r="BQ77" i="67"/>
  <c r="BC77" i="67"/>
  <c r="AO77" i="67"/>
  <c r="AA77" i="67"/>
  <c r="V179" i="67"/>
  <c r="FZ179" i="67"/>
  <c r="FK179" i="67"/>
  <c r="EV179" i="67"/>
  <c r="EG179" i="67"/>
  <c r="DR179" i="67"/>
  <c r="DC179" i="67"/>
  <c r="CN179" i="67"/>
  <c r="BZ179" i="67"/>
  <c r="AX179" i="67"/>
  <c r="BL179" i="67"/>
  <c r="AJ179" i="67"/>
  <c r="V87" i="67"/>
  <c r="FZ87" i="67"/>
  <c r="FK87" i="67"/>
  <c r="EV87" i="67"/>
  <c r="DR87" i="67"/>
  <c r="EG87" i="67"/>
  <c r="DC87" i="67"/>
  <c r="CN87" i="67"/>
  <c r="BZ87" i="67"/>
  <c r="AX87" i="67"/>
  <c r="BL87" i="67"/>
  <c r="AJ87" i="67"/>
  <c r="W122" i="67"/>
  <c r="GA122" i="67"/>
  <c r="FL122" i="67"/>
  <c r="EW122" i="67"/>
  <c r="EH122" i="67"/>
  <c r="DS122" i="67"/>
  <c r="DD122" i="67"/>
  <c r="CO122" i="67"/>
  <c r="CA122" i="67"/>
  <c r="BM122" i="67"/>
  <c r="AY122" i="67"/>
  <c r="AK122" i="67"/>
  <c r="V130" i="67"/>
  <c r="FZ130" i="67"/>
  <c r="FK130" i="67"/>
  <c r="EV130" i="67"/>
  <c r="EG130" i="67"/>
  <c r="DR130" i="67"/>
  <c r="DC130" i="67"/>
  <c r="CN130" i="67"/>
  <c r="BZ130" i="67"/>
  <c r="AX130" i="67"/>
  <c r="BL130" i="67"/>
  <c r="AJ130" i="67"/>
  <c r="M76" i="67"/>
  <c r="FQ76" i="67"/>
  <c r="FB76" i="67"/>
  <c r="EM76" i="67"/>
  <c r="DX76" i="67"/>
  <c r="DI76" i="67"/>
  <c r="CT76" i="67"/>
  <c r="CE76" i="67"/>
  <c r="BQ76" i="67"/>
  <c r="BC76" i="67"/>
  <c r="AO76" i="67"/>
  <c r="AA76" i="67"/>
  <c r="M9" i="67"/>
  <c r="FQ9" i="67"/>
  <c r="FB9" i="67"/>
  <c r="EM9" i="67"/>
  <c r="DI9" i="67"/>
  <c r="DX9" i="67"/>
  <c r="CE9" i="67"/>
  <c r="CT9" i="67"/>
  <c r="BQ9" i="67"/>
  <c r="BC9" i="67"/>
  <c r="AA9" i="67"/>
  <c r="AO9" i="67"/>
  <c r="W159" i="67"/>
  <c r="GA159" i="67"/>
  <c r="FL159" i="67"/>
  <c r="EW159" i="67"/>
  <c r="EH159" i="67"/>
  <c r="DS159" i="67"/>
  <c r="DD159" i="67"/>
  <c r="CO159" i="67"/>
  <c r="CA159" i="67"/>
  <c r="BM159" i="67"/>
  <c r="AY159" i="67"/>
  <c r="AK159" i="67"/>
  <c r="M192" i="67"/>
  <c r="FQ192" i="67"/>
  <c r="FB192" i="67"/>
  <c r="EM192" i="67"/>
  <c r="DX192" i="67"/>
  <c r="CT192" i="67"/>
  <c r="DI192" i="67"/>
  <c r="CE192" i="67"/>
  <c r="BQ192" i="67"/>
  <c r="BC192" i="67"/>
  <c r="AA192" i="67"/>
  <c r="AO192" i="67"/>
  <c r="W177" i="67"/>
  <c r="GA177" i="67"/>
  <c r="FL177" i="67"/>
  <c r="EW177" i="67"/>
  <c r="DS177" i="67"/>
  <c r="CO177" i="67"/>
  <c r="EH177" i="67"/>
  <c r="DD177" i="67"/>
  <c r="CA177" i="67"/>
  <c r="BM177" i="67"/>
  <c r="AY177" i="67"/>
  <c r="AK177" i="67"/>
  <c r="V183" i="67"/>
  <c r="FZ183" i="67"/>
  <c r="FK183" i="67"/>
  <c r="EV183" i="67"/>
  <c r="EG183" i="67"/>
  <c r="DR183" i="67"/>
  <c r="DC183" i="67"/>
  <c r="CN183" i="67"/>
  <c r="BZ183" i="67"/>
  <c r="AX183" i="67"/>
  <c r="BL183" i="67"/>
  <c r="AJ183" i="67"/>
  <c r="M136" i="67"/>
  <c r="FQ136" i="67"/>
  <c r="FB136" i="67"/>
  <c r="EM136" i="67"/>
  <c r="DX136" i="67"/>
  <c r="DI136" i="67"/>
  <c r="CT136" i="67"/>
  <c r="CE136" i="67"/>
  <c r="BC136" i="67"/>
  <c r="AA136" i="67"/>
  <c r="BQ136" i="67"/>
  <c r="AO136" i="67"/>
  <c r="W157" i="67"/>
  <c r="GA157" i="67"/>
  <c r="FL157" i="67"/>
  <c r="EW157" i="67"/>
  <c r="EH157" i="67"/>
  <c r="CO157" i="67"/>
  <c r="DS157" i="67"/>
  <c r="DD157" i="67"/>
  <c r="CA157" i="67"/>
  <c r="BM157" i="67"/>
  <c r="AY157" i="67"/>
  <c r="AK157" i="67"/>
  <c r="M165" i="67"/>
  <c r="FQ165" i="67"/>
  <c r="FB165" i="67"/>
  <c r="EM165" i="67"/>
  <c r="DX165" i="67"/>
  <c r="DI165" i="67"/>
  <c r="CT165" i="67"/>
  <c r="CE165" i="67"/>
  <c r="BQ165" i="67"/>
  <c r="BC165" i="67"/>
  <c r="AA165" i="67"/>
  <c r="AO165" i="67"/>
  <c r="M179" i="67"/>
  <c r="FQ179" i="67"/>
  <c r="FB179" i="67"/>
  <c r="EM179" i="67"/>
  <c r="DX179" i="67"/>
  <c r="DI179" i="67"/>
  <c r="CT179" i="67"/>
  <c r="CE179" i="67"/>
  <c r="BQ179" i="67"/>
  <c r="BC179" i="67"/>
  <c r="AO179" i="67"/>
  <c r="AA179" i="67"/>
  <c r="W125" i="67"/>
  <c r="GA125" i="67"/>
  <c r="FL125" i="67"/>
  <c r="EW125" i="67"/>
  <c r="EH125" i="67"/>
  <c r="DS125" i="67"/>
  <c r="DD125" i="67"/>
  <c r="CO125" i="67"/>
  <c r="CA125" i="67"/>
  <c r="BM125" i="67"/>
  <c r="AY125" i="67"/>
  <c r="AK125" i="67"/>
  <c r="M133" i="67"/>
  <c r="FQ133" i="67"/>
  <c r="FB133" i="67"/>
  <c r="EM133" i="67"/>
  <c r="DX133" i="67"/>
  <c r="DI133" i="67"/>
  <c r="CT133" i="67"/>
  <c r="CE133" i="67"/>
  <c r="BQ133" i="67"/>
  <c r="BC133" i="67"/>
  <c r="AA133" i="67"/>
  <c r="AO133" i="67"/>
  <c r="W123" i="67"/>
  <c r="GA123" i="67"/>
  <c r="FL123" i="67"/>
  <c r="EW123" i="67"/>
  <c r="EH123" i="67"/>
  <c r="DS123" i="67"/>
  <c r="CO123" i="67"/>
  <c r="DD123" i="67"/>
  <c r="CA123" i="67"/>
  <c r="BM123" i="67"/>
  <c r="AY123" i="67"/>
  <c r="AK123" i="67"/>
  <c r="W69" i="67"/>
  <c r="GA69" i="67"/>
  <c r="FL69" i="67"/>
  <c r="EW69" i="67"/>
  <c r="EH69" i="67"/>
  <c r="DS69" i="67"/>
  <c r="DD69" i="67"/>
  <c r="CO69" i="67"/>
  <c r="CA69" i="67"/>
  <c r="BM69" i="67"/>
  <c r="AY69" i="67"/>
  <c r="AK69" i="67"/>
  <c r="W99" i="67"/>
  <c r="GA99" i="67"/>
  <c r="FL99" i="67"/>
  <c r="EW99" i="67"/>
  <c r="EH99" i="67"/>
  <c r="DS99" i="67"/>
  <c r="DD99" i="67"/>
  <c r="CO99" i="67"/>
  <c r="CA99" i="67"/>
  <c r="BM99" i="67"/>
  <c r="AY99" i="67"/>
  <c r="AK99" i="67"/>
  <c r="M86" i="67"/>
  <c r="FQ86" i="67"/>
  <c r="FB86" i="67"/>
  <c r="EM86" i="67"/>
  <c r="DX86" i="67"/>
  <c r="DI86" i="67"/>
  <c r="CE86" i="67"/>
  <c r="CT86" i="67"/>
  <c r="BQ86" i="67"/>
  <c r="BC86" i="67"/>
  <c r="AA86" i="67"/>
  <c r="AO86" i="67"/>
  <c r="W37" i="67"/>
  <c r="GA37" i="67"/>
  <c r="FL37" i="67"/>
  <c r="EW37" i="67"/>
  <c r="EH37" i="67"/>
  <c r="DS37" i="67"/>
  <c r="DD37" i="67"/>
  <c r="CO37" i="67"/>
  <c r="CA37" i="67"/>
  <c r="BM37" i="67"/>
  <c r="AK37" i="67"/>
  <c r="AY37" i="67"/>
  <c r="V38" i="67"/>
  <c r="FZ38" i="67"/>
  <c r="FK38" i="67"/>
  <c r="EV38" i="67"/>
  <c r="EG38" i="67"/>
  <c r="DR38" i="67"/>
  <c r="DC38" i="67"/>
  <c r="CN38" i="67"/>
  <c r="BZ38" i="67"/>
  <c r="AJ38" i="67"/>
  <c r="BL38" i="67"/>
  <c r="AX38" i="67"/>
  <c r="M185" i="67"/>
  <c r="FQ185" i="67"/>
  <c r="FB185" i="67"/>
  <c r="EM185" i="67"/>
  <c r="DX185" i="67"/>
  <c r="DI185" i="67"/>
  <c r="CT185" i="67"/>
  <c r="CE185" i="67"/>
  <c r="BQ185" i="67"/>
  <c r="BC185" i="67"/>
  <c r="AA185" i="67"/>
  <c r="AO185" i="67"/>
  <c r="V163" i="67"/>
  <c r="FZ163" i="67"/>
  <c r="FK163" i="67"/>
  <c r="EV163" i="67"/>
  <c r="EG163" i="67"/>
  <c r="DR163" i="67"/>
  <c r="DC163" i="67"/>
  <c r="CN163" i="67"/>
  <c r="BZ163" i="67"/>
  <c r="AX163" i="67"/>
  <c r="BL163" i="67"/>
  <c r="AJ163" i="67"/>
  <c r="W114" i="67"/>
  <c r="GA114" i="67"/>
  <c r="EW114" i="67"/>
  <c r="FL114" i="67"/>
  <c r="EH114" i="67"/>
  <c r="DS114" i="67"/>
  <c r="DD114" i="67"/>
  <c r="CO114" i="67"/>
  <c r="CA114" i="67"/>
  <c r="BM114" i="67"/>
  <c r="AK114" i="67"/>
  <c r="AY114" i="67"/>
  <c r="W52" i="67"/>
  <c r="FL52" i="67"/>
  <c r="GA52" i="67"/>
  <c r="EW52" i="67"/>
  <c r="EH52" i="67"/>
  <c r="DS52" i="67"/>
  <c r="DD52" i="67"/>
  <c r="CO52" i="67"/>
  <c r="CA52" i="67"/>
  <c r="BM52" i="67"/>
  <c r="AY52" i="67"/>
  <c r="AK52" i="67"/>
  <c r="V122" i="67"/>
  <c r="FZ122" i="67"/>
  <c r="FK122" i="67"/>
  <c r="EV122" i="67"/>
  <c r="EG122" i="67"/>
  <c r="DR122" i="67"/>
  <c r="DC122" i="67"/>
  <c r="CN122" i="67"/>
  <c r="BZ122" i="67"/>
  <c r="AX122" i="67"/>
  <c r="BL122" i="67"/>
  <c r="AJ122" i="67"/>
  <c r="V60" i="67"/>
  <c r="FZ60" i="67"/>
  <c r="FK60" i="67"/>
  <c r="EV60" i="67"/>
  <c r="EG60" i="67"/>
  <c r="DR60" i="67"/>
  <c r="DC60" i="67"/>
  <c r="CN60" i="67"/>
  <c r="BZ60" i="67"/>
  <c r="BL60" i="67"/>
  <c r="AJ60" i="67"/>
  <c r="AX60" i="67"/>
  <c r="M68" i="67"/>
  <c r="FQ68" i="67"/>
  <c r="FB68" i="67"/>
  <c r="EM68" i="67"/>
  <c r="DX68" i="67"/>
  <c r="DI68" i="67"/>
  <c r="CE68" i="67"/>
  <c r="CT68" i="67"/>
  <c r="BQ68" i="67"/>
  <c r="BC68" i="67"/>
  <c r="AO68" i="67"/>
  <c r="AA68" i="67"/>
  <c r="W152" i="67"/>
  <c r="GA152" i="67"/>
  <c r="FL152" i="67"/>
  <c r="EW152" i="67"/>
  <c r="EH152" i="67"/>
  <c r="DS152" i="67"/>
  <c r="DD152" i="67"/>
  <c r="CO152" i="67"/>
  <c r="CA152" i="67"/>
  <c r="BM152" i="67"/>
  <c r="AY152" i="67"/>
  <c r="AK152" i="67"/>
  <c r="W29" i="67"/>
  <c r="GA29" i="67"/>
  <c r="FL29" i="67"/>
  <c r="EW29" i="67"/>
  <c r="EH29" i="67"/>
  <c r="DS29" i="67"/>
  <c r="DD29" i="67"/>
  <c r="CO29" i="67"/>
  <c r="CA29" i="67"/>
  <c r="AK29" i="67"/>
  <c r="BM29" i="67"/>
  <c r="AY29" i="67"/>
  <c r="V97" i="67"/>
  <c r="FZ97" i="67"/>
  <c r="FK97" i="67"/>
  <c r="EV97" i="67"/>
  <c r="EG97" i="67"/>
  <c r="DR97" i="67"/>
  <c r="DC97" i="67"/>
  <c r="CN97" i="67"/>
  <c r="BZ97" i="67"/>
  <c r="AX97" i="67"/>
  <c r="BL97" i="67"/>
  <c r="AJ97" i="67"/>
  <c r="V35" i="67"/>
  <c r="FZ35" i="67"/>
  <c r="FK35" i="67"/>
  <c r="EV35" i="67"/>
  <c r="EG35" i="67"/>
  <c r="DR35" i="67"/>
  <c r="DC35" i="67"/>
  <c r="BZ35" i="67"/>
  <c r="CN35" i="67"/>
  <c r="AJ35" i="67"/>
  <c r="BL35" i="67"/>
  <c r="AX35" i="67"/>
  <c r="M105" i="67"/>
  <c r="FQ105" i="67"/>
  <c r="FB105" i="67"/>
  <c r="EM105" i="67"/>
  <c r="DX105" i="67"/>
  <c r="CT105" i="67"/>
  <c r="DI105" i="67"/>
  <c r="CE105" i="67"/>
  <c r="BQ105" i="67"/>
  <c r="BC105" i="67"/>
  <c r="AA105" i="67"/>
  <c r="AO105" i="67"/>
  <c r="W168" i="67"/>
  <c r="GA168" i="67"/>
  <c r="FL168" i="67"/>
  <c r="EW168" i="67"/>
  <c r="DS168" i="67"/>
  <c r="EH168" i="67"/>
  <c r="CO168" i="67"/>
  <c r="DD168" i="67"/>
  <c r="CA168" i="67"/>
  <c r="BM168" i="67"/>
  <c r="AY168" i="67"/>
  <c r="AK168" i="67"/>
  <c r="W50" i="67"/>
  <c r="GA50" i="67"/>
  <c r="FL50" i="67"/>
  <c r="EW50" i="67"/>
  <c r="EH50" i="67"/>
  <c r="DS50" i="67"/>
  <c r="DD50" i="67"/>
  <c r="CA50" i="67"/>
  <c r="BM50" i="67"/>
  <c r="CO50" i="67"/>
  <c r="AY50" i="67"/>
  <c r="AK50" i="67"/>
  <c r="V120" i="67"/>
  <c r="FZ120" i="67"/>
  <c r="FK120" i="67"/>
  <c r="EV120" i="67"/>
  <c r="EG120" i="67"/>
  <c r="DR120" i="67"/>
  <c r="CN120" i="67"/>
  <c r="DC120" i="67"/>
  <c r="BZ120" i="67"/>
  <c r="AX120" i="67"/>
  <c r="BL120" i="67"/>
  <c r="AJ120" i="67"/>
  <c r="M183" i="67"/>
  <c r="FQ183" i="67"/>
  <c r="GE183" i="67" s="1"/>
  <c r="FB183" i="67"/>
  <c r="FP183" i="67" s="1"/>
  <c r="EM183" i="67"/>
  <c r="DX183" i="67"/>
  <c r="EL183" i="67" s="1"/>
  <c r="DI183" i="67"/>
  <c r="DW183" i="67" s="1"/>
  <c r="CT183" i="67"/>
  <c r="CE183" i="67"/>
  <c r="BC183" i="67"/>
  <c r="BQ183" i="67"/>
  <c r="AA183" i="67"/>
  <c r="AO183" i="67"/>
  <c r="M66" i="67"/>
  <c r="FQ66" i="67"/>
  <c r="FB66" i="67"/>
  <c r="DX66" i="67"/>
  <c r="EM66" i="67"/>
  <c r="DI66" i="67"/>
  <c r="CE66" i="67"/>
  <c r="CT66" i="67"/>
  <c r="BQ66" i="67"/>
  <c r="BC66" i="67"/>
  <c r="AO66" i="67"/>
  <c r="AA66" i="67"/>
  <c r="W150" i="67"/>
  <c r="GA150" i="67"/>
  <c r="FL150" i="67"/>
  <c r="EW150" i="67"/>
  <c r="EH150" i="67"/>
  <c r="CO150" i="67"/>
  <c r="DD150" i="67"/>
  <c r="DS150" i="67"/>
  <c r="CA150" i="67"/>
  <c r="BM150" i="67"/>
  <c r="AK150" i="67"/>
  <c r="AY150" i="67"/>
  <c r="W27" i="67"/>
  <c r="GA27" i="67"/>
  <c r="FL27" i="67"/>
  <c r="EW27" i="67"/>
  <c r="EH27" i="67"/>
  <c r="DS27" i="67"/>
  <c r="DD27" i="67"/>
  <c r="CO27" i="67"/>
  <c r="CA27" i="67"/>
  <c r="BM27" i="67"/>
  <c r="AK27" i="67"/>
  <c r="AY27" i="67"/>
  <c r="V96" i="67"/>
  <c r="FZ96" i="67"/>
  <c r="FK96" i="67"/>
  <c r="EV96" i="67"/>
  <c r="DR96" i="67"/>
  <c r="EG96" i="67"/>
  <c r="DC96" i="67"/>
  <c r="CN96" i="67"/>
  <c r="BZ96" i="67"/>
  <c r="AX96" i="67"/>
  <c r="BL96" i="67"/>
  <c r="AJ96" i="67"/>
  <c r="M175" i="67"/>
  <c r="FQ175" i="67"/>
  <c r="FB175" i="67"/>
  <c r="EM175" i="67"/>
  <c r="DX175" i="67"/>
  <c r="DI175" i="67"/>
  <c r="CT175" i="67"/>
  <c r="CE175" i="67"/>
  <c r="BC175" i="67"/>
  <c r="BQ175" i="67"/>
  <c r="AA175" i="67"/>
  <c r="AO175" i="67"/>
  <c r="M103" i="67"/>
  <c r="FQ103" i="67"/>
  <c r="FB103" i="67"/>
  <c r="EM103" i="67"/>
  <c r="DX103" i="67"/>
  <c r="DI103" i="67"/>
  <c r="CT103" i="67"/>
  <c r="CE103" i="67"/>
  <c r="BC103" i="67"/>
  <c r="BQ103" i="67"/>
  <c r="AA103" i="67"/>
  <c r="AO103" i="67"/>
  <c r="W72" i="67"/>
  <c r="GA72" i="67"/>
  <c r="FL72" i="67"/>
  <c r="EW72" i="67"/>
  <c r="EH72" i="67"/>
  <c r="DS72" i="67"/>
  <c r="DD72" i="67"/>
  <c r="CA72" i="67"/>
  <c r="BM72" i="67"/>
  <c r="CO72" i="67"/>
  <c r="AK72" i="67"/>
  <c r="AY72" i="67"/>
  <c r="V141" i="67"/>
  <c r="FZ141" i="67"/>
  <c r="FK141" i="67"/>
  <c r="EV141" i="67"/>
  <c r="DR141" i="67"/>
  <c r="EG141" i="67"/>
  <c r="DC141" i="67"/>
  <c r="CN141" i="67"/>
  <c r="AX141" i="67"/>
  <c r="BL141" i="67"/>
  <c r="BZ141" i="67"/>
  <c r="AJ141" i="67"/>
  <c r="V80" i="67"/>
  <c r="FZ80" i="67"/>
  <c r="FK80" i="67"/>
  <c r="EV80" i="67"/>
  <c r="DR80" i="67"/>
  <c r="EG80" i="67"/>
  <c r="DC80" i="67"/>
  <c r="BZ80" i="67"/>
  <c r="AX80" i="67"/>
  <c r="CN80" i="67"/>
  <c r="BL80" i="67"/>
  <c r="AJ80" i="67"/>
  <c r="V18" i="67"/>
  <c r="FZ18" i="67"/>
  <c r="FK18" i="67"/>
  <c r="EV18" i="67"/>
  <c r="EG18" i="67"/>
  <c r="DR18" i="67"/>
  <c r="DC18" i="67"/>
  <c r="BL18" i="67"/>
  <c r="BZ18" i="67"/>
  <c r="CN18" i="67"/>
  <c r="AJ18" i="67"/>
  <c r="AX18" i="67"/>
  <c r="M149" i="67"/>
  <c r="FQ149" i="67"/>
  <c r="FB149" i="67"/>
  <c r="EM149" i="67"/>
  <c r="DX149" i="67"/>
  <c r="CT149" i="67"/>
  <c r="DI149" i="67"/>
  <c r="CE149" i="67"/>
  <c r="BC149" i="67"/>
  <c r="BQ149" i="67"/>
  <c r="AO149" i="67"/>
  <c r="AA149" i="67"/>
  <c r="M88" i="67"/>
  <c r="FQ88" i="67"/>
  <c r="FB88" i="67"/>
  <c r="EM88" i="67"/>
  <c r="DX88" i="67"/>
  <c r="DI88" i="67"/>
  <c r="CT88" i="67"/>
  <c r="CE88" i="67"/>
  <c r="BQ88" i="67"/>
  <c r="BC88" i="67"/>
  <c r="AA88" i="67"/>
  <c r="AO88" i="67"/>
  <c r="M10" i="67"/>
  <c r="FQ10" i="67"/>
  <c r="FB10" i="67"/>
  <c r="EM10" i="67"/>
  <c r="DI10" i="67"/>
  <c r="DX10" i="67"/>
  <c r="CT10" i="67"/>
  <c r="CE10" i="67"/>
  <c r="BQ10" i="67"/>
  <c r="AA10" i="67"/>
  <c r="BC10" i="67"/>
  <c r="AO10" i="67"/>
  <c r="M37" i="67"/>
  <c r="FQ37" i="67"/>
  <c r="FB37" i="67"/>
  <c r="EM37" i="67"/>
  <c r="DX37" i="67"/>
  <c r="DI37" i="67"/>
  <c r="CT37" i="67"/>
  <c r="BQ37" i="67"/>
  <c r="BC37" i="67"/>
  <c r="AA37" i="67"/>
  <c r="CE37" i="67"/>
  <c r="AO37" i="67"/>
  <c r="V9" i="67"/>
  <c r="FZ9" i="67"/>
  <c r="FK9" i="67"/>
  <c r="EV9" i="67"/>
  <c r="EG9" i="67"/>
  <c r="DR9" i="67"/>
  <c r="DC9" i="67"/>
  <c r="BL9" i="67"/>
  <c r="BZ9" i="67"/>
  <c r="CN9" i="67"/>
  <c r="AX9" i="67"/>
  <c r="AJ9" i="67"/>
  <c r="V170" i="67"/>
  <c r="FZ170" i="67"/>
  <c r="FK170" i="67"/>
  <c r="EV170" i="67"/>
  <c r="EG170" i="67"/>
  <c r="DR170" i="67"/>
  <c r="DC170" i="67"/>
  <c r="CN170" i="67"/>
  <c r="BZ170" i="67"/>
  <c r="AX170" i="67"/>
  <c r="BL170" i="67"/>
  <c r="AJ170" i="67"/>
  <c r="W147" i="67"/>
  <c r="GA147" i="67"/>
  <c r="FL147" i="67"/>
  <c r="EW147" i="67"/>
  <c r="EH147" i="67"/>
  <c r="DS147" i="67"/>
  <c r="CO147" i="67"/>
  <c r="DD147" i="67"/>
  <c r="CA147" i="67"/>
  <c r="BM147" i="67"/>
  <c r="AY147" i="67"/>
  <c r="AK147" i="67"/>
  <c r="V24" i="67"/>
  <c r="FZ24" i="67"/>
  <c r="FK24" i="67"/>
  <c r="EV24" i="67"/>
  <c r="EG24" i="67"/>
  <c r="DR24" i="67"/>
  <c r="DC24" i="67"/>
  <c r="CN24" i="67"/>
  <c r="BZ24" i="67"/>
  <c r="AX24" i="67"/>
  <c r="BL24" i="67"/>
  <c r="AJ24" i="67"/>
  <c r="W179" i="67"/>
  <c r="GA179" i="67"/>
  <c r="FL179" i="67"/>
  <c r="EW179" i="67"/>
  <c r="EH179" i="67"/>
  <c r="DS179" i="67"/>
  <c r="CO179" i="67"/>
  <c r="DD179" i="67"/>
  <c r="CA179" i="67"/>
  <c r="BM179" i="67"/>
  <c r="AY179" i="67"/>
  <c r="AK179" i="67"/>
  <c r="W146" i="67"/>
  <c r="GA146" i="67"/>
  <c r="FL146" i="67"/>
  <c r="EW146" i="67"/>
  <c r="EH146" i="67"/>
  <c r="DS146" i="67"/>
  <c r="CO146" i="67"/>
  <c r="DD146" i="67"/>
  <c r="CA146" i="67"/>
  <c r="BM146" i="67"/>
  <c r="AY146" i="67"/>
  <c r="AK146" i="67"/>
  <c r="M146" i="67"/>
  <c r="FQ146" i="67"/>
  <c r="FB146" i="67"/>
  <c r="EM146" i="67"/>
  <c r="DX146" i="67"/>
  <c r="DI146" i="67"/>
  <c r="CT146" i="67"/>
  <c r="CE146" i="67"/>
  <c r="BQ146" i="67"/>
  <c r="BC146" i="67"/>
  <c r="AO146" i="67"/>
  <c r="AA146" i="67"/>
  <c r="V116" i="67"/>
  <c r="FZ116" i="67"/>
  <c r="FK116" i="67"/>
  <c r="EV116" i="67"/>
  <c r="EG116" i="67"/>
  <c r="DR116" i="67"/>
  <c r="DC116" i="67"/>
  <c r="CN116" i="67"/>
  <c r="AX116" i="67"/>
  <c r="BZ116" i="67"/>
  <c r="BL116" i="67"/>
  <c r="AJ116" i="67"/>
  <c r="W87" i="67"/>
  <c r="GA87" i="67"/>
  <c r="FL87" i="67"/>
  <c r="EW87" i="67"/>
  <c r="EH87" i="67"/>
  <c r="DS87" i="67"/>
  <c r="DD87" i="67"/>
  <c r="CO87" i="67"/>
  <c r="CA87" i="67"/>
  <c r="BM87" i="67"/>
  <c r="AK87" i="67"/>
  <c r="AY87" i="67"/>
  <c r="W172" i="67"/>
  <c r="GA172" i="67"/>
  <c r="FL172" i="67"/>
  <c r="EW172" i="67"/>
  <c r="EH172" i="67"/>
  <c r="DS172" i="67"/>
  <c r="DD172" i="67"/>
  <c r="CO172" i="67"/>
  <c r="CA172" i="67"/>
  <c r="BM172" i="67"/>
  <c r="AK172" i="67"/>
  <c r="AY172" i="67"/>
  <c r="M189" i="67"/>
  <c r="FQ189" i="67"/>
  <c r="FB189" i="67"/>
  <c r="EM189" i="67"/>
  <c r="DX189" i="67"/>
  <c r="DI189" i="67"/>
  <c r="CT189" i="67"/>
  <c r="BQ189" i="67"/>
  <c r="CE189" i="67"/>
  <c r="BC189" i="67"/>
  <c r="AA189" i="67"/>
  <c r="AO189" i="67"/>
  <c r="V191" i="67"/>
  <c r="FZ191" i="67"/>
  <c r="FK191" i="67"/>
  <c r="EV191" i="67"/>
  <c r="DR191" i="67"/>
  <c r="EG191" i="67"/>
  <c r="DC191" i="67"/>
  <c r="CN191" i="67"/>
  <c r="BZ191" i="67"/>
  <c r="AX191" i="67"/>
  <c r="BL191" i="67"/>
  <c r="AJ191" i="67"/>
  <c r="M107" i="67"/>
  <c r="FQ107" i="67"/>
  <c r="EM107" i="67"/>
  <c r="FB107" i="67"/>
  <c r="DX107" i="67"/>
  <c r="DI107" i="67"/>
  <c r="CT107" i="67"/>
  <c r="CE107" i="67"/>
  <c r="BQ107" i="67"/>
  <c r="BC107" i="67"/>
  <c r="AA107" i="67"/>
  <c r="AO107" i="67"/>
  <c r="V78" i="67"/>
  <c r="FZ78" i="67"/>
  <c r="FK78" i="67"/>
  <c r="EV78" i="67"/>
  <c r="EG78" i="67"/>
  <c r="DR78" i="67"/>
  <c r="DC78" i="67"/>
  <c r="CN78" i="67"/>
  <c r="BZ78" i="67"/>
  <c r="AX78" i="67"/>
  <c r="BL78" i="67"/>
  <c r="AJ78" i="67"/>
  <c r="W47" i="67"/>
  <c r="GA47" i="67"/>
  <c r="FL47" i="67"/>
  <c r="EW47" i="67"/>
  <c r="EH47" i="67"/>
  <c r="DS47" i="67"/>
  <c r="DD47" i="67"/>
  <c r="CO47" i="67"/>
  <c r="CA47" i="67"/>
  <c r="BM47" i="67"/>
  <c r="AY47" i="67"/>
  <c r="AK47" i="67"/>
  <c r="W140" i="67"/>
  <c r="GA140" i="67"/>
  <c r="FL140" i="67"/>
  <c r="EW140" i="67"/>
  <c r="EH140" i="67"/>
  <c r="DS140" i="67"/>
  <c r="CO140" i="67"/>
  <c r="DD140" i="67"/>
  <c r="CA140" i="67"/>
  <c r="BM140" i="67"/>
  <c r="AK140" i="67"/>
  <c r="AY140" i="67"/>
  <c r="V69" i="67"/>
  <c r="FZ69" i="67"/>
  <c r="FK69" i="67"/>
  <c r="EV69" i="67"/>
  <c r="EG69" i="67"/>
  <c r="DR69" i="67"/>
  <c r="DC69" i="67"/>
  <c r="CN69" i="67"/>
  <c r="BZ69" i="67"/>
  <c r="AX69" i="67"/>
  <c r="BL69" i="67"/>
  <c r="AJ69" i="67"/>
  <c r="M87" i="67"/>
  <c r="FQ87" i="67"/>
  <c r="FB87" i="67"/>
  <c r="EM87" i="67"/>
  <c r="DX87" i="67"/>
  <c r="DI87" i="67"/>
  <c r="CE87" i="67"/>
  <c r="CT87" i="67"/>
  <c r="BQ87" i="67"/>
  <c r="BC87" i="67"/>
  <c r="AA87" i="67"/>
  <c r="AO87" i="67"/>
  <c r="V61" i="67"/>
  <c r="FZ61" i="67"/>
  <c r="FK61" i="67"/>
  <c r="EV61" i="67"/>
  <c r="EG61" i="67"/>
  <c r="DR61" i="67"/>
  <c r="DC61" i="67"/>
  <c r="CN61" i="67"/>
  <c r="BZ61" i="67"/>
  <c r="BL61" i="67"/>
  <c r="AJ61" i="67"/>
  <c r="AX61" i="67"/>
  <c r="W30" i="67"/>
  <c r="GA30" i="67"/>
  <c r="FL30" i="67"/>
  <c r="EW30" i="67"/>
  <c r="EH30" i="67"/>
  <c r="DS30" i="67"/>
  <c r="DD30" i="67"/>
  <c r="CO30" i="67"/>
  <c r="CA30" i="67"/>
  <c r="BM30" i="67"/>
  <c r="AK30" i="67"/>
  <c r="AY30" i="67"/>
  <c r="W185" i="67"/>
  <c r="GA185" i="67"/>
  <c r="FL185" i="67"/>
  <c r="EW185" i="67"/>
  <c r="EH185" i="67"/>
  <c r="DS185" i="67"/>
  <c r="DD185" i="67"/>
  <c r="CO185" i="67"/>
  <c r="CA185" i="67"/>
  <c r="BM185" i="67"/>
  <c r="AK185" i="67"/>
  <c r="AY185" i="67"/>
  <c r="V86" i="67"/>
  <c r="FZ86" i="67"/>
  <c r="FK86" i="67"/>
  <c r="EV86" i="67"/>
  <c r="EG86" i="67"/>
  <c r="DR86" i="67"/>
  <c r="DC86" i="67"/>
  <c r="CN86" i="67"/>
  <c r="BZ86" i="67"/>
  <c r="AX86" i="67"/>
  <c r="BL86" i="67"/>
  <c r="AJ86" i="67"/>
  <c r="W61" i="67"/>
  <c r="GA61" i="67"/>
  <c r="FL61" i="67"/>
  <c r="EW61" i="67"/>
  <c r="EH61" i="67"/>
  <c r="DS61" i="67"/>
  <c r="DD61" i="67"/>
  <c r="CO61" i="67"/>
  <c r="CA61" i="67"/>
  <c r="BM61" i="67"/>
  <c r="AK61" i="67"/>
  <c r="AY61" i="67"/>
  <c r="W187" i="67"/>
  <c r="GA187" i="67"/>
  <c r="FL187" i="67"/>
  <c r="EW187" i="67"/>
  <c r="EH187" i="67"/>
  <c r="DS187" i="67"/>
  <c r="DD187" i="67"/>
  <c r="CO187" i="67"/>
  <c r="CA187" i="67"/>
  <c r="BM187" i="67"/>
  <c r="AY187" i="67"/>
  <c r="AK187" i="67"/>
  <c r="W106" i="67"/>
  <c r="GA106" i="67"/>
  <c r="EW106" i="67"/>
  <c r="FL106" i="67"/>
  <c r="EH106" i="67"/>
  <c r="DS106" i="67"/>
  <c r="DD106" i="67"/>
  <c r="CO106" i="67"/>
  <c r="CA106" i="67"/>
  <c r="BM106" i="67"/>
  <c r="AY106" i="67"/>
  <c r="AK106" i="67"/>
  <c r="W44" i="67"/>
  <c r="FL44" i="67"/>
  <c r="GA44" i="67"/>
  <c r="EW44" i="67"/>
  <c r="EH44" i="67"/>
  <c r="DS44" i="67"/>
  <c r="DD44" i="67"/>
  <c r="CO44" i="67"/>
  <c r="CA44" i="67"/>
  <c r="BM44" i="67"/>
  <c r="AK44" i="67"/>
  <c r="AY44" i="67"/>
  <c r="V169" i="67"/>
  <c r="FZ169" i="67"/>
  <c r="FK169" i="67"/>
  <c r="EV169" i="67"/>
  <c r="EG169" i="67"/>
  <c r="DR169" i="67"/>
  <c r="DC169" i="67"/>
  <c r="CN169" i="67"/>
  <c r="BZ169" i="67"/>
  <c r="AX169" i="67"/>
  <c r="BL169" i="67"/>
  <c r="AJ169" i="67"/>
  <c r="V114" i="67"/>
  <c r="FZ114" i="67"/>
  <c r="FK114" i="67"/>
  <c r="EV114" i="67"/>
  <c r="EG114" i="67"/>
  <c r="DR114" i="67"/>
  <c r="DC114" i="67"/>
  <c r="CN114" i="67"/>
  <c r="BZ114" i="67"/>
  <c r="AX114" i="67"/>
  <c r="BL114" i="67"/>
  <c r="AJ114" i="67"/>
  <c r="V52" i="67"/>
  <c r="FZ52" i="67"/>
  <c r="FK52" i="67"/>
  <c r="EV52" i="67"/>
  <c r="EG52" i="67"/>
  <c r="DR52" i="67"/>
  <c r="DC52" i="67"/>
  <c r="CN52" i="67"/>
  <c r="BZ52" i="67"/>
  <c r="BL52" i="67"/>
  <c r="AX52" i="67"/>
  <c r="AJ52" i="67"/>
  <c r="M122" i="67"/>
  <c r="FQ122" i="67"/>
  <c r="EM122" i="67"/>
  <c r="FB122" i="67"/>
  <c r="DX122" i="67"/>
  <c r="DI122" i="67"/>
  <c r="CT122" i="67"/>
  <c r="CE122" i="67"/>
  <c r="BQ122" i="67"/>
  <c r="BC122" i="67"/>
  <c r="AO122" i="67"/>
  <c r="AA122" i="67"/>
  <c r="M60" i="67"/>
  <c r="FQ60" i="67"/>
  <c r="FB60" i="67"/>
  <c r="EM60" i="67"/>
  <c r="DX60" i="67"/>
  <c r="DI60" i="67"/>
  <c r="CE60" i="67"/>
  <c r="CT60" i="67"/>
  <c r="BQ60" i="67"/>
  <c r="BC60" i="67"/>
  <c r="AA60" i="67"/>
  <c r="AO60" i="67"/>
  <c r="W144" i="67"/>
  <c r="GA144" i="67"/>
  <c r="FL144" i="67"/>
  <c r="EW144" i="67"/>
  <c r="EH144" i="67"/>
  <c r="DS144" i="67"/>
  <c r="DD144" i="67"/>
  <c r="CO144" i="67"/>
  <c r="CA144" i="67"/>
  <c r="BM144" i="67"/>
  <c r="AK144" i="67"/>
  <c r="AY144" i="67"/>
  <c r="W83" i="67"/>
  <c r="GA83" i="67"/>
  <c r="FL83" i="67"/>
  <c r="EW83" i="67"/>
  <c r="EH83" i="67"/>
  <c r="DS83" i="67"/>
  <c r="DD83" i="67"/>
  <c r="CO83" i="67"/>
  <c r="CA83" i="67"/>
  <c r="BM83" i="67"/>
  <c r="AY83" i="67"/>
  <c r="AK83" i="67"/>
  <c r="W21" i="67"/>
  <c r="GA21" i="67"/>
  <c r="FL21" i="67"/>
  <c r="EW21" i="67"/>
  <c r="EH21" i="67"/>
  <c r="DS21" i="67"/>
  <c r="DD21" i="67"/>
  <c r="CO21" i="67"/>
  <c r="CA21" i="67"/>
  <c r="BM21" i="67"/>
  <c r="AY21" i="67"/>
  <c r="AK21" i="67"/>
  <c r="V152" i="67"/>
  <c r="FZ152" i="67"/>
  <c r="FK152" i="67"/>
  <c r="EV152" i="67"/>
  <c r="EG152" i="67"/>
  <c r="DR152" i="67"/>
  <c r="DC152" i="67"/>
  <c r="CN152" i="67"/>
  <c r="BZ152" i="67"/>
  <c r="AX152" i="67"/>
  <c r="BL152" i="67"/>
  <c r="AJ152" i="67"/>
  <c r="V90" i="67"/>
  <c r="FZ90" i="67"/>
  <c r="FK90" i="67"/>
  <c r="EV90" i="67"/>
  <c r="EG90" i="67"/>
  <c r="DR90" i="67"/>
  <c r="DC90" i="67"/>
  <c r="CN90" i="67"/>
  <c r="BZ90" i="67"/>
  <c r="AX90" i="67"/>
  <c r="BL90" i="67"/>
  <c r="AJ90" i="67"/>
  <c r="V29" i="67"/>
  <c r="FZ29" i="67"/>
  <c r="FK29" i="67"/>
  <c r="EV29" i="67"/>
  <c r="EG29" i="67"/>
  <c r="DR29" i="67"/>
  <c r="DC29" i="67"/>
  <c r="BZ29" i="67"/>
  <c r="AX29" i="67"/>
  <c r="CN29" i="67"/>
  <c r="AJ29" i="67"/>
  <c r="BL29" i="67"/>
  <c r="M159" i="67"/>
  <c r="FQ159" i="67"/>
  <c r="FB159" i="67"/>
  <c r="EM159" i="67"/>
  <c r="DX159" i="67"/>
  <c r="CT159" i="67"/>
  <c r="DI159" i="67"/>
  <c r="CE159" i="67"/>
  <c r="BQ159" i="67"/>
  <c r="BC159" i="67"/>
  <c r="AA159" i="67"/>
  <c r="AO159" i="67"/>
  <c r="M97" i="67"/>
  <c r="FQ97" i="67"/>
  <c r="FB97" i="67"/>
  <c r="EM97" i="67"/>
  <c r="DX97" i="67"/>
  <c r="CT97" i="67"/>
  <c r="DI97" i="67"/>
  <c r="CE97" i="67"/>
  <c r="BQ97" i="67"/>
  <c r="BC97" i="67"/>
  <c r="AO97" i="67"/>
  <c r="AA97" i="67"/>
  <c r="M34" i="67"/>
  <c r="FQ34" i="67"/>
  <c r="FB34" i="67"/>
  <c r="EM34" i="67"/>
  <c r="DI34" i="67"/>
  <c r="DX34" i="67"/>
  <c r="CT34" i="67"/>
  <c r="BQ34" i="67"/>
  <c r="CE34" i="67"/>
  <c r="BC34" i="67"/>
  <c r="AA34" i="67"/>
  <c r="AO34" i="67"/>
  <c r="W176" i="67"/>
  <c r="GA176" i="67"/>
  <c r="FL176" i="67"/>
  <c r="EW176" i="67"/>
  <c r="DS176" i="67"/>
  <c r="EH176" i="67"/>
  <c r="CO176" i="67"/>
  <c r="DD176" i="67"/>
  <c r="CA176" i="67"/>
  <c r="BM176" i="67"/>
  <c r="AY176" i="67"/>
  <c r="AK176" i="67"/>
  <c r="W104" i="67"/>
  <c r="GA104" i="67"/>
  <c r="FL104" i="67"/>
  <c r="EW104" i="67"/>
  <c r="DS104" i="67"/>
  <c r="EH104" i="67"/>
  <c r="CO104" i="67"/>
  <c r="DD104" i="67"/>
  <c r="CA104" i="67"/>
  <c r="BM104" i="67"/>
  <c r="AY104" i="67"/>
  <c r="AK104" i="67"/>
  <c r="W42" i="67"/>
  <c r="GA42" i="67"/>
  <c r="FL42" i="67"/>
  <c r="EW42" i="67"/>
  <c r="EH42" i="67"/>
  <c r="DS42" i="67"/>
  <c r="DD42" i="67"/>
  <c r="CO42" i="67"/>
  <c r="CA42" i="67"/>
  <c r="BM42" i="67"/>
  <c r="AK42" i="67"/>
  <c r="AY42" i="67"/>
  <c r="V168" i="67"/>
  <c r="FZ168" i="67"/>
  <c r="FK168" i="67"/>
  <c r="EV168" i="67"/>
  <c r="EG168" i="67"/>
  <c r="DR168" i="67"/>
  <c r="DC168" i="67"/>
  <c r="CN168" i="67"/>
  <c r="BZ168" i="67"/>
  <c r="AX168" i="67"/>
  <c r="BL168" i="67"/>
  <c r="AJ168" i="67"/>
  <c r="V112" i="67"/>
  <c r="FZ112" i="67"/>
  <c r="FK112" i="67"/>
  <c r="EV112" i="67"/>
  <c r="EG112" i="67"/>
  <c r="DR112" i="67"/>
  <c r="CN112" i="67"/>
  <c r="DC112" i="67"/>
  <c r="BZ112" i="67"/>
  <c r="AX112" i="67"/>
  <c r="BL112" i="67"/>
  <c r="AJ112" i="67"/>
  <c r="V50" i="67"/>
  <c r="FZ50" i="67"/>
  <c r="FK50" i="67"/>
  <c r="EV50" i="67"/>
  <c r="EG50" i="67"/>
  <c r="DR50" i="67"/>
  <c r="DC50" i="67"/>
  <c r="CN50" i="67"/>
  <c r="BZ50" i="67"/>
  <c r="BL50" i="67"/>
  <c r="AX50" i="67"/>
  <c r="AJ50" i="67"/>
  <c r="M177" i="67"/>
  <c r="FQ177" i="67"/>
  <c r="FB177" i="67"/>
  <c r="EM177" i="67"/>
  <c r="DX177" i="67"/>
  <c r="DI177" i="67"/>
  <c r="CT177" i="67"/>
  <c r="BQ177" i="67"/>
  <c r="BC177" i="67"/>
  <c r="CE177" i="67"/>
  <c r="AA177" i="67"/>
  <c r="AO177" i="67"/>
  <c r="M120" i="67"/>
  <c r="FQ120" i="67"/>
  <c r="FB120" i="67"/>
  <c r="EM120" i="67"/>
  <c r="DX120" i="67"/>
  <c r="DI120" i="67"/>
  <c r="CT120" i="67"/>
  <c r="BC120" i="67"/>
  <c r="CE120" i="67"/>
  <c r="BQ120" i="67"/>
  <c r="AA120" i="67"/>
  <c r="AO120" i="67"/>
  <c r="M58" i="67"/>
  <c r="FQ58" i="67"/>
  <c r="FB58" i="67"/>
  <c r="DX58" i="67"/>
  <c r="DI58" i="67"/>
  <c r="EM58" i="67"/>
  <c r="CE58" i="67"/>
  <c r="CT58" i="67"/>
  <c r="BQ58" i="67"/>
  <c r="BC58" i="67"/>
  <c r="AA58" i="67"/>
  <c r="AO58" i="67"/>
  <c r="W142" i="67"/>
  <c r="GA142" i="67"/>
  <c r="FL142" i="67"/>
  <c r="EW142" i="67"/>
  <c r="EH142" i="67"/>
  <c r="DS142" i="67"/>
  <c r="CO142" i="67"/>
  <c r="DD142" i="67"/>
  <c r="CA142" i="67"/>
  <c r="BM142" i="67"/>
  <c r="AK142" i="67"/>
  <c r="AY142" i="67"/>
  <c r="W81" i="67"/>
  <c r="GA81" i="67"/>
  <c r="FL81" i="67"/>
  <c r="EW81" i="67"/>
  <c r="EH81" i="67"/>
  <c r="DD81" i="67"/>
  <c r="DS81" i="67"/>
  <c r="CO81" i="67"/>
  <c r="CA81" i="67"/>
  <c r="BM81" i="67"/>
  <c r="AK81" i="67"/>
  <c r="AY81" i="67"/>
  <c r="W19" i="67"/>
  <c r="GA19" i="67"/>
  <c r="FL19" i="67"/>
  <c r="EW19" i="67"/>
  <c r="EH19" i="67"/>
  <c r="DS19" i="67"/>
  <c r="DD19" i="67"/>
  <c r="CO19" i="67"/>
  <c r="CA19" i="67"/>
  <c r="BM19" i="67"/>
  <c r="AY19" i="67"/>
  <c r="AK19" i="67"/>
  <c r="V150" i="67"/>
  <c r="FZ150" i="67"/>
  <c r="FK150" i="67"/>
  <c r="EV150" i="67"/>
  <c r="DR150" i="67"/>
  <c r="EG150" i="67"/>
  <c r="DC150" i="67"/>
  <c r="CN150" i="67"/>
  <c r="BZ150" i="67"/>
  <c r="AX150" i="67"/>
  <c r="BL150" i="67"/>
  <c r="AJ150" i="67"/>
  <c r="V27" i="67"/>
  <c r="FZ27" i="67"/>
  <c r="FK27" i="67"/>
  <c r="EV27" i="67"/>
  <c r="EG27" i="67"/>
  <c r="DR27" i="67"/>
  <c r="DC27" i="67"/>
  <c r="BZ27" i="67"/>
  <c r="CN27" i="67"/>
  <c r="AX27" i="67"/>
  <c r="BL27" i="67"/>
  <c r="AJ27" i="67"/>
  <c r="M157" i="67"/>
  <c r="FQ157" i="67"/>
  <c r="FB157" i="67"/>
  <c r="EM157" i="67"/>
  <c r="DX157" i="67"/>
  <c r="DI157" i="67"/>
  <c r="CT157" i="67"/>
  <c r="CE157" i="67"/>
  <c r="BC157" i="67"/>
  <c r="BQ157" i="67"/>
  <c r="AA157" i="67"/>
  <c r="AO157" i="67"/>
  <c r="M96" i="67"/>
  <c r="FQ96" i="67"/>
  <c r="GE96" i="67" s="1"/>
  <c r="FB96" i="67"/>
  <c r="FP96" i="67" s="1"/>
  <c r="EM96" i="67"/>
  <c r="DX96" i="67"/>
  <c r="DI96" i="67"/>
  <c r="CT96" i="67"/>
  <c r="CE96" i="67"/>
  <c r="BQ96" i="67"/>
  <c r="BC96" i="67"/>
  <c r="AO96" i="67"/>
  <c r="AA96" i="67"/>
  <c r="M31" i="67"/>
  <c r="FQ31" i="67"/>
  <c r="FB31" i="67"/>
  <c r="EM31" i="67"/>
  <c r="DI31" i="67"/>
  <c r="DX31" i="67"/>
  <c r="CT31" i="67"/>
  <c r="BQ31" i="67"/>
  <c r="CE31" i="67"/>
  <c r="BC31" i="67"/>
  <c r="AA31" i="67"/>
  <c r="AO31" i="67"/>
  <c r="W182" i="67"/>
  <c r="GA182" i="67"/>
  <c r="FL182" i="67"/>
  <c r="EW182" i="67"/>
  <c r="EH182" i="67"/>
  <c r="DS182" i="67"/>
  <c r="DD182" i="67"/>
  <c r="CO182" i="67"/>
  <c r="CA182" i="67"/>
  <c r="BM182" i="67"/>
  <c r="AK182" i="67"/>
  <c r="AY182" i="67"/>
  <c r="W126" i="67"/>
  <c r="GA126" i="67"/>
  <c r="FL126" i="67"/>
  <c r="EW126" i="67"/>
  <c r="EH126" i="67"/>
  <c r="DS126" i="67"/>
  <c r="DD126" i="67"/>
  <c r="CO126" i="67"/>
  <c r="CA126" i="67"/>
  <c r="BM126" i="67"/>
  <c r="AK126" i="67"/>
  <c r="AY126" i="67"/>
  <c r="W64" i="67"/>
  <c r="GA64" i="67"/>
  <c r="FL64" i="67"/>
  <c r="EW64" i="67"/>
  <c r="EH64" i="67"/>
  <c r="DS64" i="67"/>
  <c r="DD64" i="67"/>
  <c r="CA64" i="67"/>
  <c r="CO64" i="67"/>
  <c r="BM64" i="67"/>
  <c r="AK64" i="67"/>
  <c r="AY64" i="67"/>
  <c r="V134" i="67"/>
  <c r="FZ134" i="67"/>
  <c r="FK134" i="67"/>
  <c r="EV134" i="67"/>
  <c r="DR134" i="67"/>
  <c r="EG134" i="67"/>
  <c r="DC134" i="67"/>
  <c r="CN134" i="67"/>
  <c r="AX134" i="67"/>
  <c r="BL134" i="67"/>
  <c r="BZ134" i="67"/>
  <c r="AJ134" i="67"/>
  <c r="V72" i="67"/>
  <c r="FZ72" i="67"/>
  <c r="FK72" i="67"/>
  <c r="EV72" i="67"/>
  <c r="EG72" i="67"/>
  <c r="DR72" i="67"/>
  <c r="DC72" i="67"/>
  <c r="CN72" i="67"/>
  <c r="BZ72" i="67"/>
  <c r="AX72" i="67"/>
  <c r="BL72" i="67"/>
  <c r="AJ72" i="67"/>
  <c r="V10" i="67"/>
  <c r="FZ10" i="67"/>
  <c r="FK10" i="67"/>
  <c r="EV10" i="67"/>
  <c r="EG10" i="67"/>
  <c r="DR10" i="67"/>
  <c r="DC10" i="67"/>
  <c r="BL10" i="67"/>
  <c r="BZ10" i="67"/>
  <c r="CN10" i="67"/>
  <c r="AJ10" i="67"/>
  <c r="AX10" i="67"/>
  <c r="M141" i="67"/>
  <c r="FQ141" i="67"/>
  <c r="EM141" i="67"/>
  <c r="FB141" i="67"/>
  <c r="DX141" i="67"/>
  <c r="CT141" i="67"/>
  <c r="DI141" i="67"/>
  <c r="CE141" i="67"/>
  <c r="BC141" i="67"/>
  <c r="BQ141" i="67"/>
  <c r="AA141" i="67"/>
  <c r="AO141" i="67"/>
  <c r="M80" i="67"/>
  <c r="FQ80" i="67"/>
  <c r="EM80" i="67"/>
  <c r="FB80" i="67"/>
  <c r="DX80" i="67"/>
  <c r="DI80" i="67"/>
  <c r="CT80" i="67"/>
  <c r="CE80" i="67"/>
  <c r="BQ80" i="67"/>
  <c r="BC80" i="67"/>
  <c r="AA80" i="67"/>
  <c r="AO80" i="67"/>
  <c r="M14" i="67"/>
  <c r="FQ14" i="67"/>
  <c r="FB14" i="67"/>
  <c r="EM14" i="67"/>
  <c r="DI14" i="67"/>
  <c r="DX14" i="67"/>
  <c r="CT14" i="67"/>
  <c r="CE14" i="67"/>
  <c r="BQ14" i="67"/>
  <c r="BC14" i="67"/>
  <c r="AO14" i="67"/>
  <c r="AA14" i="67"/>
  <c r="M36" i="67"/>
  <c r="FQ36" i="67"/>
  <c r="FB36" i="67"/>
  <c r="EM36" i="67"/>
  <c r="DI36" i="67"/>
  <c r="DX36" i="67"/>
  <c r="CT36" i="67"/>
  <c r="BQ36" i="67"/>
  <c r="BC36" i="67"/>
  <c r="CE36" i="67"/>
  <c r="AA36" i="67"/>
  <c r="AO36" i="67"/>
  <c r="W39" i="67"/>
  <c r="GA39" i="67"/>
  <c r="FL39" i="67"/>
  <c r="EW39" i="67"/>
  <c r="EH39" i="67"/>
  <c r="DS39" i="67"/>
  <c r="DD39" i="67"/>
  <c r="CO39" i="67"/>
  <c r="CA39" i="67"/>
  <c r="BM39" i="67"/>
  <c r="AK39" i="67"/>
  <c r="AY39" i="67"/>
  <c r="M154" i="67"/>
  <c r="FQ154" i="67"/>
  <c r="FB154" i="67"/>
  <c r="EM154" i="67"/>
  <c r="DX154" i="67"/>
  <c r="DI154" i="67"/>
  <c r="CT154" i="67"/>
  <c r="DH154" i="67" s="1"/>
  <c r="CE154" i="67"/>
  <c r="BQ154" i="67"/>
  <c r="BC154" i="67"/>
  <c r="AO154" i="67"/>
  <c r="AA154" i="67"/>
  <c r="V124" i="67"/>
  <c r="FZ124" i="67"/>
  <c r="FK124" i="67"/>
  <c r="EV124" i="67"/>
  <c r="EG124" i="67"/>
  <c r="DR124" i="67"/>
  <c r="DC124" i="67"/>
  <c r="CN124" i="67"/>
  <c r="AX124" i="67"/>
  <c r="BZ124" i="67"/>
  <c r="BL124" i="67"/>
  <c r="AJ124" i="67"/>
  <c r="W94" i="67"/>
  <c r="GA94" i="67"/>
  <c r="FL94" i="67"/>
  <c r="EW94" i="67"/>
  <c r="EH94" i="67"/>
  <c r="DS94" i="67"/>
  <c r="DD94" i="67"/>
  <c r="CO94" i="67"/>
  <c r="CA94" i="67"/>
  <c r="BM94" i="67"/>
  <c r="AY94" i="67"/>
  <c r="AK94" i="67"/>
  <c r="AI208" i="61"/>
  <c r="N13" i="67"/>
  <c r="N137" i="67"/>
  <c r="N145" i="67"/>
  <c r="N77" i="67"/>
  <c r="N147" i="67"/>
  <c r="N166" i="67"/>
  <c r="N36" i="67"/>
  <c r="N38" i="67"/>
  <c r="N87" i="67"/>
  <c r="N96" i="67"/>
  <c r="N50" i="67"/>
  <c r="N112" i="67"/>
  <c r="N135" i="67"/>
  <c r="N186" i="67"/>
  <c r="N183" i="67"/>
  <c r="N94" i="67"/>
  <c r="N83" i="67"/>
  <c r="N93" i="67"/>
  <c r="N155" i="67"/>
  <c r="N109" i="67"/>
  <c r="N44" i="67"/>
  <c r="N37" i="67"/>
  <c r="N72" i="67"/>
  <c r="N58" i="67"/>
  <c r="N110" i="67"/>
  <c r="N29" i="67"/>
  <c r="N152" i="67"/>
  <c r="N98" i="67"/>
  <c r="N154" i="67"/>
  <c r="N162" i="67"/>
  <c r="N52" i="67"/>
  <c r="N66" i="67"/>
  <c r="N150" i="67"/>
  <c r="N102" i="67"/>
  <c r="N35" i="67"/>
  <c r="N97" i="67"/>
  <c r="N187" i="67"/>
  <c r="N99" i="67"/>
  <c r="N161" i="67"/>
  <c r="N108" i="67"/>
  <c r="N163" i="67"/>
  <c r="N62" i="67"/>
  <c r="N47" i="67"/>
  <c r="N26" i="67"/>
  <c r="N74" i="67"/>
  <c r="N157" i="67"/>
  <c r="N151" i="67"/>
  <c r="N118" i="67"/>
  <c r="N105" i="67"/>
  <c r="N185" i="67"/>
  <c r="N61" i="67"/>
  <c r="N70" i="67"/>
  <c r="N55" i="67"/>
  <c r="N32" i="67"/>
  <c r="N65" i="67"/>
  <c r="N175" i="67"/>
  <c r="N122" i="67"/>
  <c r="N124" i="67"/>
  <c r="N180" i="67"/>
  <c r="N14" i="67"/>
  <c r="N76" i="67"/>
  <c r="N78" i="67"/>
  <c r="N40" i="67"/>
  <c r="N11" i="67"/>
  <c r="N73" i="67"/>
  <c r="N173" i="67"/>
  <c r="N149" i="67"/>
  <c r="N127" i="67"/>
  <c r="N59" i="67"/>
  <c r="N121" i="67"/>
  <c r="N178" i="67"/>
  <c r="N130" i="67"/>
  <c r="N179" i="67"/>
  <c r="N22" i="67"/>
  <c r="N15" i="67"/>
  <c r="N48" i="67"/>
  <c r="N19" i="67"/>
  <c r="N174" i="67"/>
  <c r="N168" i="67"/>
  <c r="N120" i="67"/>
  <c r="N67" i="67"/>
  <c r="N188" i="67"/>
  <c r="N23" i="67"/>
  <c r="N30" i="67"/>
  <c r="N42" i="67"/>
  <c r="N104" i="67"/>
  <c r="N193" i="67"/>
  <c r="N177" i="67"/>
  <c r="Z25" i="61"/>
  <c r="Z57" i="61"/>
  <c r="Z89" i="61"/>
  <c r="Z121" i="61"/>
  <c r="Z52" i="61"/>
  <c r="Z84" i="61"/>
  <c r="Z116" i="61"/>
  <c r="Z148" i="61"/>
  <c r="Z180" i="61"/>
  <c r="Z55" i="61"/>
  <c r="Z87" i="61"/>
  <c r="Z119" i="61"/>
  <c r="Z151" i="61"/>
  <c r="Z20" i="61"/>
  <c r="Z22" i="61"/>
  <c r="Z149" i="61"/>
  <c r="Z181" i="61"/>
  <c r="Z34" i="61"/>
  <c r="Z94" i="61"/>
  <c r="Z154" i="61"/>
  <c r="Z183" i="61"/>
  <c r="Z46" i="61"/>
  <c r="Z106" i="61"/>
  <c r="Z170" i="61"/>
  <c r="Z29" i="61"/>
  <c r="Z61" i="61"/>
  <c r="Z93" i="61"/>
  <c r="Z24" i="61"/>
  <c r="Z56" i="61"/>
  <c r="Z88" i="61"/>
  <c r="Z120" i="61"/>
  <c r="Z152" i="61"/>
  <c r="Z184" i="61"/>
  <c r="Z27" i="61"/>
  <c r="Z59" i="61"/>
  <c r="Z123" i="61"/>
  <c r="Z155" i="61"/>
  <c r="Z11" i="61"/>
  <c r="Z26" i="61"/>
  <c r="Z153" i="61"/>
  <c r="Z185" i="61"/>
  <c r="Z38" i="61"/>
  <c r="Z102" i="61"/>
  <c r="Z162" i="61"/>
  <c r="DG162" i="61" s="1"/>
  <c r="Z187" i="61"/>
  <c r="Z50" i="61"/>
  <c r="Z114" i="61"/>
  <c r="Z178" i="61"/>
  <c r="Z33" i="61"/>
  <c r="Z65" i="61"/>
  <c r="Z97" i="61"/>
  <c r="Z28" i="61"/>
  <c r="Z60" i="61"/>
  <c r="Z92" i="61"/>
  <c r="Z124" i="61"/>
  <c r="Z156" i="61"/>
  <c r="Z188" i="61"/>
  <c r="Z31" i="61"/>
  <c r="DG31" i="61" s="1"/>
  <c r="Z63" i="61"/>
  <c r="Z95" i="61"/>
  <c r="Z127" i="61"/>
  <c r="Z159" i="61"/>
  <c r="Z15" i="61"/>
  <c r="Z125" i="61"/>
  <c r="Z157" i="61"/>
  <c r="Z189" i="61"/>
  <c r="Z42" i="61"/>
  <c r="Z110" i="61"/>
  <c r="Z174" i="61"/>
  <c r="Z191" i="61"/>
  <c r="Z58" i="61"/>
  <c r="Z126" i="61"/>
  <c r="Z186" i="61"/>
  <c r="Z37" i="61"/>
  <c r="Z69" i="61"/>
  <c r="Z101" i="61"/>
  <c r="Z32" i="61"/>
  <c r="Z64" i="61"/>
  <c r="Z96" i="61"/>
  <c r="Z128" i="61"/>
  <c r="Z160" i="61"/>
  <c r="Z192" i="61"/>
  <c r="Z35" i="61"/>
  <c r="Z67" i="61"/>
  <c r="Z99" i="61"/>
  <c r="Z131" i="61"/>
  <c r="Z163" i="61"/>
  <c r="Z19" i="61"/>
  <c r="Z129" i="61"/>
  <c r="Z161" i="61"/>
  <c r="Z193" i="61"/>
  <c r="Z54" i="61"/>
  <c r="Z118" i="61"/>
  <c r="Z182" i="61"/>
  <c r="Z195" i="61"/>
  <c r="Z66" i="61"/>
  <c r="Z134" i="61"/>
  <c r="Z194" i="61"/>
  <c r="Z9" i="61"/>
  <c r="Z41" i="61"/>
  <c r="Z73" i="61"/>
  <c r="Z105" i="61"/>
  <c r="Z36" i="61"/>
  <c r="Z68" i="61"/>
  <c r="Z100" i="61"/>
  <c r="Z132" i="61"/>
  <c r="Z164" i="61"/>
  <c r="Z196" i="61"/>
  <c r="Z39" i="61"/>
  <c r="Z71" i="61"/>
  <c r="Z103" i="61"/>
  <c r="Z135" i="61"/>
  <c r="Z167" i="61"/>
  <c r="Z23" i="61"/>
  <c r="Z133" i="61"/>
  <c r="Z165" i="61"/>
  <c r="Z62" i="61"/>
  <c r="Z122" i="61"/>
  <c r="Z199" i="61"/>
  <c r="DG199" i="61" s="1"/>
  <c r="Z74" i="61"/>
  <c r="Z138" i="61"/>
  <c r="Z175" i="61"/>
  <c r="Z13" i="61"/>
  <c r="Z45" i="61"/>
  <c r="Z77" i="61"/>
  <c r="Z109" i="61"/>
  <c r="Z40" i="61"/>
  <c r="Z72" i="61"/>
  <c r="Z104" i="61"/>
  <c r="Z136" i="61"/>
  <c r="Z168" i="61"/>
  <c r="Z200" i="61"/>
  <c r="Z43" i="61"/>
  <c r="Z75" i="61"/>
  <c r="Z107" i="61"/>
  <c r="Z139" i="61"/>
  <c r="Z171" i="61"/>
  <c r="Z10" i="61"/>
  <c r="Z137" i="61"/>
  <c r="Z169" i="61"/>
  <c r="Z201" i="61"/>
  <c r="Z70" i="61"/>
  <c r="Z130" i="61"/>
  <c r="Z206" i="61"/>
  <c r="Z203" i="61"/>
  <c r="Z82" i="61"/>
  <c r="Z150" i="61"/>
  <c r="Z202" i="61"/>
  <c r="DG202" i="61" s="1"/>
  <c r="Z17" i="61"/>
  <c r="Z49" i="61"/>
  <c r="Z81" i="61"/>
  <c r="Z113" i="61"/>
  <c r="Z44" i="61"/>
  <c r="Z76" i="61"/>
  <c r="Z108" i="61"/>
  <c r="Z140" i="61"/>
  <c r="Z172" i="61"/>
  <c r="Z47" i="61"/>
  <c r="Z79" i="61"/>
  <c r="Z111" i="61"/>
  <c r="Z143" i="61"/>
  <c r="Z12" i="61"/>
  <c r="Z14" i="61"/>
  <c r="Z141" i="61"/>
  <c r="Z173" i="61"/>
  <c r="DG173" i="61" s="1"/>
  <c r="Z205" i="61"/>
  <c r="DG205" i="61" s="1"/>
  <c r="Z78" i="61"/>
  <c r="Z142" i="61"/>
  <c r="Z207" i="61"/>
  <c r="Z90" i="61"/>
  <c r="Z158" i="61"/>
  <c r="Z21" i="61"/>
  <c r="Z53" i="61"/>
  <c r="Z85" i="61"/>
  <c r="Z117" i="61"/>
  <c r="Z48" i="61"/>
  <c r="Z80" i="61"/>
  <c r="Z112" i="61"/>
  <c r="Z144" i="61"/>
  <c r="Z176" i="61"/>
  <c r="Z51" i="61"/>
  <c r="Z83" i="61"/>
  <c r="Z115" i="61"/>
  <c r="Z147" i="61"/>
  <c r="Z16" i="61"/>
  <c r="Z18" i="61"/>
  <c r="Z177" i="61"/>
  <c r="Z86" i="61"/>
  <c r="Z146" i="61"/>
  <c r="Z179" i="61"/>
  <c r="Z98" i="61"/>
  <c r="Z166" i="61"/>
  <c r="Z8" i="61"/>
  <c r="Y208" i="61"/>
  <c r="P208" i="61"/>
  <c r="M8" i="67"/>
  <c r="H208" i="67"/>
  <c r="FA171" i="67" l="1"/>
  <c r="CF51" i="67"/>
  <c r="DG53" i="61"/>
  <c r="CF84" i="67"/>
  <c r="DG86" i="61"/>
  <c r="CF163" i="67"/>
  <c r="CF21" i="67"/>
  <c r="GN21" i="67" s="1"/>
  <c r="DG21" i="61"/>
  <c r="CF137" i="67"/>
  <c r="CF136" i="67"/>
  <c r="DG140" i="61"/>
  <c r="CF166" i="67"/>
  <c r="CF184" i="67"/>
  <c r="GN184" i="67" s="1"/>
  <c r="DG200" i="61"/>
  <c r="CF43" i="67"/>
  <c r="GN43" i="67" s="1"/>
  <c r="DG45" i="61"/>
  <c r="CF159" i="67"/>
  <c r="GG159" i="67" s="1"/>
  <c r="W165" i="71" s="1"/>
  <c r="DG165" i="61"/>
  <c r="CF183" i="67"/>
  <c r="CF39" i="67"/>
  <c r="GN39" i="67" s="1"/>
  <c r="DG41" i="61"/>
  <c r="CF52" i="67"/>
  <c r="CF65" i="67"/>
  <c r="CF97" i="67"/>
  <c r="CF106" i="67"/>
  <c r="GN106" i="67" s="1"/>
  <c r="DG110" i="61"/>
  <c r="CF92" i="67"/>
  <c r="GN92" i="67" s="1"/>
  <c r="DG95" i="61"/>
  <c r="CF28" i="67"/>
  <c r="DG28" i="61"/>
  <c r="CF119" i="67"/>
  <c r="GN119" i="67" s="1"/>
  <c r="DG123" i="61"/>
  <c r="CF24" i="67"/>
  <c r="GN24" i="67" s="1"/>
  <c r="DG24" i="61"/>
  <c r="CF149" i="67"/>
  <c r="CF115" i="67"/>
  <c r="GN115" i="67" s="1"/>
  <c r="DG119" i="61"/>
  <c r="CF117" i="67"/>
  <c r="GG117" i="67" s="1"/>
  <c r="W121" i="71" s="1"/>
  <c r="DG121" i="61"/>
  <c r="CF191" i="67"/>
  <c r="CF140" i="67"/>
  <c r="GN140" i="67" s="1"/>
  <c r="DG144" i="61"/>
  <c r="CF153" i="67"/>
  <c r="DG158" i="61"/>
  <c r="CF14" i="67"/>
  <c r="CF104" i="67"/>
  <c r="CF145" i="67"/>
  <c r="CF133" i="67"/>
  <c r="GG133" i="67" s="1"/>
  <c r="W137" i="71" s="1"/>
  <c r="DG137" i="61"/>
  <c r="CF162" i="67"/>
  <c r="CF13" i="67"/>
  <c r="CF129" i="67"/>
  <c r="GN129" i="67" s="1"/>
  <c r="DG133" i="61"/>
  <c r="CF158" i="67"/>
  <c r="GG158" i="67" s="1"/>
  <c r="W164" i="71" s="1"/>
  <c r="DG164" i="61"/>
  <c r="CF9" i="67"/>
  <c r="GG9" i="67" s="1"/>
  <c r="W9" i="71" s="1"/>
  <c r="DG9" i="61"/>
  <c r="CF181" i="67"/>
  <c r="GG181" i="67" s="1"/>
  <c r="W193" i="71" s="1"/>
  <c r="DG193" i="61"/>
  <c r="CF33" i="67"/>
  <c r="GG33" i="67" s="1"/>
  <c r="W35" i="71" s="1"/>
  <c r="DG35" i="61"/>
  <c r="CF67" i="67"/>
  <c r="CF40" i="67"/>
  <c r="CF61" i="67"/>
  <c r="CF94" i="67"/>
  <c r="CF98" i="67"/>
  <c r="CF57" i="67"/>
  <c r="DG59" i="61"/>
  <c r="CF90" i="67"/>
  <c r="GN90" i="67" s="1"/>
  <c r="DG93" i="61"/>
  <c r="CF91" i="67"/>
  <c r="GN91" i="67" s="1"/>
  <c r="DG94" i="61"/>
  <c r="CF85" i="67"/>
  <c r="GG85" i="67" s="1"/>
  <c r="W87" i="71" s="1"/>
  <c r="DG87" i="61"/>
  <c r="CF87" i="67"/>
  <c r="CF41" i="67"/>
  <c r="GN41" i="67" s="1"/>
  <c r="DG43" i="61"/>
  <c r="CF71" i="67"/>
  <c r="GG71" i="67" s="1"/>
  <c r="W73" i="71" s="1"/>
  <c r="DG73" i="61"/>
  <c r="CF123" i="67"/>
  <c r="GG123" i="67" s="1"/>
  <c r="DG127" i="61"/>
  <c r="CF170" i="67"/>
  <c r="DG183" i="61"/>
  <c r="CF88" i="67"/>
  <c r="GN88" i="67" s="1"/>
  <c r="DG90" i="61"/>
  <c r="CF12" i="67"/>
  <c r="GN12" i="67" s="1"/>
  <c r="DG12" i="61"/>
  <c r="CF10" i="67"/>
  <c r="GN10" i="67" s="1"/>
  <c r="DG10" i="61"/>
  <c r="CF132" i="67"/>
  <c r="GN132" i="67" s="1"/>
  <c r="DG136" i="61"/>
  <c r="CF23" i="67"/>
  <c r="CF182" i="67"/>
  <c r="CF156" i="67"/>
  <c r="GN156" i="67" s="1"/>
  <c r="DG161" i="61"/>
  <c r="CF180" i="67"/>
  <c r="GN180" i="67" s="1"/>
  <c r="DG192" i="61"/>
  <c r="CF35" i="67"/>
  <c r="CF178" i="67"/>
  <c r="DG189" i="61"/>
  <c r="CF63" i="67"/>
  <c r="GG63" i="67" s="1"/>
  <c r="W65" i="71" s="1"/>
  <c r="DG65" i="61"/>
  <c r="CF36" i="67"/>
  <c r="CF27" i="67"/>
  <c r="GN27" i="67" s="1"/>
  <c r="DG27" i="61"/>
  <c r="CF59" i="67"/>
  <c r="CF32" i="67"/>
  <c r="CF53" i="67"/>
  <c r="GN53" i="67" s="1"/>
  <c r="DG55" i="61"/>
  <c r="CF55" i="67"/>
  <c r="CF141" i="67"/>
  <c r="GN141" i="67" s="1"/>
  <c r="DG146" i="61"/>
  <c r="CF185" i="67"/>
  <c r="CF30" i="67"/>
  <c r="CF108" i="67"/>
  <c r="CF80" i="67"/>
  <c r="GN80" i="67" s="1"/>
  <c r="DG82" i="61"/>
  <c r="CF128" i="67"/>
  <c r="GN128" i="67" s="1"/>
  <c r="DG132" i="61"/>
  <c r="CF8" i="67"/>
  <c r="CF16" i="67"/>
  <c r="GG16" i="67" s="1"/>
  <c r="W16" i="71" s="1"/>
  <c r="DG16" i="61"/>
  <c r="CF78" i="67"/>
  <c r="CF189" i="67"/>
  <c r="GG189" i="67" s="1"/>
  <c r="W207" i="71" s="1"/>
  <c r="DG207" i="61"/>
  <c r="CF139" i="67"/>
  <c r="GN139" i="67" s="1"/>
  <c r="DG143" i="61"/>
  <c r="CF42" i="67"/>
  <c r="CF186" i="67"/>
  <c r="CF175" i="67"/>
  <c r="CF100" i="67"/>
  <c r="DG104" i="61"/>
  <c r="CF134" i="67"/>
  <c r="GN134" i="67" s="1"/>
  <c r="DG138" i="61"/>
  <c r="CF161" i="67"/>
  <c r="CF194" i="67"/>
  <c r="GG194" i="67" s="1"/>
  <c r="W100" i="71" s="1"/>
  <c r="DG100" i="61"/>
  <c r="CF130" i="67"/>
  <c r="CF125" i="67"/>
  <c r="GN125" i="67" s="1"/>
  <c r="DG129" i="61"/>
  <c r="CF155" i="67"/>
  <c r="CF173" i="67"/>
  <c r="CF152" i="67"/>
  <c r="CF177" i="67"/>
  <c r="CF31" i="67"/>
  <c r="GN31" i="67" s="1"/>
  <c r="DG33" i="61"/>
  <c r="CF172" i="67"/>
  <c r="DG185" i="61"/>
  <c r="CF171" i="67"/>
  <c r="GN171" i="67" s="1"/>
  <c r="DG184" i="61"/>
  <c r="CF29" i="67"/>
  <c r="CF192" i="67"/>
  <c r="GN192" i="67" s="1"/>
  <c r="DG181" i="61"/>
  <c r="CF168" i="67"/>
  <c r="CF25" i="67"/>
  <c r="GN25" i="67" s="1"/>
  <c r="DG25" i="61"/>
  <c r="CF49" i="67"/>
  <c r="GN49" i="67" s="1"/>
  <c r="DG51" i="61"/>
  <c r="CF17" i="67"/>
  <c r="GG17" i="67" s="1"/>
  <c r="W17" i="71" s="1"/>
  <c r="DG17" i="61"/>
  <c r="CF75" i="67"/>
  <c r="GN75" i="67" s="1"/>
  <c r="DG77" i="61"/>
  <c r="CF37" i="67"/>
  <c r="CF114" i="67"/>
  <c r="GN114" i="67" s="1"/>
  <c r="DG118" i="61"/>
  <c r="CF187" i="67"/>
  <c r="CF58" i="67"/>
  <c r="CF150" i="67"/>
  <c r="CF54" i="67"/>
  <c r="GN54" i="67" s="1"/>
  <c r="DG56" i="61"/>
  <c r="CF50" i="67"/>
  <c r="CF18" i="67"/>
  <c r="GN18" i="67" s="1"/>
  <c r="DG18" i="61"/>
  <c r="CF74" i="67"/>
  <c r="CF190" i="67"/>
  <c r="GN190" i="67" s="1"/>
  <c r="DG175" i="61"/>
  <c r="CF160" i="67"/>
  <c r="GN160" i="67" s="1"/>
  <c r="DG166" i="61"/>
  <c r="CF142" i="67"/>
  <c r="DG147" i="61"/>
  <c r="CF46" i="67"/>
  <c r="GN46" i="67" s="1"/>
  <c r="DG48" i="61"/>
  <c r="CF138" i="67"/>
  <c r="GN138" i="67" s="1"/>
  <c r="DG142" i="61"/>
  <c r="CF107" i="67"/>
  <c r="GN107" i="67" s="1"/>
  <c r="DG111" i="61"/>
  <c r="CF109" i="67"/>
  <c r="CF188" i="67"/>
  <c r="CF135" i="67"/>
  <c r="CF70" i="67"/>
  <c r="CF72" i="67"/>
  <c r="CF131" i="67"/>
  <c r="GG131" i="67" s="1"/>
  <c r="W135" i="71" s="1"/>
  <c r="DG135" i="61"/>
  <c r="CF66" i="67"/>
  <c r="CF64" i="67"/>
  <c r="GN64" i="67" s="1"/>
  <c r="DG66" i="61"/>
  <c r="CF19" i="67"/>
  <c r="CF124" i="67"/>
  <c r="CF122" i="67"/>
  <c r="CF121" i="67"/>
  <c r="CF151" i="67"/>
  <c r="CF164" i="67"/>
  <c r="GN164" i="67" s="1"/>
  <c r="DG178" i="61"/>
  <c r="CF148" i="67"/>
  <c r="GG148" i="67" s="1"/>
  <c r="W153" i="71" s="1"/>
  <c r="DG153" i="61"/>
  <c r="CF147" i="67"/>
  <c r="CF167" i="67"/>
  <c r="GG167" i="67" s="1"/>
  <c r="W170" i="71" s="1"/>
  <c r="DG170" i="61"/>
  <c r="CF144" i="67"/>
  <c r="CF143" i="67"/>
  <c r="GN143" i="67" s="1"/>
  <c r="DG148" i="61"/>
  <c r="CF95" i="67"/>
  <c r="GG95" i="67" s="1"/>
  <c r="W98" i="71" s="1"/>
  <c r="DG98" i="61"/>
  <c r="CF111" i="67"/>
  <c r="GG111" i="67" s="1"/>
  <c r="W115" i="71" s="1"/>
  <c r="DG115" i="61"/>
  <c r="CF113" i="67"/>
  <c r="GG113" i="67" s="1"/>
  <c r="W117" i="71" s="1"/>
  <c r="DG117" i="61"/>
  <c r="CF76" i="67"/>
  <c r="CF77" i="67"/>
  <c r="CF79" i="67"/>
  <c r="GN79" i="67" s="1"/>
  <c r="DG81" i="61"/>
  <c r="CF126" i="67"/>
  <c r="GN126" i="67" s="1"/>
  <c r="DG130" i="61"/>
  <c r="CF103" i="67"/>
  <c r="GG103" i="67" s="1"/>
  <c r="DG107" i="61"/>
  <c r="CF38" i="67"/>
  <c r="CF99" i="67"/>
  <c r="CF34" i="67"/>
  <c r="GN34" i="67" s="1"/>
  <c r="DG36" i="61"/>
  <c r="CF193" i="67"/>
  <c r="CF157" i="67"/>
  <c r="CF93" i="67"/>
  <c r="CF56" i="67"/>
  <c r="GN56" i="67" s="1"/>
  <c r="DG58" i="61"/>
  <c r="CF15" i="67"/>
  <c r="CF120" i="67"/>
  <c r="CF110" i="67"/>
  <c r="CF26" i="67"/>
  <c r="CF116" i="67"/>
  <c r="GG116" i="67" s="1"/>
  <c r="W120" i="71" s="1"/>
  <c r="DG120" i="61"/>
  <c r="CF102" i="67"/>
  <c r="CF22" i="67"/>
  <c r="CF112" i="67"/>
  <c r="CF176" i="67"/>
  <c r="GN176" i="67" s="1"/>
  <c r="DG172" i="61"/>
  <c r="CF60" i="67"/>
  <c r="GN60" i="67" s="1"/>
  <c r="DG62" i="61"/>
  <c r="CF96" i="67"/>
  <c r="CF174" i="67"/>
  <c r="CF146" i="67"/>
  <c r="GN146" i="67" s="1"/>
  <c r="DG151" i="61"/>
  <c r="CF165" i="67"/>
  <c r="GN165" i="67" s="1"/>
  <c r="DG179" i="61"/>
  <c r="CF81" i="67"/>
  <c r="GN81" i="67" s="1"/>
  <c r="DG83" i="61"/>
  <c r="CF83" i="67"/>
  <c r="CF45" i="67"/>
  <c r="GN45" i="67" s="1"/>
  <c r="DG47" i="61"/>
  <c r="CF47" i="67"/>
  <c r="CF68" i="67"/>
  <c r="GG68" i="67" s="1"/>
  <c r="DG70" i="61"/>
  <c r="CF73" i="67"/>
  <c r="CF105" i="67"/>
  <c r="CF118" i="67"/>
  <c r="CF69" i="67"/>
  <c r="GG69" i="67" s="1"/>
  <c r="W71" i="71" s="1"/>
  <c r="DG71" i="61"/>
  <c r="CF101" i="67"/>
  <c r="GN101" i="67" s="1"/>
  <c r="DG105" i="61"/>
  <c r="CF169" i="67"/>
  <c r="GN169" i="67" s="1"/>
  <c r="DG182" i="61"/>
  <c r="CF127" i="67"/>
  <c r="CF62" i="67"/>
  <c r="CF179" i="67"/>
  <c r="CF154" i="67"/>
  <c r="CF89" i="67"/>
  <c r="GG89" i="67" s="1"/>
  <c r="W92" i="71" s="1"/>
  <c r="DG92" i="61"/>
  <c r="CF48" i="67"/>
  <c r="CF11" i="67"/>
  <c r="CF86" i="67"/>
  <c r="GN86" i="67" s="1"/>
  <c r="DG88" i="61"/>
  <c r="CF44" i="67"/>
  <c r="CF20" i="67"/>
  <c r="GN20" i="67" s="1"/>
  <c r="DG20" i="61"/>
  <c r="CF82" i="67"/>
  <c r="FA34" i="67"/>
  <c r="DW158" i="67"/>
  <c r="DW139" i="67"/>
  <c r="FA71" i="67"/>
  <c r="DH193" i="67"/>
  <c r="GE73" i="67"/>
  <c r="GE186" i="67"/>
  <c r="N45" i="11"/>
  <c r="FA129" i="67"/>
  <c r="GE151" i="67"/>
  <c r="FA89" i="67"/>
  <c r="FA181" i="67"/>
  <c r="FA160" i="67"/>
  <c r="GE80" i="67"/>
  <c r="FA75" i="67"/>
  <c r="DH65" i="67"/>
  <c r="DH89" i="67"/>
  <c r="FP151" i="67"/>
  <c r="FP73" i="67"/>
  <c r="FP186" i="67"/>
  <c r="FA192" i="67"/>
  <c r="FA46" i="67"/>
  <c r="EL36" i="67"/>
  <c r="FA164" i="67"/>
  <c r="O46" i="11"/>
  <c r="FA133" i="67"/>
  <c r="GE141" i="67"/>
  <c r="FA139" i="67"/>
  <c r="FA158" i="67"/>
  <c r="FA45" i="67"/>
  <c r="FP34" i="67"/>
  <c r="FA91" i="67"/>
  <c r="EL139" i="67"/>
  <c r="GE133" i="67"/>
  <c r="FA53" i="67"/>
  <c r="DH133" i="67"/>
  <c r="FP133" i="67"/>
  <c r="EL158" i="67"/>
  <c r="FP89" i="67"/>
  <c r="FP139" i="67"/>
  <c r="DH73" i="67"/>
  <c r="FP135" i="67"/>
  <c r="FP158" i="67"/>
  <c r="DW34" i="67"/>
  <c r="GE192" i="67"/>
  <c r="DW36" i="67"/>
  <c r="GE89" i="67"/>
  <c r="GE139" i="67"/>
  <c r="DW73" i="67"/>
  <c r="GE135" i="67"/>
  <c r="GE158" i="67"/>
  <c r="GE76" i="67"/>
  <c r="GE13" i="67"/>
  <c r="P47" i="11"/>
  <c r="DW138" i="67"/>
  <c r="O47" i="11"/>
  <c r="EL118" i="67"/>
  <c r="DH135" i="67"/>
  <c r="GE46" i="67"/>
  <c r="DH139" i="67"/>
  <c r="DH158" i="67"/>
  <c r="FA131" i="67"/>
  <c r="FA28" i="67"/>
  <c r="FA153" i="67"/>
  <c r="FA56" i="67"/>
  <c r="FA57" i="67"/>
  <c r="FA111" i="67"/>
  <c r="GE154" i="67"/>
  <c r="GE189" i="67"/>
  <c r="GE149" i="67"/>
  <c r="GE103" i="67"/>
  <c r="DW66" i="67"/>
  <c r="GE162" i="67"/>
  <c r="FA141" i="67"/>
  <c r="GE165" i="67"/>
  <c r="P46" i="11"/>
  <c r="DW76" i="67"/>
  <c r="GE23" i="67"/>
  <c r="DW171" i="67"/>
  <c r="GE138" i="67"/>
  <c r="DW188" i="67"/>
  <c r="DW129" i="67"/>
  <c r="FP14" i="67"/>
  <c r="FP36" i="67"/>
  <c r="DW28" i="67"/>
  <c r="DW192" i="67"/>
  <c r="GE36" i="67"/>
  <c r="GE34" i="67"/>
  <c r="DW102" i="67"/>
  <c r="DH80" i="67"/>
  <c r="DW121" i="67"/>
  <c r="GE110" i="67"/>
  <c r="GE65" i="67"/>
  <c r="GE193" i="67"/>
  <c r="DW71" i="67"/>
  <c r="EL133" i="67"/>
  <c r="GE67" i="67"/>
  <c r="EL181" i="67"/>
  <c r="GE159" i="67"/>
  <c r="DW37" i="67"/>
  <c r="GE105" i="67"/>
  <c r="DW23" i="67"/>
  <c r="GE171" i="67"/>
  <c r="GE71" i="67"/>
  <c r="DW13" i="67"/>
  <c r="FA88" i="67"/>
  <c r="FA68" i="67"/>
  <c r="FA136" i="67"/>
  <c r="N46" i="11"/>
  <c r="FA128" i="67"/>
  <c r="N47" i="11"/>
  <c r="FA51" i="67"/>
  <c r="DH127" i="67"/>
  <c r="DW67" i="67"/>
  <c r="GE129" i="67"/>
  <c r="GE28" i="67"/>
  <c r="DW91" i="67"/>
  <c r="GE153" i="67"/>
  <c r="GE181" i="67"/>
  <c r="DH118" i="67"/>
  <c r="GE173" i="67"/>
  <c r="DW75" i="67"/>
  <c r="GE137" i="67"/>
  <c r="DH120" i="67"/>
  <c r="DH177" i="67"/>
  <c r="M46" i="11"/>
  <c r="DH132" i="67"/>
  <c r="DW178" i="67"/>
  <c r="GE48" i="67"/>
  <c r="DH110" i="67"/>
  <c r="GE164" i="67"/>
  <c r="DW65" i="67"/>
  <c r="GE127" i="67"/>
  <c r="GE120" i="67"/>
  <c r="DW60" i="67"/>
  <c r="GE122" i="67"/>
  <c r="GE107" i="67"/>
  <c r="DW68" i="67"/>
  <c r="GE62" i="67"/>
  <c r="GE41" i="67"/>
  <c r="DW128" i="67"/>
  <c r="GE111" i="67"/>
  <c r="GE74" i="67"/>
  <c r="GE49" i="67"/>
  <c r="GE113" i="67"/>
  <c r="GE188" i="67"/>
  <c r="GE57" i="67"/>
  <c r="GE174" i="67"/>
  <c r="GE82" i="67"/>
  <c r="DW59" i="67"/>
  <c r="GE121" i="67"/>
  <c r="DW84" i="67"/>
  <c r="GE145" i="67"/>
  <c r="GE45" i="67"/>
  <c r="FA156" i="67"/>
  <c r="DW31" i="67"/>
  <c r="M47" i="11"/>
  <c r="DW51" i="67"/>
  <c r="DW22" i="67"/>
  <c r="DH151" i="67"/>
  <c r="DW57" i="67"/>
  <c r="GE119" i="67"/>
  <c r="GE143" i="67"/>
  <c r="GE59" i="67"/>
  <c r="GE178" i="67"/>
  <c r="GE84" i="67"/>
  <c r="DW145" i="67"/>
  <c r="DW45" i="67"/>
  <c r="DW48" i="67"/>
  <c r="GE91" i="67"/>
  <c r="DW153" i="67"/>
  <c r="FA60" i="67"/>
  <c r="GE156" i="67"/>
  <c r="GE98" i="67"/>
  <c r="DW160" i="67"/>
  <c r="DW131" i="67"/>
  <c r="DW53" i="67"/>
  <c r="GE108" i="67"/>
  <c r="DW97" i="67"/>
  <c r="FA81" i="67"/>
  <c r="FP132" i="67"/>
  <c r="FA167" i="67"/>
  <c r="DH57" i="67"/>
  <c r="FP65" i="67"/>
  <c r="FP193" i="67"/>
  <c r="GE56" i="67"/>
  <c r="FP31" i="67"/>
  <c r="FP58" i="67"/>
  <c r="DH189" i="67"/>
  <c r="FP37" i="67"/>
  <c r="FP88" i="67"/>
  <c r="DH103" i="67"/>
  <c r="FP175" i="67"/>
  <c r="FP66" i="67"/>
  <c r="FP165" i="67"/>
  <c r="DH76" i="67"/>
  <c r="DH171" i="67"/>
  <c r="FP138" i="67"/>
  <c r="DH188" i="67"/>
  <c r="DH46" i="67"/>
  <c r="FP167" i="67"/>
  <c r="FP119" i="67"/>
  <c r="DH174" i="67"/>
  <c r="DH82" i="67"/>
  <c r="FP143" i="67"/>
  <c r="FP59" i="67"/>
  <c r="FP178" i="67"/>
  <c r="DH45" i="67"/>
  <c r="DW127" i="67"/>
  <c r="EL151" i="67"/>
  <c r="EL186" i="67"/>
  <c r="GE14" i="67"/>
  <c r="DH121" i="67"/>
  <c r="GE22" i="67"/>
  <c r="EL154" i="67"/>
  <c r="EL149" i="67"/>
  <c r="EL103" i="67"/>
  <c r="FP67" i="67"/>
  <c r="DH28" i="67"/>
  <c r="DH153" i="67"/>
  <c r="DH181" i="67"/>
  <c r="DH156" i="67"/>
  <c r="FP118" i="67"/>
  <c r="FP75" i="67"/>
  <c r="DH98" i="67"/>
  <c r="FP160" i="67"/>
  <c r="DH13" i="67"/>
  <c r="DH137" i="67"/>
  <c r="DW88" i="67"/>
  <c r="DW175" i="67"/>
  <c r="DW165" i="67"/>
  <c r="DH62" i="67"/>
  <c r="FA43" i="67"/>
  <c r="FP157" i="67"/>
  <c r="FP97" i="67"/>
  <c r="FP60" i="67"/>
  <c r="DH122" i="67"/>
  <c r="FP87" i="67"/>
  <c r="DH107" i="67"/>
  <c r="K47" i="11"/>
  <c r="FP68" i="67"/>
  <c r="FP77" i="67"/>
  <c r="DH41" i="67"/>
  <c r="FP128" i="67"/>
  <c r="DW95" i="67"/>
  <c r="DH162" i="67"/>
  <c r="EL48" i="67"/>
  <c r="EL67" i="67"/>
  <c r="EL91" i="67"/>
  <c r="EL75" i="67"/>
  <c r="EL160" i="67"/>
  <c r="EL131" i="67"/>
  <c r="EL53" i="67"/>
  <c r="EL34" i="67"/>
  <c r="EL164" i="67"/>
  <c r="EL105" i="67"/>
  <c r="EL41" i="67"/>
  <c r="EL49" i="67"/>
  <c r="EL113" i="67"/>
  <c r="DW46" i="67"/>
  <c r="FP53" i="67"/>
  <c r="EL74" i="67"/>
  <c r="DW110" i="67"/>
  <c r="DW89" i="67"/>
  <c r="DW135" i="67"/>
  <c r="EL14" i="67"/>
  <c r="DW177" i="67"/>
  <c r="DW132" i="67"/>
  <c r="GE102" i="67"/>
  <c r="DW119" i="67"/>
  <c r="DW143" i="67"/>
  <c r="EL165" i="67"/>
  <c r="EL138" i="67"/>
  <c r="EL119" i="67"/>
  <c r="EL65" i="67"/>
  <c r="DW118" i="67"/>
  <c r="FP43" i="67"/>
  <c r="FA27" i="67"/>
  <c r="FA159" i="67"/>
  <c r="FA189" i="67"/>
  <c r="FA103" i="67"/>
  <c r="FA107" i="67"/>
  <c r="DW87" i="67"/>
  <c r="GE146" i="67"/>
  <c r="DW136" i="67"/>
  <c r="EL13" i="67"/>
  <c r="GE95" i="67"/>
  <c r="EL22" i="67"/>
  <c r="EL110" i="67"/>
  <c r="EL23" i="67"/>
  <c r="DW80" i="67"/>
  <c r="DW96" i="67"/>
  <c r="EL10" i="67"/>
  <c r="DW103" i="67"/>
  <c r="DW133" i="67"/>
  <c r="DW111" i="67"/>
  <c r="FA25" i="67"/>
  <c r="FP91" i="67"/>
  <c r="FA21" i="67"/>
  <c r="DH56" i="67"/>
  <c r="FA142" i="67"/>
  <c r="FP131" i="67"/>
  <c r="FA79" i="67"/>
  <c r="FA190" i="67"/>
  <c r="FP82" i="67"/>
  <c r="DH59" i="67"/>
  <c r="FP48" i="67"/>
  <c r="FP164" i="67"/>
  <c r="FP127" i="67"/>
  <c r="DH129" i="67"/>
  <c r="DH173" i="67"/>
  <c r="DH14" i="67"/>
  <c r="FP192" i="67"/>
  <c r="FP76" i="67"/>
  <c r="DH23" i="67"/>
  <c r="FP171" i="67"/>
  <c r="FP111" i="67"/>
  <c r="DH138" i="67"/>
  <c r="FP188" i="67"/>
  <c r="FP46" i="67"/>
  <c r="FP71" i="67"/>
  <c r="FP102" i="67"/>
  <c r="FP57" i="67"/>
  <c r="DH119" i="67"/>
  <c r="FP174" i="67"/>
  <c r="DH143" i="67"/>
  <c r="FP121" i="67"/>
  <c r="DH84" i="67"/>
  <c r="FP145" i="67"/>
  <c r="DH22" i="67"/>
  <c r="FP45" i="67"/>
  <c r="EL32" i="67"/>
  <c r="DW193" i="67"/>
  <c r="EL89" i="67"/>
  <c r="EL135" i="67"/>
  <c r="EL31" i="67"/>
  <c r="DW157" i="67"/>
  <c r="I45" i="11"/>
  <c r="DW185" i="67"/>
  <c r="GE86" i="67"/>
  <c r="EL9" i="67"/>
  <c r="DW77" i="67"/>
  <c r="EL43" i="67"/>
  <c r="DW69" i="67"/>
  <c r="GE116" i="67"/>
  <c r="GE124" i="67"/>
  <c r="EL51" i="67"/>
  <c r="GE109" i="67"/>
  <c r="GE18" i="67"/>
  <c r="EL30" i="67"/>
  <c r="DW63" i="67"/>
  <c r="GE92" i="67"/>
  <c r="EL39" i="67"/>
  <c r="DH167" i="67"/>
  <c r="DH178" i="67"/>
  <c r="EL8" i="67"/>
  <c r="DW32" i="67"/>
  <c r="EL193" i="67"/>
  <c r="DH67" i="67"/>
  <c r="FP123" i="67"/>
  <c r="FA140" i="67"/>
  <c r="FA172" i="67"/>
  <c r="FA33" i="67"/>
  <c r="DH75" i="67"/>
  <c r="FP98" i="67"/>
  <c r="FA64" i="67"/>
  <c r="FA17" i="67"/>
  <c r="FA54" i="67"/>
  <c r="FP108" i="67"/>
  <c r="FA12" i="67"/>
  <c r="FA90" i="67"/>
  <c r="FA169" i="67"/>
  <c r="CD154" i="67"/>
  <c r="DW58" i="67"/>
  <c r="EL97" i="67"/>
  <c r="EL60" i="67"/>
  <c r="EL37" i="67"/>
  <c r="EL175" i="67"/>
  <c r="E45" i="11"/>
  <c r="EL68" i="67"/>
  <c r="EL185" i="67"/>
  <c r="EL136" i="67"/>
  <c r="EL77" i="67"/>
  <c r="EL128" i="67"/>
  <c r="EL69" i="67"/>
  <c r="FP129" i="67"/>
  <c r="FP28" i="67"/>
  <c r="DH91" i="67"/>
  <c r="FP153" i="67"/>
  <c r="FP181" i="67"/>
  <c r="FP156" i="67"/>
  <c r="FP56" i="67"/>
  <c r="FP173" i="67"/>
  <c r="DH160" i="67"/>
  <c r="FA100" i="67"/>
  <c r="FA9" i="67"/>
  <c r="FA148" i="67"/>
  <c r="FA63" i="67"/>
  <c r="FA184" i="67"/>
  <c r="DH71" i="67"/>
  <c r="FA39" i="67"/>
  <c r="FP84" i="67"/>
  <c r="DH48" i="67"/>
  <c r="FP110" i="67"/>
  <c r="GE161" i="67"/>
  <c r="DW11" i="67"/>
  <c r="DW79" i="67"/>
  <c r="DH36" i="67"/>
  <c r="DH34" i="67"/>
  <c r="FP185" i="67"/>
  <c r="FP136" i="67"/>
  <c r="FP9" i="67"/>
  <c r="FP23" i="67"/>
  <c r="K46" i="11"/>
  <c r="FP69" i="67"/>
  <c r="FP13" i="67"/>
  <c r="DH74" i="67"/>
  <c r="FP51" i="67"/>
  <c r="DH49" i="67"/>
  <c r="FP63" i="67"/>
  <c r="DH145" i="67"/>
  <c r="FP22" i="67"/>
  <c r="FP8" i="67"/>
  <c r="DH164" i="67"/>
  <c r="EL163" i="67"/>
  <c r="EL70" i="67"/>
  <c r="DW40" i="67"/>
  <c r="EL117" i="67"/>
  <c r="EL142" i="67"/>
  <c r="EL11" i="67"/>
  <c r="EL147" i="67"/>
  <c r="DW20" i="67"/>
  <c r="EL79" i="67"/>
  <c r="EL55" i="67"/>
  <c r="GE10" i="67"/>
  <c r="FP154" i="67"/>
  <c r="FA80" i="67"/>
  <c r="DW141" i="67"/>
  <c r="FP120" i="67"/>
  <c r="FP159" i="67"/>
  <c r="FP189" i="67"/>
  <c r="FP146" i="67"/>
  <c r="FP10" i="67"/>
  <c r="FP149" i="67"/>
  <c r="FP103" i="67"/>
  <c r="FP105" i="67"/>
  <c r="FP86" i="67"/>
  <c r="FP179" i="67"/>
  <c r="DH165" i="67"/>
  <c r="FP62" i="67"/>
  <c r="FP41" i="67"/>
  <c r="FA116" i="67"/>
  <c r="FP74" i="67"/>
  <c r="FP155" i="67"/>
  <c r="FP101" i="67"/>
  <c r="FP109" i="67"/>
  <c r="FP18" i="67"/>
  <c r="FP95" i="67"/>
  <c r="FP49" i="67"/>
  <c r="FP113" i="67"/>
  <c r="FP162" i="67"/>
  <c r="FP38" i="67"/>
  <c r="FA92" i="67"/>
  <c r="FP26" i="67"/>
  <c r="DW167" i="67"/>
  <c r="FP19" i="67"/>
  <c r="GE85" i="67"/>
  <c r="EL129" i="67"/>
  <c r="EL153" i="67"/>
  <c r="EL161" i="67"/>
  <c r="EL123" i="67"/>
  <c r="EL156" i="67"/>
  <c r="GE179" i="67"/>
  <c r="GE155" i="67"/>
  <c r="GE101" i="67"/>
  <c r="DW14" i="67"/>
  <c r="EL141" i="67"/>
  <c r="EL157" i="67"/>
  <c r="EL177" i="67"/>
  <c r="M45" i="11"/>
  <c r="EL87" i="67"/>
  <c r="EL88" i="67"/>
  <c r="L45" i="11"/>
  <c r="DW9" i="67"/>
  <c r="EL132" i="67"/>
  <c r="DW43" i="67"/>
  <c r="EL130" i="67"/>
  <c r="EL148" i="67"/>
  <c r="DW30" i="67"/>
  <c r="EL63" i="67"/>
  <c r="EL99" i="67"/>
  <c r="DW39" i="67"/>
  <c r="EL167" i="67"/>
  <c r="DW16" i="67"/>
  <c r="EL143" i="67"/>
  <c r="EL59" i="67"/>
  <c r="EL178" i="67"/>
  <c r="EL84" i="67"/>
  <c r="EL93" i="67"/>
  <c r="DW8" i="67"/>
  <c r="FP161" i="67"/>
  <c r="FA123" i="67"/>
  <c r="FA106" i="67"/>
  <c r="FP141" i="67"/>
  <c r="FA31" i="67"/>
  <c r="EL58" i="67"/>
  <c r="EL66" i="67"/>
  <c r="FA165" i="67"/>
  <c r="FP130" i="67"/>
  <c r="FA69" i="67"/>
  <c r="FA138" i="67"/>
  <c r="FP99" i="67"/>
  <c r="FA119" i="67"/>
  <c r="FA16" i="67"/>
  <c r="FA143" i="67"/>
  <c r="FP93" i="67"/>
  <c r="FP32" i="67"/>
  <c r="DW164" i="67"/>
  <c r="EL25" i="67"/>
  <c r="DW151" i="67"/>
  <c r="DW163" i="67"/>
  <c r="DW170" i="67"/>
  <c r="EL21" i="67"/>
  <c r="GE123" i="67"/>
  <c r="DW115" i="67"/>
  <c r="DW70" i="67"/>
  <c r="GE140" i="67"/>
  <c r="GE47" i="67"/>
  <c r="GE172" i="67"/>
  <c r="EL40" i="67"/>
  <c r="DW186" i="67"/>
  <c r="GE33" i="67"/>
  <c r="EL35" i="67"/>
  <c r="DW94" i="67"/>
  <c r="GE184" i="67"/>
  <c r="EL29" i="67"/>
  <c r="DW117" i="67"/>
  <c r="GE64" i="67"/>
  <c r="GE182" i="67"/>
  <c r="DW15" i="67"/>
  <c r="GE81" i="67"/>
  <c r="DW142" i="67"/>
  <c r="EL42" i="67"/>
  <c r="GE104" i="67"/>
  <c r="DW176" i="67"/>
  <c r="GE17" i="67"/>
  <c r="DW83" i="67"/>
  <c r="GE144" i="67"/>
  <c r="EL44" i="67"/>
  <c r="GE106" i="67"/>
  <c r="DW187" i="67"/>
  <c r="DW147" i="67"/>
  <c r="DW78" i="67"/>
  <c r="GE180" i="67"/>
  <c r="EL20" i="67"/>
  <c r="GE54" i="67"/>
  <c r="GE12" i="67"/>
  <c r="FP177" i="67"/>
  <c r="O45" i="11"/>
  <c r="DW159" i="67"/>
  <c r="DW149" i="67"/>
  <c r="DW105" i="67"/>
  <c r="FA132" i="67"/>
  <c r="FP148" i="67"/>
  <c r="FP30" i="67"/>
  <c r="DW113" i="67"/>
  <c r="FP39" i="67"/>
  <c r="FP16" i="67"/>
  <c r="FA84" i="67"/>
  <c r="DW85" i="67"/>
  <c r="GE32" i="67"/>
  <c r="DW25" i="67"/>
  <c r="EL170" i="67"/>
  <c r="DW21" i="67"/>
  <c r="EL115" i="67"/>
  <c r="DW35" i="67"/>
  <c r="EL94" i="67"/>
  <c r="DW29" i="67"/>
  <c r="EL126" i="67"/>
  <c r="EL15" i="67"/>
  <c r="DW42" i="67"/>
  <c r="EL176" i="67"/>
  <c r="EL83" i="67"/>
  <c r="DW44" i="67"/>
  <c r="EL187" i="67"/>
  <c r="EL78" i="67"/>
  <c r="EL61" i="67"/>
  <c r="EL190" i="67"/>
  <c r="EL191" i="67"/>
  <c r="EL134" i="67"/>
  <c r="DW24" i="67"/>
  <c r="EL112" i="67"/>
  <c r="EL27" i="67"/>
  <c r="EL152" i="67"/>
  <c r="EL114" i="67"/>
  <c r="EL125" i="67"/>
  <c r="DW99" i="67"/>
  <c r="DW154" i="67"/>
  <c r="GE31" i="67"/>
  <c r="GE157" i="67"/>
  <c r="GE58" i="67"/>
  <c r="DW120" i="67"/>
  <c r="GE177" i="67"/>
  <c r="P45" i="11"/>
  <c r="GE97" i="67"/>
  <c r="GE60" i="67"/>
  <c r="DW122" i="67"/>
  <c r="GE87" i="67"/>
  <c r="DW107" i="67"/>
  <c r="DW189" i="67"/>
  <c r="DW146" i="67"/>
  <c r="L47" i="11"/>
  <c r="GE37" i="67"/>
  <c r="GE88" i="67"/>
  <c r="GE175" i="67"/>
  <c r="GE66" i="67"/>
  <c r="GE68" i="67"/>
  <c r="GE185" i="67"/>
  <c r="DW86" i="67"/>
  <c r="DW179" i="67"/>
  <c r="GE136" i="67"/>
  <c r="GE9" i="67"/>
  <c r="GE77" i="67"/>
  <c r="DW62" i="67"/>
  <c r="GE132" i="67"/>
  <c r="DW41" i="67"/>
  <c r="GE128" i="67"/>
  <c r="GE43" i="67"/>
  <c r="GE130" i="67"/>
  <c r="L46" i="11"/>
  <c r="GE69" i="67"/>
  <c r="DW116" i="67"/>
  <c r="DW124" i="67"/>
  <c r="DW74" i="67"/>
  <c r="GE51" i="67"/>
  <c r="DW155" i="67"/>
  <c r="DW101" i="67"/>
  <c r="GE148" i="67"/>
  <c r="DW109" i="67"/>
  <c r="EL18" i="67"/>
  <c r="GE30" i="67"/>
  <c r="DW49" i="67"/>
  <c r="EL46" i="67"/>
  <c r="GE63" i="67"/>
  <c r="DW162" i="67"/>
  <c r="GE99" i="67"/>
  <c r="EL38" i="67"/>
  <c r="DW92" i="67"/>
  <c r="EL26" i="67"/>
  <c r="GE39" i="67"/>
  <c r="GE167" i="67"/>
  <c r="DW174" i="67"/>
  <c r="GE16" i="67"/>
  <c r="DW82" i="67"/>
  <c r="DW19" i="67"/>
  <c r="GE93" i="67"/>
  <c r="GE8" i="67"/>
  <c r="EL85" i="67"/>
  <c r="EL127" i="67"/>
  <c r="FA170" i="67"/>
  <c r="FP115" i="67"/>
  <c r="EL73" i="67"/>
  <c r="FA117" i="67"/>
  <c r="FA126" i="67"/>
  <c r="FA176" i="67"/>
  <c r="FP83" i="67"/>
  <c r="FA20" i="67"/>
  <c r="FA134" i="67"/>
  <c r="FA24" i="67"/>
  <c r="FA125" i="67"/>
  <c r="DW130" i="67"/>
  <c r="GE38" i="67"/>
  <c r="GE26" i="67"/>
  <c r="EL80" i="67"/>
  <c r="EL96" i="67"/>
  <c r="EL120" i="67"/>
  <c r="EL159" i="67"/>
  <c r="EL122" i="67"/>
  <c r="EL107" i="67"/>
  <c r="EL189" i="67"/>
  <c r="EL146" i="67"/>
  <c r="DW10" i="67"/>
  <c r="EL86" i="67"/>
  <c r="EL179" i="67"/>
  <c r="EL192" i="67"/>
  <c r="EL76" i="67"/>
  <c r="EL62" i="67"/>
  <c r="EL171" i="67"/>
  <c r="FP116" i="67"/>
  <c r="EL124" i="67"/>
  <c r="EL111" i="67"/>
  <c r="EL155" i="67"/>
  <c r="EL101" i="67"/>
  <c r="EL109" i="67"/>
  <c r="DW18" i="67"/>
  <c r="EL95" i="67"/>
  <c r="EL188" i="67"/>
  <c r="EL162" i="67"/>
  <c r="EL71" i="67"/>
  <c r="DW38" i="67"/>
  <c r="EL92" i="67"/>
  <c r="DW26" i="67"/>
  <c r="EL102" i="67"/>
  <c r="EL174" i="67"/>
  <c r="EL82" i="67"/>
  <c r="EL121" i="67"/>
  <c r="EL19" i="67"/>
  <c r="EL145" i="67"/>
  <c r="EL45" i="67"/>
  <c r="FP85" i="67"/>
  <c r="FP25" i="67"/>
  <c r="FP163" i="67"/>
  <c r="FP170" i="67"/>
  <c r="FP21" i="67"/>
  <c r="FA115" i="67"/>
  <c r="FA114" i="67"/>
  <c r="DW148" i="67"/>
  <c r="GE19" i="67"/>
  <c r="DW93" i="67"/>
  <c r="FP80" i="67"/>
  <c r="FP122" i="67"/>
  <c r="FP107" i="67"/>
  <c r="FA146" i="67"/>
  <c r="FA10" i="67"/>
  <c r="FA86" i="67"/>
  <c r="FA41" i="67"/>
  <c r="EL116" i="67"/>
  <c r="FP124" i="67"/>
  <c r="FA101" i="67"/>
  <c r="FA18" i="67"/>
  <c r="FA95" i="67"/>
  <c r="FA49" i="67"/>
  <c r="FA113" i="67"/>
  <c r="FP92" i="67"/>
  <c r="EL57" i="67"/>
  <c r="EL16" i="67"/>
  <c r="FA85" i="67"/>
  <c r="GE25" i="67"/>
  <c r="EL28" i="67"/>
  <c r="GE163" i="67"/>
  <c r="GE170" i="67"/>
  <c r="DW181" i="67"/>
  <c r="GE21" i="67"/>
  <c r="DW161" i="67"/>
  <c r="DW123" i="67"/>
  <c r="GE115" i="67"/>
  <c r="DW156" i="67"/>
  <c r="DW61" i="67"/>
  <c r="DW190" i="67"/>
  <c r="GE100" i="67"/>
  <c r="DW191" i="67"/>
  <c r="DW55" i="67"/>
  <c r="GE72" i="67"/>
  <c r="EL24" i="67"/>
  <c r="GE150" i="67"/>
  <c r="GE50" i="67"/>
  <c r="DW112" i="67"/>
  <c r="GE168" i="67"/>
  <c r="DW27" i="67"/>
  <c r="GE90" i="67"/>
  <c r="GE52" i="67"/>
  <c r="DW114" i="67"/>
  <c r="GE169" i="67"/>
  <c r="DW125" i="67"/>
  <c r="GE166" i="67"/>
  <c r="FP114" i="67"/>
  <c r="FP70" i="67"/>
  <c r="FP40" i="67"/>
  <c r="DW173" i="67"/>
  <c r="DW137" i="67"/>
  <c r="FP35" i="67"/>
  <c r="FP94" i="67"/>
  <c r="FP29" i="67"/>
  <c r="FP117" i="67"/>
  <c r="FP126" i="67"/>
  <c r="DW182" i="67"/>
  <c r="FP15" i="67"/>
  <c r="FP142" i="67"/>
  <c r="FP42" i="67"/>
  <c r="FP176" i="67"/>
  <c r="DW144" i="67"/>
  <c r="FP44" i="67"/>
  <c r="FP187" i="67"/>
  <c r="FP11" i="67"/>
  <c r="FP147" i="67"/>
  <c r="FP78" i="67"/>
  <c r="FP20" i="67"/>
  <c r="FP79" i="67"/>
  <c r="FP61" i="67"/>
  <c r="FP190" i="67"/>
  <c r="FP191" i="67"/>
  <c r="FP55" i="67"/>
  <c r="FP134" i="67"/>
  <c r="FP24" i="67"/>
  <c r="FP112" i="67"/>
  <c r="FP27" i="67"/>
  <c r="FP152" i="67"/>
  <c r="FP125" i="67"/>
  <c r="GE70" i="67"/>
  <c r="DW140" i="67"/>
  <c r="EL47" i="67"/>
  <c r="DW172" i="67"/>
  <c r="GE40" i="67"/>
  <c r="DW56" i="67"/>
  <c r="GE118" i="67"/>
  <c r="DW33" i="67"/>
  <c r="GE75" i="67"/>
  <c r="GE35" i="67"/>
  <c r="DW98" i="67"/>
  <c r="GE160" i="67"/>
  <c r="GE94" i="67"/>
  <c r="DW184" i="67"/>
  <c r="GE29" i="67"/>
  <c r="GE117" i="67"/>
  <c r="DW64" i="67"/>
  <c r="GE126" i="67"/>
  <c r="GE15" i="67"/>
  <c r="DW81" i="67"/>
  <c r="GE142" i="67"/>
  <c r="GE42" i="67"/>
  <c r="DW104" i="67"/>
  <c r="GE176" i="67"/>
  <c r="EL17" i="67"/>
  <c r="GE83" i="67"/>
  <c r="GE44" i="67"/>
  <c r="DW106" i="67"/>
  <c r="GE187" i="67"/>
  <c r="GE11" i="67"/>
  <c r="GE131" i="67"/>
  <c r="GE147" i="67"/>
  <c r="GE78" i="67"/>
  <c r="GE53" i="67"/>
  <c r="DW180" i="67"/>
  <c r="GE20" i="67"/>
  <c r="DW54" i="67"/>
  <c r="GE79" i="67"/>
  <c r="DW108" i="67"/>
  <c r="EL12" i="67"/>
  <c r="GE61" i="67"/>
  <c r="GE190" i="67"/>
  <c r="DW100" i="67"/>
  <c r="GE191" i="67"/>
  <c r="GE55" i="67"/>
  <c r="DW72" i="67"/>
  <c r="GE134" i="67"/>
  <c r="GE24" i="67"/>
  <c r="DW150" i="67"/>
  <c r="EL50" i="67"/>
  <c r="GE112" i="67"/>
  <c r="DW168" i="67"/>
  <c r="GE27" i="67"/>
  <c r="DW90" i="67"/>
  <c r="GE152" i="67"/>
  <c r="DW52" i="67"/>
  <c r="GE114" i="67"/>
  <c r="DW169" i="67"/>
  <c r="GE125" i="67"/>
  <c r="DW166" i="67"/>
  <c r="EL140" i="67"/>
  <c r="DW47" i="67"/>
  <c r="EL172" i="67"/>
  <c r="EL56" i="67"/>
  <c r="EL173" i="67"/>
  <c r="EL33" i="67"/>
  <c r="EL137" i="67"/>
  <c r="EL98" i="67"/>
  <c r="EL184" i="67"/>
  <c r="EL64" i="67"/>
  <c r="EL182" i="67"/>
  <c r="EL81" i="67"/>
  <c r="EL104" i="67"/>
  <c r="DW17" i="67"/>
  <c r="EL144" i="67"/>
  <c r="EL106" i="67"/>
  <c r="EL180" i="67"/>
  <c r="EL54" i="67"/>
  <c r="EL108" i="67"/>
  <c r="DW12" i="67"/>
  <c r="EL100" i="67"/>
  <c r="EL72" i="67"/>
  <c r="EL150" i="67"/>
  <c r="DW50" i="67"/>
  <c r="EL168" i="67"/>
  <c r="EL90" i="67"/>
  <c r="EL52" i="67"/>
  <c r="EL169" i="67"/>
  <c r="EL166" i="67"/>
  <c r="FA180" i="67"/>
  <c r="FP137" i="67"/>
  <c r="FP81" i="67"/>
  <c r="FP106" i="67"/>
  <c r="FP100" i="67"/>
  <c r="FP140" i="67"/>
  <c r="FP47" i="67"/>
  <c r="FP172" i="67"/>
  <c r="FP33" i="67"/>
  <c r="FP184" i="67"/>
  <c r="FP64" i="67"/>
  <c r="DW126" i="67"/>
  <c r="FP182" i="67"/>
  <c r="FP104" i="67"/>
  <c r="FP17" i="67"/>
  <c r="FP144" i="67"/>
  <c r="FP180" i="67"/>
  <c r="FP54" i="67"/>
  <c r="FP12" i="67"/>
  <c r="FP72" i="67"/>
  <c r="DW134" i="67"/>
  <c r="FP150" i="67"/>
  <c r="FP50" i="67"/>
  <c r="FP168" i="67"/>
  <c r="FP90" i="67"/>
  <c r="DW152" i="67"/>
  <c r="FP52" i="67"/>
  <c r="FP169" i="67"/>
  <c r="FP166" i="67"/>
  <c r="FA178" i="67"/>
  <c r="DH146" i="67"/>
  <c r="DH124" i="67"/>
  <c r="DH109" i="67"/>
  <c r="DH18" i="67"/>
  <c r="DH92" i="67"/>
  <c r="J46" i="11"/>
  <c r="DH86" i="67"/>
  <c r="J47" i="11"/>
  <c r="DH85" i="67"/>
  <c r="DH126" i="67"/>
  <c r="DH134" i="67"/>
  <c r="DH152" i="67"/>
  <c r="DH10" i="67"/>
  <c r="DH183" i="67"/>
  <c r="DH179" i="67"/>
  <c r="DH116" i="67"/>
  <c r="DH111" i="67"/>
  <c r="DH155" i="67"/>
  <c r="DH101" i="67"/>
  <c r="DH38" i="67"/>
  <c r="DH26" i="67"/>
  <c r="DH19" i="67"/>
  <c r="DH159" i="67"/>
  <c r="DH149" i="67"/>
  <c r="DH105" i="67"/>
  <c r="DH192" i="67"/>
  <c r="DH95" i="67"/>
  <c r="DH113" i="67"/>
  <c r="DH102" i="67"/>
  <c r="DH64" i="67"/>
  <c r="DH17" i="67"/>
  <c r="DH54" i="67"/>
  <c r="DH12" i="67"/>
  <c r="DH72" i="67"/>
  <c r="DH50" i="67"/>
  <c r="DH90" i="67"/>
  <c r="DH52" i="67"/>
  <c r="DH161" i="67"/>
  <c r="DH123" i="67"/>
  <c r="DH140" i="67"/>
  <c r="DH47" i="67"/>
  <c r="DH172" i="67"/>
  <c r="DH33" i="67"/>
  <c r="DH184" i="67"/>
  <c r="DH81" i="67"/>
  <c r="DH104" i="67"/>
  <c r="DH106" i="67"/>
  <c r="DH180" i="67"/>
  <c r="DH108" i="67"/>
  <c r="DH100" i="67"/>
  <c r="DH150" i="67"/>
  <c r="DH168" i="67"/>
  <c r="DH169" i="67"/>
  <c r="DH166" i="67"/>
  <c r="DH96" i="67"/>
  <c r="DH58" i="67"/>
  <c r="DH60" i="67"/>
  <c r="DH87" i="67"/>
  <c r="DH66" i="67"/>
  <c r="DH68" i="67"/>
  <c r="K45" i="11"/>
  <c r="DH9" i="67"/>
  <c r="DH69" i="67"/>
  <c r="DH51" i="67"/>
  <c r="DH63" i="67"/>
  <c r="DH8" i="67"/>
  <c r="DH32" i="67"/>
  <c r="DH182" i="67"/>
  <c r="DH144" i="67"/>
  <c r="DH31" i="67"/>
  <c r="DH157" i="67"/>
  <c r="DH37" i="67"/>
  <c r="DH88" i="67"/>
  <c r="DH175" i="67"/>
  <c r="DH185" i="67"/>
  <c r="DH136" i="67"/>
  <c r="DH77" i="67"/>
  <c r="DH128" i="67"/>
  <c r="DH43" i="67"/>
  <c r="DH130" i="67"/>
  <c r="DH148" i="67"/>
  <c r="DH30" i="67"/>
  <c r="DH99" i="67"/>
  <c r="DH39" i="67"/>
  <c r="DH16" i="67"/>
  <c r="DH93" i="67"/>
  <c r="DH141" i="67"/>
  <c r="DH97" i="67"/>
  <c r="DH70" i="67"/>
  <c r="DH15" i="67"/>
  <c r="DH83" i="67"/>
  <c r="DH11" i="67"/>
  <c r="DH78" i="67"/>
  <c r="DH53" i="67"/>
  <c r="DH79" i="67"/>
  <c r="DH61" i="67"/>
  <c r="DH55" i="67"/>
  <c r="DH25" i="67"/>
  <c r="DH163" i="67"/>
  <c r="DH170" i="67"/>
  <c r="DH21" i="67"/>
  <c r="DH115" i="67"/>
  <c r="DH40" i="67"/>
  <c r="DH186" i="67"/>
  <c r="DH35" i="67"/>
  <c r="DH94" i="67"/>
  <c r="DH29" i="67"/>
  <c r="DH117" i="67"/>
  <c r="DH142" i="67"/>
  <c r="DH42" i="67"/>
  <c r="DH176" i="67"/>
  <c r="DH44" i="67"/>
  <c r="DH187" i="67"/>
  <c r="DH131" i="67"/>
  <c r="DH147" i="67"/>
  <c r="DH20" i="67"/>
  <c r="DH190" i="67"/>
  <c r="DH191" i="67"/>
  <c r="DH24" i="67"/>
  <c r="DH112" i="67"/>
  <c r="DH27" i="67"/>
  <c r="DH114" i="67"/>
  <c r="DH125" i="67"/>
  <c r="J45" i="11"/>
  <c r="G45" i="11"/>
  <c r="F47" i="11"/>
  <c r="F46" i="11"/>
  <c r="F45" i="11"/>
  <c r="H47" i="11"/>
  <c r="G46" i="11"/>
  <c r="G47" i="11"/>
  <c r="H46" i="11"/>
  <c r="I47" i="11"/>
  <c r="E47" i="11"/>
  <c r="I46" i="11"/>
  <c r="E46" i="11"/>
  <c r="Z118" i="67"/>
  <c r="Z108" i="67"/>
  <c r="BW8" i="61"/>
  <c r="BW208" i="61" s="1"/>
  <c r="Z13" i="67"/>
  <c r="BP204" i="67"/>
  <c r="H45" i="11"/>
  <c r="AN77" i="67"/>
  <c r="BP188" i="67"/>
  <c r="CD62" i="67"/>
  <c r="AN156" i="67"/>
  <c r="BP14" i="67"/>
  <c r="AN154" i="67"/>
  <c r="Z62" i="67"/>
  <c r="Z52" i="67"/>
  <c r="BB36" i="67"/>
  <c r="BB62" i="67"/>
  <c r="BP34" i="67"/>
  <c r="BP107" i="67"/>
  <c r="CD107" i="67"/>
  <c r="CN208" i="67"/>
  <c r="CO208" i="67"/>
  <c r="CE208" i="67"/>
  <c r="CD149" i="67"/>
  <c r="AN136" i="67"/>
  <c r="BP121" i="67"/>
  <c r="BP145" i="67"/>
  <c r="GR25" i="67"/>
  <c r="AK25" i="71" s="1"/>
  <c r="GR86" i="67"/>
  <c r="AK88" i="71" s="1"/>
  <c r="GR32" i="67"/>
  <c r="AK34" i="71" s="1"/>
  <c r="GR196" i="67"/>
  <c r="AK162" i="71" s="1"/>
  <c r="GQ57" i="67"/>
  <c r="AN59" i="71" s="1"/>
  <c r="GR111" i="67"/>
  <c r="AK115" i="71" s="1"/>
  <c r="AN62" i="67"/>
  <c r="GQ174" i="67"/>
  <c r="AN187" i="71" s="1"/>
  <c r="GQ82" i="67"/>
  <c r="AN84" i="71" s="1"/>
  <c r="GR12" i="67"/>
  <c r="AK12" i="71" s="1"/>
  <c r="CD102" i="67"/>
  <c r="BP174" i="67"/>
  <c r="CD164" i="67"/>
  <c r="CD67" i="67"/>
  <c r="CD91" i="67"/>
  <c r="Z175" i="67"/>
  <c r="GQ102" i="67"/>
  <c r="AN106" i="71" s="1"/>
  <c r="Z38" i="67"/>
  <c r="AN89" i="67"/>
  <c r="AN129" i="67"/>
  <c r="AN153" i="67"/>
  <c r="AN181" i="67"/>
  <c r="AN188" i="67"/>
  <c r="GR136" i="67"/>
  <c r="AK140" i="71" s="1"/>
  <c r="GQ121" i="67"/>
  <c r="AN125" i="71" s="1"/>
  <c r="GR51" i="67"/>
  <c r="AK53" i="71" s="1"/>
  <c r="GR192" i="67"/>
  <c r="AK181" i="71" s="1"/>
  <c r="GQ22" i="67"/>
  <c r="AN22" i="71" s="1"/>
  <c r="GQ145" i="67"/>
  <c r="AN150" i="71" s="1"/>
  <c r="GR76" i="67"/>
  <c r="AK78" i="71" s="1"/>
  <c r="GR188" i="67"/>
  <c r="AK206" i="71" s="1"/>
  <c r="GR115" i="67"/>
  <c r="AK119" i="71" s="1"/>
  <c r="GQ161" i="67"/>
  <c r="AN167" i="71" s="1"/>
  <c r="GQ45" i="67"/>
  <c r="AN47" i="71" s="1"/>
  <c r="GQ189" i="67"/>
  <c r="AN207" i="71" s="1"/>
  <c r="GQ46" i="67"/>
  <c r="AN48" i="71" s="1"/>
  <c r="GR45" i="67"/>
  <c r="AK47" i="71" s="1"/>
  <c r="GR15" i="67"/>
  <c r="AK15" i="71" s="1"/>
  <c r="GQ180" i="67"/>
  <c r="AN192" i="71" s="1"/>
  <c r="GR40" i="67"/>
  <c r="AK42" i="71" s="1"/>
  <c r="GR167" i="67"/>
  <c r="AK170" i="71" s="1"/>
  <c r="GR119" i="67"/>
  <c r="AK123" i="71" s="1"/>
  <c r="GQ89" i="67"/>
  <c r="AN92" i="71" s="1"/>
  <c r="GR20" i="67"/>
  <c r="AK20" i="71" s="1"/>
  <c r="GR143" i="67"/>
  <c r="AK148" i="71" s="1"/>
  <c r="GQ67" i="67"/>
  <c r="AN69" i="71" s="1"/>
  <c r="GQ199" i="67"/>
  <c r="AN197" i="71" s="1"/>
  <c r="GR121" i="67"/>
  <c r="AK125" i="71" s="1"/>
  <c r="GQ91" i="67"/>
  <c r="AN94" i="71" s="1"/>
  <c r="GR22" i="67"/>
  <c r="AK22" i="71" s="1"/>
  <c r="GR145" i="67"/>
  <c r="AK150" i="71" s="1"/>
  <c r="GR161" i="67"/>
  <c r="AK167" i="71" s="1"/>
  <c r="GR79" i="67"/>
  <c r="AK81" i="71" s="1"/>
  <c r="GR139" i="67"/>
  <c r="AK143" i="71" s="1"/>
  <c r="GR124" i="67"/>
  <c r="AK128" i="71" s="1"/>
  <c r="GR48" i="67"/>
  <c r="AK50" i="71" s="1"/>
  <c r="GR164" i="67"/>
  <c r="AK178" i="71" s="1"/>
  <c r="GQ11" i="67"/>
  <c r="AN11" i="71" s="1"/>
  <c r="GR65" i="67"/>
  <c r="AK67" i="71" s="1"/>
  <c r="GR193" i="67"/>
  <c r="AK195" i="71" s="1"/>
  <c r="GR89" i="67"/>
  <c r="AK92" i="71" s="1"/>
  <c r="GR129" i="67"/>
  <c r="AK133" i="71" s="1"/>
  <c r="GR153" i="67"/>
  <c r="AK158" i="71" s="1"/>
  <c r="GR78" i="67"/>
  <c r="AK80" i="71" s="1"/>
  <c r="GR101" i="67"/>
  <c r="AK105" i="71" s="1"/>
  <c r="GR17" i="67"/>
  <c r="AK17" i="71" s="1"/>
  <c r="GR131" i="67"/>
  <c r="AK135" i="71" s="1"/>
  <c r="GR181" i="67"/>
  <c r="AK193" i="71" s="1"/>
  <c r="GQ53" i="67"/>
  <c r="AN55" i="71" s="1"/>
  <c r="GQ30" i="67"/>
  <c r="AN32" i="71" s="1"/>
  <c r="GR85" i="67"/>
  <c r="AK87" i="71" s="1"/>
  <c r="GR173" i="67"/>
  <c r="AK186" i="71" s="1"/>
  <c r="GQ19" i="67"/>
  <c r="AN19" i="71" s="1"/>
  <c r="GR73" i="67"/>
  <c r="AK75" i="71" s="1"/>
  <c r="GQ125" i="67"/>
  <c r="AN129" i="71" s="1"/>
  <c r="GR186" i="67"/>
  <c r="AK203" i="71" s="1"/>
  <c r="GQ124" i="67"/>
  <c r="AN128" i="71" s="1"/>
  <c r="GQ148" i="67"/>
  <c r="AN153" i="71" s="1"/>
  <c r="GQ80" i="67"/>
  <c r="AN82" i="71" s="1"/>
  <c r="GQ65" i="67"/>
  <c r="AN67" i="71" s="1"/>
  <c r="GQ193" i="67"/>
  <c r="AN195" i="71" s="1"/>
  <c r="GR194" i="67"/>
  <c r="AK100" i="71" s="1"/>
  <c r="GQ52" i="67"/>
  <c r="AN54" i="71" s="1"/>
  <c r="GQ61" i="67"/>
  <c r="AN63" i="71" s="1"/>
  <c r="GR150" i="67"/>
  <c r="AK155" i="71" s="1"/>
  <c r="GR99" i="67"/>
  <c r="AK103" i="71" s="1"/>
  <c r="GR177" i="67"/>
  <c r="AK188" i="71" s="1"/>
  <c r="GR107" i="67"/>
  <c r="AK111" i="71" s="1"/>
  <c r="GR148" i="67"/>
  <c r="AK153" i="71" s="1"/>
  <c r="GR77" i="67"/>
  <c r="AK79" i="71" s="1"/>
  <c r="GQ33" i="67"/>
  <c r="AN35" i="71" s="1"/>
  <c r="GR207" i="67"/>
  <c r="AK91" i="71" s="1"/>
  <c r="GQ58" i="67"/>
  <c r="AN60" i="71" s="1"/>
  <c r="GR112" i="67"/>
  <c r="AK116" i="71" s="1"/>
  <c r="GN198" i="67"/>
  <c r="GR90" i="67"/>
  <c r="AK93" i="71" s="1"/>
  <c r="GR169" i="67"/>
  <c r="AK182" i="71" s="1"/>
  <c r="GQ55" i="67"/>
  <c r="AN57" i="71" s="1"/>
  <c r="GQ155" i="67"/>
  <c r="AN160" i="71" s="1"/>
  <c r="BP111" i="67"/>
  <c r="GR58" i="67"/>
  <c r="AK60" i="71" s="1"/>
  <c r="GR97" i="67"/>
  <c r="AK101" i="71" s="1"/>
  <c r="GQ37" i="67"/>
  <c r="AN39" i="71" s="1"/>
  <c r="GR63" i="67"/>
  <c r="AK65" i="71" s="1"/>
  <c r="GR54" i="67"/>
  <c r="AK56" i="71" s="1"/>
  <c r="GQ26" i="67"/>
  <c r="AN26" i="71" s="1"/>
  <c r="GR80" i="67"/>
  <c r="AK82" i="71" s="1"/>
  <c r="GR96" i="67"/>
  <c r="AK99" i="71" s="1"/>
  <c r="GR197" i="67"/>
  <c r="AK190" i="71" s="1"/>
  <c r="GR191" i="67"/>
  <c r="AK177" i="71" s="1"/>
  <c r="GR46" i="67"/>
  <c r="AK48" i="71" s="1"/>
  <c r="GR31" i="67"/>
  <c r="AK33" i="71" s="1"/>
  <c r="GQ32" i="67"/>
  <c r="AN34" i="71" s="1"/>
  <c r="GR88" i="67"/>
  <c r="AK90" i="71" s="1"/>
  <c r="GR41" i="67"/>
  <c r="AK43" i="71" s="1"/>
  <c r="GR175" i="67"/>
  <c r="AK171" i="71" s="1"/>
  <c r="GR183" i="67"/>
  <c r="AK196" i="71" s="1"/>
  <c r="GQ51" i="67"/>
  <c r="AN53" i="71" s="1"/>
  <c r="GR105" i="67"/>
  <c r="AK109" i="71" s="1"/>
  <c r="GR130" i="67"/>
  <c r="AK134" i="71" s="1"/>
  <c r="GR133" i="67"/>
  <c r="AK137" i="71" s="1"/>
  <c r="GQ63" i="67"/>
  <c r="AN65" i="71" s="1"/>
  <c r="GR142" i="67"/>
  <c r="AK147" i="71" s="1"/>
  <c r="GR21" i="67"/>
  <c r="AK21" i="71" s="1"/>
  <c r="GR152" i="67"/>
  <c r="AK157" i="71" s="1"/>
  <c r="GR125" i="67"/>
  <c r="AK129" i="71" s="1"/>
  <c r="GR126" i="67"/>
  <c r="AK130" i="71" s="1"/>
  <c r="GR106" i="67"/>
  <c r="AK110" i="71" s="1"/>
  <c r="GR147" i="67"/>
  <c r="AK152" i="71" s="1"/>
  <c r="GR52" i="67"/>
  <c r="AK54" i="71" s="1"/>
  <c r="GR134" i="67"/>
  <c r="AK138" i="71" s="1"/>
  <c r="GR104" i="67"/>
  <c r="AK108" i="71" s="1"/>
  <c r="GR61" i="67"/>
  <c r="AK63" i="71" s="1"/>
  <c r="GR87" i="67"/>
  <c r="AK89" i="71" s="1"/>
  <c r="GR72" i="67"/>
  <c r="AK74" i="71" s="1"/>
  <c r="BP192" i="67"/>
  <c r="BP76" i="67"/>
  <c r="BP193" i="67"/>
  <c r="GR19" i="67"/>
  <c r="AK19" i="71" s="1"/>
  <c r="GR144" i="67"/>
  <c r="AK149" i="71" s="1"/>
  <c r="GR185" i="67"/>
  <c r="AK201" i="71" s="1"/>
  <c r="GR179" i="67"/>
  <c r="AK191" i="71" s="1"/>
  <c r="GR50" i="67"/>
  <c r="AK52" i="71" s="1"/>
  <c r="GR123" i="67"/>
  <c r="AK127" i="71" s="1"/>
  <c r="BP136" i="67"/>
  <c r="GR39" i="67"/>
  <c r="AK41" i="71" s="1"/>
  <c r="GQ50" i="67"/>
  <c r="AN52" i="71" s="1"/>
  <c r="GR47" i="67"/>
  <c r="AK49" i="71" s="1"/>
  <c r="GQ9" i="67"/>
  <c r="AN9" i="71" s="1"/>
  <c r="GQ60" i="67"/>
  <c r="AN62" i="71" s="1"/>
  <c r="GR205" i="67"/>
  <c r="AK31" i="71" s="1"/>
  <c r="GR109" i="67"/>
  <c r="AK113" i="71" s="1"/>
  <c r="GQ135" i="67"/>
  <c r="AN139" i="71" s="1"/>
  <c r="GQ34" i="67"/>
  <c r="AN36" i="71" s="1"/>
  <c r="GQ158" i="67"/>
  <c r="AN164" i="71" s="1"/>
  <c r="GQ75" i="67"/>
  <c r="AN77" i="71" s="1"/>
  <c r="GQ206" i="67"/>
  <c r="AN205" i="71" s="1"/>
  <c r="GQ98" i="67"/>
  <c r="AN102" i="71" s="1"/>
  <c r="GR204" i="67"/>
  <c r="AK30" i="71" s="1"/>
  <c r="GQ201" i="67"/>
  <c r="AN199" i="71" s="1"/>
  <c r="GQ139" i="67"/>
  <c r="AN143" i="71" s="1"/>
  <c r="GQ123" i="67"/>
  <c r="AN127" i="71" s="1"/>
  <c r="GQ146" i="67"/>
  <c r="AN151" i="71" s="1"/>
  <c r="GR56" i="67"/>
  <c r="AK58" i="71" s="1"/>
  <c r="GQ142" i="67"/>
  <c r="AN147" i="71" s="1"/>
  <c r="GQ42" i="67"/>
  <c r="AN44" i="71" s="1"/>
  <c r="GQ176" i="67"/>
  <c r="AN172" i="71" s="1"/>
  <c r="GQ83" i="67"/>
  <c r="AN85" i="71" s="1"/>
  <c r="GR13" i="67"/>
  <c r="AK13" i="71" s="1"/>
  <c r="GQ106" i="67"/>
  <c r="AN110" i="71" s="1"/>
  <c r="GQ190" i="67"/>
  <c r="AN175" i="71" s="1"/>
  <c r="BP22" i="67"/>
  <c r="BP89" i="67"/>
  <c r="GR137" i="67"/>
  <c r="AK141" i="71" s="1"/>
  <c r="GR36" i="67"/>
  <c r="AK38" i="71" s="1"/>
  <c r="GR160" i="67"/>
  <c r="AK166" i="71" s="1"/>
  <c r="GQ79" i="67"/>
  <c r="AN81" i="71" s="1"/>
  <c r="GQ133" i="67"/>
  <c r="AN137" i="71" s="1"/>
  <c r="GQ202" i="67"/>
  <c r="AN202" i="71" s="1"/>
  <c r="GQ110" i="67"/>
  <c r="AN114" i="71" s="1"/>
  <c r="GR70" i="67"/>
  <c r="AK72" i="71" s="1"/>
  <c r="GQ72" i="67"/>
  <c r="AN74" i="71" s="1"/>
  <c r="GQ87" i="67"/>
  <c r="AN89" i="71" s="1"/>
  <c r="GQ140" i="67"/>
  <c r="AN144" i="71" s="1"/>
  <c r="GQ149" i="67"/>
  <c r="AN154" i="71" s="1"/>
  <c r="GQ103" i="67"/>
  <c r="AN107" i="71" s="1"/>
  <c r="GQ128" i="67"/>
  <c r="AN132" i="71" s="1"/>
  <c r="GQ196" i="67"/>
  <c r="AN162" i="71" s="1"/>
  <c r="GQ111" i="67"/>
  <c r="AN115" i="71" s="1"/>
  <c r="GQ136" i="67"/>
  <c r="AN140" i="71" s="1"/>
  <c r="GR66" i="67"/>
  <c r="AK68" i="71" s="1"/>
  <c r="GQ192" i="67"/>
  <c r="AN181" i="71" s="1"/>
  <c r="GQ76" i="67"/>
  <c r="AN78" i="71" s="1"/>
  <c r="GQ188" i="67"/>
  <c r="AN206" i="71" s="1"/>
  <c r="GQ25" i="67"/>
  <c r="AN25" i="71" s="1"/>
  <c r="GQ172" i="67"/>
  <c r="AN185" i="71" s="1"/>
  <c r="GQ163" i="67"/>
  <c r="AN176" i="71" s="1"/>
  <c r="GQ77" i="67"/>
  <c r="AN79" i="71" s="1"/>
  <c r="GQ68" i="67"/>
  <c r="AN70" i="71" s="1"/>
  <c r="GQ207" i="67"/>
  <c r="AN91" i="71" s="1"/>
  <c r="GQ168" i="67"/>
  <c r="AN180" i="71" s="1"/>
  <c r="GQ39" i="67"/>
  <c r="AN41" i="71" s="1"/>
  <c r="GR11" i="67"/>
  <c r="AK11" i="71" s="1"/>
  <c r="GR34" i="67"/>
  <c r="AK36" i="71" s="1"/>
  <c r="GQ97" i="67"/>
  <c r="AN101" i="71" s="1"/>
  <c r="GQ90" i="67"/>
  <c r="AN93" i="71" s="1"/>
  <c r="GQ130" i="67"/>
  <c r="AN134" i="71" s="1"/>
  <c r="GQ169" i="67"/>
  <c r="AN182" i="71" s="1"/>
  <c r="GQ69" i="67"/>
  <c r="AN71" i="71" s="1"/>
  <c r="GQ96" i="67"/>
  <c r="AN99" i="71" s="1"/>
  <c r="GQ198" i="67"/>
  <c r="AN173" i="71" s="1"/>
  <c r="GQ118" i="67"/>
  <c r="AN122" i="71" s="1"/>
  <c r="GQ100" i="67"/>
  <c r="AN104" i="71" s="1"/>
  <c r="GQ117" i="67"/>
  <c r="AN121" i="71" s="1"/>
  <c r="GQ126" i="67"/>
  <c r="AN130" i="71" s="1"/>
  <c r="GR23" i="67"/>
  <c r="AK23" i="71" s="1"/>
  <c r="GR201" i="67"/>
  <c r="AK199" i="71" s="1"/>
  <c r="GQ54" i="67"/>
  <c r="AN56" i="71" s="1"/>
  <c r="GQ132" i="67"/>
  <c r="AN136" i="71" s="1"/>
  <c r="GR8" i="67"/>
  <c r="AK8" i="71" s="1"/>
  <c r="GQ115" i="67"/>
  <c r="AN119" i="71" s="1"/>
  <c r="GQ40" i="67"/>
  <c r="AN42" i="71" s="1"/>
  <c r="GQ167" i="67"/>
  <c r="AN170" i="71" s="1"/>
  <c r="GR95" i="67"/>
  <c r="AK98" i="71" s="1"/>
  <c r="GQ119" i="67"/>
  <c r="AN123" i="71" s="1"/>
  <c r="GR49" i="67"/>
  <c r="AK51" i="71" s="1"/>
  <c r="GR165" i="67"/>
  <c r="AK179" i="71" s="1"/>
  <c r="GQ20" i="67"/>
  <c r="AN20" i="71" s="1"/>
  <c r="GQ143" i="67"/>
  <c r="AN148" i="71" s="1"/>
  <c r="GR74" i="67"/>
  <c r="AK76" i="71" s="1"/>
  <c r="GR203" i="67"/>
  <c r="AK204" i="71" s="1"/>
  <c r="GQ59" i="67"/>
  <c r="AN61" i="71" s="1"/>
  <c r="GQ178" i="67"/>
  <c r="AN189" i="71" s="1"/>
  <c r="GR113" i="67"/>
  <c r="AK117" i="71" s="1"/>
  <c r="GQ84" i="67"/>
  <c r="AN86" i="71" s="1"/>
  <c r="GR138" i="67"/>
  <c r="AK142" i="71" s="1"/>
  <c r="GQ195" i="67"/>
  <c r="AN145" i="71" s="1"/>
  <c r="GR195" i="67"/>
  <c r="AK145" i="71" s="1"/>
  <c r="GR132" i="67"/>
  <c r="AK136" i="71" s="1"/>
  <c r="GR163" i="67"/>
  <c r="AK176" i="71" s="1"/>
  <c r="GQ31" i="67"/>
  <c r="AN33" i="71" s="1"/>
  <c r="GR171" i="67"/>
  <c r="AK184" i="71" s="1"/>
  <c r="GR102" i="67"/>
  <c r="AK106" i="71" s="1"/>
  <c r="GR57" i="67"/>
  <c r="AK59" i="71" s="1"/>
  <c r="GR59" i="67"/>
  <c r="AK61" i="71" s="1"/>
  <c r="GR84" i="67"/>
  <c r="AK86" i="71" s="1"/>
  <c r="GQ56" i="67"/>
  <c r="AN58" i="71" s="1"/>
  <c r="GR110" i="67"/>
  <c r="AK114" i="71" s="1"/>
  <c r="GR28" i="67"/>
  <c r="AK28" i="71" s="1"/>
  <c r="GQ13" i="67"/>
  <c r="AN13" i="71" s="1"/>
  <c r="GR190" i="67"/>
  <c r="AK175" i="71" s="1"/>
  <c r="GR135" i="67"/>
  <c r="AK139" i="71" s="1"/>
  <c r="GQ44" i="67"/>
  <c r="AN46" i="71" s="1"/>
  <c r="GR162" i="67"/>
  <c r="AK168" i="71" s="1"/>
  <c r="GR53" i="67"/>
  <c r="AK55" i="71" s="1"/>
  <c r="GR108" i="67"/>
  <c r="AK112" i="71" s="1"/>
  <c r="GR100" i="67"/>
  <c r="AK104" i="71" s="1"/>
  <c r="GR94" i="67"/>
  <c r="AK97" i="71" s="1"/>
  <c r="GQ112" i="67"/>
  <c r="AN116" i="71" s="1"/>
  <c r="GR83" i="67"/>
  <c r="AK85" i="71" s="1"/>
  <c r="GQ114" i="67"/>
  <c r="AN118" i="71" s="1"/>
  <c r="GR187" i="67"/>
  <c r="AK174" i="71" s="1"/>
  <c r="GQ78" i="67"/>
  <c r="AN80" i="71" s="1"/>
  <c r="GQ116" i="67"/>
  <c r="AN120" i="71" s="1"/>
  <c r="GR146" i="67"/>
  <c r="AK151" i="71" s="1"/>
  <c r="GQ24" i="67"/>
  <c r="AN24" i="71" s="1"/>
  <c r="GQ170" i="67"/>
  <c r="AN183" i="71" s="1"/>
  <c r="GQ141" i="67"/>
  <c r="AN146" i="71" s="1"/>
  <c r="GQ120" i="67"/>
  <c r="AN124" i="71" s="1"/>
  <c r="GR168" i="67"/>
  <c r="AK180" i="71" s="1"/>
  <c r="GQ122" i="67"/>
  <c r="AN126" i="71" s="1"/>
  <c r="GR69" i="67"/>
  <c r="AK71" i="71" s="1"/>
  <c r="GR157" i="67"/>
  <c r="AK163" i="71" s="1"/>
  <c r="GQ183" i="67"/>
  <c r="AN196" i="71" s="1"/>
  <c r="GR159" i="67"/>
  <c r="AK165" i="71" s="1"/>
  <c r="GR122" i="67"/>
  <c r="AK126" i="71" s="1"/>
  <c r="GQ179" i="67"/>
  <c r="AN191" i="71" s="1"/>
  <c r="GQ8" i="67"/>
  <c r="AN8" i="71" s="1"/>
  <c r="GQ101" i="67"/>
  <c r="AN105" i="71" s="1"/>
  <c r="GQ154" i="67"/>
  <c r="AN159" i="71" s="1"/>
  <c r="GQ157" i="67"/>
  <c r="AN163" i="71" s="1"/>
  <c r="GQ177" i="67"/>
  <c r="AN188" i="71" s="1"/>
  <c r="GQ159" i="67"/>
  <c r="AN165" i="71" s="1"/>
  <c r="GQ197" i="67"/>
  <c r="AN190" i="71" s="1"/>
  <c r="GQ92" i="67"/>
  <c r="AN95" i="71" s="1"/>
  <c r="GQ94" i="67"/>
  <c r="AN97" i="71" s="1"/>
  <c r="GQ66" i="67"/>
  <c r="AN68" i="71" s="1"/>
  <c r="GQ200" i="67"/>
  <c r="AN198" i="71" s="1"/>
  <c r="GQ70" i="67"/>
  <c r="AN72" i="71" s="1"/>
  <c r="GR117" i="67"/>
  <c r="AK121" i="71" s="1"/>
  <c r="GQ85" i="67"/>
  <c r="AN87" i="71" s="1"/>
  <c r="GQ109" i="67"/>
  <c r="AN113" i="71" s="1"/>
  <c r="GQ88" i="67"/>
  <c r="AN90" i="71" s="1"/>
  <c r="GR18" i="67"/>
  <c r="AK18" i="71" s="1"/>
  <c r="GQ175" i="67"/>
  <c r="AN171" i="71" s="1"/>
  <c r="GR120" i="67"/>
  <c r="AK124" i="71" s="1"/>
  <c r="GQ105" i="67"/>
  <c r="AN109" i="71" s="1"/>
  <c r="GR155" i="67"/>
  <c r="AK160" i="71" s="1"/>
  <c r="GQ147" i="67"/>
  <c r="AN152" i="71" s="1"/>
  <c r="GQ184" i="67"/>
  <c r="AN200" i="71" s="1"/>
  <c r="GQ93" i="67"/>
  <c r="AN96" i="71" s="1"/>
  <c r="GQ47" i="67"/>
  <c r="AN49" i="71" s="1"/>
  <c r="GQ95" i="67"/>
  <c r="AN98" i="71" s="1"/>
  <c r="GQ49" i="67"/>
  <c r="AN51" i="71" s="1"/>
  <c r="GQ165" i="67"/>
  <c r="AN179" i="71" s="1"/>
  <c r="GQ74" i="67"/>
  <c r="AN76" i="71" s="1"/>
  <c r="GQ203" i="67"/>
  <c r="AN204" i="71" s="1"/>
  <c r="GR128" i="67"/>
  <c r="AK132" i="71" s="1"/>
  <c r="GQ113" i="67"/>
  <c r="AN117" i="71" s="1"/>
  <c r="GR198" i="67"/>
  <c r="AK173" i="71" s="1"/>
  <c r="GN84" i="67"/>
  <c r="GQ14" i="67"/>
  <c r="AN14" i="71" s="1"/>
  <c r="GQ138" i="67"/>
  <c r="AN142" i="71" s="1"/>
  <c r="GR68" i="67"/>
  <c r="AK70" i="71" s="1"/>
  <c r="GR200" i="67"/>
  <c r="AK198" i="71" s="1"/>
  <c r="GQ162" i="67"/>
  <c r="AN168" i="71" s="1"/>
  <c r="GR154" i="67"/>
  <c r="AK159" i="71" s="1"/>
  <c r="GR176" i="67"/>
  <c r="AK172" i="71" s="1"/>
  <c r="GQ134" i="67"/>
  <c r="AN138" i="71" s="1"/>
  <c r="GQ150" i="67"/>
  <c r="AN155" i="71" s="1"/>
  <c r="GQ152" i="67"/>
  <c r="AN157" i="71" s="1"/>
  <c r="GN197" i="67"/>
  <c r="GQ86" i="67"/>
  <c r="AN88" i="71" s="1"/>
  <c r="GQ205" i="67"/>
  <c r="AN31" i="71" s="1"/>
  <c r="GR14" i="67"/>
  <c r="AK14" i="71" s="1"/>
  <c r="GR156" i="67"/>
  <c r="AK161" i="71" s="1"/>
  <c r="GQ23" i="67"/>
  <c r="AN23" i="71" s="1"/>
  <c r="GR180" i="67"/>
  <c r="AK192" i="71" s="1"/>
  <c r="GQ48" i="67"/>
  <c r="AN50" i="71" s="1"/>
  <c r="GQ164" i="67"/>
  <c r="AN178" i="71" s="1"/>
  <c r="GQ127" i="67"/>
  <c r="AN131" i="71" s="1"/>
  <c r="GR174" i="67"/>
  <c r="AK187" i="71" s="1"/>
  <c r="GQ28" i="67"/>
  <c r="AN28" i="71" s="1"/>
  <c r="GQ151" i="67"/>
  <c r="AN156" i="71" s="1"/>
  <c r="GR82" i="67"/>
  <c r="AK84" i="71" s="1"/>
  <c r="GQ129" i="67"/>
  <c r="AN133" i="71" s="1"/>
  <c r="GR178" i="67"/>
  <c r="AK189" i="71" s="1"/>
  <c r="GQ204" i="67"/>
  <c r="AN30" i="71" s="1"/>
  <c r="GQ153" i="67"/>
  <c r="AN158" i="71" s="1"/>
  <c r="GR93" i="67"/>
  <c r="AK96" i="71" s="1"/>
  <c r="GQ171" i="67"/>
  <c r="AN184" i="71" s="1"/>
  <c r="GQ166" i="67"/>
  <c r="AN169" i="71" s="1"/>
  <c r="GQ173" i="67"/>
  <c r="AN186" i="71" s="1"/>
  <c r="GQ73" i="67"/>
  <c r="AN75" i="71" s="1"/>
  <c r="GQ186" i="67"/>
  <c r="AN203" i="71" s="1"/>
  <c r="GR127" i="67"/>
  <c r="AK131" i="71" s="1"/>
  <c r="GQ194" i="67"/>
  <c r="AN100" i="71" s="1"/>
  <c r="GR151" i="67"/>
  <c r="AK156" i="71" s="1"/>
  <c r="GQ137" i="67"/>
  <c r="AN141" i="71" s="1"/>
  <c r="GR67" i="67"/>
  <c r="AK69" i="71" s="1"/>
  <c r="GR199" i="67"/>
  <c r="AK197" i="71" s="1"/>
  <c r="GQ36" i="67"/>
  <c r="AN38" i="71" s="1"/>
  <c r="GQ160" i="67"/>
  <c r="AN166" i="71" s="1"/>
  <c r="GR91" i="67"/>
  <c r="AK94" i="71" s="1"/>
  <c r="GR71" i="67"/>
  <c r="AK73" i="71" s="1"/>
  <c r="GR92" i="67"/>
  <c r="AK95" i="71" s="1"/>
  <c r="GQ156" i="67"/>
  <c r="AN161" i="71" s="1"/>
  <c r="GQ181" i="67"/>
  <c r="AN193" i="71" s="1"/>
  <c r="GR24" i="67"/>
  <c r="AK24" i="71" s="1"/>
  <c r="GQ99" i="67"/>
  <c r="AN103" i="71" s="1"/>
  <c r="GQ108" i="67"/>
  <c r="AN112" i="71" s="1"/>
  <c r="GR116" i="67"/>
  <c r="AK120" i="71" s="1"/>
  <c r="GQ64" i="67"/>
  <c r="AN66" i="71" s="1"/>
  <c r="GQ182" i="67"/>
  <c r="AN194" i="71" s="1"/>
  <c r="GR118" i="67"/>
  <c r="AK122" i="71" s="1"/>
  <c r="GQ81" i="67"/>
  <c r="AN83" i="71" s="1"/>
  <c r="GQ104" i="67"/>
  <c r="AN108" i="71" s="1"/>
  <c r="GR158" i="67"/>
  <c r="AK164" i="71" s="1"/>
  <c r="GQ21" i="67"/>
  <c r="AN21" i="71" s="1"/>
  <c r="GQ144" i="67"/>
  <c r="AN149" i="71" s="1"/>
  <c r="GR75" i="67"/>
  <c r="AK77" i="71" s="1"/>
  <c r="GR206" i="67"/>
  <c r="AK205" i="71" s="1"/>
  <c r="GQ187" i="67"/>
  <c r="AN174" i="71" s="1"/>
  <c r="GR98" i="67"/>
  <c r="AK102" i="71" s="1"/>
  <c r="GQ131" i="67"/>
  <c r="AN135" i="71" s="1"/>
  <c r="GQ107" i="67"/>
  <c r="AN111" i="71" s="1"/>
  <c r="GQ10" i="67"/>
  <c r="AN10" i="71" s="1"/>
  <c r="GR140" i="67"/>
  <c r="AK144" i="71" s="1"/>
  <c r="GR172" i="67"/>
  <c r="AK185" i="71" s="1"/>
  <c r="GQ18" i="67"/>
  <c r="AN18" i="71" s="1"/>
  <c r="GR55" i="67"/>
  <c r="AK57" i="71" s="1"/>
  <c r="GR33" i="67"/>
  <c r="AK35" i="71" s="1"/>
  <c r="GR35" i="67"/>
  <c r="AK37" i="71" s="1"/>
  <c r="GQ15" i="67"/>
  <c r="AN15" i="71" s="1"/>
  <c r="GR141" i="67"/>
  <c r="AK146" i="71" s="1"/>
  <c r="GQ41" i="67"/>
  <c r="AN43" i="71" s="1"/>
  <c r="GR60" i="67"/>
  <c r="AK62" i="71" s="1"/>
  <c r="GR189" i="67"/>
  <c r="AK207" i="71" s="1"/>
  <c r="GQ62" i="67"/>
  <c r="AN64" i="71" s="1"/>
  <c r="GR26" i="67"/>
  <c r="AK26" i="71" s="1"/>
  <c r="GR149" i="67"/>
  <c r="AK154" i="71" s="1"/>
  <c r="GR103" i="67"/>
  <c r="AK107" i="71" s="1"/>
  <c r="GR43" i="67"/>
  <c r="AK45" i="71" s="1"/>
  <c r="GQ16" i="67"/>
  <c r="AN16" i="71" s="1"/>
  <c r="GR42" i="67"/>
  <c r="AK44" i="71" s="1"/>
  <c r="GQ29" i="67"/>
  <c r="AN29" i="71" s="1"/>
  <c r="GR30" i="67"/>
  <c r="AK32" i="71" s="1"/>
  <c r="GR202" i="67"/>
  <c r="AK202" i="71" s="1"/>
  <c r="GR27" i="67"/>
  <c r="AK27" i="71" s="1"/>
  <c r="GR37" i="67"/>
  <c r="AK39" i="71" s="1"/>
  <c r="GR166" i="67"/>
  <c r="AK169" i="71" s="1"/>
  <c r="GR62" i="67"/>
  <c r="AK64" i="71" s="1"/>
  <c r="GR64" i="67"/>
  <c r="AK66" i="71" s="1"/>
  <c r="GR182" i="67"/>
  <c r="AK194" i="71" s="1"/>
  <c r="GR44" i="67"/>
  <c r="AK46" i="71" s="1"/>
  <c r="GR114" i="67"/>
  <c r="AK118" i="71" s="1"/>
  <c r="GR170" i="67"/>
  <c r="AK183" i="71" s="1"/>
  <c r="GR184" i="67"/>
  <c r="AK200" i="71" s="1"/>
  <c r="GQ17" i="67"/>
  <c r="AN17" i="71" s="1"/>
  <c r="GR38" i="67"/>
  <c r="AK40" i="71" s="1"/>
  <c r="GQ12" i="67"/>
  <c r="AN12" i="71" s="1"/>
  <c r="GQ38" i="67"/>
  <c r="AN40" i="71" s="1"/>
  <c r="GQ43" i="67"/>
  <c r="AN45" i="71" s="1"/>
  <c r="GN205" i="67"/>
  <c r="GR9" i="67"/>
  <c r="AK9" i="71" s="1"/>
  <c r="GR10" i="67"/>
  <c r="AK10" i="71" s="1"/>
  <c r="GQ35" i="67"/>
  <c r="AN37" i="71" s="1"/>
  <c r="GR29" i="67"/>
  <c r="AK29" i="71" s="1"/>
  <c r="GR16" i="67"/>
  <c r="AK16" i="71" s="1"/>
  <c r="GQ185" i="67"/>
  <c r="AN201" i="71" s="1"/>
  <c r="GQ71" i="67"/>
  <c r="AN73" i="71" s="1"/>
  <c r="BB145" i="67"/>
  <c r="BB46" i="67"/>
  <c r="Z66" i="67"/>
  <c r="AN82" i="67"/>
  <c r="CD159" i="67"/>
  <c r="CD122" i="67"/>
  <c r="Z98" i="67"/>
  <c r="Z143" i="67"/>
  <c r="AN65" i="67"/>
  <c r="AN13" i="67"/>
  <c r="AN58" i="67"/>
  <c r="GN202" i="67"/>
  <c r="AN121" i="67"/>
  <c r="AN145" i="67"/>
  <c r="BP156" i="67"/>
  <c r="AN31" i="67"/>
  <c r="BB23" i="67"/>
  <c r="BP46" i="67"/>
  <c r="BP171" i="67"/>
  <c r="BP71" i="67"/>
  <c r="BB178" i="67"/>
  <c r="GN28" i="67"/>
  <c r="CD156" i="67"/>
  <c r="BP118" i="67"/>
  <c r="BP186" i="67"/>
  <c r="GN51" i="67"/>
  <c r="GN63" i="67"/>
  <c r="BP138" i="67"/>
  <c r="BP59" i="67"/>
  <c r="BP110" i="67"/>
  <c r="AN135" i="67"/>
  <c r="BP74" i="67"/>
  <c r="BP95" i="67"/>
  <c r="BP113" i="67"/>
  <c r="BP57" i="67"/>
  <c r="BP127" i="67"/>
  <c r="BP66" i="67"/>
  <c r="BP122" i="67"/>
  <c r="BP159" i="67"/>
  <c r="BP146" i="67"/>
  <c r="CD77" i="67"/>
  <c r="AN66" i="67"/>
  <c r="AN110" i="67"/>
  <c r="AN193" i="67"/>
  <c r="GN196" i="67"/>
  <c r="GN203" i="67"/>
  <c r="GN172" i="67"/>
  <c r="GN100" i="67"/>
  <c r="GN189" i="67"/>
  <c r="GN136" i="67"/>
  <c r="GN153" i="67"/>
  <c r="GN170" i="67"/>
  <c r="GN57" i="67"/>
  <c r="GN201" i="67"/>
  <c r="GN206" i="67"/>
  <c r="GN142" i="67"/>
  <c r="GG207" i="67"/>
  <c r="W91" i="71" s="1"/>
  <c r="CD165" i="67"/>
  <c r="BP23" i="67"/>
  <c r="BB73" i="67"/>
  <c r="GN200" i="67"/>
  <c r="BP162" i="67"/>
  <c r="BP82" i="67"/>
  <c r="BP167" i="67"/>
  <c r="AN14" i="67"/>
  <c r="BB107" i="67"/>
  <c r="Z42" i="67"/>
  <c r="BP36" i="67"/>
  <c r="AN34" i="67"/>
  <c r="GN195" i="67"/>
  <c r="GN199" i="67"/>
  <c r="CD56" i="67"/>
  <c r="CD173" i="67"/>
  <c r="BP135" i="67"/>
  <c r="BP158" i="67"/>
  <c r="CD137" i="67"/>
  <c r="CD160" i="67"/>
  <c r="Z59" i="67"/>
  <c r="BP45" i="67"/>
  <c r="BB139" i="67"/>
  <c r="CD71" i="67"/>
  <c r="AN41" i="67"/>
  <c r="BP139" i="67"/>
  <c r="BP181" i="67"/>
  <c r="BP53" i="67"/>
  <c r="BB158" i="67"/>
  <c r="AN46" i="67"/>
  <c r="AN45" i="67"/>
  <c r="Z190" i="67"/>
  <c r="Z100" i="67"/>
  <c r="Z135" i="67"/>
  <c r="Z76" i="67"/>
  <c r="Z173" i="67"/>
  <c r="Z131" i="67"/>
  <c r="Z53" i="67"/>
  <c r="BP131" i="67"/>
  <c r="Z37" i="67"/>
  <c r="Z75" i="67"/>
  <c r="BB58" i="67"/>
  <c r="BB37" i="67"/>
  <c r="AN76" i="67"/>
  <c r="BB41" i="67"/>
  <c r="AN51" i="67"/>
  <c r="BB89" i="67"/>
  <c r="AN139" i="67"/>
  <c r="Z132" i="67"/>
  <c r="AN192" i="67"/>
  <c r="BB51" i="67"/>
  <c r="BB119" i="67"/>
  <c r="BB143" i="67"/>
  <c r="BB22" i="67"/>
  <c r="BP65" i="67"/>
  <c r="BP75" i="67"/>
  <c r="BP98" i="67"/>
  <c r="Z45" i="67"/>
  <c r="AN111" i="67"/>
  <c r="BB121" i="67"/>
  <c r="BB45" i="67"/>
  <c r="Z186" i="67"/>
  <c r="Z117" i="67"/>
  <c r="Z133" i="67"/>
  <c r="Z33" i="67"/>
  <c r="Z126" i="67"/>
  <c r="Z49" i="67"/>
  <c r="Z137" i="67"/>
  <c r="GN178" i="67"/>
  <c r="Z180" i="67"/>
  <c r="Z73" i="67"/>
  <c r="Z71" i="67"/>
  <c r="Z12" i="67"/>
  <c r="Z35" i="67"/>
  <c r="Z96" i="67"/>
  <c r="Z194" i="67"/>
  <c r="Z156" i="67"/>
  <c r="Z48" i="67"/>
  <c r="Z43" i="67"/>
  <c r="Z15" i="67"/>
  <c r="Z32" i="67"/>
  <c r="Z162" i="67"/>
  <c r="CD34" i="67"/>
  <c r="AN138" i="67"/>
  <c r="AN119" i="67"/>
  <c r="AN143" i="67"/>
  <c r="BB59" i="67"/>
  <c r="AN84" i="67"/>
  <c r="BB129" i="67"/>
  <c r="AN28" i="67"/>
  <c r="BB153" i="67"/>
  <c r="AN73" i="67"/>
  <c r="AN186" i="67"/>
  <c r="AN194" i="67"/>
  <c r="Z176" i="67"/>
  <c r="Z63" i="67"/>
  <c r="CD31" i="67"/>
  <c r="Z158" i="67"/>
  <c r="Z17" i="67"/>
  <c r="Z170" i="67"/>
  <c r="Z171" i="67"/>
  <c r="Z16" i="67"/>
  <c r="AN36" i="67"/>
  <c r="BB13" i="67"/>
  <c r="AN167" i="67"/>
  <c r="AN178" i="67"/>
  <c r="BB84" i="67"/>
  <c r="Z111" i="67"/>
  <c r="Z147" i="67"/>
  <c r="Z61" i="67"/>
  <c r="Z109" i="67"/>
  <c r="Z81" i="67"/>
  <c r="GR81" i="67"/>
  <c r="AK83" i="71" s="1"/>
  <c r="CD13" i="67"/>
  <c r="AN48" i="67"/>
  <c r="BB164" i="67"/>
  <c r="AN67" i="67"/>
  <c r="AN91" i="67"/>
  <c r="BB56" i="67"/>
  <c r="AN173" i="67"/>
  <c r="BB135" i="67"/>
  <c r="BB137" i="67"/>
  <c r="AN160" i="67"/>
  <c r="Z31" i="67"/>
  <c r="Z152" i="67"/>
  <c r="Z77" i="67"/>
  <c r="CD96" i="67"/>
  <c r="Z27" i="67"/>
  <c r="GQ27" i="67"/>
  <c r="AN27" i="71" s="1"/>
  <c r="CD60" i="67"/>
  <c r="Z191" i="67"/>
  <c r="GQ191" i="67"/>
  <c r="AN177" i="71" s="1"/>
  <c r="Z21" i="67"/>
  <c r="Z20" i="67"/>
  <c r="Z114" i="67"/>
  <c r="Z130" i="67"/>
  <c r="Z11" i="67"/>
  <c r="CD36" i="67"/>
  <c r="BB31" i="67"/>
  <c r="BB34" i="67"/>
  <c r="BB189" i="67"/>
  <c r="AN149" i="67"/>
  <c r="AN132" i="67"/>
  <c r="AN23" i="67"/>
  <c r="CD41" i="67"/>
  <c r="AN171" i="67"/>
  <c r="AN71" i="67"/>
  <c r="BB102" i="67"/>
  <c r="BB57" i="67"/>
  <c r="AN174" i="67"/>
  <c r="AN164" i="67"/>
  <c r="AN127" i="67"/>
  <c r="AN151" i="67"/>
  <c r="BB173" i="67"/>
  <c r="AN137" i="67"/>
  <c r="BB160" i="67"/>
  <c r="AN108" i="67"/>
  <c r="Z179" i="67"/>
  <c r="Z150" i="67"/>
  <c r="Z47" i="67"/>
  <c r="Z112" i="67"/>
  <c r="CD87" i="67"/>
  <c r="CD88" i="67"/>
  <c r="CD68" i="67"/>
  <c r="GN204" i="67"/>
  <c r="Z56" i="67"/>
  <c r="Z160" i="67"/>
  <c r="Z184" i="67"/>
  <c r="Z79" i="67"/>
  <c r="Z189" i="67"/>
  <c r="Z181" i="67"/>
  <c r="BB14" i="67"/>
  <c r="AN107" i="67"/>
  <c r="AN189" i="67"/>
  <c r="AN103" i="67"/>
  <c r="BB171" i="67"/>
  <c r="BB162" i="67"/>
  <c r="BP48" i="67"/>
  <c r="BP67" i="67"/>
  <c r="BP91" i="67"/>
  <c r="AN158" i="67"/>
  <c r="GN207" i="67"/>
  <c r="Z94" i="67"/>
  <c r="CD113" i="67"/>
  <c r="Z36" i="67"/>
  <c r="Z44" i="67"/>
  <c r="AN37" i="67"/>
  <c r="BB146" i="67"/>
  <c r="BP108" i="67"/>
  <c r="BP101" i="67"/>
  <c r="BP92" i="67"/>
  <c r="Z125" i="67"/>
  <c r="CD85" i="67"/>
  <c r="Z85" i="67"/>
  <c r="Z82" i="67"/>
  <c r="Z192" i="67"/>
  <c r="CD70" i="67"/>
  <c r="CD100" i="67"/>
  <c r="CD105" i="67"/>
  <c r="BP132" i="67"/>
  <c r="BP151" i="67"/>
  <c r="AN88" i="67"/>
  <c r="AN175" i="67"/>
  <c r="AN59" i="67"/>
  <c r="BP129" i="67"/>
  <c r="BP28" i="67"/>
  <c r="BP153" i="67"/>
  <c r="BP73" i="67"/>
  <c r="BP194" i="67"/>
  <c r="BP80" i="67"/>
  <c r="BP58" i="67"/>
  <c r="CD167" i="67"/>
  <c r="CD119" i="67"/>
  <c r="BP16" i="67"/>
  <c r="CD143" i="67"/>
  <c r="BP84" i="67"/>
  <c r="BP93" i="67"/>
  <c r="Z110" i="67"/>
  <c r="CD65" i="67"/>
  <c r="CD129" i="67"/>
  <c r="CD59" i="67"/>
  <c r="CD153" i="67"/>
  <c r="Z153" i="67"/>
  <c r="CD139" i="67"/>
  <c r="CD181" i="67"/>
  <c r="CD73" i="67"/>
  <c r="CD75" i="67"/>
  <c r="CD98" i="67"/>
  <c r="CD131" i="67"/>
  <c r="CD53" i="67"/>
  <c r="CD190" i="67"/>
  <c r="CD80" i="67"/>
  <c r="CD58" i="67"/>
  <c r="Z177" i="67"/>
  <c r="CD97" i="67"/>
  <c r="Z172" i="67"/>
  <c r="CD66" i="67"/>
  <c r="BP119" i="67"/>
  <c r="BP178" i="67"/>
  <c r="BB127" i="67"/>
  <c r="BB151" i="67"/>
  <c r="AN122" i="67"/>
  <c r="AN146" i="67"/>
  <c r="CD43" i="67"/>
  <c r="AN95" i="67"/>
  <c r="AN49" i="67"/>
  <c r="AN113" i="67"/>
  <c r="AN162" i="67"/>
  <c r="BB82" i="67"/>
  <c r="BP143" i="67"/>
  <c r="BB48" i="67"/>
  <c r="BB67" i="67"/>
  <c r="BB91" i="67"/>
  <c r="AN56" i="67"/>
  <c r="AN141" i="67"/>
  <c r="AN157" i="67"/>
  <c r="AN120" i="67"/>
  <c r="AN159" i="67"/>
  <c r="AN183" i="67"/>
  <c r="AN105" i="67"/>
  <c r="AN165" i="67"/>
  <c r="AN74" i="67"/>
  <c r="BB49" i="67"/>
  <c r="BB71" i="67"/>
  <c r="AN102" i="67"/>
  <c r="AN57" i="67"/>
  <c r="BB174" i="67"/>
  <c r="BP164" i="67"/>
  <c r="BP173" i="67"/>
  <c r="BP137" i="67"/>
  <c r="BP160" i="67"/>
  <c r="Z25" i="67"/>
  <c r="Z67" i="67"/>
  <c r="GK39" i="67"/>
  <c r="AA41" i="71" s="1"/>
  <c r="BP141" i="67"/>
  <c r="GK126" i="67"/>
  <c r="AA130" i="71" s="1"/>
  <c r="BP157" i="67"/>
  <c r="GK19" i="67"/>
  <c r="AA19" i="71" s="1"/>
  <c r="GJ168" i="67"/>
  <c r="Z180" i="71" s="1"/>
  <c r="GJ90" i="67"/>
  <c r="Z93" i="71" s="1"/>
  <c r="GJ169" i="67"/>
  <c r="Z182" i="71" s="1"/>
  <c r="GK185" i="67"/>
  <c r="AA201" i="71" s="1"/>
  <c r="GK47" i="67"/>
  <c r="AA49" i="71" s="1"/>
  <c r="GK87" i="67"/>
  <c r="AA89" i="71" s="1"/>
  <c r="GK147" i="67"/>
  <c r="AA152" i="71" s="1"/>
  <c r="GK72" i="67"/>
  <c r="AA74" i="71" s="1"/>
  <c r="GJ96" i="67"/>
  <c r="Z99" i="71" s="1"/>
  <c r="GK152" i="67"/>
  <c r="AA157" i="71" s="1"/>
  <c r="GJ60" i="67"/>
  <c r="Z62" i="71" s="1"/>
  <c r="GJ163" i="67"/>
  <c r="Z176" i="71" s="1"/>
  <c r="GJ38" i="67"/>
  <c r="Z40" i="71" s="1"/>
  <c r="GK205" i="67"/>
  <c r="AA31" i="71" s="1"/>
  <c r="GK99" i="67"/>
  <c r="AA103" i="71" s="1"/>
  <c r="GK123" i="67"/>
  <c r="AA127" i="71" s="1"/>
  <c r="GK125" i="67"/>
  <c r="AA129" i="71" s="1"/>
  <c r="GK177" i="67"/>
  <c r="AA188" i="71" s="1"/>
  <c r="GJ198" i="67"/>
  <c r="Z173" i="71" s="1"/>
  <c r="GJ130" i="67"/>
  <c r="Z134" i="71" s="1"/>
  <c r="GJ87" i="67"/>
  <c r="Z89" i="71" s="1"/>
  <c r="GG205" i="67"/>
  <c r="GJ77" i="67"/>
  <c r="Z79" i="71" s="1"/>
  <c r="GK107" i="67"/>
  <c r="AA111" i="71" s="1"/>
  <c r="GK109" i="67"/>
  <c r="AA113" i="71" s="1"/>
  <c r="GK148" i="67"/>
  <c r="AA153" i="71" s="1"/>
  <c r="GK77" i="67"/>
  <c r="AA79" i="71" s="1"/>
  <c r="GG132" i="67"/>
  <c r="W136" i="71" s="1"/>
  <c r="GK134" i="67"/>
  <c r="AA138" i="71" s="1"/>
  <c r="GJ33" i="67"/>
  <c r="Z35" i="71" s="1"/>
  <c r="GK207" i="67"/>
  <c r="AA91" i="71" s="1"/>
  <c r="GJ58" i="67"/>
  <c r="Z60" i="71" s="1"/>
  <c r="GK112" i="67"/>
  <c r="AA116" i="71" s="1"/>
  <c r="GK90" i="67"/>
  <c r="AA93" i="71" s="1"/>
  <c r="GK169" i="67"/>
  <c r="AA182" i="71" s="1"/>
  <c r="GK9" i="67"/>
  <c r="AA9" i="71" s="1"/>
  <c r="GG171" i="67"/>
  <c r="W184" i="71" s="1"/>
  <c r="GJ55" i="67"/>
  <c r="Z57" i="71" s="1"/>
  <c r="CD116" i="67"/>
  <c r="CD124" i="67"/>
  <c r="GJ155" i="67"/>
  <c r="Z160" i="71" s="1"/>
  <c r="GK58" i="67"/>
  <c r="AA60" i="71" s="1"/>
  <c r="GJ43" i="67"/>
  <c r="Z45" i="71" s="1"/>
  <c r="GK97" i="67"/>
  <c r="AA101" i="71" s="1"/>
  <c r="GJ68" i="67"/>
  <c r="Z70" i="71" s="1"/>
  <c r="CD155" i="67"/>
  <c r="GJ37" i="67"/>
  <c r="Z39" i="71" s="1"/>
  <c r="CD101" i="67"/>
  <c r="GG101" i="67"/>
  <c r="W105" i="71" s="1"/>
  <c r="GJ133" i="67"/>
  <c r="Z137" i="71" s="1"/>
  <c r="GK63" i="67"/>
  <c r="AA65" i="71" s="1"/>
  <c r="GJ140" i="67"/>
  <c r="Z144" i="71" s="1"/>
  <c r="GK54" i="67"/>
  <c r="AA56" i="71" s="1"/>
  <c r="GJ26" i="67"/>
  <c r="Z26" i="71" s="1"/>
  <c r="GJ149" i="67"/>
  <c r="Z154" i="71" s="1"/>
  <c r="GK80" i="67"/>
  <c r="AA82" i="71" s="1"/>
  <c r="GJ72" i="67"/>
  <c r="Z74" i="71" s="1"/>
  <c r="GJ207" i="67"/>
  <c r="Z91" i="71" s="1"/>
  <c r="GJ50" i="67"/>
  <c r="Z52" i="71" s="1"/>
  <c r="GK144" i="67"/>
  <c r="AA149" i="71" s="1"/>
  <c r="GK106" i="67"/>
  <c r="AA110" i="71" s="1"/>
  <c r="GJ61" i="67"/>
  <c r="Z63" i="71" s="1"/>
  <c r="GK179" i="67"/>
  <c r="AA191" i="71" s="1"/>
  <c r="GJ80" i="67"/>
  <c r="Z82" i="71" s="1"/>
  <c r="GK150" i="67"/>
  <c r="AA155" i="71" s="1"/>
  <c r="GJ97" i="67"/>
  <c r="Z101" i="71" s="1"/>
  <c r="GK52" i="67"/>
  <c r="AA54" i="71" s="1"/>
  <c r="Z50" i="67"/>
  <c r="BP120" i="67"/>
  <c r="BB177" i="67"/>
  <c r="BB88" i="67"/>
  <c r="BB175" i="67"/>
  <c r="GJ124" i="67"/>
  <c r="Z128" i="71" s="1"/>
  <c r="CD14" i="67"/>
  <c r="GJ202" i="67"/>
  <c r="Z202" i="71" s="1"/>
  <c r="GK142" i="67"/>
  <c r="AA147" i="71" s="1"/>
  <c r="GK104" i="67"/>
  <c r="AA108" i="71" s="1"/>
  <c r="GK21" i="67"/>
  <c r="AA21" i="71" s="1"/>
  <c r="GJ52" i="67"/>
  <c r="Z54" i="71" s="1"/>
  <c r="GK61" i="67"/>
  <c r="AA63" i="71" s="1"/>
  <c r="GJ69" i="67"/>
  <c r="Z71" i="71" s="1"/>
  <c r="GJ9" i="67"/>
  <c r="Z9" i="71" s="1"/>
  <c r="GK50" i="67"/>
  <c r="AA52" i="71" s="1"/>
  <c r="Z142" i="67"/>
  <c r="Z107" i="67"/>
  <c r="Z90" i="67"/>
  <c r="Z163" i="67"/>
  <c r="Z105" i="67"/>
  <c r="Z9" i="67"/>
  <c r="BB154" i="67"/>
  <c r="BB96" i="67"/>
  <c r="BP39" i="67"/>
  <c r="GK201" i="67"/>
  <c r="AA199" i="71" s="1"/>
  <c r="GJ54" i="67"/>
  <c r="Z56" i="71" s="1"/>
  <c r="GJ132" i="67"/>
  <c r="Z136" i="71" s="1"/>
  <c r="GK8" i="67"/>
  <c r="GJ115" i="67"/>
  <c r="Z119" i="71" s="1"/>
  <c r="GJ40" i="67"/>
  <c r="Z42" i="71" s="1"/>
  <c r="GJ167" i="67"/>
  <c r="Z170" i="71" s="1"/>
  <c r="GJ119" i="67"/>
  <c r="Z123" i="71" s="1"/>
  <c r="GK49" i="67"/>
  <c r="AA51" i="71" s="1"/>
  <c r="GK165" i="67"/>
  <c r="AA179" i="71" s="1"/>
  <c r="GJ20" i="67"/>
  <c r="Z20" i="71" s="1"/>
  <c r="GJ143" i="67"/>
  <c r="Z148" i="71" s="1"/>
  <c r="GK74" i="67"/>
  <c r="AA76" i="71" s="1"/>
  <c r="GK203" i="67"/>
  <c r="AA204" i="71" s="1"/>
  <c r="GJ59" i="67"/>
  <c r="Z61" i="71" s="1"/>
  <c r="GJ178" i="67"/>
  <c r="Z189" i="71" s="1"/>
  <c r="GK113" i="67"/>
  <c r="AA117" i="71" s="1"/>
  <c r="GG153" i="67"/>
  <c r="GJ84" i="67"/>
  <c r="Z86" i="71" s="1"/>
  <c r="GK14" i="67"/>
  <c r="AA14" i="71" s="1"/>
  <c r="GK138" i="67"/>
  <c r="AA142" i="71" s="1"/>
  <c r="GJ195" i="67"/>
  <c r="Z145" i="71" s="1"/>
  <c r="GK195" i="67"/>
  <c r="AA145" i="71" s="1"/>
  <c r="GK132" i="67"/>
  <c r="AA136" i="71" s="1"/>
  <c r="GK163" i="67"/>
  <c r="AA176" i="71" s="1"/>
  <c r="GJ31" i="67"/>
  <c r="Z33" i="71" s="1"/>
  <c r="GK171" i="67"/>
  <c r="AA184" i="71" s="1"/>
  <c r="GJ39" i="67"/>
  <c r="Z41" i="71" s="1"/>
  <c r="GJ205" i="67"/>
  <c r="Z31" i="71" s="1"/>
  <c r="GK156" i="67"/>
  <c r="AA161" i="71" s="1"/>
  <c r="GJ23" i="67"/>
  <c r="Z23" i="71" s="1"/>
  <c r="GK180" i="67"/>
  <c r="AA192" i="71" s="1"/>
  <c r="GJ48" i="67"/>
  <c r="Z50" i="71" s="1"/>
  <c r="GJ164" i="67"/>
  <c r="Z178" i="71" s="1"/>
  <c r="GK102" i="67"/>
  <c r="AA106" i="71" s="1"/>
  <c r="GJ127" i="67"/>
  <c r="Z131" i="71" s="1"/>
  <c r="GK57" i="67"/>
  <c r="AA59" i="71" s="1"/>
  <c r="GK174" i="67"/>
  <c r="AA187" i="71" s="1"/>
  <c r="GJ28" i="67"/>
  <c r="Z28" i="71" s="1"/>
  <c r="GJ151" i="67"/>
  <c r="Z156" i="71" s="1"/>
  <c r="GK82" i="67"/>
  <c r="AA84" i="71" s="1"/>
  <c r="GG206" i="67"/>
  <c r="W205" i="71" s="1"/>
  <c r="GJ129" i="67"/>
  <c r="Z133" i="71" s="1"/>
  <c r="GK59" i="67"/>
  <c r="AA61" i="71" s="1"/>
  <c r="GK178" i="67"/>
  <c r="AA189" i="71" s="1"/>
  <c r="GJ204" i="67"/>
  <c r="Z30" i="71" s="1"/>
  <c r="GJ153" i="67"/>
  <c r="Z158" i="71" s="1"/>
  <c r="GK84" i="67"/>
  <c r="AA86" i="71" s="1"/>
  <c r="GJ134" i="67"/>
  <c r="Z138" i="71" s="1"/>
  <c r="GK81" i="67"/>
  <c r="AA83" i="71" s="1"/>
  <c r="GK42" i="67"/>
  <c r="AA44" i="71" s="1"/>
  <c r="GJ29" i="67"/>
  <c r="Z29" i="71" s="1"/>
  <c r="GJ114" i="67"/>
  <c r="Z118" i="71" s="1"/>
  <c r="GK187" i="67"/>
  <c r="AA174" i="71" s="1"/>
  <c r="GJ78" i="67"/>
  <c r="Z80" i="71" s="1"/>
  <c r="GJ116" i="67"/>
  <c r="Z120" i="71" s="1"/>
  <c r="GJ170" i="67"/>
  <c r="Z183" i="71" s="1"/>
  <c r="BP37" i="67"/>
  <c r="GJ141" i="67"/>
  <c r="Z146" i="71" s="1"/>
  <c r="GK168" i="67"/>
  <c r="AA180" i="71" s="1"/>
  <c r="GJ35" i="67"/>
  <c r="Z37" i="71" s="1"/>
  <c r="GJ122" i="67"/>
  <c r="Z126" i="71" s="1"/>
  <c r="GK37" i="67"/>
  <c r="AA39" i="71" s="1"/>
  <c r="GK69" i="67"/>
  <c r="AA71" i="71" s="1"/>
  <c r="CD133" i="67"/>
  <c r="GK157" i="67"/>
  <c r="AA163" i="71" s="1"/>
  <c r="GJ183" i="67"/>
  <c r="Z196" i="71" s="1"/>
  <c r="CD192" i="67"/>
  <c r="GK159" i="67"/>
  <c r="AA165" i="71" s="1"/>
  <c r="CD76" i="67"/>
  <c r="GK122" i="67"/>
  <c r="AA126" i="71" s="1"/>
  <c r="GJ179" i="67"/>
  <c r="Z191" i="71" s="1"/>
  <c r="GJ8" i="67"/>
  <c r="GK16" i="67"/>
  <c r="AA16" i="71" s="1"/>
  <c r="GK166" i="67"/>
  <c r="AA169" i="71" s="1"/>
  <c r="GK55" i="67"/>
  <c r="AA57" i="71" s="1"/>
  <c r="GJ101" i="67"/>
  <c r="Z105" i="71" s="1"/>
  <c r="GJ154" i="67"/>
  <c r="Z159" i="71" s="1"/>
  <c r="GK10" i="67"/>
  <c r="AA10" i="71" s="1"/>
  <c r="GJ157" i="67"/>
  <c r="Z163" i="71" s="1"/>
  <c r="GJ177" i="67"/>
  <c r="Z188" i="71" s="1"/>
  <c r="GJ159" i="67"/>
  <c r="Z165" i="71" s="1"/>
  <c r="GJ197" i="67"/>
  <c r="Z190" i="71" s="1"/>
  <c r="GK170" i="67"/>
  <c r="AA183" i="71" s="1"/>
  <c r="GK184" i="67"/>
  <c r="AA200" i="71" s="1"/>
  <c r="GJ92" i="67"/>
  <c r="Z95" i="71" s="1"/>
  <c r="GJ94" i="67"/>
  <c r="Z97" i="71" s="1"/>
  <c r="GK62" i="67"/>
  <c r="AA64" i="71" s="1"/>
  <c r="GK33" i="67"/>
  <c r="AA35" i="71" s="1"/>
  <c r="GJ66" i="67"/>
  <c r="Z68" i="71" s="1"/>
  <c r="GG51" i="67"/>
  <c r="GK35" i="67"/>
  <c r="AA37" i="71" s="1"/>
  <c r="GJ200" i="67"/>
  <c r="Z198" i="71" s="1"/>
  <c r="GJ17" i="67"/>
  <c r="Z17" i="71" s="1"/>
  <c r="GJ70" i="67"/>
  <c r="Z72" i="71" s="1"/>
  <c r="GK38" i="67"/>
  <c r="AA40" i="71" s="1"/>
  <c r="GK117" i="67"/>
  <c r="AA121" i="71" s="1"/>
  <c r="GJ15" i="67"/>
  <c r="Z15" i="71" s="1"/>
  <c r="GJ85" i="67"/>
  <c r="Z87" i="71" s="1"/>
  <c r="GJ109" i="67"/>
  <c r="Z113" i="71" s="1"/>
  <c r="GG196" i="67"/>
  <c r="W162" i="71" s="1"/>
  <c r="GJ88" i="67"/>
  <c r="Z90" i="71" s="1"/>
  <c r="GK18" i="67"/>
  <c r="AA18" i="71" s="1"/>
  <c r="GK141" i="67"/>
  <c r="AA146" i="71" s="1"/>
  <c r="GJ41" i="67"/>
  <c r="Z43" i="71" s="1"/>
  <c r="GK64" i="67"/>
  <c r="AA66" i="71" s="1"/>
  <c r="GJ150" i="67"/>
  <c r="Z155" i="71" s="1"/>
  <c r="BP177" i="67"/>
  <c r="GJ112" i="67"/>
  <c r="Z116" i="71" s="1"/>
  <c r="GJ152" i="67"/>
  <c r="Z157" i="71" s="1"/>
  <c r="GJ86" i="67"/>
  <c r="Z88" i="71" s="1"/>
  <c r="GK140" i="67"/>
  <c r="AA144" i="71" s="1"/>
  <c r="GK172" i="67"/>
  <c r="AA185" i="71" s="1"/>
  <c r="GK146" i="67"/>
  <c r="AA151" i="71" s="1"/>
  <c r="GK202" i="67"/>
  <c r="AA202" i="71" s="1"/>
  <c r="GK27" i="67"/>
  <c r="AA27" i="71" s="1"/>
  <c r="GJ120" i="67"/>
  <c r="Z124" i="71" s="1"/>
  <c r="GK29" i="67"/>
  <c r="AA29" i="71" s="1"/>
  <c r="GK114" i="67"/>
  <c r="AA118" i="71" s="1"/>
  <c r="Z157" i="67"/>
  <c r="Z14" i="67"/>
  <c r="Z88" i="67"/>
  <c r="Z86" i="67"/>
  <c r="Z119" i="67"/>
  <c r="Z168" i="67"/>
  <c r="BB157" i="67"/>
  <c r="BB120" i="67"/>
  <c r="BB159" i="67"/>
  <c r="BB10" i="67"/>
  <c r="BB103" i="67"/>
  <c r="GK94" i="67"/>
  <c r="AA97" i="71" s="1"/>
  <c r="GJ10" i="67"/>
  <c r="Z10" i="71" s="1"/>
  <c r="GK182" i="67"/>
  <c r="AA194" i="71" s="1"/>
  <c r="GJ27" i="67"/>
  <c r="Z27" i="71" s="1"/>
  <c r="GK176" i="67"/>
  <c r="AA172" i="71" s="1"/>
  <c r="GK83" i="67"/>
  <c r="AA85" i="71" s="1"/>
  <c r="GK44" i="67"/>
  <c r="AA46" i="71" s="1"/>
  <c r="GK30" i="67"/>
  <c r="AA32" i="71" s="1"/>
  <c r="GJ191" i="67"/>
  <c r="Z177" i="71" s="1"/>
  <c r="GJ24" i="67"/>
  <c r="Z24" i="71" s="1"/>
  <c r="GJ18" i="67"/>
  <c r="Z18" i="71" s="1"/>
  <c r="Z159" i="67"/>
  <c r="Z64" i="67"/>
  <c r="Z106" i="67"/>
  <c r="Z134" i="67"/>
  <c r="Z58" i="67"/>
  <c r="Z149" i="67"/>
  <c r="BB122" i="67"/>
  <c r="BP26" i="67"/>
  <c r="BP19" i="67"/>
  <c r="GJ125" i="67"/>
  <c r="Z129" i="71" s="1"/>
  <c r="GK25" i="67"/>
  <c r="AA25" i="71" s="1"/>
  <c r="GK86" i="67"/>
  <c r="AA88" i="71" s="1"/>
  <c r="GK32" i="67"/>
  <c r="AA34" i="71" s="1"/>
  <c r="GK196" i="67"/>
  <c r="AA162" i="71" s="1"/>
  <c r="GJ174" i="67"/>
  <c r="Z187" i="71" s="1"/>
  <c r="GK111" i="67"/>
  <c r="AA115" i="71" s="1"/>
  <c r="GG25" i="67"/>
  <c r="GJ82" i="67"/>
  <c r="Z84" i="71" s="1"/>
  <c r="GK12" i="67"/>
  <c r="AA12" i="71" s="1"/>
  <c r="GK136" i="67"/>
  <c r="AA140" i="71" s="1"/>
  <c r="GJ121" i="67"/>
  <c r="Z125" i="71" s="1"/>
  <c r="GK51" i="67"/>
  <c r="AA53" i="71" s="1"/>
  <c r="GK192" i="67"/>
  <c r="AA181" i="71" s="1"/>
  <c r="GJ22" i="67"/>
  <c r="Z22" i="71" s="1"/>
  <c r="GK76" i="67"/>
  <c r="AA78" i="71" s="1"/>
  <c r="GK115" i="67"/>
  <c r="AA119" i="71" s="1"/>
  <c r="GG170" i="67"/>
  <c r="W183" i="71" s="1"/>
  <c r="GJ161" i="67"/>
  <c r="Z167" i="71" s="1"/>
  <c r="GJ45" i="67"/>
  <c r="Z47" i="71" s="1"/>
  <c r="GJ189" i="67"/>
  <c r="Z207" i="71" s="1"/>
  <c r="GK45" i="67"/>
  <c r="AA47" i="71" s="1"/>
  <c r="GK15" i="67"/>
  <c r="AA15" i="71" s="1"/>
  <c r="GJ180" i="67"/>
  <c r="Z192" i="71" s="1"/>
  <c r="GG172" i="67"/>
  <c r="W185" i="71" s="1"/>
  <c r="GJ110" i="67"/>
  <c r="Z114" i="71" s="1"/>
  <c r="GK40" i="67"/>
  <c r="AA42" i="71" s="1"/>
  <c r="GK167" i="67"/>
  <c r="AA170" i="71" s="1"/>
  <c r="GJ65" i="67"/>
  <c r="Z67" i="71" s="1"/>
  <c r="GJ193" i="67"/>
  <c r="Z195" i="71" s="1"/>
  <c r="GK119" i="67"/>
  <c r="AA123" i="71" s="1"/>
  <c r="GJ89" i="67"/>
  <c r="Z92" i="71" s="1"/>
  <c r="GK20" i="67"/>
  <c r="AA20" i="71" s="1"/>
  <c r="GK143" i="67"/>
  <c r="AA148" i="71" s="1"/>
  <c r="GJ67" i="67"/>
  <c r="Z69" i="71" s="1"/>
  <c r="GJ199" i="67"/>
  <c r="Z197" i="71" s="1"/>
  <c r="GK121" i="67"/>
  <c r="AA125" i="71" s="1"/>
  <c r="GJ91" i="67"/>
  <c r="Z94" i="71" s="1"/>
  <c r="GK22" i="67"/>
  <c r="AA22" i="71" s="1"/>
  <c r="GK145" i="67"/>
  <c r="AA150" i="71" s="1"/>
  <c r="GK161" i="67"/>
  <c r="AA167" i="71" s="1"/>
  <c r="GJ103" i="67"/>
  <c r="Z107" i="71" s="1"/>
  <c r="GK96" i="67"/>
  <c r="AA99" i="71" s="1"/>
  <c r="GJ128" i="67"/>
  <c r="Z132" i="71" s="1"/>
  <c r="GK197" i="67"/>
  <c r="AA190" i="71" s="1"/>
  <c r="GG46" i="67"/>
  <c r="W48" i="71" s="1"/>
  <c r="GK191" i="67"/>
  <c r="AA177" i="71" s="1"/>
  <c r="GK46" i="67"/>
  <c r="AA48" i="71" s="1"/>
  <c r="GK31" i="67"/>
  <c r="AA33" i="71" s="1"/>
  <c r="GJ32" i="67"/>
  <c r="Z34" i="71" s="1"/>
  <c r="GJ196" i="67"/>
  <c r="Z162" i="71" s="1"/>
  <c r="GK88" i="67"/>
  <c r="AA90" i="71" s="1"/>
  <c r="GG57" i="67"/>
  <c r="W59" i="71" s="1"/>
  <c r="GJ111" i="67"/>
  <c r="Z115" i="71" s="1"/>
  <c r="GK41" i="67"/>
  <c r="AA43" i="71" s="1"/>
  <c r="GK175" i="67"/>
  <c r="AA171" i="71" s="1"/>
  <c r="GJ12" i="67"/>
  <c r="Z12" i="71" s="1"/>
  <c r="GJ136" i="67"/>
  <c r="Z140" i="71" s="1"/>
  <c r="GK66" i="67"/>
  <c r="AA68" i="71" s="1"/>
  <c r="GK183" i="67"/>
  <c r="AA196" i="71" s="1"/>
  <c r="GJ51" i="67"/>
  <c r="Z53" i="71" s="1"/>
  <c r="GJ192" i="67"/>
  <c r="Z181" i="71" s="1"/>
  <c r="GK105" i="67"/>
  <c r="AA109" i="71" s="1"/>
  <c r="GJ76" i="67"/>
  <c r="Z78" i="71" s="1"/>
  <c r="GJ188" i="67"/>
  <c r="Z206" i="71" s="1"/>
  <c r="GK130" i="67"/>
  <c r="AA134" i="71" s="1"/>
  <c r="GJ25" i="67"/>
  <c r="Z25" i="71" s="1"/>
  <c r="GK133" i="67"/>
  <c r="AA137" i="71" s="1"/>
  <c r="GG201" i="67"/>
  <c r="W199" i="71" s="1"/>
  <c r="GJ63" i="67"/>
  <c r="Z65" i="71" s="1"/>
  <c r="GJ172" i="67"/>
  <c r="Z185" i="71" s="1"/>
  <c r="BB86" i="67"/>
  <c r="BB128" i="67"/>
  <c r="AN43" i="67"/>
  <c r="BB68" i="67"/>
  <c r="GK93" i="67"/>
  <c r="AA96" i="71" s="1"/>
  <c r="GJ171" i="67"/>
  <c r="Z184" i="71" s="1"/>
  <c r="GJ166" i="67"/>
  <c r="Z169" i="71" s="1"/>
  <c r="BP126" i="67"/>
  <c r="GJ56" i="67"/>
  <c r="Z58" i="71" s="1"/>
  <c r="GJ173" i="67"/>
  <c r="Z186" i="71" s="1"/>
  <c r="GK110" i="67"/>
  <c r="AA114" i="71" s="1"/>
  <c r="BP142" i="67"/>
  <c r="GG142" i="67"/>
  <c r="W147" i="71" s="1"/>
  <c r="GJ73" i="67"/>
  <c r="Z75" i="71" s="1"/>
  <c r="GJ186" i="67"/>
  <c r="Z203" i="71" s="1"/>
  <c r="GK127" i="67"/>
  <c r="AA131" i="71" s="1"/>
  <c r="BP176" i="67"/>
  <c r="GJ194" i="67"/>
  <c r="Z100" i="71" s="1"/>
  <c r="GK28" i="67"/>
  <c r="AA28" i="71" s="1"/>
  <c r="GK151" i="67"/>
  <c r="AA156" i="71" s="1"/>
  <c r="GJ13" i="67"/>
  <c r="Z13" i="71" s="1"/>
  <c r="GJ137" i="67"/>
  <c r="Z141" i="71" s="1"/>
  <c r="GK67" i="67"/>
  <c r="AA69" i="71" s="1"/>
  <c r="GK199" i="67"/>
  <c r="AA197" i="71" s="1"/>
  <c r="GJ36" i="67"/>
  <c r="Z38" i="71" s="1"/>
  <c r="GJ160" i="67"/>
  <c r="Z166" i="71" s="1"/>
  <c r="GK91" i="67"/>
  <c r="AA94" i="71" s="1"/>
  <c r="GK71" i="67"/>
  <c r="AA73" i="71" s="1"/>
  <c r="GK92" i="67"/>
  <c r="AA95" i="71" s="1"/>
  <c r="GJ156" i="67"/>
  <c r="Z161" i="71" s="1"/>
  <c r="GG20" i="67"/>
  <c r="W20" i="71" s="1"/>
  <c r="GJ181" i="67"/>
  <c r="Z193" i="71" s="1"/>
  <c r="GK24" i="67"/>
  <c r="AA24" i="71" s="1"/>
  <c r="GJ99" i="67"/>
  <c r="Z103" i="71" s="1"/>
  <c r="GJ108" i="67"/>
  <c r="Z112" i="71" s="1"/>
  <c r="GK190" i="67"/>
  <c r="AA175" i="71" s="1"/>
  <c r="GK116" i="67"/>
  <c r="AA120" i="71" s="1"/>
  <c r="GJ64" i="67"/>
  <c r="Z66" i="71" s="1"/>
  <c r="GJ182" i="67"/>
  <c r="Z194" i="71" s="1"/>
  <c r="GK118" i="67"/>
  <c r="AA122" i="71" s="1"/>
  <c r="GJ81" i="67"/>
  <c r="Z83" i="71" s="1"/>
  <c r="GK11" i="67"/>
  <c r="AA11" i="71" s="1"/>
  <c r="GK135" i="67"/>
  <c r="AA139" i="71" s="1"/>
  <c r="GJ104" i="67"/>
  <c r="Z108" i="71" s="1"/>
  <c r="GK34" i="67"/>
  <c r="AA36" i="71" s="1"/>
  <c r="GK158" i="67"/>
  <c r="AA164" i="71" s="1"/>
  <c r="GG90" i="67"/>
  <c r="W93" i="71" s="1"/>
  <c r="GJ21" i="67"/>
  <c r="Z21" i="71" s="1"/>
  <c r="GJ144" i="67"/>
  <c r="Z149" i="71" s="1"/>
  <c r="GK75" i="67"/>
  <c r="AA77" i="71" s="1"/>
  <c r="GK206" i="67"/>
  <c r="AA205" i="71" s="1"/>
  <c r="GJ44" i="67"/>
  <c r="Z46" i="71" s="1"/>
  <c r="GJ187" i="67"/>
  <c r="Z174" i="71" s="1"/>
  <c r="GK98" i="67"/>
  <c r="AA102" i="71" s="1"/>
  <c r="GK162" i="67"/>
  <c r="AA168" i="71" s="1"/>
  <c r="GK53" i="67"/>
  <c r="AA55" i="71" s="1"/>
  <c r="GJ131" i="67"/>
  <c r="Z135" i="71" s="1"/>
  <c r="GK108" i="67"/>
  <c r="AA112" i="71" s="1"/>
  <c r="GJ107" i="67"/>
  <c r="Z111" i="71" s="1"/>
  <c r="GK100" i="67"/>
  <c r="AA104" i="71" s="1"/>
  <c r="GJ175" i="67"/>
  <c r="Z171" i="71" s="1"/>
  <c r="GK120" i="67"/>
  <c r="AA124" i="71" s="1"/>
  <c r="GJ105" i="67"/>
  <c r="Z109" i="71" s="1"/>
  <c r="GK60" i="67"/>
  <c r="AA62" i="71" s="1"/>
  <c r="GK155" i="67"/>
  <c r="AA160" i="71" s="1"/>
  <c r="GJ147" i="67"/>
  <c r="Z152" i="71" s="1"/>
  <c r="GJ184" i="67"/>
  <c r="Z200" i="71" s="1"/>
  <c r="GJ93" i="67"/>
  <c r="Z96" i="71" s="1"/>
  <c r="GK189" i="67"/>
  <c r="AA207" i="71" s="1"/>
  <c r="GJ62" i="67"/>
  <c r="Z64" i="71" s="1"/>
  <c r="GJ47" i="67"/>
  <c r="Z49" i="71" s="1"/>
  <c r="GG39" i="67"/>
  <c r="W41" i="71" s="1"/>
  <c r="GJ95" i="67"/>
  <c r="Z98" i="71" s="1"/>
  <c r="GK26" i="67"/>
  <c r="AA26" i="71" s="1"/>
  <c r="GK149" i="67"/>
  <c r="AA154" i="71" s="1"/>
  <c r="GJ49" i="67"/>
  <c r="Z51" i="71" s="1"/>
  <c r="GJ165" i="67"/>
  <c r="Z179" i="71" s="1"/>
  <c r="GK103" i="67"/>
  <c r="AA107" i="71" s="1"/>
  <c r="GJ74" i="67"/>
  <c r="Z76" i="71" s="1"/>
  <c r="GJ203" i="67"/>
  <c r="Z204" i="71" s="1"/>
  <c r="GK128" i="67"/>
  <c r="AA132" i="71" s="1"/>
  <c r="GJ113" i="67"/>
  <c r="Z117" i="71" s="1"/>
  <c r="GK43" i="67"/>
  <c r="AA45" i="71" s="1"/>
  <c r="GK198" i="67"/>
  <c r="AA173" i="71" s="1"/>
  <c r="GG84" i="67"/>
  <c r="W86" i="71" s="1"/>
  <c r="GJ14" i="67"/>
  <c r="Z14" i="71" s="1"/>
  <c r="GJ138" i="67"/>
  <c r="Z142" i="71" s="1"/>
  <c r="GK68" i="67"/>
  <c r="AA70" i="71" s="1"/>
  <c r="GK200" i="67"/>
  <c r="AA198" i="71" s="1"/>
  <c r="GJ162" i="67"/>
  <c r="Z168" i="71" s="1"/>
  <c r="GK154" i="67"/>
  <c r="AA159" i="71" s="1"/>
  <c r="GJ16" i="67"/>
  <c r="Z16" i="71" s="1"/>
  <c r="BB183" i="67"/>
  <c r="BB105" i="67"/>
  <c r="BB9" i="67"/>
  <c r="AN18" i="67"/>
  <c r="BB77" i="67"/>
  <c r="GK79" i="67"/>
  <c r="AA81" i="71" s="1"/>
  <c r="GK139" i="67"/>
  <c r="AA143" i="71" s="1"/>
  <c r="BP184" i="67"/>
  <c r="GK124" i="67"/>
  <c r="AA128" i="71" s="1"/>
  <c r="GG64" i="67"/>
  <c r="W66" i="71" s="1"/>
  <c r="GJ118" i="67"/>
  <c r="Z122" i="71" s="1"/>
  <c r="GK48" i="67"/>
  <c r="AA50" i="71" s="1"/>
  <c r="GK164" i="67"/>
  <c r="AA178" i="71" s="1"/>
  <c r="GJ11" i="67"/>
  <c r="Z11" i="71" s="1"/>
  <c r="GJ135" i="67"/>
  <c r="Z139" i="71" s="1"/>
  <c r="GK65" i="67"/>
  <c r="AA67" i="71" s="1"/>
  <c r="GK193" i="67"/>
  <c r="AA195" i="71" s="1"/>
  <c r="BP104" i="67"/>
  <c r="GJ34" i="67"/>
  <c r="Z36" i="71" s="1"/>
  <c r="GJ158" i="67"/>
  <c r="Z164" i="71" s="1"/>
  <c r="GK89" i="67"/>
  <c r="AA92" i="71" s="1"/>
  <c r="GJ75" i="67"/>
  <c r="Z77" i="71" s="1"/>
  <c r="GJ206" i="67"/>
  <c r="Z205" i="71" s="1"/>
  <c r="GK129" i="67"/>
  <c r="AA133" i="71" s="1"/>
  <c r="BP44" i="67"/>
  <c r="GJ98" i="67"/>
  <c r="Z102" i="71" s="1"/>
  <c r="GK204" i="67"/>
  <c r="AA30" i="71" s="1"/>
  <c r="GK153" i="67"/>
  <c r="AA158" i="71" s="1"/>
  <c r="GK78" i="67"/>
  <c r="AA80" i="71" s="1"/>
  <c r="GJ100" i="67"/>
  <c r="Z104" i="71" s="1"/>
  <c r="GJ201" i="67"/>
  <c r="Z199" i="71" s="1"/>
  <c r="GJ117" i="67"/>
  <c r="Z121" i="71" s="1"/>
  <c r="GK101" i="67"/>
  <c r="AA105" i="71" s="1"/>
  <c r="GK17" i="67"/>
  <c r="AA17" i="71" s="1"/>
  <c r="GK131" i="67"/>
  <c r="AA135" i="71" s="1"/>
  <c r="GK181" i="67"/>
  <c r="AA193" i="71" s="1"/>
  <c r="GJ53" i="67"/>
  <c r="Z55" i="71" s="1"/>
  <c r="CD12" i="67"/>
  <c r="GG12" i="67"/>
  <c r="GJ139" i="67"/>
  <c r="Z143" i="71" s="1"/>
  <c r="GJ30" i="67"/>
  <c r="Z32" i="71" s="1"/>
  <c r="GJ123" i="67"/>
  <c r="Z127" i="71" s="1"/>
  <c r="GG100" i="67"/>
  <c r="GJ146" i="67"/>
  <c r="Z151" i="71" s="1"/>
  <c r="GK85" i="67"/>
  <c r="AA87" i="71" s="1"/>
  <c r="GG202" i="67"/>
  <c r="W202" i="71" s="1"/>
  <c r="GJ126" i="67"/>
  <c r="Z130" i="71" s="1"/>
  <c r="GK56" i="67"/>
  <c r="AA58" i="71" s="1"/>
  <c r="GK173" i="67"/>
  <c r="AA186" i="71" s="1"/>
  <c r="GJ19" i="67"/>
  <c r="Z19" i="71" s="1"/>
  <c r="GJ142" i="67"/>
  <c r="Z147" i="71" s="1"/>
  <c r="GK73" i="67"/>
  <c r="AA75" i="71" s="1"/>
  <c r="GK186" i="67"/>
  <c r="AA203" i="71" s="1"/>
  <c r="GJ42" i="67"/>
  <c r="Z44" i="71" s="1"/>
  <c r="GJ176" i="67"/>
  <c r="Z172" i="71" s="1"/>
  <c r="GK194" i="67"/>
  <c r="AA100" i="71" s="1"/>
  <c r="GJ83" i="67"/>
  <c r="Z85" i="71" s="1"/>
  <c r="GK13" i="67"/>
  <c r="AA13" i="71" s="1"/>
  <c r="GK137" i="67"/>
  <c r="AA141" i="71" s="1"/>
  <c r="GJ106" i="67"/>
  <c r="Z110" i="71" s="1"/>
  <c r="GK36" i="67"/>
  <c r="AA38" i="71" s="1"/>
  <c r="GK160" i="67"/>
  <c r="AA166" i="71" s="1"/>
  <c r="GJ190" i="67"/>
  <c r="Z175" i="71" s="1"/>
  <c r="GJ79" i="67"/>
  <c r="Z81" i="71" s="1"/>
  <c r="GK70" i="67"/>
  <c r="AA72" i="71" s="1"/>
  <c r="GK23" i="67"/>
  <c r="AA23" i="71" s="1"/>
  <c r="GJ185" i="67"/>
  <c r="Z201" i="71" s="1"/>
  <c r="GJ71" i="67"/>
  <c r="Z73" i="71" s="1"/>
  <c r="Z154" i="67"/>
  <c r="Z80" i="67"/>
  <c r="Z141" i="67"/>
  <c r="Z120" i="67"/>
  <c r="Z34" i="67"/>
  <c r="Z97" i="67"/>
  <c r="Z60" i="67"/>
  <c r="Z122" i="67"/>
  <c r="Z87" i="67"/>
  <c r="Z146" i="67"/>
  <c r="Z10" i="67"/>
  <c r="Z103" i="67"/>
  <c r="Z183" i="67"/>
  <c r="Z68" i="67"/>
  <c r="Z185" i="67"/>
  <c r="Z136" i="67"/>
  <c r="GG136" i="67"/>
  <c r="W140" i="71" s="1"/>
  <c r="Z23" i="67"/>
  <c r="Z41" i="67"/>
  <c r="Z128" i="67"/>
  <c r="GG198" i="67"/>
  <c r="W173" i="71" s="1"/>
  <c r="Z69" i="67"/>
  <c r="Z124" i="67"/>
  <c r="Z148" i="67"/>
  <c r="GJ148" i="67"/>
  <c r="Z153" i="71" s="1"/>
  <c r="Z164" i="67"/>
  <c r="GG164" i="67"/>
  <c r="Z102" i="67"/>
  <c r="GJ102" i="67"/>
  <c r="Z106" i="71" s="1"/>
  <c r="Z95" i="67"/>
  <c r="GK95" i="67"/>
  <c r="AA98" i="71" s="1"/>
  <c r="Z65" i="67"/>
  <c r="Z127" i="67"/>
  <c r="Z193" i="67"/>
  <c r="Z57" i="67"/>
  <c r="GJ57" i="67"/>
  <c r="Z59" i="71" s="1"/>
  <c r="Z89" i="67"/>
  <c r="Z151" i="67"/>
  <c r="Z129" i="67"/>
  <c r="Z28" i="67"/>
  <c r="GG28" i="67"/>
  <c r="Z91" i="67"/>
  <c r="Z145" i="67"/>
  <c r="GJ145" i="67"/>
  <c r="Z150" i="71" s="1"/>
  <c r="Z188" i="67"/>
  <c r="GK188" i="67"/>
  <c r="AA206" i="71" s="1"/>
  <c r="Z139" i="67"/>
  <c r="GG139" i="67"/>
  <c r="W143" i="71" s="1"/>
  <c r="Z46" i="67"/>
  <c r="GJ46" i="67"/>
  <c r="Z48" i="71" s="1"/>
  <c r="Z115" i="67"/>
  <c r="Z70" i="67"/>
  <c r="BP103" i="67"/>
  <c r="CD9" i="67"/>
  <c r="Z74" i="67"/>
  <c r="Z155" i="67"/>
  <c r="CD109" i="67"/>
  <c r="CD18" i="67"/>
  <c r="CD95" i="67"/>
  <c r="Z26" i="67"/>
  <c r="CD188" i="67"/>
  <c r="CD46" i="67"/>
  <c r="CD38" i="67"/>
  <c r="BP183" i="67"/>
  <c r="EG208" i="67"/>
  <c r="Z182" i="67"/>
  <c r="Z83" i="67"/>
  <c r="Z78" i="67"/>
  <c r="Z55" i="67"/>
  <c r="Z123" i="67"/>
  <c r="Z116" i="67"/>
  <c r="Z18" i="67"/>
  <c r="Z101" i="67"/>
  <c r="CD146" i="67"/>
  <c r="CD10" i="67"/>
  <c r="BP149" i="67"/>
  <c r="Z165" i="67"/>
  <c r="Z99" i="67"/>
  <c r="Z140" i="67"/>
  <c r="Z144" i="67"/>
  <c r="Z169" i="67"/>
  <c r="Z72" i="67"/>
  <c r="AN8" i="67"/>
  <c r="AA208" i="67"/>
  <c r="FQ208" i="67"/>
  <c r="CA208" i="67"/>
  <c r="Z167" i="67"/>
  <c r="CD161" i="67"/>
  <c r="Z161" i="67"/>
  <c r="CD123" i="67"/>
  <c r="Z39" i="67"/>
  <c r="CD185" i="67"/>
  <c r="CD86" i="67"/>
  <c r="CD179" i="67"/>
  <c r="BP128" i="67"/>
  <c r="CD130" i="67"/>
  <c r="CD69" i="67"/>
  <c r="Z92" i="67"/>
  <c r="CD51" i="67"/>
  <c r="Z51" i="67"/>
  <c r="CD138" i="67"/>
  <c r="Z138" i="67"/>
  <c r="CD148" i="67"/>
  <c r="CD30" i="67"/>
  <c r="CD63" i="67"/>
  <c r="Z93" i="67"/>
  <c r="CD99" i="67"/>
  <c r="BP175" i="67"/>
  <c r="Z40" i="67"/>
  <c r="Z54" i="67"/>
  <c r="Z19" i="67"/>
  <c r="Z29" i="67"/>
  <c r="Z187" i="67"/>
  <c r="Z24" i="67"/>
  <c r="Z8" i="67"/>
  <c r="Z104" i="67"/>
  <c r="Z166" i="67"/>
  <c r="Z113" i="67"/>
  <c r="Z84" i="67"/>
  <c r="Z30" i="67"/>
  <c r="Z174" i="67"/>
  <c r="Z178" i="67"/>
  <c r="DX208" i="67"/>
  <c r="EH208" i="67"/>
  <c r="CD25" i="67"/>
  <c r="Z121" i="67"/>
  <c r="Z22" i="67"/>
  <c r="CD170" i="67"/>
  <c r="CD115" i="67"/>
  <c r="CD172" i="67"/>
  <c r="BB80" i="67"/>
  <c r="AN96" i="67"/>
  <c r="AN97" i="67"/>
  <c r="BB60" i="67"/>
  <c r="BB87" i="67"/>
  <c r="CD189" i="67"/>
  <c r="AN68" i="67"/>
  <c r="BB185" i="67"/>
  <c r="BB133" i="67"/>
  <c r="AN179" i="67"/>
  <c r="BB192" i="67"/>
  <c r="AJ208" i="67"/>
  <c r="EV208" i="67"/>
  <c r="CD132" i="67"/>
  <c r="CD23" i="67"/>
  <c r="AN130" i="67"/>
  <c r="AN69" i="67"/>
  <c r="CD171" i="67"/>
  <c r="CD74" i="67"/>
  <c r="AN148" i="67"/>
  <c r="BB30" i="67"/>
  <c r="CD49" i="67"/>
  <c r="BB63" i="67"/>
  <c r="CD162" i="67"/>
  <c r="AN99" i="67"/>
  <c r="CD92" i="67"/>
  <c r="BP102" i="67"/>
  <c r="CD57" i="67"/>
  <c r="CD174" i="67"/>
  <c r="CD121" i="67"/>
  <c r="CD145" i="67"/>
  <c r="DI208" i="67"/>
  <c r="AY208" i="67"/>
  <c r="EW208" i="67"/>
  <c r="BB32" i="67"/>
  <c r="CD48" i="67"/>
  <c r="BB110" i="67"/>
  <c r="BB193" i="67"/>
  <c r="CD163" i="67"/>
  <c r="CD21" i="67"/>
  <c r="AN161" i="67"/>
  <c r="AN123" i="67"/>
  <c r="CD140" i="67"/>
  <c r="CD47" i="67"/>
  <c r="BB40" i="67"/>
  <c r="AN118" i="67"/>
  <c r="BB186" i="67"/>
  <c r="CD33" i="67"/>
  <c r="BB194" i="67"/>
  <c r="BB75" i="67"/>
  <c r="AN80" i="67"/>
  <c r="AN177" i="67"/>
  <c r="BB97" i="67"/>
  <c r="AN60" i="67"/>
  <c r="AN87" i="67"/>
  <c r="BB66" i="67"/>
  <c r="AN185" i="67"/>
  <c r="AN86" i="67"/>
  <c r="AN133" i="67"/>
  <c r="BB179" i="67"/>
  <c r="BB76" i="67"/>
  <c r="AX208" i="67"/>
  <c r="FK208" i="67"/>
  <c r="CD128" i="67"/>
  <c r="BB43" i="67"/>
  <c r="BB130" i="67"/>
  <c r="BB69" i="67"/>
  <c r="BB138" i="67"/>
  <c r="BB148" i="67"/>
  <c r="AN30" i="67"/>
  <c r="AN63" i="67"/>
  <c r="BB99" i="67"/>
  <c r="CD26" i="67"/>
  <c r="BB39" i="67"/>
  <c r="BB167" i="67"/>
  <c r="AN16" i="67"/>
  <c r="CD82" i="67"/>
  <c r="CD178" i="67"/>
  <c r="CD19" i="67"/>
  <c r="AN93" i="67"/>
  <c r="AN22" i="67"/>
  <c r="CD45" i="67"/>
  <c r="AO208" i="67"/>
  <c r="BB8" i="67"/>
  <c r="EM208" i="67"/>
  <c r="AK208" i="67"/>
  <c r="FL208" i="67"/>
  <c r="AN32" i="67"/>
  <c r="BB65" i="67"/>
  <c r="BB181" i="67"/>
  <c r="BB161" i="67"/>
  <c r="BB123" i="67"/>
  <c r="BB156" i="67"/>
  <c r="AN40" i="67"/>
  <c r="BB118" i="67"/>
  <c r="AN75" i="67"/>
  <c r="BP154" i="67"/>
  <c r="BP96" i="67"/>
  <c r="BP97" i="67"/>
  <c r="BP87" i="67"/>
  <c r="BP88" i="67"/>
  <c r="CD175" i="67"/>
  <c r="BP68" i="67"/>
  <c r="BP185" i="67"/>
  <c r="BP86" i="67"/>
  <c r="BP133" i="67"/>
  <c r="BP179" i="67"/>
  <c r="BZ208" i="67"/>
  <c r="FZ208" i="67"/>
  <c r="BP62" i="67"/>
  <c r="BP41" i="67"/>
  <c r="AN128" i="67"/>
  <c r="BP43" i="67"/>
  <c r="BP130" i="67"/>
  <c r="BP69" i="67"/>
  <c r="BP13" i="67"/>
  <c r="BP51" i="67"/>
  <c r="BP148" i="67"/>
  <c r="BP30" i="67"/>
  <c r="BP63" i="67"/>
  <c r="BP99" i="67"/>
  <c r="AN39" i="67"/>
  <c r="BB16" i="67"/>
  <c r="BB93" i="67"/>
  <c r="BP8" i="67"/>
  <c r="BC208" i="67"/>
  <c r="FB208" i="67"/>
  <c r="BM208" i="67"/>
  <c r="GA208" i="67"/>
  <c r="BP32" i="67"/>
  <c r="CD110" i="67"/>
  <c r="CD193" i="67"/>
  <c r="BP161" i="67"/>
  <c r="BP123" i="67"/>
  <c r="BP40" i="67"/>
  <c r="CD118" i="67"/>
  <c r="CD186" i="67"/>
  <c r="BB28" i="67"/>
  <c r="BP94" i="67"/>
  <c r="BP29" i="67"/>
  <c r="BP117" i="67"/>
  <c r="CD126" i="67"/>
  <c r="BB15" i="67"/>
  <c r="CD142" i="67"/>
  <c r="BP42" i="67"/>
  <c r="AN176" i="67"/>
  <c r="BP83" i="67"/>
  <c r="BP106" i="67"/>
  <c r="AN11" i="67"/>
  <c r="CD94" i="67"/>
  <c r="CD117" i="67"/>
  <c r="CD15" i="67"/>
  <c r="CD83" i="67"/>
  <c r="CD106" i="67"/>
  <c r="CD11" i="67"/>
  <c r="CD147" i="67"/>
  <c r="CD78" i="67"/>
  <c r="CD79" i="67"/>
  <c r="CD61" i="67"/>
  <c r="CD191" i="67"/>
  <c r="CD55" i="67"/>
  <c r="BP134" i="67"/>
  <c r="CD24" i="67"/>
  <c r="BP150" i="67"/>
  <c r="CD50" i="67"/>
  <c r="BP168" i="67"/>
  <c r="CD90" i="67"/>
  <c r="CD114" i="67"/>
  <c r="BB141" i="67"/>
  <c r="CD177" i="67"/>
  <c r="CD37" i="67"/>
  <c r="BB165" i="67"/>
  <c r="BB136" i="67"/>
  <c r="BL208" i="67"/>
  <c r="AN116" i="67"/>
  <c r="AN124" i="67"/>
  <c r="BB111" i="67"/>
  <c r="BB74" i="67"/>
  <c r="AN155" i="67"/>
  <c r="BB101" i="67"/>
  <c r="BB109" i="67"/>
  <c r="BB38" i="67"/>
  <c r="CD16" i="67"/>
  <c r="CD84" i="67"/>
  <c r="CD93" i="67"/>
  <c r="CD8" i="67"/>
  <c r="BQ208" i="67"/>
  <c r="BB85" i="67"/>
  <c r="CD32" i="67"/>
  <c r="AN25" i="67"/>
  <c r="CD89" i="67"/>
  <c r="CD28" i="67"/>
  <c r="BB163" i="67"/>
  <c r="AN170" i="67"/>
  <c r="AN21" i="67"/>
  <c r="AN115" i="67"/>
  <c r="AN70" i="67"/>
  <c r="BB140" i="67"/>
  <c r="AN47" i="67"/>
  <c r="AN172" i="67"/>
  <c r="CD40" i="67"/>
  <c r="BB33" i="67"/>
  <c r="CD194" i="67"/>
  <c r="BB35" i="67"/>
  <c r="AN184" i="67"/>
  <c r="CD29" i="67"/>
  <c r="AN64" i="67"/>
  <c r="AN182" i="67"/>
  <c r="BB81" i="67"/>
  <c r="CD42" i="67"/>
  <c r="BB104" i="67"/>
  <c r="AN17" i="67"/>
  <c r="AN144" i="67"/>
  <c r="AN44" i="67"/>
  <c r="AN187" i="67"/>
  <c r="BP10" i="67"/>
  <c r="BB149" i="67"/>
  <c r="CD136" i="67"/>
  <c r="AN9" i="67"/>
  <c r="DC208" i="67"/>
  <c r="BB132" i="67"/>
  <c r="BB116" i="67"/>
  <c r="BB124" i="67"/>
  <c r="BB155" i="67"/>
  <c r="AN101" i="67"/>
  <c r="AN109" i="67"/>
  <c r="BB18" i="67"/>
  <c r="BB95" i="67"/>
  <c r="BB113" i="67"/>
  <c r="BB188" i="67"/>
  <c r="AN38" i="67"/>
  <c r="AN92" i="67"/>
  <c r="BB26" i="67"/>
  <c r="CD39" i="67"/>
  <c r="AN19" i="67"/>
  <c r="CD22" i="67"/>
  <c r="CT208" i="67"/>
  <c r="AN85" i="67"/>
  <c r="DD208" i="67"/>
  <c r="BB25" i="67"/>
  <c r="AN163" i="67"/>
  <c r="BB170" i="67"/>
  <c r="BB21" i="67"/>
  <c r="BB115" i="67"/>
  <c r="BB70" i="67"/>
  <c r="AN140" i="67"/>
  <c r="BB47" i="67"/>
  <c r="BB172" i="67"/>
  <c r="AN33" i="67"/>
  <c r="CD158" i="67"/>
  <c r="AN35" i="67"/>
  <c r="BB184" i="67"/>
  <c r="BB64" i="67"/>
  <c r="BB182" i="67"/>
  <c r="AN81" i="67"/>
  <c r="CD104" i="67"/>
  <c r="BB17" i="67"/>
  <c r="BB144" i="67"/>
  <c r="BB44" i="67"/>
  <c r="BB187" i="67"/>
  <c r="CD141" i="67"/>
  <c r="BP31" i="67"/>
  <c r="CD157" i="67"/>
  <c r="CD120" i="67"/>
  <c r="BP189" i="67"/>
  <c r="AN10" i="67"/>
  <c r="CD103" i="67"/>
  <c r="CD183" i="67"/>
  <c r="BP105" i="67"/>
  <c r="BP60" i="67"/>
  <c r="BP165" i="67"/>
  <c r="BP9" i="67"/>
  <c r="BP77" i="67"/>
  <c r="DR208" i="67"/>
  <c r="BP116" i="67"/>
  <c r="BP124" i="67"/>
  <c r="CD111" i="67"/>
  <c r="BP155" i="67"/>
  <c r="BP109" i="67"/>
  <c r="BP18" i="67"/>
  <c r="BP49" i="67"/>
  <c r="BP38" i="67"/>
  <c r="BB92" i="67"/>
  <c r="AN26" i="67"/>
  <c r="BB19" i="67"/>
  <c r="BP85" i="67"/>
  <c r="DS208" i="67"/>
  <c r="CD127" i="67"/>
  <c r="BP25" i="67"/>
  <c r="CD151" i="67"/>
  <c r="BP163" i="67"/>
  <c r="BP170" i="67"/>
  <c r="BP21" i="67"/>
  <c r="BP115" i="67"/>
  <c r="BP70" i="67"/>
  <c r="BP140" i="67"/>
  <c r="BP47" i="67"/>
  <c r="BP172" i="67"/>
  <c r="BP56" i="67"/>
  <c r="CD135" i="67"/>
  <c r="BP33" i="67"/>
  <c r="BP35" i="67"/>
  <c r="BP64" i="67"/>
  <c r="BP182" i="67"/>
  <c r="BP81" i="67"/>
  <c r="AN104" i="67"/>
  <c r="BP17" i="67"/>
  <c r="BP144" i="67"/>
  <c r="BP187" i="67"/>
  <c r="CD64" i="67"/>
  <c r="CD182" i="67"/>
  <c r="CD81" i="67"/>
  <c r="CD17" i="67"/>
  <c r="CD144" i="67"/>
  <c r="CD187" i="67"/>
  <c r="CD180" i="67"/>
  <c r="CD54" i="67"/>
  <c r="CD72" i="67"/>
  <c r="CD112" i="67"/>
  <c r="CD152" i="67"/>
  <c r="CD52" i="67"/>
  <c r="CD169" i="67"/>
  <c r="CD35" i="67"/>
  <c r="AN98" i="67"/>
  <c r="AN94" i="67"/>
  <c r="CD184" i="67"/>
  <c r="BB29" i="67"/>
  <c r="AN117" i="67"/>
  <c r="AN126" i="67"/>
  <c r="AN15" i="67"/>
  <c r="BB142" i="67"/>
  <c r="BB42" i="67"/>
  <c r="BB176" i="67"/>
  <c r="BB83" i="67"/>
  <c r="CD44" i="67"/>
  <c r="AN106" i="67"/>
  <c r="BB11" i="67"/>
  <c r="AN131" i="67"/>
  <c r="AN147" i="67"/>
  <c r="AN78" i="67"/>
  <c r="AN53" i="67"/>
  <c r="AN20" i="67"/>
  <c r="BB79" i="67"/>
  <c r="CD108" i="67"/>
  <c r="BB61" i="67"/>
  <c r="BB190" i="67"/>
  <c r="BB191" i="67"/>
  <c r="BB55" i="67"/>
  <c r="BB134" i="67"/>
  <c r="AN24" i="67"/>
  <c r="AN150" i="67"/>
  <c r="AN50" i="67"/>
  <c r="BP112" i="67"/>
  <c r="BB168" i="67"/>
  <c r="CD27" i="67"/>
  <c r="AN90" i="67"/>
  <c r="AN114" i="67"/>
  <c r="AN125" i="67"/>
  <c r="BB98" i="67"/>
  <c r="BB94" i="67"/>
  <c r="AN29" i="67"/>
  <c r="BB117" i="67"/>
  <c r="BB126" i="67"/>
  <c r="BP15" i="67"/>
  <c r="AN142" i="67"/>
  <c r="AN42" i="67"/>
  <c r="CD176" i="67"/>
  <c r="AN83" i="67"/>
  <c r="BB106" i="67"/>
  <c r="BP11" i="67"/>
  <c r="BB131" i="67"/>
  <c r="BB147" i="67"/>
  <c r="BB78" i="67"/>
  <c r="BB53" i="67"/>
  <c r="BB20" i="67"/>
  <c r="AN79" i="67"/>
  <c r="AN61" i="67"/>
  <c r="AN190" i="67"/>
  <c r="AN191" i="67"/>
  <c r="AN55" i="67"/>
  <c r="AN134" i="67"/>
  <c r="BB24" i="67"/>
  <c r="BB150" i="67"/>
  <c r="BB50" i="67"/>
  <c r="AN168" i="67"/>
  <c r="BB90" i="67"/>
  <c r="BB114" i="67"/>
  <c r="BB125" i="67"/>
  <c r="BP147" i="67"/>
  <c r="BP78" i="67"/>
  <c r="BP20" i="67"/>
  <c r="BP79" i="67"/>
  <c r="BP61" i="67"/>
  <c r="BP190" i="67"/>
  <c r="BP191" i="67"/>
  <c r="BP55" i="67"/>
  <c r="CD134" i="67"/>
  <c r="BP24" i="67"/>
  <c r="CD150" i="67"/>
  <c r="BP50" i="67"/>
  <c r="BP90" i="67"/>
  <c r="BP114" i="67"/>
  <c r="BP125" i="67"/>
  <c r="CD125" i="67"/>
  <c r="AN180" i="67"/>
  <c r="CD20" i="67"/>
  <c r="BB54" i="67"/>
  <c r="BB108" i="67"/>
  <c r="BB12" i="67"/>
  <c r="AN100" i="67"/>
  <c r="AN72" i="67"/>
  <c r="AN112" i="67"/>
  <c r="CD168" i="67"/>
  <c r="BB27" i="67"/>
  <c r="AN152" i="67"/>
  <c r="AN52" i="67"/>
  <c r="AN169" i="67"/>
  <c r="BB166" i="67"/>
  <c r="BB180" i="67"/>
  <c r="AN54" i="67"/>
  <c r="BP12" i="67"/>
  <c r="BB100" i="67"/>
  <c r="BB72" i="67"/>
  <c r="BB112" i="67"/>
  <c r="AN27" i="67"/>
  <c r="BB152" i="67"/>
  <c r="BB52" i="67"/>
  <c r="BB169" i="67"/>
  <c r="AN166" i="67"/>
  <c r="BP180" i="67"/>
  <c r="BP54" i="67"/>
  <c r="AN12" i="67"/>
  <c r="BP100" i="67"/>
  <c r="BP72" i="67"/>
  <c r="BP27" i="67"/>
  <c r="BP152" i="67"/>
  <c r="BP52" i="67"/>
  <c r="BP169" i="67"/>
  <c r="BP166" i="67"/>
  <c r="CD166" i="67"/>
  <c r="Z208" i="61"/>
  <c r="Q208" i="61"/>
  <c r="K208" i="67"/>
  <c r="BA71" i="49"/>
  <c r="AG72" i="71" s="1"/>
  <c r="BC71" i="49"/>
  <c r="AI72" i="71" s="1"/>
  <c r="BD71" i="49"/>
  <c r="AO72" i="71" s="1"/>
  <c r="BA72" i="49"/>
  <c r="AG73" i="71" s="1"/>
  <c r="BC72" i="49"/>
  <c r="AI73" i="71" s="1"/>
  <c r="BD72" i="49"/>
  <c r="AO73" i="71" s="1"/>
  <c r="BA73" i="49"/>
  <c r="AG74" i="71" s="1"/>
  <c r="BC73" i="49"/>
  <c r="AI74" i="71" s="1"/>
  <c r="BD73" i="49"/>
  <c r="AO74" i="71" s="1"/>
  <c r="BA74" i="49"/>
  <c r="AG75" i="71" s="1"/>
  <c r="BC74" i="49"/>
  <c r="AI75" i="71" s="1"/>
  <c r="BD74" i="49"/>
  <c r="AO75" i="71" s="1"/>
  <c r="BA75" i="49"/>
  <c r="AG76" i="71" s="1"/>
  <c r="BC75" i="49"/>
  <c r="AI76" i="71" s="1"/>
  <c r="BD75" i="49"/>
  <c r="AO76" i="71" s="1"/>
  <c r="BA76" i="49"/>
  <c r="AG77" i="71" s="1"/>
  <c r="BC76" i="49"/>
  <c r="AI77" i="71" s="1"/>
  <c r="BD76" i="49"/>
  <c r="AO77" i="71" s="1"/>
  <c r="BA77" i="49"/>
  <c r="AG78" i="71" s="1"/>
  <c r="BC77" i="49"/>
  <c r="AI78" i="71" s="1"/>
  <c r="BD77" i="49"/>
  <c r="AO78" i="71" s="1"/>
  <c r="BA78" i="49"/>
  <c r="AG79" i="71" s="1"/>
  <c r="BC78" i="49"/>
  <c r="AI79" i="71" s="1"/>
  <c r="BD78" i="49"/>
  <c r="AO79" i="71" s="1"/>
  <c r="BA79" i="49"/>
  <c r="AG80" i="71" s="1"/>
  <c r="BC79" i="49"/>
  <c r="AI80" i="71" s="1"/>
  <c r="BD79" i="49"/>
  <c r="AO80" i="71" s="1"/>
  <c r="BA80" i="49"/>
  <c r="AG81" i="71" s="1"/>
  <c r="BC80" i="49"/>
  <c r="AI81" i="71" s="1"/>
  <c r="BD80" i="49"/>
  <c r="AO81" i="71" s="1"/>
  <c r="BA81" i="49"/>
  <c r="AG82" i="71" s="1"/>
  <c r="BC81" i="49"/>
  <c r="AI82" i="71" s="1"/>
  <c r="BD81" i="49"/>
  <c r="AO82" i="71" s="1"/>
  <c r="BA82" i="49"/>
  <c r="AG83" i="71" s="1"/>
  <c r="BC82" i="49"/>
  <c r="AI83" i="71" s="1"/>
  <c r="BD82" i="49"/>
  <c r="AO83" i="71" s="1"/>
  <c r="BA83" i="49"/>
  <c r="AG84" i="71" s="1"/>
  <c r="BC83" i="49"/>
  <c r="AI84" i="71" s="1"/>
  <c r="BD83" i="49"/>
  <c r="AO84" i="71" s="1"/>
  <c r="BA84" i="49"/>
  <c r="AG85" i="71" s="1"/>
  <c r="BC84" i="49"/>
  <c r="AI85" i="71" s="1"/>
  <c r="BD84" i="49"/>
  <c r="AO85" i="71" s="1"/>
  <c r="BA85" i="49"/>
  <c r="AG86" i="71" s="1"/>
  <c r="BC85" i="49"/>
  <c r="AI86" i="71" s="1"/>
  <c r="BD85" i="49"/>
  <c r="AO86" i="71" s="1"/>
  <c r="BA86" i="49"/>
  <c r="AG87" i="71" s="1"/>
  <c r="BC86" i="49"/>
  <c r="AI87" i="71" s="1"/>
  <c r="BD86" i="49"/>
  <c r="AO87" i="71" s="1"/>
  <c r="BA87" i="49"/>
  <c r="AG88" i="71" s="1"/>
  <c r="BC87" i="49"/>
  <c r="AI88" i="71" s="1"/>
  <c r="BD87" i="49"/>
  <c r="AO88" i="71" s="1"/>
  <c r="BA88" i="49"/>
  <c r="AG89" i="71" s="1"/>
  <c r="BC88" i="49"/>
  <c r="AI89" i="71" s="1"/>
  <c r="BD88" i="49"/>
  <c r="AO89" i="71" s="1"/>
  <c r="BA89" i="49"/>
  <c r="AG90" i="71" s="1"/>
  <c r="BC89" i="49"/>
  <c r="AI90" i="71" s="1"/>
  <c r="BD89" i="49"/>
  <c r="AO90" i="71" s="1"/>
  <c r="AX90" i="49"/>
  <c r="BA90" i="49"/>
  <c r="AG91" i="71" s="1"/>
  <c r="BC90" i="49"/>
  <c r="AI91" i="71" s="1"/>
  <c r="BD90" i="49"/>
  <c r="AO91" i="71" s="1"/>
  <c r="BA91" i="49"/>
  <c r="AG92" i="71" s="1"/>
  <c r="BC91" i="49"/>
  <c r="AI92" i="71" s="1"/>
  <c r="BD91" i="49"/>
  <c r="AO92" i="71" s="1"/>
  <c r="BA92" i="49"/>
  <c r="AG93" i="71" s="1"/>
  <c r="BC92" i="49"/>
  <c r="AI93" i="71" s="1"/>
  <c r="BD92" i="49"/>
  <c r="AO93" i="71" s="1"/>
  <c r="BA93" i="49"/>
  <c r="AG94" i="71" s="1"/>
  <c r="BC93" i="49"/>
  <c r="AI94" i="71" s="1"/>
  <c r="BD93" i="49"/>
  <c r="AO94" i="71" s="1"/>
  <c r="BA94" i="49"/>
  <c r="AG95" i="71" s="1"/>
  <c r="BC94" i="49"/>
  <c r="AI95" i="71" s="1"/>
  <c r="BD94" i="49"/>
  <c r="AO95" i="71" s="1"/>
  <c r="BA95" i="49"/>
  <c r="AG96" i="71" s="1"/>
  <c r="BC95" i="49"/>
  <c r="AI96" i="71" s="1"/>
  <c r="BD95" i="49"/>
  <c r="AO96" i="71" s="1"/>
  <c r="BA96" i="49"/>
  <c r="AG97" i="71" s="1"/>
  <c r="BC96" i="49"/>
  <c r="AI97" i="71" s="1"/>
  <c r="BD96" i="49"/>
  <c r="AO97" i="71" s="1"/>
  <c r="BA97" i="49"/>
  <c r="AG98" i="71" s="1"/>
  <c r="BC97" i="49"/>
  <c r="AI98" i="71" s="1"/>
  <c r="BD97" i="49"/>
  <c r="AO98" i="71" s="1"/>
  <c r="BA98" i="49"/>
  <c r="AG99" i="71" s="1"/>
  <c r="BC98" i="49"/>
  <c r="AI99" i="71" s="1"/>
  <c r="BD98" i="49"/>
  <c r="AO99" i="71" s="1"/>
  <c r="AX99" i="49"/>
  <c r="BA99" i="49"/>
  <c r="AG100" i="71" s="1"/>
  <c r="BC99" i="49"/>
  <c r="AI100" i="71" s="1"/>
  <c r="BD99" i="49"/>
  <c r="AO100" i="71" s="1"/>
  <c r="BA100" i="49"/>
  <c r="AG101" i="71" s="1"/>
  <c r="BC100" i="49"/>
  <c r="AI101" i="71" s="1"/>
  <c r="BD100" i="49"/>
  <c r="AO101" i="71" s="1"/>
  <c r="BA101" i="49"/>
  <c r="AG102" i="71" s="1"/>
  <c r="BC101" i="49"/>
  <c r="AI102" i="71" s="1"/>
  <c r="BD101" i="49"/>
  <c r="AO102" i="71" s="1"/>
  <c r="BA102" i="49"/>
  <c r="AG103" i="71" s="1"/>
  <c r="BC102" i="49"/>
  <c r="AI103" i="71" s="1"/>
  <c r="BD102" i="49"/>
  <c r="AO103" i="71" s="1"/>
  <c r="BA103" i="49"/>
  <c r="AG104" i="71" s="1"/>
  <c r="BC103" i="49"/>
  <c r="AI104" i="71" s="1"/>
  <c r="BD103" i="49"/>
  <c r="AO104" i="71" s="1"/>
  <c r="BA104" i="49"/>
  <c r="AG105" i="71" s="1"/>
  <c r="BC104" i="49"/>
  <c r="AI105" i="71" s="1"/>
  <c r="BD104" i="49"/>
  <c r="AO105" i="71" s="1"/>
  <c r="BA105" i="49"/>
  <c r="AG106" i="71" s="1"/>
  <c r="BC105" i="49"/>
  <c r="AI106" i="71" s="1"/>
  <c r="BD105" i="49"/>
  <c r="AO106" i="71" s="1"/>
  <c r="BA106" i="49"/>
  <c r="AG107" i="71" s="1"/>
  <c r="BC106" i="49"/>
  <c r="AI107" i="71" s="1"/>
  <c r="BD106" i="49"/>
  <c r="AO107" i="71" s="1"/>
  <c r="BA107" i="49"/>
  <c r="AG108" i="71" s="1"/>
  <c r="BC107" i="49"/>
  <c r="AI108" i="71" s="1"/>
  <c r="BD107" i="49"/>
  <c r="AO108" i="71" s="1"/>
  <c r="BA108" i="49"/>
  <c r="AG109" i="71" s="1"/>
  <c r="BC108" i="49"/>
  <c r="AI109" i="71" s="1"/>
  <c r="BD108" i="49"/>
  <c r="AO109" i="71" s="1"/>
  <c r="BA109" i="49"/>
  <c r="AG110" i="71" s="1"/>
  <c r="BC109" i="49"/>
  <c r="AI110" i="71" s="1"/>
  <c r="BD109" i="49"/>
  <c r="AO110" i="71" s="1"/>
  <c r="BA110" i="49"/>
  <c r="AG111" i="71" s="1"/>
  <c r="BC110" i="49"/>
  <c r="AI111" i="71" s="1"/>
  <c r="BD110" i="49"/>
  <c r="AO111" i="71" s="1"/>
  <c r="BA111" i="49"/>
  <c r="AG112" i="71" s="1"/>
  <c r="BC111" i="49"/>
  <c r="AI112" i="71" s="1"/>
  <c r="BD111" i="49"/>
  <c r="AO112" i="71" s="1"/>
  <c r="BA112" i="49"/>
  <c r="AG113" i="71" s="1"/>
  <c r="BC112" i="49"/>
  <c r="AI113" i="71" s="1"/>
  <c r="BD112" i="49"/>
  <c r="AO113" i="71" s="1"/>
  <c r="BA113" i="49"/>
  <c r="AG114" i="71" s="1"/>
  <c r="BC113" i="49"/>
  <c r="AI114" i="71" s="1"/>
  <c r="BD113" i="49"/>
  <c r="AO114" i="71" s="1"/>
  <c r="BA114" i="49"/>
  <c r="AG115" i="71" s="1"/>
  <c r="BC114" i="49"/>
  <c r="AI115" i="71" s="1"/>
  <c r="BD114" i="49"/>
  <c r="AO115" i="71" s="1"/>
  <c r="BA115" i="49"/>
  <c r="AG116" i="71" s="1"/>
  <c r="BC115" i="49"/>
  <c r="AI116" i="71" s="1"/>
  <c r="BD115" i="49"/>
  <c r="AO116" i="71" s="1"/>
  <c r="BA116" i="49"/>
  <c r="AG117" i="71" s="1"/>
  <c r="BC116" i="49"/>
  <c r="AI117" i="71" s="1"/>
  <c r="BD116" i="49"/>
  <c r="AO117" i="71" s="1"/>
  <c r="BA117" i="49"/>
  <c r="AG118" i="71" s="1"/>
  <c r="BC117" i="49"/>
  <c r="AI118" i="71" s="1"/>
  <c r="BD117" i="49"/>
  <c r="AO118" i="71" s="1"/>
  <c r="BA118" i="49"/>
  <c r="AG119" i="71" s="1"/>
  <c r="BC118" i="49"/>
  <c r="AI119" i="71" s="1"/>
  <c r="BD118" i="49"/>
  <c r="AO119" i="71" s="1"/>
  <c r="BA119" i="49"/>
  <c r="AG120" i="71" s="1"/>
  <c r="BC119" i="49"/>
  <c r="AI120" i="71" s="1"/>
  <c r="BD119" i="49"/>
  <c r="AO120" i="71" s="1"/>
  <c r="BA120" i="49"/>
  <c r="AG121" i="71" s="1"/>
  <c r="BC120" i="49"/>
  <c r="AI121" i="71" s="1"/>
  <c r="BD120" i="49"/>
  <c r="AO121" i="71" s="1"/>
  <c r="BA121" i="49"/>
  <c r="AG122" i="71" s="1"/>
  <c r="BC121" i="49"/>
  <c r="AI122" i="71" s="1"/>
  <c r="BD121" i="49"/>
  <c r="AO122" i="71" s="1"/>
  <c r="BA122" i="49"/>
  <c r="AG123" i="71" s="1"/>
  <c r="BC122" i="49"/>
  <c r="AI123" i="71" s="1"/>
  <c r="BD122" i="49"/>
  <c r="AO123" i="71" s="1"/>
  <c r="BA123" i="49"/>
  <c r="AG124" i="71" s="1"/>
  <c r="BC123" i="49"/>
  <c r="AI124" i="71" s="1"/>
  <c r="BD123" i="49"/>
  <c r="AO124" i="71" s="1"/>
  <c r="BA124" i="49"/>
  <c r="AG125" i="71" s="1"/>
  <c r="BC124" i="49"/>
  <c r="AI125" i="71" s="1"/>
  <c r="BD124" i="49"/>
  <c r="AO125" i="71" s="1"/>
  <c r="BA125" i="49"/>
  <c r="AG126" i="71" s="1"/>
  <c r="BC125" i="49"/>
  <c r="AI126" i="71" s="1"/>
  <c r="BD125" i="49"/>
  <c r="AO126" i="71" s="1"/>
  <c r="BA126" i="49"/>
  <c r="AG127" i="71" s="1"/>
  <c r="BC126" i="49"/>
  <c r="AI127" i="71" s="1"/>
  <c r="BD126" i="49"/>
  <c r="AO127" i="71" s="1"/>
  <c r="BA127" i="49"/>
  <c r="AG128" i="71" s="1"/>
  <c r="BC127" i="49"/>
  <c r="AI128" i="71" s="1"/>
  <c r="BD127" i="49"/>
  <c r="AO128" i="71" s="1"/>
  <c r="BA128" i="49"/>
  <c r="AG129" i="71" s="1"/>
  <c r="BC128" i="49"/>
  <c r="AI129" i="71" s="1"/>
  <c r="BD128" i="49"/>
  <c r="AO129" i="71" s="1"/>
  <c r="BA129" i="49"/>
  <c r="AG130" i="71" s="1"/>
  <c r="BC129" i="49"/>
  <c r="AI130" i="71" s="1"/>
  <c r="BD129" i="49"/>
  <c r="AO130" i="71" s="1"/>
  <c r="BA130" i="49"/>
  <c r="AG131" i="71" s="1"/>
  <c r="BC130" i="49"/>
  <c r="AI131" i="71" s="1"/>
  <c r="BD130" i="49"/>
  <c r="AO131" i="71" s="1"/>
  <c r="BA131" i="49"/>
  <c r="AG132" i="71" s="1"/>
  <c r="BC131" i="49"/>
  <c r="AI132" i="71" s="1"/>
  <c r="BD131" i="49"/>
  <c r="AO132" i="71" s="1"/>
  <c r="BA132" i="49"/>
  <c r="AG133" i="71" s="1"/>
  <c r="BC132" i="49"/>
  <c r="AI133" i="71" s="1"/>
  <c r="BD132" i="49"/>
  <c r="AO133" i="71" s="1"/>
  <c r="BA133" i="49"/>
  <c r="AG134" i="71" s="1"/>
  <c r="BC133" i="49"/>
  <c r="AI134" i="71" s="1"/>
  <c r="BD133" i="49"/>
  <c r="AO134" i="71" s="1"/>
  <c r="BA134" i="49"/>
  <c r="AG135" i="71" s="1"/>
  <c r="BC134" i="49"/>
  <c r="AI135" i="71" s="1"/>
  <c r="BD134" i="49"/>
  <c r="AO135" i="71" s="1"/>
  <c r="BA135" i="49"/>
  <c r="AG136" i="71" s="1"/>
  <c r="BC135" i="49"/>
  <c r="AI136" i="71" s="1"/>
  <c r="BD135" i="49"/>
  <c r="AO136" i="71" s="1"/>
  <c r="BA136" i="49"/>
  <c r="AG137" i="71" s="1"/>
  <c r="BC136" i="49"/>
  <c r="AI137" i="71" s="1"/>
  <c r="BD136" i="49"/>
  <c r="AO137" i="71" s="1"/>
  <c r="BA137" i="49"/>
  <c r="AG138" i="71" s="1"/>
  <c r="BC137" i="49"/>
  <c r="AI138" i="71" s="1"/>
  <c r="BD137" i="49"/>
  <c r="AO138" i="71" s="1"/>
  <c r="BA138" i="49"/>
  <c r="AG139" i="71" s="1"/>
  <c r="BC138" i="49"/>
  <c r="AI139" i="71" s="1"/>
  <c r="BD138" i="49"/>
  <c r="AO139" i="71" s="1"/>
  <c r="BA139" i="49"/>
  <c r="AG140" i="71" s="1"/>
  <c r="BC139" i="49"/>
  <c r="AI140" i="71" s="1"/>
  <c r="BD139" i="49"/>
  <c r="AO140" i="71" s="1"/>
  <c r="BA140" i="49"/>
  <c r="AG141" i="71" s="1"/>
  <c r="BC140" i="49"/>
  <c r="AI141" i="71" s="1"/>
  <c r="BD140" i="49"/>
  <c r="AO141" i="71" s="1"/>
  <c r="BA141" i="49"/>
  <c r="AG142" i="71" s="1"/>
  <c r="BC141" i="49"/>
  <c r="AI142" i="71" s="1"/>
  <c r="BD141" i="49"/>
  <c r="AO142" i="71" s="1"/>
  <c r="BA142" i="49"/>
  <c r="AG143" i="71" s="1"/>
  <c r="BC142" i="49"/>
  <c r="AI143" i="71" s="1"/>
  <c r="BD142" i="49"/>
  <c r="AO143" i="71" s="1"/>
  <c r="BA143" i="49"/>
  <c r="AG144" i="71" s="1"/>
  <c r="BC143" i="49"/>
  <c r="AI144" i="71" s="1"/>
  <c r="BD143" i="49"/>
  <c r="AO144" i="71" s="1"/>
  <c r="AX144" i="49"/>
  <c r="BA144" i="49"/>
  <c r="AG145" i="71" s="1"/>
  <c r="BC144" i="49"/>
  <c r="AI145" i="71" s="1"/>
  <c r="BD144" i="49"/>
  <c r="AO145" i="71" s="1"/>
  <c r="BA145" i="49"/>
  <c r="AG146" i="71" s="1"/>
  <c r="BC145" i="49"/>
  <c r="AI146" i="71" s="1"/>
  <c r="BD145" i="49"/>
  <c r="AO146" i="71" s="1"/>
  <c r="BA146" i="49"/>
  <c r="AG147" i="71" s="1"/>
  <c r="BC146" i="49"/>
  <c r="AI147" i="71" s="1"/>
  <c r="BD146" i="49"/>
  <c r="AO147" i="71" s="1"/>
  <c r="BA147" i="49"/>
  <c r="AG148" i="71" s="1"/>
  <c r="BC147" i="49"/>
  <c r="AI148" i="71" s="1"/>
  <c r="BD147" i="49"/>
  <c r="AO148" i="71" s="1"/>
  <c r="BA148" i="49"/>
  <c r="AG149" i="71" s="1"/>
  <c r="BC148" i="49"/>
  <c r="AI149" i="71" s="1"/>
  <c r="BD148" i="49"/>
  <c r="AO149" i="71" s="1"/>
  <c r="BA149" i="49"/>
  <c r="AG150" i="71" s="1"/>
  <c r="BC149" i="49"/>
  <c r="AI150" i="71" s="1"/>
  <c r="BD149" i="49"/>
  <c r="AO150" i="71" s="1"/>
  <c r="BA150" i="49"/>
  <c r="AG151" i="71" s="1"/>
  <c r="BC150" i="49"/>
  <c r="AI151" i="71" s="1"/>
  <c r="BD150" i="49"/>
  <c r="AO151" i="71" s="1"/>
  <c r="BA151" i="49"/>
  <c r="AG152" i="71" s="1"/>
  <c r="BC151" i="49"/>
  <c r="AI152" i="71" s="1"/>
  <c r="BD151" i="49"/>
  <c r="AO152" i="71" s="1"/>
  <c r="BA152" i="49"/>
  <c r="AG153" i="71" s="1"/>
  <c r="BC152" i="49"/>
  <c r="AI153" i="71" s="1"/>
  <c r="BD152" i="49"/>
  <c r="AO153" i="71" s="1"/>
  <c r="BA153" i="49"/>
  <c r="AG154" i="71" s="1"/>
  <c r="BC153" i="49"/>
  <c r="AI154" i="71" s="1"/>
  <c r="BD153" i="49"/>
  <c r="AO154" i="71" s="1"/>
  <c r="BA154" i="49"/>
  <c r="AG155" i="71" s="1"/>
  <c r="BC154" i="49"/>
  <c r="AI155" i="71" s="1"/>
  <c r="BD154" i="49"/>
  <c r="AO155" i="71" s="1"/>
  <c r="BA155" i="49"/>
  <c r="AG156" i="71" s="1"/>
  <c r="BC155" i="49"/>
  <c r="AI156" i="71" s="1"/>
  <c r="BD155" i="49"/>
  <c r="AO156" i="71" s="1"/>
  <c r="BA156" i="49"/>
  <c r="AG157" i="71" s="1"/>
  <c r="BC156" i="49"/>
  <c r="AI157" i="71" s="1"/>
  <c r="BD156" i="49"/>
  <c r="AO157" i="71" s="1"/>
  <c r="BA157" i="49"/>
  <c r="AG158" i="71" s="1"/>
  <c r="BC157" i="49"/>
  <c r="AI158" i="71" s="1"/>
  <c r="BD157" i="49"/>
  <c r="AO158" i="71" s="1"/>
  <c r="BA158" i="49"/>
  <c r="AG159" i="71" s="1"/>
  <c r="BC158" i="49"/>
  <c r="AI159" i="71" s="1"/>
  <c r="BD158" i="49"/>
  <c r="AO159" i="71" s="1"/>
  <c r="BA159" i="49"/>
  <c r="AG160" i="71" s="1"/>
  <c r="BC159" i="49"/>
  <c r="AI160" i="71" s="1"/>
  <c r="BD159" i="49"/>
  <c r="AO160" i="71" s="1"/>
  <c r="BA160" i="49"/>
  <c r="AG161" i="71" s="1"/>
  <c r="BC160" i="49"/>
  <c r="AI161" i="71" s="1"/>
  <c r="BD160" i="49"/>
  <c r="AO161" i="71" s="1"/>
  <c r="AX161" i="49"/>
  <c r="BA161" i="49"/>
  <c r="AG162" i="71" s="1"/>
  <c r="BC161" i="49"/>
  <c r="AI162" i="71" s="1"/>
  <c r="BD161" i="49"/>
  <c r="AO162" i="71" s="1"/>
  <c r="BA162" i="49"/>
  <c r="AG163" i="71" s="1"/>
  <c r="BC162" i="49"/>
  <c r="AI163" i="71" s="1"/>
  <c r="BD162" i="49"/>
  <c r="AO163" i="71" s="1"/>
  <c r="BA163" i="49"/>
  <c r="AG164" i="71" s="1"/>
  <c r="BC163" i="49"/>
  <c r="AI164" i="71" s="1"/>
  <c r="BD163" i="49"/>
  <c r="AO164" i="71" s="1"/>
  <c r="BA164" i="49"/>
  <c r="AG165" i="71" s="1"/>
  <c r="BC164" i="49"/>
  <c r="AI165" i="71" s="1"/>
  <c r="BD164" i="49"/>
  <c r="AO165" i="71" s="1"/>
  <c r="BA165" i="49"/>
  <c r="AG166" i="71" s="1"/>
  <c r="BC165" i="49"/>
  <c r="AI166" i="71" s="1"/>
  <c r="BD165" i="49"/>
  <c r="AO166" i="71" s="1"/>
  <c r="BA166" i="49"/>
  <c r="AG167" i="71" s="1"/>
  <c r="BC166" i="49"/>
  <c r="AI167" i="71" s="1"/>
  <c r="BD166" i="49"/>
  <c r="AO167" i="71" s="1"/>
  <c r="BA167" i="49"/>
  <c r="AG168" i="71" s="1"/>
  <c r="BC167" i="49"/>
  <c r="AI168" i="71" s="1"/>
  <c r="BD167" i="49"/>
  <c r="AO168" i="71" s="1"/>
  <c r="BA168" i="49"/>
  <c r="AG169" i="71" s="1"/>
  <c r="BC168" i="49"/>
  <c r="AI169" i="71" s="1"/>
  <c r="BD168" i="49"/>
  <c r="AO169" i="71" s="1"/>
  <c r="BA169" i="49"/>
  <c r="AG170" i="71" s="1"/>
  <c r="BC169" i="49"/>
  <c r="AI170" i="71" s="1"/>
  <c r="BD169" i="49"/>
  <c r="AO170" i="71" s="1"/>
  <c r="BA170" i="49"/>
  <c r="AG171" i="71" s="1"/>
  <c r="BC170" i="49"/>
  <c r="AI171" i="71" s="1"/>
  <c r="BD170" i="49"/>
  <c r="AO171" i="71" s="1"/>
  <c r="BA171" i="49"/>
  <c r="AG172" i="71" s="1"/>
  <c r="BC171" i="49"/>
  <c r="AI172" i="71" s="1"/>
  <c r="BD171" i="49"/>
  <c r="AO172" i="71" s="1"/>
  <c r="AX172" i="49"/>
  <c r="AD173" i="71" s="1"/>
  <c r="BA172" i="49"/>
  <c r="AG173" i="71" s="1"/>
  <c r="BC172" i="49"/>
  <c r="AI173" i="71" s="1"/>
  <c r="BD172" i="49"/>
  <c r="AO173" i="71" s="1"/>
  <c r="BA173" i="49"/>
  <c r="AG174" i="71" s="1"/>
  <c r="BC173" i="49"/>
  <c r="AI174" i="71" s="1"/>
  <c r="BD173" i="49"/>
  <c r="AO174" i="71" s="1"/>
  <c r="BA174" i="49"/>
  <c r="AG175" i="71" s="1"/>
  <c r="BC174" i="49"/>
  <c r="AI175" i="71" s="1"/>
  <c r="BD174" i="49"/>
  <c r="AO175" i="71" s="1"/>
  <c r="BA175" i="49"/>
  <c r="AG176" i="71" s="1"/>
  <c r="BC175" i="49"/>
  <c r="AI176" i="71" s="1"/>
  <c r="BD175" i="49"/>
  <c r="AO176" i="71" s="1"/>
  <c r="BA176" i="49"/>
  <c r="AG177" i="71" s="1"/>
  <c r="BC176" i="49"/>
  <c r="AI177" i="71" s="1"/>
  <c r="BD176" i="49"/>
  <c r="AO177" i="71" s="1"/>
  <c r="BA177" i="49"/>
  <c r="AG178" i="71" s="1"/>
  <c r="BC177" i="49"/>
  <c r="AI178" i="71" s="1"/>
  <c r="BD177" i="49"/>
  <c r="AO178" i="71" s="1"/>
  <c r="BA178" i="49"/>
  <c r="AG179" i="71" s="1"/>
  <c r="BC178" i="49"/>
  <c r="AI179" i="71" s="1"/>
  <c r="BD178" i="49"/>
  <c r="AO179" i="71" s="1"/>
  <c r="BA179" i="49"/>
  <c r="AG180" i="71" s="1"/>
  <c r="BC179" i="49"/>
  <c r="AI180" i="71" s="1"/>
  <c r="BD179" i="49"/>
  <c r="AO180" i="71" s="1"/>
  <c r="BA180" i="49"/>
  <c r="AG181" i="71" s="1"/>
  <c r="BC180" i="49"/>
  <c r="AI181" i="71" s="1"/>
  <c r="BD180" i="49"/>
  <c r="AO181" i="71" s="1"/>
  <c r="BA181" i="49"/>
  <c r="AG182" i="71" s="1"/>
  <c r="BC181" i="49"/>
  <c r="AI182" i="71" s="1"/>
  <c r="BD181" i="49"/>
  <c r="AO182" i="71" s="1"/>
  <c r="BA182" i="49"/>
  <c r="AG183" i="71" s="1"/>
  <c r="BC182" i="49"/>
  <c r="AI183" i="71" s="1"/>
  <c r="BD182" i="49"/>
  <c r="AO183" i="71" s="1"/>
  <c r="BA183" i="49"/>
  <c r="AG184" i="71" s="1"/>
  <c r="BC183" i="49"/>
  <c r="AI184" i="71" s="1"/>
  <c r="BD183" i="49"/>
  <c r="AO184" i="71" s="1"/>
  <c r="BA184" i="49"/>
  <c r="AG185" i="71" s="1"/>
  <c r="BC184" i="49"/>
  <c r="AI185" i="71" s="1"/>
  <c r="BD184" i="49"/>
  <c r="AO185" i="71" s="1"/>
  <c r="BA185" i="49"/>
  <c r="AG186" i="71" s="1"/>
  <c r="BC185" i="49"/>
  <c r="AI186" i="71" s="1"/>
  <c r="BD185" i="49"/>
  <c r="AO186" i="71" s="1"/>
  <c r="BA186" i="49"/>
  <c r="AG187" i="71" s="1"/>
  <c r="BC186" i="49"/>
  <c r="AI187" i="71" s="1"/>
  <c r="BD186" i="49"/>
  <c r="AO187" i="71" s="1"/>
  <c r="BA187" i="49"/>
  <c r="AG188" i="71" s="1"/>
  <c r="BC187" i="49"/>
  <c r="AI188" i="71" s="1"/>
  <c r="BD187" i="49"/>
  <c r="AO188" i="71" s="1"/>
  <c r="BA188" i="49"/>
  <c r="AG189" i="71" s="1"/>
  <c r="BC188" i="49"/>
  <c r="AI189" i="71" s="1"/>
  <c r="BD188" i="49"/>
  <c r="AO189" i="71" s="1"/>
  <c r="AX189" i="49"/>
  <c r="BA189" i="49"/>
  <c r="AG190" i="71" s="1"/>
  <c r="BC189" i="49"/>
  <c r="AI190" i="71" s="1"/>
  <c r="BD189" i="49"/>
  <c r="AO190" i="71" s="1"/>
  <c r="BA190" i="49"/>
  <c r="AG191" i="71" s="1"/>
  <c r="BC190" i="49"/>
  <c r="AI191" i="71" s="1"/>
  <c r="BD190" i="49"/>
  <c r="AO191" i="71" s="1"/>
  <c r="BA191" i="49"/>
  <c r="AG192" i="71" s="1"/>
  <c r="BC191" i="49"/>
  <c r="AI192" i="71" s="1"/>
  <c r="BD191" i="49"/>
  <c r="AO192" i="71" s="1"/>
  <c r="BA192" i="49"/>
  <c r="AG193" i="71" s="1"/>
  <c r="BC192" i="49"/>
  <c r="AI193" i="71" s="1"/>
  <c r="BD192" i="49"/>
  <c r="AO193" i="71" s="1"/>
  <c r="BA193" i="49"/>
  <c r="AG194" i="71" s="1"/>
  <c r="BC193" i="49"/>
  <c r="AI194" i="71" s="1"/>
  <c r="BD193" i="49"/>
  <c r="AO194" i="71" s="1"/>
  <c r="BA194" i="49"/>
  <c r="AG195" i="71" s="1"/>
  <c r="BC194" i="49"/>
  <c r="AI195" i="71" s="1"/>
  <c r="BD194" i="49"/>
  <c r="AO195" i="71" s="1"/>
  <c r="BA195" i="49"/>
  <c r="AG196" i="71" s="1"/>
  <c r="BC195" i="49"/>
  <c r="AI196" i="71" s="1"/>
  <c r="BD195" i="49"/>
  <c r="AO196" i="71" s="1"/>
  <c r="AX196" i="49"/>
  <c r="BA196" i="49"/>
  <c r="AG197" i="71" s="1"/>
  <c r="BC196" i="49"/>
  <c r="AI197" i="71" s="1"/>
  <c r="BD196" i="49"/>
  <c r="AO197" i="71" s="1"/>
  <c r="AX197" i="49"/>
  <c r="BA197" i="49"/>
  <c r="AG198" i="71" s="1"/>
  <c r="BC197" i="49"/>
  <c r="AI198" i="71" s="1"/>
  <c r="BD197" i="49"/>
  <c r="AO198" i="71" s="1"/>
  <c r="AX198" i="49"/>
  <c r="BA198" i="49"/>
  <c r="AG199" i="71" s="1"/>
  <c r="BC198" i="49"/>
  <c r="AI199" i="71" s="1"/>
  <c r="BD198" i="49"/>
  <c r="AO199" i="71" s="1"/>
  <c r="BA199" i="49"/>
  <c r="AG200" i="71" s="1"/>
  <c r="BC199" i="49"/>
  <c r="AI200" i="71" s="1"/>
  <c r="BD199" i="49"/>
  <c r="AO200" i="71" s="1"/>
  <c r="BA200" i="49"/>
  <c r="AG201" i="71" s="1"/>
  <c r="BC200" i="49"/>
  <c r="AI201" i="71" s="1"/>
  <c r="BD200" i="49"/>
  <c r="AO201" i="71" s="1"/>
  <c r="AX201" i="49"/>
  <c r="BA201" i="49"/>
  <c r="AG202" i="71" s="1"/>
  <c r="BC201" i="49"/>
  <c r="AI202" i="71" s="1"/>
  <c r="BD201" i="49"/>
  <c r="AO202" i="71" s="1"/>
  <c r="BA202" i="49"/>
  <c r="AG203" i="71" s="1"/>
  <c r="BC202" i="49"/>
  <c r="AI203" i="71" s="1"/>
  <c r="BD202" i="49"/>
  <c r="AO203" i="71" s="1"/>
  <c r="AX203" i="49"/>
  <c r="BA203" i="49"/>
  <c r="AG204" i="71" s="1"/>
  <c r="BC203" i="49"/>
  <c r="AI204" i="71" s="1"/>
  <c r="BD203" i="49"/>
  <c r="AO204" i="71" s="1"/>
  <c r="AX204" i="49"/>
  <c r="BA204" i="49"/>
  <c r="AG205" i="71" s="1"/>
  <c r="BC204" i="49"/>
  <c r="AI205" i="71" s="1"/>
  <c r="BD204" i="49"/>
  <c r="AO205" i="71" s="1"/>
  <c r="BA205" i="49"/>
  <c r="AG206" i="71" s="1"/>
  <c r="BC205" i="49"/>
  <c r="AI206" i="71" s="1"/>
  <c r="BD205" i="49"/>
  <c r="AO206" i="71" s="1"/>
  <c r="BA206" i="49"/>
  <c r="AG207" i="71" s="1"/>
  <c r="BC206" i="49"/>
  <c r="AI207" i="71" s="1"/>
  <c r="BD206" i="49"/>
  <c r="AO207" i="71" s="1"/>
  <c r="BA70" i="49"/>
  <c r="AG71" i="71" s="1"/>
  <c r="BC70" i="49"/>
  <c r="AI71" i="71" s="1"/>
  <c r="BD70" i="49"/>
  <c r="AO71" i="71" s="1"/>
  <c r="BA8" i="49"/>
  <c r="AG9" i="71" s="1"/>
  <c r="BC8" i="49"/>
  <c r="AI9" i="71" s="1"/>
  <c r="BD8" i="49"/>
  <c r="AO9" i="71" s="1"/>
  <c r="BA9" i="49"/>
  <c r="AG10" i="71" s="1"/>
  <c r="BC9" i="49"/>
  <c r="AI10" i="71" s="1"/>
  <c r="BD9" i="49"/>
  <c r="AO10" i="71" s="1"/>
  <c r="BA10" i="49"/>
  <c r="AG11" i="71" s="1"/>
  <c r="BC10" i="49"/>
  <c r="AI11" i="71" s="1"/>
  <c r="BD10" i="49"/>
  <c r="AO11" i="71" s="1"/>
  <c r="BA11" i="49"/>
  <c r="AG12" i="71" s="1"/>
  <c r="BC11" i="49"/>
  <c r="AI12" i="71" s="1"/>
  <c r="BD11" i="49"/>
  <c r="AO12" i="71" s="1"/>
  <c r="BA12" i="49"/>
  <c r="AG13" i="71" s="1"/>
  <c r="BC12" i="49"/>
  <c r="AI13" i="71" s="1"/>
  <c r="BD12" i="49"/>
  <c r="AO13" i="71" s="1"/>
  <c r="BA13" i="49"/>
  <c r="AG14" i="71" s="1"/>
  <c r="BC13" i="49"/>
  <c r="AI14" i="71" s="1"/>
  <c r="BD13" i="49"/>
  <c r="AO14" i="71" s="1"/>
  <c r="BA14" i="49"/>
  <c r="AG15" i="71" s="1"/>
  <c r="BC14" i="49"/>
  <c r="AI15" i="71" s="1"/>
  <c r="BD14" i="49"/>
  <c r="AO15" i="71" s="1"/>
  <c r="BA15" i="49"/>
  <c r="AG16" i="71" s="1"/>
  <c r="BC15" i="49"/>
  <c r="AI16" i="71" s="1"/>
  <c r="BD15" i="49"/>
  <c r="AO16" i="71" s="1"/>
  <c r="BA16" i="49"/>
  <c r="AG17" i="71" s="1"/>
  <c r="BC16" i="49"/>
  <c r="AI17" i="71" s="1"/>
  <c r="BD16" i="49"/>
  <c r="AO17" i="71" s="1"/>
  <c r="BA17" i="49"/>
  <c r="AG18" i="71" s="1"/>
  <c r="BC17" i="49"/>
  <c r="AI18" i="71" s="1"/>
  <c r="BD17" i="49"/>
  <c r="AO18" i="71" s="1"/>
  <c r="BA18" i="49"/>
  <c r="AG19" i="71" s="1"/>
  <c r="BC18" i="49"/>
  <c r="AI19" i="71" s="1"/>
  <c r="BD18" i="49"/>
  <c r="AO19" i="71" s="1"/>
  <c r="BA19" i="49"/>
  <c r="AG20" i="71" s="1"/>
  <c r="BC19" i="49"/>
  <c r="AI20" i="71" s="1"/>
  <c r="BD19" i="49"/>
  <c r="AO20" i="71" s="1"/>
  <c r="BA20" i="49"/>
  <c r="AG21" i="71" s="1"/>
  <c r="BC20" i="49"/>
  <c r="AI21" i="71" s="1"/>
  <c r="BD20" i="49"/>
  <c r="AO21" i="71" s="1"/>
  <c r="BA21" i="49"/>
  <c r="AG22" i="71" s="1"/>
  <c r="BC21" i="49"/>
  <c r="AI22" i="71" s="1"/>
  <c r="BD21" i="49"/>
  <c r="AO22" i="71" s="1"/>
  <c r="BA22" i="49"/>
  <c r="AG23" i="71" s="1"/>
  <c r="BC22" i="49"/>
  <c r="AI23" i="71" s="1"/>
  <c r="BD22" i="49"/>
  <c r="AO23" i="71" s="1"/>
  <c r="BA23" i="49"/>
  <c r="AG24" i="71" s="1"/>
  <c r="BC23" i="49"/>
  <c r="AI24" i="71" s="1"/>
  <c r="BD23" i="49"/>
  <c r="AO24" i="71" s="1"/>
  <c r="BA24" i="49"/>
  <c r="AG25" i="71" s="1"/>
  <c r="BC24" i="49"/>
  <c r="AI25" i="71" s="1"/>
  <c r="BD24" i="49"/>
  <c r="AO25" i="71" s="1"/>
  <c r="BA25" i="49"/>
  <c r="AG26" i="71" s="1"/>
  <c r="BC25" i="49"/>
  <c r="AI26" i="71" s="1"/>
  <c r="BD25" i="49"/>
  <c r="AO26" i="71" s="1"/>
  <c r="BA26" i="49"/>
  <c r="AG27" i="71" s="1"/>
  <c r="BC26" i="49"/>
  <c r="AI27" i="71" s="1"/>
  <c r="BD26" i="49"/>
  <c r="AO27" i="71" s="1"/>
  <c r="BA27" i="49"/>
  <c r="AG28" i="71" s="1"/>
  <c r="BC27" i="49"/>
  <c r="AI28" i="71" s="1"/>
  <c r="BD27" i="49"/>
  <c r="AO28" i="71" s="1"/>
  <c r="BA28" i="49"/>
  <c r="AG29" i="71" s="1"/>
  <c r="BC28" i="49"/>
  <c r="AI29" i="71" s="1"/>
  <c r="BD28" i="49"/>
  <c r="AO29" i="71" s="1"/>
  <c r="AX29" i="49"/>
  <c r="BA29" i="49"/>
  <c r="AG30" i="71" s="1"/>
  <c r="BC29" i="49"/>
  <c r="AI30" i="71" s="1"/>
  <c r="BD29" i="49"/>
  <c r="AO30" i="71" s="1"/>
  <c r="AX30" i="49"/>
  <c r="BA30" i="49"/>
  <c r="AG31" i="71" s="1"/>
  <c r="BC30" i="49"/>
  <c r="AI31" i="71" s="1"/>
  <c r="BD30" i="49"/>
  <c r="AO31" i="71" s="1"/>
  <c r="BA31" i="49"/>
  <c r="AG32" i="71" s="1"/>
  <c r="BC31" i="49"/>
  <c r="AI32" i="71" s="1"/>
  <c r="BD31" i="49"/>
  <c r="AO32" i="71" s="1"/>
  <c r="BA32" i="49"/>
  <c r="AG33" i="71" s="1"/>
  <c r="BC32" i="49"/>
  <c r="AI33" i="71" s="1"/>
  <c r="BD32" i="49"/>
  <c r="AO33" i="71" s="1"/>
  <c r="BA33" i="49"/>
  <c r="AG34" i="71" s="1"/>
  <c r="BC33" i="49"/>
  <c r="AI34" i="71" s="1"/>
  <c r="BD33" i="49"/>
  <c r="AO34" i="71" s="1"/>
  <c r="BA34" i="49"/>
  <c r="AG35" i="71" s="1"/>
  <c r="BC34" i="49"/>
  <c r="AI35" i="71" s="1"/>
  <c r="BD34" i="49"/>
  <c r="AO35" i="71" s="1"/>
  <c r="BA35" i="49"/>
  <c r="AG36" i="71" s="1"/>
  <c r="BC35" i="49"/>
  <c r="AI36" i="71" s="1"/>
  <c r="BD35" i="49"/>
  <c r="AO36" i="71" s="1"/>
  <c r="BA36" i="49"/>
  <c r="AG37" i="71" s="1"/>
  <c r="BC36" i="49"/>
  <c r="AI37" i="71" s="1"/>
  <c r="BD36" i="49"/>
  <c r="AO37" i="71" s="1"/>
  <c r="BA37" i="49"/>
  <c r="AG38" i="71" s="1"/>
  <c r="BC37" i="49"/>
  <c r="AI38" i="71" s="1"/>
  <c r="BD37" i="49"/>
  <c r="AO38" i="71" s="1"/>
  <c r="BA38" i="49"/>
  <c r="AG39" i="71" s="1"/>
  <c r="BC38" i="49"/>
  <c r="AI39" i="71" s="1"/>
  <c r="BD38" i="49"/>
  <c r="AO39" i="71" s="1"/>
  <c r="BA39" i="49"/>
  <c r="AG40" i="71" s="1"/>
  <c r="BC39" i="49"/>
  <c r="AI40" i="71" s="1"/>
  <c r="BD39" i="49"/>
  <c r="AO40" i="71" s="1"/>
  <c r="BA40" i="49"/>
  <c r="AG41" i="71" s="1"/>
  <c r="BC40" i="49"/>
  <c r="AI41" i="71" s="1"/>
  <c r="BD40" i="49"/>
  <c r="AO41" i="71" s="1"/>
  <c r="BA41" i="49"/>
  <c r="AG42" i="71" s="1"/>
  <c r="BC41" i="49"/>
  <c r="AI42" i="71" s="1"/>
  <c r="BD41" i="49"/>
  <c r="AO42" i="71" s="1"/>
  <c r="BA42" i="49"/>
  <c r="AG43" i="71" s="1"/>
  <c r="BC42" i="49"/>
  <c r="AI43" i="71" s="1"/>
  <c r="BD42" i="49"/>
  <c r="AO43" i="71" s="1"/>
  <c r="BA43" i="49"/>
  <c r="AG44" i="71" s="1"/>
  <c r="BC43" i="49"/>
  <c r="AI44" i="71" s="1"/>
  <c r="BD43" i="49"/>
  <c r="AO44" i="71" s="1"/>
  <c r="BA44" i="49"/>
  <c r="AG45" i="71" s="1"/>
  <c r="BC44" i="49"/>
  <c r="AI45" i="71" s="1"/>
  <c r="BD44" i="49"/>
  <c r="AO45" i="71" s="1"/>
  <c r="BA45" i="49"/>
  <c r="AG46" i="71" s="1"/>
  <c r="BC45" i="49"/>
  <c r="AI46" i="71" s="1"/>
  <c r="BD45" i="49"/>
  <c r="AO46" i="71" s="1"/>
  <c r="BA46" i="49"/>
  <c r="AG47" i="71" s="1"/>
  <c r="BC46" i="49"/>
  <c r="AI47" i="71" s="1"/>
  <c r="BD46" i="49"/>
  <c r="AO47" i="71" s="1"/>
  <c r="BA47" i="49"/>
  <c r="AG48" i="71" s="1"/>
  <c r="BC47" i="49"/>
  <c r="AI48" i="71" s="1"/>
  <c r="BD47" i="49"/>
  <c r="AO48" i="71" s="1"/>
  <c r="BA48" i="49"/>
  <c r="AG49" i="71" s="1"/>
  <c r="BC48" i="49"/>
  <c r="AI49" i="71" s="1"/>
  <c r="BD48" i="49"/>
  <c r="AO49" i="71" s="1"/>
  <c r="BA49" i="49"/>
  <c r="AG50" i="71" s="1"/>
  <c r="BC49" i="49"/>
  <c r="AI50" i="71" s="1"/>
  <c r="BD49" i="49"/>
  <c r="AO50" i="71" s="1"/>
  <c r="BA50" i="49"/>
  <c r="AG51" i="71" s="1"/>
  <c r="BC50" i="49"/>
  <c r="AI51" i="71" s="1"/>
  <c r="BD50" i="49"/>
  <c r="AO51" i="71" s="1"/>
  <c r="BA51" i="49"/>
  <c r="AG52" i="71" s="1"/>
  <c r="BC51" i="49"/>
  <c r="AI52" i="71" s="1"/>
  <c r="BD51" i="49"/>
  <c r="AO52" i="71" s="1"/>
  <c r="BA52" i="49"/>
  <c r="AG53" i="71" s="1"/>
  <c r="BC52" i="49"/>
  <c r="AI53" i="71" s="1"/>
  <c r="BD52" i="49"/>
  <c r="AO53" i="71" s="1"/>
  <c r="BA53" i="49"/>
  <c r="AG54" i="71" s="1"/>
  <c r="BC53" i="49"/>
  <c r="AI54" i="71" s="1"/>
  <c r="BD53" i="49"/>
  <c r="AO54" i="71" s="1"/>
  <c r="BA54" i="49"/>
  <c r="AG55" i="71" s="1"/>
  <c r="BC54" i="49"/>
  <c r="AI55" i="71" s="1"/>
  <c r="BD54" i="49"/>
  <c r="AO55" i="71" s="1"/>
  <c r="BA55" i="49"/>
  <c r="AG56" i="71" s="1"/>
  <c r="BC55" i="49"/>
  <c r="AI56" i="71" s="1"/>
  <c r="BD55" i="49"/>
  <c r="AO56" i="71" s="1"/>
  <c r="BA56" i="49"/>
  <c r="AG57" i="71" s="1"/>
  <c r="BC56" i="49"/>
  <c r="AI57" i="71" s="1"/>
  <c r="BD56" i="49"/>
  <c r="AO57" i="71" s="1"/>
  <c r="BA57" i="49"/>
  <c r="AG58" i="71" s="1"/>
  <c r="BC57" i="49"/>
  <c r="AI58" i="71" s="1"/>
  <c r="BD57" i="49"/>
  <c r="AO58" i="71" s="1"/>
  <c r="BA58" i="49"/>
  <c r="AG59" i="71" s="1"/>
  <c r="BC58" i="49"/>
  <c r="AI59" i="71" s="1"/>
  <c r="BD58" i="49"/>
  <c r="AO59" i="71" s="1"/>
  <c r="BA59" i="49"/>
  <c r="AG60" i="71" s="1"/>
  <c r="BC59" i="49"/>
  <c r="AI60" i="71" s="1"/>
  <c r="BD59" i="49"/>
  <c r="AO60" i="71" s="1"/>
  <c r="BA60" i="49"/>
  <c r="AG61" i="71" s="1"/>
  <c r="BC60" i="49"/>
  <c r="AI61" i="71" s="1"/>
  <c r="BD60" i="49"/>
  <c r="AO61" i="71" s="1"/>
  <c r="BA61" i="49"/>
  <c r="AG62" i="71" s="1"/>
  <c r="BC61" i="49"/>
  <c r="AI62" i="71" s="1"/>
  <c r="BD61" i="49"/>
  <c r="AO62" i="71" s="1"/>
  <c r="BA62" i="49"/>
  <c r="AG63" i="71" s="1"/>
  <c r="BC62" i="49"/>
  <c r="AI63" i="71" s="1"/>
  <c r="BD62" i="49"/>
  <c r="AO63" i="71" s="1"/>
  <c r="BA63" i="49"/>
  <c r="AG64" i="71" s="1"/>
  <c r="BC63" i="49"/>
  <c r="AI64" i="71" s="1"/>
  <c r="BD63" i="49"/>
  <c r="AO64" i="71" s="1"/>
  <c r="BA64" i="49"/>
  <c r="AG65" i="71" s="1"/>
  <c r="BC64" i="49"/>
  <c r="AI65" i="71" s="1"/>
  <c r="BD64" i="49"/>
  <c r="AO65" i="71" s="1"/>
  <c r="BA65" i="49"/>
  <c r="AG66" i="71" s="1"/>
  <c r="BC65" i="49"/>
  <c r="AI66" i="71" s="1"/>
  <c r="BD65" i="49"/>
  <c r="AO66" i="71" s="1"/>
  <c r="BA66" i="49"/>
  <c r="AG67" i="71" s="1"/>
  <c r="BC66" i="49"/>
  <c r="AI67" i="71" s="1"/>
  <c r="BD66" i="49"/>
  <c r="AO67" i="71" s="1"/>
  <c r="BA67" i="49"/>
  <c r="AG68" i="71" s="1"/>
  <c r="BC67" i="49"/>
  <c r="AI68" i="71" s="1"/>
  <c r="BD67" i="49"/>
  <c r="AO68" i="71" s="1"/>
  <c r="BA68" i="49"/>
  <c r="AG69" i="71" s="1"/>
  <c r="BC68" i="49"/>
  <c r="AI69" i="71" s="1"/>
  <c r="BD68" i="49"/>
  <c r="AO69" i="71" s="1"/>
  <c r="BA69" i="49"/>
  <c r="AG70" i="71" s="1"/>
  <c r="BC69" i="49"/>
  <c r="AI70" i="71" s="1"/>
  <c r="BD69" i="49"/>
  <c r="AO70" i="71" s="1"/>
  <c r="BA7" i="49"/>
  <c r="AG8" i="71" s="1"/>
  <c r="BC7" i="49"/>
  <c r="AI8" i="71" s="1"/>
  <c r="BD7" i="49"/>
  <c r="AO8" i="71" s="1"/>
  <c r="AD30" i="71" l="1"/>
  <c r="AG208" i="71"/>
  <c r="AK208" i="71"/>
  <c r="AO208" i="71"/>
  <c r="AI208" i="71"/>
  <c r="AN208" i="71"/>
  <c r="GG128" i="67"/>
  <c r="GN33" i="67"/>
  <c r="GG115" i="67"/>
  <c r="W119" i="71" s="1"/>
  <c r="AD197" i="71"/>
  <c r="GG184" i="67"/>
  <c r="W200" i="71" s="1"/>
  <c r="GG91" i="67"/>
  <c r="W94" i="71" s="1"/>
  <c r="GN167" i="67"/>
  <c r="GN158" i="67"/>
  <c r="GN117" i="67"/>
  <c r="GG119" i="67"/>
  <c r="W123" i="71" s="1"/>
  <c r="AD199" i="71"/>
  <c r="AD190" i="71"/>
  <c r="AD205" i="71"/>
  <c r="GN68" i="67"/>
  <c r="GN133" i="67"/>
  <c r="GG21" i="67"/>
  <c r="W21" i="71" s="1"/>
  <c r="GG10" i="67"/>
  <c r="W10" i="71" s="1"/>
  <c r="GG27" i="67"/>
  <c r="GN123" i="67"/>
  <c r="GN194" i="67"/>
  <c r="AD100" i="71" s="1"/>
  <c r="GN113" i="67"/>
  <c r="GN9" i="67"/>
  <c r="GN131" i="67"/>
  <c r="GG126" i="67"/>
  <c r="GN111" i="67"/>
  <c r="GG81" i="67"/>
  <c r="W83" i="71" s="1"/>
  <c r="GG156" i="67"/>
  <c r="GN85" i="67"/>
  <c r="GN159" i="67"/>
  <c r="GG54" i="67"/>
  <c r="W56" i="71" s="1"/>
  <c r="GG56" i="67"/>
  <c r="W58" i="71" s="1"/>
  <c r="GN69" i="67"/>
  <c r="GG75" i="67"/>
  <c r="W77" i="71" s="1"/>
  <c r="GG53" i="67"/>
  <c r="W55" i="71" s="1"/>
  <c r="GG18" i="67"/>
  <c r="W18" i="71" s="1"/>
  <c r="GG34" i="67"/>
  <c r="W36" i="71" s="1"/>
  <c r="GG79" i="67"/>
  <c r="GG86" i="67"/>
  <c r="W88" i="71" s="1"/>
  <c r="GG169" i="67"/>
  <c r="GG125" i="67"/>
  <c r="W129" i="71" s="1"/>
  <c r="GG24" i="67"/>
  <c r="W24" i="71" s="1"/>
  <c r="GG49" i="67"/>
  <c r="W51" i="71" s="1"/>
  <c r="GG138" i="67"/>
  <c r="W142" i="71" s="1"/>
  <c r="GN181" i="67"/>
  <c r="GN16" i="67"/>
  <c r="GN148" i="67"/>
  <c r="GG114" i="67"/>
  <c r="W118" i="71" s="1"/>
  <c r="GG134" i="67"/>
  <c r="W138" i="71" s="1"/>
  <c r="GN103" i="67"/>
  <c r="GN89" i="67"/>
  <c r="GN95" i="67"/>
  <c r="GN116" i="67"/>
  <c r="GG146" i="67"/>
  <c r="W151" i="71" s="1"/>
  <c r="GG190" i="67"/>
  <c r="W175" i="71" s="1"/>
  <c r="GG106" i="67"/>
  <c r="W110" i="71" s="1"/>
  <c r="GG176" i="67"/>
  <c r="W172" i="71" s="1"/>
  <c r="GG41" i="67"/>
  <c r="W43" i="71" s="1"/>
  <c r="GG88" i="67"/>
  <c r="GG143" i="67"/>
  <c r="W148" i="71" s="1"/>
  <c r="GG45" i="67"/>
  <c r="W47" i="71" s="1"/>
  <c r="CF208" i="67"/>
  <c r="AD145" i="71"/>
  <c r="GG92" i="67"/>
  <c r="GG160" i="67"/>
  <c r="W166" i="71" s="1"/>
  <c r="GN71" i="67"/>
  <c r="GG141" i="67"/>
  <c r="W146" i="71" s="1"/>
  <c r="GG192" i="67"/>
  <c r="W181" i="71" s="1"/>
  <c r="GN17" i="67"/>
  <c r="GG129" i="67"/>
  <c r="W133" i="71" s="1"/>
  <c r="GG140" i="67"/>
  <c r="W144" i="71" s="1"/>
  <c r="GG165" i="67"/>
  <c r="GG60" i="67"/>
  <c r="W62" i="71" s="1"/>
  <c r="GG80" i="67"/>
  <c r="W82" i="71" s="1"/>
  <c r="GG43" i="67"/>
  <c r="GG31" i="67"/>
  <c r="W33" i="71" s="1"/>
  <c r="GG107" i="67"/>
  <c r="W111" i="71" s="1"/>
  <c r="AD204" i="71"/>
  <c r="AD31" i="71"/>
  <c r="AD91" i="71"/>
  <c r="AD202" i="71"/>
  <c r="AD162" i="71"/>
  <c r="AD198" i="71"/>
  <c r="GQ208" i="67"/>
  <c r="Z8" i="71"/>
  <c r="GJ208" i="67"/>
  <c r="GR208" i="67"/>
  <c r="AA8" i="71"/>
  <c r="GK208" i="67"/>
  <c r="K73" i="11"/>
  <c r="M73" i="11"/>
  <c r="P73" i="11"/>
  <c r="L73" i="11"/>
  <c r="O73" i="11"/>
  <c r="GG195" i="67"/>
  <c r="W145" i="71" s="1"/>
  <c r="GG203" i="67"/>
  <c r="GG197" i="67"/>
  <c r="GG178" i="67"/>
  <c r="W189" i="71" s="1"/>
  <c r="GG180" i="67"/>
  <c r="W192" i="71" s="1"/>
  <c r="GG199" i="67"/>
  <c r="GG200" i="67"/>
  <c r="GG204" i="67"/>
  <c r="W30" i="71" s="1"/>
  <c r="BP208" i="67"/>
  <c r="GE208" i="67"/>
  <c r="AN208" i="67"/>
  <c r="DH208" i="67"/>
  <c r="DW208" i="67"/>
  <c r="BB208" i="67"/>
  <c r="EL208" i="67"/>
  <c r="CD208" i="67"/>
  <c r="FP208" i="67"/>
  <c r="Y70" i="66" l="1"/>
  <c r="Z70" i="66"/>
  <c r="AA70" i="66"/>
  <c r="AB70" i="66"/>
  <c r="AC70" i="66"/>
  <c r="AD70" i="66"/>
  <c r="AE70" i="66"/>
  <c r="I30" i="11" l="1"/>
  <c r="J61" i="11" s="1"/>
  <c r="G19" i="11" l="1"/>
  <c r="D4" i="74"/>
  <c r="M69" i="11"/>
  <c r="E69" i="11"/>
  <c r="L69" i="11"/>
  <c r="K69" i="11"/>
  <c r="H69" i="11"/>
  <c r="J69" i="11"/>
  <c r="P69" i="11"/>
  <c r="I69" i="11"/>
  <c r="S70" i="11" s="1"/>
  <c r="O69" i="11"/>
  <c r="G69" i="11"/>
  <c r="N69" i="11"/>
  <c r="F69" i="11"/>
  <c r="J29" i="11"/>
  <c r="E29" i="11"/>
  <c r="N29" i="11"/>
  <c r="N60" i="11" s="1"/>
  <c r="J28" i="11"/>
  <c r="J59" i="11" s="1"/>
  <c r="E28" i="11"/>
  <c r="N28" i="11"/>
  <c r="N59" i="11" s="1"/>
  <c r="J27" i="11"/>
  <c r="J58" i="11" s="1"/>
  <c r="E27" i="11"/>
  <c r="E58" i="11" s="1"/>
  <c r="N27" i="11"/>
  <c r="N58" i="11" s="1"/>
  <c r="J26" i="11"/>
  <c r="J57" i="11" s="1"/>
  <c r="E26" i="11"/>
  <c r="E57" i="11" s="1"/>
  <c r="D30" i="11"/>
  <c r="N26" i="11"/>
  <c r="N57" i="11" s="1"/>
  <c r="J25" i="11"/>
  <c r="J56" i="11" s="1"/>
  <c r="E25" i="11"/>
  <c r="E56" i="11" s="1"/>
  <c r="N25" i="11"/>
  <c r="N56" i="11" s="1"/>
  <c r="J24" i="11"/>
  <c r="J55" i="11" s="1"/>
  <c r="E24" i="11"/>
  <c r="E55" i="11" s="1"/>
  <c r="N24" i="11"/>
  <c r="N55" i="11" s="1"/>
  <c r="J23" i="11"/>
  <c r="E23" i="11"/>
  <c r="E54" i="11" s="1"/>
  <c r="N23" i="11"/>
  <c r="N54" i="11" s="1"/>
  <c r="F114" i="11"/>
  <c r="Q114" i="11" s="1"/>
  <c r="F111" i="11"/>
  <c r="I73" i="11"/>
  <c r="H73" i="11"/>
  <c r="G73" i="11"/>
  <c r="F73" i="11"/>
  <c r="D21" i="11"/>
  <c r="D22" i="11"/>
  <c r="D20" i="11"/>
  <c r="E73" i="11"/>
  <c r="D33" i="11"/>
  <c r="D32" i="11"/>
  <c r="F65" i="11" s="1"/>
  <c r="D19" i="11"/>
  <c r="D18" i="11"/>
  <c r="P53" i="11" l="1"/>
  <c r="O53" i="11"/>
  <c r="O50" i="11"/>
  <c r="P50" i="11"/>
  <c r="L52" i="11"/>
  <c r="O52" i="11"/>
  <c r="P52" i="11"/>
  <c r="N52" i="11"/>
  <c r="J60" i="11"/>
  <c r="N63" i="11" s="1"/>
  <c r="J54" i="11"/>
  <c r="E59" i="11"/>
  <c r="J62" i="11" s="1"/>
  <c r="E60" i="11"/>
  <c r="J63" i="11" s="1"/>
  <c r="I65" i="11"/>
  <c r="M65" i="11"/>
  <c r="N50" i="11"/>
  <c r="L50" i="11"/>
  <c r="M50" i="11"/>
  <c r="N49" i="11"/>
  <c r="O49" i="11"/>
  <c r="P49" i="11"/>
  <c r="M49" i="11"/>
  <c r="L49" i="11"/>
  <c r="E51" i="11"/>
  <c r="L51" i="11"/>
  <c r="O51" i="11"/>
  <c r="M51" i="11"/>
  <c r="N51" i="11"/>
  <c r="P51" i="11"/>
  <c r="K51" i="11"/>
  <c r="R18" i="11"/>
  <c r="K49" i="11"/>
  <c r="K50" i="11"/>
  <c r="Q69" i="11"/>
  <c r="S142" i="77" s="1"/>
  <c r="S144" i="77" s="1"/>
  <c r="S170" i="77" s="1"/>
  <c r="R30" i="11"/>
  <c r="E61" i="11"/>
  <c r="M52" i="11"/>
  <c r="F52" i="11"/>
  <c r="G52" i="11"/>
  <c r="K52" i="11"/>
  <c r="H52" i="11"/>
  <c r="I52" i="11"/>
  <c r="J52" i="11"/>
  <c r="H53" i="11"/>
  <c r="I53" i="11"/>
  <c r="F53" i="11"/>
  <c r="J53" i="11"/>
  <c r="K53" i="11"/>
  <c r="G53" i="11"/>
  <c r="L53" i="11"/>
  <c r="M53" i="11"/>
  <c r="N53" i="11"/>
  <c r="Q83" i="11"/>
  <c r="R19" i="11"/>
  <c r="G50" i="11"/>
  <c r="S114" i="11"/>
  <c r="E53" i="11"/>
  <c r="R22" i="11"/>
  <c r="E52" i="11"/>
  <c r="R21" i="11"/>
  <c r="G51" i="11"/>
  <c r="H51" i="11"/>
  <c r="I51" i="11"/>
  <c r="J51" i="11"/>
  <c r="F51" i="11"/>
  <c r="R20" i="11"/>
  <c r="R27" i="11"/>
  <c r="R28" i="11"/>
  <c r="R26" i="11"/>
  <c r="R23" i="11"/>
  <c r="R29" i="11"/>
  <c r="E65" i="11"/>
  <c r="H65" i="11"/>
  <c r="G65" i="11"/>
  <c r="L65" i="11"/>
  <c r="N65" i="11"/>
  <c r="O65" i="11"/>
  <c r="K65" i="11"/>
  <c r="P65" i="11"/>
  <c r="J65" i="11"/>
  <c r="H50" i="11"/>
  <c r="I50" i="11"/>
  <c r="E50" i="11"/>
  <c r="J50" i="11"/>
  <c r="F50" i="11"/>
  <c r="H49" i="11"/>
  <c r="G49" i="11"/>
  <c r="I49" i="11"/>
  <c r="E49" i="11"/>
  <c r="J49" i="11"/>
  <c r="F49" i="11"/>
  <c r="S94" i="11"/>
  <c r="Q94" i="11"/>
  <c r="P118" i="11"/>
  <c r="S63" i="11" l="1"/>
  <c r="Q63" i="11"/>
  <c r="Q65" i="11"/>
  <c r="Q54" i="11"/>
  <c r="S54" i="11"/>
  <c r="S116" i="11" l="1"/>
  <c r="S96" i="11"/>
  <c r="E118" i="11" l="1"/>
  <c r="F85" i="11"/>
  <c r="G85" i="11"/>
  <c r="D5" i="11" l="1"/>
  <c r="D5" i="74" l="1"/>
  <c r="E5" i="77"/>
  <c r="Q109" i="11"/>
  <c r="S109" i="11"/>
  <c r="N118" i="11"/>
  <c r="Q105" i="11" l="1"/>
  <c r="S105" i="11"/>
  <c r="S93" i="11"/>
  <c r="Q93" i="11"/>
  <c r="Q110" i="11"/>
  <c r="S110" i="11"/>
  <c r="Q97" i="11"/>
  <c r="S97" i="11"/>
  <c r="Q99" i="11"/>
  <c r="S99" i="11"/>
  <c r="M118" i="11"/>
  <c r="U104" i="71" l="1"/>
  <c r="CP100" i="67"/>
  <c r="H208" i="71"/>
  <c r="J208" i="71"/>
  <c r="K208" i="71"/>
  <c r="CS100" i="67" l="1"/>
  <c r="GS100" i="67"/>
  <c r="AM104" i="71" s="1"/>
  <c r="U94" i="71"/>
  <c r="CP91" i="67"/>
  <c r="U47" i="71"/>
  <c r="CP45" i="67"/>
  <c r="CP64" i="67"/>
  <c r="U66" i="71"/>
  <c r="CP169" i="67"/>
  <c r="U182" i="71"/>
  <c r="U119" i="71"/>
  <c r="CP115" i="67"/>
  <c r="U48" i="71"/>
  <c r="CP46" i="67"/>
  <c r="U190" i="71"/>
  <c r="CP142" i="67"/>
  <c r="U147" i="71"/>
  <c r="CP118" i="67"/>
  <c r="U122" i="71"/>
  <c r="CP19" i="67"/>
  <c r="U19" i="71"/>
  <c r="U145" i="71"/>
  <c r="U201" i="71"/>
  <c r="CP185" i="67"/>
  <c r="CP40" i="67"/>
  <c r="U42" i="71"/>
  <c r="U38" i="71"/>
  <c r="CP36" i="67"/>
  <c r="CP168" i="67"/>
  <c r="U180" i="71"/>
  <c r="CP80" i="67"/>
  <c r="U82" i="71"/>
  <c r="CP65" i="67"/>
  <c r="U67" i="71"/>
  <c r="CP157" i="67"/>
  <c r="U163" i="71"/>
  <c r="U111" i="71"/>
  <c r="CP107" i="67"/>
  <c r="CP58" i="67"/>
  <c r="U60" i="71"/>
  <c r="CP96" i="67"/>
  <c r="U99" i="71"/>
  <c r="U112" i="71"/>
  <c r="CP108" i="67"/>
  <c r="U97" i="71"/>
  <c r="CP94" i="67"/>
  <c r="CP9" i="67"/>
  <c r="U9" i="71"/>
  <c r="CP134" i="67"/>
  <c r="U138" i="71"/>
  <c r="CP111" i="67"/>
  <c r="U115" i="71"/>
  <c r="U126" i="71"/>
  <c r="CP122" i="67"/>
  <c r="U53" i="71"/>
  <c r="CP51" i="67"/>
  <c r="CP180" i="67"/>
  <c r="U192" i="71"/>
  <c r="CP166" i="67"/>
  <c r="U169" i="71"/>
  <c r="U135" i="71"/>
  <c r="CP131" i="67"/>
  <c r="CP47" i="67"/>
  <c r="U49" i="71"/>
  <c r="CP22" i="67"/>
  <c r="U22" i="71"/>
  <c r="CP176" i="67"/>
  <c r="U172" i="71"/>
  <c r="U95" i="71"/>
  <c r="CP92" i="67"/>
  <c r="CP88" i="67"/>
  <c r="U90" i="71"/>
  <c r="U177" i="71"/>
  <c r="CP191" i="67"/>
  <c r="U79" i="71"/>
  <c r="CP77" i="67"/>
  <c r="U199" i="71"/>
  <c r="U55" i="71"/>
  <c r="CP53" i="67"/>
  <c r="U198" i="71"/>
  <c r="U72" i="71"/>
  <c r="CP70" i="67"/>
  <c r="U91" i="71"/>
  <c r="CP32" i="67"/>
  <c r="U34" i="71"/>
  <c r="U103" i="71"/>
  <c r="CP99" i="67"/>
  <c r="U167" i="71"/>
  <c r="CP161" i="67"/>
  <c r="U173" i="71"/>
  <c r="CP188" i="67"/>
  <c r="U206" i="71"/>
  <c r="CP84" i="67"/>
  <c r="U86" i="71"/>
  <c r="U100" i="71"/>
  <c r="CP18" i="67"/>
  <c r="U18" i="71"/>
  <c r="CP79" i="67"/>
  <c r="U81" i="71"/>
  <c r="CP126" i="67"/>
  <c r="U130" i="71"/>
  <c r="CP56" i="67"/>
  <c r="U58" i="71"/>
  <c r="U175" i="71"/>
  <c r="CP190" i="67"/>
  <c r="CP104" i="67"/>
  <c r="U108" i="71"/>
  <c r="U70" i="71"/>
  <c r="CP68" i="67"/>
  <c r="CP73" i="67"/>
  <c r="U75" i="71"/>
  <c r="U202" i="71"/>
  <c r="CP119" i="67"/>
  <c r="U123" i="71"/>
  <c r="U152" i="71"/>
  <c r="CP147" i="67"/>
  <c r="U181" i="71"/>
  <c r="CP192" i="67"/>
  <c r="U158" i="71"/>
  <c r="CP153" i="67"/>
  <c r="U62" i="71"/>
  <c r="CP60" i="67"/>
  <c r="CP193" i="67"/>
  <c r="U195" i="71"/>
  <c r="CP12" i="67"/>
  <c r="U12" i="71"/>
  <c r="U143" i="71"/>
  <c r="CP139" i="67"/>
  <c r="U128" i="71"/>
  <c r="CP124" i="67"/>
  <c r="U13" i="71"/>
  <c r="CP13" i="67"/>
  <c r="CP158" i="67"/>
  <c r="U164" i="71"/>
  <c r="CP74" i="67"/>
  <c r="U76" i="71"/>
  <c r="CP164" i="67"/>
  <c r="U178" i="71"/>
  <c r="CP179" i="67"/>
  <c r="U191" i="71"/>
  <c r="CP103" i="67"/>
  <c r="U107" i="71"/>
  <c r="CP24" i="67"/>
  <c r="U24" i="71"/>
  <c r="CP173" i="67"/>
  <c r="U186" i="71"/>
  <c r="U207" i="71"/>
  <c r="CP189" i="67"/>
  <c r="U87" i="71"/>
  <c r="CP85" i="67"/>
  <c r="CP151" i="67"/>
  <c r="U156" i="71"/>
  <c r="CP89" i="67"/>
  <c r="U92" i="71"/>
  <c r="CP172" i="67"/>
  <c r="U185" i="71"/>
  <c r="U176" i="71"/>
  <c r="CP163" i="67"/>
  <c r="CP26" i="67"/>
  <c r="U26" i="71"/>
  <c r="U150" i="71"/>
  <c r="CP145" i="67"/>
  <c r="U183" i="71"/>
  <c r="CP170" i="67"/>
  <c r="CP183" i="67"/>
  <c r="U196" i="71"/>
  <c r="CP49" i="67"/>
  <c r="U51" i="71"/>
  <c r="U153" i="71"/>
  <c r="CP148" i="67"/>
  <c r="U85" i="71"/>
  <c r="CP83" i="67"/>
  <c r="CP174" i="67"/>
  <c r="U187" i="71"/>
  <c r="CP187" i="67"/>
  <c r="U174" i="71"/>
  <c r="CP34" i="67"/>
  <c r="U36" i="71"/>
  <c r="CP127" i="67"/>
  <c r="U131" i="71"/>
  <c r="U29" i="71"/>
  <c r="CP29" i="67"/>
  <c r="U96" i="71"/>
  <c r="CP93" i="67"/>
  <c r="CP186" i="67"/>
  <c r="U203" i="71"/>
  <c r="U88" i="71"/>
  <c r="CP86" i="67"/>
  <c r="CP144" i="67"/>
  <c r="U149" i="71"/>
  <c r="CP48" i="67"/>
  <c r="U50" i="71"/>
  <c r="U93" i="71"/>
  <c r="CP90" i="67"/>
  <c r="CP128" i="67"/>
  <c r="U132" i="71"/>
  <c r="CP66" i="67"/>
  <c r="U68" i="71"/>
  <c r="CP113" i="67"/>
  <c r="U117" i="71"/>
  <c r="U32" i="71"/>
  <c r="CP30" i="67"/>
  <c r="CP136" i="67"/>
  <c r="U140" i="71"/>
  <c r="CP167" i="67"/>
  <c r="U170" i="71"/>
  <c r="CP15" i="67"/>
  <c r="U15" i="71"/>
  <c r="U137" i="71"/>
  <c r="CP133" i="67"/>
  <c r="CP41" i="67"/>
  <c r="U43" i="71"/>
  <c r="CP95" i="67"/>
  <c r="U98" i="71"/>
  <c r="U205" i="71"/>
  <c r="CP97" i="67"/>
  <c r="U101" i="71"/>
  <c r="CP159" i="67"/>
  <c r="U165" i="71"/>
  <c r="U166" i="71"/>
  <c r="CP160" i="67"/>
  <c r="CP21" i="67"/>
  <c r="U21" i="71"/>
  <c r="U161" i="71"/>
  <c r="CP156" i="67"/>
  <c r="CP112" i="67"/>
  <c r="U116" i="71"/>
  <c r="U184" i="71"/>
  <c r="CP17" i="67"/>
  <c r="U17" i="71"/>
  <c r="U71" i="71"/>
  <c r="CP69" i="67"/>
  <c r="CP120" i="67"/>
  <c r="U124" i="71"/>
  <c r="CP149" i="67"/>
  <c r="U154" i="71"/>
  <c r="U8" i="71"/>
  <c r="CP8" i="67"/>
  <c r="CP72" i="67"/>
  <c r="U74" i="71"/>
  <c r="U197" i="71"/>
  <c r="CP39" i="67"/>
  <c r="U41" i="71"/>
  <c r="U54" i="71"/>
  <c r="CP52" i="67"/>
  <c r="CP143" i="67"/>
  <c r="U148" i="71"/>
  <c r="CP50" i="67"/>
  <c r="U52" i="71"/>
  <c r="CP109" i="67"/>
  <c r="U113" i="71"/>
  <c r="CP63" i="67"/>
  <c r="U65" i="71"/>
  <c r="CP135" i="67"/>
  <c r="U139" i="71"/>
  <c r="U200" i="71"/>
  <c r="CP184" i="67"/>
  <c r="U127" i="71"/>
  <c r="CP123" i="67"/>
  <c r="U39" i="71"/>
  <c r="CP37" i="67"/>
  <c r="CP10" i="67"/>
  <c r="U10" i="71"/>
  <c r="U136" i="71"/>
  <c r="CP132" i="67"/>
  <c r="U64" i="71"/>
  <c r="CP62" i="67"/>
  <c r="U105" i="71"/>
  <c r="CP101" i="67"/>
  <c r="U159" i="71"/>
  <c r="CP154" i="67"/>
  <c r="CP28" i="67"/>
  <c r="U28" i="71"/>
  <c r="CP67" i="67"/>
  <c r="U69" i="71"/>
  <c r="U37" i="71"/>
  <c r="CP35" i="67"/>
  <c r="CP71" i="67"/>
  <c r="U73" i="71"/>
  <c r="CP57" i="67"/>
  <c r="U59" i="71"/>
  <c r="CP44" i="67"/>
  <c r="U46" i="71"/>
  <c r="U77" i="71"/>
  <c r="CP75" i="67"/>
  <c r="U78" i="71"/>
  <c r="CP76" i="67"/>
  <c r="U125" i="71"/>
  <c r="CP121" i="67"/>
  <c r="CP82" i="67"/>
  <c r="U84" i="71"/>
  <c r="CP11" i="67"/>
  <c r="U11" i="71"/>
  <c r="CP110" i="67"/>
  <c r="U114" i="71"/>
  <c r="CP105" i="67"/>
  <c r="U109" i="71"/>
  <c r="U121" i="71"/>
  <c r="CP117" i="67"/>
  <c r="U30" i="71"/>
  <c r="U151" i="71"/>
  <c r="CP146" i="67"/>
  <c r="CP55" i="67"/>
  <c r="U57" i="71"/>
  <c r="CP181" i="67"/>
  <c r="U193" i="71"/>
  <c r="U162" i="71"/>
  <c r="CP114" i="67"/>
  <c r="U118" i="71"/>
  <c r="CP25" i="67"/>
  <c r="U25" i="71"/>
  <c r="U134" i="71"/>
  <c r="CP130" i="67"/>
  <c r="CP16" i="67"/>
  <c r="U16" i="71"/>
  <c r="U141" i="71"/>
  <c r="CP137" i="67"/>
  <c r="U80" i="71"/>
  <c r="CP78" i="67"/>
  <c r="CP125" i="67"/>
  <c r="U129" i="71"/>
  <c r="CP54" i="67"/>
  <c r="U56" i="71"/>
  <c r="CP150" i="67"/>
  <c r="U155" i="71"/>
  <c r="CP141" i="67"/>
  <c r="U146" i="71"/>
  <c r="CP31" i="67"/>
  <c r="U33" i="71"/>
  <c r="U157" i="71"/>
  <c r="CP152" i="67"/>
  <c r="CP59" i="67"/>
  <c r="U61" i="71"/>
  <c r="CP182" i="67"/>
  <c r="U194" i="71"/>
  <c r="U168" i="71"/>
  <c r="CP162" i="67"/>
  <c r="U120" i="71"/>
  <c r="CP116" i="67"/>
  <c r="CP178" i="67"/>
  <c r="U189" i="71"/>
  <c r="U14" i="71"/>
  <c r="CP14" i="67"/>
  <c r="CP33" i="67"/>
  <c r="U35" i="71"/>
  <c r="GL100" i="67"/>
  <c r="AB104" i="71" s="1"/>
  <c r="CP27" i="67"/>
  <c r="U27" i="71"/>
  <c r="U204" i="71"/>
  <c r="U31" i="71"/>
  <c r="U45" i="71"/>
  <c r="CP43" i="67"/>
  <c r="U110" i="71"/>
  <c r="CP106" i="67"/>
  <c r="CP20" i="67"/>
  <c r="U20" i="71"/>
  <c r="CP177" i="67"/>
  <c r="U188" i="71"/>
  <c r="U133" i="71"/>
  <c r="CP129" i="67"/>
  <c r="U102" i="71"/>
  <c r="CP98" i="67"/>
  <c r="CP102" i="67"/>
  <c r="U106" i="71"/>
  <c r="U40" i="71"/>
  <c r="CP38" i="67"/>
  <c r="CP87" i="67"/>
  <c r="U89" i="71"/>
  <c r="CP138" i="67"/>
  <c r="U142" i="71"/>
  <c r="CP23" i="67"/>
  <c r="U23" i="71"/>
  <c r="U160" i="71"/>
  <c r="CP155" i="67"/>
  <c r="U63" i="71"/>
  <c r="CP61" i="67"/>
  <c r="CP42" i="67"/>
  <c r="U44" i="71"/>
  <c r="CP140" i="67"/>
  <c r="U144" i="71"/>
  <c r="CP81" i="67"/>
  <c r="U83" i="71"/>
  <c r="CP165" i="67"/>
  <c r="U179" i="71"/>
  <c r="CP175" i="67"/>
  <c r="U171" i="71"/>
  <c r="CS150" i="67" l="1"/>
  <c r="GS150" i="67"/>
  <c r="AM155" i="71" s="1"/>
  <c r="CS81" i="67"/>
  <c r="GS81" i="67"/>
  <c r="AM83" i="71" s="1"/>
  <c r="CS141" i="67"/>
  <c r="GS141" i="67"/>
  <c r="AM146" i="71" s="1"/>
  <c r="CS55" i="67"/>
  <c r="GS55" i="67"/>
  <c r="AM57" i="71" s="1"/>
  <c r="CS57" i="67"/>
  <c r="GS57" i="67"/>
  <c r="AM59" i="71" s="1"/>
  <c r="GS199" i="67"/>
  <c r="AM197" i="71" s="1"/>
  <c r="CS112" i="67"/>
  <c r="GS112" i="67"/>
  <c r="AM116" i="71" s="1"/>
  <c r="CS30" i="67"/>
  <c r="GS30" i="67"/>
  <c r="AM32" i="71" s="1"/>
  <c r="GS203" i="67"/>
  <c r="AM204" i="71" s="1"/>
  <c r="CS137" i="67"/>
  <c r="GS137" i="67"/>
  <c r="AM141" i="71" s="1"/>
  <c r="CS146" i="67"/>
  <c r="GS146" i="67"/>
  <c r="AM151" i="71" s="1"/>
  <c r="CS110" i="67"/>
  <c r="GS110" i="67"/>
  <c r="AM114" i="71" s="1"/>
  <c r="CS76" i="67"/>
  <c r="GS76" i="67"/>
  <c r="AM78" i="71" s="1"/>
  <c r="CS154" i="67"/>
  <c r="GS154" i="67"/>
  <c r="AM159" i="71" s="1"/>
  <c r="CS69" i="67"/>
  <c r="GS69" i="67"/>
  <c r="AM71" i="71" s="1"/>
  <c r="CS156" i="67"/>
  <c r="GS156" i="67"/>
  <c r="AM161" i="71" s="1"/>
  <c r="CS186" i="67"/>
  <c r="GS186" i="67"/>
  <c r="AM203" i="71" s="1"/>
  <c r="CS34" i="67"/>
  <c r="GS34" i="67"/>
  <c r="AM36" i="71" s="1"/>
  <c r="CS89" i="67"/>
  <c r="GS89" i="67"/>
  <c r="AM92" i="71" s="1"/>
  <c r="CS173" i="67"/>
  <c r="GS173" i="67"/>
  <c r="AM186" i="71" s="1"/>
  <c r="CS164" i="67"/>
  <c r="GS164" i="67"/>
  <c r="AM178" i="71" s="1"/>
  <c r="CS119" i="67"/>
  <c r="GS119" i="67"/>
  <c r="AM123" i="71" s="1"/>
  <c r="CS104" i="67"/>
  <c r="GS104" i="67"/>
  <c r="AM108" i="71" s="1"/>
  <c r="CS79" i="67"/>
  <c r="GS79" i="67"/>
  <c r="AM81" i="71" s="1"/>
  <c r="CS188" i="67"/>
  <c r="GS188" i="67"/>
  <c r="AM206" i="71" s="1"/>
  <c r="CS32" i="67"/>
  <c r="GS32" i="67"/>
  <c r="AM34" i="71" s="1"/>
  <c r="GS201" i="67"/>
  <c r="AM199" i="71" s="1"/>
  <c r="CS92" i="67"/>
  <c r="GS92" i="67"/>
  <c r="AM95" i="71" s="1"/>
  <c r="CS131" i="67"/>
  <c r="GS131" i="67"/>
  <c r="AM135" i="71" s="1"/>
  <c r="CS122" i="67"/>
  <c r="GS122" i="67"/>
  <c r="AM126" i="71" s="1"/>
  <c r="CS94" i="67"/>
  <c r="GS94" i="67"/>
  <c r="AM97" i="71" s="1"/>
  <c r="CS107" i="67"/>
  <c r="GS107" i="67"/>
  <c r="AM111" i="71" s="1"/>
  <c r="GS195" i="67"/>
  <c r="AM145" i="71" s="1"/>
  <c r="GS197" i="67"/>
  <c r="AM190" i="71" s="1"/>
  <c r="CS140" i="67"/>
  <c r="GS140" i="67"/>
  <c r="AM144" i="71" s="1"/>
  <c r="CS178" i="67"/>
  <c r="GS178" i="67"/>
  <c r="AM189" i="71" s="1"/>
  <c r="CS135" i="67"/>
  <c r="GS135" i="67"/>
  <c r="AM139" i="71" s="1"/>
  <c r="CS72" i="67"/>
  <c r="GS72" i="67"/>
  <c r="AM74" i="71" s="1"/>
  <c r="CS190" i="67"/>
  <c r="GS190" i="67"/>
  <c r="AM175" i="71" s="1"/>
  <c r="CS168" i="67"/>
  <c r="GS168" i="67"/>
  <c r="AM180" i="71" s="1"/>
  <c r="CS64" i="67"/>
  <c r="GS64" i="67"/>
  <c r="AM66" i="71" s="1"/>
  <c r="CS98" i="67"/>
  <c r="GS98" i="67"/>
  <c r="AM102" i="71" s="1"/>
  <c r="CS106" i="67"/>
  <c r="GS106" i="67"/>
  <c r="AM110" i="71" s="1"/>
  <c r="CS27" i="67"/>
  <c r="GS27" i="67"/>
  <c r="AM27" i="71" s="1"/>
  <c r="CS116" i="67"/>
  <c r="GS116" i="67"/>
  <c r="AM120" i="71" s="1"/>
  <c r="CS152" i="67"/>
  <c r="GS152" i="67"/>
  <c r="AM157" i="71" s="1"/>
  <c r="CS11" i="67"/>
  <c r="GS11" i="67"/>
  <c r="AM11" i="71" s="1"/>
  <c r="CS75" i="67"/>
  <c r="GS75" i="67"/>
  <c r="AM77" i="71" s="1"/>
  <c r="CS35" i="67"/>
  <c r="GS35" i="67"/>
  <c r="AM37" i="71" s="1"/>
  <c r="CS101" i="67"/>
  <c r="GS101" i="67"/>
  <c r="AM105" i="71" s="1"/>
  <c r="CS37" i="67"/>
  <c r="GS37" i="67"/>
  <c r="AM39" i="71" s="1"/>
  <c r="CS52" i="67"/>
  <c r="GS52" i="67"/>
  <c r="AM54" i="71" s="1"/>
  <c r="CS8" i="67"/>
  <c r="GS8" i="67"/>
  <c r="AM8" i="71" s="1"/>
  <c r="CS15" i="67"/>
  <c r="GS15" i="67"/>
  <c r="AM15" i="71" s="1"/>
  <c r="CS113" i="67"/>
  <c r="GS113" i="67"/>
  <c r="AM117" i="71" s="1"/>
  <c r="CS48" i="67"/>
  <c r="GS48" i="67"/>
  <c r="AM50" i="71" s="1"/>
  <c r="CS187" i="67"/>
  <c r="GS187" i="67"/>
  <c r="AM174" i="71" s="1"/>
  <c r="CS49" i="67"/>
  <c r="GS49" i="67"/>
  <c r="AM51" i="71" s="1"/>
  <c r="CS26" i="67"/>
  <c r="GS26" i="67"/>
  <c r="AM26" i="71" s="1"/>
  <c r="CS151" i="67"/>
  <c r="GS151" i="67"/>
  <c r="AM156" i="71" s="1"/>
  <c r="CS24" i="67"/>
  <c r="GS24" i="67"/>
  <c r="AM24" i="71" s="1"/>
  <c r="CS74" i="67"/>
  <c r="GS74" i="67"/>
  <c r="AM76" i="71" s="1"/>
  <c r="CS18" i="67"/>
  <c r="GS18" i="67"/>
  <c r="AM18" i="71" s="1"/>
  <c r="GS198" i="67"/>
  <c r="AM173" i="71" s="1"/>
  <c r="CS70" i="67"/>
  <c r="GS70" i="67"/>
  <c r="AM72" i="71" s="1"/>
  <c r="CS77" i="67"/>
  <c r="GS77" i="67"/>
  <c r="AM79" i="71" s="1"/>
  <c r="CS108" i="67"/>
  <c r="GS108" i="67"/>
  <c r="AM112" i="71" s="1"/>
  <c r="CS36" i="67"/>
  <c r="GS36" i="67"/>
  <c r="AM38" i="71" s="1"/>
  <c r="CS46" i="67"/>
  <c r="GS46" i="67"/>
  <c r="AM48" i="71" s="1"/>
  <c r="CS45" i="67"/>
  <c r="GS45" i="67"/>
  <c r="AM47" i="71" s="1"/>
  <c r="CS16" i="67"/>
  <c r="GS16" i="67"/>
  <c r="AM16" i="71" s="1"/>
  <c r="CS63" i="67"/>
  <c r="GS63" i="67"/>
  <c r="AM65" i="71" s="1"/>
  <c r="CS17" i="67"/>
  <c r="GS17" i="67"/>
  <c r="AM17" i="71" s="1"/>
  <c r="CS21" i="67"/>
  <c r="GS21" i="67"/>
  <c r="AM21" i="71" s="1"/>
  <c r="CS29" i="67"/>
  <c r="GS29" i="67"/>
  <c r="AM29" i="71" s="1"/>
  <c r="CS163" i="67"/>
  <c r="GS163" i="67"/>
  <c r="AM176" i="71" s="1"/>
  <c r="CS85" i="67"/>
  <c r="GS85" i="67"/>
  <c r="AM87" i="71" s="1"/>
  <c r="CS192" i="67"/>
  <c r="GS192" i="67"/>
  <c r="AM181" i="71" s="1"/>
  <c r="CS161" i="67"/>
  <c r="GS161" i="67"/>
  <c r="AM167" i="71" s="1"/>
  <c r="CS176" i="67"/>
  <c r="GS176" i="67"/>
  <c r="AM172" i="71" s="1"/>
  <c r="CS166" i="67"/>
  <c r="GS166" i="67"/>
  <c r="AM169" i="71" s="1"/>
  <c r="CS111" i="67"/>
  <c r="GS111" i="67"/>
  <c r="AM115" i="71" s="1"/>
  <c r="CS157" i="67"/>
  <c r="GS157" i="67"/>
  <c r="AM163" i="71" s="1"/>
  <c r="CS19" i="67"/>
  <c r="GS19" i="67"/>
  <c r="AM19" i="71" s="1"/>
  <c r="CS102" i="67"/>
  <c r="GS102" i="67"/>
  <c r="AM106" i="71" s="1"/>
  <c r="CS10" i="67"/>
  <c r="GS10" i="67"/>
  <c r="AM10" i="71" s="1"/>
  <c r="CS139" i="67"/>
  <c r="GS139" i="67"/>
  <c r="AM143" i="71" s="1"/>
  <c r="CS175" i="67"/>
  <c r="GS175" i="67"/>
  <c r="AM171" i="71" s="1"/>
  <c r="CS54" i="67"/>
  <c r="GS54" i="67"/>
  <c r="AM56" i="71" s="1"/>
  <c r="CS61" i="67"/>
  <c r="GS61" i="67"/>
  <c r="AM63" i="71" s="1"/>
  <c r="CS129" i="67"/>
  <c r="GS129" i="67"/>
  <c r="AM133" i="71" s="1"/>
  <c r="CS43" i="67"/>
  <c r="GS43" i="67"/>
  <c r="AM45" i="71" s="1"/>
  <c r="CS162" i="67"/>
  <c r="GS162" i="67"/>
  <c r="AM168" i="71" s="1"/>
  <c r="CS130" i="67"/>
  <c r="GS130" i="67"/>
  <c r="AM134" i="71" s="1"/>
  <c r="CS62" i="67"/>
  <c r="GS62" i="67"/>
  <c r="AM64" i="71" s="1"/>
  <c r="CS123" i="67"/>
  <c r="GS123" i="67"/>
  <c r="AM127" i="71" s="1"/>
  <c r="CS160" i="67"/>
  <c r="GS160" i="67"/>
  <c r="AM166" i="71" s="1"/>
  <c r="CS95" i="67"/>
  <c r="GS95" i="67"/>
  <c r="AM98" i="71" s="1"/>
  <c r="CS167" i="67"/>
  <c r="GS167" i="67"/>
  <c r="AM170" i="71" s="1"/>
  <c r="CS66" i="67"/>
  <c r="GS66" i="67"/>
  <c r="AM68" i="71" s="1"/>
  <c r="CS144" i="67"/>
  <c r="GS144" i="67"/>
  <c r="AM149" i="71" s="1"/>
  <c r="CS174" i="67"/>
  <c r="GS174" i="67"/>
  <c r="AM187" i="71" s="1"/>
  <c r="CS183" i="67"/>
  <c r="GS183" i="67"/>
  <c r="AM196" i="71" s="1"/>
  <c r="CS103" i="67"/>
  <c r="GS103" i="67"/>
  <c r="AM107" i="71" s="1"/>
  <c r="CS158" i="67"/>
  <c r="GS158" i="67"/>
  <c r="AM164" i="71" s="1"/>
  <c r="CS12" i="67"/>
  <c r="GS12" i="67"/>
  <c r="AM12" i="71" s="1"/>
  <c r="CS73" i="67"/>
  <c r="GS73" i="67"/>
  <c r="AM75" i="71" s="1"/>
  <c r="CS56" i="67"/>
  <c r="GS56" i="67"/>
  <c r="AM58" i="71" s="1"/>
  <c r="CS194" i="67"/>
  <c r="GS194" i="67"/>
  <c r="AM100" i="71" s="1"/>
  <c r="CS191" i="67"/>
  <c r="GS191" i="67"/>
  <c r="AM177" i="71" s="1"/>
  <c r="CS115" i="67"/>
  <c r="GS115" i="67"/>
  <c r="AM119" i="71" s="1"/>
  <c r="CS91" i="67"/>
  <c r="GS91" i="67"/>
  <c r="AM94" i="71" s="1"/>
  <c r="CS114" i="67"/>
  <c r="GS114" i="67"/>
  <c r="AM118" i="71" s="1"/>
  <c r="CS97" i="67"/>
  <c r="GS97" i="67"/>
  <c r="AM101" i="71" s="1"/>
  <c r="GS202" i="67"/>
  <c r="AM202" i="71" s="1"/>
  <c r="CS138" i="67"/>
  <c r="GS138" i="67"/>
  <c r="AM142" i="71" s="1"/>
  <c r="CS117" i="67"/>
  <c r="GS117" i="67"/>
  <c r="AM121" i="71" s="1"/>
  <c r="CS87" i="67"/>
  <c r="GS87" i="67"/>
  <c r="AM89" i="71" s="1"/>
  <c r="CS33" i="67"/>
  <c r="GS33" i="67"/>
  <c r="AM35" i="71" s="1"/>
  <c r="CS31" i="67"/>
  <c r="GS31" i="67"/>
  <c r="AM33" i="71" s="1"/>
  <c r="CS125" i="67"/>
  <c r="GS125" i="67"/>
  <c r="AM129" i="71" s="1"/>
  <c r="CS181" i="67"/>
  <c r="GS181" i="67"/>
  <c r="AM193" i="71" s="1"/>
  <c r="CS82" i="67"/>
  <c r="GS82" i="67"/>
  <c r="AM84" i="71" s="1"/>
  <c r="CS44" i="67"/>
  <c r="GS44" i="67"/>
  <c r="AM46" i="71" s="1"/>
  <c r="CS67" i="67"/>
  <c r="GS67" i="67"/>
  <c r="AM69" i="71" s="1"/>
  <c r="CS109" i="67"/>
  <c r="GS109" i="67"/>
  <c r="AM113" i="71" s="1"/>
  <c r="CS39" i="67"/>
  <c r="GS39" i="67"/>
  <c r="AM41" i="71" s="1"/>
  <c r="CS149" i="67"/>
  <c r="GS149" i="67"/>
  <c r="AM154" i="71" s="1"/>
  <c r="CS171" i="67"/>
  <c r="GS171" i="67"/>
  <c r="AM184" i="71" s="1"/>
  <c r="CS86" i="67"/>
  <c r="GS86" i="67"/>
  <c r="AM88" i="71" s="1"/>
  <c r="CS83" i="67"/>
  <c r="GS83" i="67"/>
  <c r="AM85" i="71" s="1"/>
  <c r="CS170" i="67"/>
  <c r="GS170" i="67"/>
  <c r="AM183" i="71" s="1"/>
  <c r="CS189" i="67"/>
  <c r="GS189" i="67"/>
  <c r="AM207" i="71" s="1"/>
  <c r="CS13" i="67"/>
  <c r="GS13" i="67"/>
  <c r="AM13" i="71" s="1"/>
  <c r="CS147" i="67"/>
  <c r="GS147" i="67"/>
  <c r="AM152" i="71" s="1"/>
  <c r="CS68" i="67"/>
  <c r="GS68" i="67"/>
  <c r="AM70" i="71" s="1"/>
  <c r="CS99" i="67"/>
  <c r="GS99" i="67"/>
  <c r="AM103" i="71" s="1"/>
  <c r="GS200" i="67"/>
  <c r="AM198" i="71" s="1"/>
  <c r="CS22" i="67"/>
  <c r="GS22" i="67"/>
  <c r="AM22" i="71" s="1"/>
  <c r="CS180" i="67"/>
  <c r="GS180" i="67"/>
  <c r="AM192" i="71" s="1"/>
  <c r="CS134" i="67"/>
  <c r="GS134" i="67"/>
  <c r="AM138" i="71" s="1"/>
  <c r="CS96" i="67"/>
  <c r="GS96" i="67"/>
  <c r="AM99" i="71" s="1"/>
  <c r="CS65" i="67"/>
  <c r="GS65" i="67"/>
  <c r="AM67" i="71" s="1"/>
  <c r="CS40" i="67"/>
  <c r="GS40" i="67"/>
  <c r="AM42" i="71" s="1"/>
  <c r="CS118" i="67"/>
  <c r="GS118" i="67"/>
  <c r="AM122" i="71" s="1"/>
  <c r="CS23" i="67"/>
  <c r="GS23" i="67"/>
  <c r="AM23" i="71" s="1"/>
  <c r="CS59" i="67"/>
  <c r="GS59" i="67"/>
  <c r="AM61" i="71" s="1"/>
  <c r="CS71" i="67"/>
  <c r="GS71" i="67"/>
  <c r="AM73" i="71" s="1"/>
  <c r="CS143" i="67"/>
  <c r="GS143" i="67"/>
  <c r="AM148" i="71" s="1"/>
  <c r="CS93" i="67"/>
  <c r="GS93" i="67"/>
  <c r="AM96" i="71" s="1"/>
  <c r="CS153" i="67"/>
  <c r="GS153" i="67"/>
  <c r="AM158" i="71" s="1"/>
  <c r="CS42" i="67"/>
  <c r="GS42" i="67"/>
  <c r="AM44" i="71" s="1"/>
  <c r="GS196" i="67"/>
  <c r="AM162" i="71" s="1"/>
  <c r="CS165" i="67"/>
  <c r="GS165" i="67"/>
  <c r="AM179" i="71" s="1"/>
  <c r="CS155" i="67"/>
  <c r="GS155" i="67"/>
  <c r="AM160" i="71" s="1"/>
  <c r="CS38" i="67"/>
  <c r="GS38" i="67"/>
  <c r="AM40" i="71" s="1"/>
  <c r="CS14" i="67"/>
  <c r="GS14" i="67"/>
  <c r="AM14" i="71" s="1"/>
  <c r="CS78" i="67"/>
  <c r="GS78" i="67"/>
  <c r="AM80" i="71" s="1"/>
  <c r="CS105" i="67"/>
  <c r="GS105" i="67"/>
  <c r="AM109" i="71" s="1"/>
  <c r="CS121" i="67"/>
  <c r="GS121" i="67"/>
  <c r="AM125" i="71" s="1"/>
  <c r="CS132" i="67"/>
  <c r="GS132" i="67"/>
  <c r="AM136" i="71" s="1"/>
  <c r="CS184" i="67"/>
  <c r="GS184" i="67"/>
  <c r="AM200" i="71" s="1"/>
  <c r="CS41" i="67"/>
  <c r="GS41" i="67"/>
  <c r="AM43" i="71" s="1"/>
  <c r="CS136" i="67"/>
  <c r="GS136" i="67"/>
  <c r="AM140" i="71" s="1"/>
  <c r="CS128" i="67"/>
  <c r="GS128" i="67"/>
  <c r="AM132" i="71" s="1"/>
  <c r="CS127" i="67"/>
  <c r="GS127" i="67"/>
  <c r="AM131" i="71" s="1"/>
  <c r="CS172" i="67"/>
  <c r="GS172" i="67"/>
  <c r="AM185" i="71" s="1"/>
  <c r="CS179" i="67"/>
  <c r="GS179" i="67"/>
  <c r="AM191" i="71" s="1"/>
  <c r="CS193" i="67"/>
  <c r="GS193" i="67"/>
  <c r="AM195" i="71" s="1"/>
  <c r="CS126" i="67"/>
  <c r="GS126" i="67"/>
  <c r="AM130" i="71" s="1"/>
  <c r="CS84" i="67"/>
  <c r="GS84" i="67"/>
  <c r="AM86" i="71" s="1"/>
  <c r="CS53" i="67"/>
  <c r="GS53" i="67"/>
  <c r="AM55" i="71" s="1"/>
  <c r="CS51" i="67"/>
  <c r="GS51" i="67"/>
  <c r="AM53" i="71" s="1"/>
  <c r="CS185" i="67"/>
  <c r="GS185" i="67"/>
  <c r="AM201" i="71" s="1"/>
  <c r="CS20" i="67"/>
  <c r="GS20" i="67"/>
  <c r="AM20" i="71" s="1"/>
  <c r="CS177" i="67"/>
  <c r="GS177" i="67"/>
  <c r="AM188" i="71" s="1"/>
  <c r="CS182" i="67"/>
  <c r="GS182" i="67"/>
  <c r="AM194" i="71" s="1"/>
  <c r="CS25" i="67"/>
  <c r="GS25" i="67"/>
  <c r="AM25" i="71" s="1"/>
  <c r="CS28" i="67"/>
  <c r="GS28" i="67"/>
  <c r="AM28" i="71" s="1"/>
  <c r="CS50" i="67"/>
  <c r="GS50" i="67"/>
  <c r="AM52" i="71" s="1"/>
  <c r="CS120" i="67"/>
  <c r="GS120" i="67"/>
  <c r="AM124" i="71" s="1"/>
  <c r="CS159" i="67"/>
  <c r="GS159" i="67"/>
  <c r="AM165" i="71" s="1"/>
  <c r="CS133" i="67"/>
  <c r="GS133" i="67"/>
  <c r="AM137" i="71" s="1"/>
  <c r="CS90" i="67"/>
  <c r="GS90" i="67"/>
  <c r="AM93" i="71" s="1"/>
  <c r="CS148" i="67"/>
  <c r="GS148" i="67"/>
  <c r="AM153" i="71" s="1"/>
  <c r="CS145" i="67"/>
  <c r="GS145" i="67"/>
  <c r="AM150" i="71" s="1"/>
  <c r="CS124" i="67"/>
  <c r="GS124" i="67"/>
  <c r="AM128" i="71" s="1"/>
  <c r="CS60" i="67"/>
  <c r="GS60" i="67"/>
  <c r="AM62" i="71" s="1"/>
  <c r="CS88" i="67"/>
  <c r="GS88" i="67"/>
  <c r="AM90" i="71" s="1"/>
  <c r="CS47" i="67"/>
  <c r="GS47" i="67"/>
  <c r="AM49" i="71" s="1"/>
  <c r="CS9" i="67"/>
  <c r="GS9" i="67"/>
  <c r="AM9" i="71" s="1"/>
  <c r="CS58" i="67"/>
  <c r="GS58" i="67"/>
  <c r="AM60" i="71" s="1"/>
  <c r="CS80" i="67"/>
  <c r="GS80" i="67"/>
  <c r="AM82" i="71" s="1"/>
  <c r="CS142" i="67"/>
  <c r="GS142" i="67"/>
  <c r="AM147" i="71" s="1"/>
  <c r="CS169" i="67"/>
  <c r="GS169" i="67"/>
  <c r="AM182" i="71" s="1"/>
  <c r="U208" i="71"/>
  <c r="GL114" i="67"/>
  <c r="AB118" i="71" s="1"/>
  <c r="GL51" i="67"/>
  <c r="AB53" i="71" s="1"/>
  <c r="GL61" i="67"/>
  <c r="AB63" i="71" s="1"/>
  <c r="GL129" i="67"/>
  <c r="AB133" i="71" s="1"/>
  <c r="GL43" i="67"/>
  <c r="AB45" i="71" s="1"/>
  <c r="GL116" i="67"/>
  <c r="AB120" i="71" s="1"/>
  <c r="GL152" i="67"/>
  <c r="AB157" i="71" s="1"/>
  <c r="GL71" i="67"/>
  <c r="AB73" i="71" s="1"/>
  <c r="GL10" i="67"/>
  <c r="AB10" i="71" s="1"/>
  <c r="GL135" i="67"/>
  <c r="AB139" i="71" s="1"/>
  <c r="GL143" i="67"/>
  <c r="AB148" i="71" s="1"/>
  <c r="GL72" i="67"/>
  <c r="AB74" i="71" s="1"/>
  <c r="GL97" i="67"/>
  <c r="AB101" i="71" s="1"/>
  <c r="GL186" i="67"/>
  <c r="AB203" i="71" s="1"/>
  <c r="GL34" i="67"/>
  <c r="AB36" i="71" s="1"/>
  <c r="GL89" i="67"/>
  <c r="AB92" i="71" s="1"/>
  <c r="GL173" i="67"/>
  <c r="AB186" i="71" s="1"/>
  <c r="GL164" i="67"/>
  <c r="AB178" i="71" s="1"/>
  <c r="GL119" i="67"/>
  <c r="AB123" i="71" s="1"/>
  <c r="GL104" i="67"/>
  <c r="AB108" i="71" s="1"/>
  <c r="GL79" i="67"/>
  <c r="AB81" i="71" s="1"/>
  <c r="GL188" i="67"/>
  <c r="AB206" i="71" s="1"/>
  <c r="GL32" i="67"/>
  <c r="AB34" i="71" s="1"/>
  <c r="GL88" i="67"/>
  <c r="AB90" i="71" s="1"/>
  <c r="GL47" i="67"/>
  <c r="AB49" i="71" s="1"/>
  <c r="GL9" i="67"/>
  <c r="AB9" i="71" s="1"/>
  <c r="GL58" i="67"/>
  <c r="AB60" i="71" s="1"/>
  <c r="GL80" i="67"/>
  <c r="AB82" i="71" s="1"/>
  <c r="GL142" i="67"/>
  <c r="AB147" i="71" s="1"/>
  <c r="GL169" i="67"/>
  <c r="AB182" i="71" s="1"/>
  <c r="GL150" i="67"/>
  <c r="AB155" i="71" s="1"/>
  <c r="GL154" i="67"/>
  <c r="AB159" i="71" s="1"/>
  <c r="GL30" i="67"/>
  <c r="AB32" i="71" s="1"/>
  <c r="GL124" i="67"/>
  <c r="AB128" i="71" s="1"/>
  <c r="GL53" i="67"/>
  <c r="AB55" i="71" s="1"/>
  <c r="GL185" i="67"/>
  <c r="AB201" i="71" s="1"/>
  <c r="GL165" i="67"/>
  <c r="AB179" i="71" s="1"/>
  <c r="GL87" i="67"/>
  <c r="AB89" i="71" s="1"/>
  <c r="GL54" i="67"/>
  <c r="AB56" i="71" s="1"/>
  <c r="GL16" i="67"/>
  <c r="AB16" i="71" s="1"/>
  <c r="GL196" i="67"/>
  <c r="AB162" i="71" s="1"/>
  <c r="GL204" i="67"/>
  <c r="AB30" i="71" s="1"/>
  <c r="GL11" i="67"/>
  <c r="AB11" i="71" s="1"/>
  <c r="GL75" i="67"/>
  <c r="AB77" i="71" s="1"/>
  <c r="GL35" i="67"/>
  <c r="AB37" i="71" s="1"/>
  <c r="GL101" i="67"/>
  <c r="AB105" i="71" s="1"/>
  <c r="GL37" i="67"/>
  <c r="AB39" i="71" s="1"/>
  <c r="GL52" i="67"/>
  <c r="AB54" i="71" s="1"/>
  <c r="CP208" i="67"/>
  <c r="GL8" i="67"/>
  <c r="GL206" i="67"/>
  <c r="AB205" i="71" s="1"/>
  <c r="GL93" i="67"/>
  <c r="AB96" i="71" s="1"/>
  <c r="GL139" i="67"/>
  <c r="AB143" i="71" s="1"/>
  <c r="GL153" i="67"/>
  <c r="AB158" i="71" s="1"/>
  <c r="GL202" i="67"/>
  <c r="AB202" i="71" s="1"/>
  <c r="GL190" i="67"/>
  <c r="AB175" i="71" s="1"/>
  <c r="GL201" i="67"/>
  <c r="AB199" i="71" s="1"/>
  <c r="GL92" i="67"/>
  <c r="AB95" i="71" s="1"/>
  <c r="GL131" i="67"/>
  <c r="AB135" i="71" s="1"/>
  <c r="GL122" i="67"/>
  <c r="AB126" i="71" s="1"/>
  <c r="GL94" i="67"/>
  <c r="AB97" i="71" s="1"/>
  <c r="GL107" i="67"/>
  <c r="AB111" i="71" s="1"/>
  <c r="GL195" i="67"/>
  <c r="AB145" i="71" s="1"/>
  <c r="GL197" i="67"/>
  <c r="AB190" i="71" s="1"/>
  <c r="GL69" i="67"/>
  <c r="AB71" i="71" s="1"/>
  <c r="GL133" i="67"/>
  <c r="AB137" i="71" s="1"/>
  <c r="GL145" i="67"/>
  <c r="AB150" i="71" s="1"/>
  <c r="GL155" i="67"/>
  <c r="AB160" i="71" s="1"/>
  <c r="GL38" i="67"/>
  <c r="AB40" i="71" s="1"/>
  <c r="GL205" i="67"/>
  <c r="AB31" i="71" s="1"/>
  <c r="GL162" i="67"/>
  <c r="AB168" i="71" s="1"/>
  <c r="GL130" i="67"/>
  <c r="AB134" i="71" s="1"/>
  <c r="GL117" i="67"/>
  <c r="AB121" i="71" s="1"/>
  <c r="GL63" i="67"/>
  <c r="AB65" i="71" s="1"/>
  <c r="GL17" i="67"/>
  <c r="AB17" i="71" s="1"/>
  <c r="GL21" i="67"/>
  <c r="AB21" i="71" s="1"/>
  <c r="GL15" i="67"/>
  <c r="AB15" i="71" s="1"/>
  <c r="GL113" i="67"/>
  <c r="AB117" i="71" s="1"/>
  <c r="GL48" i="67"/>
  <c r="AB50" i="71" s="1"/>
  <c r="GL187" i="67"/>
  <c r="AB174" i="71" s="1"/>
  <c r="GL49" i="67"/>
  <c r="AB51" i="71" s="1"/>
  <c r="GL26" i="67"/>
  <c r="AB26" i="71" s="1"/>
  <c r="GL151" i="67"/>
  <c r="AB156" i="71" s="1"/>
  <c r="GL24" i="67"/>
  <c r="AB24" i="71" s="1"/>
  <c r="GL74" i="67"/>
  <c r="AB76" i="71" s="1"/>
  <c r="GL18" i="67"/>
  <c r="AB18" i="71" s="1"/>
  <c r="GL198" i="67"/>
  <c r="AB173" i="71" s="1"/>
  <c r="GL207" i="67"/>
  <c r="AB91" i="71" s="1"/>
  <c r="GL168" i="67"/>
  <c r="AB180" i="71" s="1"/>
  <c r="GL64" i="67"/>
  <c r="AB66" i="71" s="1"/>
  <c r="GL178" i="67"/>
  <c r="AB189" i="71" s="1"/>
  <c r="GL110" i="67"/>
  <c r="AB114" i="71" s="1"/>
  <c r="GL148" i="67"/>
  <c r="AB153" i="71" s="1"/>
  <c r="GL60" i="67"/>
  <c r="AB62" i="71" s="1"/>
  <c r="GL81" i="67"/>
  <c r="AB83" i="71" s="1"/>
  <c r="GL177" i="67"/>
  <c r="AB188" i="71" s="1"/>
  <c r="GL33" i="67"/>
  <c r="AB35" i="71" s="1"/>
  <c r="GL31" i="67"/>
  <c r="AB33" i="71" s="1"/>
  <c r="GL125" i="67"/>
  <c r="AB129" i="71" s="1"/>
  <c r="GL181" i="67"/>
  <c r="AB193" i="71" s="1"/>
  <c r="GL62" i="67"/>
  <c r="AB64" i="71" s="1"/>
  <c r="GL123" i="67"/>
  <c r="AB127" i="71" s="1"/>
  <c r="GL160" i="67"/>
  <c r="AB166" i="71" s="1"/>
  <c r="GL29" i="67"/>
  <c r="AB29" i="71" s="1"/>
  <c r="GL163" i="67"/>
  <c r="AB176" i="71" s="1"/>
  <c r="GL85" i="67"/>
  <c r="AB87" i="71" s="1"/>
  <c r="GL192" i="67"/>
  <c r="AB181" i="71" s="1"/>
  <c r="GL161" i="67"/>
  <c r="AB167" i="71" s="1"/>
  <c r="GL70" i="67"/>
  <c r="AB72" i="71" s="1"/>
  <c r="GL77" i="67"/>
  <c r="AB79" i="71" s="1"/>
  <c r="GL108" i="67"/>
  <c r="AB112" i="71" s="1"/>
  <c r="GL36" i="67"/>
  <c r="AB38" i="71" s="1"/>
  <c r="GL46" i="67"/>
  <c r="AB48" i="71" s="1"/>
  <c r="GL45" i="67"/>
  <c r="AB47" i="71" s="1"/>
  <c r="GL42" i="67"/>
  <c r="AB44" i="71" s="1"/>
  <c r="GL76" i="67"/>
  <c r="AB78" i="71" s="1"/>
  <c r="GL14" i="67"/>
  <c r="AB14" i="71" s="1"/>
  <c r="GL78" i="67"/>
  <c r="AB80" i="71" s="1"/>
  <c r="GL82" i="67"/>
  <c r="AB84" i="71" s="1"/>
  <c r="GL44" i="67"/>
  <c r="AB46" i="71" s="1"/>
  <c r="GL67" i="67"/>
  <c r="AB69" i="71" s="1"/>
  <c r="GL109" i="67"/>
  <c r="AB113" i="71" s="1"/>
  <c r="GL39" i="67"/>
  <c r="AB41" i="71" s="1"/>
  <c r="GL149" i="67"/>
  <c r="AB154" i="71" s="1"/>
  <c r="GL171" i="67"/>
  <c r="AB184" i="71" s="1"/>
  <c r="GL95" i="67"/>
  <c r="AB98" i="71" s="1"/>
  <c r="GL167" i="67"/>
  <c r="AB170" i="71" s="1"/>
  <c r="GL66" i="67"/>
  <c r="AB68" i="71" s="1"/>
  <c r="GL144" i="67"/>
  <c r="AB149" i="71" s="1"/>
  <c r="GL174" i="67"/>
  <c r="AB187" i="71" s="1"/>
  <c r="GL183" i="67"/>
  <c r="AB196" i="71" s="1"/>
  <c r="GL103" i="67"/>
  <c r="AB107" i="71" s="1"/>
  <c r="GL158" i="67"/>
  <c r="AB164" i="71" s="1"/>
  <c r="GL12" i="67"/>
  <c r="AB12" i="71" s="1"/>
  <c r="GL73" i="67"/>
  <c r="AB75" i="71" s="1"/>
  <c r="GL56" i="67"/>
  <c r="AB58" i="71" s="1"/>
  <c r="GL194" i="67"/>
  <c r="AB100" i="71" s="1"/>
  <c r="GL176" i="67"/>
  <c r="AB172" i="71" s="1"/>
  <c r="GL166" i="67"/>
  <c r="AB169" i="71" s="1"/>
  <c r="GL111" i="67"/>
  <c r="AB115" i="71" s="1"/>
  <c r="GL157" i="67"/>
  <c r="AB163" i="71" s="1"/>
  <c r="GL19" i="67"/>
  <c r="AB19" i="71" s="1"/>
  <c r="GL138" i="67"/>
  <c r="AB142" i="71" s="1"/>
  <c r="GL59" i="67"/>
  <c r="AB61" i="71" s="1"/>
  <c r="GL156" i="67"/>
  <c r="AB161" i="71" s="1"/>
  <c r="GL140" i="67"/>
  <c r="AB144" i="71" s="1"/>
  <c r="GL23" i="67"/>
  <c r="AB23" i="71" s="1"/>
  <c r="GL102" i="67"/>
  <c r="AB106" i="71" s="1"/>
  <c r="GL20" i="67"/>
  <c r="AB20" i="71" s="1"/>
  <c r="GL203" i="67"/>
  <c r="AB204" i="71" s="1"/>
  <c r="GL182" i="67"/>
  <c r="AB194" i="71" s="1"/>
  <c r="GL141" i="67"/>
  <c r="AB146" i="71" s="1"/>
  <c r="GL25" i="67"/>
  <c r="AB25" i="71" s="1"/>
  <c r="GL55" i="67"/>
  <c r="AB57" i="71" s="1"/>
  <c r="GL105" i="67"/>
  <c r="AB109" i="71" s="1"/>
  <c r="GL121" i="67"/>
  <c r="AB125" i="71" s="1"/>
  <c r="GL132" i="67"/>
  <c r="AB136" i="71" s="1"/>
  <c r="GL184" i="67"/>
  <c r="AB200" i="71" s="1"/>
  <c r="GL86" i="67"/>
  <c r="AB88" i="71" s="1"/>
  <c r="GL83" i="67"/>
  <c r="AB85" i="71" s="1"/>
  <c r="GL170" i="67"/>
  <c r="AB183" i="71" s="1"/>
  <c r="GL189" i="67"/>
  <c r="AB207" i="71" s="1"/>
  <c r="GL13" i="67"/>
  <c r="AB13" i="71" s="1"/>
  <c r="GL147" i="67"/>
  <c r="AB152" i="71" s="1"/>
  <c r="GL68" i="67"/>
  <c r="AB70" i="71" s="1"/>
  <c r="GL99" i="67"/>
  <c r="AB103" i="71" s="1"/>
  <c r="GL191" i="67"/>
  <c r="AB177" i="71" s="1"/>
  <c r="GL115" i="67"/>
  <c r="AB119" i="71" s="1"/>
  <c r="GL91" i="67"/>
  <c r="AB94" i="71" s="1"/>
  <c r="GL175" i="67"/>
  <c r="AB171" i="71" s="1"/>
  <c r="GL27" i="67"/>
  <c r="AB27" i="71" s="1"/>
  <c r="GL90" i="67"/>
  <c r="AB93" i="71" s="1"/>
  <c r="GL98" i="67"/>
  <c r="AB102" i="71" s="1"/>
  <c r="GL106" i="67"/>
  <c r="AB110" i="71" s="1"/>
  <c r="GL137" i="67"/>
  <c r="AB141" i="71" s="1"/>
  <c r="GL146" i="67"/>
  <c r="AB151" i="71" s="1"/>
  <c r="GL57" i="67"/>
  <c r="AB59" i="71" s="1"/>
  <c r="GL28" i="67"/>
  <c r="AB28" i="71" s="1"/>
  <c r="GL50" i="67"/>
  <c r="AB52" i="71" s="1"/>
  <c r="GL199" i="67"/>
  <c r="AB197" i="71" s="1"/>
  <c r="GL120" i="67"/>
  <c r="AB124" i="71" s="1"/>
  <c r="GL112" i="67"/>
  <c r="AB116" i="71" s="1"/>
  <c r="GL159" i="67"/>
  <c r="AB165" i="71" s="1"/>
  <c r="GL41" i="67"/>
  <c r="AB43" i="71" s="1"/>
  <c r="GL136" i="67"/>
  <c r="AB140" i="71" s="1"/>
  <c r="GL128" i="67"/>
  <c r="AB132" i="71" s="1"/>
  <c r="GL127" i="67"/>
  <c r="AB131" i="71" s="1"/>
  <c r="GL172" i="67"/>
  <c r="AB185" i="71" s="1"/>
  <c r="GL179" i="67"/>
  <c r="AB191" i="71" s="1"/>
  <c r="GL193" i="67"/>
  <c r="AB195" i="71" s="1"/>
  <c r="GL126" i="67"/>
  <c r="AB130" i="71" s="1"/>
  <c r="GL84" i="67"/>
  <c r="AB86" i="71" s="1"/>
  <c r="GL200" i="67"/>
  <c r="AB198" i="71" s="1"/>
  <c r="GL22" i="67"/>
  <c r="AB22" i="71" s="1"/>
  <c r="GL180" i="67"/>
  <c r="AB192" i="71" s="1"/>
  <c r="GL134" i="67"/>
  <c r="AB138" i="71" s="1"/>
  <c r="GL96" i="67"/>
  <c r="AB99" i="71" s="1"/>
  <c r="GL65" i="67"/>
  <c r="AB67" i="71" s="1"/>
  <c r="GL40" i="67"/>
  <c r="AB42" i="71" s="1"/>
  <c r="GL118" i="67"/>
  <c r="AB122" i="71" s="1"/>
  <c r="O208" i="62"/>
  <c r="I208" i="62"/>
  <c r="H208" i="62"/>
  <c r="AM208" i="71" l="1"/>
  <c r="GS208" i="67"/>
  <c r="AB8" i="71"/>
  <c r="GL208" i="67"/>
  <c r="J73" i="11"/>
  <c r="CS208" i="67"/>
  <c r="AM208" i="62" l="1"/>
  <c r="AL208" i="62"/>
  <c r="P208" i="71" l="1"/>
  <c r="Q208" i="71"/>
  <c r="O208" i="67" l="1"/>
  <c r="P208" i="67" l="1"/>
  <c r="I207" i="68" l="1"/>
  <c r="J207" i="68"/>
  <c r="H207" i="68"/>
  <c r="Y208" i="67"/>
  <c r="T208" i="67" l="1"/>
  <c r="U208" i="67"/>
  <c r="Q208" i="67"/>
  <c r="X208" i="67"/>
  <c r="ED136" i="61" l="1"/>
  <c r="ED130" i="61"/>
  <c r="J208" i="67"/>
  <c r="I208" i="67"/>
  <c r="ED133" i="61" l="1"/>
  <c r="ED62" i="61"/>
  <c r="ED87" i="61"/>
  <c r="ED94" i="61"/>
  <c r="ED12" i="61"/>
  <c r="ED28" i="61"/>
  <c r="ED16" i="61"/>
  <c r="ED98" i="61"/>
  <c r="ED55" i="61"/>
  <c r="ED45" i="61"/>
  <c r="ED93" i="61"/>
  <c r="ED137" i="61"/>
  <c r="ED138" i="61"/>
  <c r="ED17" i="61"/>
  <c r="ED65" i="61"/>
  <c r="ED25" i="61"/>
  <c r="ED92" i="61"/>
  <c r="ED27" i="61"/>
  <c r="ED33" i="61"/>
  <c r="ED105" i="61"/>
  <c r="ED56" i="61"/>
  <c r="ED31" i="61"/>
  <c r="ED66" i="61"/>
  <c r="ED59" i="61"/>
  <c r="ED90" i="61"/>
  <c r="ED82" i="61"/>
  <c r="ED95" i="61"/>
  <c r="ED70" i="61"/>
  <c r="ED48" i="61"/>
  <c r="ED36" i="61"/>
  <c r="ED73" i="61"/>
  <c r="ED21" i="61"/>
  <c r="ED104" i="61"/>
  <c r="ED71" i="61"/>
  <c r="ED107" i="61"/>
  <c r="ED135" i="61"/>
  <c r="ED10" i="61"/>
  <c r="ED51" i="61"/>
  <c r="ED35" i="61"/>
  <c r="ED81" i="61"/>
  <c r="ED24" i="61"/>
  <c r="ED43" i="61"/>
  <c r="ED111" i="61"/>
  <c r="ED91" i="61"/>
  <c r="ED18" i="61"/>
  <c r="ED58" i="61"/>
  <c r="ED100" i="61"/>
  <c r="ED53" i="61"/>
  <c r="ED20" i="61"/>
  <c r="ED127" i="61"/>
  <c r="ED30" i="61"/>
  <c r="ED41" i="61"/>
  <c r="ED115" i="61"/>
  <c r="ED83" i="61"/>
  <c r="ED129" i="61"/>
  <c r="ED117" i="61"/>
  <c r="ED47" i="61"/>
  <c r="ED119" i="61"/>
  <c r="ED9" i="61"/>
  <c r="ED121" i="61"/>
  <c r="ED88" i="61"/>
  <c r="ED118" i="61"/>
  <c r="ED77" i="61"/>
  <c r="ED86" i="61"/>
  <c r="ED132" i="61"/>
  <c r="ED120" i="61"/>
  <c r="ED110" i="61"/>
  <c r="ED140" i="61"/>
  <c r="ED123" i="61"/>
  <c r="W208" i="67"/>
  <c r="M208" i="67"/>
  <c r="V208" i="67"/>
  <c r="ED142" i="61" l="1"/>
  <c r="AA208" i="71"/>
  <c r="AE206" i="66"/>
  <c r="AD206" i="66"/>
  <c r="AC206" i="66"/>
  <c r="AB206" i="66"/>
  <c r="AA206" i="66"/>
  <c r="Z206" i="66"/>
  <c r="Y206" i="66"/>
  <c r="AE205" i="66"/>
  <c r="AD205" i="66"/>
  <c r="AC205" i="66"/>
  <c r="AB205" i="66"/>
  <c r="AA205" i="66"/>
  <c r="Z205" i="66"/>
  <c r="Y205" i="66"/>
  <c r="AE204" i="66"/>
  <c r="AD204" i="66"/>
  <c r="AC204" i="66"/>
  <c r="AB204" i="66"/>
  <c r="AA204" i="66"/>
  <c r="Z204" i="66"/>
  <c r="Y204" i="66"/>
  <c r="AE203" i="66"/>
  <c r="AD203" i="66"/>
  <c r="AC203" i="66"/>
  <c r="AB203" i="66"/>
  <c r="AA203" i="66"/>
  <c r="Z203" i="66"/>
  <c r="Y203" i="66"/>
  <c r="AE202" i="66"/>
  <c r="AD202" i="66"/>
  <c r="AC202" i="66"/>
  <c r="AB202" i="66"/>
  <c r="AA202" i="66"/>
  <c r="Z202" i="66"/>
  <c r="Y202" i="66"/>
  <c r="AE201" i="66"/>
  <c r="AD201" i="66"/>
  <c r="AC201" i="66"/>
  <c r="AB201" i="66"/>
  <c r="AA201" i="66"/>
  <c r="Z201" i="66"/>
  <c r="Y201" i="66"/>
  <c r="AE200" i="66"/>
  <c r="AD200" i="66"/>
  <c r="AC200" i="66"/>
  <c r="AB200" i="66"/>
  <c r="AA200" i="66"/>
  <c r="Z200" i="66"/>
  <c r="Y200" i="66"/>
  <c r="AE199" i="66"/>
  <c r="AD199" i="66"/>
  <c r="AC199" i="66"/>
  <c r="AB199" i="66"/>
  <c r="AA199" i="66"/>
  <c r="Z199" i="66"/>
  <c r="Y199" i="66"/>
  <c r="AE198" i="66"/>
  <c r="AD198" i="66"/>
  <c r="AC198" i="66"/>
  <c r="AB198" i="66"/>
  <c r="AA198" i="66"/>
  <c r="Z198" i="66"/>
  <c r="Y198" i="66"/>
  <c r="AE197" i="66"/>
  <c r="AD197" i="66"/>
  <c r="AC197" i="66"/>
  <c r="AB197" i="66"/>
  <c r="AA197" i="66"/>
  <c r="Z197" i="66"/>
  <c r="Y197" i="66"/>
  <c r="AE196" i="66"/>
  <c r="AD196" i="66"/>
  <c r="AC196" i="66"/>
  <c r="AB196" i="66"/>
  <c r="AA196" i="66"/>
  <c r="Z196" i="66"/>
  <c r="Y196" i="66"/>
  <c r="AE195" i="66"/>
  <c r="AD195" i="66"/>
  <c r="AC195" i="66"/>
  <c r="AB195" i="66"/>
  <c r="AA195" i="66"/>
  <c r="Z195" i="66"/>
  <c r="Y195" i="66"/>
  <c r="AE194" i="66"/>
  <c r="AD194" i="66"/>
  <c r="AC194" i="66"/>
  <c r="AB194" i="66"/>
  <c r="AA194" i="66"/>
  <c r="Z194" i="66"/>
  <c r="Y194" i="66"/>
  <c r="AE193" i="66"/>
  <c r="AD193" i="66"/>
  <c r="AC193" i="66"/>
  <c r="AB193" i="66"/>
  <c r="AA193" i="66"/>
  <c r="Z193" i="66"/>
  <c r="Y193" i="66"/>
  <c r="AE192" i="66"/>
  <c r="AD192" i="66"/>
  <c r="AC192" i="66"/>
  <c r="AB192" i="66"/>
  <c r="AA192" i="66"/>
  <c r="Z192" i="66"/>
  <c r="Y192" i="66"/>
  <c r="AE191" i="66"/>
  <c r="AD191" i="66"/>
  <c r="AC191" i="66"/>
  <c r="AB191" i="66"/>
  <c r="AA191" i="66"/>
  <c r="Z191" i="66"/>
  <c r="Y191" i="66"/>
  <c r="AE190" i="66"/>
  <c r="AD190" i="66"/>
  <c r="AC190" i="66"/>
  <c r="AB190" i="66"/>
  <c r="AA190" i="66"/>
  <c r="Z190" i="66"/>
  <c r="Y190" i="66"/>
  <c r="AE189" i="66"/>
  <c r="AD189" i="66"/>
  <c r="AC189" i="66"/>
  <c r="AB189" i="66"/>
  <c r="AA189" i="66"/>
  <c r="Z189" i="66"/>
  <c r="Y189" i="66"/>
  <c r="AE188" i="66"/>
  <c r="AD188" i="66"/>
  <c r="AC188" i="66"/>
  <c r="AB188" i="66"/>
  <c r="AA188" i="66"/>
  <c r="Z188" i="66"/>
  <c r="Y188" i="66"/>
  <c r="AE187" i="66"/>
  <c r="AD187" i="66"/>
  <c r="AC187" i="66"/>
  <c r="AB187" i="66"/>
  <c r="AA187" i="66"/>
  <c r="Z187" i="66"/>
  <c r="Y187" i="66"/>
  <c r="AE186" i="66"/>
  <c r="AD186" i="66"/>
  <c r="AC186" i="66"/>
  <c r="AB186" i="66"/>
  <c r="AA186" i="66"/>
  <c r="Z186" i="66"/>
  <c r="Y186" i="66"/>
  <c r="AE185" i="66"/>
  <c r="AD185" i="66"/>
  <c r="AC185" i="66"/>
  <c r="AB185" i="66"/>
  <c r="AA185" i="66"/>
  <c r="Z185" i="66"/>
  <c r="Y185" i="66"/>
  <c r="AE184" i="66"/>
  <c r="AD184" i="66"/>
  <c r="AC184" i="66"/>
  <c r="AB184" i="66"/>
  <c r="AA184" i="66"/>
  <c r="Z184" i="66"/>
  <c r="Y184" i="66"/>
  <c r="AE183" i="66"/>
  <c r="AD183" i="66"/>
  <c r="AC183" i="66"/>
  <c r="AB183" i="66"/>
  <c r="AA183" i="66"/>
  <c r="Z183" i="66"/>
  <c r="Y183" i="66"/>
  <c r="AE182" i="66"/>
  <c r="AD182" i="66"/>
  <c r="AC182" i="66"/>
  <c r="AB182" i="66"/>
  <c r="AA182" i="66"/>
  <c r="Z182" i="66"/>
  <c r="Y182" i="66"/>
  <c r="AE181" i="66"/>
  <c r="AD181" i="66"/>
  <c r="AC181" i="66"/>
  <c r="AB181" i="66"/>
  <c r="AA181" i="66"/>
  <c r="Z181" i="66"/>
  <c r="Y181" i="66"/>
  <c r="AE180" i="66"/>
  <c r="AD180" i="66"/>
  <c r="AC180" i="66"/>
  <c r="AB180" i="66"/>
  <c r="AA180" i="66"/>
  <c r="Z180" i="66"/>
  <c r="Y180" i="66"/>
  <c r="AE179" i="66"/>
  <c r="AD179" i="66"/>
  <c r="AC179" i="66"/>
  <c r="AB179" i="66"/>
  <c r="AA179" i="66"/>
  <c r="Z179" i="66"/>
  <c r="Y179" i="66"/>
  <c r="AE178" i="66"/>
  <c r="AD178" i="66"/>
  <c r="AC178" i="66"/>
  <c r="AB178" i="66"/>
  <c r="AA178" i="66"/>
  <c r="Z178" i="66"/>
  <c r="Y178" i="66"/>
  <c r="AE177" i="66"/>
  <c r="AD177" i="66"/>
  <c r="AC177" i="66"/>
  <c r="AB177" i="66"/>
  <c r="AA177" i="66"/>
  <c r="Z177" i="66"/>
  <c r="Y177" i="66"/>
  <c r="AE176" i="66"/>
  <c r="AD176" i="66"/>
  <c r="AC176" i="66"/>
  <c r="AB176" i="66"/>
  <c r="AA176" i="66"/>
  <c r="Z176" i="66"/>
  <c r="Y176" i="66"/>
  <c r="AE175" i="66"/>
  <c r="AD175" i="66"/>
  <c r="AC175" i="66"/>
  <c r="AB175" i="66"/>
  <c r="AA175" i="66"/>
  <c r="Z175" i="66"/>
  <c r="Y175" i="66"/>
  <c r="AE174" i="66"/>
  <c r="AD174" i="66"/>
  <c r="AC174" i="66"/>
  <c r="AB174" i="66"/>
  <c r="AA174" i="66"/>
  <c r="Z174" i="66"/>
  <c r="Y174" i="66"/>
  <c r="AE173" i="66"/>
  <c r="AD173" i="66"/>
  <c r="AC173" i="66"/>
  <c r="AB173" i="66"/>
  <c r="AA173" i="66"/>
  <c r="Z173" i="66"/>
  <c r="Y173" i="66"/>
  <c r="AE172" i="66"/>
  <c r="AD172" i="66"/>
  <c r="AC172" i="66"/>
  <c r="AB172" i="66"/>
  <c r="AA172" i="66"/>
  <c r="Z172" i="66"/>
  <c r="Y172" i="66"/>
  <c r="AE171" i="66"/>
  <c r="AD171" i="66"/>
  <c r="AC171" i="66"/>
  <c r="AB171" i="66"/>
  <c r="AA171" i="66"/>
  <c r="Z171" i="66"/>
  <c r="Y171" i="66"/>
  <c r="AE170" i="66"/>
  <c r="AD170" i="66"/>
  <c r="AC170" i="66"/>
  <c r="AB170" i="66"/>
  <c r="AA170" i="66"/>
  <c r="Z170" i="66"/>
  <c r="Y170" i="66"/>
  <c r="AE169" i="66"/>
  <c r="AD169" i="66"/>
  <c r="AC169" i="66"/>
  <c r="AB169" i="66"/>
  <c r="AA169" i="66"/>
  <c r="Z169" i="66"/>
  <c r="Y169" i="66"/>
  <c r="AE168" i="66"/>
  <c r="AD168" i="66"/>
  <c r="AC168" i="66"/>
  <c r="AB168" i="66"/>
  <c r="AA168" i="66"/>
  <c r="Z168" i="66"/>
  <c r="Y168" i="66"/>
  <c r="AE167" i="66"/>
  <c r="AD167" i="66"/>
  <c r="AC167" i="66"/>
  <c r="AB167" i="66"/>
  <c r="AA167" i="66"/>
  <c r="Z167" i="66"/>
  <c r="Y167" i="66"/>
  <c r="AE166" i="66"/>
  <c r="AD166" i="66"/>
  <c r="AC166" i="66"/>
  <c r="AB166" i="66"/>
  <c r="AA166" i="66"/>
  <c r="Z166" i="66"/>
  <c r="Y166" i="66"/>
  <c r="AE165" i="66"/>
  <c r="AD165" i="66"/>
  <c r="AC165" i="66"/>
  <c r="AB165" i="66"/>
  <c r="AA165" i="66"/>
  <c r="Z165" i="66"/>
  <c r="Y165" i="66"/>
  <c r="AE164" i="66"/>
  <c r="AD164" i="66"/>
  <c r="AC164" i="66"/>
  <c r="AB164" i="66"/>
  <c r="AA164" i="66"/>
  <c r="Z164" i="66"/>
  <c r="Y164" i="66"/>
  <c r="AE163" i="66"/>
  <c r="AD163" i="66"/>
  <c r="AC163" i="66"/>
  <c r="AB163" i="66"/>
  <c r="AA163" i="66"/>
  <c r="Z163" i="66"/>
  <c r="Y163" i="66"/>
  <c r="AE162" i="66"/>
  <c r="AD162" i="66"/>
  <c r="AC162" i="66"/>
  <c r="AB162" i="66"/>
  <c r="AA162" i="66"/>
  <c r="Z162" i="66"/>
  <c r="Y162" i="66"/>
  <c r="AE161" i="66"/>
  <c r="AD161" i="66"/>
  <c r="AC161" i="66"/>
  <c r="AB161" i="66"/>
  <c r="AA161" i="66"/>
  <c r="Z161" i="66"/>
  <c r="Y161" i="66"/>
  <c r="AE160" i="66"/>
  <c r="AD160" i="66"/>
  <c r="AC160" i="66"/>
  <c r="AB160" i="66"/>
  <c r="AA160" i="66"/>
  <c r="Z160" i="66"/>
  <c r="Y160" i="66"/>
  <c r="AE159" i="66"/>
  <c r="AD159" i="66"/>
  <c r="AC159" i="66"/>
  <c r="AB159" i="66"/>
  <c r="AA159" i="66"/>
  <c r="Z159" i="66"/>
  <c r="Y159" i="66"/>
  <c r="AE158" i="66"/>
  <c r="AD158" i="66"/>
  <c r="AC158" i="66"/>
  <c r="AB158" i="66"/>
  <c r="AA158" i="66"/>
  <c r="Z158" i="66"/>
  <c r="Y158" i="66"/>
  <c r="AE157" i="66"/>
  <c r="AD157" i="66"/>
  <c r="AC157" i="66"/>
  <c r="AB157" i="66"/>
  <c r="AA157" i="66"/>
  <c r="Z157" i="66"/>
  <c r="Y157" i="66"/>
  <c r="AE156" i="66"/>
  <c r="AD156" i="66"/>
  <c r="AC156" i="66"/>
  <c r="AB156" i="66"/>
  <c r="AA156" i="66"/>
  <c r="Z156" i="66"/>
  <c r="Y156" i="66"/>
  <c r="AE155" i="66"/>
  <c r="AD155" i="66"/>
  <c r="AC155" i="66"/>
  <c r="AB155" i="66"/>
  <c r="AA155" i="66"/>
  <c r="Z155" i="66"/>
  <c r="Y155" i="66"/>
  <c r="AE154" i="66"/>
  <c r="AD154" i="66"/>
  <c r="AC154" i="66"/>
  <c r="AB154" i="66"/>
  <c r="AA154" i="66"/>
  <c r="Z154" i="66"/>
  <c r="Y154" i="66"/>
  <c r="AE153" i="66"/>
  <c r="AD153" i="66"/>
  <c r="AC153" i="66"/>
  <c r="AB153" i="66"/>
  <c r="AA153" i="66"/>
  <c r="Z153" i="66"/>
  <c r="Y153" i="66"/>
  <c r="AE152" i="66"/>
  <c r="AD152" i="66"/>
  <c r="AC152" i="66"/>
  <c r="AB152" i="66"/>
  <c r="AA152" i="66"/>
  <c r="Z152" i="66"/>
  <c r="Y152" i="66"/>
  <c r="AE151" i="66"/>
  <c r="AD151" i="66"/>
  <c r="AC151" i="66"/>
  <c r="AB151" i="66"/>
  <c r="AA151" i="66"/>
  <c r="Z151" i="66"/>
  <c r="Y151" i="66"/>
  <c r="AE150" i="66"/>
  <c r="AD150" i="66"/>
  <c r="AC150" i="66"/>
  <c r="AB150" i="66"/>
  <c r="AA150" i="66"/>
  <c r="Z150" i="66"/>
  <c r="Y150" i="66"/>
  <c r="AE149" i="66"/>
  <c r="AD149" i="66"/>
  <c r="AC149" i="66"/>
  <c r="AB149" i="66"/>
  <c r="AA149" i="66"/>
  <c r="Z149" i="66"/>
  <c r="Y149" i="66"/>
  <c r="AE148" i="66"/>
  <c r="AD148" i="66"/>
  <c r="AC148" i="66"/>
  <c r="AB148" i="66"/>
  <c r="AA148" i="66"/>
  <c r="Z148" i="66"/>
  <c r="Y148" i="66"/>
  <c r="AE147" i="66"/>
  <c r="AD147" i="66"/>
  <c r="AC147" i="66"/>
  <c r="AB147" i="66"/>
  <c r="AA147" i="66"/>
  <c r="Z147" i="66"/>
  <c r="Y147" i="66"/>
  <c r="AE146" i="66"/>
  <c r="AD146" i="66"/>
  <c r="AC146" i="66"/>
  <c r="AB146" i="66"/>
  <c r="AA146" i="66"/>
  <c r="Z146" i="66"/>
  <c r="Y146" i="66"/>
  <c r="AE145" i="66"/>
  <c r="AD145" i="66"/>
  <c r="AC145" i="66"/>
  <c r="AB145" i="66"/>
  <c r="AA145" i="66"/>
  <c r="Z145" i="66"/>
  <c r="Y145" i="66"/>
  <c r="AE144" i="66"/>
  <c r="AD144" i="66"/>
  <c r="AC144" i="66"/>
  <c r="AB144" i="66"/>
  <c r="AA144" i="66"/>
  <c r="Z144" i="66"/>
  <c r="Y144" i="66"/>
  <c r="AE143" i="66"/>
  <c r="AD143" i="66"/>
  <c r="AC143" i="66"/>
  <c r="AB143" i="66"/>
  <c r="AA143" i="66"/>
  <c r="Z143" i="66"/>
  <c r="Y143" i="66"/>
  <c r="AE142" i="66"/>
  <c r="AD142" i="66"/>
  <c r="AC142" i="66"/>
  <c r="AB142" i="66"/>
  <c r="AA142" i="66"/>
  <c r="Z142" i="66"/>
  <c r="Y142" i="66"/>
  <c r="AE141" i="66"/>
  <c r="AD141" i="66"/>
  <c r="AC141" i="66"/>
  <c r="AB141" i="66"/>
  <c r="AA141" i="66"/>
  <c r="Z141" i="66"/>
  <c r="Y141" i="66"/>
  <c r="AE140" i="66"/>
  <c r="AD140" i="66"/>
  <c r="AC140" i="66"/>
  <c r="AB140" i="66"/>
  <c r="AA140" i="66"/>
  <c r="Z140" i="66"/>
  <c r="Y140" i="66"/>
  <c r="AE139" i="66"/>
  <c r="AD139" i="66"/>
  <c r="AC139" i="66"/>
  <c r="AB139" i="66"/>
  <c r="AA139" i="66"/>
  <c r="Z139" i="66"/>
  <c r="Y139" i="66"/>
  <c r="AE138" i="66"/>
  <c r="AD138" i="66"/>
  <c r="AC138" i="66"/>
  <c r="AB138" i="66"/>
  <c r="AA138" i="66"/>
  <c r="Z138" i="66"/>
  <c r="Y138" i="66"/>
  <c r="AE137" i="66"/>
  <c r="AD137" i="66"/>
  <c r="AC137" i="66"/>
  <c r="AB137" i="66"/>
  <c r="AA137" i="66"/>
  <c r="Z137" i="66"/>
  <c r="Y137" i="66"/>
  <c r="AE136" i="66"/>
  <c r="AD136" i="66"/>
  <c r="AC136" i="66"/>
  <c r="AB136" i="66"/>
  <c r="AA136" i="66"/>
  <c r="Z136" i="66"/>
  <c r="Y136" i="66"/>
  <c r="AE135" i="66"/>
  <c r="AD135" i="66"/>
  <c r="AC135" i="66"/>
  <c r="AB135" i="66"/>
  <c r="AA135" i="66"/>
  <c r="Z135" i="66"/>
  <c r="Y135" i="66"/>
  <c r="AE134" i="66"/>
  <c r="AD134" i="66"/>
  <c r="AC134" i="66"/>
  <c r="AB134" i="66"/>
  <c r="AA134" i="66"/>
  <c r="Z134" i="66"/>
  <c r="Y134" i="66"/>
  <c r="AE133" i="66"/>
  <c r="AD133" i="66"/>
  <c r="AC133" i="66"/>
  <c r="AB133" i="66"/>
  <c r="AA133" i="66"/>
  <c r="Z133" i="66"/>
  <c r="Y133" i="66"/>
  <c r="AE132" i="66"/>
  <c r="AD132" i="66"/>
  <c r="AC132" i="66"/>
  <c r="AB132" i="66"/>
  <c r="AA132" i="66"/>
  <c r="Z132" i="66"/>
  <c r="Y132" i="66"/>
  <c r="AE131" i="66"/>
  <c r="AD131" i="66"/>
  <c r="AC131" i="66"/>
  <c r="AB131" i="66"/>
  <c r="AA131" i="66"/>
  <c r="Z131" i="66"/>
  <c r="Y131" i="66"/>
  <c r="AE130" i="66"/>
  <c r="AD130" i="66"/>
  <c r="AC130" i="66"/>
  <c r="AB130" i="66"/>
  <c r="AA130" i="66"/>
  <c r="Z130" i="66"/>
  <c r="Y130" i="66"/>
  <c r="AE129" i="66"/>
  <c r="AD129" i="66"/>
  <c r="AC129" i="66"/>
  <c r="AB129" i="66"/>
  <c r="AA129" i="66"/>
  <c r="Z129" i="66"/>
  <c r="Y129" i="66"/>
  <c r="AE128" i="66"/>
  <c r="AD128" i="66"/>
  <c r="AC128" i="66"/>
  <c r="AB128" i="66"/>
  <c r="AA128" i="66"/>
  <c r="Z128" i="66"/>
  <c r="Y128" i="66"/>
  <c r="AE127" i="66"/>
  <c r="AD127" i="66"/>
  <c r="AC127" i="66"/>
  <c r="AB127" i="66"/>
  <c r="AA127" i="66"/>
  <c r="Z127" i="66"/>
  <c r="Y127" i="66"/>
  <c r="AE126" i="66"/>
  <c r="AD126" i="66"/>
  <c r="AC126" i="66"/>
  <c r="AB126" i="66"/>
  <c r="AA126" i="66"/>
  <c r="Z126" i="66"/>
  <c r="Y126" i="66"/>
  <c r="AE125" i="66"/>
  <c r="AD125" i="66"/>
  <c r="AC125" i="66"/>
  <c r="AB125" i="66"/>
  <c r="AA125" i="66"/>
  <c r="Z125" i="66"/>
  <c r="Y125" i="66"/>
  <c r="AE124" i="66"/>
  <c r="AD124" i="66"/>
  <c r="AC124" i="66"/>
  <c r="AB124" i="66"/>
  <c r="AA124" i="66"/>
  <c r="Z124" i="66"/>
  <c r="Y124" i="66"/>
  <c r="AE123" i="66"/>
  <c r="AD123" i="66"/>
  <c r="AC123" i="66"/>
  <c r="AB123" i="66"/>
  <c r="AA123" i="66"/>
  <c r="Z123" i="66"/>
  <c r="Y123" i="66"/>
  <c r="AE122" i="66"/>
  <c r="AD122" i="66"/>
  <c r="AC122" i="66"/>
  <c r="AB122" i="66"/>
  <c r="AA122" i="66"/>
  <c r="Z122" i="66"/>
  <c r="Y122" i="66"/>
  <c r="AE121" i="66"/>
  <c r="AD121" i="66"/>
  <c r="AC121" i="66"/>
  <c r="AB121" i="66"/>
  <c r="AA121" i="66"/>
  <c r="Z121" i="66"/>
  <c r="Y121" i="66"/>
  <c r="AE120" i="66"/>
  <c r="AD120" i="66"/>
  <c r="AC120" i="66"/>
  <c r="AB120" i="66"/>
  <c r="AA120" i="66"/>
  <c r="Z120" i="66"/>
  <c r="Y120" i="66"/>
  <c r="AE119" i="66"/>
  <c r="AD119" i="66"/>
  <c r="AC119" i="66"/>
  <c r="AB119" i="66"/>
  <c r="AA119" i="66"/>
  <c r="Z119" i="66"/>
  <c r="Y119" i="66"/>
  <c r="AE118" i="66"/>
  <c r="AD118" i="66"/>
  <c r="AC118" i="66"/>
  <c r="AB118" i="66"/>
  <c r="AA118" i="66"/>
  <c r="Z118" i="66"/>
  <c r="Y118" i="66"/>
  <c r="AE117" i="66"/>
  <c r="AD117" i="66"/>
  <c r="AC117" i="66"/>
  <c r="AB117" i="66"/>
  <c r="AA117" i="66"/>
  <c r="Z117" i="66"/>
  <c r="Y117" i="66"/>
  <c r="AE116" i="66"/>
  <c r="AD116" i="66"/>
  <c r="AC116" i="66"/>
  <c r="AB116" i="66"/>
  <c r="AA116" i="66"/>
  <c r="Z116" i="66"/>
  <c r="Y116" i="66"/>
  <c r="AE115" i="66"/>
  <c r="AD115" i="66"/>
  <c r="AC115" i="66"/>
  <c r="AB115" i="66"/>
  <c r="AA115" i="66"/>
  <c r="Z115" i="66"/>
  <c r="Y115" i="66"/>
  <c r="AE114" i="66"/>
  <c r="AD114" i="66"/>
  <c r="AC114" i="66"/>
  <c r="AB114" i="66"/>
  <c r="AA114" i="66"/>
  <c r="Z114" i="66"/>
  <c r="Y114" i="66"/>
  <c r="AE113" i="66"/>
  <c r="AD113" i="66"/>
  <c r="AC113" i="66"/>
  <c r="AB113" i="66"/>
  <c r="AA113" i="66"/>
  <c r="Z113" i="66"/>
  <c r="Y113" i="66"/>
  <c r="AE112" i="66"/>
  <c r="AD112" i="66"/>
  <c r="AC112" i="66"/>
  <c r="AB112" i="66"/>
  <c r="AA112" i="66"/>
  <c r="Z112" i="66"/>
  <c r="Y112" i="66"/>
  <c r="AE111" i="66"/>
  <c r="AD111" i="66"/>
  <c r="AC111" i="66"/>
  <c r="AB111" i="66"/>
  <c r="AA111" i="66"/>
  <c r="Z111" i="66"/>
  <c r="Y111" i="66"/>
  <c r="AE110" i="66"/>
  <c r="AD110" i="66"/>
  <c r="AC110" i="66"/>
  <c r="AB110" i="66"/>
  <c r="AA110" i="66"/>
  <c r="Z110" i="66"/>
  <c r="Y110" i="66"/>
  <c r="AE109" i="66"/>
  <c r="AD109" i="66"/>
  <c r="AC109" i="66"/>
  <c r="AB109" i="66"/>
  <c r="AA109" i="66"/>
  <c r="Z109" i="66"/>
  <c r="Y109" i="66"/>
  <c r="AE108" i="66"/>
  <c r="AD108" i="66"/>
  <c r="AC108" i="66"/>
  <c r="AB108" i="66"/>
  <c r="AA108" i="66"/>
  <c r="Z108" i="66"/>
  <c r="Y108" i="66"/>
  <c r="AE107" i="66"/>
  <c r="AD107" i="66"/>
  <c r="AC107" i="66"/>
  <c r="AB107" i="66"/>
  <c r="AA107" i="66"/>
  <c r="Z107" i="66"/>
  <c r="Y107" i="66"/>
  <c r="AE106" i="66"/>
  <c r="AD106" i="66"/>
  <c r="AC106" i="66"/>
  <c r="AB106" i="66"/>
  <c r="AA106" i="66"/>
  <c r="Z106" i="66"/>
  <c r="Y106" i="66"/>
  <c r="AE105" i="66"/>
  <c r="AD105" i="66"/>
  <c r="AC105" i="66"/>
  <c r="AB105" i="66"/>
  <c r="AA105" i="66"/>
  <c r="Z105" i="66"/>
  <c r="Y105" i="66"/>
  <c r="AE104" i="66"/>
  <c r="AD104" i="66"/>
  <c r="AC104" i="66"/>
  <c r="AB104" i="66"/>
  <c r="AA104" i="66"/>
  <c r="Z104" i="66"/>
  <c r="Y104" i="66"/>
  <c r="AE103" i="66"/>
  <c r="AD103" i="66"/>
  <c r="AC103" i="66"/>
  <c r="AB103" i="66"/>
  <c r="AA103" i="66"/>
  <c r="Z103" i="66"/>
  <c r="Y103" i="66"/>
  <c r="AE102" i="66"/>
  <c r="AD102" i="66"/>
  <c r="AC102" i="66"/>
  <c r="AB102" i="66"/>
  <c r="AA102" i="66"/>
  <c r="Z102" i="66"/>
  <c r="Y102" i="66"/>
  <c r="AE101" i="66"/>
  <c r="AD101" i="66"/>
  <c r="AC101" i="66"/>
  <c r="AB101" i="66"/>
  <c r="AA101" i="66"/>
  <c r="Z101" i="66"/>
  <c r="Y101" i="66"/>
  <c r="AE100" i="66"/>
  <c r="AD100" i="66"/>
  <c r="AC100" i="66"/>
  <c r="AB100" i="66"/>
  <c r="AA100" i="66"/>
  <c r="Z100" i="66"/>
  <c r="Y100" i="66"/>
  <c r="AE99" i="66"/>
  <c r="AD99" i="66"/>
  <c r="AC99" i="66"/>
  <c r="AB99" i="66"/>
  <c r="AA99" i="66"/>
  <c r="Z99" i="66"/>
  <c r="Y99" i="66"/>
  <c r="AE98" i="66"/>
  <c r="AD98" i="66"/>
  <c r="AC98" i="66"/>
  <c r="AB98" i="66"/>
  <c r="AA98" i="66"/>
  <c r="Z98" i="66"/>
  <c r="Y98" i="66"/>
  <c r="AE97" i="66"/>
  <c r="AD97" i="66"/>
  <c r="AC97" i="66"/>
  <c r="AB97" i="66"/>
  <c r="AA97" i="66"/>
  <c r="Z97" i="66"/>
  <c r="Y97" i="66"/>
  <c r="AE96" i="66"/>
  <c r="AD96" i="66"/>
  <c r="AC96" i="66"/>
  <c r="AB96" i="66"/>
  <c r="AA96" i="66"/>
  <c r="Z96" i="66"/>
  <c r="Y96" i="66"/>
  <c r="AE95" i="66"/>
  <c r="AD95" i="66"/>
  <c r="AC95" i="66"/>
  <c r="AB95" i="66"/>
  <c r="AA95" i="66"/>
  <c r="Z95" i="66"/>
  <c r="Y95" i="66"/>
  <c r="AE94" i="66"/>
  <c r="AD94" i="66"/>
  <c r="AC94" i="66"/>
  <c r="AB94" i="66"/>
  <c r="AA94" i="66"/>
  <c r="Z94" i="66"/>
  <c r="Y94" i="66"/>
  <c r="AE93" i="66"/>
  <c r="AD93" i="66"/>
  <c r="AC93" i="66"/>
  <c r="AB93" i="66"/>
  <c r="AA93" i="66"/>
  <c r="Z93" i="66"/>
  <c r="Y93" i="66"/>
  <c r="AE92" i="66"/>
  <c r="AD92" i="66"/>
  <c r="AC92" i="66"/>
  <c r="AB92" i="66"/>
  <c r="AA92" i="66"/>
  <c r="Z92" i="66"/>
  <c r="Y92" i="66"/>
  <c r="AE91" i="66"/>
  <c r="AD91" i="66"/>
  <c r="AC91" i="66"/>
  <c r="AB91" i="66"/>
  <c r="AA91" i="66"/>
  <c r="Z91" i="66"/>
  <c r="Y91" i="66"/>
  <c r="AE90" i="66"/>
  <c r="AD90" i="66"/>
  <c r="AC90" i="66"/>
  <c r="AB90" i="66"/>
  <c r="AA90" i="66"/>
  <c r="Z90" i="66"/>
  <c r="Y90" i="66"/>
  <c r="AE89" i="66"/>
  <c r="AD89" i="66"/>
  <c r="AC89" i="66"/>
  <c r="AB89" i="66"/>
  <c r="AA89" i="66"/>
  <c r="Z89" i="66"/>
  <c r="Y89" i="66"/>
  <c r="AE88" i="66"/>
  <c r="AD88" i="66"/>
  <c r="AC88" i="66"/>
  <c r="AB88" i="66"/>
  <c r="AA88" i="66"/>
  <c r="Z88" i="66"/>
  <c r="Y88" i="66"/>
  <c r="AE87" i="66"/>
  <c r="AD87" i="66"/>
  <c r="AC87" i="66"/>
  <c r="AB87" i="66"/>
  <c r="AA87" i="66"/>
  <c r="Z87" i="66"/>
  <c r="Y87" i="66"/>
  <c r="AE86" i="66"/>
  <c r="AD86" i="66"/>
  <c r="AC86" i="66"/>
  <c r="AB86" i="66"/>
  <c r="AA86" i="66"/>
  <c r="Z86" i="66"/>
  <c r="Y86" i="66"/>
  <c r="AE85" i="66"/>
  <c r="AD85" i="66"/>
  <c r="AC85" i="66"/>
  <c r="AB85" i="66"/>
  <c r="AA85" i="66"/>
  <c r="Z85" i="66"/>
  <c r="Y85" i="66"/>
  <c r="AE84" i="66"/>
  <c r="AD84" i="66"/>
  <c r="AC84" i="66"/>
  <c r="AB84" i="66"/>
  <c r="AA84" i="66"/>
  <c r="Z84" i="66"/>
  <c r="Y84" i="66"/>
  <c r="AE83" i="66"/>
  <c r="AD83" i="66"/>
  <c r="AC83" i="66"/>
  <c r="AB83" i="66"/>
  <c r="AA83" i="66"/>
  <c r="Z83" i="66"/>
  <c r="Y83" i="66"/>
  <c r="AE82" i="66"/>
  <c r="AD82" i="66"/>
  <c r="AC82" i="66"/>
  <c r="AB82" i="66"/>
  <c r="AA82" i="66"/>
  <c r="Z82" i="66"/>
  <c r="Y82" i="66"/>
  <c r="AE81" i="66"/>
  <c r="AD81" i="66"/>
  <c r="AC81" i="66"/>
  <c r="AB81" i="66"/>
  <c r="AA81" i="66"/>
  <c r="Z81" i="66"/>
  <c r="Y81" i="66"/>
  <c r="AE80" i="66"/>
  <c r="AD80" i="66"/>
  <c r="AC80" i="66"/>
  <c r="AB80" i="66"/>
  <c r="AA80" i="66"/>
  <c r="Z80" i="66"/>
  <c r="Y80" i="66"/>
  <c r="AE79" i="66"/>
  <c r="AD79" i="66"/>
  <c r="AC79" i="66"/>
  <c r="AB79" i="66"/>
  <c r="AA79" i="66"/>
  <c r="Z79" i="66"/>
  <c r="Y79" i="66"/>
  <c r="AE78" i="66"/>
  <c r="AD78" i="66"/>
  <c r="AC78" i="66"/>
  <c r="AB78" i="66"/>
  <c r="AA78" i="66"/>
  <c r="Z78" i="66"/>
  <c r="Y78" i="66"/>
  <c r="AE77" i="66"/>
  <c r="AD77" i="66"/>
  <c r="AC77" i="66"/>
  <c r="AB77" i="66"/>
  <c r="AA77" i="66"/>
  <c r="Z77" i="66"/>
  <c r="Y77" i="66"/>
  <c r="AE76" i="66"/>
  <c r="AD76" i="66"/>
  <c r="AC76" i="66"/>
  <c r="AB76" i="66"/>
  <c r="AA76" i="66"/>
  <c r="Z76" i="66"/>
  <c r="Y76" i="66"/>
  <c r="AE75" i="66"/>
  <c r="AD75" i="66"/>
  <c r="AC75" i="66"/>
  <c r="AB75" i="66"/>
  <c r="AA75" i="66"/>
  <c r="Z75" i="66"/>
  <c r="Y75" i="66"/>
  <c r="AE74" i="66"/>
  <c r="AD74" i="66"/>
  <c r="AC74" i="66"/>
  <c r="AB74" i="66"/>
  <c r="AA74" i="66"/>
  <c r="Z74" i="66"/>
  <c r="Y74" i="66"/>
  <c r="AE73" i="66"/>
  <c r="AD73" i="66"/>
  <c r="AC73" i="66"/>
  <c r="AB73" i="66"/>
  <c r="AA73" i="66"/>
  <c r="Z73" i="66"/>
  <c r="Y73" i="66"/>
  <c r="AE72" i="66"/>
  <c r="AD72" i="66"/>
  <c r="AC72" i="66"/>
  <c r="AB72" i="66"/>
  <c r="AA72" i="66"/>
  <c r="Z72" i="66"/>
  <c r="Y72" i="66"/>
  <c r="AE71" i="66"/>
  <c r="AD71" i="66"/>
  <c r="AC71" i="66"/>
  <c r="AB71" i="66"/>
  <c r="AA71" i="66"/>
  <c r="Z71" i="66"/>
  <c r="Y71" i="66"/>
  <c r="AE69" i="66"/>
  <c r="AD69" i="66"/>
  <c r="AC69" i="66"/>
  <c r="AB69" i="66"/>
  <c r="AA69" i="66"/>
  <c r="Z69" i="66"/>
  <c r="Y69" i="66"/>
  <c r="AE68" i="66"/>
  <c r="AD68" i="66"/>
  <c r="AC68" i="66"/>
  <c r="AB68" i="66"/>
  <c r="AA68" i="66"/>
  <c r="Z68" i="66"/>
  <c r="Y68" i="66"/>
  <c r="AE67" i="66"/>
  <c r="AD67" i="66"/>
  <c r="AC67" i="66"/>
  <c r="AB67" i="66"/>
  <c r="AA67" i="66"/>
  <c r="Z67" i="66"/>
  <c r="Y67" i="66"/>
  <c r="AE66" i="66"/>
  <c r="AD66" i="66"/>
  <c r="AC66" i="66"/>
  <c r="AB66" i="66"/>
  <c r="AA66" i="66"/>
  <c r="Z66" i="66"/>
  <c r="Y66" i="66"/>
  <c r="AE65" i="66"/>
  <c r="AD65" i="66"/>
  <c r="AC65" i="66"/>
  <c r="AB65" i="66"/>
  <c r="AA65" i="66"/>
  <c r="Z65" i="66"/>
  <c r="Y65" i="66"/>
  <c r="AE64" i="66"/>
  <c r="AD64" i="66"/>
  <c r="AC64" i="66"/>
  <c r="AB64" i="66"/>
  <c r="AA64" i="66"/>
  <c r="Z64" i="66"/>
  <c r="Y64" i="66"/>
  <c r="AE63" i="66"/>
  <c r="AD63" i="66"/>
  <c r="AC63" i="66"/>
  <c r="AB63" i="66"/>
  <c r="AA63" i="66"/>
  <c r="Z63" i="66"/>
  <c r="Y63" i="66"/>
  <c r="AE62" i="66"/>
  <c r="AD62" i="66"/>
  <c r="AC62" i="66"/>
  <c r="AB62" i="66"/>
  <c r="AA62" i="66"/>
  <c r="Z62" i="66"/>
  <c r="Y62" i="66"/>
  <c r="AE61" i="66"/>
  <c r="AD61" i="66"/>
  <c r="AC61" i="66"/>
  <c r="AB61" i="66"/>
  <c r="AA61" i="66"/>
  <c r="Z61" i="66"/>
  <c r="Y61" i="66"/>
  <c r="AE60" i="66"/>
  <c r="AD60" i="66"/>
  <c r="AC60" i="66"/>
  <c r="AB60" i="66"/>
  <c r="AA60" i="66"/>
  <c r="Z60" i="66"/>
  <c r="Y60" i="66"/>
  <c r="AE59" i="66"/>
  <c r="AD59" i="66"/>
  <c r="AC59" i="66"/>
  <c r="AB59" i="66"/>
  <c r="AA59" i="66"/>
  <c r="Z59" i="66"/>
  <c r="Y59" i="66"/>
  <c r="AE58" i="66"/>
  <c r="AD58" i="66"/>
  <c r="AC58" i="66"/>
  <c r="AB58" i="66"/>
  <c r="AA58" i="66"/>
  <c r="Z58" i="66"/>
  <c r="Y58" i="66"/>
  <c r="AE57" i="66"/>
  <c r="AD57" i="66"/>
  <c r="AC57" i="66"/>
  <c r="AB57" i="66"/>
  <c r="AA57" i="66"/>
  <c r="Z57" i="66"/>
  <c r="Y57" i="66"/>
  <c r="AE56" i="66"/>
  <c r="AD56" i="66"/>
  <c r="AC56" i="66"/>
  <c r="AB56" i="66"/>
  <c r="AA56" i="66"/>
  <c r="Z56" i="66"/>
  <c r="Y56" i="66"/>
  <c r="AE55" i="66"/>
  <c r="AD55" i="66"/>
  <c r="AC55" i="66"/>
  <c r="AB55" i="66"/>
  <c r="AA55" i="66"/>
  <c r="Z55" i="66"/>
  <c r="Y55" i="66"/>
  <c r="AE54" i="66"/>
  <c r="AD54" i="66"/>
  <c r="AC54" i="66"/>
  <c r="AB54" i="66"/>
  <c r="AA54" i="66"/>
  <c r="Z54" i="66"/>
  <c r="Y54" i="66"/>
  <c r="AE53" i="66"/>
  <c r="AD53" i="66"/>
  <c r="AC53" i="66"/>
  <c r="AB53" i="66"/>
  <c r="AA53" i="66"/>
  <c r="Z53" i="66"/>
  <c r="Y53" i="66"/>
  <c r="AE52" i="66"/>
  <c r="AD52" i="66"/>
  <c r="AC52" i="66"/>
  <c r="AB52" i="66"/>
  <c r="AA52" i="66"/>
  <c r="Z52" i="66"/>
  <c r="Y52" i="66"/>
  <c r="AE51" i="66"/>
  <c r="AD51" i="66"/>
  <c r="AC51" i="66"/>
  <c r="AB51" i="66"/>
  <c r="AA51" i="66"/>
  <c r="Z51" i="66"/>
  <c r="Y51" i="66"/>
  <c r="AE50" i="66"/>
  <c r="AD50" i="66"/>
  <c r="AC50" i="66"/>
  <c r="AB50" i="66"/>
  <c r="AA50" i="66"/>
  <c r="Z50" i="66"/>
  <c r="Y50" i="66"/>
  <c r="AE49" i="66"/>
  <c r="AD49" i="66"/>
  <c r="AC49" i="66"/>
  <c r="AB49" i="66"/>
  <c r="AA49" i="66"/>
  <c r="Z49" i="66"/>
  <c r="Y49" i="66"/>
  <c r="AE48" i="66"/>
  <c r="AD48" i="66"/>
  <c r="AC48" i="66"/>
  <c r="AB48" i="66"/>
  <c r="AA48" i="66"/>
  <c r="Z48" i="66"/>
  <c r="Y48" i="66"/>
  <c r="AE47" i="66"/>
  <c r="AD47" i="66"/>
  <c r="AC47" i="66"/>
  <c r="AB47" i="66"/>
  <c r="AA47" i="66"/>
  <c r="Z47" i="66"/>
  <c r="Y47" i="66"/>
  <c r="AE46" i="66"/>
  <c r="AD46" i="66"/>
  <c r="AC46" i="66"/>
  <c r="AB46" i="66"/>
  <c r="AA46" i="66"/>
  <c r="Z46" i="66"/>
  <c r="Y46" i="66"/>
  <c r="AE45" i="66"/>
  <c r="AD45" i="66"/>
  <c r="AC45" i="66"/>
  <c r="AB45" i="66"/>
  <c r="AA45" i="66"/>
  <c r="Z45" i="66"/>
  <c r="Y45" i="66"/>
  <c r="AE44" i="66"/>
  <c r="AD44" i="66"/>
  <c r="AC44" i="66"/>
  <c r="AB44" i="66"/>
  <c r="AA44" i="66"/>
  <c r="Z44" i="66"/>
  <c r="Y44" i="66"/>
  <c r="AE43" i="66"/>
  <c r="AD43" i="66"/>
  <c r="AC43" i="66"/>
  <c r="AB43" i="66"/>
  <c r="AA43" i="66"/>
  <c r="Z43" i="66"/>
  <c r="Y43" i="66"/>
  <c r="AE42" i="66"/>
  <c r="AD42" i="66"/>
  <c r="AC42" i="66"/>
  <c r="AB42" i="66"/>
  <c r="AA42" i="66"/>
  <c r="Z42" i="66"/>
  <c r="Y42" i="66"/>
  <c r="AE41" i="66"/>
  <c r="AD41" i="66"/>
  <c r="AC41" i="66"/>
  <c r="AB41" i="66"/>
  <c r="AA41" i="66"/>
  <c r="Z41" i="66"/>
  <c r="Y41" i="66"/>
  <c r="AE40" i="66"/>
  <c r="AD40" i="66"/>
  <c r="AC40" i="66"/>
  <c r="AB40" i="66"/>
  <c r="AA40" i="66"/>
  <c r="Z40" i="66"/>
  <c r="Y40" i="66"/>
  <c r="AE39" i="66"/>
  <c r="AD39" i="66"/>
  <c r="AC39" i="66"/>
  <c r="AB39" i="66"/>
  <c r="AA39" i="66"/>
  <c r="Z39" i="66"/>
  <c r="Y39" i="66"/>
  <c r="AE38" i="66"/>
  <c r="AD38" i="66"/>
  <c r="AC38" i="66"/>
  <c r="AB38" i="66"/>
  <c r="AA38" i="66"/>
  <c r="Z38" i="66"/>
  <c r="Y38" i="66"/>
  <c r="AE37" i="66"/>
  <c r="AD37" i="66"/>
  <c r="AC37" i="66"/>
  <c r="AB37" i="66"/>
  <c r="AA37" i="66"/>
  <c r="Z37" i="66"/>
  <c r="Y37" i="66"/>
  <c r="AE36" i="66"/>
  <c r="AD36" i="66"/>
  <c r="AC36" i="66"/>
  <c r="AB36" i="66"/>
  <c r="AA36" i="66"/>
  <c r="Z36" i="66"/>
  <c r="Y36" i="66"/>
  <c r="AE35" i="66"/>
  <c r="AD35" i="66"/>
  <c r="AC35" i="66"/>
  <c r="AB35" i="66"/>
  <c r="AA35" i="66"/>
  <c r="Z35" i="66"/>
  <c r="Y35" i="66"/>
  <c r="AE34" i="66"/>
  <c r="AD34" i="66"/>
  <c r="AC34" i="66"/>
  <c r="AB34" i="66"/>
  <c r="AA34" i="66"/>
  <c r="Z34" i="66"/>
  <c r="Y34" i="66"/>
  <c r="AE33" i="66"/>
  <c r="AD33" i="66"/>
  <c r="AC33" i="66"/>
  <c r="AB33" i="66"/>
  <c r="AA33" i="66"/>
  <c r="Z33" i="66"/>
  <c r="Y33" i="66"/>
  <c r="AE32" i="66"/>
  <c r="AD32" i="66"/>
  <c r="AC32" i="66"/>
  <c r="AB32" i="66"/>
  <c r="AA32" i="66"/>
  <c r="Z32" i="66"/>
  <c r="Y32" i="66"/>
  <c r="AE31" i="66"/>
  <c r="AD31" i="66"/>
  <c r="AC31" i="66"/>
  <c r="AB31" i="66"/>
  <c r="AA31" i="66"/>
  <c r="Z31" i="66"/>
  <c r="Y31" i="66"/>
  <c r="AE30" i="66"/>
  <c r="AD30" i="66"/>
  <c r="AC30" i="66"/>
  <c r="AB30" i="66"/>
  <c r="AA30" i="66"/>
  <c r="Z30" i="66"/>
  <c r="Y30" i="66"/>
  <c r="AE29" i="66"/>
  <c r="AD29" i="66"/>
  <c r="AC29" i="66"/>
  <c r="AB29" i="66"/>
  <c r="AA29" i="66"/>
  <c r="Z29" i="66"/>
  <c r="Y29" i="66"/>
  <c r="AE28" i="66"/>
  <c r="AD28" i="66"/>
  <c r="AC28" i="66"/>
  <c r="AB28" i="66"/>
  <c r="AA28" i="66"/>
  <c r="Z28" i="66"/>
  <c r="Y28" i="66"/>
  <c r="AE27" i="66"/>
  <c r="AD27" i="66"/>
  <c r="AC27" i="66"/>
  <c r="AB27" i="66"/>
  <c r="AA27" i="66"/>
  <c r="Z27" i="66"/>
  <c r="Y27" i="66"/>
  <c r="AE26" i="66"/>
  <c r="AD26" i="66"/>
  <c r="AC26" i="66"/>
  <c r="AB26" i="66"/>
  <c r="AA26" i="66"/>
  <c r="Z26" i="66"/>
  <c r="Y26" i="66"/>
  <c r="AE25" i="66"/>
  <c r="AD25" i="66"/>
  <c r="AC25" i="66"/>
  <c r="AB25" i="66"/>
  <c r="AA25" i="66"/>
  <c r="Z25" i="66"/>
  <c r="Y25" i="66"/>
  <c r="AE24" i="66"/>
  <c r="AD24" i="66"/>
  <c r="AC24" i="66"/>
  <c r="AB24" i="66"/>
  <c r="AA24" i="66"/>
  <c r="Z24" i="66"/>
  <c r="Y24" i="66"/>
  <c r="AE23" i="66"/>
  <c r="AD23" i="66"/>
  <c r="AC23" i="66"/>
  <c r="AB23" i="66"/>
  <c r="AA23" i="66"/>
  <c r="Z23" i="66"/>
  <c r="Y23" i="66"/>
  <c r="AE22" i="66"/>
  <c r="AD22" i="66"/>
  <c r="AC22" i="66"/>
  <c r="AB22" i="66"/>
  <c r="AA22" i="66"/>
  <c r="Z22" i="66"/>
  <c r="Y22" i="66"/>
  <c r="AE21" i="66"/>
  <c r="AD21" i="66"/>
  <c r="AC21" i="66"/>
  <c r="AB21" i="66"/>
  <c r="AA21" i="66"/>
  <c r="Z21" i="66"/>
  <c r="Y21" i="66"/>
  <c r="AE20" i="66"/>
  <c r="AD20" i="66"/>
  <c r="AC20" i="66"/>
  <c r="AB20" i="66"/>
  <c r="AA20" i="66"/>
  <c r="Z20" i="66"/>
  <c r="Y20" i="66"/>
  <c r="AE19" i="66"/>
  <c r="AD19" i="66"/>
  <c r="AC19" i="66"/>
  <c r="AB19" i="66"/>
  <c r="AA19" i="66"/>
  <c r="Z19" i="66"/>
  <c r="Y19" i="66"/>
  <c r="AE18" i="66"/>
  <c r="AD18" i="66"/>
  <c r="AC18" i="66"/>
  <c r="AB18" i="66"/>
  <c r="AA18" i="66"/>
  <c r="Z18" i="66"/>
  <c r="Y18" i="66"/>
  <c r="AE17" i="66"/>
  <c r="AD17" i="66"/>
  <c r="AC17" i="66"/>
  <c r="AB17" i="66"/>
  <c r="AA17" i="66"/>
  <c r="Z17" i="66"/>
  <c r="Y17" i="66"/>
  <c r="AE16" i="66"/>
  <c r="AD16" i="66"/>
  <c r="AC16" i="66"/>
  <c r="AB16" i="66"/>
  <c r="AA16" i="66"/>
  <c r="Z16" i="66"/>
  <c r="Y16" i="66"/>
  <c r="AE15" i="66"/>
  <c r="AD15" i="66"/>
  <c r="AC15" i="66"/>
  <c r="AB15" i="66"/>
  <c r="AA15" i="66"/>
  <c r="Z15" i="66"/>
  <c r="Y15" i="66"/>
  <c r="AE14" i="66"/>
  <c r="AD14" i="66"/>
  <c r="AC14" i="66"/>
  <c r="AB14" i="66"/>
  <c r="AA14" i="66"/>
  <c r="Z14" i="66"/>
  <c r="Y14" i="66"/>
  <c r="AE13" i="66"/>
  <c r="AD13" i="66"/>
  <c r="AC13" i="66"/>
  <c r="AB13" i="66"/>
  <c r="AA13" i="66"/>
  <c r="Z13" i="66"/>
  <c r="Y13" i="66"/>
  <c r="AE12" i="66"/>
  <c r="AD12" i="66"/>
  <c r="AC12" i="66"/>
  <c r="AB12" i="66"/>
  <c r="AA12" i="66"/>
  <c r="Z12" i="66"/>
  <c r="Y12" i="66"/>
  <c r="AE11" i="66"/>
  <c r="AD11" i="66"/>
  <c r="AC11" i="66"/>
  <c r="AB11" i="66"/>
  <c r="AA11" i="66"/>
  <c r="Z11" i="66"/>
  <c r="Y11" i="66"/>
  <c r="AE10" i="66"/>
  <c r="AD10" i="66"/>
  <c r="AC10" i="66"/>
  <c r="AB10" i="66"/>
  <c r="AA10" i="66"/>
  <c r="Z10" i="66"/>
  <c r="Y10" i="66"/>
  <c r="AE9" i="66"/>
  <c r="AD9" i="66"/>
  <c r="AC9" i="66"/>
  <c r="AB9" i="66"/>
  <c r="AA9" i="66"/>
  <c r="Z9" i="66"/>
  <c r="Y9" i="66"/>
  <c r="AE8" i="66"/>
  <c r="AD8" i="66"/>
  <c r="AC8" i="66"/>
  <c r="AB8" i="66"/>
  <c r="AA8" i="66"/>
  <c r="Z8" i="66"/>
  <c r="Y8" i="66"/>
  <c r="ED143" i="61" l="1"/>
  <c r="AF90" i="66"/>
  <c r="AF204" i="66"/>
  <c r="AF29" i="66"/>
  <c r="AF30" i="66"/>
  <c r="Z208" i="66"/>
  <c r="AA208" i="66"/>
  <c r="AB208" i="66"/>
  <c r="AC208" i="66"/>
  <c r="AD208" i="66"/>
  <c r="W208" i="66"/>
  <c r="AE208" i="66"/>
  <c r="Y208" i="66"/>
  <c r="ED144" i="61" l="1"/>
  <c r="ED145" i="61" l="1"/>
  <c r="Q96" i="11"/>
  <c r="Q102" i="11"/>
  <c r="Q103" i="11"/>
  <c r="Q104" i="11"/>
  <c r="Q116" i="11"/>
  <c r="Q117" i="11"/>
  <c r="ED146" i="61" l="1"/>
  <c r="ED148" i="61" l="1"/>
  <c r="ED147" i="61"/>
  <c r="P208" i="62" l="1"/>
  <c r="V16" i="65" l="1"/>
  <c r="ED151" i="61" l="1"/>
  <c r="I16" i="65"/>
  <c r="J16" i="65"/>
  <c r="M16" i="65"/>
  <c r="O16" i="65"/>
  <c r="N16" i="65"/>
  <c r="H16" i="65"/>
  <c r="K16" i="65"/>
  <c r="L16" i="65"/>
  <c r="P16" i="65" l="1"/>
  <c r="ED153" i="61" l="1"/>
  <c r="S208" i="71"/>
  <c r="R208" i="67" l="1"/>
  <c r="ED158" i="61" l="1"/>
  <c r="K208" i="62"/>
  <c r="N208" i="67" l="1"/>
  <c r="Z208" i="67"/>
  <c r="ED161" i="61" l="1"/>
  <c r="ED162" i="61" l="1"/>
  <c r="ED164" i="61" l="1"/>
  <c r="ED165" i="61" l="1"/>
  <c r="ED166" i="61" l="1"/>
  <c r="BA207" i="49" l="1"/>
  <c r="BC207" i="49"/>
  <c r="BD207" i="49"/>
  <c r="Q124" i="11" l="1"/>
  <c r="ED170" i="61" l="1"/>
  <c r="R64" i="11"/>
  <c r="D48" i="11"/>
  <c r="E147" i="11" s="1"/>
  <c r="J59" i="77" s="1"/>
  <c r="S117" i="11"/>
  <c r="S104" i="11"/>
  <c r="S103" i="11"/>
  <c r="S102" i="11"/>
  <c r="R73" i="11"/>
  <c r="S59" i="77" l="1"/>
  <c r="T59" i="77" s="1"/>
  <c r="L59" i="77"/>
  <c r="R119" i="11"/>
  <c r="ED172" i="61" l="1"/>
  <c r="E141" i="11"/>
  <c r="J21" i="77" l="1"/>
  <c r="L21" i="77" s="1"/>
  <c r="J23" i="77"/>
  <c r="ED173" i="61"/>
  <c r="S21" i="77" l="1"/>
  <c r="T21" i="77" s="1"/>
  <c r="S23" i="77"/>
  <c r="T23" i="77" s="1"/>
  <c r="L23" i="77"/>
  <c r="ED175" i="61" l="1"/>
  <c r="E143" i="11"/>
  <c r="E144" i="11"/>
  <c r="E142" i="11" l="1"/>
  <c r="J79" i="77" s="1"/>
  <c r="ED178" i="61" l="1"/>
  <c r="S79" i="77"/>
  <c r="L79" i="77"/>
  <c r="L82" i="77" s="1"/>
  <c r="L94" i="77" s="1"/>
  <c r="L96" i="77" s="1"/>
  <c r="J82" i="77"/>
  <c r="J94" i="77" s="1"/>
  <c r="J96" i="77" s="1"/>
  <c r="J121" i="77" s="1"/>
  <c r="L121" i="77" s="1"/>
  <c r="F31" i="11"/>
  <c r="F36" i="11" s="1"/>
  <c r="E31" i="11"/>
  <c r="E36" i="11" s="1"/>
  <c r="G31" i="11"/>
  <c r="G36" i="11" s="1"/>
  <c r="O31" i="11"/>
  <c r="O36" i="11" s="1"/>
  <c r="N31" i="11"/>
  <c r="N36" i="11" s="1"/>
  <c r="J31" i="11"/>
  <c r="J36" i="11" s="1"/>
  <c r="P31" i="11"/>
  <c r="P36" i="11" s="1"/>
  <c r="I31" i="11"/>
  <c r="I36" i="11" s="1"/>
  <c r="T79" i="77" l="1"/>
  <c r="T82" i="77" s="1"/>
  <c r="S82" i="77"/>
  <c r="S94" i="77" s="1"/>
  <c r="S96" i="77" s="1"/>
  <c r="X208" i="71"/>
  <c r="Z208" i="71"/>
  <c r="ED179" i="61" l="1"/>
  <c r="F217" i="77"/>
  <c r="S121" i="77"/>
  <c r="AB208" i="71"/>
  <c r="S108" i="11"/>
  <c r="S113" i="11"/>
  <c r="Q91" i="11"/>
  <c r="O85" i="11"/>
  <c r="D15" i="11"/>
  <c r="S84" i="11"/>
  <c r="D14" i="11"/>
  <c r="S112" i="11"/>
  <c r="D16" i="11"/>
  <c r="M85" i="11"/>
  <c r="M119" i="11" s="1"/>
  <c r="M120" i="11" s="1"/>
  <c r="P85" i="11"/>
  <c r="L85" i="11"/>
  <c r="R35" i="11"/>
  <c r="K31" i="11"/>
  <c r="K36" i="11" s="1"/>
  <c r="N85" i="11"/>
  <c r="P119" i="11" l="1"/>
  <c r="P120" i="11" s="1"/>
  <c r="ED181" i="61"/>
  <c r="U121" i="77"/>
  <c r="T121" i="77"/>
  <c r="R15" i="11"/>
  <c r="R16" i="11"/>
  <c r="R14" i="11"/>
  <c r="R32" i="11"/>
  <c r="R33" i="11"/>
  <c r="Q107" i="11"/>
  <c r="S100" i="11"/>
  <c r="S111" i="11"/>
  <c r="L118" i="11"/>
  <c r="L119" i="11" s="1"/>
  <c r="L120" i="11" s="1"/>
  <c r="F118" i="11"/>
  <c r="F119" i="11" s="1"/>
  <c r="F120" i="11" s="1"/>
  <c r="K118" i="11"/>
  <c r="J118" i="11"/>
  <c r="H85" i="11"/>
  <c r="G118" i="11"/>
  <c r="G119" i="11" s="1"/>
  <c r="G120" i="11" s="1"/>
  <c r="Q90" i="11"/>
  <c r="I118" i="11"/>
  <c r="K85" i="11"/>
  <c r="H118" i="11"/>
  <c r="Q106" i="11"/>
  <c r="Q67" i="11"/>
  <c r="E148" i="11" s="1"/>
  <c r="J60" i="77" s="1"/>
  <c r="Q89" i="11"/>
  <c r="E137" i="11" s="1"/>
  <c r="J16" i="77" s="1"/>
  <c r="S90" i="11"/>
  <c r="L31" i="11"/>
  <c r="L36" i="11" s="1"/>
  <c r="Q111" i="11"/>
  <c r="Q88" i="11"/>
  <c r="S107" i="11"/>
  <c r="Q101" i="11"/>
  <c r="S101" i="11"/>
  <c r="Q100" i="11"/>
  <c r="E139" i="11" s="1"/>
  <c r="J19" i="77" s="1"/>
  <c r="S83" i="11"/>
  <c r="S53" i="11"/>
  <c r="Q113" i="11"/>
  <c r="S88" i="11"/>
  <c r="Q87" i="11"/>
  <c r="Q49" i="11"/>
  <c r="E145" i="11"/>
  <c r="D17" i="11"/>
  <c r="R17" i="11" s="1"/>
  <c r="Q82" i="11"/>
  <c r="S106" i="11"/>
  <c r="S52" i="11"/>
  <c r="Q112" i="11"/>
  <c r="S91" i="11"/>
  <c r="Q52" i="11"/>
  <c r="E149" i="11"/>
  <c r="Q84" i="11"/>
  <c r="S82" i="11"/>
  <c r="S67" i="11"/>
  <c r="Q53" i="11"/>
  <c r="S87" i="11"/>
  <c r="Q108" i="11"/>
  <c r="S89" i="11"/>
  <c r="H31" i="11"/>
  <c r="H36" i="11" s="1"/>
  <c r="K119" i="11" l="1"/>
  <c r="K120" i="11" s="1"/>
  <c r="O15" i="74"/>
  <c r="O21" i="74" s="1"/>
  <c r="O30" i="74" s="1"/>
  <c r="O34" i="74" s="1"/>
  <c r="H119" i="11"/>
  <c r="H120" i="11" s="1"/>
  <c r="L16" i="77"/>
  <c r="S16" i="77"/>
  <c r="T16" i="77" s="1"/>
  <c r="L19" i="77"/>
  <c r="S19" i="77"/>
  <c r="T19" i="77" s="1"/>
  <c r="L60" i="77"/>
  <c r="S60" i="77"/>
  <c r="T60" i="77" s="1"/>
  <c r="L15" i="74"/>
  <c r="L21" i="74" s="1"/>
  <c r="L30" i="74" s="1"/>
  <c r="L34" i="74" s="1"/>
  <c r="Q46" i="11"/>
  <c r="E146" i="11" s="1"/>
  <c r="J48" i="77" s="1"/>
  <c r="S48" i="77" s="1"/>
  <c r="Q45" i="11"/>
  <c r="Q47" i="11"/>
  <c r="E150" i="11" s="1"/>
  <c r="J64" i="77" s="1"/>
  <c r="P48" i="11"/>
  <c r="P64" i="11" s="1"/>
  <c r="I48" i="11"/>
  <c r="I64" i="11" s="1"/>
  <c r="H48" i="11"/>
  <c r="H64" i="11" s="1"/>
  <c r="E48" i="11"/>
  <c r="F48" i="11"/>
  <c r="F64" i="11" s="1"/>
  <c r="L48" i="11"/>
  <c r="L64" i="11" s="1"/>
  <c r="J48" i="11"/>
  <c r="J64" i="11" s="1"/>
  <c r="M48" i="11"/>
  <c r="M64" i="11" s="1"/>
  <c r="N48" i="11"/>
  <c r="S47" i="11"/>
  <c r="O48" i="11"/>
  <c r="O64" i="11" s="1"/>
  <c r="S46" i="11"/>
  <c r="S45" i="11"/>
  <c r="G48" i="11"/>
  <c r="G64" i="11" s="1"/>
  <c r="K48" i="11"/>
  <c r="K64" i="11" s="1"/>
  <c r="Q60" i="11"/>
  <c r="E140" i="11"/>
  <c r="J20" i="77" s="1"/>
  <c r="D31" i="11"/>
  <c r="D36" i="11" s="1"/>
  <c r="Q51" i="11"/>
  <c r="S56" i="11"/>
  <c r="Q59" i="11"/>
  <c r="Q50" i="11"/>
  <c r="S60" i="11"/>
  <c r="S59" i="11"/>
  <c r="Q61" i="11"/>
  <c r="S61" i="11"/>
  <c r="S57" i="11"/>
  <c r="Q57" i="11"/>
  <c r="Q55" i="11"/>
  <c r="S55" i="11"/>
  <c r="S58" i="11"/>
  <c r="Q58" i="11"/>
  <c r="S51" i="11"/>
  <c r="Q56" i="11"/>
  <c r="S50" i="11"/>
  <c r="E64" i="11" l="1"/>
  <c r="E68" i="11" s="1"/>
  <c r="E71" i="11" s="1"/>
  <c r="G68" i="11"/>
  <c r="G71" i="11" s="1"/>
  <c r="L68" i="11"/>
  <c r="L71" i="11" s="1"/>
  <c r="F68" i="11"/>
  <c r="F71" i="11" s="1"/>
  <c r="P68" i="11"/>
  <c r="P71" i="11" s="1"/>
  <c r="K68" i="11"/>
  <c r="K71" i="11" s="1"/>
  <c r="O68" i="11"/>
  <c r="O71" i="11" s="1"/>
  <c r="H68" i="11"/>
  <c r="H71" i="11" s="1"/>
  <c r="M68" i="11"/>
  <c r="M71" i="11" s="1"/>
  <c r="I68" i="11"/>
  <c r="S49" i="11"/>
  <c r="ED182" i="61"/>
  <c r="L20" i="77"/>
  <c r="S20" i="77"/>
  <c r="T20" i="77" s="1"/>
  <c r="L64" i="77"/>
  <c r="S64" i="77"/>
  <c r="T64" i="77" s="1"/>
  <c r="L48" i="77"/>
  <c r="J69" i="77"/>
  <c r="J15" i="74"/>
  <c r="J21" i="74" s="1"/>
  <c r="J30" i="74" s="1"/>
  <c r="J34" i="74" s="1"/>
  <c r="E15" i="74"/>
  <c r="E21" i="74" s="1"/>
  <c r="E30" i="74" s="1"/>
  <c r="E34" i="74" s="1"/>
  <c r="F15" i="74"/>
  <c r="F21" i="74" s="1"/>
  <c r="F30" i="74" s="1"/>
  <c r="F34" i="74" s="1"/>
  <c r="K15" i="74"/>
  <c r="K21" i="74" s="1"/>
  <c r="K30" i="74" s="1"/>
  <c r="K34" i="74" s="1"/>
  <c r="G15" i="74"/>
  <c r="G21" i="74" s="1"/>
  <c r="G30" i="74" s="1"/>
  <c r="G34" i="74" s="1"/>
  <c r="Q48" i="11"/>
  <c r="S48" i="11"/>
  <c r="J68" i="11" l="1"/>
  <c r="J71" i="11" s="1"/>
  <c r="S65" i="11"/>
  <c r="J85" i="11"/>
  <c r="ED183" i="61"/>
  <c r="L69" i="77"/>
  <c r="J119" i="11" l="1"/>
  <c r="J120" i="11" s="1"/>
  <c r="I71" i="11"/>
  <c r="S69" i="11"/>
  <c r="ED184" i="61"/>
  <c r="S69" i="77"/>
  <c r="T48" i="77"/>
  <c r="E85" i="11"/>
  <c r="E119" i="11" s="1"/>
  <c r="E120" i="11" s="1"/>
  <c r="I15" i="74" l="1"/>
  <c r="I21" i="74" s="1"/>
  <c r="I30" i="74" s="1"/>
  <c r="I34" i="74" s="1"/>
  <c r="ED185" i="61"/>
  <c r="U52" i="77"/>
  <c r="U53" i="77"/>
  <c r="U54" i="77"/>
  <c r="U55" i="77"/>
  <c r="U56" i="77"/>
  <c r="U57" i="77"/>
  <c r="U48" i="77"/>
  <c r="U68" i="77"/>
  <c r="U34" i="77"/>
  <c r="U61" i="77"/>
  <c r="U42" i="77"/>
  <c r="U49" i="77"/>
  <c r="U79" i="77"/>
  <c r="U36" i="77"/>
  <c r="U67" i="77"/>
  <c r="U84" i="77"/>
  <c r="U40" i="77"/>
  <c r="U63" i="77"/>
  <c r="U91" i="77"/>
  <c r="U58" i="77"/>
  <c r="U80" i="77"/>
  <c r="U38" i="77"/>
  <c r="U33" i="77"/>
  <c r="F203" i="77"/>
  <c r="U41" i="77"/>
  <c r="U39" i="77"/>
  <c r="U37" i="77"/>
  <c r="U103" i="77"/>
  <c r="U62" i="77"/>
  <c r="U35" i="77"/>
  <c r="U85" i="77"/>
  <c r="U88" i="77"/>
  <c r="U89" i="77"/>
  <c r="U47" i="77"/>
  <c r="U46" i="77"/>
  <c r="U59" i="77"/>
  <c r="U87" i="77"/>
  <c r="U86" i="77"/>
  <c r="U50" i="77"/>
  <c r="U107" i="77"/>
  <c r="U32" i="77"/>
  <c r="U45" i="77"/>
  <c r="U90" i="77"/>
  <c r="U106" i="77"/>
  <c r="U66" i="77"/>
  <c r="U43" i="77"/>
  <c r="U44" i="77"/>
  <c r="U65" i="77"/>
  <c r="U102" i="77"/>
  <c r="U81" i="77"/>
  <c r="U51" i="77"/>
  <c r="U60" i="77"/>
  <c r="U64" i="77"/>
  <c r="D15" i="74"/>
  <c r="D21" i="74" s="1"/>
  <c r="D30" i="74" s="1"/>
  <c r="D34" i="74" s="1"/>
  <c r="D35" i="74" l="1"/>
  <c r="E33" i="74" s="1"/>
  <c r="E35" i="74" s="1"/>
  <c r="F33" i="74" s="1"/>
  <c r="F35" i="74" s="1"/>
  <c r="G33" i="74" s="1"/>
  <c r="G35" i="74" s="1"/>
  <c r="H33" i="74" s="1"/>
  <c r="ED189" i="61" l="1"/>
  <c r="T206" i="73" l="1"/>
  <c r="K206" i="73"/>
  <c r="X87" i="66" l="1"/>
  <c r="U87" i="66"/>
  <c r="X193" i="66"/>
  <c r="U193" i="66"/>
  <c r="X177" i="66"/>
  <c r="U177" i="66"/>
  <c r="X72" i="66"/>
  <c r="U72" i="66"/>
  <c r="X141" i="66"/>
  <c r="U141" i="66"/>
  <c r="X173" i="66"/>
  <c r="U173" i="66"/>
  <c r="X134" i="66"/>
  <c r="U134" i="66"/>
  <c r="X115" i="66"/>
  <c r="U115" i="66"/>
  <c r="X83" i="66"/>
  <c r="U83" i="66"/>
  <c r="X50" i="66"/>
  <c r="U50" i="66"/>
  <c r="X27" i="66"/>
  <c r="U27" i="66"/>
  <c r="X161" i="66"/>
  <c r="U161" i="66"/>
  <c r="X128" i="66"/>
  <c r="U128" i="66"/>
  <c r="X116" i="66"/>
  <c r="U116" i="66"/>
  <c r="X102" i="66"/>
  <c r="U102" i="66"/>
  <c r="X96" i="66"/>
  <c r="U96" i="66"/>
  <c r="X79" i="66"/>
  <c r="U79" i="66"/>
  <c r="X71" i="66"/>
  <c r="U71" i="66"/>
  <c r="X60" i="66"/>
  <c r="U60" i="66"/>
  <c r="X47" i="66"/>
  <c r="U47" i="66"/>
  <c r="X19" i="66"/>
  <c r="U19" i="66"/>
  <c r="X7" i="66"/>
  <c r="U7" i="66"/>
  <c r="X159" i="66"/>
  <c r="U159" i="66"/>
  <c r="X144" i="66"/>
  <c r="U144" i="66"/>
  <c r="X114" i="66"/>
  <c r="U114" i="66"/>
  <c r="X70" i="66"/>
  <c r="U70" i="66"/>
  <c r="X44" i="66"/>
  <c r="U44" i="66"/>
  <c r="X184" i="66"/>
  <c r="U184" i="66"/>
  <c r="X125" i="66"/>
  <c r="U125" i="66"/>
  <c r="X165" i="66"/>
  <c r="U165" i="66"/>
  <c r="X145" i="66"/>
  <c r="U145" i="66"/>
  <c r="X133" i="66"/>
  <c r="U133" i="66"/>
  <c r="X112" i="66"/>
  <c r="U112" i="66"/>
  <c r="X171" i="66"/>
  <c r="U171" i="66"/>
  <c r="X49" i="66"/>
  <c r="U49" i="66"/>
  <c r="X168" i="66"/>
  <c r="U168" i="66"/>
  <c r="X206" i="66"/>
  <c r="U206" i="66"/>
  <c r="X202" i="66"/>
  <c r="U202" i="66"/>
  <c r="X111" i="66"/>
  <c r="U111" i="66"/>
  <c r="X192" i="66"/>
  <c r="U192" i="66"/>
  <c r="X95" i="66"/>
  <c r="U95" i="66"/>
  <c r="X78" i="66"/>
  <c r="U78" i="66"/>
  <c r="X67" i="66"/>
  <c r="U67" i="66"/>
  <c r="X59" i="66"/>
  <c r="U59" i="66"/>
  <c r="X42" i="66"/>
  <c r="U42" i="66"/>
  <c r="X17" i="66"/>
  <c r="U17" i="66"/>
  <c r="X68" i="66"/>
  <c r="U68" i="66"/>
  <c r="X157" i="66"/>
  <c r="U157" i="66"/>
  <c r="X113" i="66"/>
  <c r="U113" i="66"/>
  <c r="X89" i="66"/>
  <c r="U89" i="66"/>
  <c r="X69" i="66"/>
  <c r="U69" i="66"/>
  <c r="X39" i="66"/>
  <c r="U39" i="66"/>
  <c r="X25" i="66"/>
  <c r="U25" i="66"/>
  <c r="X152" i="66"/>
  <c r="U152" i="66"/>
  <c r="X166" i="66"/>
  <c r="U166" i="66"/>
  <c r="X80" i="66"/>
  <c r="U80" i="66"/>
  <c r="X163" i="66"/>
  <c r="U163" i="66"/>
  <c r="X162" i="66"/>
  <c r="U162" i="66"/>
  <c r="X143" i="66"/>
  <c r="U143" i="66"/>
  <c r="X127" i="66"/>
  <c r="U127" i="66"/>
  <c r="X107" i="66"/>
  <c r="U107" i="66"/>
  <c r="X170" i="66"/>
  <c r="U170" i="66"/>
  <c r="X169" i="66"/>
  <c r="U169" i="66"/>
  <c r="X155" i="66"/>
  <c r="U155" i="66"/>
  <c r="X124" i="66"/>
  <c r="U124" i="66"/>
  <c r="X195" i="66"/>
  <c r="U195" i="66"/>
  <c r="X191" i="66"/>
  <c r="U191" i="66"/>
  <c r="X93" i="66"/>
  <c r="U93" i="66"/>
  <c r="X77" i="66"/>
  <c r="AF77" i="66" s="1"/>
  <c r="U77" i="66"/>
  <c r="X183" i="66"/>
  <c r="U183" i="66"/>
  <c r="X180" i="66"/>
  <c r="U180" i="66"/>
  <c r="X33" i="66"/>
  <c r="U33" i="66"/>
  <c r="X16" i="66"/>
  <c r="AF16" i="66" s="1"/>
  <c r="U16" i="66"/>
  <c r="X8" i="66"/>
  <c r="U8" i="66"/>
  <c r="X156" i="66"/>
  <c r="U156" i="66"/>
  <c r="X138" i="66"/>
  <c r="U138" i="66"/>
  <c r="X110" i="66"/>
  <c r="AF110" i="66" s="1"/>
  <c r="U110" i="66"/>
  <c r="X86" i="66"/>
  <c r="U86" i="66"/>
  <c r="X64" i="66"/>
  <c r="U64" i="66"/>
  <c r="X38" i="66"/>
  <c r="U38" i="66"/>
  <c r="X24" i="66"/>
  <c r="AF24" i="66" s="1"/>
  <c r="U24" i="66"/>
  <c r="X31" i="66"/>
  <c r="U31" i="66"/>
  <c r="X97" i="66"/>
  <c r="U97" i="66"/>
  <c r="X179" i="66"/>
  <c r="U179" i="66"/>
  <c r="X160" i="66"/>
  <c r="AF160" i="66" s="1"/>
  <c r="U160" i="66"/>
  <c r="X142" i="66"/>
  <c r="U142" i="66"/>
  <c r="X126" i="66"/>
  <c r="U126" i="66"/>
  <c r="X106" i="66"/>
  <c r="U106" i="66"/>
  <c r="X66" i="66"/>
  <c r="AF66" i="66" s="1"/>
  <c r="U66" i="66"/>
  <c r="X43" i="66"/>
  <c r="U43" i="66"/>
  <c r="X18" i="66"/>
  <c r="U18" i="66"/>
  <c r="X205" i="66"/>
  <c r="U205" i="66"/>
  <c r="X200" i="66"/>
  <c r="AF200" i="66" s="1"/>
  <c r="U200" i="66"/>
  <c r="X108" i="66"/>
  <c r="U108" i="66"/>
  <c r="X88" i="66"/>
  <c r="U88" i="66"/>
  <c r="X186" i="66"/>
  <c r="U186" i="66"/>
  <c r="X182" i="66"/>
  <c r="AF182" i="66" s="1"/>
  <c r="U182" i="66"/>
  <c r="X56" i="66"/>
  <c r="U56" i="66"/>
  <c r="X28" i="66"/>
  <c r="U28" i="66"/>
  <c r="X176" i="66"/>
  <c r="U176" i="66"/>
  <c r="X122" i="66"/>
  <c r="AF122" i="66" s="1"/>
  <c r="U122" i="66"/>
  <c r="X153" i="66"/>
  <c r="U153" i="66"/>
  <c r="X137" i="66"/>
  <c r="U137" i="66"/>
  <c r="X109" i="66"/>
  <c r="U109" i="66"/>
  <c r="X85" i="66"/>
  <c r="AF85" i="66" s="1"/>
  <c r="U85" i="66"/>
  <c r="X58" i="66"/>
  <c r="U58" i="66"/>
  <c r="X37" i="66"/>
  <c r="U37" i="66"/>
  <c r="X23" i="66"/>
  <c r="U23" i="66"/>
  <c r="X117" i="66"/>
  <c r="AF117" i="66" s="1"/>
  <c r="U117" i="66"/>
  <c r="X118" i="66"/>
  <c r="U118" i="66"/>
  <c r="X92" i="66"/>
  <c r="U92" i="66"/>
  <c r="X174" i="66"/>
  <c r="U174" i="66"/>
  <c r="X121" i="66"/>
  <c r="AF121" i="66" s="1"/>
  <c r="U121" i="66"/>
  <c r="X101" i="66"/>
  <c r="U101" i="66"/>
  <c r="X63" i="66"/>
  <c r="U63" i="66"/>
  <c r="X41" i="66"/>
  <c r="U41" i="66"/>
  <c r="X13" i="66"/>
  <c r="AF13" i="66" s="1"/>
  <c r="U13" i="66"/>
  <c r="X151" i="66"/>
  <c r="U151" i="66"/>
  <c r="X135" i="66"/>
  <c r="U135" i="66"/>
  <c r="X123" i="66"/>
  <c r="U123" i="66"/>
  <c r="X105" i="66"/>
  <c r="AF105" i="66" s="1"/>
  <c r="U105" i="66"/>
  <c r="X98" i="66"/>
  <c r="U98" i="66"/>
  <c r="X188" i="66"/>
  <c r="U188" i="66"/>
  <c r="X185" i="66"/>
  <c r="U185" i="66"/>
  <c r="X65" i="66"/>
  <c r="AF65" i="66" s="1"/>
  <c r="U65" i="66"/>
  <c r="X52" i="66"/>
  <c r="U52" i="66"/>
  <c r="X26" i="66"/>
  <c r="U26" i="66"/>
  <c r="X175" i="66"/>
  <c r="U175" i="66"/>
  <c r="X76" i="66"/>
  <c r="U76" i="66"/>
  <c r="X150" i="66"/>
  <c r="U150" i="66"/>
  <c r="X136" i="66"/>
  <c r="U136" i="66"/>
  <c r="X103" i="66"/>
  <c r="U103" i="66"/>
  <c r="X84" i="66"/>
  <c r="U84" i="66"/>
  <c r="X53" i="66"/>
  <c r="U53" i="66"/>
  <c r="X35" i="66"/>
  <c r="U35" i="66"/>
  <c r="X22" i="66"/>
  <c r="U22" i="66"/>
  <c r="X54" i="66"/>
  <c r="U54" i="66"/>
  <c r="X129" i="66"/>
  <c r="U129" i="66"/>
  <c r="X61" i="66"/>
  <c r="U61" i="66"/>
  <c r="X147" i="66"/>
  <c r="U147" i="66"/>
  <c r="X45" i="66"/>
  <c r="U45" i="66"/>
  <c r="X10" i="66"/>
  <c r="U10" i="66"/>
  <c r="X154" i="66"/>
  <c r="U154" i="66"/>
  <c r="X140" i="66"/>
  <c r="U140" i="66"/>
  <c r="X119" i="66"/>
  <c r="U119" i="66"/>
  <c r="X100" i="66"/>
  <c r="U100" i="66"/>
  <c r="X57" i="66"/>
  <c r="U57" i="66"/>
  <c r="X40" i="66"/>
  <c r="U40" i="66"/>
  <c r="X11" i="66"/>
  <c r="U11" i="66"/>
  <c r="X146" i="66"/>
  <c r="U146" i="66"/>
  <c r="X199" i="66"/>
  <c r="U199" i="66"/>
  <c r="X120" i="66"/>
  <c r="U120" i="66"/>
  <c r="X104" i="66"/>
  <c r="U104" i="66"/>
  <c r="X190" i="66"/>
  <c r="U190" i="66"/>
  <c r="X81" i="66"/>
  <c r="U81" i="66"/>
  <c r="X74" i="66"/>
  <c r="U74" i="66"/>
  <c r="X181" i="66"/>
  <c r="U181" i="66"/>
  <c r="X51" i="66"/>
  <c r="U51" i="66"/>
  <c r="X21" i="66"/>
  <c r="U21" i="66"/>
  <c r="X12" i="66"/>
  <c r="U12" i="66"/>
  <c r="X158" i="66"/>
  <c r="U158" i="66"/>
  <c r="X149" i="66"/>
  <c r="U149" i="66"/>
  <c r="X131" i="66"/>
  <c r="U131" i="66"/>
  <c r="X99" i="66"/>
  <c r="U99" i="66"/>
  <c r="X82" i="66"/>
  <c r="U82" i="66"/>
  <c r="X48" i="66"/>
  <c r="U48" i="66"/>
  <c r="X34" i="66"/>
  <c r="U34" i="66"/>
  <c r="X20" i="66"/>
  <c r="U20" i="66"/>
  <c r="X139" i="66"/>
  <c r="U139" i="66"/>
  <c r="X172" i="66"/>
  <c r="U172" i="66"/>
  <c r="X91" i="66"/>
  <c r="U91" i="66"/>
  <c r="X55" i="66"/>
  <c r="U55" i="66"/>
  <c r="X36" i="66"/>
  <c r="U36" i="66"/>
  <c r="X167" i="66"/>
  <c r="U167" i="66"/>
  <c r="X132" i="66"/>
  <c r="U132" i="66"/>
  <c r="N208" i="66"/>
  <c r="X194" i="66"/>
  <c r="U194" i="66"/>
  <c r="X189" i="66"/>
  <c r="U189" i="66"/>
  <c r="X187" i="66"/>
  <c r="U187" i="66"/>
  <c r="X73" i="66"/>
  <c r="U73" i="66"/>
  <c r="X62" i="66"/>
  <c r="U62" i="66"/>
  <c r="X178" i="66"/>
  <c r="U178" i="66"/>
  <c r="X9" i="66"/>
  <c r="U9" i="66"/>
  <c r="X164" i="66"/>
  <c r="U164" i="66"/>
  <c r="X148" i="66"/>
  <c r="U148" i="66"/>
  <c r="X130" i="66"/>
  <c r="U130" i="66"/>
  <c r="X94" i="66"/>
  <c r="U94" i="66"/>
  <c r="X75" i="66"/>
  <c r="U75" i="66"/>
  <c r="X46" i="66"/>
  <c r="U46" i="66"/>
  <c r="X32" i="66"/>
  <c r="U32" i="66"/>
  <c r="X15" i="66"/>
  <c r="U15" i="66"/>
  <c r="X14" i="66"/>
  <c r="U14" i="66"/>
  <c r="AF76" i="66" l="1"/>
  <c r="AF20" i="66"/>
  <c r="AF107" i="66"/>
  <c r="AF163" i="66"/>
  <c r="AF25" i="66"/>
  <c r="AF113" i="66"/>
  <c r="AF42" i="66"/>
  <c r="AF206" i="66"/>
  <c r="AF112" i="66"/>
  <c r="AF125" i="66"/>
  <c r="AF114" i="66"/>
  <c r="AF7" i="66"/>
  <c r="AF123" i="66"/>
  <c r="AF23" i="66"/>
  <c r="AF205" i="66"/>
  <c r="AF38" i="66"/>
  <c r="AF33" i="66"/>
  <c r="AF80" i="66"/>
  <c r="AF192" i="66"/>
  <c r="AF133" i="66"/>
  <c r="AF96" i="66"/>
  <c r="AF115" i="66"/>
  <c r="AF63" i="66"/>
  <c r="AF137" i="66"/>
  <c r="AF18" i="66"/>
  <c r="AF97" i="66"/>
  <c r="AF180" i="66"/>
  <c r="AF143" i="66"/>
  <c r="AF69" i="66"/>
  <c r="AF67" i="66"/>
  <c r="AF102" i="66"/>
  <c r="AF134" i="66"/>
  <c r="AF98" i="66"/>
  <c r="AF101" i="66"/>
  <c r="AF58" i="66"/>
  <c r="AF56" i="66"/>
  <c r="AF43" i="66"/>
  <c r="AF31" i="66"/>
  <c r="AF86" i="66"/>
  <c r="AF183" i="66"/>
  <c r="AF195" i="66"/>
  <c r="AF71" i="66"/>
  <c r="AF116" i="66"/>
  <c r="AF185" i="66"/>
  <c r="AF174" i="66"/>
  <c r="AF176" i="66"/>
  <c r="AF179" i="66"/>
  <c r="AF93" i="66"/>
  <c r="AF127" i="66"/>
  <c r="AF157" i="66"/>
  <c r="AF184" i="66"/>
  <c r="AF47" i="66"/>
  <c r="AF72" i="66"/>
  <c r="AF135" i="66"/>
  <c r="AF37" i="66"/>
  <c r="AF88" i="66"/>
  <c r="AF64" i="66"/>
  <c r="AF156" i="66"/>
  <c r="AF169" i="66"/>
  <c r="AF166" i="66"/>
  <c r="AF68" i="66"/>
  <c r="AF111" i="66"/>
  <c r="AF60" i="66"/>
  <c r="AF27" i="66"/>
  <c r="AF52" i="66"/>
  <c r="AF151" i="66"/>
  <c r="AF118" i="66"/>
  <c r="AF153" i="66"/>
  <c r="AF108" i="66"/>
  <c r="AF142" i="66"/>
  <c r="AF8" i="66"/>
  <c r="AF41" i="66"/>
  <c r="AF109" i="66"/>
  <c r="AF186" i="66"/>
  <c r="AF106" i="66"/>
  <c r="AF138" i="66"/>
  <c r="AF155" i="66"/>
  <c r="AF39" i="66"/>
  <c r="AF59" i="66"/>
  <c r="AF168" i="66"/>
  <c r="AF144" i="66"/>
  <c r="AF161" i="66"/>
  <c r="AF188" i="66"/>
  <c r="AF92" i="66"/>
  <c r="AF28" i="66"/>
  <c r="AF126" i="66"/>
  <c r="AF191" i="66"/>
  <c r="ED192" i="61"/>
  <c r="AF124" i="66"/>
  <c r="AF170" i="66"/>
  <c r="AF162" i="66"/>
  <c r="AF152" i="66"/>
  <c r="AF89" i="66"/>
  <c r="AF17" i="66"/>
  <c r="AF78" i="66"/>
  <c r="AF49" i="66"/>
  <c r="AF145" i="66"/>
  <c r="AF44" i="66"/>
  <c r="AF159" i="66"/>
  <c r="AF15" i="66"/>
  <c r="AF94" i="66"/>
  <c r="AF9" i="66"/>
  <c r="AF187" i="66"/>
  <c r="AF132" i="66"/>
  <c r="AF91" i="66"/>
  <c r="AF34" i="66"/>
  <c r="AF131" i="66"/>
  <c r="AF21" i="66"/>
  <c r="AF81" i="66"/>
  <c r="AF199" i="66"/>
  <c r="AF57" i="66"/>
  <c r="AF154" i="66"/>
  <c r="AF61" i="66"/>
  <c r="AF35" i="66"/>
  <c r="AF136" i="66"/>
  <c r="AF26" i="66"/>
  <c r="X201" i="66"/>
  <c r="U201" i="66"/>
  <c r="I85" i="11"/>
  <c r="I119" i="11" s="1"/>
  <c r="I120" i="11" s="1"/>
  <c r="Q81" i="11"/>
  <c r="AF95" i="66"/>
  <c r="AF202" i="66"/>
  <c r="AF171" i="66"/>
  <c r="AF165" i="66"/>
  <c r="AF70" i="66"/>
  <c r="AF32" i="66"/>
  <c r="AF130" i="66"/>
  <c r="AF178" i="66"/>
  <c r="AF189" i="66"/>
  <c r="AF167" i="66"/>
  <c r="AF172" i="66"/>
  <c r="AF48" i="66"/>
  <c r="AF149" i="66"/>
  <c r="AF51" i="66"/>
  <c r="AF190" i="66"/>
  <c r="AF146" i="66"/>
  <c r="AF100" i="66"/>
  <c r="AF10" i="66"/>
  <c r="AF129" i="66"/>
  <c r="AF53" i="66"/>
  <c r="AF150" i="66"/>
  <c r="AF177" i="66"/>
  <c r="AF46" i="66"/>
  <c r="AF148" i="66"/>
  <c r="AF62" i="66"/>
  <c r="AF194" i="66"/>
  <c r="AF36" i="66"/>
  <c r="AF139" i="66"/>
  <c r="AF82" i="66"/>
  <c r="AF158" i="66"/>
  <c r="AF181" i="66"/>
  <c r="AF104" i="66"/>
  <c r="AF11" i="66"/>
  <c r="AF119" i="66"/>
  <c r="AF45" i="66"/>
  <c r="AF54" i="66"/>
  <c r="AF84" i="66"/>
  <c r="X197" i="66"/>
  <c r="U197" i="66"/>
  <c r="AF19" i="66"/>
  <c r="AF79" i="66"/>
  <c r="AF128" i="66"/>
  <c r="AF50" i="66"/>
  <c r="AF173" i="66"/>
  <c r="AF193" i="66"/>
  <c r="X196" i="66"/>
  <c r="U196" i="66"/>
  <c r="X203" i="66"/>
  <c r="U203" i="66"/>
  <c r="AF14" i="66"/>
  <c r="AF75" i="66"/>
  <c r="AF164" i="66"/>
  <c r="AF73" i="66"/>
  <c r="AF55" i="66"/>
  <c r="AF99" i="66"/>
  <c r="AF12" i="66"/>
  <c r="AF74" i="66"/>
  <c r="AF120" i="66"/>
  <c r="AF40" i="66"/>
  <c r="AF140" i="66"/>
  <c r="AF147" i="66"/>
  <c r="AF22" i="66"/>
  <c r="AF103" i="66"/>
  <c r="AF175" i="66"/>
  <c r="X198" i="66"/>
  <c r="U198" i="66"/>
  <c r="AF83" i="66"/>
  <c r="AF141" i="66"/>
  <c r="AF87" i="66"/>
  <c r="AF198" i="66" l="1"/>
  <c r="AF201" i="66"/>
  <c r="U208" i="66"/>
  <c r="X208" i="66"/>
  <c r="ED193" i="61"/>
  <c r="H15" i="74"/>
  <c r="H21" i="74" s="1"/>
  <c r="H30" i="74" s="1"/>
  <c r="H34" i="74" s="1"/>
  <c r="H35" i="74" s="1"/>
  <c r="I33" i="74" s="1"/>
  <c r="I35" i="74" s="1"/>
  <c r="J33" i="74" s="1"/>
  <c r="J35" i="74" s="1"/>
  <c r="K33" i="74" s="1"/>
  <c r="K35" i="74" s="1"/>
  <c r="L33" i="74" s="1"/>
  <c r="L35" i="74" s="1"/>
  <c r="M33" i="74" s="1"/>
  <c r="AF203" i="66"/>
  <c r="AF196" i="66"/>
  <c r="AF197" i="66"/>
  <c r="E138" i="11"/>
  <c r="Q85" i="11"/>
  <c r="AF208" i="66" l="1"/>
  <c r="J17" i="77"/>
  <c r="S17" i="77" l="1"/>
  <c r="L17" i="77"/>
  <c r="T17" i="77" l="1"/>
  <c r="ED199" i="61" l="1"/>
  <c r="ED200" i="61" l="1"/>
  <c r="ED202" i="61" l="1"/>
  <c r="ED205" i="61" l="1"/>
  <c r="Y208" i="71" l="1"/>
  <c r="N208" i="71"/>
  <c r="EC208" i="61"/>
  <c r="ED207" i="61"/>
  <c r="P17" i="78"/>
  <c r="T17" i="78" s="1"/>
  <c r="P47" i="78" l="1"/>
  <c r="T47" i="78" s="1"/>
  <c r="P195" i="78"/>
  <c r="T195" i="78" s="1"/>
  <c r="P80" i="78"/>
  <c r="T80" i="78" s="1"/>
  <c r="P12" i="78"/>
  <c r="T12" i="78" s="1"/>
  <c r="P13" i="78"/>
  <c r="T13" i="78" s="1"/>
  <c r="P36" i="78"/>
  <c r="T36" i="78" s="1"/>
  <c r="P189" i="78"/>
  <c r="T189" i="78" s="1"/>
  <c r="P116" i="78"/>
  <c r="T116" i="78" s="1"/>
  <c r="P28" i="78"/>
  <c r="T28" i="78" s="1"/>
  <c r="P68" i="78"/>
  <c r="T68" i="78" s="1"/>
  <c r="P145" i="78"/>
  <c r="T145" i="78" s="1"/>
  <c r="P119" i="78"/>
  <c r="T119" i="78" s="1"/>
  <c r="P168" i="78"/>
  <c r="T168" i="78" s="1"/>
  <c r="P87" i="78"/>
  <c r="T87" i="78" s="1"/>
  <c r="P104" i="78"/>
  <c r="T104" i="78" s="1"/>
  <c r="P128" i="78"/>
  <c r="T128" i="78" s="1"/>
  <c r="P152" i="78"/>
  <c r="T152" i="78" s="1"/>
  <c r="P175" i="78"/>
  <c r="T175" i="78" s="1"/>
  <c r="P60" i="78"/>
  <c r="T60" i="78" s="1"/>
  <c r="P78" i="78"/>
  <c r="T78" i="78" s="1"/>
  <c r="P134" i="78"/>
  <c r="T134" i="78" s="1"/>
  <c r="P162" i="78"/>
  <c r="T162" i="78" s="1"/>
  <c r="P200" i="78"/>
  <c r="T200" i="78" s="1"/>
  <c r="P165" i="78"/>
  <c r="T165" i="78" s="1"/>
  <c r="P26" i="78"/>
  <c r="T26" i="78" s="1"/>
  <c r="P57" i="78"/>
  <c r="T57" i="78" s="1"/>
  <c r="P41" i="78"/>
  <c r="T41" i="78" s="1"/>
  <c r="P100" i="78"/>
  <c r="T100" i="78" s="1"/>
  <c r="P123" i="78"/>
  <c r="T123" i="78" s="1"/>
  <c r="P33" i="78"/>
  <c r="T33" i="78" s="1"/>
  <c r="P184" i="78"/>
  <c r="T184" i="78" s="1"/>
  <c r="P160" i="78"/>
  <c r="T160" i="78" s="1"/>
  <c r="P117" i="78"/>
  <c r="T117" i="78" s="1"/>
  <c r="P31" i="78"/>
  <c r="T31" i="78" s="1"/>
  <c r="P95" i="78"/>
  <c r="T95" i="78" s="1"/>
  <c r="P108" i="78"/>
  <c r="T108" i="78" s="1"/>
  <c r="P199" i="78"/>
  <c r="T199" i="78" s="1"/>
  <c r="P205" i="78"/>
  <c r="T205" i="78" s="1"/>
  <c r="P19" i="78"/>
  <c r="T19" i="78" s="1"/>
  <c r="P61" i="78"/>
  <c r="T61" i="78" s="1"/>
  <c r="P79" i="78"/>
  <c r="T79" i="78" s="1"/>
  <c r="P115" i="78"/>
  <c r="T115" i="78" s="1"/>
  <c r="P140" i="78"/>
  <c r="T140" i="78" s="1"/>
  <c r="P151" i="78"/>
  <c r="T151" i="78" s="1"/>
  <c r="P42" i="78"/>
  <c r="T42" i="78" s="1"/>
  <c r="P191" i="78"/>
  <c r="T191" i="78" s="1"/>
  <c r="P96" i="78"/>
  <c r="T96" i="78" s="1"/>
  <c r="P142" i="78"/>
  <c r="T142" i="78" s="1"/>
  <c r="P169" i="78"/>
  <c r="T169" i="78" s="1"/>
  <c r="P192" i="78"/>
  <c r="T192" i="78" s="1"/>
  <c r="P132" i="78"/>
  <c r="T132" i="78" s="1"/>
  <c r="P56" i="78"/>
  <c r="T56" i="78" s="1"/>
  <c r="P186" i="78"/>
  <c r="T186" i="78" s="1"/>
  <c r="P50" i="78"/>
  <c r="T50" i="78" s="1"/>
  <c r="P124" i="78"/>
  <c r="T124" i="78" s="1"/>
  <c r="P143" i="78"/>
  <c r="T143" i="78" s="1"/>
  <c r="P97" i="78"/>
  <c r="T97" i="78" s="1"/>
  <c r="P202" i="78"/>
  <c r="T202" i="78" s="1"/>
  <c r="P206" i="78"/>
  <c r="T206" i="78" s="1"/>
  <c r="P65" i="78"/>
  <c r="T65" i="78" s="1"/>
  <c r="P187" i="78"/>
  <c r="T187" i="78" s="1"/>
  <c r="P172" i="78"/>
  <c r="T172" i="78" s="1"/>
  <c r="P40" i="78"/>
  <c r="T40" i="78" s="1"/>
  <c r="P16" i="78"/>
  <c r="T16" i="78" s="1"/>
  <c r="P129" i="78"/>
  <c r="T129" i="78" s="1"/>
  <c r="P139" i="78"/>
  <c r="T139" i="78" s="1"/>
  <c r="P155" i="78"/>
  <c r="T155" i="78" s="1"/>
  <c r="P179" i="78"/>
  <c r="T179" i="78" s="1"/>
  <c r="P193" i="78"/>
  <c r="T193" i="78" s="1"/>
  <c r="P135" i="78"/>
  <c r="T135" i="78" s="1"/>
  <c r="P59" i="78"/>
  <c r="T59" i="78" s="1"/>
  <c r="P81" i="78"/>
  <c r="T81" i="78" s="1"/>
  <c r="P133" i="78"/>
  <c r="T133" i="78" s="1"/>
  <c r="P126" i="78"/>
  <c r="T126" i="78" s="1"/>
  <c r="P54" i="78"/>
  <c r="T54" i="78" s="1"/>
  <c r="P190" i="78"/>
  <c r="T190" i="78" s="1"/>
  <c r="P118" i="78"/>
  <c r="T118" i="78" s="1"/>
  <c r="P203" i="78"/>
  <c r="T203" i="78" s="1"/>
  <c r="P161" i="78"/>
  <c r="T161" i="78" s="1"/>
  <c r="P67" i="78"/>
  <c r="T67" i="78" s="1"/>
  <c r="P188" i="78"/>
  <c r="T188" i="78" s="1"/>
  <c r="P55" i="78"/>
  <c r="T55" i="78" s="1"/>
  <c r="P107" i="78"/>
  <c r="T107" i="78" s="1"/>
  <c r="P66" i="78"/>
  <c r="T66" i="78" s="1"/>
  <c r="P101" i="78"/>
  <c r="T101" i="78" s="1"/>
  <c r="P196" i="78"/>
  <c r="T196" i="78" s="1"/>
  <c r="P176" i="78"/>
  <c r="T176" i="78" s="1"/>
  <c r="P166" i="78"/>
  <c r="T166" i="78" s="1"/>
  <c r="P49" i="78"/>
  <c r="T49" i="78" s="1"/>
  <c r="P71" i="78"/>
  <c r="T71" i="78" s="1"/>
  <c r="P88" i="78"/>
  <c r="T88" i="78" s="1"/>
  <c r="P198" i="78"/>
  <c r="T198" i="78" s="1"/>
  <c r="P173" i="78"/>
  <c r="T173" i="78" s="1"/>
  <c r="P183" i="78"/>
  <c r="T183" i="78" s="1"/>
  <c r="P43" i="78"/>
  <c r="T43" i="78" s="1"/>
  <c r="P105" i="78"/>
  <c r="T105" i="78" s="1"/>
  <c r="P177" i="78"/>
  <c r="T177" i="78" s="1"/>
  <c r="P181" i="78"/>
  <c r="T181" i="78" s="1"/>
  <c r="P112" i="78"/>
  <c r="T112" i="78" s="1"/>
  <c r="P63" i="78"/>
  <c r="T63" i="78" s="1"/>
  <c r="P18" i="78"/>
  <c r="T18" i="78" s="1"/>
  <c r="P102" i="78"/>
  <c r="T102" i="78" s="1"/>
  <c r="P120" i="78"/>
  <c r="T120" i="78" s="1"/>
  <c r="P204" i="78"/>
  <c r="T204" i="78" s="1"/>
  <c r="P167" i="78"/>
  <c r="T167" i="78" s="1"/>
  <c r="P51" i="78"/>
  <c r="T51" i="78" s="1"/>
  <c r="P74" i="78"/>
  <c r="T74" i="78" s="1"/>
  <c r="P93" i="78"/>
  <c r="T93" i="78" s="1"/>
  <c r="P127" i="78"/>
  <c r="T127" i="78" s="1"/>
  <c r="P185" i="78"/>
  <c r="T185" i="78" s="1"/>
  <c r="P73" i="78"/>
  <c r="T73" i="78" s="1"/>
  <c r="P201" i="78"/>
  <c r="T201" i="78" s="1"/>
  <c r="P11" i="78"/>
  <c r="T11" i="78" s="1"/>
  <c r="P194" i="78"/>
  <c r="T194" i="78" s="1"/>
  <c r="P62" i="78"/>
  <c r="T62" i="78" s="1"/>
  <c r="P141" i="78"/>
  <c r="T141" i="78" s="1"/>
  <c r="P171" i="78"/>
  <c r="T171" i="78" s="1"/>
  <c r="P27" i="78"/>
  <c r="T27" i="78" s="1"/>
  <c r="P83" i="78"/>
  <c r="T83" i="78" s="1"/>
  <c r="P111" i="78"/>
  <c r="T111" i="78" s="1"/>
  <c r="P21" i="78"/>
  <c r="T21" i="78" s="1"/>
  <c r="P182" i="78"/>
  <c r="T182" i="78" s="1"/>
  <c r="P121" i="78"/>
  <c r="T121" i="78" s="1"/>
  <c r="P106" i="78"/>
  <c r="T106" i="78" s="1"/>
  <c r="P178" i="78"/>
  <c r="T178" i="78" s="1"/>
  <c r="P170" i="78"/>
  <c r="T170" i="78" s="1"/>
  <c r="P197" i="78"/>
  <c r="T197" i="78" s="1"/>
  <c r="P146" i="78"/>
  <c r="T146" i="78" s="1"/>
  <c r="P180" i="78"/>
  <c r="T180" i="78" s="1"/>
  <c r="P77" i="78"/>
  <c r="T77" i="78" s="1"/>
  <c r="P154" i="78"/>
  <c r="T154" i="78" s="1"/>
  <c r="P91" i="78"/>
  <c r="T91" i="78" s="1"/>
  <c r="P9" i="78" l="1"/>
  <c r="I207" i="78"/>
  <c r="T207" i="78"/>
  <c r="T9" i="78" l="1"/>
  <c r="P207" i="78"/>
  <c r="AN23" i="68" l="1"/>
  <c r="I45" i="71" s="1"/>
  <c r="W45" i="71" s="1"/>
  <c r="AN162" i="68"/>
  <c r="I28" i="71" s="1"/>
  <c r="W28" i="71" s="1"/>
  <c r="AN116" i="68"/>
  <c r="I96" i="71" s="1"/>
  <c r="AN96" i="68" l="1"/>
  <c r="I182" i="71" s="1"/>
  <c r="W182" i="71" s="1"/>
  <c r="AN80" i="68"/>
  <c r="I178" i="71" s="1"/>
  <c r="W178" i="71" s="1"/>
  <c r="AN50" i="68"/>
  <c r="I132" i="71" s="1"/>
  <c r="W132" i="71" s="1"/>
  <c r="AN203" i="68"/>
  <c r="I161" i="71" s="1"/>
  <c r="W161" i="71" s="1"/>
  <c r="AN38" i="68"/>
  <c r="I90" i="71" s="1"/>
  <c r="W90" i="71" s="1"/>
  <c r="AN60" i="68"/>
  <c r="I157" i="71" s="1"/>
  <c r="AN191" i="68"/>
  <c r="I127" i="71" s="1"/>
  <c r="W127" i="71" s="1"/>
  <c r="AN61" i="68"/>
  <c r="I158" i="71" s="1"/>
  <c r="W158" i="71" s="1"/>
  <c r="AN13" i="68"/>
  <c r="I25" i="71" s="1"/>
  <c r="W25" i="71" s="1"/>
  <c r="AN183" i="68"/>
  <c r="I107" i="71" s="1"/>
  <c r="W107" i="71" s="1"/>
  <c r="AN141" i="68"/>
  <c r="I130" i="71" s="1"/>
  <c r="W130" i="71" s="1"/>
  <c r="AN83" i="68"/>
  <c r="I27" i="71" s="1"/>
  <c r="W27" i="71" s="1"/>
  <c r="AN16" i="68"/>
  <c r="I31" i="71" s="1"/>
  <c r="W31" i="71" s="1"/>
  <c r="AN27" i="68" l="1"/>
  <c r="I54" i="71" s="1"/>
  <c r="AN81" i="68"/>
  <c r="I179" i="71" s="1"/>
  <c r="W179" i="71" s="1"/>
  <c r="AN41" i="68"/>
  <c r="I95" i="71" s="1"/>
  <c r="W95" i="71" s="1"/>
  <c r="AN43" i="68" l="1"/>
  <c r="I104" i="71" s="1"/>
  <c r="W104" i="71" s="1"/>
  <c r="AN158" i="68"/>
  <c r="I12" i="71" s="1"/>
  <c r="AN151" i="68"/>
  <c r="I152" i="71" s="1"/>
  <c r="AN109" i="68"/>
  <c r="I80" i="71" s="1"/>
  <c r="AN110" i="68"/>
  <c r="I81" i="71" s="1"/>
  <c r="W81" i="71" s="1"/>
  <c r="W12" i="71" l="1"/>
  <c r="AN89" i="68"/>
  <c r="I53" i="71" s="1"/>
  <c r="W53" i="71" s="1"/>
  <c r="AH207" i="68" l="1"/>
  <c r="AN207" i="68" s="1"/>
  <c r="AN30" i="68"/>
  <c r="I70" i="71" s="1"/>
  <c r="W70" i="71" s="1"/>
  <c r="I208" i="71" l="1"/>
  <c r="AZ198" i="49"/>
  <c r="AF199" i="71" s="1"/>
  <c r="AZ161" i="49"/>
  <c r="AF162" i="71" s="1"/>
  <c r="AZ201" i="49"/>
  <c r="AF202" i="71" s="1"/>
  <c r="AZ90" i="49"/>
  <c r="AF91" i="71" s="1"/>
  <c r="AZ144" i="49"/>
  <c r="AF145" i="71" s="1"/>
  <c r="AZ189" i="49"/>
  <c r="AF190" i="71" s="1"/>
  <c r="AZ172" i="49"/>
  <c r="AF173" i="71" s="1"/>
  <c r="AZ196" i="49"/>
  <c r="AF197" i="71" s="1"/>
  <c r="AZ204" i="49"/>
  <c r="AF205" i="71" s="1"/>
  <c r="AZ197" i="49"/>
  <c r="AF198" i="71" s="1"/>
  <c r="AZ30" i="49"/>
  <c r="AF31" i="71" s="1"/>
  <c r="AZ29" i="49"/>
  <c r="AF30" i="71" s="1"/>
  <c r="AZ203" i="49"/>
  <c r="AF204" i="71" s="1"/>
  <c r="AZ14" i="49"/>
  <c r="AF15" i="71" s="1"/>
  <c r="AZ47" i="49" l="1"/>
  <c r="AF48" i="71" s="1"/>
  <c r="AZ195" i="49"/>
  <c r="AF196" i="71" s="1"/>
  <c r="AZ128" i="49"/>
  <c r="AF129" i="71" s="1"/>
  <c r="AZ191" i="49"/>
  <c r="AF192" i="71" s="1"/>
  <c r="AZ134" i="49"/>
  <c r="AF135" i="71" s="1"/>
  <c r="AZ93" i="49"/>
  <c r="AF94" i="71" s="1"/>
  <c r="AZ85" i="49"/>
  <c r="AF86" i="71" s="1"/>
  <c r="AZ119" i="49"/>
  <c r="AF120" i="71" s="1"/>
  <c r="AZ55" i="49"/>
  <c r="AF56" i="71" s="1"/>
  <c r="AZ61" i="49"/>
  <c r="AF62" i="71" s="1"/>
  <c r="AZ205" i="49"/>
  <c r="AF206" i="71" s="1"/>
  <c r="AZ41" i="49"/>
  <c r="AF42" i="71" s="1"/>
  <c r="AZ100" i="49"/>
  <c r="AF101" i="71" s="1"/>
  <c r="AZ73" i="49"/>
  <c r="AF74" i="71" s="1"/>
  <c r="AZ86" i="49"/>
  <c r="AF87" i="71" s="1"/>
  <c r="AZ28" i="49"/>
  <c r="AF29" i="71" s="1"/>
  <c r="AZ65" i="49"/>
  <c r="AF66" i="71" s="1"/>
  <c r="AZ81" i="49"/>
  <c r="AF82" i="71" s="1"/>
  <c r="AZ62" i="49"/>
  <c r="AF63" i="71" s="1"/>
  <c r="AZ129" i="49"/>
  <c r="AF130" i="71" s="1"/>
  <c r="AZ64" i="49"/>
  <c r="AF65" i="71" s="1"/>
  <c r="AZ176" i="49"/>
  <c r="AF177" i="71" s="1"/>
  <c r="AZ52" i="49"/>
  <c r="AF53" i="71" s="1"/>
  <c r="AZ74" i="49"/>
  <c r="AF75" i="71" s="1"/>
  <c r="AZ95" i="49"/>
  <c r="AF96" i="71" s="1"/>
  <c r="AZ126" i="49"/>
  <c r="AF127" i="71" s="1"/>
  <c r="AZ135" i="49"/>
  <c r="AF136" i="71" s="1"/>
  <c r="AZ181" i="49"/>
  <c r="AF182" i="71" s="1"/>
  <c r="AZ32" i="49"/>
  <c r="AF33" i="71" s="1"/>
  <c r="AZ24" i="49"/>
  <c r="AF25" i="71" s="1"/>
  <c r="AZ123" i="49"/>
  <c r="AF124" i="71" s="1"/>
  <c r="AZ146" i="49"/>
  <c r="AF147" i="71" s="1"/>
  <c r="AZ139" i="49"/>
  <c r="AF140" i="71" s="1"/>
  <c r="AZ87" i="49"/>
  <c r="AF88" i="71" s="1"/>
  <c r="AZ88" i="49"/>
  <c r="AF89" i="71" s="1"/>
  <c r="AZ76" i="49"/>
  <c r="AF77" i="71" s="1"/>
  <c r="AZ34" i="49"/>
  <c r="AF35" i="71" s="1"/>
  <c r="AZ164" i="49"/>
  <c r="AF165" i="71" s="1"/>
  <c r="AZ43" i="49"/>
  <c r="AF44" i="71" s="1"/>
  <c r="AZ98" i="49"/>
  <c r="AF99" i="71" s="1"/>
  <c r="AZ12" i="49"/>
  <c r="AF13" i="71" s="1"/>
  <c r="AZ92" i="49"/>
  <c r="AF93" i="71" s="1"/>
  <c r="AZ159" i="49"/>
  <c r="AF160" i="71" s="1"/>
  <c r="AZ155" i="49"/>
  <c r="AF156" i="71" s="1"/>
  <c r="AZ133" i="49"/>
  <c r="AF134" i="71" s="1"/>
  <c r="AZ38" i="49"/>
  <c r="AF39" i="71" s="1"/>
  <c r="AZ145" i="49"/>
  <c r="AF146" i="71" s="1"/>
  <c r="AZ44" i="49"/>
  <c r="AF45" i="71" s="1"/>
  <c r="AZ8" i="49"/>
  <c r="AF9" i="71" s="1"/>
  <c r="AZ19" i="49"/>
  <c r="AF20" i="71" s="1"/>
  <c r="AZ156" i="49"/>
  <c r="AF157" i="71" s="1"/>
  <c r="AZ116" i="49"/>
  <c r="AF117" i="71" s="1"/>
  <c r="AZ138" i="49"/>
  <c r="AF139" i="71" s="1"/>
  <c r="AZ63" i="49"/>
  <c r="AF64" i="71" s="1"/>
  <c r="AZ104" i="49"/>
  <c r="AF105" i="71" s="1"/>
  <c r="AZ187" i="49"/>
  <c r="AF188" i="71" s="1"/>
  <c r="AZ72" i="49"/>
  <c r="AF73" i="71" s="1"/>
  <c r="AZ56" i="49"/>
  <c r="AF57" i="71" s="1"/>
  <c r="AZ185" i="49"/>
  <c r="AF186" i="71" s="1"/>
  <c r="AZ190" i="49"/>
  <c r="AF191" i="71" s="1"/>
  <c r="AZ94" i="49"/>
  <c r="AF95" i="71" s="1"/>
  <c r="AZ112" i="49"/>
  <c r="AF113" i="71" s="1"/>
  <c r="AZ37" i="49"/>
  <c r="AF38" i="71" s="1"/>
  <c r="AZ84" i="49"/>
  <c r="AF85" i="71" s="1"/>
  <c r="AZ131" i="49"/>
  <c r="AF132" i="71" s="1"/>
  <c r="AZ75" i="49"/>
  <c r="AF76" i="71" s="1"/>
  <c r="AZ177" i="49"/>
  <c r="AF178" i="71" s="1"/>
  <c r="AZ192" i="49"/>
  <c r="AF193" i="71" s="1"/>
  <c r="AZ23" i="49"/>
  <c r="AF24" i="71" s="1"/>
  <c r="AZ53" i="49"/>
  <c r="AF54" i="71" s="1"/>
  <c r="AZ99" i="49"/>
  <c r="AF100" i="71" s="1"/>
  <c r="AZ118" i="49"/>
  <c r="AF119" i="71" s="1"/>
  <c r="AZ108" i="49"/>
  <c r="AF109" i="71" s="1"/>
  <c r="AZ26" i="49"/>
  <c r="AF27" i="71" s="1"/>
  <c r="AZ82" i="49"/>
  <c r="AF83" i="71" s="1"/>
  <c r="AZ117" i="49"/>
  <c r="AF118" i="71" s="1"/>
  <c r="AZ69" i="49"/>
  <c r="AF70" i="71" s="1"/>
  <c r="AZ175" i="49"/>
  <c r="AF176" i="71" s="1"/>
  <c r="AZ51" i="49"/>
  <c r="AF52" i="71" s="1"/>
  <c r="AZ97" i="49"/>
  <c r="AF98" i="71" s="1"/>
  <c r="AZ137" i="49"/>
  <c r="AF138" i="71" s="1"/>
  <c r="AZ154" i="49"/>
  <c r="AF155" i="71" s="1"/>
  <c r="AZ111" i="49"/>
  <c r="AF112" i="71" s="1"/>
  <c r="AZ54" i="49"/>
  <c r="AF55" i="71" s="1"/>
  <c r="AZ186" i="49"/>
  <c r="AF187" i="71" s="1"/>
  <c r="AZ150" i="49"/>
  <c r="AF151" i="71" s="1"/>
  <c r="AZ20" i="49"/>
  <c r="AF21" i="71" s="1"/>
  <c r="AZ148" i="49"/>
  <c r="AF149" i="71" s="1"/>
  <c r="AZ39" i="49"/>
  <c r="AF40" i="71" s="1"/>
  <c r="AZ169" i="49"/>
  <c r="AF170" i="71" s="1"/>
  <c r="AZ50" i="49"/>
  <c r="AF51" i="71" s="1"/>
  <c r="AZ27" i="49"/>
  <c r="AF28" i="71" s="1"/>
  <c r="AZ162" i="49"/>
  <c r="AF163" i="71" s="1"/>
  <c r="AZ143" i="49"/>
  <c r="AF144" i="71" s="1"/>
  <c r="AZ141" i="49"/>
  <c r="AF142" i="71" s="1"/>
  <c r="AZ17" i="49"/>
  <c r="AF18" i="71" s="1"/>
  <c r="AZ202" i="49"/>
  <c r="AF203" i="71" s="1"/>
  <c r="AZ68" i="49"/>
  <c r="AF69" i="71" s="1"/>
  <c r="W207" i="49"/>
  <c r="AZ7" i="49"/>
  <c r="AF8" i="71" s="1"/>
  <c r="AZ18" i="49"/>
  <c r="AF19" i="71" s="1"/>
  <c r="AZ188" i="49"/>
  <c r="AF189" i="71" s="1"/>
  <c r="AZ158" i="49"/>
  <c r="AF159" i="71" s="1"/>
  <c r="AZ130" i="49"/>
  <c r="AF131" i="71" s="1"/>
  <c r="AZ77" i="49"/>
  <c r="AF78" i="71" s="1"/>
  <c r="AZ58" i="49"/>
  <c r="AF59" i="71" s="1"/>
  <c r="AZ103" i="49"/>
  <c r="AF104" i="71" s="1"/>
  <c r="AZ149" i="49"/>
  <c r="AF150" i="71" s="1"/>
  <c r="AZ45" i="49"/>
  <c r="AF46" i="71" s="1"/>
  <c r="AZ160" i="49"/>
  <c r="AF161" i="71" s="1"/>
  <c r="AZ67" i="49"/>
  <c r="AF68" i="71" s="1"/>
  <c r="AZ168" i="49"/>
  <c r="AF169" i="71" s="1"/>
  <c r="AZ10" i="49"/>
  <c r="AF11" i="71" s="1"/>
  <c r="AZ171" i="49"/>
  <c r="AF172" i="71" s="1"/>
  <c r="AZ142" i="49"/>
  <c r="AF143" i="71" s="1"/>
  <c r="AZ113" i="49"/>
  <c r="AF114" i="71" s="1"/>
  <c r="AZ78" i="49"/>
  <c r="AF79" i="71" s="1"/>
  <c r="AZ179" i="49"/>
  <c r="AF180" i="71" s="1"/>
  <c r="AZ122" i="49"/>
  <c r="AF123" i="71" s="1"/>
  <c r="AZ35" i="49"/>
  <c r="AF36" i="71" s="1"/>
  <c r="AZ132" i="49"/>
  <c r="AF133" i="71" s="1"/>
  <c r="AZ193" i="49"/>
  <c r="AF194" i="71" s="1"/>
  <c r="AZ106" i="49"/>
  <c r="AF107" i="71" s="1"/>
  <c r="AZ22" i="49"/>
  <c r="AF23" i="71" s="1"/>
  <c r="AZ48" i="49"/>
  <c r="AF49" i="71" s="1"/>
  <c r="AZ9" i="49"/>
  <c r="AF10" i="71" s="1"/>
  <c r="AZ147" i="49"/>
  <c r="AF148" i="71" s="1"/>
  <c r="AZ121" i="49"/>
  <c r="AF122" i="71" s="1"/>
  <c r="AZ199" i="49"/>
  <c r="AF200" i="71" s="1"/>
  <c r="AZ80" i="49"/>
  <c r="AF81" i="71" s="1"/>
  <c r="AZ109" i="49"/>
  <c r="AF110" i="71" s="1"/>
  <c r="AZ140" i="49"/>
  <c r="AF141" i="71" s="1"/>
  <c r="AZ42" i="49"/>
  <c r="AF43" i="71" s="1"/>
  <c r="AZ31" i="49"/>
  <c r="AF32" i="71" s="1"/>
  <c r="AZ115" i="49"/>
  <c r="AF116" i="71" s="1"/>
  <c r="AZ83" i="49"/>
  <c r="AF84" i="71" s="1"/>
  <c r="AZ79" i="49"/>
  <c r="AF80" i="71" s="1"/>
  <c r="AZ71" i="49"/>
  <c r="AF72" i="71" s="1"/>
  <c r="AZ60" i="49"/>
  <c r="AF61" i="71" s="1"/>
  <c r="AZ124" i="49"/>
  <c r="AF125" i="71" s="1"/>
  <c r="AZ127" i="49"/>
  <c r="AF128" i="71" s="1"/>
  <c r="AZ173" i="49"/>
  <c r="AF174" i="71" s="1"/>
  <c r="AZ107" i="49"/>
  <c r="AF108" i="71" s="1"/>
  <c r="AZ59" i="49"/>
  <c r="AF60" i="71" s="1"/>
  <c r="AZ170" i="49"/>
  <c r="AF171" i="71" s="1"/>
  <c r="AZ182" i="49"/>
  <c r="AF183" i="71" s="1"/>
  <c r="AZ136" i="49"/>
  <c r="AF137" i="71" s="1"/>
  <c r="AZ89" i="49"/>
  <c r="AF90" i="71" s="1"/>
  <c r="AZ166" i="49"/>
  <c r="AF167" i="71" s="1"/>
  <c r="AZ110" i="49"/>
  <c r="AF111" i="71" s="1"/>
  <c r="AZ206" i="49"/>
  <c r="AF207" i="71" s="1"/>
  <c r="AZ165" i="49"/>
  <c r="AF166" i="71" s="1"/>
  <c r="AZ36" i="49"/>
  <c r="AF37" i="71" s="1"/>
  <c r="AZ183" i="49"/>
  <c r="AF184" i="71" s="1"/>
  <c r="AZ200" i="49"/>
  <c r="AF201" i="71" s="1"/>
  <c r="AZ13" i="49"/>
  <c r="AF14" i="71" s="1"/>
  <c r="AZ57" i="49"/>
  <c r="AF58" i="71" s="1"/>
  <c r="AZ167" i="49"/>
  <c r="AF168" i="71" s="1"/>
  <c r="AZ152" i="49"/>
  <c r="AF153" i="71" s="1"/>
  <c r="AZ180" i="49"/>
  <c r="AF181" i="71" s="1"/>
  <c r="AZ151" i="49"/>
  <c r="AF152" i="71" s="1"/>
  <c r="AZ40" i="49"/>
  <c r="AF41" i="71" s="1"/>
  <c r="AZ46" i="49"/>
  <c r="AF47" i="71" s="1"/>
  <c r="AZ157" i="49"/>
  <c r="AF158" i="71" s="1"/>
  <c r="AZ174" i="49"/>
  <c r="AF175" i="71" s="1"/>
  <c r="AZ11" i="49"/>
  <c r="AF12" i="71" s="1"/>
  <c r="AZ178" i="49"/>
  <c r="AF179" i="71" s="1"/>
  <c r="AZ163" i="49"/>
  <c r="AF164" i="71" s="1"/>
  <c r="AZ153" i="49"/>
  <c r="AF154" i="71" s="1"/>
  <c r="AZ25" i="49"/>
  <c r="AF26" i="71" s="1"/>
  <c r="AZ49" i="49"/>
  <c r="AF50" i="71" s="1"/>
  <c r="AZ15" i="49"/>
  <c r="AF16" i="71" s="1"/>
  <c r="AZ66" i="49"/>
  <c r="AF67" i="71" s="1"/>
  <c r="AZ105" i="49"/>
  <c r="AF106" i="71" s="1"/>
  <c r="AZ21" i="49"/>
  <c r="AF22" i="71" s="1"/>
  <c r="AZ194" i="49"/>
  <c r="AF195" i="71" s="1"/>
  <c r="AZ125" i="49"/>
  <c r="AF126" i="71" s="1"/>
  <c r="AZ101" i="49"/>
  <c r="AF102" i="71" s="1"/>
  <c r="AZ120" i="49"/>
  <c r="AF121" i="71" s="1"/>
  <c r="AZ91" i="49"/>
  <c r="AF92" i="71" s="1"/>
  <c r="AZ184" i="49"/>
  <c r="AF185" i="71" s="1"/>
  <c r="AZ102" i="49"/>
  <c r="AF103" i="71" s="1"/>
  <c r="AZ96" i="49"/>
  <c r="AF97" i="71" s="1"/>
  <c r="AZ114" i="49"/>
  <c r="AF115" i="71" s="1"/>
  <c r="AZ33" i="49"/>
  <c r="AF34" i="71" s="1"/>
  <c r="AZ70" i="49"/>
  <c r="AF71" i="71" s="1"/>
  <c r="AZ16" i="49"/>
  <c r="AF17" i="71" s="1"/>
  <c r="AF208" i="71" l="1"/>
  <c r="AZ207" i="49"/>
  <c r="AY14" i="49" l="1"/>
  <c r="AE15" i="71" s="1"/>
  <c r="AY15" i="49"/>
  <c r="AE16" i="71" s="1"/>
  <c r="AY20" i="49"/>
  <c r="AE21" i="71" s="1"/>
  <c r="AY22" i="49"/>
  <c r="AE23" i="71" s="1"/>
  <c r="AY23" i="49"/>
  <c r="AE24" i="71" s="1"/>
  <c r="AY24" i="49"/>
  <c r="AE25" i="71" s="1"/>
  <c r="AY25" i="49"/>
  <c r="AE26" i="71" s="1"/>
  <c r="AY29" i="49"/>
  <c r="AE30" i="71" s="1"/>
  <c r="AY30" i="49"/>
  <c r="AE31" i="71" s="1"/>
  <c r="AY32" i="49"/>
  <c r="AE33" i="71" s="1"/>
  <c r="AY34" i="49"/>
  <c r="AE35" i="71" s="1"/>
  <c r="AY35" i="49"/>
  <c r="AE36" i="71" s="1"/>
  <c r="AY37" i="49"/>
  <c r="AE38" i="71" s="1"/>
  <c r="AY38" i="49"/>
  <c r="AE39" i="71" s="1"/>
  <c r="AY39" i="49"/>
  <c r="AE40" i="71" s="1"/>
  <c r="AY44" i="49"/>
  <c r="AE45" i="71" s="1"/>
  <c r="AY45" i="49"/>
  <c r="AE46" i="71" s="1"/>
  <c r="AY46" i="49"/>
  <c r="AE47" i="71" s="1"/>
  <c r="AY48" i="49"/>
  <c r="AE49" i="71" s="1"/>
  <c r="AY53" i="49"/>
  <c r="AE54" i="71" s="1"/>
  <c r="AY58" i="49"/>
  <c r="AE59" i="71" s="1"/>
  <c r="AY64" i="49"/>
  <c r="AE65" i="71" s="1"/>
  <c r="AY69" i="49"/>
  <c r="AE70" i="71" s="1"/>
  <c r="AY70" i="49"/>
  <c r="AE71" i="71" s="1"/>
  <c r="AY72" i="49"/>
  <c r="AE73" i="71" s="1"/>
  <c r="AY75" i="49"/>
  <c r="AE76" i="71" s="1"/>
  <c r="AY82" i="49"/>
  <c r="AE83" i="71" s="1"/>
  <c r="AY84" i="49"/>
  <c r="AE85" i="71" s="1"/>
  <c r="AY85" i="49"/>
  <c r="AE86" i="71" s="1"/>
  <c r="AY86" i="49"/>
  <c r="AE87" i="71" s="1"/>
  <c r="AY89" i="49"/>
  <c r="AE90" i="71" s="1"/>
  <c r="AY90" i="49"/>
  <c r="AE91" i="71" s="1"/>
  <c r="AY92" i="49"/>
  <c r="AE93" i="71" s="1"/>
  <c r="AY94" i="49"/>
  <c r="AE95" i="71" s="1"/>
  <c r="AY99" i="49"/>
  <c r="AE100" i="71" s="1"/>
  <c r="AY103" i="49"/>
  <c r="AE104" i="71" s="1"/>
  <c r="AY109" i="49"/>
  <c r="AE110" i="71" s="1"/>
  <c r="AY110" i="49"/>
  <c r="AE111" i="71" s="1"/>
  <c r="AY113" i="49"/>
  <c r="AE114" i="71" s="1"/>
  <c r="AY114" i="49"/>
  <c r="AE115" i="71" s="1"/>
  <c r="AY125" i="49"/>
  <c r="AE126" i="71" s="1"/>
  <c r="AY130" i="49"/>
  <c r="AE131" i="71" s="1"/>
  <c r="AY131" i="49"/>
  <c r="AE132" i="71" s="1"/>
  <c r="AY136" i="49"/>
  <c r="AE137" i="71" s="1"/>
  <c r="AY137" i="49"/>
  <c r="AE138" i="71" s="1"/>
  <c r="AY138" i="49"/>
  <c r="AE139" i="71" s="1"/>
  <c r="AY144" i="49"/>
  <c r="AE145" i="71" s="1"/>
  <c r="AY147" i="49"/>
  <c r="AE148" i="71" s="1"/>
  <c r="AY148" i="49"/>
  <c r="AE149" i="71" s="1"/>
  <c r="AY149" i="49"/>
  <c r="AE150" i="71" s="1"/>
  <c r="AY150" i="49"/>
  <c r="AE151" i="71" s="1"/>
  <c r="AY153" i="49"/>
  <c r="AE154" i="71" s="1"/>
  <c r="AY156" i="49"/>
  <c r="AE157" i="71" s="1"/>
  <c r="AY157" i="49"/>
  <c r="AE158" i="71" s="1"/>
  <c r="AY159" i="49"/>
  <c r="AE160" i="71" s="1"/>
  <c r="AY163" i="49"/>
  <c r="AE164" i="71" s="1"/>
  <c r="AY164" i="49"/>
  <c r="AE165" i="71" s="1"/>
  <c r="AY158" i="49"/>
  <c r="AE159" i="71" s="1"/>
  <c r="AY76" i="49"/>
  <c r="AE77" i="71" s="1"/>
  <c r="AY122" i="49"/>
  <c r="AE123" i="71" s="1"/>
  <c r="AY8" i="49"/>
  <c r="AE9" i="71" s="1"/>
  <c r="AY68" i="49"/>
  <c r="AE69" i="71" s="1"/>
  <c r="AY179" i="49"/>
  <c r="AE180" i="71" s="1"/>
  <c r="AY9" i="49"/>
  <c r="AE10" i="71" s="1"/>
  <c r="AY12" i="49"/>
  <c r="AE13" i="71" s="1"/>
  <c r="AY175" i="49"/>
  <c r="AE176" i="71" s="1"/>
  <c r="AY176" i="49"/>
  <c r="AE177" i="71" s="1"/>
  <c r="AY16" i="49"/>
  <c r="AE17" i="71" s="1"/>
  <c r="AY17" i="49"/>
  <c r="AE18" i="71" s="1"/>
  <c r="AY19" i="49"/>
  <c r="AE20" i="71" s="1"/>
  <c r="AY177" i="49"/>
  <c r="AE178" i="71" s="1"/>
  <c r="AY178" i="49"/>
  <c r="AE179" i="71" s="1"/>
  <c r="AY21" i="49"/>
  <c r="AE22" i="71" s="1"/>
  <c r="AY26" i="49"/>
  <c r="AE27" i="71" s="1"/>
  <c r="AY28" i="49"/>
  <c r="AE29" i="71" s="1"/>
  <c r="AY33" i="49"/>
  <c r="AE34" i="71" s="1"/>
  <c r="AY42" i="49"/>
  <c r="AE43" i="71" s="1"/>
  <c r="AY47" i="49"/>
  <c r="AE48" i="71" s="1"/>
  <c r="AY51" i="49"/>
  <c r="AE52" i="71" s="1"/>
  <c r="AY52" i="49"/>
  <c r="AE53" i="71" s="1"/>
  <c r="AY56" i="49"/>
  <c r="AE57" i="71" s="1"/>
  <c r="AY180" i="49"/>
  <c r="AE181" i="71" s="1"/>
  <c r="AY59" i="49"/>
  <c r="AE60" i="71" s="1"/>
  <c r="AY60" i="49"/>
  <c r="AE61" i="71" s="1"/>
  <c r="AY61" i="49"/>
  <c r="AE62" i="71" s="1"/>
  <c r="AY62" i="49"/>
  <c r="AE63" i="71" s="1"/>
  <c r="AY181" i="49"/>
  <c r="AE182" i="71" s="1"/>
  <c r="AY65" i="49"/>
  <c r="AE66" i="71" s="1"/>
  <c r="AY182" i="49"/>
  <c r="AE183" i="71" s="1"/>
  <c r="AY183" i="49"/>
  <c r="AE184" i="71" s="1"/>
  <c r="AY67" i="49"/>
  <c r="AE68" i="71" s="1"/>
  <c r="AY71" i="49"/>
  <c r="AE72" i="71" s="1"/>
  <c r="AY184" i="49"/>
  <c r="AE185" i="71" s="1"/>
  <c r="AY73" i="49"/>
  <c r="AE74" i="71" s="1"/>
  <c r="AY74" i="49"/>
  <c r="AE75" i="71" s="1"/>
  <c r="AY185" i="49"/>
  <c r="AE186" i="71" s="1"/>
  <c r="AY186" i="49"/>
  <c r="AE187" i="71" s="1"/>
  <c r="AY77" i="49"/>
  <c r="AE78" i="71" s="1"/>
  <c r="AY78" i="49"/>
  <c r="AE79" i="71" s="1"/>
  <c r="AY79" i="49"/>
  <c r="AE80" i="71" s="1"/>
  <c r="AY80" i="49"/>
  <c r="AE81" i="71" s="1"/>
  <c r="AY187" i="49"/>
  <c r="AE188" i="71" s="1"/>
  <c r="AY81" i="49"/>
  <c r="AE82" i="71" s="1"/>
  <c r="AY188" i="49"/>
  <c r="AE189" i="71" s="1"/>
  <c r="AY88" i="49"/>
  <c r="AE89" i="71" s="1"/>
  <c r="AY93" i="49"/>
  <c r="AE94" i="71" s="1"/>
  <c r="AY95" i="49"/>
  <c r="AE96" i="71" s="1"/>
  <c r="AY96" i="49"/>
  <c r="AE97" i="71" s="1"/>
  <c r="AY97" i="49"/>
  <c r="AE98" i="71" s="1"/>
  <c r="AY189" i="49"/>
  <c r="AE190" i="71" s="1"/>
  <c r="AY190" i="49"/>
  <c r="AE191" i="71" s="1"/>
  <c r="AY98" i="49"/>
  <c r="AE99" i="71" s="1"/>
  <c r="AY191" i="49"/>
  <c r="AE192" i="71" s="1"/>
  <c r="AY192" i="49"/>
  <c r="AE193" i="71" s="1"/>
  <c r="AY102" i="49"/>
  <c r="AE103" i="71" s="1"/>
  <c r="AY193" i="49"/>
  <c r="AE194" i="71" s="1"/>
  <c r="AY194" i="49"/>
  <c r="AE195" i="71" s="1"/>
  <c r="AY104" i="49"/>
  <c r="AE105" i="71" s="1"/>
  <c r="AY105" i="49"/>
  <c r="AE106" i="71" s="1"/>
  <c r="AY108" i="49"/>
  <c r="AE109" i="71" s="1"/>
  <c r="AY195" i="49"/>
  <c r="AE196" i="71" s="1"/>
  <c r="AY111" i="49"/>
  <c r="AE112" i="71" s="1"/>
  <c r="AY116" i="49"/>
  <c r="AE117" i="71" s="1"/>
  <c r="AY118" i="49"/>
  <c r="AE119" i="71" s="1"/>
  <c r="AY196" i="49"/>
  <c r="AE197" i="71" s="1"/>
  <c r="AY120" i="49"/>
  <c r="AE121" i="71" s="1"/>
  <c r="AY123" i="49"/>
  <c r="AE124" i="71" s="1"/>
  <c r="AY197" i="49"/>
  <c r="AE198" i="71" s="1"/>
  <c r="AY124" i="49"/>
  <c r="AE125" i="71" s="1"/>
  <c r="AY198" i="49"/>
  <c r="AE199" i="71" s="1"/>
  <c r="AY128" i="49"/>
  <c r="AE129" i="71" s="1"/>
  <c r="AY129" i="49"/>
  <c r="AE130" i="71" s="1"/>
  <c r="AY132" i="49"/>
  <c r="AE133" i="71" s="1"/>
  <c r="AY199" i="49"/>
  <c r="AE200" i="71" s="1"/>
  <c r="AY135" i="49"/>
  <c r="AE136" i="71" s="1"/>
  <c r="AY200" i="49"/>
  <c r="AE201" i="71" s="1"/>
  <c r="AY201" i="49"/>
  <c r="AE202" i="71" s="1"/>
  <c r="AY202" i="49"/>
  <c r="AE203" i="71" s="1"/>
  <c r="AY203" i="49"/>
  <c r="AE204" i="71" s="1"/>
  <c r="AY204" i="49"/>
  <c r="AE205" i="71" s="1"/>
  <c r="AY146" i="49"/>
  <c r="AE147" i="71" s="1"/>
  <c r="AY151" i="49"/>
  <c r="AE152" i="71" s="1"/>
  <c r="AY205" i="49"/>
  <c r="AE206" i="71" s="1"/>
  <c r="AY155" i="49"/>
  <c r="AE156" i="71" s="1"/>
  <c r="AY206" i="49"/>
  <c r="AE207" i="71" s="1"/>
  <c r="AY161" i="49"/>
  <c r="AE162" i="71" s="1"/>
  <c r="AY166" i="49"/>
  <c r="AE167" i="71" s="1"/>
  <c r="AY167" i="49"/>
  <c r="AE168" i="71" s="1"/>
  <c r="AY11" i="49"/>
  <c r="AE12" i="71" s="1"/>
  <c r="AY13" i="49"/>
  <c r="AE14" i="71" s="1"/>
  <c r="AY18" i="49"/>
  <c r="AE19" i="71" s="1"/>
  <c r="AY168" i="49"/>
  <c r="AE169" i="71" s="1"/>
  <c r="AY27" i="49"/>
  <c r="AE28" i="71" s="1"/>
  <c r="AY31" i="49"/>
  <c r="AE32" i="71" s="1"/>
  <c r="AY36" i="49"/>
  <c r="AE37" i="71" s="1"/>
  <c r="AY40" i="49"/>
  <c r="AE41" i="71" s="1"/>
  <c r="AY41" i="49"/>
  <c r="AE42" i="71" s="1"/>
  <c r="AY43" i="49"/>
  <c r="AE44" i="71" s="1"/>
  <c r="AY169" i="49"/>
  <c r="AE170" i="71" s="1"/>
  <c r="AY49" i="49"/>
  <c r="AE50" i="71" s="1"/>
  <c r="AY50" i="49"/>
  <c r="AE51" i="71" s="1"/>
  <c r="AY54" i="49"/>
  <c r="AE55" i="71" s="1"/>
  <c r="AY55" i="49"/>
  <c r="AE56" i="71" s="1"/>
  <c r="AY57" i="49"/>
  <c r="AE58" i="71" s="1"/>
  <c r="AY63" i="49"/>
  <c r="AE64" i="71" s="1"/>
  <c r="AY66" i="49"/>
  <c r="AE67" i="71" s="1"/>
  <c r="AY170" i="49"/>
  <c r="AE171" i="71" s="1"/>
  <c r="AY171" i="49"/>
  <c r="AE172" i="71" s="1"/>
  <c r="AY83" i="49"/>
  <c r="AE84" i="71" s="1"/>
  <c r="AY87" i="49"/>
  <c r="AE88" i="71" s="1"/>
  <c r="AY91" i="49"/>
  <c r="AE92" i="71" s="1"/>
  <c r="AY100" i="49"/>
  <c r="AE101" i="71" s="1"/>
  <c r="AY101" i="49"/>
  <c r="AE102" i="71" s="1"/>
  <c r="AY106" i="49"/>
  <c r="AE107" i="71" s="1"/>
  <c r="AY107" i="49"/>
  <c r="AE108" i="71" s="1"/>
  <c r="AY112" i="49"/>
  <c r="AE113" i="71" s="1"/>
  <c r="AY115" i="49"/>
  <c r="AE116" i="71" s="1"/>
  <c r="AY117" i="49"/>
  <c r="AE118" i="71" s="1"/>
  <c r="AY172" i="49"/>
  <c r="AE173" i="71" s="1"/>
  <c r="AY119" i="49"/>
  <c r="AE120" i="71" s="1"/>
  <c r="AY121" i="49"/>
  <c r="AE122" i="71" s="1"/>
  <c r="AY126" i="49"/>
  <c r="AE127" i="71" s="1"/>
  <c r="AY127" i="49"/>
  <c r="AE128" i="71" s="1"/>
  <c r="AY133" i="49"/>
  <c r="AE134" i="71" s="1"/>
  <c r="AY134" i="49"/>
  <c r="AE135" i="71" s="1"/>
  <c r="AY139" i="49"/>
  <c r="AE140" i="71" s="1"/>
  <c r="AY140" i="49"/>
  <c r="AE141" i="71" s="1"/>
  <c r="AY142" i="49"/>
  <c r="AE143" i="71" s="1"/>
  <c r="AY143" i="49"/>
  <c r="AE144" i="71" s="1"/>
  <c r="AY145" i="49"/>
  <c r="AE146" i="71" s="1"/>
  <c r="AY173" i="49"/>
  <c r="AE174" i="71" s="1"/>
  <c r="AY152" i="49"/>
  <c r="AE153" i="71" s="1"/>
  <c r="AY154" i="49"/>
  <c r="AE155" i="71" s="1"/>
  <c r="AY174" i="49"/>
  <c r="AE175" i="71" s="1"/>
  <c r="AY160" i="49"/>
  <c r="AE161" i="71" s="1"/>
  <c r="AY162" i="49"/>
  <c r="AE163" i="71" s="1"/>
  <c r="AY165" i="49"/>
  <c r="AE166" i="71" s="1"/>
  <c r="AY141" i="49"/>
  <c r="AE142" i="71" s="1"/>
  <c r="AY10" i="49"/>
  <c r="AE11" i="71" s="1"/>
  <c r="BB70" i="49" l="1"/>
  <c r="AH71" i="71" s="1"/>
  <c r="BB44" i="49"/>
  <c r="AH45" i="71" s="1"/>
  <c r="BB29" i="49"/>
  <c r="AH30" i="71" s="1"/>
  <c r="AP30" i="71" s="1"/>
  <c r="AV29" i="49"/>
  <c r="BB67" i="49"/>
  <c r="AH68" i="71" s="1"/>
  <c r="BB59" i="49"/>
  <c r="AH60" i="71" s="1"/>
  <c r="BB42" i="49"/>
  <c r="AH43" i="71" s="1"/>
  <c r="BB17" i="49"/>
  <c r="AH18" i="71" s="1"/>
  <c r="BB68" i="49"/>
  <c r="AH69" i="71" s="1"/>
  <c r="BB157" i="49"/>
  <c r="BB113" i="49"/>
  <c r="AH114" i="71" s="1"/>
  <c r="BB89" i="49"/>
  <c r="AH90" i="71" s="1"/>
  <c r="BB69" i="49"/>
  <c r="AH70" i="71" s="1"/>
  <c r="BB39" i="49"/>
  <c r="BB25" i="49"/>
  <c r="AH26" i="71" s="1"/>
  <c r="BB77" i="49"/>
  <c r="AH78" i="71" s="1"/>
  <c r="BB183" i="49"/>
  <c r="AH184" i="71" s="1"/>
  <c r="BB180" i="49"/>
  <c r="BB33" i="49"/>
  <c r="AH34" i="71" s="1"/>
  <c r="BB16" i="49"/>
  <c r="AH17" i="71" s="1"/>
  <c r="BB8" i="49"/>
  <c r="AH9" i="71" s="1"/>
  <c r="BB156" i="49"/>
  <c r="BB138" i="49"/>
  <c r="AH139" i="71" s="1"/>
  <c r="BB110" i="49"/>
  <c r="AH111" i="71" s="1"/>
  <c r="BB86" i="49"/>
  <c r="AH87" i="71" s="1"/>
  <c r="BB64" i="49"/>
  <c r="BB38" i="49"/>
  <c r="AH39" i="71" s="1"/>
  <c r="BB24" i="49"/>
  <c r="AH25" i="71" s="1"/>
  <c r="BB88" i="49"/>
  <c r="AH89" i="71" s="1"/>
  <c r="BB186" i="49"/>
  <c r="AH187" i="71" s="1"/>
  <c r="BB182" i="49"/>
  <c r="AH183" i="71" s="1"/>
  <c r="BB56" i="49"/>
  <c r="AH57" i="71" s="1"/>
  <c r="BB28" i="49"/>
  <c r="AH29" i="71" s="1"/>
  <c r="BB176" i="49"/>
  <c r="BB122" i="49"/>
  <c r="AH123" i="71" s="1"/>
  <c r="BB153" i="49"/>
  <c r="AH154" i="71" s="1"/>
  <c r="BB137" i="49"/>
  <c r="AH138" i="71" s="1"/>
  <c r="BB109" i="49"/>
  <c r="AH110" i="71" s="1"/>
  <c r="BB85" i="49"/>
  <c r="AH86" i="71" s="1"/>
  <c r="BB58" i="49"/>
  <c r="AH59" i="71" s="1"/>
  <c r="BB37" i="49"/>
  <c r="AH38" i="71" s="1"/>
  <c r="BB23" i="49"/>
  <c r="BB10" i="49"/>
  <c r="AH11" i="71" s="1"/>
  <c r="BB154" i="49"/>
  <c r="AH155" i="71" s="1"/>
  <c r="BB140" i="49"/>
  <c r="AH141" i="71" s="1"/>
  <c r="BB119" i="49"/>
  <c r="BB100" i="49"/>
  <c r="AH101" i="71" s="1"/>
  <c r="BB57" i="49"/>
  <c r="AH58" i="71" s="1"/>
  <c r="BB40" i="49"/>
  <c r="AH41" i="71" s="1"/>
  <c r="BB11" i="49"/>
  <c r="BB146" i="49"/>
  <c r="AH147" i="71" s="1"/>
  <c r="BB199" i="49"/>
  <c r="AH200" i="71" s="1"/>
  <c r="BB120" i="49"/>
  <c r="AH121" i="71" s="1"/>
  <c r="BB104" i="49"/>
  <c r="BB190" i="49"/>
  <c r="AH191" i="71" s="1"/>
  <c r="BB81" i="49"/>
  <c r="AH82" i="71" s="1"/>
  <c r="BB139" i="49"/>
  <c r="AH140" i="71" s="1"/>
  <c r="BB172" i="49"/>
  <c r="AV172" i="49"/>
  <c r="BB91" i="49"/>
  <c r="AH92" i="71" s="1"/>
  <c r="BB55" i="49"/>
  <c r="AH56" i="71" s="1"/>
  <c r="BB36" i="49"/>
  <c r="AH37" i="71" s="1"/>
  <c r="BB167" i="49"/>
  <c r="BB204" i="49"/>
  <c r="AH205" i="71" s="1"/>
  <c r="AP205" i="71" s="1"/>
  <c r="AV204" i="49"/>
  <c r="BB132" i="49"/>
  <c r="AH133" i="71" s="1"/>
  <c r="BB196" i="49"/>
  <c r="AH197" i="71" s="1"/>
  <c r="AP197" i="71" s="1"/>
  <c r="AV196" i="49"/>
  <c r="BB194" i="49"/>
  <c r="BB152" i="49"/>
  <c r="AH153" i="71" s="1"/>
  <c r="BB117" i="49"/>
  <c r="AH118" i="71" s="1"/>
  <c r="BB87" i="49"/>
  <c r="AH88" i="71" s="1"/>
  <c r="BB54" i="49"/>
  <c r="BB31" i="49"/>
  <c r="AH32" i="71" s="1"/>
  <c r="BB166" i="49"/>
  <c r="AH167" i="71" s="1"/>
  <c r="BB129" i="49"/>
  <c r="AH130" i="71" s="1"/>
  <c r="BB118" i="49"/>
  <c r="BB193" i="49"/>
  <c r="AH194" i="71" s="1"/>
  <c r="BB97" i="49"/>
  <c r="AH98" i="71" s="1"/>
  <c r="BB80" i="49"/>
  <c r="AH81" i="71" s="1"/>
  <c r="BB184" i="49"/>
  <c r="BB61" i="49"/>
  <c r="AH62" i="71" s="1"/>
  <c r="BB177" i="49"/>
  <c r="AH178" i="71" s="1"/>
  <c r="BB141" i="49"/>
  <c r="AH142" i="71" s="1"/>
  <c r="BB173" i="49"/>
  <c r="BB134" i="49"/>
  <c r="AH135" i="71" s="1"/>
  <c r="BB115" i="49"/>
  <c r="AH116" i="71" s="1"/>
  <c r="BB83" i="49"/>
  <c r="AH84" i="71" s="1"/>
  <c r="BB50" i="49"/>
  <c r="BB27" i="49"/>
  <c r="AH28" i="71" s="1"/>
  <c r="BB161" i="49"/>
  <c r="AH162" i="71" s="1"/>
  <c r="AP162" i="71" s="1"/>
  <c r="AV161" i="49"/>
  <c r="BB203" i="49"/>
  <c r="AH204" i="71" s="1"/>
  <c r="AP204" i="71" s="1"/>
  <c r="AV203" i="49"/>
  <c r="BB128" i="49"/>
  <c r="BB116" i="49"/>
  <c r="AH117" i="71" s="1"/>
  <c r="BB102" i="49"/>
  <c r="AH103" i="71" s="1"/>
  <c r="BB96" i="49"/>
  <c r="AH97" i="71" s="1"/>
  <c r="BB79" i="49"/>
  <c r="BB71" i="49"/>
  <c r="AH72" i="71" s="1"/>
  <c r="BB60" i="49"/>
  <c r="AH61" i="71" s="1"/>
  <c r="BB47" i="49"/>
  <c r="AH48" i="71" s="1"/>
  <c r="BB19" i="49"/>
  <c r="X207" i="49"/>
  <c r="BB7" i="49"/>
  <c r="AH8" i="71" s="1"/>
  <c r="BB159" i="49"/>
  <c r="AH160" i="71" s="1"/>
  <c r="BB144" i="49"/>
  <c r="AH145" i="71" s="1"/>
  <c r="AP145" i="71" s="1"/>
  <c r="BB114" i="49"/>
  <c r="AH115" i="71" s="1"/>
  <c r="BB165" i="49"/>
  <c r="AH166" i="71" s="1"/>
  <c r="BB145" i="49"/>
  <c r="AH146" i="71" s="1"/>
  <c r="BB133" i="49"/>
  <c r="AH134" i="71" s="1"/>
  <c r="BB112" i="49"/>
  <c r="BB171" i="49"/>
  <c r="AH172" i="71" s="1"/>
  <c r="BB49" i="49"/>
  <c r="AH50" i="71" s="1"/>
  <c r="BB168" i="49"/>
  <c r="AH169" i="71" s="1"/>
  <c r="BB206" i="49"/>
  <c r="BB202" i="49"/>
  <c r="AH203" i="71" s="1"/>
  <c r="BB198" i="49"/>
  <c r="AH199" i="71" s="1"/>
  <c r="AP199" i="71" s="1"/>
  <c r="AV198" i="49"/>
  <c r="BB111" i="49"/>
  <c r="AH112" i="71" s="1"/>
  <c r="BB192" i="49"/>
  <c r="BB95" i="49"/>
  <c r="AH96" i="71" s="1"/>
  <c r="BB78" i="49"/>
  <c r="AH79" i="71" s="1"/>
  <c r="BB162" i="49"/>
  <c r="AH163" i="71" s="1"/>
  <c r="BB143" i="49"/>
  <c r="BB127" i="49"/>
  <c r="AH128" i="71" s="1"/>
  <c r="BB107" i="49"/>
  <c r="AH108" i="71" s="1"/>
  <c r="BB170" i="49"/>
  <c r="AH171" i="71" s="1"/>
  <c r="BB169" i="49"/>
  <c r="BB155" i="49"/>
  <c r="AH156" i="71" s="1"/>
  <c r="BB201" i="49"/>
  <c r="AH202" i="71" s="1"/>
  <c r="AP202" i="71" s="1"/>
  <c r="AV201" i="49"/>
  <c r="BB124" i="49"/>
  <c r="AH125" i="71" s="1"/>
  <c r="BB195" i="49"/>
  <c r="BB191" i="49"/>
  <c r="AH192" i="71" s="1"/>
  <c r="BB93" i="49"/>
  <c r="AH94" i="71" s="1"/>
  <c r="BB160" i="49"/>
  <c r="AH161" i="71" s="1"/>
  <c r="BB142" i="49"/>
  <c r="BB126" i="49"/>
  <c r="AH127" i="71" s="1"/>
  <c r="BB106" i="49"/>
  <c r="AH107" i="71" s="1"/>
  <c r="BB66" i="49"/>
  <c r="AH67" i="71" s="1"/>
  <c r="BB43" i="49"/>
  <c r="BB18" i="49"/>
  <c r="AH19" i="71" s="1"/>
  <c r="BB205" i="49"/>
  <c r="AH206" i="71" s="1"/>
  <c r="BB200" i="49"/>
  <c r="AH201" i="71" s="1"/>
  <c r="BB197" i="49"/>
  <c r="AV197" i="49"/>
  <c r="BB108" i="49"/>
  <c r="AH109" i="71" s="1"/>
  <c r="BB174" i="49"/>
  <c r="AH175" i="71" s="1"/>
  <c r="BB121" i="49"/>
  <c r="AH122" i="71" s="1"/>
  <c r="BB101" i="49"/>
  <c r="BB63" i="49"/>
  <c r="AH64" i="71" s="1"/>
  <c r="BB41" i="49"/>
  <c r="AH42" i="71" s="1"/>
  <c r="BB13" i="49"/>
  <c r="AH14" i="71" s="1"/>
  <c r="BB151" i="49"/>
  <c r="BB135" i="49"/>
  <c r="AH136" i="71" s="1"/>
  <c r="BB123" i="49"/>
  <c r="AH124" i="71" s="1"/>
  <c r="BB105" i="49"/>
  <c r="AH106" i="71" s="1"/>
  <c r="BB98" i="49"/>
  <c r="BB188" i="49"/>
  <c r="AH189" i="71" s="1"/>
  <c r="BB185" i="49"/>
  <c r="AH186" i="71" s="1"/>
  <c r="BB65" i="49"/>
  <c r="AH66" i="71" s="1"/>
  <c r="BB52" i="49"/>
  <c r="BB26" i="49"/>
  <c r="AH27" i="71" s="1"/>
  <c r="BB175" i="49"/>
  <c r="AH176" i="71" s="1"/>
  <c r="BB76" i="49"/>
  <c r="AH77" i="71" s="1"/>
  <c r="BB150" i="49"/>
  <c r="BB136" i="49"/>
  <c r="AH137" i="71" s="1"/>
  <c r="BB103" i="49"/>
  <c r="AH104" i="71" s="1"/>
  <c r="BB84" i="49"/>
  <c r="AH85" i="71" s="1"/>
  <c r="BB53" i="49"/>
  <c r="BB35" i="49"/>
  <c r="AH36" i="71" s="1"/>
  <c r="BB22" i="49"/>
  <c r="AH23" i="71" s="1"/>
  <c r="BB74" i="49"/>
  <c r="AH75" i="71" s="1"/>
  <c r="BB181" i="49"/>
  <c r="AH182" i="71" s="1"/>
  <c r="BB51" i="49"/>
  <c r="AH52" i="71" s="1"/>
  <c r="BB21" i="49"/>
  <c r="AH22" i="71" s="1"/>
  <c r="BB12" i="49"/>
  <c r="AH13" i="71" s="1"/>
  <c r="BB158" i="49"/>
  <c r="AH159" i="71" s="1"/>
  <c r="BB149" i="49"/>
  <c r="AH150" i="71" s="1"/>
  <c r="BB131" i="49"/>
  <c r="AH132" i="71" s="1"/>
  <c r="BB99" i="49"/>
  <c r="AH100" i="71" s="1"/>
  <c r="AP100" i="71" s="1"/>
  <c r="AV99" i="49"/>
  <c r="BB82" i="49"/>
  <c r="AH83" i="71" s="1"/>
  <c r="BB48" i="49"/>
  <c r="AH49" i="71" s="1"/>
  <c r="BB34" i="49"/>
  <c r="AH35" i="71" s="1"/>
  <c r="BB20" i="49"/>
  <c r="AH21" i="71" s="1"/>
  <c r="BB189" i="49"/>
  <c r="AH190" i="71" s="1"/>
  <c r="AP190" i="71" s="1"/>
  <c r="AV189" i="49"/>
  <c r="BB187" i="49"/>
  <c r="AH188" i="71" s="1"/>
  <c r="BB73" i="49"/>
  <c r="AH74" i="71" s="1"/>
  <c r="BB62" i="49"/>
  <c r="AH63" i="71" s="1"/>
  <c r="BB178" i="49"/>
  <c r="AH179" i="71" s="1"/>
  <c r="BB9" i="49"/>
  <c r="AH10" i="71" s="1"/>
  <c r="BB164" i="49"/>
  <c r="AH165" i="71" s="1"/>
  <c r="BB148" i="49"/>
  <c r="AH149" i="71" s="1"/>
  <c r="BB130" i="49"/>
  <c r="AH131" i="71" s="1"/>
  <c r="BB75" i="49"/>
  <c r="AH76" i="71" s="1"/>
  <c r="BB46" i="49"/>
  <c r="AH47" i="71" s="1"/>
  <c r="BB32" i="49"/>
  <c r="AH33" i="71" s="1"/>
  <c r="BB15" i="49"/>
  <c r="AH16" i="71" s="1"/>
  <c r="BB179" i="49"/>
  <c r="AH180" i="71" s="1"/>
  <c r="BB163" i="49"/>
  <c r="AH164" i="71" s="1"/>
  <c r="BB147" i="49"/>
  <c r="AH148" i="71" s="1"/>
  <c r="BB125" i="49"/>
  <c r="AH126" i="71" s="1"/>
  <c r="BB92" i="49"/>
  <c r="AH93" i="71" s="1"/>
  <c r="BB72" i="49"/>
  <c r="AH73" i="71" s="1"/>
  <c r="BB45" i="49"/>
  <c r="AH46" i="71" s="1"/>
  <c r="BB30" i="49"/>
  <c r="AH31" i="71" s="1"/>
  <c r="AP31" i="71" s="1"/>
  <c r="AV30" i="49"/>
  <c r="BB14" i="49"/>
  <c r="AH15" i="71" s="1"/>
  <c r="Y207" i="49"/>
  <c r="AY7" i="49"/>
  <c r="AE8" i="71" s="1"/>
  <c r="AE208" i="71" s="1"/>
  <c r="AY207" i="49"/>
  <c r="Z207" i="49"/>
  <c r="AH54" i="71" l="1"/>
  <c r="AH53" i="71"/>
  <c r="AH152" i="71"/>
  <c r="BE197" i="49"/>
  <c r="AH198" i="71"/>
  <c r="AP198" i="71" s="1"/>
  <c r="AH143" i="71"/>
  <c r="AH170" i="71"/>
  <c r="AH144" i="71"/>
  <c r="AH207" i="71"/>
  <c r="AH113" i="71"/>
  <c r="AH20" i="71"/>
  <c r="AH129" i="71"/>
  <c r="AH174" i="71"/>
  <c r="AH119" i="71"/>
  <c r="AH195" i="71"/>
  <c r="BE172" i="49"/>
  <c r="AH173" i="71"/>
  <c r="AP173" i="71" s="1"/>
  <c r="AH12" i="71"/>
  <c r="AH177" i="71"/>
  <c r="AH65" i="71"/>
  <c r="AH157" i="71"/>
  <c r="AH181" i="71"/>
  <c r="AH40" i="71"/>
  <c r="AH158" i="71"/>
  <c r="AH151" i="71"/>
  <c r="AH99" i="71"/>
  <c r="AH102" i="71"/>
  <c r="AH44" i="71"/>
  <c r="AH196" i="71"/>
  <c r="AH193" i="71"/>
  <c r="AH80" i="71"/>
  <c r="AH51" i="71"/>
  <c r="AH185" i="71"/>
  <c r="AH55" i="71"/>
  <c r="AH168" i="71"/>
  <c r="AH105" i="71"/>
  <c r="AH120" i="71"/>
  <c r="AH24" i="71"/>
  <c r="BE29" i="49"/>
  <c r="BE203" i="49"/>
  <c r="BE196" i="49"/>
  <c r="BE204" i="49"/>
  <c r="BE99" i="49"/>
  <c r="BE189" i="49"/>
  <c r="BE198" i="49"/>
  <c r="BE30" i="49"/>
  <c r="BE201" i="49"/>
  <c r="BE161" i="49"/>
  <c r="AV144" i="49"/>
  <c r="BE144" i="49" s="1"/>
  <c r="BB94" i="49"/>
  <c r="AH95" i="71" s="1"/>
  <c r="BB90" i="49"/>
  <c r="AH91" i="71" s="1"/>
  <c r="AP91" i="71" s="1"/>
  <c r="AV90" i="49"/>
  <c r="AH208" i="71" l="1"/>
  <c r="BE90" i="49"/>
  <c r="BB207" i="49"/>
  <c r="CR84" i="61" l="1"/>
  <c r="DA84" i="61"/>
  <c r="DA198" i="61"/>
  <c r="EB177" i="61"/>
  <c r="CQ177" i="61"/>
  <c r="CZ177" i="61"/>
  <c r="DA91" i="61"/>
  <c r="CQ194" i="61"/>
  <c r="CZ194" i="61"/>
  <c r="EB194" i="61"/>
  <c r="DA149" i="61"/>
  <c r="CR149" i="61"/>
  <c r="CZ91" i="61"/>
  <c r="EB84" i="61"/>
  <c r="CZ84" i="61"/>
  <c r="CQ84" i="61"/>
  <c r="CZ149" i="61"/>
  <c r="EB149" i="61"/>
  <c r="CQ149" i="61"/>
  <c r="DA190" i="61"/>
  <c r="DA177" i="61"/>
  <c r="CR177" i="61"/>
  <c r="DA197" i="61"/>
  <c r="DA204" i="61"/>
  <c r="CR194" i="61"/>
  <c r="DA194" i="61"/>
  <c r="CW84" i="61" l="1"/>
  <c r="DF91" i="61"/>
  <c r="DG91" i="61" s="1"/>
  <c r="DF149" i="61"/>
  <c r="CI208" i="61"/>
  <c r="CH208" i="61"/>
  <c r="DF84" i="61"/>
  <c r="EN82" i="67" s="1"/>
  <c r="GN82" i="67" s="1"/>
  <c r="DF177" i="61"/>
  <c r="DA79" i="61"/>
  <c r="CR79" i="61"/>
  <c r="CQ52" i="61"/>
  <c r="EB52" i="61"/>
  <c r="CZ52" i="61"/>
  <c r="CN52" i="61"/>
  <c r="CR188" i="61"/>
  <c r="DA188" i="61"/>
  <c r="M194" i="71"/>
  <c r="ED194" i="61"/>
  <c r="CQ114" i="61"/>
  <c r="EB114" i="61"/>
  <c r="CZ114" i="61"/>
  <c r="CN114" i="61"/>
  <c r="EB171" i="61"/>
  <c r="CZ171" i="61"/>
  <c r="CQ171" i="61"/>
  <c r="CN171" i="61"/>
  <c r="DA203" i="61"/>
  <c r="CR203" i="61"/>
  <c r="DA101" i="61"/>
  <c r="CR101" i="61"/>
  <c r="CQ141" i="61"/>
  <c r="EB141" i="61"/>
  <c r="CN141" i="61"/>
  <c r="CZ141" i="61"/>
  <c r="DA68" i="61"/>
  <c r="CR68" i="61"/>
  <c r="EB204" i="61"/>
  <c r="CZ204" i="61"/>
  <c r="DF204" i="61" s="1"/>
  <c r="DG204" i="61" s="1"/>
  <c r="CR114" i="61"/>
  <c r="DA114" i="61"/>
  <c r="EB169" i="61"/>
  <c r="CN169" i="61"/>
  <c r="CQ169" i="61"/>
  <c r="CZ169" i="61"/>
  <c r="EB37" i="61"/>
  <c r="CQ37" i="61"/>
  <c r="CN37" i="61"/>
  <c r="CZ37" i="61"/>
  <c r="EB29" i="61"/>
  <c r="CN29" i="61"/>
  <c r="CQ29" i="61"/>
  <c r="CZ29" i="61"/>
  <c r="EB13" i="61"/>
  <c r="CQ13" i="61"/>
  <c r="CZ13" i="61"/>
  <c r="CN13" i="61"/>
  <c r="EB139" i="61"/>
  <c r="CQ139" i="61"/>
  <c r="CN139" i="61"/>
  <c r="CZ139" i="61"/>
  <c r="DA61" i="61"/>
  <c r="CR61" i="61"/>
  <c r="CR159" i="61"/>
  <c r="DA159" i="61"/>
  <c r="DA72" i="61"/>
  <c r="CR72" i="61"/>
  <c r="CX84" i="61"/>
  <c r="CZ191" i="61"/>
  <c r="EB191" i="61"/>
  <c r="CN191" i="61"/>
  <c r="CQ191" i="61"/>
  <c r="EB155" i="61"/>
  <c r="CQ155" i="61"/>
  <c r="CZ155" i="61"/>
  <c r="CN155" i="61"/>
  <c r="CQ186" i="61"/>
  <c r="CN186" i="61"/>
  <c r="EB186" i="61"/>
  <c r="CZ186" i="61"/>
  <c r="CR52" i="61"/>
  <c r="DA52" i="61"/>
  <c r="DA112" i="61"/>
  <c r="CR112" i="61"/>
  <c r="CR74" i="61"/>
  <c r="DA74" i="61"/>
  <c r="DA125" i="61"/>
  <c r="CR125" i="61"/>
  <c r="EB156" i="61"/>
  <c r="CZ156" i="61"/>
  <c r="CN156" i="61"/>
  <c r="CQ156" i="61"/>
  <c r="CR37" i="61"/>
  <c r="DA37" i="61"/>
  <c r="CR13" i="61"/>
  <c r="DA13" i="61"/>
  <c r="CN11" i="61"/>
  <c r="EB11" i="61"/>
  <c r="CQ11" i="61"/>
  <c r="CZ11" i="61"/>
  <c r="CZ44" i="61"/>
  <c r="EB44" i="61"/>
  <c r="CN44" i="61"/>
  <c r="CQ44" i="61"/>
  <c r="EB128" i="61"/>
  <c r="CQ128" i="61"/>
  <c r="CN128" i="61"/>
  <c r="CZ128" i="61"/>
  <c r="DA75" i="61"/>
  <c r="CR75" i="61"/>
  <c r="EB40" i="61"/>
  <c r="CN40" i="61"/>
  <c r="CZ40" i="61"/>
  <c r="CQ40" i="61"/>
  <c r="DA11" i="61"/>
  <c r="CR11" i="61"/>
  <c r="DA108" i="61"/>
  <c r="CR108" i="61"/>
  <c r="DA167" i="61"/>
  <c r="CR167" i="61"/>
  <c r="CR128" i="61"/>
  <c r="DA128" i="61"/>
  <c r="CN187" i="61"/>
  <c r="EB187" i="61"/>
  <c r="CZ187" i="61"/>
  <c r="CQ187" i="61"/>
  <c r="EB112" i="61"/>
  <c r="CZ112" i="61"/>
  <c r="CN112" i="61"/>
  <c r="CQ112" i="61"/>
  <c r="EB201" i="61"/>
  <c r="CQ201" i="61"/>
  <c r="CZ201" i="61"/>
  <c r="CN201" i="61"/>
  <c r="DA180" i="61"/>
  <c r="CR180" i="61"/>
  <c r="CR106" i="61"/>
  <c r="DA106" i="61"/>
  <c r="DA15" i="61"/>
  <c r="CR15" i="61"/>
  <c r="DA150" i="61"/>
  <c r="CR150" i="61"/>
  <c r="CZ19" i="61"/>
  <c r="CN19" i="61"/>
  <c r="CQ19" i="61"/>
  <c r="EB19" i="61"/>
  <c r="DF194" i="61"/>
  <c r="EN182" i="67" s="1"/>
  <c r="GN182" i="67" s="1"/>
  <c r="CW177" i="61"/>
  <c r="CX177" i="61" s="1"/>
  <c r="CQ176" i="61"/>
  <c r="EB176" i="61"/>
  <c r="CN176" i="61"/>
  <c r="CZ176" i="61"/>
  <c r="EB38" i="61"/>
  <c r="CQ38" i="61"/>
  <c r="CN38" i="61"/>
  <c r="CZ38" i="61"/>
  <c r="DA174" i="61"/>
  <c r="CR174" i="61"/>
  <c r="DA32" i="61"/>
  <c r="CR32" i="61"/>
  <c r="CR131" i="61"/>
  <c r="DA131" i="61"/>
  <c r="CQ102" i="61"/>
  <c r="EB102" i="61"/>
  <c r="CN102" i="61"/>
  <c r="CZ102" i="61"/>
  <c r="CR191" i="61"/>
  <c r="DA191" i="61"/>
  <c r="DA64" i="61"/>
  <c r="CR64" i="61"/>
  <c r="CZ126" i="61"/>
  <c r="EB126" i="61"/>
  <c r="CN126" i="61"/>
  <c r="CQ126" i="61"/>
  <c r="DA176" i="61"/>
  <c r="CR176" i="61"/>
  <c r="DA116" i="61"/>
  <c r="CR116" i="61"/>
  <c r="CQ39" i="61"/>
  <c r="EB39" i="61"/>
  <c r="CN39" i="61"/>
  <c r="CZ39" i="61"/>
  <c r="CR139" i="61"/>
  <c r="DA139" i="61"/>
  <c r="CQ60" i="61"/>
  <c r="CN60" i="61"/>
  <c r="EB60" i="61"/>
  <c r="CZ60" i="61"/>
  <c r="CQ80" i="61"/>
  <c r="EB80" i="61"/>
  <c r="CN80" i="61"/>
  <c r="CZ80" i="61"/>
  <c r="DA171" i="61"/>
  <c r="CR171" i="61"/>
  <c r="CN78" i="61"/>
  <c r="CQ78" i="61"/>
  <c r="CZ78" i="61"/>
  <c r="EB78" i="61"/>
  <c r="CQ67" i="61"/>
  <c r="EB67" i="61"/>
  <c r="CN67" i="61"/>
  <c r="CZ67" i="61"/>
  <c r="EB150" i="61"/>
  <c r="CQ150" i="61"/>
  <c r="CZ150" i="61"/>
  <c r="DF150" i="61" s="1"/>
  <c r="EN145" i="67" s="1"/>
  <c r="GN145" i="67" s="1"/>
  <c r="CN150" i="61"/>
  <c r="DA34" i="61"/>
  <c r="CR34" i="61"/>
  <c r="CR160" i="61"/>
  <c r="DA160" i="61"/>
  <c r="CZ157" i="61"/>
  <c r="CN157" i="61"/>
  <c r="EB157" i="61"/>
  <c r="CQ157" i="61"/>
  <c r="CN23" i="61"/>
  <c r="EB23" i="61"/>
  <c r="CZ23" i="61"/>
  <c r="CQ23" i="61"/>
  <c r="CZ125" i="61"/>
  <c r="DF125" i="61" s="1"/>
  <c r="EN121" i="67" s="1"/>
  <c r="GN121" i="67" s="1"/>
  <c r="CN125" i="61"/>
  <c r="CQ125" i="61"/>
  <c r="EB125" i="61"/>
  <c r="DA187" i="61"/>
  <c r="CR187" i="61"/>
  <c r="DA201" i="61"/>
  <c r="CR201" i="61"/>
  <c r="CW194" i="61"/>
  <c r="CX194" i="61" s="1"/>
  <c r="CR63" i="61"/>
  <c r="DA63" i="61"/>
  <c r="M177" i="71"/>
  <c r="ED177" i="61"/>
  <c r="CZ61" i="61"/>
  <c r="DF61" i="61" s="1"/>
  <c r="EN59" i="67" s="1"/>
  <c r="GN59" i="67" s="1"/>
  <c r="CN61" i="61"/>
  <c r="EB61" i="61"/>
  <c r="CQ61" i="61"/>
  <c r="CW61" i="61" s="1"/>
  <c r="EB57" i="61"/>
  <c r="CZ57" i="61"/>
  <c r="CN57" i="61"/>
  <c r="CQ57" i="61"/>
  <c r="CN124" i="61"/>
  <c r="EB124" i="61"/>
  <c r="CZ124" i="61"/>
  <c r="CQ124" i="61"/>
  <c r="CR57" i="61"/>
  <c r="DA57" i="61"/>
  <c r="EB97" i="61"/>
  <c r="CQ97" i="61"/>
  <c r="CZ97" i="61"/>
  <c r="CN97" i="61"/>
  <c r="CQ113" i="61"/>
  <c r="EB113" i="61"/>
  <c r="CZ113" i="61"/>
  <c r="CN113" i="61"/>
  <c r="EB22" i="61"/>
  <c r="CQ22" i="61"/>
  <c r="CN22" i="61"/>
  <c r="CZ22" i="61"/>
  <c r="EB167" i="61"/>
  <c r="CQ167" i="61"/>
  <c r="CZ167" i="61"/>
  <c r="CN167" i="61"/>
  <c r="EB190" i="61"/>
  <c r="CZ190" i="61"/>
  <c r="DF190" i="61" s="1"/>
  <c r="DG190" i="61" s="1"/>
  <c r="DA99" i="61"/>
  <c r="CR99" i="61"/>
  <c r="CR195" i="61"/>
  <c r="DA195" i="61"/>
  <c r="CR80" i="61"/>
  <c r="DA80" i="61"/>
  <c r="CN101" i="61"/>
  <c r="CQ101" i="61"/>
  <c r="CW101" i="61" s="1"/>
  <c r="CZ101" i="61"/>
  <c r="DF101" i="61" s="1"/>
  <c r="EN97" i="67" s="1"/>
  <c r="GN97" i="67" s="1"/>
  <c r="EB101" i="61"/>
  <c r="CR22" i="61"/>
  <c r="DA22" i="61"/>
  <c r="EB103" i="61"/>
  <c r="CN103" i="61"/>
  <c r="CZ103" i="61"/>
  <c r="CQ103" i="61"/>
  <c r="CZ26" i="61"/>
  <c r="EB26" i="61"/>
  <c r="CQ26" i="61"/>
  <c r="CN26" i="61"/>
  <c r="CN168" i="61"/>
  <c r="CZ168" i="61"/>
  <c r="EB168" i="61"/>
  <c r="CQ168" i="61"/>
  <c r="EB122" i="61"/>
  <c r="CN122" i="61"/>
  <c r="CQ122" i="61"/>
  <c r="CZ122" i="61"/>
  <c r="DA29" i="61"/>
  <c r="CR29" i="61"/>
  <c r="CR67" i="61"/>
  <c r="DA67" i="61"/>
  <c r="CR196" i="61"/>
  <c r="DA196" i="61"/>
  <c r="CN203" i="61"/>
  <c r="EB203" i="61"/>
  <c r="CQ203" i="61"/>
  <c r="CW203" i="61" s="1"/>
  <c r="CZ203" i="61"/>
  <c r="DF203" i="61" s="1"/>
  <c r="EN186" i="67" s="1"/>
  <c r="GN186" i="67" s="1"/>
  <c r="M84" i="71"/>
  <c r="ED84" i="61"/>
  <c r="CR44" i="61"/>
  <c r="DA44" i="61"/>
  <c r="EB89" i="61"/>
  <c r="CQ89" i="61"/>
  <c r="CZ89" i="61"/>
  <c r="CN89" i="61"/>
  <c r="EB85" i="61"/>
  <c r="CN85" i="61"/>
  <c r="CQ85" i="61"/>
  <c r="CZ85" i="61"/>
  <c r="EB50" i="61"/>
  <c r="CZ50" i="61"/>
  <c r="CQ50" i="61"/>
  <c r="CN50" i="61"/>
  <c r="CR8" i="61"/>
  <c r="DA8" i="61"/>
  <c r="CR19" i="61"/>
  <c r="DA19" i="61"/>
  <c r="DA39" i="61"/>
  <c r="CR39" i="61"/>
  <c r="EB134" i="61"/>
  <c r="CN134" i="61"/>
  <c r="CQ134" i="61"/>
  <c r="CZ134" i="61"/>
  <c r="CR157" i="61"/>
  <c r="DA157" i="61"/>
  <c r="CR152" i="61"/>
  <c r="DA152" i="61"/>
  <c r="CR89" i="61"/>
  <c r="DA89" i="61"/>
  <c r="CR60" i="61"/>
  <c r="DA60" i="61"/>
  <c r="CR124" i="61"/>
  <c r="DA124" i="61"/>
  <c r="CQ74" i="61"/>
  <c r="EB74" i="61"/>
  <c r="CN74" i="61"/>
  <c r="CZ74" i="61"/>
  <c r="CQ163" i="61"/>
  <c r="EB163" i="61"/>
  <c r="CN163" i="61"/>
  <c r="CZ163" i="61"/>
  <c r="CQ75" i="61"/>
  <c r="CW75" i="61" s="1"/>
  <c r="CZ75" i="61"/>
  <c r="CN75" i="61"/>
  <c r="EB75" i="61"/>
  <c r="CZ96" i="61"/>
  <c r="EB96" i="61"/>
  <c r="CQ96" i="61"/>
  <c r="CN96" i="61"/>
  <c r="DA38" i="61"/>
  <c r="CR38" i="61"/>
  <c r="EB188" i="61"/>
  <c r="CQ188" i="61"/>
  <c r="CZ188" i="61"/>
  <c r="CN188" i="61"/>
  <c r="CZ106" i="61"/>
  <c r="EB106" i="61"/>
  <c r="CQ106" i="61"/>
  <c r="CN106" i="61"/>
  <c r="EB196" i="61"/>
  <c r="CN196" i="61"/>
  <c r="CQ196" i="61"/>
  <c r="CZ196" i="61"/>
  <c r="CR76" i="61"/>
  <c r="DA76" i="61"/>
  <c r="CR141" i="61"/>
  <c r="DA141" i="61"/>
  <c r="CR102" i="61"/>
  <c r="DA102" i="61"/>
  <c r="CN68" i="61"/>
  <c r="EB68" i="61"/>
  <c r="CZ68" i="61"/>
  <c r="DF68" i="61" s="1"/>
  <c r="EN66" i="67" s="1"/>
  <c r="GN66" i="67" s="1"/>
  <c r="CQ68" i="61"/>
  <c r="EB64" i="61"/>
  <c r="CN64" i="61"/>
  <c r="CQ64" i="61"/>
  <c r="CZ64" i="61"/>
  <c r="CN63" i="61"/>
  <c r="CQ63" i="61"/>
  <c r="CZ63" i="61"/>
  <c r="EB63" i="61"/>
  <c r="CR103" i="61"/>
  <c r="DA103" i="61"/>
  <c r="CR26" i="61"/>
  <c r="DA26" i="61"/>
  <c r="CR122" i="61"/>
  <c r="DA122" i="61"/>
  <c r="CQ160" i="61"/>
  <c r="CN160" i="61"/>
  <c r="EB160" i="61"/>
  <c r="CZ160" i="61"/>
  <c r="CR206" i="61"/>
  <c r="DA206" i="61"/>
  <c r="CR155" i="61"/>
  <c r="DA155" i="61"/>
  <c r="CN79" i="61"/>
  <c r="EB79" i="61"/>
  <c r="CQ79" i="61"/>
  <c r="CZ79" i="61"/>
  <c r="CQ34" i="61"/>
  <c r="EB34" i="61"/>
  <c r="CN34" i="61"/>
  <c r="CZ34" i="61"/>
  <c r="EB108" i="61"/>
  <c r="CZ108" i="61"/>
  <c r="CN108" i="61"/>
  <c r="CQ108" i="61"/>
  <c r="CW108" i="61" s="1"/>
  <c r="DA14" i="61"/>
  <c r="CR14" i="61"/>
  <c r="M149" i="71"/>
  <c r="ED149" i="61"/>
  <c r="CR154" i="61"/>
  <c r="DA154" i="61"/>
  <c r="CN46" i="61"/>
  <c r="CZ46" i="61"/>
  <c r="EB46" i="61"/>
  <c r="CQ46" i="61"/>
  <c r="EB154" i="61"/>
  <c r="CN154" i="61"/>
  <c r="CQ154" i="61"/>
  <c r="CZ154" i="61"/>
  <c r="DA169" i="61"/>
  <c r="CR169" i="61"/>
  <c r="CR96" i="61"/>
  <c r="DA96" i="61"/>
  <c r="DA126" i="61"/>
  <c r="CR126" i="61"/>
  <c r="CZ32" i="61"/>
  <c r="EB32" i="61"/>
  <c r="CN32" i="61"/>
  <c r="CQ32" i="61"/>
  <c r="CZ131" i="61"/>
  <c r="EB131" i="61"/>
  <c r="CQ131" i="61"/>
  <c r="CN131" i="61"/>
  <c r="EB109" i="61"/>
  <c r="CZ109" i="61"/>
  <c r="CN109" i="61"/>
  <c r="CQ109" i="61"/>
  <c r="CQ49" i="61"/>
  <c r="CZ49" i="61"/>
  <c r="EB49" i="61"/>
  <c r="CN49" i="61"/>
  <c r="EB54" i="61"/>
  <c r="CQ54" i="61"/>
  <c r="CZ54" i="61"/>
  <c r="CN54" i="61"/>
  <c r="EB42" i="61"/>
  <c r="CQ42" i="61"/>
  <c r="CN42" i="61"/>
  <c r="CZ42" i="61"/>
  <c r="CR78" i="61"/>
  <c r="DA78" i="61"/>
  <c r="EB174" i="61"/>
  <c r="CN174" i="61"/>
  <c r="CQ174" i="61"/>
  <c r="CW174" i="61" s="1"/>
  <c r="CZ174" i="61"/>
  <c r="CQ8" i="61"/>
  <c r="CN8" i="61"/>
  <c r="CZ8" i="61"/>
  <c r="CR46" i="61"/>
  <c r="DA46" i="61"/>
  <c r="CN69" i="61"/>
  <c r="EB69" i="61"/>
  <c r="CZ69" i="61"/>
  <c r="CQ69" i="61"/>
  <c r="CZ116" i="61"/>
  <c r="CN116" i="61"/>
  <c r="CQ116" i="61"/>
  <c r="EB116" i="61"/>
  <c r="EB198" i="61"/>
  <c r="CZ198" i="61"/>
  <c r="DF198" i="61" s="1"/>
  <c r="DG198" i="61" s="1"/>
  <c r="DA113" i="61"/>
  <c r="CR113" i="61"/>
  <c r="CR163" i="61"/>
  <c r="DA163" i="61"/>
  <c r="CR40" i="61"/>
  <c r="DA40" i="61"/>
  <c r="EB72" i="61"/>
  <c r="CN72" i="61"/>
  <c r="CQ72" i="61"/>
  <c r="CZ72" i="61"/>
  <c r="CN195" i="61"/>
  <c r="EB195" i="61"/>
  <c r="CQ195" i="61"/>
  <c r="CZ195" i="61"/>
  <c r="DF195" i="61" s="1"/>
  <c r="EN193" i="67" s="1"/>
  <c r="GN193" i="67" s="1"/>
  <c r="CR69" i="61"/>
  <c r="DA69" i="61"/>
  <c r="EB99" i="61"/>
  <c r="CN99" i="61"/>
  <c r="CQ99" i="61"/>
  <c r="CZ99" i="61"/>
  <c r="CZ14" i="61"/>
  <c r="EB14" i="61"/>
  <c r="CQ14" i="61"/>
  <c r="CN14" i="61"/>
  <c r="CR50" i="61"/>
  <c r="DA50" i="61"/>
  <c r="EB180" i="61"/>
  <c r="CZ180" i="61"/>
  <c r="CN180" i="61"/>
  <c r="CQ180" i="61"/>
  <c r="EB15" i="61"/>
  <c r="CZ15" i="61"/>
  <c r="CN15" i="61"/>
  <c r="CQ15" i="61"/>
  <c r="CW15" i="61" s="1"/>
  <c r="DA156" i="61"/>
  <c r="CR156" i="61"/>
  <c r="DA134" i="61"/>
  <c r="CR134" i="61"/>
  <c r="CW149" i="61"/>
  <c r="CX149" i="61" s="1"/>
  <c r="CQ206" i="61"/>
  <c r="CN206" i="61"/>
  <c r="EB206" i="61"/>
  <c r="CZ206" i="61"/>
  <c r="EB152" i="61"/>
  <c r="CN152" i="61"/>
  <c r="CZ152" i="61"/>
  <c r="CQ152" i="61"/>
  <c r="DA109" i="61"/>
  <c r="CR109" i="61"/>
  <c r="CR49" i="61"/>
  <c r="DA49" i="61"/>
  <c r="CR97" i="61"/>
  <c r="DA97" i="61"/>
  <c r="DA168" i="61"/>
  <c r="CR168" i="61"/>
  <c r="CR54" i="61"/>
  <c r="DA54" i="61"/>
  <c r="CR42" i="61"/>
  <c r="DA42" i="61"/>
  <c r="CN159" i="61"/>
  <c r="EB159" i="61"/>
  <c r="CQ159" i="61"/>
  <c r="CZ159" i="61"/>
  <c r="CR23" i="61"/>
  <c r="DA23" i="61"/>
  <c r="DA186" i="61"/>
  <c r="CR186" i="61"/>
  <c r="EB197" i="61"/>
  <c r="CZ197" i="61"/>
  <c r="DF197" i="61" s="1"/>
  <c r="DG197" i="61" s="1"/>
  <c r="DA85" i="61"/>
  <c r="CR85" i="61"/>
  <c r="EB76" i="61"/>
  <c r="CZ76" i="61"/>
  <c r="CN76" i="61"/>
  <c r="CQ76" i="61"/>
  <c r="CW116" i="61" l="1"/>
  <c r="DF108" i="61"/>
  <c r="EN104" i="67" s="1"/>
  <c r="GN104" i="67" s="1"/>
  <c r="CW68" i="61"/>
  <c r="DF116" i="61"/>
  <c r="EN112" i="67" s="1"/>
  <c r="GN112" i="67" s="1"/>
  <c r="DF188" i="61"/>
  <c r="EN177" i="67" s="1"/>
  <c r="DF174" i="61"/>
  <c r="EN187" i="67" s="1"/>
  <c r="GN187" i="67" s="1"/>
  <c r="CW188" i="61"/>
  <c r="CX188" i="61" s="1"/>
  <c r="CW125" i="61"/>
  <c r="CX125" i="61" s="1"/>
  <c r="DF75" i="61"/>
  <c r="EN73" i="67" s="1"/>
  <c r="GN73" i="67" s="1"/>
  <c r="CW167" i="61"/>
  <c r="DG84" i="61"/>
  <c r="CW72" i="61"/>
  <c r="CX72" i="61" s="1"/>
  <c r="DF106" i="61"/>
  <c r="EN102" i="67" s="1"/>
  <c r="GN102" i="67" s="1"/>
  <c r="DF72" i="61"/>
  <c r="EN70" i="67" s="1"/>
  <c r="GN70" i="67" s="1"/>
  <c r="DF131" i="61"/>
  <c r="EN127" i="67" s="1"/>
  <c r="GN127" i="67" s="1"/>
  <c r="CW64" i="61"/>
  <c r="CX64" i="61" s="1"/>
  <c r="DF76" i="61"/>
  <c r="EN74" i="67" s="1"/>
  <c r="GN74" i="67" s="1"/>
  <c r="DF160" i="61"/>
  <c r="EN155" i="67" s="1"/>
  <c r="GN155" i="67" s="1"/>
  <c r="CW76" i="61"/>
  <c r="CX76" i="61" s="1"/>
  <c r="CW195" i="61"/>
  <c r="CX195" i="61" s="1"/>
  <c r="DG177" i="61"/>
  <c r="EN191" i="67"/>
  <c r="GN191" i="67" s="1"/>
  <c r="DF15" i="61"/>
  <c r="EN15" i="67" s="1"/>
  <c r="GN15" i="67" s="1"/>
  <c r="DG149" i="61"/>
  <c r="EN144" i="67"/>
  <c r="GN144" i="67" s="1"/>
  <c r="CW152" i="61"/>
  <c r="DF154" i="61"/>
  <c r="EN149" i="67" s="1"/>
  <c r="GN149" i="67" s="1"/>
  <c r="CW63" i="61"/>
  <c r="CX63" i="61" s="1"/>
  <c r="CW34" i="61"/>
  <c r="CW180" i="61"/>
  <c r="CX180" i="61" s="1"/>
  <c r="CW32" i="61"/>
  <c r="DF14" i="61"/>
  <c r="EN14" i="67" s="1"/>
  <c r="GN14" i="67" s="1"/>
  <c r="CX116" i="61"/>
  <c r="CW150" i="61"/>
  <c r="CX150" i="61" s="1"/>
  <c r="CW14" i="61"/>
  <c r="CX14" i="61" s="1"/>
  <c r="CX174" i="61"/>
  <c r="DF89" i="61"/>
  <c r="EN87" i="67" s="1"/>
  <c r="GN87" i="67" s="1"/>
  <c r="DF159" i="61"/>
  <c r="EN154" i="67" s="1"/>
  <c r="GN154" i="67" s="1"/>
  <c r="DF79" i="61"/>
  <c r="EN77" i="67" s="1"/>
  <c r="GN77" i="67" s="1"/>
  <c r="CW106" i="61"/>
  <c r="CX106" i="61" s="1"/>
  <c r="DF180" i="61"/>
  <c r="CW54" i="61"/>
  <c r="CX54" i="61" s="1"/>
  <c r="DF109" i="61"/>
  <c r="EN105" i="67" s="1"/>
  <c r="GN105" i="67" s="1"/>
  <c r="DF206" i="61"/>
  <c r="EN188" i="67" s="1"/>
  <c r="GN188" i="67" s="1"/>
  <c r="DF34" i="61"/>
  <c r="EN32" i="67" s="1"/>
  <c r="GN32" i="67" s="1"/>
  <c r="CX34" i="61"/>
  <c r="DF124" i="61"/>
  <c r="EN120" i="67" s="1"/>
  <c r="GN120" i="67" s="1"/>
  <c r="CW160" i="61"/>
  <c r="CX160" i="61" s="1"/>
  <c r="CX101" i="61"/>
  <c r="R25" i="11"/>
  <c r="DF74" i="61"/>
  <c r="EN72" i="67" s="1"/>
  <c r="GN72" i="67" s="1"/>
  <c r="CW22" i="61"/>
  <c r="CX22" i="61" s="1"/>
  <c r="DF32" i="61"/>
  <c r="EN30" i="67" s="1"/>
  <c r="GN30" i="67" s="1"/>
  <c r="CW79" i="61"/>
  <c r="CX79" i="61" s="1"/>
  <c r="CW176" i="61"/>
  <c r="CX176" i="61" s="1"/>
  <c r="DF167" i="61"/>
  <c r="EN161" i="67" s="1"/>
  <c r="GN161" i="67" s="1"/>
  <c r="DF99" i="61"/>
  <c r="EN96" i="67" s="1"/>
  <c r="GN96" i="67" s="1"/>
  <c r="CW11" i="61"/>
  <c r="CX11" i="61" s="1"/>
  <c r="CW159" i="61"/>
  <c r="CX159" i="61" s="1"/>
  <c r="DF152" i="61"/>
  <c r="EN147" i="67" s="1"/>
  <c r="GN147" i="67" s="1"/>
  <c r="DF22" i="61"/>
  <c r="EN22" i="67" s="1"/>
  <c r="GN22" i="67" s="1"/>
  <c r="CW196" i="61"/>
  <c r="CX196" i="61" s="1"/>
  <c r="CW157" i="61"/>
  <c r="CX157" i="61" s="1"/>
  <c r="CX68" i="61"/>
  <c r="CW57" i="61"/>
  <c r="CX57" i="61" s="1"/>
  <c r="CX203" i="61"/>
  <c r="CW46" i="61"/>
  <c r="CX46" i="61" s="1"/>
  <c r="CX152" i="61"/>
  <c r="CW67" i="61"/>
  <c r="CX67" i="61" s="1"/>
  <c r="DF191" i="61"/>
  <c r="EN179" i="67" s="1"/>
  <c r="GN179" i="67" s="1"/>
  <c r="DF64" i="61"/>
  <c r="EN62" i="67" s="1"/>
  <c r="GN62" i="67" s="1"/>
  <c r="CW112" i="61"/>
  <c r="CX112" i="61" s="1"/>
  <c r="CW131" i="61"/>
  <c r="CX131" i="61" s="1"/>
  <c r="CW99" i="61"/>
  <c r="CX99" i="61" s="1"/>
  <c r="CW74" i="61"/>
  <c r="CX74" i="61" s="1"/>
  <c r="CX15" i="61"/>
  <c r="DF50" i="61"/>
  <c r="CW80" i="61"/>
  <c r="CX80" i="61" s="1"/>
  <c r="DF13" i="61"/>
  <c r="EN13" i="67" s="1"/>
  <c r="GN13" i="67" s="1"/>
  <c r="CW154" i="61"/>
  <c r="CX154" i="61" s="1"/>
  <c r="M116" i="71"/>
  <c r="ED116" i="61"/>
  <c r="DG174" i="61"/>
  <c r="CW42" i="61"/>
  <c r="CX42" i="61" s="1"/>
  <c r="M131" i="71"/>
  <c r="ED131" i="61"/>
  <c r="DG34" i="61"/>
  <c r="M68" i="71"/>
  <c r="ED68" i="61"/>
  <c r="M106" i="71"/>
  <c r="ED106" i="61"/>
  <c r="M74" i="71"/>
  <c r="ED74" i="61"/>
  <c r="DF134" i="61"/>
  <c r="EN130" i="67" s="1"/>
  <c r="GN130" i="67" s="1"/>
  <c r="DA208" i="61"/>
  <c r="CW85" i="61"/>
  <c r="CX85" i="61" s="1"/>
  <c r="M103" i="71"/>
  <c r="ED103" i="61"/>
  <c r="M97" i="71"/>
  <c r="ED97" i="61"/>
  <c r="DG125" i="61"/>
  <c r="DF157" i="61"/>
  <c r="EN152" i="67" s="1"/>
  <c r="GN152" i="67" s="1"/>
  <c r="DF67" i="61"/>
  <c r="EN65" i="67" s="1"/>
  <c r="GN65" i="67" s="1"/>
  <c r="M39" i="71"/>
  <c r="ED39" i="61"/>
  <c r="M126" i="71"/>
  <c r="ED126" i="61"/>
  <c r="M102" i="71"/>
  <c r="ED102" i="61"/>
  <c r="DF38" i="61"/>
  <c r="EN36" i="67" s="1"/>
  <c r="GN36" i="67" s="1"/>
  <c r="M19" i="71"/>
  <c r="ED19" i="61"/>
  <c r="CW201" i="61"/>
  <c r="CX201" i="61" s="1"/>
  <c r="M187" i="71"/>
  <c r="ED187" i="61"/>
  <c r="DF128" i="61"/>
  <c r="EN124" i="67" s="1"/>
  <c r="GN124" i="67" s="1"/>
  <c r="DF11" i="61"/>
  <c r="EN11" i="67" s="1"/>
  <c r="GN11" i="67" s="1"/>
  <c r="DF156" i="61"/>
  <c r="EN151" i="67" s="1"/>
  <c r="GN151" i="67" s="1"/>
  <c r="DF186" i="61"/>
  <c r="EN173" i="67" s="1"/>
  <c r="GN173" i="67" s="1"/>
  <c r="CW191" i="61"/>
  <c r="CX191" i="61" s="1"/>
  <c r="DF139" i="61"/>
  <c r="EN135" i="67" s="1"/>
  <c r="GN135" i="67" s="1"/>
  <c r="DF29" i="61"/>
  <c r="EN29" i="67" s="1"/>
  <c r="GN29" i="67" s="1"/>
  <c r="DF169" i="61"/>
  <c r="EN166" i="67" s="1"/>
  <c r="GN166" i="67" s="1"/>
  <c r="M114" i="71"/>
  <c r="ED114" i="61"/>
  <c r="M109" i="71"/>
  <c r="ED109" i="61"/>
  <c r="DF49" i="61"/>
  <c r="EN47" i="67" s="1"/>
  <c r="GN47" i="67" s="1"/>
  <c r="DG152" i="61"/>
  <c r="DG72" i="61"/>
  <c r="CW69" i="61"/>
  <c r="CX69" i="61" s="1"/>
  <c r="M42" i="71"/>
  <c r="ED42" i="61"/>
  <c r="CW49" i="61"/>
  <c r="CX49" i="61" s="1"/>
  <c r="M46" i="71"/>
  <c r="ED46" i="61"/>
  <c r="DG106" i="61"/>
  <c r="CW96" i="61"/>
  <c r="CX96" i="61" s="1"/>
  <c r="CW134" i="61"/>
  <c r="CX134" i="61" s="1"/>
  <c r="M203" i="71"/>
  <c r="ED203" i="61"/>
  <c r="DF122" i="61"/>
  <c r="EN118" i="67" s="1"/>
  <c r="GN118" i="67" s="1"/>
  <c r="CX167" i="61"/>
  <c r="DF57" i="61"/>
  <c r="EN55" i="67" s="1"/>
  <c r="GN55" i="67" s="1"/>
  <c r="CW23" i="61"/>
  <c r="CX23" i="61" s="1"/>
  <c r="CW60" i="61"/>
  <c r="CX60" i="61" s="1"/>
  <c r="CW39" i="61"/>
  <c r="CX39" i="61" s="1"/>
  <c r="DF126" i="61"/>
  <c r="EN122" i="67" s="1"/>
  <c r="GN122" i="67" s="1"/>
  <c r="CW102" i="61"/>
  <c r="CX102" i="61" s="1"/>
  <c r="CW19" i="61"/>
  <c r="CX19" i="61" s="1"/>
  <c r="M201" i="71"/>
  <c r="ED201" i="61"/>
  <c r="M156" i="71"/>
  <c r="ED156" i="61"/>
  <c r="M186" i="71"/>
  <c r="ED186" i="61"/>
  <c r="CW29" i="61"/>
  <c r="CX29" i="61" s="1"/>
  <c r="CW169" i="61"/>
  <c r="CX169" i="61" s="1"/>
  <c r="CW114" i="61"/>
  <c r="CX114" i="61" s="1"/>
  <c r="M197" i="71"/>
  <c r="W197" i="71" s="1"/>
  <c r="ED197" i="61"/>
  <c r="M14" i="71"/>
  <c r="ED14" i="61"/>
  <c r="M160" i="71"/>
  <c r="ED160" i="61"/>
  <c r="M180" i="71"/>
  <c r="ED180" i="61"/>
  <c r="M159" i="71"/>
  <c r="ED159" i="61"/>
  <c r="M99" i="71"/>
  <c r="ED99" i="61"/>
  <c r="DF69" i="61"/>
  <c r="EN67" i="67" s="1"/>
  <c r="GN67" i="67" s="1"/>
  <c r="CW109" i="61"/>
  <c r="CX109" i="61" s="1"/>
  <c r="CX32" i="61"/>
  <c r="DF46" i="61"/>
  <c r="EN44" i="67" s="1"/>
  <c r="GN44" i="67" s="1"/>
  <c r="CX108" i="61"/>
  <c r="M34" i="71"/>
  <c r="ED34" i="61"/>
  <c r="DF196" i="61"/>
  <c r="EN183" i="67" s="1"/>
  <c r="GN183" i="67" s="1"/>
  <c r="M96" i="71"/>
  <c r="ED96" i="61"/>
  <c r="DF163" i="61"/>
  <c r="EN157" i="67" s="1"/>
  <c r="GN157" i="67" s="1"/>
  <c r="CR208" i="61"/>
  <c r="M85" i="71"/>
  <c r="ED85" i="61"/>
  <c r="CW122" i="61"/>
  <c r="CX122" i="61" s="1"/>
  <c r="CW26" i="61"/>
  <c r="CX26" i="61" s="1"/>
  <c r="M167" i="71"/>
  <c r="ED167" i="61"/>
  <c r="DF113" i="61"/>
  <c r="EN109" i="67" s="1"/>
  <c r="GN109" i="67" s="1"/>
  <c r="M57" i="71"/>
  <c r="ED57" i="61"/>
  <c r="DF23" i="61"/>
  <c r="EN23" i="67" s="1"/>
  <c r="GN23" i="67" s="1"/>
  <c r="M67" i="71"/>
  <c r="ED67" i="61"/>
  <c r="DF80" i="61"/>
  <c r="EN78" i="67" s="1"/>
  <c r="GN78" i="67" s="1"/>
  <c r="CW38" i="61"/>
  <c r="CX38" i="61" s="1"/>
  <c r="CW40" i="61"/>
  <c r="CX40" i="61" s="1"/>
  <c r="CW128" i="61"/>
  <c r="CX128" i="61" s="1"/>
  <c r="M11" i="71"/>
  <c r="ED11" i="61"/>
  <c r="M191" i="71"/>
  <c r="ED191" i="61"/>
  <c r="CW139" i="61"/>
  <c r="CX139" i="61" s="1"/>
  <c r="DF141" i="61"/>
  <c r="EN137" i="67" s="1"/>
  <c r="GN137" i="67" s="1"/>
  <c r="DG15" i="61"/>
  <c r="M69" i="71"/>
  <c r="ED69" i="61"/>
  <c r="CZ208" i="61"/>
  <c r="DF8" i="61"/>
  <c r="EN8" i="67" s="1"/>
  <c r="GN8" i="67" s="1"/>
  <c r="M174" i="71"/>
  <c r="ED174" i="61"/>
  <c r="DF54" i="61"/>
  <c r="EN52" i="67" s="1"/>
  <c r="GN52" i="67" s="1"/>
  <c r="DG188" i="61"/>
  <c r="DF96" i="61"/>
  <c r="EN93" i="67" s="1"/>
  <c r="GN93" i="67" s="1"/>
  <c r="M134" i="71"/>
  <c r="ED134" i="61"/>
  <c r="M26" i="71"/>
  <c r="ED26" i="61"/>
  <c r="M101" i="71"/>
  <c r="ED101" i="61"/>
  <c r="DG22" i="61"/>
  <c r="M113" i="71"/>
  <c r="ED113" i="61"/>
  <c r="CW124" i="61"/>
  <c r="CX124" i="61" s="1"/>
  <c r="CX61" i="61"/>
  <c r="M23" i="71"/>
  <c r="ED23" i="61"/>
  <c r="M38" i="71"/>
  <c r="ED38" i="61"/>
  <c r="DG194" i="61"/>
  <c r="DF19" i="61"/>
  <c r="EN19" i="67" s="1"/>
  <c r="GN19" i="67" s="1"/>
  <c r="DF40" i="61"/>
  <c r="EN38" i="67" s="1"/>
  <c r="GN38" i="67" s="1"/>
  <c r="M128" i="71"/>
  <c r="ED128" i="61"/>
  <c r="CW186" i="61"/>
  <c r="CX186" i="61" s="1"/>
  <c r="M139" i="71"/>
  <c r="ED139" i="61"/>
  <c r="M29" i="71"/>
  <c r="ED29" i="61"/>
  <c r="M169" i="71"/>
  <c r="ED169" i="61"/>
  <c r="CW171" i="61"/>
  <c r="CX171" i="61" s="1"/>
  <c r="GG191" i="67"/>
  <c r="W177" i="71" s="1"/>
  <c r="FA191" i="67"/>
  <c r="DF52" i="61"/>
  <c r="EN50" i="67" s="1"/>
  <c r="GN50" i="67" s="1"/>
  <c r="M152" i="71"/>
  <c r="ED152" i="61"/>
  <c r="M15" i="71"/>
  <c r="ED15" i="61"/>
  <c r="M72" i="71"/>
  <c r="ED72" i="61"/>
  <c r="M198" i="71"/>
  <c r="W198" i="71" s="1"/>
  <c r="ED198" i="61"/>
  <c r="CN208" i="61"/>
  <c r="M32" i="71"/>
  <c r="ED32" i="61"/>
  <c r="DG108" i="61"/>
  <c r="DG160" i="61"/>
  <c r="M75" i="71"/>
  <c r="ED75" i="61"/>
  <c r="M163" i="71"/>
  <c r="ED163" i="61"/>
  <c r="CW50" i="61"/>
  <c r="CX50" i="61" s="1"/>
  <c r="DG89" i="61"/>
  <c r="M122" i="71"/>
  <c r="ED122" i="61"/>
  <c r="DF26" i="61"/>
  <c r="EN26" i="67" s="1"/>
  <c r="GN26" i="67" s="1"/>
  <c r="DG101" i="61"/>
  <c r="CW113" i="61"/>
  <c r="CX113" i="61" s="1"/>
  <c r="M61" i="71"/>
  <c r="ED61" i="61"/>
  <c r="GG82" i="67"/>
  <c r="W84" i="71" s="1"/>
  <c r="FA82" i="67"/>
  <c r="M78" i="71"/>
  <c r="ED78" i="61"/>
  <c r="M80" i="71"/>
  <c r="ED80" i="61"/>
  <c r="DF176" i="61"/>
  <c r="EN163" i="67" s="1"/>
  <c r="GN163" i="67" s="1"/>
  <c r="DF112" i="61"/>
  <c r="EN108" i="67" s="1"/>
  <c r="GN108" i="67" s="1"/>
  <c r="CW44" i="61"/>
  <c r="CX44" i="61" s="1"/>
  <c r="DF37" i="61"/>
  <c r="EN35" i="67" s="1"/>
  <c r="GN35" i="67" s="1"/>
  <c r="M141" i="71"/>
  <c r="ED141" i="61"/>
  <c r="DF171" i="61"/>
  <c r="EN175" i="67" s="1"/>
  <c r="GN175" i="67" s="1"/>
  <c r="M52" i="71"/>
  <c r="ED52" i="61"/>
  <c r="M206" i="71"/>
  <c r="ED206" i="61"/>
  <c r="DG195" i="61"/>
  <c r="M64" i="71"/>
  <c r="ED64" i="61"/>
  <c r="M196" i="71"/>
  <c r="ED196" i="61"/>
  <c r="M188" i="71"/>
  <c r="ED188" i="61"/>
  <c r="CW163" i="61"/>
  <c r="CX163" i="61" s="1"/>
  <c r="CW89" i="61"/>
  <c r="CX89" i="61" s="1"/>
  <c r="CW168" i="61"/>
  <c r="CX168" i="61" s="1"/>
  <c r="CW103" i="61"/>
  <c r="CX103" i="61" s="1"/>
  <c r="M124" i="71"/>
  <c r="ED124" i="61"/>
  <c r="M125" i="71"/>
  <c r="ED125" i="61"/>
  <c r="DG150" i="61"/>
  <c r="DF78" i="61"/>
  <c r="EN76" i="67" s="1"/>
  <c r="GN76" i="67" s="1"/>
  <c r="GG144" i="67"/>
  <c r="W149" i="71" s="1"/>
  <c r="FA144" i="67"/>
  <c r="M112" i="71"/>
  <c r="ED112" i="61"/>
  <c r="M40" i="71"/>
  <c r="ED40" i="61"/>
  <c r="DF155" i="61"/>
  <c r="EN150" i="67" s="1"/>
  <c r="GN150" i="67" s="1"/>
  <c r="CW141" i="61"/>
  <c r="CX141" i="61" s="1"/>
  <c r="M171" i="71"/>
  <c r="ED171" i="61"/>
  <c r="CW52" i="61"/>
  <c r="CX52" i="61" s="1"/>
  <c r="M108" i="71"/>
  <c r="ED108" i="61"/>
  <c r="DG76" i="61"/>
  <c r="M8" i="71"/>
  <c r="ED8" i="61"/>
  <c r="EB208" i="61"/>
  <c r="DF42" i="61"/>
  <c r="EN40" i="67" s="1"/>
  <c r="GN40" i="67" s="1"/>
  <c r="M79" i="71"/>
  <c r="ED79" i="61"/>
  <c r="M63" i="71"/>
  <c r="ED63" i="61"/>
  <c r="DG75" i="61"/>
  <c r="DG74" i="61"/>
  <c r="M50" i="71"/>
  <c r="ED50" i="61"/>
  <c r="M89" i="71"/>
  <c r="ED89" i="61"/>
  <c r="M168" i="71"/>
  <c r="ED168" i="61"/>
  <c r="DF103" i="61"/>
  <c r="EN99" i="67" s="1"/>
  <c r="GN99" i="67" s="1"/>
  <c r="M190" i="71"/>
  <c r="W190" i="71" s="1"/>
  <c r="ED190" i="61"/>
  <c r="M22" i="71"/>
  <c r="ED22" i="61"/>
  <c r="DF97" i="61"/>
  <c r="EN94" i="67" s="1"/>
  <c r="GN94" i="67" s="1"/>
  <c r="DG61" i="61"/>
  <c r="M157" i="71"/>
  <c r="ED157" i="61"/>
  <c r="CW78" i="61"/>
  <c r="CX78" i="61" s="1"/>
  <c r="DF60" i="61"/>
  <c r="EN58" i="67" s="1"/>
  <c r="GN58" i="67" s="1"/>
  <c r="DF39" i="61"/>
  <c r="EN37" i="67" s="1"/>
  <c r="GN37" i="67" s="1"/>
  <c r="CW126" i="61"/>
  <c r="CX126" i="61" s="1"/>
  <c r="DF102" i="61"/>
  <c r="EN98" i="67" s="1"/>
  <c r="GN98" i="67" s="1"/>
  <c r="M176" i="71"/>
  <c r="ED176" i="61"/>
  <c r="CW187" i="61"/>
  <c r="CX187" i="61" s="1"/>
  <c r="M44" i="71"/>
  <c r="ED44" i="61"/>
  <c r="CW156" i="61"/>
  <c r="CX156" i="61" s="1"/>
  <c r="CW155" i="61"/>
  <c r="CX155" i="61" s="1"/>
  <c r="CW13" i="61"/>
  <c r="CX13" i="61" s="1"/>
  <c r="CW37" i="61"/>
  <c r="CX37" i="61" s="1"/>
  <c r="M54" i="71"/>
  <c r="ED54" i="61"/>
  <c r="M76" i="71"/>
  <c r="ED76" i="61"/>
  <c r="CW206" i="61"/>
  <c r="CX206" i="61" s="1"/>
  <c r="M195" i="71"/>
  <c r="ED195" i="61"/>
  <c r="CW8" i="61"/>
  <c r="CQ208" i="61"/>
  <c r="M49" i="71"/>
  <c r="ED49" i="61"/>
  <c r="M154" i="71"/>
  <c r="ED154" i="61"/>
  <c r="DF63" i="61"/>
  <c r="EN61" i="67" s="1"/>
  <c r="GN61" i="67" s="1"/>
  <c r="DG68" i="61"/>
  <c r="CX75" i="61"/>
  <c r="DF85" i="61"/>
  <c r="EN83" i="67" s="1"/>
  <c r="GN83" i="67" s="1"/>
  <c r="DG203" i="61"/>
  <c r="DF168" i="61"/>
  <c r="EN162" i="67" s="1"/>
  <c r="GN162" i="67" s="1"/>
  <c r="CW97" i="61"/>
  <c r="CX97" i="61" s="1"/>
  <c r="M150" i="71"/>
  <c r="ED150" i="61"/>
  <c r="M60" i="71"/>
  <c r="ED60" i="61"/>
  <c r="DF201" i="61"/>
  <c r="EN185" i="67" s="1"/>
  <c r="GN185" i="67" s="1"/>
  <c r="DF187" i="61"/>
  <c r="EN174" i="67" s="1"/>
  <c r="GN174" i="67" s="1"/>
  <c r="DF44" i="61"/>
  <c r="EN42" i="67" s="1"/>
  <c r="GN42" i="67" s="1"/>
  <c r="M155" i="71"/>
  <c r="ED155" i="61"/>
  <c r="M13" i="71"/>
  <c r="ED13" i="61"/>
  <c r="M37" i="71"/>
  <c r="ED37" i="61"/>
  <c r="M204" i="71"/>
  <c r="W204" i="71" s="1"/>
  <c r="ED204" i="61"/>
  <c r="DF114" i="61"/>
  <c r="EN110" i="67" s="1"/>
  <c r="GN110" i="67" s="1"/>
  <c r="FA177" i="67" l="1"/>
  <c r="GN177" i="67"/>
  <c r="DG159" i="61"/>
  <c r="DG124" i="61"/>
  <c r="DG116" i="61"/>
  <c r="DG191" i="61"/>
  <c r="DG131" i="61"/>
  <c r="DG14" i="61"/>
  <c r="DG79" i="61"/>
  <c r="DG206" i="61"/>
  <c r="DG99" i="61"/>
  <c r="DG50" i="61"/>
  <c r="EN48" i="67"/>
  <c r="GN48" i="67" s="1"/>
  <c r="DG180" i="61"/>
  <c r="EN168" i="67"/>
  <c r="DG154" i="61"/>
  <c r="DG109" i="61"/>
  <c r="DG64" i="61"/>
  <c r="DG167" i="61"/>
  <c r="DG32" i="61"/>
  <c r="DG13" i="61"/>
  <c r="R24" i="11"/>
  <c r="R31" i="11" s="1"/>
  <c r="R36" i="11" s="1"/>
  <c r="N62" i="11"/>
  <c r="Q62" i="11" s="1"/>
  <c r="M31" i="11"/>
  <c r="M36" i="11" s="1"/>
  <c r="FA145" i="67"/>
  <c r="GG145" i="67"/>
  <c r="W150" i="71" s="1"/>
  <c r="FA77" i="67"/>
  <c r="GG77" i="67"/>
  <c r="W79" i="71" s="1"/>
  <c r="FA105" i="67"/>
  <c r="GG105" i="67"/>
  <c r="W109" i="71" s="1"/>
  <c r="FA179" i="67"/>
  <c r="GG179" i="67"/>
  <c r="W191" i="71" s="1"/>
  <c r="DG96" i="61"/>
  <c r="DG69" i="61"/>
  <c r="DG122" i="61"/>
  <c r="FA70" i="67"/>
  <c r="GG70" i="67"/>
  <c r="W72" i="71" s="1"/>
  <c r="DG128" i="61"/>
  <c r="FA121" i="67"/>
  <c r="GG121" i="67"/>
  <c r="W125" i="71" s="1"/>
  <c r="DG103" i="61"/>
  <c r="DG39" i="61"/>
  <c r="ED208" i="61"/>
  <c r="DG168" i="61"/>
  <c r="DG63" i="61"/>
  <c r="CW208" i="61"/>
  <c r="CX8" i="61"/>
  <c r="DG60" i="61"/>
  <c r="FA59" i="67"/>
  <c r="GG59" i="67"/>
  <c r="W61" i="71" s="1"/>
  <c r="FA73" i="67"/>
  <c r="GG73" i="67"/>
  <c r="W75" i="71" s="1"/>
  <c r="M208" i="71"/>
  <c r="FA22" i="67"/>
  <c r="GG22" i="67"/>
  <c r="W22" i="71" s="1"/>
  <c r="DG23" i="61"/>
  <c r="FA62" i="67"/>
  <c r="GG62" i="67"/>
  <c r="W64" i="71" s="1"/>
  <c r="DG169" i="61"/>
  <c r="DG134" i="61"/>
  <c r="FA32" i="67"/>
  <c r="GG32" i="67"/>
  <c r="W34" i="71" s="1"/>
  <c r="FA112" i="67"/>
  <c r="GG112" i="67"/>
  <c r="W116" i="71" s="1"/>
  <c r="DG187" i="61"/>
  <c r="DG201" i="61"/>
  <c r="DG97" i="61"/>
  <c r="DG37" i="61"/>
  <c r="FA188" i="67"/>
  <c r="GG188" i="67"/>
  <c r="W206" i="71" s="1"/>
  <c r="GG177" i="67"/>
  <c r="W188" i="71" s="1"/>
  <c r="DG126" i="61"/>
  <c r="FA127" i="67"/>
  <c r="GG127" i="67"/>
  <c r="W131" i="71" s="1"/>
  <c r="FA147" i="67"/>
  <c r="GG147" i="67"/>
  <c r="W152" i="71" s="1"/>
  <c r="DG29" i="61"/>
  <c r="FA186" i="67"/>
  <c r="GG186" i="67"/>
  <c r="W203" i="71" s="1"/>
  <c r="DG26" i="61"/>
  <c r="DG54" i="61"/>
  <c r="FA15" i="67"/>
  <c r="GG15" i="67"/>
  <c r="W15" i="71" s="1"/>
  <c r="DG139" i="61"/>
  <c r="FA154" i="67"/>
  <c r="GG154" i="67"/>
  <c r="W159" i="71" s="1"/>
  <c r="FA193" i="67"/>
  <c r="GG193" i="67"/>
  <c r="W195" i="71" s="1"/>
  <c r="DG85" i="61"/>
  <c r="FA14" i="67"/>
  <c r="GG14" i="67"/>
  <c r="W14" i="71" s="1"/>
  <c r="DG112" i="61"/>
  <c r="FA149" i="67"/>
  <c r="GG149" i="67"/>
  <c r="W154" i="71" s="1"/>
  <c r="DG40" i="61"/>
  <c r="DG141" i="61"/>
  <c r="DG113" i="61"/>
  <c r="DG163" i="61"/>
  <c r="DG49" i="61"/>
  <c r="FA161" i="67"/>
  <c r="GG161" i="67"/>
  <c r="W167" i="71" s="1"/>
  <c r="FA66" i="67"/>
  <c r="GG66" i="67"/>
  <c r="W68" i="71" s="1"/>
  <c r="FA104" i="67"/>
  <c r="GG104" i="67"/>
  <c r="W108" i="71" s="1"/>
  <c r="DG114" i="61"/>
  <c r="FA96" i="67"/>
  <c r="GG96" i="67"/>
  <c r="W99" i="71" s="1"/>
  <c r="DG176" i="61"/>
  <c r="DG52" i="61"/>
  <c r="DG19" i="61"/>
  <c r="DG46" i="61"/>
  <c r="DG186" i="61"/>
  <c r="DG67" i="61"/>
  <c r="GG30" i="67"/>
  <c r="W32" i="71" s="1"/>
  <c r="FA30" i="67"/>
  <c r="FA97" i="67"/>
  <c r="GG97" i="67"/>
  <c r="W101" i="71" s="1"/>
  <c r="DG44" i="61"/>
  <c r="DG102" i="61"/>
  <c r="DG42" i="61"/>
  <c r="FA74" i="67"/>
  <c r="GG74" i="67"/>
  <c r="W76" i="71" s="1"/>
  <c r="FA13" i="67"/>
  <c r="GG13" i="67"/>
  <c r="W13" i="71" s="1"/>
  <c r="DG78" i="61"/>
  <c r="GG155" i="67"/>
  <c r="W160" i="71" s="1"/>
  <c r="FA155" i="67"/>
  <c r="DF208" i="61"/>
  <c r="DG8" i="61"/>
  <c r="DG80" i="61"/>
  <c r="DG57" i="61"/>
  <c r="FA102" i="67"/>
  <c r="GG102" i="67"/>
  <c r="W106" i="71" s="1"/>
  <c r="DG156" i="61"/>
  <c r="DG38" i="61"/>
  <c r="DG157" i="61"/>
  <c r="FA72" i="67"/>
  <c r="GG72" i="67"/>
  <c r="W74" i="71" s="1"/>
  <c r="DG155" i="61"/>
  <c r="DG171" i="61"/>
  <c r="FA120" i="67"/>
  <c r="GG120" i="67"/>
  <c r="W124" i="71" s="1"/>
  <c r="FA87" i="67"/>
  <c r="GG87" i="67"/>
  <c r="W89" i="71" s="1"/>
  <c r="FA182" i="67"/>
  <c r="GG182" i="67"/>
  <c r="W194" i="71" s="1"/>
  <c r="DG196" i="61"/>
  <c r="DG11" i="61"/>
  <c r="FA187" i="67"/>
  <c r="GG187" i="67"/>
  <c r="W174" i="71" s="1"/>
  <c r="FA48" i="67" l="1"/>
  <c r="GG48" i="67"/>
  <c r="W50" i="71" s="1"/>
  <c r="GG168" i="67"/>
  <c r="W180" i="71" s="1"/>
  <c r="GN168" i="67"/>
  <c r="EN208" i="67"/>
  <c r="FA168" i="67"/>
  <c r="S62" i="11"/>
  <c r="N64" i="11"/>
  <c r="Q64" i="11" s="1"/>
  <c r="Q68" i="11" s="1"/>
  <c r="Q73" i="11" s="1"/>
  <c r="FA175" i="67"/>
  <c r="GG175" i="67"/>
  <c r="W171" i="71" s="1"/>
  <c r="FA36" i="67"/>
  <c r="GG36" i="67"/>
  <c r="W38" i="71" s="1"/>
  <c r="FA78" i="67"/>
  <c r="GG78" i="67"/>
  <c r="W80" i="71" s="1"/>
  <c r="FA183" i="67"/>
  <c r="GG183" i="67"/>
  <c r="W196" i="71" s="1"/>
  <c r="FA42" i="67"/>
  <c r="GG42" i="67"/>
  <c r="W44" i="71" s="1"/>
  <c r="FA173" i="67"/>
  <c r="GG173" i="67"/>
  <c r="W186" i="71" s="1"/>
  <c r="FA163" i="67"/>
  <c r="GG163" i="67"/>
  <c r="W176" i="71" s="1"/>
  <c r="FA109" i="67"/>
  <c r="GG109" i="67"/>
  <c r="W113" i="71" s="1"/>
  <c r="FA108" i="67"/>
  <c r="GG108" i="67"/>
  <c r="W112" i="71" s="1"/>
  <c r="GG26" i="67"/>
  <c r="W26" i="71" s="1"/>
  <c r="FA26" i="67"/>
  <c r="FA35" i="67"/>
  <c r="GG35" i="67"/>
  <c r="W37" i="71" s="1"/>
  <c r="GG99" i="67"/>
  <c r="W103" i="71" s="1"/>
  <c r="FA99" i="67"/>
  <c r="FA76" i="67"/>
  <c r="GG76" i="67"/>
  <c r="W78" i="71" s="1"/>
  <c r="FA151" i="67"/>
  <c r="GG151" i="67"/>
  <c r="W156" i="71" s="1"/>
  <c r="FA8" i="67"/>
  <c r="GG8" i="67"/>
  <c r="FA61" i="67"/>
  <c r="GG61" i="67"/>
  <c r="W63" i="71" s="1"/>
  <c r="FA137" i="67"/>
  <c r="GG137" i="67"/>
  <c r="W141" i="71" s="1"/>
  <c r="FA135" i="67"/>
  <c r="GG135" i="67"/>
  <c r="W139" i="71" s="1"/>
  <c r="FA122" i="67"/>
  <c r="GG122" i="67"/>
  <c r="W126" i="71" s="1"/>
  <c r="FA94" i="67"/>
  <c r="GG94" i="67"/>
  <c r="W97" i="71" s="1"/>
  <c r="FA23" i="67"/>
  <c r="GG23" i="67"/>
  <c r="W23" i="71" s="1"/>
  <c r="FA118" i="67"/>
  <c r="GG118" i="67"/>
  <c r="W122" i="71" s="1"/>
  <c r="GG150" i="67"/>
  <c r="W155" i="71" s="1"/>
  <c r="FA150" i="67"/>
  <c r="FA44" i="67"/>
  <c r="GG44" i="67"/>
  <c r="W46" i="71" s="1"/>
  <c r="FA162" i="67"/>
  <c r="GG162" i="67"/>
  <c r="W168" i="71" s="1"/>
  <c r="FA40" i="67"/>
  <c r="GG40" i="67"/>
  <c r="W42" i="71" s="1"/>
  <c r="FA19" i="67"/>
  <c r="GG19" i="67"/>
  <c r="W19" i="71" s="1"/>
  <c r="FA110" i="67"/>
  <c r="GG110" i="67"/>
  <c r="W114" i="71" s="1"/>
  <c r="FA47" i="67"/>
  <c r="GG47" i="67"/>
  <c r="W49" i="71" s="1"/>
  <c r="FA38" i="67"/>
  <c r="GG38" i="67"/>
  <c r="W40" i="71" s="1"/>
  <c r="FA83" i="67"/>
  <c r="GG83" i="67"/>
  <c r="W85" i="71" s="1"/>
  <c r="FA29" i="67"/>
  <c r="GG29" i="67"/>
  <c r="W29" i="71" s="1"/>
  <c r="GG185" i="67"/>
  <c r="W201" i="71" s="1"/>
  <c r="FA185" i="67"/>
  <c r="FA130" i="67"/>
  <c r="GG130" i="67"/>
  <c r="W134" i="71" s="1"/>
  <c r="FA67" i="67"/>
  <c r="GG67" i="67"/>
  <c r="W69" i="71" s="1"/>
  <c r="FA11" i="67"/>
  <c r="GG11" i="67"/>
  <c r="W11" i="71" s="1"/>
  <c r="FA152" i="67"/>
  <c r="GG152" i="67"/>
  <c r="W157" i="71" s="1"/>
  <c r="FA55" i="67"/>
  <c r="GG55" i="67"/>
  <c r="W57" i="71" s="1"/>
  <c r="FA58" i="67"/>
  <c r="GG58" i="67"/>
  <c r="W60" i="71" s="1"/>
  <c r="FA98" i="67"/>
  <c r="GG98" i="67"/>
  <c r="W102" i="71" s="1"/>
  <c r="FA65" i="67"/>
  <c r="GG65" i="67"/>
  <c r="W67" i="71" s="1"/>
  <c r="FA50" i="67"/>
  <c r="GG50" i="67"/>
  <c r="W52" i="71" s="1"/>
  <c r="FA157" i="67"/>
  <c r="GG157" i="67"/>
  <c r="W163" i="71" s="1"/>
  <c r="FA52" i="67"/>
  <c r="GG52" i="67"/>
  <c r="W54" i="71" s="1"/>
  <c r="FA174" i="67"/>
  <c r="GG174" i="67"/>
  <c r="W187" i="71" s="1"/>
  <c r="GG166" i="67"/>
  <c r="W169" i="71" s="1"/>
  <c r="FA166" i="67"/>
  <c r="GG37" i="67"/>
  <c r="W39" i="71" s="1"/>
  <c r="FA37" i="67"/>
  <c r="FA124" i="67"/>
  <c r="GG124" i="67"/>
  <c r="W128" i="71" s="1"/>
  <c r="FA93" i="67"/>
  <c r="GG93" i="67"/>
  <c r="W96" i="71" s="1"/>
  <c r="GN208" i="67" l="1"/>
  <c r="N73" i="11"/>
  <c r="S73" i="11" s="1"/>
  <c r="N68" i="11"/>
  <c r="S64" i="11"/>
  <c r="W8" i="71"/>
  <c r="W208" i="71" s="1"/>
  <c r="GG208" i="67"/>
  <c r="FA208" i="67"/>
  <c r="N119" i="11" l="1"/>
  <c r="N120" i="11" s="1"/>
  <c r="N71" i="11"/>
  <c r="S68" i="11"/>
  <c r="M15" i="74" l="1"/>
  <c r="M21" i="74" s="1"/>
  <c r="M30" i="74" s="1"/>
  <c r="M34" i="74" s="1"/>
  <c r="M35" i="74" s="1"/>
  <c r="N33" i="74" s="1"/>
  <c r="AX81" i="49" l="1"/>
  <c r="AV81" i="49"/>
  <c r="AX74" i="49"/>
  <c r="AV74" i="49"/>
  <c r="AX181" i="49"/>
  <c r="AV181" i="49"/>
  <c r="AX51" i="49"/>
  <c r="AV51" i="49"/>
  <c r="AX21" i="49"/>
  <c r="AV21" i="49"/>
  <c r="AX12" i="49"/>
  <c r="AV12" i="49"/>
  <c r="AX158" i="49"/>
  <c r="AV158" i="49"/>
  <c r="AX149" i="49"/>
  <c r="AV149" i="49"/>
  <c r="AX131" i="49"/>
  <c r="AV131" i="49"/>
  <c r="AX82" i="49"/>
  <c r="AV82" i="49"/>
  <c r="AX48" i="49"/>
  <c r="AV48" i="49"/>
  <c r="AX34" i="49"/>
  <c r="AV34" i="49"/>
  <c r="AX20" i="49"/>
  <c r="AV20" i="49"/>
  <c r="AX106" i="49"/>
  <c r="AV106" i="49"/>
  <c r="AX9" i="49"/>
  <c r="AV9" i="49"/>
  <c r="AX164" i="49"/>
  <c r="AV164" i="49"/>
  <c r="AX148" i="49"/>
  <c r="AV148" i="49"/>
  <c r="AX130" i="49"/>
  <c r="AV130" i="49"/>
  <c r="AX94" i="49"/>
  <c r="AV94" i="49"/>
  <c r="AX75" i="49"/>
  <c r="AV75" i="49"/>
  <c r="AX46" i="49"/>
  <c r="AV46" i="49"/>
  <c r="AX32" i="49"/>
  <c r="AV32" i="49"/>
  <c r="AX15" i="49"/>
  <c r="AV15" i="49"/>
  <c r="AX61" i="49"/>
  <c r="AV61" i="49"/>
  <c r="AX177" i="49"/>
  <c r="AV177" i="49"/>
  <c r="AX179" i="49"/>
  <c r="AV179" i="49"/>
  <c r="AX163" i="49"/>
  <c r="AV163" i="49"/>
  <c r="AX147" i="49"/>
  <c r="AV147" i="49"/>
  <c r="AX125" i="49"/>
  <c r="AV125" i="49"/>
  <c r="AX92" i="49"/>
  <c r="AV92" i="49"/>
  <c r="AX72" i="49"/>
  <c r="AV72" i="49"/>
  <c r="AX45" i="49"/>
  <c r="AV45" i="49"/>
  <c r="AX14" i="49"/>
  <c r="AV14" i="49"/>
  <c r="AX165" i="49"/>
  <c r="AV165" i="49"/>
  <c r="AX145" i="49"/>
  <c r="AV145" i="49"/>
  <c r="AX133" i="49"/>
  <c r="AV133" i="49"/>
  <c r="AX112" i="49"/>
  <c r="AV112" i="49"/>
  <c r="AX171" i="49"/>
  <c r="AV171" i="49"/>
  <c r="AX49" i="49"/>
  <c r="AV49" i="49"/>
  <c r="AX168" i="49"/>
  <c r="AV168" i="49"/>
  <c r="AX206" i="49"/>
  <c r="AV206" i="49"/>
  <c r="AX202" i="49"/>
  <c r="AV202" i="49"/>
  <c r="AX111" i="49"/>
  <c r="AV111" i="49"/>
  <c r="AX162" i="49"/>
  <c r="AV162" i="49"/>
  <c r="AX143" i="49"/>
  <c r="AV143" i="49"/>
  <c r="AX127" i="49"/>
  <c r="AV127" i="49"/>
  <c r="AX107" i="49"/>
  <c r="AV107" i="49"/>
  <c r="AX170" i="49"/>
  <c r="AV170" i="49"/>
  <c r="AX169" i="49"/>
  <c r="AV169" i="49"/>
  <c r="AX155" i="49"/>
  <c r="AV155" i="49"/>
  <c r="AX124" i="49"/>
  <c r="AV124" i="49"/>
  <c r="AX195" i="49"/>
  <c r="AV195" i="49"/>
  <c r="AX191" i="49"/>
  <c r="AV191" i="49"/>
  <c r="AX93" i="49"/>
  <c r="AV93" i="49"/>
  <c r="AX77" i="49"/>
  <c r="AV77" i="49"/>
  <c r="AX183" i="49"/>
  <c r="AV183" i="49"/>
  <c r="AX160" i="49"/>
  <c r="AV160" i="49"/>
  <c r="AX142" i="49"/>
  <c r="AV142" i="49"/>
  <c r="AX126" i="49"/>
  <c r="AV126" i="49"/>
  <c r="AX66" i="49"/>
  <c r="AV66" i="49"/>
  <c r="AX43" i="49"/>
  <c r="AV43" i="49"/>
  <c r="AX18" i="49"/>
  <c r="AV18" i="49"/>
  <c r="AX205" i="49"/>
  <c r="AV205" i="49"/>
  <c r="AX200" i="49"/>
  <c r="AV200" i="49"/>
  <c r="AX108" i="49"/>
  <c r="AV108" i="49"/>
  <c r="AX88" i="49"/>
  <c r="AV88" i="49"/>
  <c r="AX186" i="49"/>
  <c r="AV186" i="49"/>
  <c r="AX182" i="49"/>
  <c r="AV182" i="49"/>
  <c r="AX56" i="49"/>
  <c r="AV56" i="49"/>
  <c r="AX28" i="49"/>
  <c r="AV28" i="49"/>
  <c r="AX10" i="49"/>
  <c r="AV10" i="49"/>
  <c r="AX174" i="49"/>
  <c r="AV174" i="49"/>
  <c r="AX121" i="49"/>
  <c r="AV121" i="49"/>
  <c r="AX101" i="49"/>
  <c r="AV101" i="49"/>
  <c r="AX63" i="49"/>
  <c r="AV63" i="49"/>
  <c r="AX41" i="49"/>
  <c r="AV41" i="49"/>
  <c r="O92" i="11"/>
  <c r="AX13" i="49"/>
  <c r="AV13" i="49"/>
  <c r="AX151" i="49"/>
  <c r="AV151" i="49"/>
  <c r="AX135" i="49"/>
  <c r="AV135" i="49"/>
  <c r="AX123" i="49"/>
  <c r="AV123" i="49"/>
  <c r="AX105" i="49"/>
  <c r="AV105" i="49"/>
  <c r="AX98" i="49"/>
  <c r="AV98" i="49"/>
  <c r="AX188" i="49"/>
  <c r="AV188" i="49"/>
  <c r="AX185" i="49"/>
  <c r="AV185" i="49"/>
  <c r="AX65" i="49"/>
  <c r="AV65" i="49"/>
  <c r="AX154" i="49"/>
  <c r="AV154" i="49"/>
  <c r="AX140" i="49"/>
  <c r="AV140" i="49"/>
  <c r="AX119" i="49"/>
  <c r="AV119" i="49"/>
  <c r="AX100" i="49"/>
  <c r="AV100" i="49"/>
  <c r="AX57" i="49"/>
  <c r="AV57" i="49"/>
  <c r="AX40" i="49"/>
  <c r="AV40" i="49"/>
  <c r="AX11" i="49"/>
  <c r="AV11" i="49"/>
  <c r="AX146" i="49"/>
  <c r="AV146" i="49"/>
  <c r="AX199" i="49"/>
  <c r="AV199" i="49"/>
  <c r="AX120" i="49"/>
  <c r="AV120" i="49"/>
  <c r="AX104" i="49"/>
  <c r="AV104" i="49"/>
  <c r="AX190" i="49"/>
  <c r="AV190" i="49"/>
  <c r="AX139" i="49"/>
  <c r="AV139" i="49"/>
  <c r="AX91" i="49"/>
  <c r="AV91" i="49"/>
  <c r="AX55" i="49"/>
  <c r="AV55" i="49"/>
  <c r="AX36" i="49"/>
  <c r="AV36" i="49"/>
  <c r="AX167" i="49"/>
  <c r="AV167" i="49"/>
  <c r="AX132" i="49"/>
  <c r="AV132" i="49"/>
  <c r="AX194" i="49"/>
  <c r="AV194" i="49"/>
  <c r="AX187" i="49"/>
  <c r="AV187" i="49"/>
  <c r="AX73" i="49"/>
  <c r="AV73" i="49"/>
  <c r="AX62" i="49"/>
  <c r="AV62" i="49"/>
  <c r="AX178" i="49"/>
  <c r="AV178" i="49"/>
  <c r="AX152" i="49"/>
  <c r="AV152" i="49"/>
  <c r="AX117" i="49"/>
  <c r="AV117" i="49"/>
  <c r="AX87" i="49"/>
  <c r="AV87" i="49"/>
  <c r="AX54" i="49"/>
  <c r="AV54" i="49"/>
  <c r="AX31" i="49"/>
  <c r="AV31" i="49"/>
  <c r="AX166" i="49"/>
  <c r="AV166" i="49"/>
  <c r="AX129" i="49"/>
  <c r="AV129" i="49"/>
  <c r="AX118" i="49"/>
  <c r="AV118" i="49"/>
  <c r="AX193" i="49"/>
  <c r="AV193" i="49"/>
  <c r="AX97" i="49"/>
  <c r="AV97" i="49"/>
  <c r="AX80" i="49"/>
  <c r="AV80" i="49"/>
  <c r="AX184" i="49"/>
  <c r="AV184" i="49"/>
  <c r="AX141" i="49"/>
  <c r="AV141" i="49"/>
  <c r="AX173" i="49"/>
  <c r="AV173" i="49"/>
  <c r="AX134" i="49"/>
  <c r="AV134" i="49"/>
  <c r="AX115" i="49"/>
  <c r="AV115" i="49"/>
  <c r="AX83" i="49"/>
  <c r="AV83" i="49"/>
  <c r="AX50" i="49"/>
  <c r="AV50" i="49"/>
  <c r="AX27" i="49"/>
  <c r="AV27" i="49"/>
  <c r="AX128" i="49"/>
  <c r="AV128" i="49"/>
  <c r="AX116" i="49"/>
  <c r="AV116" i="49"/>
  <c r="AX102" i="49"/>
  <c r="AV102" i="49"/>
  <c r="AX96" i="49"/>
  <c r="AV96" i="49"/>
  <c r="AX79" i="49"/>
  <c r="AV79" i="49"/>
  <c r="AX71" i="49"/>
  <c r="AV71" i="49"/>
  <c r="AX60" i="49"/>
  <c r="AV60" i="49"/>
  <c r="AX47" i="49"/>
  <c r="AV47" i="49"/>
  <c r="AX19" i="49"/>
  <c r="AV19" i="49"/>
  <c r="U207" i="49"/>
  <c r="AX7" i="49"/>
  <c r="AV7" i="49"/>
  <c r="AX159" i="49"/>
  <c r="AV159" i="49"/>
  <c r="AX114" i="49"/>
  <c r="AV114" i="49"/>
  <c r="AX70" i="49"/>
  <c r="AV70" i="49"/>
  <c r="AX44" i="49"/>
  <c r="AV44" i="49"/>
  <c r="AX192" i="49"/>
  <c r="AV192" i="49"/>
  <c r="AX95" i="49"/>
  <c r="AV95" i="49"/>
  <c r="AX78" i="49"/>
  <c r="AV78" i="49"/>
  <c r="AX67" i="49"/>
  <c r="AV67" i="49"/>
  <c r="AX59" i="49"/>
  <c r="AV59" i="49"/>
  <c r="AX42" i="49"/>
  <c r="AV42" i="49"/>
  <c r="AX17" i="49"/>
  <c r="AV17" i="49"/>
  <c r="AX68" i="49"/>
  <c r="AV68" i="49"/>
  <c r="AX157" i="49"/>
  <c r="AV157" i="49"/>
  <c r="AX113" i="49"/>
  <c r="AV113" i="49"/>
  <c r="AX89" i="49"/>
  <c r="AV89" i="49"/>
  <c r="AX69" i="49"/>
  <c r="AV69" i="49"/>
  <c r="AX39" i="49"/>
  <c r="AV39" i="49"/>
  <c r="AX25" i="49"/>
  <c r="AV25" i="49"/>
  <c r="AX180" i="49"/>
  <c r="AV180" i="49"/>
  <c r="AX33" i="49"/>
  <c r="AV33" i="49"/>
  <c r="AX16" i="49"/>
  <c r="AV16" i="49"/>
  <c r="AX8" i="49"/>
  <c r="AV8" i="49"/>
  <c r="AX156" i="49"/>
  <c r="AV156" i="49"/>
  <c r="AX138" i="49"/>
  <c r="AV138" i="49"/>
  <c r="AX110" i="49"/>
  <c r="AV110" i="49"/>
  <c r="AX86" i="49"/>
  <c r="AV86" i="49"/>
  <c r="AX64" i="49"/>
  <c r="AV64" i="49"/>
  <c r="AX38" i="49"/>
  <c r="AV38" i="49"/>
  <c r="AX24" i="49"/>
  <c r="AV24" i="49"/>
  <c r="AX176" i="49"/>
  <c r="AV176" i="49"/>
  <c r="AX122" i="49"/>
  <c r="AV122" i="49"/>
  <c r="AX153" i="49"/>
  <c r="AV153" i="49"/>
  <c r="AX137" i="49"/>
  <c r="AV137" i="49"/>
  <c r="AX109" i="49"/>
  <c r="AV109" i="49"/>
  <c r="AX85" i="49"/>
  <c r="AV85" i="49"/>
  <c r="AX58" i="49"/>
  <c r="AV58" i="49"/>
  <c r="AX37" i="49"/>
  <c r="AV37" i="49"/>
  <c r="AX23" i="49"/>
  <c r="AV23" i="49"/>
  <c r="AX52" i="49"/>
  <c r="AV52" i="49"/>
  <c r="AX26" i="49"/>
  <c r="AV26" i="49"/>
  <c r="AX175" i="49"/>
  <c r="AV175" i="49"/>
  <c r="AX76" i="49"/>
  <c r="AV76" i="49"/>
  <c r="AX150" i="49"/>
  <c r="AV150" i="49"/>
  <c r="AX136" i="49"/>
  <c r="AV136" i="49"/>
  <c r="AX103" i="49"/>
  <c r="AV103" i="49"/>
  <c r="AX84" i="49"/>
  <c r="AV84" i="49"/>
  <c r="AX53" i="49"/>
  <c r="AV53" i="49"/>
  <c r="AX35" i="49"/>
  <c r="AV35" i="49"/>
  <c r="AX22" i="49"/>
  <c r="AV22" i="49"/>
  <c r="AD104" i="71" l="1"/>
  <c r="AP104" i="71" s="1"/>
  <c r="BE103" i="49"/>
  <c r="AD137" i="71"/>
  <c r="AP137" i="71" s="1"/>
  <c r="BE136" i="49"/>
  <c r="AD59" i="71"/>
  <c r="AP59" i="71" s="1"/>
  <c r="BE58" i="49"/>
  <c r="BE38" i="49"/>
  <c r="AD39" i="71"/>
  <c r="AP39" i="71" s="1"/>
  <c r="BE33" i="49"/>
  <c r="AD34" i="71"/>
  <c r="AP34" i="71" s="1"/>
  <c r="BE68" i="49"/>
  <c r="AD69" i="71"/>
  <c r="AP69" i="71" s="1"/>
  <c r="BE7" i="49"/>
  <c r="AD8" i="71"/>
  <c r="AD98" i="71"/>
  <c r="AP98" i="71" s="1"/>
  <c r="BE97" i="49"/>
  <c r="AD118" i="71"/>
  <c r="AP118" i="71" s="1"/>
  <c r="BE117" i="49"/>
  <c r="BE71" i="49"/>
  <c r="AD72" i="71"/>
  <c r="AP72" i="71" s="1"/>
  <c r="AD117" i="71"/>
  <c r="AP117" i="71" s="1"/>
  <c r="BE116" i="49"/>
  <c r="BE83" i="49"/>
  <c r="AD84" i="71"/>
  <c r="AP84" i="71" s="1"/>
  <c r="AD142" i="71"/>
  <c r="AP142" i="71" s="1"/>
  <c r="BE141" i="49"/>
  <c r="AD189" i="71"/>
  <c r="AP189" i="71" s="1"/>
  <c r="BE188" i="49"/>
  <c r="AD136" i="71"/>
  <c r="AP136" i="71" s="1"/>
  <c r="BE135" i="49"/>
  <c r="AD184" i="71"/>
  <c r="AP184" i="71" s="1"/>
  <c r="BE183" i="49"/>
  <c r="BE195" i="49"/>
  <c r="AD196" i="71"/>
  <c r="AP196" i="71" s="1"/>
  <c r="BE170" i="49"/>
  <c r="AD171" i="71"/>
  <c r="AP171" i="71" s="1"/>
  <c r="BE162" i="49"/>
  <c r="AD163" i="71"/>
  <c r="AP163" i="71" s="1"/>
  <c r="BE168" i="49"/>
  <c r="AD169" i="71"/>
  <c r="AP169" i="71" s="1"/>
  <c r="BE133" i="49"/>
  <c r="AD134" i="71"/>
  <c r="AP134" i="71" s="1"/>
  <c r="BE53" i="49"/>
  <c r="AD54" i="71"/>
  <c r="AP54" i="71" s="1"/>
  <c r="AD53" i="71"/>
  <c r="AP53" i="71" s="1"/>
  <c r="BE52" i="49"/>
  <c r="AD123" i="71"/>
  <c r="AP123" i="71" s="1"/>
  <c r="BE122" i="49"/>
  <c r="BE156" i="49"/>
  <c r="AD157" i="71"/>
  <c r="AP157" i="71" s="1"/>
  <c r="AD90" i="71"/>
  <c r="AP90" i="71" s="1"/>
  <c r="BE89" i="49"/>
  <c r="BE78" i="49"/>
  <c r="AD79" i="71"/>
  <c r="AP79" i="71" s="1"/>
  <c r="BE31" i="49"/>
  <c r="AD32" i="71"/>
  <c r="AP32" i="71" s="1"/>
  <c r="AD153" i="71"/>
  <c r="AP153" i="71" s="1"/>
  <c r="BE152" i="49"/>
  <c r="BE73" i="49"/>
  <c r="AD74" i="71"/>
  <c r="AP74" i="71" s="1"/>
  <c r="BE167" i="49"/>
  <c r="AD168" i="71"/>
  <c r="AP168" i="71" s="1"/>
  <c r="AD140" i="71"/>
  <c r="AP140" i="71" s="1"/>
  <c r="BE139" i="49"/>
  <c r="AD200" i="71"/>
  <c r="AP200" i="71" s="1"/>
  <c r="BE199" i="49"/>
  <c r="AD58" i="71"/>
  <c r="AP58" i="71" s="1"/>
  <c r="BE57" i="49"/>
  <c r="BE154" i="49"/>
  <c r="AD155" i="71"/>
  <c r="AP155" i="71" s="1"/>
  <c r="BE63" i="49"/>
  <c r="AD64" i="71"/>
  <c r="AP64" i="71" s="1"/>
  <c r="BE10" i="49"/>
  <c r="AD11" i="71"/>
  <c r="AP11" i="71" s="1"/>
  <c r="BE186" i="49"/>
  <c r="AD187" i="71"/>
  <c r="AP187" i="71" s="1"/>
  <c r="BE205" i="49"/>
  <c r="AD206" i="71"/>
  <c r="AP206" i="71" s="1"/>
  <c r="AD127" i="71"/>
  <c r="AP127" i="71" s="1"/>
  <c r="BE126" i="49"/>
  <c r="BE45" i="49"/>
  <c r="AD46" i="71"/>
  <c r="AP46" i="71" s="1"/>
  <c r="AD148" i="71"/>
  <c r="AP148" i="71" s="1"/>
  <c r="BE147" i="49"/>
  <c r="AD62" i="71"/>
  <c r="AP62" i="71" s="1"/>
  <c r="BE61" i="49"/>
  <c r="BE75" i="49"/>
  <c r="AD76" i="71"/>
  <c r="AP76" i="71" s="1"/>
  <c r="AD165" i="71"/>
  <c r="AP165" i="71" s="1"/>
  <c r="BE164" i="49"/>
  <c r="AD35" i="71"/>
  <c r="AP35" i="71" s="1"/>
  <c r="BE34" i="49"/>
  <c r="BE149" i="49"/>
  <c r="AD150" i="71"/>
  <c r="AP150" i="71" s="1"/>
  <c r="BE51" i="49"/>
  <c r="AD52" i="71"/>
  <c r="AP52" i="71" s="1"/>
  <c r="BE175" i="49"/>
  <c r="AD176" i="71"/>
  <c r="AP176" i="71" s="1"/>
  <c r="AD151" i="71"/>
  <c r="AP151" i="71" s="1"/>
  <c r="BE150" i="49"/>
  <c r="AD86" i="71"/>
  <c r="AP86" i="71" s="1"/>
  <c r="BE85" i="49"/>
  <c r="AD65" i="71"/>
  <c r="AP65" i="71" s="1"/>
  <c r="BE64" i="49"/>
  <c r="AD181" i="71"/>
  <c r="AP181" i="71" s="1"/>
  <c r="BE180" i="49"/>
  <c r="AD18" i="71"/>
  <c r="AP18" i="71" s="1"/>
  <c r="BE17" i="49"/>
  <c r="AD71" i="71"/>
  <c r="AP71" i="71" s="1"/>
  <c r="AX207" i="49"/>
  <c r="BE70" i="49"/>
  <c r="BE193" i="49"/>
  <c r="AD194" i="71"/>
  <c r="AP194" i="71" s="1"/>
  <c r="AD20" i="71"/>
  <c r="AP20" i="71" s="1"/>
  <c r="BE19" i="49"/>
  <c r="BE79" i="49"/>
  <c r="AD80" i="71"/>
  <c r="AP80" i="71" s="1"/>
  <c r="AD129" i="71"/>
  <c r="AP129" i="71" s="1"/>
  <c r="BE128" i="49"/>
  <c r="BE115" i="49"/>
  <c r="AD116" i="71"/>
  <c r="AP116" i="71" s="1"/>
  <c r="BE98" i="49"/>
  <c r="AD99" i="71"/>
  <c r="AP99" i="71" s="1"/>
  <c r="BE151" i="49"/>
  <c r="AD152" i="71"/>
  <c r="AP152" i="71" s="1"/>
  <c r="BE77" i="49"/>
  <c r="AD78" i="71"/>
  <c r="AP78" i="71" s="1"/>
  <c r="BE124" i="49"/>
  <c r="AD125" i="71"/>
  <c r="AP125" i="71" s="1"/>
  <c r="BE107" i="49"/>
  <c r="AD108" i="71"/>
  <c r="AP108" i="71" s="1"/>
  <c r="BE111" i="49"/>
  <c r="AD112" i="71"/>
  <c r="AP112" i="71" s="1"/>
  <c r="BE49" i="49"/>
  <c r="AD50" i="71"/>
  <c r="AP50" i="71" s="1"/>
  <c r="AD146" i="71"/>
  <c r="AP146" i="71" s="1"/>
  <c r="BE145" i="49"/>
  <c r="BE22" i="49"/>
  <c r="AD23" i="71"/>
  <c r="AP23" i="71" s="1"/>
  <c r="AD77" i="71"/>
  <c r="AP77" i="71" s="1"/>
  <c r="BE76" i="49"/>
  <c r="AD110" i="71"/>
  <c r="AP110" i="71" s="1"/>
  <c r="BE109" i="49"/>
  <c r="AD87" i="71"/>
  <c r="AP87" i="71" s="1"/>
  <c r="BE86" i="49"/>
  <c r="BE25" i="49"/>
  <c r="AD26" i="71"/>
  <c r="AP26" i="71" s="1"/>
  <c r="AD43" i="71"/>
  <c r="AP43" i="71" s="1"/>
  <c r="BE42" i="49"/>
  <c r="AD115" i="71"/>
  <c r="AP115" i="71" s="1"/>
  <c r="BE114" i="49"/>
  <c r="AD119" i="71"/>
  <c r="AP119" i="71" s="1"/>
  <c r="BE118" i="49"/>
  <c r="BE187" i="49"/>
  <c r="AD188" i="71"/>
  <c r="AP188" i="71" s="1"/>
  <c r="BE36" i="49"/>
  <c r="AD37" i="71"/>
  <c r="AP37" i="71" s="1"/>
  <c r="BE190" i="49"/>
  <c r="AD191" i="71"/>
  <c r="AP191" i="71" s="1"/>
  <c r="AD147" i="71"/>
  <c r="AP147" i="71" s="1"/>
  <c r="BE146" i="49"/>
  <c r="BE100" i="49"/>
  <c r="AD101" i="71"/>
  <c r="AP101" i="71" s="1"/>
  <c r="BE101" i="49"/>
  <c r="AD102" i="71"/>
  <c r="AP102" i="71" s="1"/>
  <c r="BE28" i="49"/>
  <c r="AD29" i="71"/>
  <c r="AP29" i="71" s="1"/>
  <c r="BE88" i="49"/>
  <c r="AD89" i="71"/>
  <c r="AP89" i="71" s="1"/>
  <c r="BE18" i="49"/>
  <c r="AD19" i="71"/>
  <c r="AP19" i="71" s="1"/>
  <c r="AD143" i="71"/>
  <c r="AP143" i="71" s="1"/>
  <c r="BE142" i="49"/>
  <c r="AD73" i="71"/>
  <c r="AP73" i="71" s="1"/>
  <c r="BE72" i="49"/>
  <c r="AD164" i="71"/>
  <c r="AP164" i="71" s="1"/>
  <c r="BE163" i="49"/>
  <c r="AD16" i="71"/>
  <c r="AP16" i="71" s="1"/>
  <c r="BE15" i="49"/>
  <c r="AD95" i="71"/>
  <c r="AP95" i="71" s="1"/>
  <c r="BE94" i="49"/>
  <c r="AD10" i="71"/>
  <c r="AP10" i="71" s="1"/>
  <c r="BE9" i="49"/>
  <c r="BE48" i="49"/>
  <c r="AD49" i="71"/>
  <c r="AP49" i="71" s="1"/>
  <c r="BE158" i="49"/>
  <c r="AD159" i="71"/>
  <c r="AP159" i="71" s="1"/>
  <c r="AD182" i="71"/>
  <c r="AP182" i="71" s="1"/>
  <c r="BE181" i="49"/>
  <c r="BE84" i="49"/>
  <c r="AD85" i="71"/>
  <c r="AP85" i="71" s="1"/>
  <c r="AD24" i="71"/>
  <c r="AP24" i="71" s="1"/>
  <c r="BE23" i="49"/>
  <c r="BE176" i="49"/>
  <c r="AD177" i="71"/>
  <c r="AP177" i="71" s="1"/>
  <c r="AD9" i="71"/>
  <c r="AP9" i="71" s="1"/>
  <c r="BE8" i="49"/>
  <c r="BE113" i="49"/>
  <c r="AD114" i="71"/>
  <c r="AP114" i="71" s="1"/>
  <c r="BE95" i="49"/>
  <c r="AD96" i="71"/>
  <c r="AP96" i="71" s="1"/>
  <c r="AD185" i="71"/>
  <c r="AP185" i="71" s="1"/>
  <c r="BE184" i="49"/>
  <c r="AD55" i="71"/>
  <c r="AP55" i="71" s="1"/>
  <c r="BE54" i="49"/>
  <c r="AD48" i="71"/>
  <c r="AP48" i="71" s="1"/>
  <c r="BE47" i="49"/>
  <c r="BE96" i="49"/>
  <c r="AD97" i="71"/>
  <c r="AP97" i="71" s="1"/>
  <c r="AD28" i="71"/>
  <c r="AP28" i="71" s="1"/>
  <c r="BE27" i="49"/>
  <c r="AD135" i="71"/>
  <c r="AP135" i="71" s="1"/>
  <c r="BE134" i="49"/>
  <c r="AD66" i="71"/>
  <c r="AP66" i="71" s="1"/>
  <c r="BE65" i="49"/>
  <c r="BE105" i="49"/>
  <c r="AD106" i="71"/>
  <c r="AP106" i="71" s="1"/>
  <c r="BE13" i="49"/>
  <c r="AD14" i="71"/>
  <c r="AP14" i="71" s="1"/>
  <c r="AD94" i="71"/>
  <c r="AP94" i="71" s="1"/>
  <c r="BE93" i="49"/>
  <c r="BE155" i="49"/>
  <c r="AD156" i="71"/>
  <c r="AP156" i="71" s="1"/>
  <c r="BE127" i="49"/>
  <c r="AD128" i="71"/>
  <c r="AP128" i="71" s="1"/>
  <c r="BE202" i="49"/>
  <c r="AD203" i="71"/>
  <c r="AP203" i="71" s="1"/>
  <c r="AD172" i="71"/>
  <c r="AP172" i="71" s="1"/>
  <c r="BE171" i="49"/>
  <c r="AD166" i="71"/>
  <c r="AP166" i="71" s="1"/>
  <c r="BE165" i="49"/>
  <c r="AD138" i="71"/>
  <c r="AP138" i="71" s="1"/>
  <c r="BE137" i="49"/>
  <c r="AD111" i="71"/>
  <c r="AP111" i="71" s="1"/>
  <c r="BE110" i="49"/>
  <c r="AD17" i="71"/>
  <c r="AP17" i="71" s="1"/>
  <c r="BE16" i="49"/>
  <c r="AD158" i="71"/>
  <c r="AP158" i="71" s="1"/>
  <c r="BE157" i="49"/>
  <c r="AD193" i="71"/>
  <c r="AP193" i="71" s="1"/>
  <c r="BE192" i="49"/>
  <c r="AD130" i="71"/>
  <c r="AP130" i="71" s="1"/>
  <c r="BE129" i="49"/>
  <c r="AD179" i="71"/>
  <c r="AP179" i="71" s="1"/>
  <c r="BE178" i="49"/>
  <c r="BE194" i="49"/>
  <c r="AD195" i="71"/>
  <c r="AP195" i="71" s="1"/>
  <c r="AD105" i="71"/>
  <c r="AP105" i="71" s="1"/>
  <c r="BE104" i="49"/>
  <c r="AD12" i="71"/>
  <c r="AP12" i="71" s="1"/>
  <c r="BE11" i="49"/>
  <c r="AD120" i="71"/>
  <c r="AP120" i="71" s="1"/>
  <c r="BE119" i="49"/>
  <c r="O118" i="11"/>
  <c r="S92" i="11"/>
  <c r="Q92" i="11"/>
  <c r="BE121" i="49"/>
  <c r="AD122" i="71"/>
  <c r="AP122" i="71" s="1"/>
  <c r="BE56" i="49"/>
  <c r="AD57" i="71"/>
  <c r="AP57" i="71" s="1"/>
  <c r="BE108" i="49"/>
  <c r="AD109" i="71"/>
  <c r="AP109" i="71" s="1"/>
  <c r="BE43" i="49"/>
  <c r="AD44" i="71"/>
  <c r="AP44" i="71" s="1"/>
  <c r="AD161" i="71"/>
  <c r="AP161" i="71" s="1"/>
  <c r="BE160" i="49"/>
  <c r="AD93" i="71"/>
  <c r="AP93" i="71" s="1"/>
  <c r="BE92" i="49"/>
  <c r="BE179" i="49"/>
  <c r="AD180" i="71"/>
  <c r="AP180" i="71" s="1"/>
  <c r="AD33" i="71"/>
  <c r="AP33" i="71" s="1"/>
  <c r="BE32" i="49"/>
  <c r="BE130" i="49"/>
  <c r="AD131" i="71"/>
  <c r="AP131" i="71" s="1"/>
  <c r="AD107" i="71"/>
  <c r="AP107" i="71" s="1"/>
  <c r="BE106" i="49"/>
  <c r="AD83" i="71"/>
  <c r="AP83" i="71" s="1"/>
  <c r="BE82" i="49"/>
  <c r="BE12" i="49"/>
  <c r="AD13" i="71"/>
  <c r="AP13" i="71" s="1"/>
  <c r="BE74" i="49"/>
  <c r="AD75" i="71"/>
  <c r="AP75" i="71" s="1"/>
  <c r="BE37" i="49"/>
  <c r="AD38" i="71"/>
  <c r="AP38" i="71" s="1"/>
  <c r="AD25" i="71"/>
  <c r="AP25" i="71" s="1"/>
  <c r="BE24" i="49"/>
  <c r="BE39" i="49"/>
  <c r="AD40" i="71"/>
  <c r="AP40" i="71" s="1"/>
  <c r="BE59" i="49"/>
  <c r="AD60" i="71"/>
  <c r="AP60" i="71" s="1"/>
  <c r="BE159" i="49"/>
  <c r="AD160" i="71"/>
  <c r="AP160" i="71" s="1"/>
  <c r="AD81" i="71"/>
  <c r="AP81" i="71" s="1"/>
  <c r="BE80" i="49"/>
  <c r="AD88" i="71"/>
  <c r="AP88" i="71" s="1"/>
  <c r="BE87" i="49"/>
  <c r="AD56" i="71"/>
  <c r="AP56" i="71" s="1"/>
  <c r="BE55" i="49"/>
  <c r="AV207" i="49"/>
  <c r="BE60" i="49"/>
  <c r="AD61" i="71"/>
  <c r="AP61" i="71" s="1"/>
  <c r="BE102" i="49"/>
  <c r="AD103" i="71"/>
  <c r="AP103" i="71" s="1"/>
  <c r="AD51" i="71"/>
  <c r="AP51" i="71" s="1"/>
  <c r="BE50" i="49"/>
  <c r="BE173" i="49"/>
  <c r="AD174" i="71"/>
  <c r="AP174" i="71" s="1"/>
  <c r="BE185" i="49"/>
  <c r="AD186" i="71"/>
  <c r="AP186" i="71" s="1"/>
  <c r="BE123" i="49"/>
  <c r="AD124" i="71"/>
  <c r="AP124" i="71" s="1"/>
  <c r="AD192" i="71"/>
  <c r="AP192" i="71" s="1"/>
  <c r="BE191" i="49"/>
  <c r="AD170" i="71"/>
  <c r="AP170" i="71" s="1"/>
  <c r="BE169" i="49"/>
  <c r="AD144" i="71"/>
  <c r="AP144" i="71" s="1"/>
  <c r="BE143" i="49"/>
  <c r="AD207" i="71"/>
  <c r="AP207" i="71" s="1"/>
  <c r="BE206" i="49"/>
  <c r="BE112" i="49"/>
  <c r="AD113" i="71"/>
  <c r="AP113" i="71" s="1"/>
  <c r="AD36" i="71"/>
  <c r="AP36" i="71" s="1"/>
  <c r="BE35" i="49"/>
  <c r="AD27" i="71"/>
  <c r="AP27" i="71" s="1"/>
  <c r="BE26" i="49"/>
  <c r="BE153" i="49"/>
  <c r="AD154" i="71"/>
  <c r="AP154" i="71" s="1"/>
  <c r="BE138" i="49"/>
  <c r="AD139" i="71"/>
  <c r="AP139" i="71" s="1"/>
  <c r="AD70" i="71"/>
  <c r="AP70" i="71" s="1"/>
  <c r="BE69" i="49"/>
  <c r="BE67" i="49"/>
  <c r="AD68" i="71"/>
  <c r="AP68" i="71" s="1"/>
  <c r="AD45" i="71"/>
  <c r="AP45" i="71" s="1"/>
  <c r="BE44" i="49"/>
  <c r="BE166" i="49"/>
  <c r="AD167" i="71"/>
  <c r="AP167" i="71" s="1"/>
  <c r="BE62" i="49"/>
  <c r="AD63" i="71"/>
  <c r="AP63" i="71" s="1"/>
  <c r="AD133" i="71"/>
  <c r="AP133" i="71" s="1"/>
  <c r="BE132" i="49"/>
  <c r="AD92" i="71"/>
  <c r="AP92" i="71" s="1"/>
  <c r="BE91" i="49"/>
  <c r="AD121" i="71"/>
  <c r="AP121" i="71" s="1"/>
  <c r="BE120" i="49"/>
  <c r="AD41" i="71"/>
  <c r="AP41" i="71" s="1"/>
  <c r="BE40" i="49"/>
  <c r="BE140" i="49"/>
  <c r="AD141" i="71"/>
  <c r="AP141" i="71" s="1"/>
  <c r="BE41" i="49"/>
  <c r="AD42" i="71"/>
  <c r="AP42" i="71" s="1"/>
  <c r="AD175" i="71"/>
  <c r="AP175" i="71" s="1"/>
  <c r="BE174" i="49"/>
  <c r="AD183" i="71"/>
  <c r="AP183" i="71" s="1"/>
  <c r="BE182" i="49"/>
  <c r="BE200" i="49"/>
  <c r="AD201" i="71"/>
  <c r="AP201" i="71" s="1"/>
  <c r="BE66" i="49"/>
  <c r="AD67" i="71"/>
  <c r="AP67" i="71" s="1"/>
  <c r="BE14" i="49"/>
  <c r="AD15" i="71"/>
  <c r="AP15" i="71" s="1"/>
  <c r="BE125" i="49"/>
  <c r="AD126" i="71"/>
  <c r="AP126" i="71" s="1"/>
  <c r="AD178" i="71"/>
  <c r="AP178" i="71" s="1"/>
  <c r="BE177" i="49"/>
  <c r="AD47" i="71"/>
  <c r="AP47" i="71" s="1"/>
  <c r="BE46" i="49"/>
  <c r="BE148" i="49"/>
  <c r="AD149" i="71"/>
  <c r="AP149" i="71" s="1"/>
  <c r="AD21" i="71"/>
  <c r="AP21" i="71" s="1"/>
  <c r="BE20" i="49"/>
  <c r="AD132" i="71"/>
  <c r="AP132" i="71" s="1"/>
  <c r="BE131" i="49"/>
  <c r="BE21" i="49"/>
  <c r="AD22" i="71"/>
  <c r="AP22" i="71" s="1"/>
  <c r="AD82" i="71"/>
  <c r="AP82" i="71" s="1"/>
  <c r="BE81" i="49"/>
  <c r="BE207" i="49" l="1"/>
  <c r="AP8" i="71"/>
  <c r="AD208" i="71"/>
  <c r="Q118" i="11"/>
  <c r="Q119" i="11" s="1"/>
  <c r="Q120" i="11" s="1"/>
  <c r="E136" i="11"/>
  <c r="AP208" i="71"/>
  <c r="O119" i="11"/>
  <c r="S118" i="11"/>
  <c r="O120" i="11" l="1"/>
  <c r="S120" i="11" s="1"/>
  <c r="N15" i="74"/>
  <c r="N21" i="74" s="1"/>
  <c r="N30" i="74" s="1"/>
  <c r="N34" i="74" s="1"/>
  <c r="N35" i="74" s="1"/>
  <c r="O33" i="74" s="1"/>
  <c r="O35" i="74" s="1"/>
  <c r="S119" i="11"/>
  <c r="E151" i="11"/>
  <c r="J15" i="77"/>
  <c r="L15" i="77" l="1"/>
  <c r="L30" i="77" s="1"/>
  <c r="L71" i="77" s="1"/>
  <c r="L73" i="77" s="1"/>
  <c r="S15" i="77"/>
  <c r="J30" i="77"/>
  <c r="J71" i="77" s="1"/>
  <c r="J73" i="77" s="1"/>
  <c r="J119" i="77" s="1"/>
  <c r="J124" i="77" l="1"/>
  <c r="L119" i="77"/>
  <c r="L124" i="77" s="1"/>
  <c r="S30" i="77"/>
  <c r="U15" i="77" s="1"/>
  <c r="T15" i="77"/>
  <c r="U28" i="77" l="1"/>
  <c r="S71" i="77"/>
  <c r="S73" i="77" s="1"/>
  <c r="S119" i="77" s="1"/>
  <c r="U26" i="77"/>
  <c r="F202" i="77"/>
  <c r="F204" i="77" s="1"/>
  <c r="F207" i="77" s="1"/>
  <c r="F211" i="77" s="1"/>
  <c r="F215" i="77" s="1"/>
  <c r="F219" i="77" s="1"/>
  <c r="U22" i="77"/>
  <c r="U29" i="77"/>
  <c r="U25" i="77"/>
  <c r="U17" i="77"/>
  <c r="U18" i="77"/>
  <c r="U21" i="77"/>
  <c r="U23" i="77"/>
  <c r="U16" i="77"/>
  <c r="U27" i="77"/>
  <c r="U19" i="77"/>
  <c r="U20" i="77"/>
  <c r="U24" i="77"/>
  <c r="S124" i="77" l="1"/>
  <c r="S172" i="77" s="1"/>
  <c r="T119" i="77"/>
  <c r="U119" i="7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tc={075B6038-B23D-483A-8475-1BE460B0FC36}</author>
  </authors>
  <commentList>
    <comment ref="N89" authorId="0" shapeId="0" xr:uid="{075B6038-B23D-483A-8475-1BE460B0FC36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to Academy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tc={6E4B683B-7730-4597-9ECE-856420DB06DA}</author>
    <author>tc={29C5C67B-F2C1-4A7F-8C65-0F6253739000}</author>
  </authors>
  <commentList>
    <comment ref="M159" authorId="0" shapeId="0" xr:uid="{6E4B683B-7730-4597-9ECE-856420DB06D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Do not raise invoice - school has converted to academy. Needs to be included in final balance calculation. </t>
      </text>
    </comment>
    <comment ref="M187" authorId="1" shapeId="0" xr:uid="{29C5C67B-F2C1-4A7F-8C65-0F625373900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Do not raise invoice - school has converted to academy. Needs to be included in final balance calculation. 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tc={5D546243-3F4B-4EE7-826C-933D75525B08}</author>
  </authors>
  <commentList>
    <comment ref="BC153" authorId="0" shapeId="0" xr:uid="{5D546243-3F4B-4EE7-826C-933D75525B08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direct to academy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tc={46B81910-8C1F-48AE-9E86-7C7F2EDC8A14}</author>
    <author>tc={619E54DE-CAA8-417C-A6F8-136704DB38BB}</author>
    <author>tc={B40ED99A-303D-497F-84B6-D58176A6F6F1}</author>
    <author>tc={4BA1BC9C-7AD3-44ED-9220-739F7A5BD03A}</author>
  </authors>
  <commentList>
    <comment ref="AH6" authorId="0" shapeId="0" xr:uid="{46B81910-8C1F-48AE-9E86-7C7F2EDC8A14}">
      <text>
        <t>[Threaded comment]
Your version of Excel allows you to read this threaded comment; however, any edits to it will get removed if the file is opened in a newer version of Excel. Learn more: https://go.microsoft.com/fwlink/?linkid=870924
Comment:
    Spring Term Exclusions</t>
      </text>
    </comment>
    <comment ref="Z61" authorId="1" shapeId="0" xr:uid="{619E54DE-CAA8-417C-A6F8-136704DB38BB}">
      <text>
        <t>[Threaded comment]
Your version of Excel allows you to read this threaded comment; however, any edits to it will get removed if the file is opened in a newer version of Excel. Learn more: https://go.microsoft.com/fwlink/?linkid=870924
Comment:
    Reimbursement of Redundancy Costs</t>
      </text>
    </comment>
    <comment ref="Z96" authorId="2" shapeId="0" xr:uid="{B40ED99A-303D-497F-84B6-D58176A6F6F1}">
      <text>
        <t>[Threaded comment]
Your version of Excel allows you to read this threaded comment; however, any edits to it will get removed if the file is opened in a newer version of Excel. Learn more: https://go.microsoft.com/fwlink/?linkid=870924
Comment:
    Court Injunction</t>
      </text>
    </comment>
    <comment ref="Y111" authorId="3" shapeId="0" xr:uid="{4BA1BC9C-7AD3-44ED-9220-739F7A5BD03A}">
      <text>
        <t>[Threaded comment]
Your version of Excel allows you to read this threaded comment; however, any edits to it will get removed if the file is opened in a newer version of Excel. Learn more: https://go.microsoft.com/fwlink/?linkid=870924
Comment:
    Remaining 3/12 to be added in 26/27 cash sheet
Reply:
    Energy costs</t>
      </text>
    </comment>
  </commentList>
</comments>
</file>

<file path=xl/sharedStrings.xml><?xml version="1.0" encoding="utf-8"?>
<sst xmlns="http://schemas.openxmlformats.org/spreadsheetml/2006/main" count="10126" uniqueCount="1248">
  <si>
    <t>2025/26 Control Check and Total CFR</t>
  </si>
  <si>
    <t>MONTHLY INSTALMENT CONTROL</t>
  </si>
  <si>
    <t>School Budget Share</t>
  </si>
  <si>
    <t>Early Years</t>
  </si>
  <si>
    <t>High Needs</t>
  </si>
  <si>
    <t>Post 16</t>
  </si>
  <si>
    <t>Deductions</t>
  </si>
  <si>
    <t>ALL SHOULD BE NIL</t>
  </si>
  <si>
    <t>Schools block budget share (before de-delegation)</t>
  </si>
  <si>
    <t>De-delegation</t>
  </si>
  <si>
    <t>NNDR</t>
  </si>
  <si>
    <t>Indicative Early Years Funding*</t>
  </si>
  <si>
    <t>Early Years DAF</t>
  </si>
  <si>
    <t>Sixth Form Funding</t>
  </si>
  <si>
    <t>Insurance</t>
  </si>
  <si>
    <t>DfE #</t>
  </si>
  <si>
    <t>URN</t>
  </si>
  <si>
    <t>Cost centre</t>
  </si>
  <si>
    <t>School</t>
  </si>
  <si>
    <t>Phase</t>
  </si>
  <si>
    <t>School Type</t>
  </si>
  <si>
    <t>I01</t>
  </si>
  <si>
    <t>E27</t>
  </si>
  <si>
    <t>E17</t>
  </si>
  <si>
    <t>I03</t>
  </si>
  <si>
    <t>I02</t>
  </si>
  <si>
    <t>E23</t>
  </si>
  <si>
    <t>AX001</t>
  </si>
  <si>
    <t>Adderley Nursery School</t>
  </si>
  <si>
    <t>Nursery</t>
  </si>
  <si>
    <t>AX085</t>
  </si>
  <si>
    <t>Adderley Primary School</t>
  </si>
  <si>
    <t>Primary</t>
  </si>
  <si>
    <t>AX002</t>
  </si>
  <si>
    <t>Al-Furqan Primary School</t>
  </si>
  <si>
    <t>AX087</t>
  </si>
  <si>
    <t>Allens Croft Nursery School</t>
  </si>
  <si>
    <t>AX004</t>
  </si>
  <si>
    <t>Allens Croft Primary School</t>
  </si>
  <si>
    <t>AX006</t>
  </si>
  <si>
    <t>Anderton Park Primary School</t>
  </si>
  <si>
    <t>AX007</t>
  </si>
  <si>
    <t>Anglesey Primary School</t>
  </si>
  <si>
    <t>AX008</t>
  </si>
  <si>
    <t>Arden Primary School</t>
  </si>
  <si>
    <t>AX00E</t>
  </si>
  <si>
    <t>Baskerville School</t>
  </si>
  <si>
    <t>Special</t>
  </si>
  <si>
    <t>AX04L</t>
  </si>
  <si>
    <t>Beeches Infant School</t>
  </si>
  <si>
    <t>AX04M</t>
  </si>
  <si>
    <t>Beeches Junior School</t>
  </si>
  <si>
    <t>AX00G</t>
  </si>
  <si>
    <t>Bellfield Infant School (NC)</t>
  </si>
  <si>
    <t>AX00H</t>
  </si>
  <si>
    <t>Bellfield Junior School</t>
  </si>
  <si>
    <t>AX08C</t>
  </si>
  <si>
    <t>Bishop Challoner Catholic College</t>
  </si>
  <si>
    <t>Secondary</t>
  </si>
  <si>
    <t>AX00R</t>
  </si>
  <si>
    <t>Bloomsbury Nursery School</t>
  </si>
  <si>
    <t>AX08G</t>
  </si>
  <si>
    <t>Boldmere Infant School and Nursery</t>
  </si>
  <si>
    <t>AX00T</t>
  </si>
  <si>
    <t>Boldmere Junior School</t>
  </si>
  <si>
    <t>AX08J</t>
  </si>
  <si>
    <t>Bordesley Green Girls' School &amp; Sixth Form</t>
  </si>
  <si>
    <t>AX08H</t>
  </si>
  <si>
    <t>Bordesley Green Primary School</t>
  </si>
  <si>
    <t>AX00X</t>
  </si>
  <si>
    <t>Bournville Village Primary</t>
  </si>
  <si>
    <t>AX00Y</t>
  </si>
  <si>
    <t>Braidwood School for the Deaf</t>
  </si>
  <si>
    <t>AX00Z</t>
  </si>
  <si>
    <t>Brearley Nursery School</t>
  </si>
  <si>
    <t>AX08N</t>
  </si>
  <si>
    <t>Broadmeadow Infant School</t>
  </si>
  <si>
    <t>AX010</t>
  </si>
  <si>
    <t>Broadmeadow Junior School</t>
  </si>
  <si>
    <t>AX013</t>
  </si>
  <si>
    <t>Calshot Primary School</t>
  </si>
  <si>
    <t>AX08U</t>
  </si>
  <si>
    <t>Cardinal Wiseman Catholic School</t>
  </si>
  <si>
    <t>AX014</t>
  </si>
  <si>
    <t>Castle Vale Nursery School</t>
  </si>
  <si>
    <t>AX015</t>
  </si>
  <si>
    <t>Chad Vale Primary School</t>
  </si>
  <si>
    <t>AX017</t>
  </si>
  <si>
    <t>Cherry Oak School</t>
  </si>
  <si>
    <t>AX018</t>
  </si>
  <si>
    <t>Cherry Orchard Primary School</t>
  </si>
  <si>
    <t>AX08W</t>
  </si>
  <si>
    <t>Chilcote Primary School</t>
  </si>
  <si>
    <t>AX01A</t>
  </si>
  <si>
    <t>Christ Church CofE Controlled Primary School and Nursery</t>
  </si>
  <si>
    <t>AX019</t>
  </si>
  <si>
    <t>Christ The King Catholic Primary School</t>
  </si>
  <si>
    <t>AX073</t>
  </si>
  <si>
    <t>City of Birmingham School</t>
  </si>
  <si>
    <t>Pupil referral unit</t>
  </si>
  <si>
    <t>AX01B</t>
  </si>
  <si>
    <t>Clifton Primary School</t>
  </si>
  <si>
    <t>AX01D</t>
  </si>
  <si>
    <t>Cofton Primary School</t>
  </si>
  <si>
    <t>AX01E</t>
  </si>
  <si>
    <t>Colebourne Primary School</t>
  </si>
  <si>
    <t>AX091</t>
  </si>
  <si>
    <t>Colmers School and Sixth Form College</t>
  </si>
  <si>
    <t>AX092</t>
  </si>
  <si>
    <t>Colmore Infant and Nursery School</t>
  </si>
  <si>
    <t>AX093</t>
  </si>
  <si>
    <t>Colmore Junior School</t>
  </si>
  <si>
    <t>AX01H</t>
  </si>
  <si>
    <t>Corpus Christi Catholic Primary School</t>
  </si>
  <si>
    <t>AX01J</t>
  </si>
  <si>
    <t>Cotteridge Primary School</t>
  </si>
  <si>
    <t>AX01R</t>
  </si>
  <si>
    <t>Elms Farm Community Primary School</t>
  </si>
  <si>
    <t>AX01T</t>
  </si>
  <si>
    <t>English Martyrs' Catholic Primary School</t>
  </si>
  <si>
    <t>AX01X</t>
  </si>
  <si>
    <t>Featherstone Nursery School</t>
  </si>
  <si>
    <t>AX01W</t>
  </si>
  <si>
    <t>Featherstone Primary School</t>
  </si>
  <si>
    <t>AX01Z</t>
  </si>
  <si>
    <t>Forestdale Primary School</t>
  </si>
  <si>
    <t>AX020</t>
  </si>
  <si>
    <t>Four Oaks Primary School</t>
  </si>
  <si>
    <t>AX021</t>
  </si>
  <si>
    <t>Fox Hollies School</t>
  </si>
  <si>
    <t>AX023</t>
  </si>
  <si>
    <t>Garretts Green Nursery School</t>
  </si>
  <si>
    <t>AX026</t>
  </si>
  <si>
    <t>Gilbertstone Primary School</t>
  </si>
  <si>
    <t>AX027</t>
  </si>
  <si>
    <t>Glenmead Primary School</t>
  </si>
  <si>
    <t>AX028</t>
  </si>
  <si>
    <t>Goodway Nursery School</t>
  </si>
  <si>
    <t>AX029</t>
  </si>
  <si>
    <t>Gracelands Nursery School</t>
  </si>
  <si>
    <t>AX02C</t>
  </si>
  <si>
    <t>Grendon Primary School</t>
  </si>
  <si>
    <t>AX02D</t>
  </si>
  <si>
    <t>Grove School</t>
  </si>
  <si>
    <t>AX02G</t>
  </si>
  <si>
    <t>Hall Green Infant School</t>
  </si>
  <si>
    <t>AX02H</t>
  </si>
  <si>
    <t>Hall Green Junior School</t>
  </si>
  <si>
    <t>AX02K</t>
  </si>
  <si>
    <t>Hamilton School</t>
  </si>
  <si>
    <t>AX02M</t>
  </si>
  <si>
    <t>Hawthorn Primary School</t>
  </si>
  <si>
    <t>AX02P</t>
  </si>
  <si>
    <t>Highfield Nursery School</t>
  </si>
  <si>
    <t>AX02R</t>
  </si>
  <si>
    <t>Highters Heath Nursery School</t>
  </si>
  <si>
    <t>AX0A1</t>
  </si>
  <si>
    <t>Hodge Hill College</t>
  </si>
  <si>
    <t>AX0A2</t>
  </si>
  <si>
    <t>Hodge Hill Girls' School</t>
  </si>
  <si>
    <t>AX02U</t>
  </si>
  <si>
    <t>Holly Hill Methodist CofE Infant School</t>
  </si>
  <si>
    <t>AX0A4</t>
  </si>
  <si>
    <t>Holte School</t>
  </si>
  <si>
    <t>AX02Y</t>
  </si>
  <si>
    <t>Holy Family Catholic Primary School</t>
  </si>
  <si>
    <t>AX0A7</t>
  </si>
  <si>
    <t>Jakeman Nursery School</t>
  </si>
  <si>
    <t>AX032</t>
  </si>
  <si>
    <t>James Watt Primary School</t>
  </si>
  <si>
    <t>AX036</t>
  </si>
  <si>
    <t>Kings Heath Secondary School</t>
  </si>
  <si>
    <t>AX03A</t>
  </si>
  <si>
    <t>Kings Norton Nursery School</t>
  </si>
  <si>
    <t>AX03B</t>
  </si>
  <si>
    <t>Kingsland Primary School (NC)</t>
  </si>
  <si>
    <t>AX03C</t>
  </si>
  <si>
    <t>Kingsthorne Primary School</t>
  </si>
  <si>
    <t>AX03D</t>
  </si>
  <si>
    <t>Kitwell Primary School</t>
  </si>
  <si>
    <t>AX03K</t>
  </si>
  <si>
    <t>Lindsworth School</t>
  </si>
  <si>
    <t>AX03L</t>
  </si>
  <si>
    <t>Little Sutton Primary School</t>
  </si>
  <si>
    <t>AX03M</t>
  </si>
  <si>
    <t>Longwill Primary School for Deaf Children</t>
  </si>
  <si>
    <t>AX0AN</t>
  </si>
  <si>
    <t>Lozells Junior and Infant School and Nursery</t>
  </si>
  <si>
    <t>AX03N</t>
  </si>
  <si>
    <t>Lyndon Green Infant School</t>
  </si>
  <si>
    <t>AX03P</t>
  </si>
  <si>
    <t>Lyndon Green Junior School</t>
  </si>
  <si>
    <t>AX03Q</t>
  </si>
  <si>
    <t>Maney Hill Primary School</t>
  </si>
  <si>
    <t>AX03W</t>
  </si>
  <si>
    <t>Marsh Hill Nursery School</t>
  </si>
  <si>
    <t>AX03V</t>
  </si>
  <si>
    <t>Marsh Hill Primary School</t>
  </si>
  <si>
    <t>AX03X</t>
  </si>
  <si>
    <t>Maryvale Catholic Primary School</t>
  </si>
  <si>
    <t>AX040</t>
  </si>
  <si>
    <t>Minworth Junior and Infant School</t>
  </si>
  <si>
    <t>AX041</t>
  </si>
  <si>
    <t>Moor Hall Primary School</t>
  </si>
  <si>
    <t>AX042</t>
  </si>
  <si>
    <t>Moseley Church of England Primary School</t>
  </si>
  <si>
    <t>AX0AW</t>
  </si>
  <si>
    <t>Moseley School and Sixth Form</t>
  </si>
  <si>
    <t>AX044</t>
  </si>
  <si>
    <t>Nelson Mandela School</t>
  </si>
  <si>
    <t>AX043</t>
  </si>
  <si>
    <t>Nelson Primary School</t>
  </si>
  <si>
    <t>AX045</t>
  </si>
  <si>
    <t>New Hall Primary School</t>
  </si>
  <si>
    <t>AX04B</t>
  </si>
  <si>
    <t>Osborne Nursery School</t>
  </si>
  <si>
    <t>AX04C</t>
  </si>
  <si>
    <t>Oscott Manor School</t>
  </si>
  <si>
    <t>AX04D</t>
  </si>
  <si>
    <t>Our Lady and St Rose of Lima Catholic Primary School</t>
  </si>
  <si>
    <t>AX04E</t>
  </si>
  <si>
    <t>Our Lady of Lourdes Catholic Primary School</t>
  </si>
  <si>
    <t>AX04N</t>
  </si>
  <si>
    <t>Perry Beeches Nursery School</t>
  </si>
  <si>
    <t>AX0BD</t>
  </si>
  <si>
    <t>Queensbridge School</t>
  </si>
  <si>
    <t>AX04W</t>
  </si>
  <si>
    <t>Redhill Primary School</t>
  </si>
  <si>
    <t>AX04X</t>
  </si>
  <si>
    <t>Rednal Hill Infant School</t>
  </si>
  <si>
    <t>AX04Y</t>
  </si>
  <si>
    <t>Rednal Hill Junior School</t>
  </si>
  <si>
    <t>AX04Z</t>
  </si>
  <si>
    <t>Regents Park Community Primary School</t>
  </si>
  <si>
    <t>AX052</t>
  </si>
  <si>
    <t>Rubery Nursery School</t>
  </si>
  <si>
    <t>AX0BK</t>
  </si>
  <si>
    <t>Selly Oak Trust School</t>
  </si>
  <si>
    <t>AX0BL</t>
  </si>
  <si>
    <t>Selly Park Girls' School</t>
  </si>
  <si>
    <t>AX054</t>
  </si>
  <si>
    <t>Severne Junior Infant and Nursery School</t>
  </si>
  <si>
    <t>AX055</t>
  </si>
  <si>
    <t>Shaw Hill Primary School</t>
  </si>
  <si>
    <t>AX056</t>
  </si>
  <si>
    <t>Shenley Fields Nursery School</t>
  </si>
  <si>
    <t>AX0BR</t>
  </si>
  <si>
    <t>Sladefield Infant School</t>
  </si>
  <si>
    <t>AX059</t>
  </si>
  <si>
    <t>Somerville Primary (NC) School</t>
  </si>
  <si>
    <t>AX05A</t>
  </si>
  <si>
    <t>Springfield House Community Special School</t>
  </si>
  <si>
    <t>AX061</t>
  </si>
  <si>
    <t>SS John &amp; Monica Catholic Primary School</t>
  </si>
  <si>
    <t>AX05C</t>
  </si>
  <si>
    <t>St Alban's Catholic Primary School</t>
  </si>
  <si>
    <t>AX05E</t>
  </si>
  <si>
    <t>St Anne's Catholic Primary School</t>
  </si>
  <si>
    <t>AX05H</t>
  </si>
  <si>
    <t>St Benedict's Primary School</t>
  </si>
  <si>
    <t>AX05J</t>
  </si>
  <si>
    <t>St Bernadette's Catholic Primary School</t>
  </si>
  <si>
    <t>AX05K</t>
  </si>
  <si>
    <t>St Bernard's Catholic Primary School</t>
  </si>
  <si>
    <t>AX05L</t>
  </si>
  <si>
    <t>St Catherine of Siena Catholic Primary School</t>
  </si>
  <si>
    <t>AX05P</t>
  </si>
  <si>
    <t>St Cuthbert's Catholic Primary School</t>
  </si>
  <si>
    <t>AX05Q</t>
  </si>
  <si>
    <t>St Dunstan's Catholic Primary School</t>
  </si>
  <si>
    <t>AX05U</t>
  </si>
  <si>
    <t>St Edward's Catholic Primary School</t>
  </si>
  <si>
    <t>AX05Y</t>
  </si>
  <si>
    <t>St Gerard's Catholic Primary School</t>
  </si>
  <si>
    <t>AX05Z</t>
  </si>
  <si>
    <t>St James Church of England Primary School, Handsworth</t>
  </si>
  <si>
    <t>AX063</t>
  </si>
  <si>
    <t>St John Wall Catholic School</t>
  </si>
  <si>
    <t>AX066</t>
  </si>
  <si>
    <t>St Jude's Catholic Primary School</t>
  </si>
  <si>
    <t>AX067</t>
  </si>
  <si>
    <t>St Laurence Church Infant School</t>
  </si>
  <si>
    <t>AX068</t>
  </si>
  <si>
    <t>St Laurence Church Junior School</t>
  </si>
  <si>
    <t>AX069</t>
  </si>
  <si>
    <t>St Margaret Mary Catholic Primary School</t>
  </si>
  <si>
    <t>AX06E</t>
  </si>
  <si>
    <t>St Mary's Catholic Primary School</t>
  </si>
  <si>
    <t>AX06D</t>
  </si>
  <si>
    <t>St Mary's Church of England Primary School</t>
  </si>
  <si>
    <t>AX06F</t>
  </si>
  <si>
    <t>St Matthew's CofE Primary School</t>
  </si>
  <si>
    <t>AX0C4</t>
  </si>
  <si>
    <t>St Paul's School for Girls</t>
  </si>
  <si>
    <t>AX06L</t>
  </si>
  <si>
    <t>St Peters CofE Primary School</t>
  </si>
  <si>
    <t>AX06N</t>
  </si>
  <si>
    <t>St Saviour's C of E Primary School</t>
  </si>
  <si>
    <t>AX06W</t>
  </si>
  <si>
    <t>Stanville Primary School</t>
  </si>
  <si>
    <t>AX06Y</t>
  </si>
  <si>
    <t>Stechford Primary School</t>
  </si>
  <si>
    <t>AX072</t>
  </si>
  <si>
    <t>Sundridge Primary School</t>
  </si>
  <si>
    <t>AX01M</t>
  </si>
  <si>
    <t>The Dame Ellen Pinsent School</t>
  </si>
  <si>
    <t>AX049</t>
  </si>
  <si>
    <t>The Oratory Roman Catholic Primary School</t>
  </si>
  <si>
    <t>AX04P</t>
  </si>
  <si>
    <t>The Pines School</t>
  </si>
  <si>
    <t>AX075</t>
  </si>
  <si>
    <t>Thornton Primary School</t>
  </si>
  <si>
    <t>AX07A</t>
  </si>
  <si>
    <t>Uffculme School</t>
  </si>
  <si>
    <t>AX0CG</t>
  </si>
  <si>
    <t>Victoria School</t>
  </si>
  <si>
    <t>AX0CH</t>
  </si>
  <si>
    <t>Walmley Infant School</t>
  </si>
  <si>
    <t>AX0CJ</t>
  </si>
  <si>
    <t>Walmley Junior School</t>
  </si>
  <si>
    <t>AX07B</t>
  </si>
  <si>
    <t>Ward End Primary School</t>
  </si>
  <si>
    <t>AX07E</t>
  </si>
  <si>
    <t>Water Mill Primary School</t>
  </si>
  <si>
    <t>AX0CL</t>
  </si>
  <si>
    <t>Welford Primary School</t>
  </si>
  <si>
    <t>AX07H</t>
  </si>
  <si>
    <t>Welsh House Farm Community School and Special Needs Resources Base</t>
  </si>
  <si>
    <t>AX07K</t>
  </si>
  <si>
    <t>West Heath Nursery School</t>
  </si>
  <si>
    <t>AX07P</t>
  </si>
  <si>
    <t>Wheelers Lane Primary School</t>
  </si>
  <si>
    <t>AX07N</t>
  </si>
  <si>
    <t>Wheelers Lane Technology College</t>
  </si>
  <si>
    <t>AX07Q</t>
  </si>
  <si>
    <t>Whitehouse Common Primary School</t>
  </si>
  <si>
    <t>AX07T</t>
  </si>
  <si>
    <t>William Murdoch Primary School</t>
  </si>
  <si>
    <t>AX07V</t>
  </si>
  <si>
    <t>Woodgate Primary School</t>
  </si>
  <si>
    <t>AX07W</t>
  </si>
  <si>
    <t>Woodthorpe Junior and Infant School</t>
  </si>
  <si>
    <t>AX07X</t>
  </si>
  <si>
    <t>World's End Infant and Nursery School</t>
  </si>
  <si>
    <t>AX0CQ</t>
  </si>
  <si>
    <t>World's End Junior School</t>
  </si>
  <si>
    <t>AX07Y</t>
  </si>
  <si>
    <t>Wylde Green Primary School</t>
  </si>
  <si>
    <t>AX080</t>
  </si>
  <si>
    <t>Yardley Primary School</t>
  </si>
  <si>
    <t>AX081</t>
  </si>
  <si>
    <t>Yardley Wood Community Primary School</t>
  </si>
  <si>
    <t>AX083</t>
  </si>
  <si>
    <t>Yorkmead Junior and Infant School</t>
  </si>
  <si>
    <t>AX00U</t>
  </si>
  <si>
    <t>Bordesley Green East Nursery School</t>
  </si>
  <si>
    <t>AX01G</t>
  </si>
  <si>
    <t>Coppice Primary School</t>
  </si>
  <si>
    <t>AX03E</t>
  </si>
  <si>
    <t>Ladypool Primary School</t>
  </si>
  <si>
    <t>AX03G</t>
  </si>
  <si>
    <t>Langley School</t>
  </si>
  <si>
    <t>AX05D</t>
  </si>
  <si>
    <t>St Ambrose Barlow Catholic Primary School</t>
  </si>
  <si>
    <t>AX07D</t>
  </si>
  <si>
    <t>Washwood Heath Nursery School</t>
  </si>
  <si>
    <t>AX07U</t>
  </si>
  <si>
    <t>Woodcock Hill Primary School</t>
  </si>
  <si>
    <t>AX00C</t>
  </si>
  <si>
    <t>Barford Primary School</t>
  </si>
  <si>
    <t>AX00F</t>
  </si>
  <si>
    <t>Beaufort School</t>
  </si>
  <si>
    <t>AX00J</t>
  </si>
  <si>
    <t>Bells Farm Primary School</t>
  </si>
  <si>
    <t>AX00Q</t>
  </si>
  <si>
    <t>Blakesley Hall Primary School</t>
  </si>
  <si>
    <t>AX01Q</t>
  </si>
  <si>
    <t>Edith Cadbury Nursery School</t>
  </si>
  <si>
    <t>AX025</t>
  </si>
  <si>
    <t>George Dixon Primary School</t>
  </si>
  <si>
    <t>AX02F</t>
  </si>
  <si>
    <t>Gunter Primary School</t>
  </si>
  <si>
    <t>AX02L</t>
  </si>
  <si>
    <t>Harborne Primary School</t>
  </si>
  <si>
    <t>AX09P</t>
  </si>
  <si>
    <t>Harper Bell Seventh-Day Adventist School</t>
  </si>
  <si>
    <t>AX02V</t>
  </si>
  <si>
    <t>Hollyfield Primary School</t>
  </si>
  <si>
    <t>AX035</t>
  </si>
  <si>
    <t>King David Junior and Infant School</t>
  </si>
  <si>
    <t>AX037</t>
  </si>
  <si>
    <t>Kings Heath Primary School</t>
  </si>
  <si>
    <t>AX03J</t>
  </si>
  <si>
    <t>Lillian de Lissa Nursery School</t>
  </si>
  <si>
    <t>AX03R</t>
  </si>
  <si>
    <t>Mapledene Primary School</t>
  </si>
  <si>
    <t>AX046</t>
  </si>
  <si>
    <t>New Oscott Primary School</t>
  </si>
  <si>
    <t>AX047</t>
  </si>
  <si>
    <t>Newtown Nursery School</t>
  </si>
  <si>
    <t>AX04J</t>
  </si>
  <si>
    <t>Park Hill Primary School</t>
  </si>
  <si>
    <t>AX04K</t>
  </si>
  <si>
    <t>Penns Primary School</t>
  </si>
  <si>
    <t>AX04Q</t>
  </si>
  <si>
    <t>Priestley Smith School</t>
  </si>
  <si>
    <t>AX04V</t>
  </si>
  <si>
    <t>Raddlebarn Primary School</t>
  </si>
  <si>
    <t>AX053</t>
  </si>
  <si>
    <t>Selly Oak Nursery School</t>
  </si>
  <si>
    <t>AX05F</t>
  </si>
  <si>
    <t>St Augustine's Catholic Primary School</t>
  </si>
  <si>
    <t>AX05N</t>
  </si>
  <si>
    <t>St Clare's Catholic Primary School</t>
  </si>
  <si>
    <t>AX05V</t>
  </si>
  <si>
    <t>St Francis Catholic Primary School</t>
  </si>
  <si>
    <t>AX06B</t>
  </si>
  <si>
    <t>St Martin de Porres Catholic Primary School</t>
  </si>
  <si>
    <t>AX06H</t>
  </si>
  <si>
    <t>St Patrick and St Edmund's Catholic Primary School</t>
  </si>
  <si>
    <t>AX06P</t>
  </si>
  <si>
    <t>St Teresa's Catholic Primary School</t>
  </si>
  <si>
    <t>AX06R</t>
  </si>
  <si>
    <t>St Thomas Centre Nursery School</t>
  </si>
  <si>
    <t>AX06U</t>
  </si>
  <si>
    <t>St Vincent's Catholic Primary School</t>
  </si>
  <si>
    <t>AX03Z</t>
  </si>
  <si>
    <t>The Meadows Primary School</t>
  </si>
  <si>
    <t>AX07J</t>
  </si>
  <si>
    <t>Weoley Castle Nursery School</t>
  </si>
  <si>
    <t>AX07L</t>
  </si>
  <si>
    <t>West Heath Primary School</t>
  </si>
  <si>
    <t>2025/26 LA Statement of Funding and Provisional School Budget Payment Schedule</t>
  </si>
  <si>
    <t>DfE Number</t>
  </si>
  <si>
    <t>Cost Centre</t>
  </si>
  <si>
    <t>Schools Name</t>
  </si>
  <si>
    <t>1. 2025/26 LA STATEMENT OF FUNDING</t>
  </si>
  <si>
    <t xml:space="preserve">LA Confirmed Funding Allocations: </t>
  </si>
  <si>
    <t>2025/26 Initial Funding Allocation</t>
  </si>
  <si>
    <t>Apr 25 Adjustments</t>
  </si>
  <si>
    <t>May 25 Adjustments</t>
  </si>
  <si>
    <t>Jun 25 Adjustments</t>
  </si>
  <si>
    <t>Jul 25 Adjustments</t>
  </si>
  <si>
    <t>Aug 25 Adjustments</t>
  </si>
  <si>
    <t>Sept 25 Adjustments</t>
  </si>
  <si>
    <t>Oct 25 Adjustments</t>
  </si>
  <si>
    <t>Nov 25 Adjustments</t>
  </si>
  <si>
    <t>Dec 25 Adjustments</t>
  </si>
  <si>
    <t>Jan 26 Adjustments</t>
  </si>
  <si>
    <t>Feb 26 Adjustments</t>
  </si>
  <si>
    <t xml:space="preserve">Mar 26 Adjustments </t>
  </si>
  <si>
    <t>Year-End Adjustments</t>
  </si>
  <si>
    <t xml:space="preserve">Total </t>
  </si>
  <si>
    <t xml:space="preserve">Schools block budget share </t>
  </si>
  <si>
    <t>NNDR 2025/26*</t>
  </si>
  <si>
    <t>De-Delegation</t>
  </si>
  <si>
    <t>Schools block budget share (after NNDR &amp; De-Delegation)</t>
  </si>
  <si>
    <t>High Needs Place Funding</t>
  </si>
  <si>
    <t>High Needs Indicative Top up Funding*</t>
  </si>
  <si>
    <t>High Needs Indicative TPAG/TPEG</t>
  </si>
  <si>
    <t>High Needs Resource Base Place Funding</t>
  </si>
  <si>
    <t>High Needs Resource Base Top-up Funding</t>
  </si>
  <si>
    <t>EY Under 2 YO Indicative per term</t>
  </si>
  <si>
    <t>EY 2 YO Indicative per term</t>
  </si>
  <si>
    <t>EY 3-4 YO Indicative per term</t>
  </si>
  <si>
    <t>EY EYPP Indicative per term</t>
  </si>
  <si>
    <t>EY FSM Indicative per term</t>
  </si>
  <si>
    <t>EY Deprivation Indicative per term</t>
  </si>
  <si>
    <t>EY DAF Indicative per term</t>
  </si>
  <si>
    <t>EY Maintained Supplementary</t>
  </si>
  <si>
    <t>Total LA Funding</t>
  </si>
  <si>
    <t>Add: Sixth Form Funding 24/25 (4/12ths)</t>
  </si>
  <si>
    <t>Add: Sixth Form Funding 25/26 (8/12ths)</t>
  </si>
  <si>
    <t>Less BCC Insurance / ESFA RPA</t>
  </si>
  <si>
    <t>Estimated funding to be paid to the school</t>
  </si>
  <si>
    <t>2. Estimated Monthly School Budget Payment Schedule</t>
  </si>
  <si>
    <t>CFR code</t>
  </si>
  <si>
    <t>Total to date</t>
  </si>
  <si>
    <t>Estimated</t>
  </si>
  <si>
    <t>Total</t>
  </si>
  <si>
    <t>Actual</t>
  </si>
  <si>
    <t>final adj</t>
  </si>
  <si>
    <t>Indicative High Needs Top up Funding</t>
  </si>
  <si>
    <t>High Needs Resource Base Top up Funding</t>
  </si>
  <si>
    <t>Total Budget Share Funding</t>
  </si>
  <si>
    <t>Add: Sixth Form Funding</t>
  </si>
  <si>
    <t xml:space="preserve">       </t>
  </si>
  <si>
    <t>LA monthly payment</t>
  </si>
  <si>
    <t>Cash Advances</t>
  </si>
  <si>
    <t>Other Adjustments</t>
  </si>
  <si>
    <t xml:space="preserve">Payments without grants </t>
  </si>
  <si>
    <t>BARCLAYS INTEREST AND CHARGES</t>
  </si>
  <si>
    <t>I08b</t>
  </si>
  <si>
    <t>Barclays Interest Received</t>
  </si>
  <si>
    <t>Barclays Charges Incurred</t>
  </si>
  <si>
    <t>E22</t>
  </si>
  <si>
    <t>Total Barclays Interest and Charges</t>
  </si>
  <si>
    <t>OTHER DSG FUNDING</t>
  </si>
  <si>
    <t>CRISP</t>
  </si>
  <si>
    <t>ESN</t>
  </si>
  <si>
    <t>Falling Rolls</t>
  </si>
  <si>
    <t>Growth Funding</t>
  </si>
  <si>
    <t>Total Other DSG Funding</t>
  </si>
  <si>
    <t>GRANTS</t>
  </si>
  <si>
    <t>Teachers' pay additional grant</t>
  </si>
  <si>
    <t>Teacher's Pension Employer Contribution (16-19) Grant</t>
  </si>
  <si>
    <t>Early Years Expansion Grant</t>
  </si>
  <si>
    <t>Early Years Budget Grant (EYBG)</t>
  </si>
  <si>
    <t>16-19 Bursery Fund</t>
  </si>
  <si>
    <t>Post-16 Schools Budget Grant</t>
  </si>
  <si>
    <t>Core School Budget Grant (CSBG) Special</t>
  </si>
  <si>
    <t>Pupil Premium Funding (To be confirmed by DfE/EFA)</t>
  </si>
  <si>
    <t>I05</t>
  </si>
  <si>
    <t>Inclusive of Deprivation, Service Child and Post LAC.</t>
  </si>
  <si>
    <t>Senior Mental Health Leads Training Fy 24-25</t>
  </si>
  <si>
    <t>I06</t>
  </si>
  <si>
    <t>Schools Direct</t>
  </si>
  <si>
    <t>Early Career Mentor backfill grant</t>
  </si>
  <si>
    <t>Early Career Framework Mentor time off timetable</t>
  </si>
  <si>
    <t>Early Career Framework 23/24 unallocated</t>
  </si>
  <si>
    <t>National Professional Qualifications</t>
  </si>
  <si>
    <t>National Tutoring Programme Payment</t>
  </si>
  <si>
    <t>Recovery Premium Funding 2024/25</t>
  </si>
  <si>
    <t>Recovery Premium  2/3rds March 22/23 unallocated</t>
  </si>
  <si>
    <t>National Tutoring Programme 23/24 unallocated</t>
  </si>
  <si>
    <t>PE and Sports Grant (To be confirmed by DfE/EFA)</t>
  </si>
  <si>
    <t>Universal Infant Free School Meals 24/25 Final</t>
  </si>
  <si>
    <t>Universal Infant Free School Meals 25/26 Provisional</t>
  </si>
  <si>
    <t>Breakfast club early adopters grant</t>
  </si>
  <si>
    <t>LA Capital income one off payment</t>
  </si>
  <si>
    <t>CI01</t>
  </si>
  <si>
    <t>Devolved Formula Capital (To be confirmed by DfE/EFA)</t>
  </si>
  <si>
    <t>Total Other Confirmed Funding Allocations</t>
  </si>
  <si>
    <t>Final  Payment for month after all adjustments</t>
  </si>
  <si>
    <t>Adjustments to be made</t>
  </si>
  <si>
    <t>LA Income and Expenditure [to be paid to school/(to be paid by school)]</t>
  </si>
  <si>
    <t>Please note that the payment schedule will be updated to reflect:</t>
  </si>
  <si>
    <t>**Actual 2024-25 salary costs</t>
  </si>
  <si>
    <t>* NNDR in budget plan for 2025/26, this is not actual bill amount, you should amend it according to your actual budget in both I01 and E17</t>
  </si>
  <si>
    <t>**** Please note VAT is paid a month in arreas. The VAT paid in April 24 is for claim relating to March 24</t>
  </si>
  <si>
    <t>The calculation of the provisional monthly instalment figure is based on confirmed LA funding allocations.</t>
  </si>
  <si>
    <t xml:space="preserve">Totals PER CFR </t>
  </si>
  <si>
    <t>Funds delegated by the local authority (LA)</t>
  </si>
  <si>
    <t>Funding for sixth form students</t>
  </si>
  <si>
    <t>High needs top-up funding</t>
  </si>
  <si>
    <t>Pupil Premium</t>
  </si>
  <si>
    <t>Other government grants</t>
  </si>
  <si>
    <t>Capital Income</t>
  </si>
  <si>
    <t>Various Staffing expenditure CFR (Salaries)</t>
  </si>
  <si>
    <t>E01 - E07</t>
  </si>
  <si>
    <t>Payslip charges</t>
  </si>
  <si>
    <t>E08</t>
  </si>
  <si>
    <t>Professional Services Not PFI</t>
  </si>
  <si>
    <t>E16</t>
  </si>
  <si>
    <t xml:space="preserve">NNDR </t>
  </si>
  <si>
    <t>Insurance premiums (BCC or RPA)</t>
  </si>
  <si>
    <t>Professional Services PFI</t>
  </si>
  <si>
    <t>E28b</t>
  </si>
  <si>
    <t>Bought-in professional services - curriculum(De-Delegation and ESG)</t>
  </si>
  <si>
    <t>Total CFR to date</t>
  </si>
  <si>
    <t>3. One off payments outside of schedule</t>
  </si>
  <si>
    <t xml:space="preserve">Actual </t>
  </si>
  <si>
    <t xml:space="preserve"> </t>
  </si>
  <si>
    <t>FOR SCHOOL USE</t>
  </si>
  <si>
    <t>12 Month Cash Flow Report Statement</t>
  </si>
  <si>
    <t>Select beginning period in Cell D12</t>
  </si>
  <si>
    <t>Commentary &amp; any additional information</t>
  </si>
  <si>
    <t>Estimated or Actual</t>
  </si>
  <si>
    <t>Income from BCC</t>
  </si>
  <si>
    <t>Adjustments to Income from BCC</t>
  </si>
  <si>
    <t>Other Income</t>
  </si>
  <si>
    <t>Total Income</t>
  </si>
  <si>
    <t>Salary Expenditure</t>
  </si>
  <si>
    <t>Other Expenditure</t>
  </si>
  <si>
    <t>Total Expenditure</t>
  </si>
  <si>
    <t>Net Income / Expenditure</t>
  </si>
  <si>
    <t>Cash at Bank</t>
  </si>
  <si>
    <t>Bank Balance b/f</t>
  </si>
  <si>
    <t>Bank Balance c/f (Cash)</t>
  </si>
  <si>
    <t>Cash Advance Required</t>
  </si>
  <si>
    <t>Inputted Cash Advance will increase c/f for the respective month</t>
  </si>
  <si>
    <t>Request for Cash Advance (if required):</t>
  </si>
  <si>
    <t>Date Completed (dd/mm/yyyy)</t>
  </si>
  <si>
    <t>Name Completed By</t>
  </si>
  <si>
    <t>Position</t>
  </si>
  <si>
    <t>Headteacher Name</t>
  </si>
  <si>
    <t>Headteacher Signature</t>
  </si>
  <si>
    <t>Chair of Governors Name</t>
  </si>
  <si>
    <t>Chair of Governors Signature</t>
  </si>
  <si>
    <t>All cash advance requests must be supported by a completed 12-month cash flow statement, signed by the School's Headteacher and Chair of Governors.</t>
  </si>
  <si>
    <r>
      <t xml:space="preserve">Requests should be sent to </t>
    </r>
    <r>
      <rPr>
        <u/>
        <sz val="12"/>
        <color theme="3"/>
        <rFont val="Calibri"/>
        <family val="2"/>
        <scheme val="minor"/>
      </rPr>
      <t>SchoolsFinance@Birmingham.gov.uk</t>
    </r>
    <r>
      <rPr>
        <sz val="12"/>
        <color theme="1"/>
        <rFont val="Calibri"/>
        <family val="2"/>
        <scheme val="minor"/>
      </rPr>
      <t xml:space="preserve"> with subject [Cash Advance Request - DfE Number - School Name]. This should be submitted in Excel format, and a signed PDF version where necessary. </t>
    </r>
  </si>
  <si>
    <t xml:space="preserve">The school will be notified if the request has been approved, following which Schools Finance will arrange a cash advance from the school's monthly school budget. </t>
  </si>
  <si>
    <t xml:space="preserve">The school will continue to receive their future monthly school budget instalments and Schools Finance will liaise with the school regarding the timing of the recoupment of the cash advance. </t>
  </si>
  <si>
    <t xml:space="preserve">Note </t>
  </si>
  <si>
    <t>Schools that bank with Barclays under the corporate umbrella do not have to request a cash advance as the account can be used in an overdraft. However, Schools Finance still require a 12-month cash flow statement to support income and expenditure forecasts.</t>
  </si>
  <si>
    <t xml:space="preserve">Schools in deficit must submit a recovery plan in support of the cash flow statement. </t>
  </si>
  <si>
    <t>Monthly Monitoring 2025/26</t>
  </si>
  <si>
    <t>SCHOOLS FINANCE</t>
  </si>
  <si>
    <t>Title</t>
  </si>
  <si>
    <t xml:space="preserve">2024-25 Outturn 
</t>
  </si>
  <si>
    <t xml:space="preserve">2025-26 School Budget Plan Approved - Original
</t>
  </si>
  <si>
    <t xml:space="preserve">2025-26 School Budget Plan virements 
</t>
  </si>
  <si>
    <t xml:space="preserve">2025-26 School Budget Plan Approved after virements Revised
</t>
  </si>
  <si>
    <t>Cash Sheet
YTD</t>
  </si>
  <si>
    <t xml:space="preserve">Non Cash Sheet 
YTD </t>
  </si>
  <si>
    <t>2025-26 
Actual Year to Date 
Position 
(£)</t>
  </si>
  <si>
    <t>Debtors</t>
  </si>
  <si>
    <t>Creditors</t>
  </si>
  <si>
    <t>Payment in Advance</t>
  </si>
  <si>
    <t>Income in Advance</t>
  </si>
  <si>
    <t>Accruals</t>
  </si>
  <si>
    <t xml:space="preserve">2025-26
Actual Year to Date 
Position </t>
  </si>
  <si>
    <t>% Actual against budget</t>
  </si>
  <si>
    <t xml:space="preserve"> % Actual compared to Total Exp/Inc </t>
  </si>
  <si>
    <t xml:space="preserve">2025-26 Forecast Year End Position at Q1    </t>
  </si>
  <si>
    <t xml:space="preserve">Budget - Forecast Variance  </t>
  </si>
  <si>
    <t xml:space="preserve">Commentary &amp; any additional information </t>
  </si>
  <si>
    <t>Post submission changes
Position (inc Accruals) 
(£)</t>
  </si>
  <si>
    <t>Revised 2018/19 position
(£)</t>
  </si>
  <si>
    <t>Notes (Optional)</t>
  </si>
  <si>
    <t>(£)</t>
  </si>
  <si>
    <t>REVENUE ACCOUNTS:</t>
  </si>
  <si>
    <t>Opening Revenue Balance [surplus/(deficit)]</t>
  </si>
  <si>
    <t>Income (revenue)</t>
  </si>
  <si>
    <t>I01x: Early years funds delegated by the LA</t>
  </si>
  <si>
    <t>I01: Funds delegated by the LA</t>
  </si>
  <si>
    <t>I02: Funding for sixth form students</t>
  </si>
  <si>
    <t>I03: High needs top: up funding (Not Special Schools)</t>
  </si>
  <si>
    <t>I04: Funding for minority ethnic pupils</t>
  </si>
  <si>
    <t>I04</t>
  </si>
  <si>
    <t>Funding for minority ethnic pupils</t>
  </si>
  <si>
    <t>I05: Pupil premium</t>
  </si>
  <si>
    <t>I06: Other government grants</t>
  </si>
  <si>
    <t>I07: Other grants and payments received</t>
  </si>
  <si>
    <t>I07</t>
  </si>
  <si>
    <t>Other grants and payments received</t>
  </si>
  <si>
    <t>I08a: Income from letting premises</t>
  </si>
  <si>
    <t>I08a</t>
  </si>
  <si>
    <t>Income from letting premises</t>
  </si>
  <si>
    <t>I08b: Income: facilities and services</t>
  </si>
  <si>
    <t>Other income from facilities and services</t>
  </si>
  <si>
    <t>I09: Income: catering</t>
  </si>
  <si>
    <t>I09</t>
  </si>
  <si>
    <t>Income from catering</t>
  </si>
  <si>
    <t>I10: Receipts: supply teacher insurance claims</t>
  </si>
  <si>
    <t>I10</t>
  </si>
  <si>
    <t>Receipts from supply teacher insurance claims</t>
  </si>
  <si>
    <t>I11: Receipts: other insurance claims</t>
  </si>
  <si>
    <t>I11</t>
  </si>
  <si>
    <t>Receipts from other insurance claims</t>
  </si>
  <si>
    <t>I12: Income: contributions to visits, etc</t>
  </si>
  <si>
    <t>I12</t>
  </si>
  <si>
    <t>Income from contributions to visits</t>
  </si>
  <si>
    <t>I13: Donations/private funds</t>
  </si>
  <si>
    <t>I13</t>
  </si>
  <si>
    <t>Donations and/or voluntary funds</t>
  </si>
  <si>
    <t xml:space="preserve">I15: Pupil focused extended school funding and/or grants </t>
  </si>
  <si>
    <t>I15</t>
  </si>
  <si>
    <t>Pupil-focused extended school funding or grants</t>
  </si>
  <si>
    <t>Total Income (revenue)</t>
  </si>
  <si>
    <t>Expenditure (Revenue)</t>
  </si>
  <si>
    <t>E01: Teaching staff</t>
  </si>
  <si>
    <t>E01</t>
  </si>
  <si>
    <t>Teaching staff</t>
  </si>
  <si>
    <t>E02: Supply teaching staff</t>
  </si>
  <si>
    <t>E02</t>
  </si>
  <si>
    <t>Supply teaching staff</t>
  </si>
  <si>
    <t>E03: Education support staff</t>
  </si>
  <si>
    <t>E03</t>
  </si>
  <si>
    <t>Education support staff</t>
  </si>
  <si>
    <t>E04: Premises staff</t>
  </si>
  <si>
    <t>E04</t>
  </si>
  <si>
    <t>Premises staff</t>
  </si>
  <si>
    <t>E05: Administrative &amp; clerical staff</t>
  </si>
  <si>
    <t>E05</t>
  </si>
  <si>
    <t>Administrative and clerical staff</t>
  </si>
  <si>
    <t>E06: Catering staff</t>
  </si>
  <si>
    <t>E06</t>
  </si>
  <si>
    <t>Catering staff</t>
  </si>
  <si>
    <t>E07: Cost of other staff</t>
  </si>
  <si>
    <t>E07</t>
  </si>
  <si>
    <t>Cost of other staff</t>
  </si>
  <si>
    <t>E08: Indirect employee expenses</t>
  </si>
  <si>
    <t>Indirect employee expenses</t>
  </si>
  <si>
    <t>E09: Staff development &amp; training</t>
  </si>
  <si>
    <t>E09</t>
  </si>
  <si>
    <t>Staff development and training</t>
  </si>
  <si>
    <t>E10: Supply teacher insurance</t>
  </si>
  <si>
    <t>E10</t>
  </si>
  <si>
    <t>Supply teacher insurance</t>
  </si>
  <si>
    <t>E11: Staff related insurance</t>
  </si>
  <si>
    <t>E11</t>
  </si>
  <si>
    <t>Staff related insurance</t>
  </si>
  <si>
    <t>E12: Building maintenance &amp; improvement</t>
  </si>
  <si>
    <t>E12</t>
  </si>
  <si>
    <t>Building maintenance and improvement</t>
  </si>
  <si>
    <t>E13: Grounds maintenance &amp; improvement</t>
  </si>
  <si>
    <t>E13</t>
  </si>
  <si>
    <t>Grounds maintenance and improvement</t>
  </si>
  <si>
    <t>E14: Cleaning &amp; caretaking</t>
  </si>
  <si>
    <t>E14</t>
  </si>
  <si>
    <t>Cleaning and caretaking</t>
  </si>
  <si>
    <t>E15: Water &amp; sewerage</t>
  </si>
  <si>
    <t>E15</t>
  </si>
  <si>
    <t>Water and sewerage</t>
  </si>
  <si>
    <t>E16: Energy</t>
  </si>
  <si>
    <t>Energy</t>
  </si>
  <si>
    <t>E17: Rates</t>
  </si>
  <si>
    <t>Rates</t>
  </si>
  <si>
    <t>E18: Other Occupation Costs</t>
  </si>
  <si>
    <t>E18</t>
  </si>
  <si>
    <t>Other occupation costs</t>
  </si>
  <si>
    <t>E19: Learning resources</t>
  </si>
  <si>
    <t>E19</t>
  </si>
  <si>
    <t>Learning resources</t>
  </si>
  <si>
    <t>E20A: Connectivity</t>
  </si>
  <si>
    <t>E20A</t>
  </si>
  <si>
    <t>Connectivity</t>
  </si>
  <si>
    <t>E20B: Onsite Servers</t>
  </si>
  <si>
    <t>E20B</t>
  </si>
  <si>
    <t>Onsite servers</t>
  </si>
  <si>
    <t>E20C: IT Learning Resources</t>
  </si>
  <si>
    <t>E20C</t>
  </si>
  <si>
    <t>IT learning resources</t>
  </si>
  <si>
    <t>E20D: Administration Software and Syatems</t>
  </si>
  <si>
    <t>E20D</t>
  </si>
  <si>
    <t>Administration software and systems</t>
  </si>
  <si>
    <t>E20E: Laptops Desktops and Tablets</t>
  </si>
  <si>
    <t>E20E</t>
  </si>
  <si>
    <t>Laptops, desktops and tablets</t>
  </si>
  <si>
    <t>E20F: Other hardware</t>
  </si>
  <si>
    <t>E20F</t>
  </si>
  <si>
    <t>Other hardware</t>
  </si>
  <si>
    <t>E20G: IT Suppoprt</t>
  </si>
  <si>
    <t>E20G</t>
  </si>
  <si>
    <t>IT support</t>
  </si>
  <si>
    <t>E21</t>
  </si>
  <si>
    <t>Examination fees</t>
  </si>
  <si>
    <t>E22: Administrative supplies</t>
  </si>
  <si>
    <t>Administrative supplies</t>
  </si>
  <si>
    <t>E23: Other insurance premiums</t>
  </si>
  <si>
    <t>Other insurance premiums</t>
  </si>
  <si>
    <t>E24: Special facilities</t>
  </si>
  <si>
    <t>E24</t>
  </si>
  <si>
    <t>Special facilities</t>
  </si>
  <si>
    <t>E25: Catering supplies</t>
  </si>
  <si>
    <t>E25</t>
  </si>
  <si>
    <t>Catering supplies</t>
  </si>
  <si>
    <t>E28z: Agency other support staff</t>
  </si>
  <si>
    <t>E26: Agency teaching supply staff</t>
  </si>
  <si>
    <t>E26</t>
  </si>
  <si>
    <t>Agency supply teaching staff</t>
  </si>
  <si>
    <t>E27: Bought in professional services: Curric</t>
  </si>
  <si>
    <t>Bought-in professional services - curriculum</t>
  </si>
  <si>
    <t>E28a: Bought in professional services: Other</t>
  </si>
  <si>
    <t>E28a</t>
  </si>
  <si>
    <t>Bought-in professional services - other(except PFI)</t>
  </si>
  <si>
    <t>E28b: Bought in professional services: PFI</t>
  </si>
  <si>
    <t>Bought-in professional services - other (PFI)</t>
  </si>
  <si>
    <t>E29: Loan interest</t>
  </si>
  <si>
    <t>E29</t>
  </si>
  <si>
    <t>Loan interest</t>
  </si>
  <si>
    <t>E30: Direct revenue financing</t>
  </si>
  <si>
    <t>E30</t>
  </si>
  <si>
    <t>Direct revenue financing (revenue contributions to capital)</t>
  </si>
  <si>
    <t>Total Expenditure (revenue)</t>
  </si>
  <si>
    <t>In-year Revenue Balance [surplus/(deficit)]</t>
  </si>
  <si>
    <t>Closing Revenue Balance [surplus/(deficit)]</t>
  </si>
  <si>
    <t>CAPITAL ACCOUNTS:</t>
  </si>
  <si>
    <t>Opening Capital Balance [surplus/(deficit)]</t>
  </si>
  <si>
    <t>Income (Capital)</t>
  </si>
  <si>
    <t>CI01: Capital Income</t>
  </si>
  <si>
    <t>CI03: Voluntary Or Private Income</t>
  </si>
  <si>
    <t>CI03</t>
  </si>
  <si>
    <t>Voluntary or private income</t>
  </si>
  <si>
    <t>CI04: Direct Revenue Financing</t>
  </si>
  <si>
    <t>CI04</t>
  </si>
  <si>
    <t>Direct revenue financing</t>
  </si>
  <si>
    <t>Total Income (Capital)</t>
  </si>
  <si>
    <t>Expenditure (Capital)</t>
  </si>
  <si>
    <t>CE01: Acquisition of land and existing buildings</t>
  </si>
  <si>
    <t>CE01</t>
  </si>
  <si>
    <t>Acquisition of land and existing buildings</t>
  </si>
  <si>
    <t>CE02: New construction, conversion, and renovation</t>
  </si>
  <si>
    <t>CE02</t>
  </si>
  <si>
    <t>New construction, conversion and renovation</t>
  </si>
  <si>
    <t>CE03: Vehicles, plant, equipment and machinery</t>
  </si>
  <si>
    <t>CE03</t>
  </si>
  <si>
    <t>Vehicles, plant, equipment and machinery</t>
  </si>
  <si>
    <t>CE04a: Connectivity (ICT)</t>
  </si>
  <si>
    <t>CE04A</t>
  </si>
  <si>
    <t>CE04b:Onsite servers (ICT)</t>
  </si>
  <si>
    <t>CE04B</t>
  </si>
  <si>
    <t>CE04c:Administration software and systems (ICT)</t>
  </si>
  <si>
    <t>CE04C</t>
  </si>
  <si>
    <t>CE04d:Laptops, desktops, and tablets (ICT)</t>
  </si>
  <si>
    <t>CE04D</t>
  </si>
  <si>
    <t>Laptops, desktops, and tablets</t>
  </si>
  <si>
    <t>CE04e:Other hardware (ICT)</t>
  </si>
  <si>
    <t>CE04E</t>
  </si>
  <si>
    <t>Total Expenditure (Capital)</t>
  </si>
  <si>
    <t>In-year Capital Balance [surplus/(deficit)]</t>
  </si>
  <si>
    <t>Closing Capital Balance [surplus/(deficit)]</t>
  </si>
  <si>
    <t>COMMUNITY-FOCUSED SCHOOL REVENUE BALANCES:</t>
  </si>
  <si>
    <t>Opening Community-Focused Balance [surplus/(deficit)]</t>
  </si>
  <si>
    <t>Income (Community-Focused)</t>
  </si>
  <si>
    <t>I16: Community focused extended sch funding and/or grants</t>
  </si>
  <si>
    <t>I16</t>
  </si>
  <si>
    <t>Community-focused school funding or grants</t>
  </si>
  <si>
    <t xml:space="preserve">I17: Community focused extended sch facilities income </t>
  </si>
  <si>
    <t>I17</t>
  </si>
  <si>
    <t>Community-focused school facilities income</t>
  </si>
  <si>
    <t>Total Income (Community-Focused)</t>
  </si>
  <si>
    <t>Expenditure (Community-Focused)</t>
  </si>
  <si>
    <t xml:space="preserve">E31: Community focused school staff </t>
  </si>
  <si>
    <t>E31</t>
  </si>
  <si>
    <t>Community-focused school staff</t>
  </si>
  <si>
    <t>E32: Community focused school costs</t>
  </si>
  <si>
    <t>E32</t>
  </si>
  <si>
    <t>Community-focused school costs</t>
  </si>
  <si>
    <t>Total Expenditure (Community-Focused)</t>
  </si>
  <si>
    <t>In-year Community-Focused Balance [surplus/(deficit)]</t>
  </si>
  <si>
    <t>Closing Community-Focused Balance [surplus/(deficit)]</t>
  </si>
  <si>
    <t>BREAKDOWN OF CLOSING BALANCES</t>
  </si>
  <si>
    <t>Balances</t>
  </si>
  <si>
    <t>B01</t>
  </si>
  <si>
    <t>Committed revenue balances</t>
  </si>
  <si>
    <t>B02</t>
  </si>
  <si>
    <t>Uncommitted revenue balances</t>
  </si>
  <si>
    <t>B03</t>
  </si>
  <si>
    <t>Devolved formula capital balance</t>
  </si>
  <si>
    <t>B05</t>
  </si>
  <si>
    <t>Other capital balances</t>
  </si>
  <si>
    <t>B06</t>
  </si>
  <si>
    <t>Community focused school revenue balances</t>
  </si>
  <si>
    <t>Total Closing Balance</t>
  </si>
  <si>
    <t>BALANCE SHEET</t>
  </si>
  <si>
    <t>Main Bank A/c</t>
  </si>
  <si>
    <t>Other Bank A/c</t>
  </si>
  <si>
    <t>Comments</t>
  </si>
  <si>
    <t>Main Bank A/c Adjustment</t>
  </si>
  <si>
    <t>Payroll Bank A/c Adjustment</t>
  </si>
  <si>
    <t xml:space="preserve">Main Bank A/c Revised </t>
  </si>
  <si>
    <t>Payroll Bank A/c Revised</t>
  </si>
  <si>
    <t>Bank Balance as per attached statement</t>
  </si>
  <si>
    <t>Reconciling Items</t>
  </si>
  <si>
    <t>Less : Unpresented Cheques (enter as a positive)</t>
  </si>
  <si>
    <t>Add : Uncredited Receipts (enter as a positive)</t>
  </si>
  <si>
    <t>Reconciled Bank Balance</t>
  </si>
  <si>
    <t>Closing Petty Cash Balance</t>
  </si>
  <si>
    <t>VAT Reimbursement (Current Month)</t>
  </si>
  <si>
    <t>VAT Reimbursement Outstanding - Other</t>
  </si>
  <si>
    <t>Other adjustments (PFI Schools ONLY)</t>
  </si>
  <si>
    <t>Other adjustments (BCC Cash Advances)</t>
  </si>
  <si>
    <t>Cash Advances from BCC (External Banking Schools)</t>
  </si>
  <si>
    <t>CLOSING BANK POSITION</t>
  </si>
  <si>
    <t>ACCRUALS, DEBTORS AND CREDITORS</t>
  </si>
  <si>
    <t>Debtors Non BCC</t>
  </si>
  <si>
    <t>(appear as debit balance)</t>
  </si>
  <si>
    <t>Debtors BCC</t>
  </si>
  <si>
    <t>Payment_in_advance Non BCC</t>
  </si>
  <si>
    <t>Payment_in_advance BCC</t>
  </si>
  <si>
    <t>Creditors Non BCC</t>
  </si>
  <si>
    <t>(appear as credit balance)</t>
  </si>
  <si>
    <t>Creditors BCC</t>
  </si>
  <si>
    <t>Income_in_advance Non BCC</t>
  </si>
  <si>
    <t>Income_in_advance BCC</t>
  </si>
  <si>
    <t>TOTAL ACCRUALS (FROM ACCRUAL SHEET)</t>
  </si>
  <si>
    <t>SYSTEM DEBTORS</t>
  </si>
  <si>
    <t>(enter as debit balance)</t>
  </si>
  <si>
    <t>SYSTEM CREDITORS</t>
  </si>
  <si>
    <t>(enter as credit balance)</t>
  </si>
  <si>
    <t>Non BCC Payroll Creditor -  costs</t>
  </si>
  <si>
    <t>CLOSING BALANCE SHEET</t>
  </si>
  <si>
    <t>DIFFERENCE</t>
  </si>
  <si>
    <t>MUST EQUAL £0</t>
  </si>
  <si>
    <t>SUPPLEMENTARY CHECKS AND INFORMATION</t>
  </si>
  <si>
    <t>Payroll check - BCC schools only</t>
  </si>
  <si>
    <t>Pay costs as per code E1-E8 and E31 - CFR Income and Expenditure 
(excluding accruals, as no accruals are expected for BCC payroll)</t>
  </si>
  <si>
    <t>Pay costs as per Payment schedule (actual September estimate)</t>
  </si>
  <si>
    <t>Difference</t>
  </si>
  <si>
    <t>Apprentice / Employee costs &amp; difference between actual &amp; estimated salaries to date.</t>
  </si>
  <si>
    <t>Reason for difference - expecting Other costs under E08 paid through invoices</t>
  </si>
  <si>
    <t>Accruals Control Total</t>
  </si>
  <si>
    <t>Accruals as per Balance Sheet</t>
  </si>
  <si>
    <t xml:space="preserve">Accruals as per Income and Expenditure Statement </t>
  </si>
  <si>
    <t>Debtor accrual relating to monies expecting in bank by 30 June 2025</t>
  </si>
  <si>
    <t>Confirm that is correct before you submit?</t>
  </si>
  <si>
    <t>Creditor accrual relating to monies expecting to be out of bank by 30 June  2025</t>
  </si>
  <si>
    <t>Date of Bank Rec completed by Schools</t>
  </si>
  <si>
    <t xml:space="preserve">Added by Schools Finance </t>
  </si>
  <si>
    <t>Agresso Pseudo Bank</t>
  </si>
  <si>
    <t>Income</t>
  </si>
  <si>
    <t>Expenditure</t>
  </si>
  <si>
    <t>Net ''cash''balance at the end of Q1</t>
  </si>
  <si>
    <t>Total in year pseudo bank bal at end of Q1</t>
  </si>
  <si>
    <t>Total brought forward revenue 'cash'</t>
  </si>
  <si>
    <t>Total cash balance at the end of Q2 (incl real cash and psuedo cash)</t>
  </si>
  <si>
    <t>Deduct physical cash balance already included at I135</t>
  </si>
  <si>
    <t>Total revenue pseudo cash should be</t>
  </si>
  <si>
    <t>Add ''cash'' which would have made up the capital balance B03</t>
  </si>
  <si>
    <t>Total psuedo cash to be added to 'balance' sheet</t>
  </si>
  <si>
    <t>Unpresented cheques - likely to clear bank by 30/06/21</t>
  </si>
  <si>
    <t>Uncredited receipts - likely to clear bank by 30/06/21</t>
  </si>
  <si>
    <t>SIGN OFF</t>
  </si>
  <si>
    <t xml:space="preserve">I verify that the information given is a true and complete statement. </t>
  </si>
  <si>
    <t>Signed</t>
  </si>
  <si>
    <t>(Headteacher)</t>
  </si>
  <si>
    <t>Print Name</t>
  </si>
  <si>
    <t>Date</t>
  </si>
  <si>
    <t>Row Labels</t>
  </si>
  <si>
    <t>Academy</t>
  </si>
  <si>
    <t>Chq Bk</t>
  </si>
  <si>
    <t>Grand Total</t>
  </si>
  <si>
    <t>Schools block budget share (before de-delegation &amp; NNDR)</t>
  </si>
  <si>
    <t>Indicative Early Years Autumn 80%</t>
  </si>
  <si>
    <t>Resource Base Place Funding</t>
  </si>
  <si>
    <t>Indicative Early Years Autumn DAF 80%</t>
  </si>
  <si>
    <t>High Needs Top up Funding*&amp; High Needs - special/units Top-up</t>
  </si>
  <si>
    <t>Resource Base Top up Funding</t>
  </si>
  <si>
    <t>Cash Advance</t>
  </si>
  <si>
    <t>Total September Instalment</t>
  </si>
  <si>
    <t>Chq bk</t>
  </si>
  <si>
    <t>2025/26 Schools LA Funding Statement</t>
  </si>
  <si>
    <t>In-year Academy Conversions</t>
  </si>
  <si>
    <t>Actuals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</si>
  <si>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</si>
  <si>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</si>
  <si>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</si>
  <si>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</si>
  <si>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</si>
  <si>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</si>
  <si>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</si>
  <si>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</si>
  <si>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</si>
  <si>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</si>
  <si>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</si>
  <si>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</si>
  <si>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2025/26 ISB</t>
  </si>
  <si>
    <t>Indicative Early Years Summer 80%, MNS Supplementary</t>
  </si>
  <si>
    <t>Excluded pupil adjustment</t>
  </si>
  <si>
    <t>Indicative Early Years Summer DAF 80%</t>
  </si>
  <si>
    <t>Total Apr Instalment</t>
  </si>
  <si>
    <t>Total May Instalment</t>
  </si>
  <si>
    <t>Total June Instalment</t>
  </si>
  <si>
    <t>Total July Instalment</t>
  </si>
  <si>
    <t>Adjustments</t>
  </si>
  <si>
    <t>Total August Instalment</t>
  </si>
  <si>
    <t>Total October Instalment</t>
  </si>
  <si>
    <t>Total November Instalment</t>
  </si>
  <si>
    <t>Total December Instalment</t>
  </si>
  <si>
    <t>Indicative Early Years Spring 80%</t>
  </si>
  <si>
    <t>Indicative Early Years Spring DAF 80%</t>
  </si>
  <si>
    <t>Total January Instalment</t>
  </si>
  <si>
    <t>Total February Instalment</t>
  </si>
  <si>
    <t>Total March Instalment</t>
  </si>
  <si>
    <t>Full Year</t>
  </si>
  <si>
    <t>2025/26Schools Grant Payment Summary</t>
  </si>
  <si>
    <t>CFR Code</t>
  </si>
  <si>
    <t>Links to Backup</t>
  </si>
  <si>
    <t>ESN MAY</t>
  </si>
  <si>
    <t>ESN JUN</t>
  </si>
  <si>
    <t>ESN SMR</t>
  </si>
  <si>
    <t>ESN AUTMN</t>
  </si>
  <si>
    <t>CRISP SMR</t>
  </si>
  <si>
    <t>CRISP UPLIFT</t>
  </si>
  <si>
    <t>CRISP AUTMN</t>
  </si>
  <si>
    <t>CRISP SPR</t>
  </si>
  <si>
    <t>Growth May Bulk</t>
  </si>
  <si>
    <t>Growth 
Sep25 - Mar26</t>
  </si>
  <si>
    <t>Falling Rolls May Bulk</t>
  </si>
  <si>
    <t>Falling Rolls May-Aug</t>
  </si>
  <si>
    <t>I18B</t>
  </si>
  <si>
    <t>I18C</t>
  </si>
  <si>
    <t>I18D</t>
  </si>
  <si>
    <t>Total Check</t>
  </si>
  <si>
    <t>2025/26 Schools Grant Payment Summary</t>
  </si>
  <si>
    <t>PE and Sports Grant Apr 25</t>
  </si>
  <si>
    <t>CSBG Special May</t>
  </si>
  <si>
    <t>Pupil Premium Q1</t>
  </si>
  <si>
    <t>UIFSM 24/25</t>
  </si>
  <si>
    <t>UIFSM 25/26</t>
  </si>
  <si>
    <t>TPECG 16-19</t>
  </si>
  <si>
    <t>Post 16 Budget Grant</t>
  </si>
  <si>
    <t>EY Extension Grant</t>
  </si>
  <si>
    <t>Devolved Capital</t>
  </si>
  <si>
    <t>Q1 Barclays Interest</t>
  </si>
  <si>
    <t>Q1 Barclays Charges</t>
  </si>
  <si>
    <t>Cash Advances of school budget share paid to schools throughout 25/26</t>
  </si>
  <si>
    <t>Net Income / Expenditure posted to Schools Cost Centres throughout 25/26</t>
  </si>
  <si>
    <t>E Misc I</t>
  </si>
  <si>
    <t>Net Income and Expenditure posted in relevant period</t>
  </si>
  <si>
    <t>Invoice Raised / Payment Made (Y/N)</t>
  </si>
  <si>
    <t>Jun-Aug Invoice</t>
  </si>
  <si>
    <t>APR-25 NET EXP</t>
  </si>
  <si>
    <t>MAY-25 NET EXP</t>
  </si>
  <si>
    <t>JUN-AUG NET EXP</t>
  </si>
  <si>
    <t>SEP-25 NET EXP</t>
  </si>
  <si>
    <t>OCT-25 NET EXP</t>
  </si>
  <si>
    <t>NOV-25 NET EXP</t>
  </si>
  <si>
    <t>DEC-25 NET EXP</t>
  </si>
  <si>
    <t>JAN-26 NET EXP</t>
  </si>
  <si>
    <t>FEB-26 NET EXP</t>
  </si>
  <si>
    <t>MAR-26 NET EXP</t>
  </si>
  <si>
    <t>Customer Number</t>
  </si>
  <si>
    <t>Coded to</t>
  </si>
  <si>
    <t>Y</t>
  </si>
  <si>
    <t>n/a</t>
  </si>
  <si>
    <t>REIMBURMENT- FORGOT TO CHANGE THE LINE DESCRIPTION</t>
  </si>
  <si>
    <t>N</t>
  </si>
  <si>
    <t>2024/25 Schools Early Years Indicative</t>
  </si>
  <si>
    <t>CFR</t>
  </si>
  <si>
    <t>Link to Backup</t>
  </si>
  <si>
    <t>SUMMER ACTUALS</t>
  </si>
  <si>
    <t>Early Years Indicatives 25/26</t>
  </si>
  <si>
    <t>ACTUALS</t>
  </si>
  <si>
    <t>ADJUSTMENT TO INDICATIVE</t>
  </si>
  <si>
    <t>ACTUAL FUNDING ADJUSTMENT</t>
  </si>
  <si>
    <t>Total Allocated (Full Year)</t>
  </si>
  <si>
    <t>MNS Supplementary Funding</t>
  </si>
  <si>
    <t>Under 2's Funding</t>
  </si>
  <si>
    <t>2 Year Old Funding Summer</t>
  </si>
  <si>
    <t>3&amp;4 Year Old Funding Summer</t>
  </si>
  <si>
    <t>EYPP Total for Summer</t>
  </si>
  <si>
    <t>Free School Meals Funding Summer</t>
  </si>
  <si>
    <t>DAF</t>
  </si>
  <si>
    <t>Total Delegated Indicative Funding Summer 2025/26</t>
  </si>
  <si>
    <t>80% Summer Payment</t>
  </si>
  <si>
    <t>2 Year Old Funding Autumn</t>
  </si>
  <si>
    <t>3&amp;4 Year Old Funding Autumn</t>
  </si>
  <si>
    <t>EYPP Total for Autumn</t>
  </si>
  <si>
    <t>Free School Meals Funding Autumn</t>
  </si>
  <si>
    <t>Total Delegated Indicative Funding Autumn 2025/26</t>
  </si>
  <si>
    <t>80% Autumn Payment</t>
  </si>
  <si>
    <t>2 Year Old Funding Spring</t>
  </si>
  <si>
    <t>3&amp;4 Year Old Funding Spring</t>
  </si>
  <si>
    <t>EYPP Total for Spring</t>
  </si>
  <si>
    <t>Free School Meals Funding Spring</t>
  </si>
  <si>
    <t>Total Delegated Indicative Funding Spring 2025/26</t>
  </si>
  <si>
    <t>80% Spring Payment</t>
  </si>
  <si>
    <t>Summer Deprivation</t>
  </si>
  <si>
    <t>Autumn Deprivation</t>
  </si>
  <si>
    <t>Spring Deprivation</t>
  </si>
  <si>
    <t>Summer deprivation 80%</t>
  </si>
  <si>
    <t>Autumn deprivation 80%</t>
  </si>
  <si>
    <t>Spring deprivation 80%</t>
  </si>
  <si>
    <t>MNS Supplementary Funding ACTUALS</t>
  </si>
  <si>
    <t>MNS ADJUSTMENT</t>
  </si>
  <si>
    <t>Deprivation</t>
  </si>
  <si>
    <t>Total Delegated Actual Funding Summer 2025/26</t>
  </si>
  <si>
    <t>Total Delegated Indicative Adjustment to Actuals Funding Summer 2025/26</t>
  </si>
  <si>
    <t>Total Delegated Adjustment Payment Funding Summer 2025/26</t>
  </si>
  <si>
    <t>Totals</t>
  </si>
  <si>
    <t>2024/25 Schools High Needs Indicative</t>
  </si>
  <si>
    <t>Resource Base</t>
  </si>
  <si>
    <t>Resource Base - The Meadows Conversion</t>
  </si>
  <si>
    <t>Place Funding</t>
  </si>
  <si>
    <t>Top Up Funding</t>
  </si>
  <si>
    <t>TPG TPECG</t>
  </si>
  <si>
    <t>Total High Needs</t>
  </si>
  <si>
    <t>Place</t>
  </si>
  <si>
    <t>Top Up</t>
  </si>
  <si>
    <t>Environmental Factor</t>
  </si>
  <si>
    <t>Transitional Protection factor</t>
  </si>
  <si>
    <t>Fixed Costs</t>
  </si>
  <si>
    <t>Residential funding</t>
  </si>
  <si>
    <t>2024/25 Schools Post 16 Indicative</t>
  </si>
  <si>
    <t>2024-25 Academic Year</t>
  </si>
  <si>
    <t>2025-26 Academic Year</t>
  </si>
  <si>
    <t>24/25 FY</t>
  </si>
  <si>
    <t>25/26 FY</t>
  </si>
  <si>
    <t>26/27 FY</t>
  </si>
  <si>
    <t>24/25 Allocation Update</t>
  </si>
  <si>
    <t>Funding Statement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</si>
  <si>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</si>
  <si>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</si>
  <si>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</si>
  <si>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</si>
  <si>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</si>
  <si>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</si>
  <si>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</si>
  <si>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</si>
  <si>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</si>
  <si>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</si>
  <si>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</si>
  <si>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</si>
  <si>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</si>
  <si>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</si>
  <si>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</si>
  <si>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</si>
  <si>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</si>
  <si>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</si>
  <si>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</si>
  <si>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</si>
  <si>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</si>
  <si>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</si>
  <si>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</si>
  <si>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</si>
  <si>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</si>
  <si>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</si>
  <si>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</si>
  <si>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</si>
  <si>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</si>
  <si>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</si>
  <si>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</si>
  <si>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</si>
  <si>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</si>
  <si>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</si>
  <si>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PFI</t>
  </si>
  <si>
    <t>25-26 Approved Exceptional Circumstance 1: Reserved for Additional lump sum for schools amalgamated during FY24-25</t>
  </si>
  <si>
    <t>25-26 Approved Exceptional Circumstance 2: Reserved for additional sparsity lump sum</t>
  </si>
  <si>
    <t>25-26 Approved Exceptional Circumstance 3</t>
  </si>
  <si>
    <t>25-26 Approved Exceptional Circumstance 4</t>
  </si>
  <si>
    <t>25-26 Approved Exceptional Circumstance 5</t>
  </si>
  <si>
    <t>25-26 Approved Exceptional Circumstance 6</t>
  </si>
  <si>
    <t>25-26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</si>
  <si>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</si>
  <si>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</si>
  <si>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</si>
  <si>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</si>
  <si>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</si>
  <si>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</si>
  <si>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</si>
  <si>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</si>
  <si>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</si>
  <si>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</si>
  <si>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</si>
  <si>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</si>
  <si>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</si>
  <si>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25-26 MFG budget using minimum funding level</t>
  </si>
  <si>
    <t>Minimum allocation after capping/scaling</t>
  </si>
  <si>
    <t>25-26 MFG Budget</t>
  </si>
  <si>
    <t>25-26 MFG Unit Value</t>
  </si>
  <si>
    <t>24-25 MFG Unit Value</t>
  </si>
  <si>
    <t>MFG % change</t>
  </si>
  <si>
    <t>MFG Value adjustment</t>
  </si>
  <si>
    <t>25-26 MFG Adjustment</t>
  </si>
  <si>
    <t>25-26 Post MFG Budget</t>
  </si>
  <si>
    <t>Minimum per pupil funding: post MFG minimum funding per pupil rate</t>
  </si>
  <si>
    <t>Minimum per pupil funding: per pupil rate is greater than or equal to the minimum entered on the Proforma sheet?</t>
  </si>
  <si>
    <t>25-26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</si>
  <si>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</si>
  <si>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</si>
  <si>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</si>
  <si>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</si>
  <si>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25-26 NFF NNDR allocation</t>
  </si>
  <si>
    <t>Post De-delegation and Education functions budget after deduction of 25-26 NFF NNDR allocation</t>
  </si>
  <si>
    <t>Nelson Junior and Infant School</t>
  </si>
  <si>
    <t>King David Primary School</t>
  </si>
  <si>
    <t>St Margaret Mary RC Junior and Infant School</t>
  </si>
  <si>
    <t>St Gerard's RC Junior and Infant School</t>
  </si>
  <si>
    <t>St Cuthbert's RC Junior and Infant (NC) School</t>
  </si>
  <si>
    <t>St John and Monica Catholic Primary School</t>
  </si>
  <si>
    <t>Harper Bell Seventh-day Adventist School</t>
  </si>
  <si>
    <t>Selly Park  Girls' School</t>
  </si>
  <si>
    <t>CFR:</t>
  </si>
  <si>
    <t>Schools in orange opted into RPA and did not inform BCC. We originally calculated a BCC charge for these schools.</t>
  </si>
  <si>
    <t>Original Calculation</t>
  </si>
  <si>
    <t>RPA Charge</t>
  </si>
  <si>
    <t>Total Insurance</t>
  </si>
  <si>
    <t>May Conversions</t>
  </si>
  <si>
    <t>July Conversions</t>
  </si>
  <si>
    <t>Kings Heath Boys</t>
  </si>
  <si>
    <t>Closing Revenue</t>
  </si>
  <si>
    <t>Closing Capital</t>
  </si>
  <si>
    <t>Select School Name</t>
  </si>
  <si>
    <t>-</t>
  </si>
  <si>
    <t>SAP Fund Centre</t>
  </si>
  <si>
    <t>Latest URN</t>
  </si>
  <si>
    <t>Type of
School
Summary</t>
  </si>
  <si>
    <t>October Adjustments</t>
  </si>
  <si>
    <t>September Adjustments</t>
  </si>
  <si>
    <t>November Adjustments</t>
  </si>
  <si>
    <t>December Adjustments</t>
  </si>
  <si>
    <t>January Adjustments</t>
  </si>
  <si>
    <t>February Adjustments</t>
  </si>
  <si>
    <t>March Adjustments</t>
  </si>
  <si>
    <t>Exclusions</t>
  </si>
  <si>
    <t>October Conversions</t>
  </si>
  <si>
    <t>September Conversions</t>
  </si>
  <si>
    <t>October Exclusions</t>
  </si>
  <si>
    <t>Other Instalment Adjustments - No CFR code</t>
  </si>
  <si>
    <t>Less Excluded Pupils</t>
  </si>
  <si>
    <t>Pupil Premium Q2</t>
  </si>
  <si>
    <t>Post-16 NIC</t>
  </si>
  <si>
    <t>Post-16 National Insurance Contributions</t>
  </si>
  <si>
    <t>Pre-16 NIC</t>
  </si>
  <si>
    <t>Early Years NIC</t>
  </si>
  <si>
    <t>ITT Mentor</t>
  </si>
  <si>
    <t>Initial Teacher Training (ITT) Mentoring</t>
  </si>
  <si>
    <t xml:space="preserve">Pre-16 National Insurance Constributions </t>
  </si>
  <si>
    <t>CSBG Special Sep</t>
  </si>
  <si>
    <t>HN Oscott Manor Conversion</t>
  </si>
  <si>
    <t>Top Up &amp; TPG</t>
  </si>
  <si>
    <t>TPG</t>
  </si>
  <si>
    <t>Nov 25 Adjustment</t>
  </si>
  <si>
    <t>HN Place</t>
  </si>
  <si>
    <t>HN Top Up</t>
  </si>
  <si>
    <t>PE and Sports Grant Oct 25</t>
  </si>
  <si>
    <t>TPECG 16-19 Oct 25</t>
  </si>
  <si>
    <t>SBSG Oct25</t>
  </si>
  <si>
    <t>School Budget Support Grant (SBSG)</t>
  </si>
  <si>
    <t>CSBG Special Oct</t>
  </si>
  <si>
    <t>TPAG Mar25 Correction</t>
  </si>
  <si>
    <t>TPECG Mar25 Correction</t>
  </si>
  <si>
    <t>TPECG Special Mar 2025 Correction</t>
  </si>
  <si>
    <t>TPAG Special March 25 Correction</t>
  </si>
  <si>
    <t>December Adjustment</t>
  </si>
  <si>
    <t>C101</t>
  </si>
  <si>
    <t>ECF Backfill</t>
  </si>
  <si>
    <t>EY Under 2 YO 80% Indicative</t>
  </si>
  <si>
    <t>EY 2 YO 80% Indicative</t>
  </si>
  <si>
    <t>EY 3-4 YO 80% Indicative</t>
  </si>
  <si>
    <t>EY EYPP 80% Indicative</t>
  </si>
  <si>
    <t>EY FSM 80% Indicative</t>
  </si>
  <si>
    <t>EY Deprivation 80% Indicative</t>
  </si>
  <si>
    <t>EY DAF 80% Indicative</t>
  </si>
  <si>
    <t>Total Delegated Actual Funding Autumn 2025/26</t>
  </si>
  <si>
    <t>AUTUMN ACTUALS</t>
  </si>
  <si>
    <t xml:space="preserve"> Cells Q64 + Q79 + Q85 + Q118</t>
  </si>
  <si>
    <t>ECF Time Off</t>
  </si>
  <si>
    <t>* Updated high needs and early years funding allocations based on actual numbers. Please look at Early Years Calculator published with the full details of each Early Years factor</t>
  </si>
  <si>
    <t>RB Place</t>
  </si>
  <si>
    <t>Jan 26 Adjustment</t>
  </si>
  <si>
    <t>Jan Adjustment</t>
  </si>
  <si>
    <t>Growth Adjustment KHB</t>
  </si>
  <si>
    <t>Growth Adjustment BC</t>
  </si>
  <si>
    <t xml:space="preserve">ITT Mentor </t>
  </si>
  <si>
    <t>Pupil Premium Q3</t>
  </si>
  <si>
    <t>ESN AUTMN2</t>
  </si>
  <si>
    <t>EY End of Term Adjustment*</t>
  </si>
  <si>
    <t>Feb 26 Adjustment</t>
  </si>
  <si>
    <t>RB Top Up</t>
  </si>
  <si>
    <t>DFC Jan</t>
  </si>
  <si>
    <t>2024/25 Interest</t>
  </si>
  <si>
    <t>2024/25 Charges</t>
  </si>
  <si>
    <t>Q2 Barclays Interest</t>
  </si>
  <si>
    <t>Q2 Barclays Charges</t>
  </si>
  <si>
    <t>Sum of Total February Instalment</t>
  </si>
  <si>
    <t>Q3 Barclays Interest</t>
  </si>
  <si>
    <t>Q3 Barclays Charges</t>
  </si>
  <si>
    <t>Discretionary Bursary</t>
  </si>
  <si>
    <t>Early Years National Insurance Contributions Teachers Pay</t>
  </si>
  <si>
    <t>As at 01 Mar 2026</t>
  </si>
  <si>
    <t>ESN SPR</t>
  </si>
  <si>
    <t>Breakfast Club Autumn25</t>
  </si>
  <si>
    <t>Pupil Premium Q4</t>
  </si>
  <si>
    <t>DFC PFI SCHOOLS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</si>
</sst>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_-[$€-2]* #,##0.00_-;\-[$€-2]* #,##0.00_-;_-[$€-2]* &quot;-&quot;??_-"/>
    <numFmt numFmtId="168" formatCode="_(&quot;£&quot;* #,##0.00_);_(&quot;£&quot;* \(#,##0.00\);_(&quot;£&quot;* &quot;-&quot;??_);_(@_)"/>
    <numFmt numFmtId="169" formatCode="&quot;£&quot;#,##0.00"/>
    <numFmt numFmtId="170" formatCode="&quot;£&quot;#,##0_);[Red]\(&quot;£&quot;#,##0\)"/>
    <numFmt numFmtId="171" formatCode="#,##0;\(#,##0\)"/>
    <numFmt numFmtId="172" formatCode="_-* #,##0_-;* \(#,##0\)_-;_-* &quot;-&quot;_-;_-@_-"/>
    <numFmt numFmtId="173" formatCode="&quot; &quot;#,##0.00&quot; &quot;;&quot;-&quot;#,##0.00&quot; &quot;;&quot; -&quot;00&quot; &quot;;&quot; &quot;@&quot; &quot;"/>
    <numFmt numFmtId="174" formatCode="#,##0.00_ ;[Red]\-#,##0.00\ "/>
    <numFmt numFmtId="175" formatCode="#,##0.00;[Red]\(#,##0.00\)"/>
    <numFmt numFmtId="176" formatCode="#,##0;[Red]\(#,##0\)"/>
    <numFmt numFmtId="177" formatCode="#,##0.00_ ;[Red]\(#,##0.00\)"/>
    <numFmt numFmtId="178" formatCode="#,##0.00;[Red]#,##0.00"/>
    <numFmt numFmtId="179" formatCode="#,##0.00_ ;[Red]\(#,##0.00\)\ "/>
    <numFmt numFmtId="180" formatCode="#,##0_ ;\(#,##0\);_-* &quot;-&quot;??_-"/>
    <numFmt numFmtId="181" formatCode="#,##0_ ;[Red]\-#,##0\ "/>
    <numFmt numFmtId="182" formatCode="0%;[Red]\(0%\)"/>
    <numFmt numFmtId="183" formatCode="#,##0.00;\(#,##0.00\)"/>
    <numFmt numFmtId="184" formatCode="_-[$£-809]* #,##0.00_-;\-[$£-809]* #,##0.00_-;_-[$£-809]* &quot;-&quot;??_-;_-@_-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name val="Myriad Pro Light"/>
      <family val="2"/>
    </font>
    <font>
      <sz val="12"/>
      <color theme="1"/>
      <name val="Arial"/>
      <family val="2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18"/>
      <name val="System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i/>
      <sz val="10"/>
      <color indexed="17"/>
      <name val="System"/>
      <family val="2"/>
    </font>
    <font>
      <sz val="11"/>
      <color indexed="60"/>
      <name val="Calibri"/>
      <family val="2"/>
    </font>
    <font>
      <sz val="12"/>
      <name val="Helv"/>
    </font>
    <font>
      <sz val="8"/>
      <color indexed="72"/>
      <name val="MS Sans Serif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theme="1"/>
      <name val="Tahoma"/>
      <family val="2"/>
    </font>
    <font>
      <b/>
      <sz val="11"/>
      <color indexed="63"/>
      <name val="Calibri"/>
      <family val="2"/>
    </font>
    <font>
      <sz val="10"/>
      <color indexed="14"/>
      <name val="System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0"/>
      <color indexed="17"/>
      <name val="System"/>
      <family val="2"/>
    </font>
    <font>
      <sz val="11"/>
      <color indexed="10"/>
      <name val="Calibri"/>
      <family val="2"/>
    </font>
    <font>
      <b/>
      <sz val="14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3"/>
      <name val="Calibri"/>
      <family val="2"/>
      <scheme val="minor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9"/>
      <name val="Times New Roman"/>
      <family val="1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9"/>
      <color indexed="12"/>
      <name val="Times New Roman"/>
      <family val="1"/>
    </font>
    <font>
      <u/>
      <sz val="10"/>
      <color theme="11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7.5"/>
      <color indexed="12"/>
      <name val="Arial"/>
      <family val="2"/>
    </font>
    <font>
      <u/>
      <sz val="10"/>
      <color rgb="FF0000FF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2"/>
      <name val="Myriad Pro"/>
      <family val="2"/>
    </font>
    <font>
      <sz val="8"/>
      <color rgb="FF000000"/>
      <name val="MS Sans Serif"/>
      <family val="2"/>
    </font>
    <font>
      <sz val="10"/>
      <color indexed="8"/>
      <name val="Arial"/>
      <family val="2"/>
    </font>
    <font>
      <sz val="8"/>
      <color theme="1"/>
      <name val="Arial Narrow"/>
      <family val="2"/>
    </font>
    <font>
      <sz val="10"/>
      <name val="Tahoma"/>
      <family val="2"/>
    </font>
    <font>
      <b/>
      <sz val="12"/>
      <color indexed="63"/>
      <name val="Arial"/>
      <family val="2"/>
    </font>
    <font>
      <b/>
      <sz val="18"/>
      <color indexed="8"/>
      <name val="Cambria"/>
      <family val="1"/>
    </font>
    <font>
      <b/>
      <sz val="9"/>
      <name val="Times New Roman"/>
      <family val="1"/>
    </font>
    <font>
      <sz val="12"/>
      <color indexed="10"/>
      <name val="Arial"/>
      <family val="2"/>
    </font>
    <font>
      <i/>
      <sz val="11"/>
      <color theme="1"/>
      <name val="Calibri"/>
      <family val="2"/>
      <scheme val="minor"/>
    </font>
    <font>
      <b/>
      <i/>
      <sz val="13"/>
      <color theme="3"/>
      <name val="Calibri"/>
      <family val="2"/>
      <scheme val="minor"/>
    </font>
    <font>
      <b/>
      <u/>
      <sz val="10"/>
      <color indexed="8"/>
      <name val="Tahoma"/>
      <family val="2"/>
    </font>
    <font>
      <sz val="10"/>
      <name val="Courier"/>
      <family val="3"/>
    </font>
    <font>
      <sz val="10"/>
      <name val="MS Sans Serif"/>
      <family val="2"/>
    </font>
    <font>
      <b/>
      <sz val="1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9C650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sz val="13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2"/>
      <color theme="1"/>
      <name val="Myriad Pro"/>
      <family val="2"/>
    </font>
    <font>
      <b/>
      <sz val="11"/>
      <name val="Arial"/>
      <family val="2"/>
    </font>
    <font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1"/>
      <name val="Myriad Pro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2"/>
      <color theme="3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0"/>
      <name val="Arial"/>
      <family val="2"/>
    </font>
    <font>
      <i/>
      <sz val="9"/>
      <color theme="1"/>
      <name val="Arial"/>
      <family val="2"/>
    </font>
    <font>
      <b/>
      <i/>
      <sz val="9"/>
      <color theme="5" tint="-0.249977111117893"/>
      <name val="Arial"/>
      <family val="2"/>
    </font>
    <font>
      <b/>
      <u/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</font>
    <font>
      <i/>
      <sz val="8"/>
      <color theme="1"/>
      <name val="Arial"/>
      <family val="2"/>
    </font>
    <font>
      <b/>
      <u/>
      <sz val="9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  <bgColor rgb="FFFF0000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FEB9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0007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Gray"/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3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97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4" applyNumberFormat="0" applyAlignment="0" applyProtection="0"/>
    <xf numFmtId="0" fontId="12" fillId="0" borderId="0" applyNumberFormat="0" applyFont="0" applyFill="0" applyBorder="0" applyProtection="0">
      <alignment horizontal="centerContinuous" wrapText="1"/>
    </xf>
    <xf numFmtId="0" fontId="13" fillId="22" borderId="5" applyNumberFormat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>
      <protection locked="0"/>
    </xf>
    <xf numFmtId="167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19" fillId="5" borderId="0" applyNumberFormat="0" applyBorder="0" applyAlignment="0" applyProtection="0"/>
    <xf numFmtId="0" fontId="20" fillId="0" borderId="0">
      <alignment horizontal="center" vertical="center" wrapText="1"/>
    </xf>
    <xf numFmtId="0" fontId="21" fillId="0" borderId="6">
      <alignment horizontal="center" vertical="center" wrapText="1"/>
    </xf>
    <xf numFmtId="0" fontId="20" fillId="0" borderId="0">
      <alignment horizontal="left" wrapText="1"/>
    </xf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" fontId="27" fillId="0" borderId="0" applyNumberFormat="0" applyFill="0" applyBorder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29" fillId="0" borderId="10" applyNumberFormat="0" applyFill="0" applyAlignment="0" applyProtection="0"/>
    <xf numFmtId="10" fontId="30" fillId="0" borderId="11" applyFill="0" applyAlignment="0" applyProtection="0">
      <protection locked="0"/>
    </xf>
    <xf numFmtId="0" fontId="3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34" fillId="0" borderId="0"/>
    <xf numFmtId="0" fontId="7" fillId="0" borderId="0"/>
    <xf numFmtId="0" fontId="6" fillId="0" borderId="0"/>
    <xf numFmtId="0" fontId="15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 applyNumberFormat="0" applyFont="0" applyFill="0" applyBorder="0" applyAlignment="0" applyProtection="0"/>
    <xf numFmtId="0" fontId="14" fillId="0" borderId="0"/>
    <xf numFmtId="0" fontId="6" fillId="0" borderId="0"/>
    <xf numFmtId="0" fontId="3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1" fontId="38" fillId="0" borderId="14" applyNumberFormat="0" applyFill="0" applyBorder="0" applyAlignment="0" applyProtection="0"/>
    <xf numFmtId="0" fontId="6" fillId="0" borderId="0"/>
    <xf numFmtId="0" fontId="21" fillId="0" borderId="15" applyBorder="0">
      <alignment horizontal="right"/>
    </xf>
    <xf numFmtId="164" fontId="6" fillId="0" borderId="0"/>
    <xf numFmtId="164" fontId="6" fillId="0" borderId="0"/>
    <xf numFmtId="164" fontId="6" fillId="0" borderId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/>
    <xf numFmtId="9" fontId="6" fillId="0" borderId="0" applyFont="0" applyFill="0" applyBorder="0" applyAlignment="0" applyProtection="0"/>
    <xf numFmtId="0" fontId="6" fillId="0" borderId="0"/>
    <xf numFmtId="0" fontId="51" fillId="30" borderId="0" applyNumberFormat="0" applyFont="0" applyBorder="0" applyAlignment="0" applyProtection="0"/>
    <xf numFmtId="0" fontId="51" fillId="31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2" borderId="0" applyNumberFormat="0" applyFont="0" applyBorder="0" applyAlignment="0" applyProtection="0"/>
    <xf numFmtId="0" fontId="51" fillId="33" borderId="0" applyNumberFormat="0" applyFont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0" fontId="51" fillId="0" borderId="0" applyNumberFormat="0" applyBorder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34" fillId="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1" fillId="37" borderId="0" applyNumberFormat="0" applyBorder="0" applyAlignment="0" applyProtection="0"/>
    <xf numFmtId="0" fontId="34" fillId="10" borderId="0" applyNumberFormat="0" applyBorder="0" applyAlignment="0" applyProtection="0"/>
    <xf numFmtId="0" fontId="1" fillId="38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3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5" fillId="3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0" borderId="0" applyNumberFormat="0" applyBorder="0" applyAlignment="0" applyProtection="0"/>
    <xf numFmtId="0" fontId="56" fillId="4" borderId="0" applyNumberFormat="0" applyBorder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7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8" fillId="22" borderId="5" applyNumberFormat="0" applyAlignment="0" applyProtection="0"/>
    <xf numFmtId="0" fontId="13" fillId="22" borderId="5" applyNumberFormat="0" applyAlignment="0" applyProtection="0"/>
    <xf numFmtId="0" fontId="59" fillId="34" borderId="28" applyNumberFormat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1" fillId="0" borderId="0">
      <alignment horizontal="left"/>
    </xf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42" fontId="3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alignment horizontal="center" vertical="center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19" fillId="5" borderId="0" applyNumberFormat="0" applyBorder="0" applyAlignment="0" applyProtection="0"/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67" fillId="0" borderId="7" applyNumberFormat="0" applyFill="0" applyAlignment="0" applyProtection="0"/>
    <xf numFmtId="0" fontId="68" fillId="0" borderId="8" applyNumberFormat="0" applyFill="0" applyAlignment="0" applyProtection="0"/>
    <xf numFmtId="0" fontId="69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72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73" fillId="0" borderId="10" applyNumberFormat="0" applyFill="0" applyAlignment="0" applyProtection="0"/>
    <xf numFmtId="0" fontId="74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75" fillId="0" borderId="0"/>
    <xf numFmtId="0" fontId="3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51" fillId="0" borderId="0" applyNumberFormat="0" applyFont="0" applyBorder="0" applyProtection="0"/>
    <xf numFmtId="0" fontId="6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15" fillId="0" borderId="0"/>
    <xf numFmtId="0" fontId="33" fillId="0" borderId="0" applyAlignment="0">
      <alignment vertical="top" wrapText="1"/>
      <protection locked="0"/>
    </xf>
    <xf numFmtId="0" fontId="1" fillId="0" borderId="0"/>
    <xf numFmtId="0" fontId="76" fillId="0" borderId="0" applyNumberFormat="0" applyBorder="0" applyAlignmen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7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6" fillId="0" borderId="0" applyNumberFormat="0" applyFont="0" applyFill="0" applyBorder="0" applyAlignment="0" applyProtection="0"/>
    <xf numFmtId="0" fontId="6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0" fillId="0" borderId="0"/>
    <xf numFmtId="0" fontId="1" fillId="0" borderId="0"/>
    <xf numFmtId="0" fontId="50" fillId="0" borderId="0"/>
    <xf numFmtId="0" fontId="3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4" fillId="0" borderId="0"/>
    <xf numFmtId="0" fontId="34" fillId="0" borderId="0"/>
    <xf numFmtId="0" fontId="7" fillId="0" borderId="0"/>
    <xf numFmtId="0" fontId="15" fillId="0" borderId="0"/>
    <xf numFmtId="0" fontId="7" fillId="0" borderId="0"/>
    <xf numFmtId="0" fontId="6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5" fillId="0" borderId="0"/>
    <xf numFmtId="0" fontId="15" fillId="0" borderId="0"/>
    <xf numFmtId="0" fontId="1" fillId="0" borderId="0"/>
    <xf numFmtId="0" fontId="34" fillId="0" borderId="0"/>
    <xf numFmtId="0" fontId="6" fillId="0" borderId="0"/>
    <xf numFmtId="0" fontId="6" fillId="0" borderId="0"/>
    <xf numFmtId="0" fontId="36" fillId="0" borderId="0"/>
    <xf numFmtId="0" fontId="15" fillId="0" borderId="0"/>
    <xf numFmtId="0" fontId="6" fillId="0" borderId="0"/>
    <xf numFmtId="0" fontId="78" fillId="0" borderId="0"/>
    <xf numFmtId="0" fontId="6" fillId="0" borderId="0"/>
    <xf numFmtId="0" fontId="79" fillId="0" borderId="0"/>
    <xf numFmtId="0" fontId="6" fillId="0" borderId="0"/>
    <xf numFmtId="0" fontId="60" fillId="0" borderId="0"/>
    <xf numFmtId="0" fontId="34" fillId="0" borderId="0"/>
    <xf numFmtId="0" fontId="1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4" fontId="61" fillId="0" borderId="0">
      <alignment horizontal="right"/>
    </xf>
    <xf numFmtId="0" fontId="61" fillId="0" borderId="0">
      <alignment horizontal="left"/>
    </xf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80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62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4" fontId="82" fillId="0" borderId="29">
      <alignment horizontal="right"/>
    </xf>
    <xf numFmtId="0" fontId="82" fillId="0" borderId="29">
      <alignment horizontal="left"/>
    </xf>
    <xf numFmtId="0" fontId="8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" fontId="86" fillId="0" borderId="0"/>
    <xf numFmtId="0" fontId="6" fillId="0" borderId="0" applyBorder="0"/>
    <xf numFmtId="39" fontId="87" fillId="0" borderId="0"/>
    <xf numFmtId="40" fontId="88" fillId="0" borderId="0" applyFont="0" applyFill="0" applyBorder="0" applyAlignment="0" applyProtection="0"/>
    <xf numFmtId="0" fontId="6" fillId="41" borderId="12"/>
    <xf numFmtId="174" fontId="6" fillId="42" borderId="12"/>
    <xf numFmtId="39" fontId="87" fillId="0" borderId="0"/>
    <xf numFmtId="0" fontId="1" fillId="0" borderId="0"/>
    <xf numFmtId="0" fontId="1" fillId="0" borderId="0"/>
    <xf numFmtId="0" fontId="7" fillId="0" borderId="0"/>
    <xf numFmtId="39" fontId="87" fillId="0" borderId="0"/>
    <xf numFmtId="39" fontId="87" fillId="0" borderId="0"/>
    <xf numFmtId="39" fontId="87" fillId="0" borderId="0"/>
    <xf numFmtId="39" fontId="87" fillId="0" borderId="0"/>
    <xf numFmtId="1" fontId="86" fillId="0" borderId="0"/>
    <xf numFmtId="1" fontId="86" fillId="0" borderId="0"/>
    <xf numFmtId="0" fontId="6" fillId="0" borderId="0" applyBorder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14" fillId="0" borderId="0"/>
    <xf numFmtId="0" fontId="6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91" fillId="46" borderId="0" applyNumberFormat="0" applyBorder="0" applyAlignment="0" applyProtection="0"/>
    <xf numFmtId="0" fontId="55" fillId="45" borderId="0" applyNumberFormat="0" applyBorder="0" applyAlignment="0" applyProtection="0"/>
    <xf numFmtId="0" fontId="92" fillId="0" borderId="0"/>
    <xf numFmtId="0" fontId="1" fillId="0" borderId="0"/>
    <xf numFmtId="0" fontId="98" fillId="0" borderId="0"/>
    <xf numFmtId="0" fontId="6" fillId="0" borderId="0">
      <alignment vertical="top"/>
    </xf>
  </cellStyleXfs>
  <cellXfs count="917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/>
    <xf numFmtId="0" fontId="0" fillId="0" borderId="0" xfId="0" applyAlignment="1">
      <alignment horizontal="left"/>
    </xf>
    <xf numFmtId="166" fontId="0" fillId="0" borderId="0" xfId="0" applyNumberFormat="1"/>
    <xf numFmtId="0" fontId="2" fillId="0" borderId="0" xfId="0" applyFont="1" applyAlignment="1">
      <alignment horizontal="center" vertical="center" wrapText="1"/>
    </xf>
    <xf numFmtId="166" fontId="0" fillId="0" borderId="0" xfId="1" applyNumberFormat="1" applyFont="1" applyFill="1" applyBorder="1"/>
    <xf numFmtId="0" fontId="3" fillId="0" borderId="0" xfId="0" applyFont="1"/>
    <xf numFmtId="0" fontId="44" fillId="0" borderId="0" xfId="0" applyFont="1"/>
    <xf numFmtId="0" fontId="0" fillId="0" borderId="19" xfId="0" applyBorder="1"/>
    <xf numFmtId="0" fontId="2" fillId="0" borderId="20" xfId="0" applyFont="1" applyBorder="1"/>
    <xf numFmtId="0" fontId="3" fillId="0" borderId="20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7" fillId="0" borderId="1" xfId="0" applyFont="1" applyBorder="1"/>
    <xf numFmtId="0" fontId="47" fillId="0" borderId="17" xfId="0" applyFont="1" applyBorder="1"/>
    <xf numFmtId="0" fontId="0" fillId="0" borderId="0" xfId="0" applyAlignment="1">
      <alignment horizontal="center"/>
    </xf>
    <xf numFmtId="0" fontId="47" fillId="0" borderId="0" xfId="0" applyFont="1"/>
    <xf numFmtId="0" fontId="46" fillId="0" borderId="0" xfId="0" applyFont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44" fillId="0" borderId="20" xfId="0" applyFont="1" applyBorder="1"/>
    <xf numFmtId="0" fontId="2" fillId="0" borderId="22" xfId="0" applyFont="1" applyBorder="1" applyAlignment="1">
      <alignment horizontal="center" vertical="center" wrapText="1"/>
    </xf>
    <xf numFmtId="17" fontId="46" fillId="0" borderId="1" xfId="0" applyNumberFormat="1" applyFont="1" applyBorder="1" applyAlignment="1">
      <alignment horizontal="center" vertical="center" wrapText="1"/>
    </xf>
    <xf numFmtId="166" fontId="47" fillId="0" borderId="1" xfId="1" applyNumberFormat="1" applyFont="1" applyBorder="1" applyAlignment="1">
      <alignment vertical="center" wrapText="1"/>
    </xf>
    <xf numFmtId="172" fontId="47" fillId="0" borderId="1" xfId="1" applyNumberFormat="1" applyFont="1" applyBorder="1" applyAlignment="1">
      <alignment vertical="center" wrapText="1"/>
    </xf>
    <xf numFmtId="43" fontId="0" fillId="0" borderId="0" xfId="0" applyNumberFormat="1"/>
    <xf numFmtId="17" fontId="46" fillId="0" borderId="0" xfId="0" applyNumberFormat="1" applyFont="1" applyAlignment="1">
      <alignment horizontal="center" vertical="center" wrapText="1"/>
    </xf>
    <xf numFmtId="166" fontId="47" fillId="0" borderId="1" xfId="0" applyNumberFormat="1" applyFont="1" applyBorder="1"/>
    <xf numFmtId="0" fontId="46" fillId="0" borderId="0" xfId="0" applyFont="1" applyAlignment="1">
      <alignment vertical="center" wrapText="1"/>
    </xf>
    <xf numFmtId="166" fontId="47" fillId="0" borderId="1" xfId="1" applyNumberFormat="1" applyFont="1" applyFill="1" applyBorder="1" applyAlignment="1">
      <alignment vertical="center" wrapText="1"/>
    </xf>
    <xf numFmtId="0" fontId="44" fillId="0" borderId="1" xfId="0" applyFont="1" applyBorder="1"/>
    <xf numFmtId="166" fontId="46" fillId="0" borderId="1" xfId="0" applyNumberFormat="1" applyFont="1" applyBorder="1"/>
    <xf numFmtId="169" fontId="4" fillId="28" borderId="1" xfId="169" applyNumberFormat="1" applyFont="1" applyFill="1" applyBorder="1" applyAlignment="1" applyProtection="1">
      <alignment horizontal="right"/>
    </xf>
    <xf numFmtId="10" fontId="4" fillId="28" borderId="1" xfId="169" applyNumberFormat="1" applyFont="1" applyFill="1" applyBorder="1" applyAlignment="1" applyProtection="1">
      <alignment horizontal="right"/>
    </xf>
    <xf numFmtId="170" fontId="4" fillId="26" borderId="1" xfId="199" applyNumberFormat="1" applyFont="1" applyFill="1" applyBorder="1" applyAlignment="1" applyProtection="1">
      <alignment horizontal="center" vertical="center" wrapText="1"/>
    </xf>
    <xf numFmtId="170" fontId="4" fillId="26" borderId="17" xfId="199" applyNumberFormat="1" applyFont="1" applyFill="1" applyBorder="1" applyAlignment="1" applyProtection="1">
      <alignment horizontal="center" vertical="center" wrapText="1"/>
    </xf>
    <xf numFmtId="10" fontId="4" fillId="43" borderId="1" xfId="169" applyNumberFormat="1" applyFont="1" applyFill="1" applyBorder="1" applyAlignment="1" applyProtection="1">
      <alignment horizontal="center" vertical="center" wrapText="1"/>
    </xf>
    <xf numFmtId="10" fontId="4" fillId="26" borderId="1" xfId="169" applyNumberFormat="1" applyFont="1" applyFill="1" applyBorder="1" applyAlignment="1" applyProtection="1">
      <alignment horizontal="center" vertical="center" wrapText="1"/>
    </xf>
    <xf numFmtId="4" fontId="4" fillId="28" borderId="1" xfId="169" applyNumberFormat="1" applyFont="1" applyFill="1" applyBorder="1" applyAlignment="1" applyProtection="1">
      <alignment horizontal="right"/>
    </xf>
    <xf numFmtId="10" fontId="4" fillId="28" borderId="1" xfId="3336" applyNumberFormat="1" applyFont="1" applyFill="1" applyBorder="1" applyAlignment="1" applyProtection="1">
      <alignment horizontal="right"/>
    </xf>
    <xf numFmtId="0" fontId="47" fillId="0" borderId="1" xfId="0" applyFont="1" applyBorder="1" applyAlignment="1">
      <alignment wrapText="1"/>
    </xf>
    <xf numFmtId="0" fontId="4" fillId="26" borderId="1" xfId="0" applyFont="1" applyFill="1" applyBorder="1" applyAlignment="1">
      <alignment horizontal="center" vertical="center" wrapText="1"/>
    </xf>
    <xf numFmtId="1" fontId="4" fillId="26" borderId="1" xfId="0" applyNumberFormat="1" applyFont="1" applyFill="1" applyBorder="1" applyAlignment="1">
      <alignment horizontal="center" vertical="center" wrapText="1"/>
    </xf>
    <xf numFmtId="170" fontId="4" fillId="43" borderId="1" xfId="0" applyNumberFormat="1" applyFont="1" applyFill="1" applyBorder="1" applyAlignment="1">
      <alignment horizontal="center" vertical="center" wrapText="1"/>
    </xf>
    <xf numFmtId="170" fontId="4" fillId="26" borderId="1" xfId="0" applyNumberFormat="1" applyFont="1" applyFill="1" applyBorder="1" applyAlignment="1">
      <alignment horizontal="center" vertical="center" wrapText="1"/>
    </xf>
    <xf numFmtId="3" fontId="5" fillId="27" borderId="1" xfId="0" applyNumberFormat="1" applyFont="1" applyFill="1" applyBorder="1" applyAlignment="1">
      <alignment horizontal="right" wrapText="1"/>
    </xf>
    <xf numFmtId="1" fontId="4" fillId="28" borderId="1" xfId="0" applyNumberFormat="1" applyFont="1" applyFill="1" applyBorder="1" applyAlignment="1">
      <alignment horizontal="left"/>
    </xf>
    <xf numFmtId="0" fontId="4" fillId="28" borderId="1" xfId="0" applyFont="1" applyFill="1" applyBorder="1" applyAlignment="1">
      <alignment horizontal="left"/>
    </xf>
    <xf numFmtId="169" fontId="4" fillId="28" borderId="1" xfId="0" applyNumberFormat="1" applyFont="1" applyFill="1" applyBorder="1" applyAlignment="1">
      <alignment horizontal="right"/>
    </xf>
    <xf numFmtId="43" fontId="0" fillId="0" borderId="0" xfId="1" applyFont="1"/>
    <xf numFmtId="44" fontId="0" fillId="0" borderId="0" xfId="0" applyNumberFormat="1"/>
    <xf numFmtId="0" fontId="89" fillId="0" borderId="40" xfId="0" applyFont="1" applyBorder="1" applyProtection="1">
      <protection hidden="1"/>
    </xf>
    <xf numFmtId="0" fontId="47" fillId="0" borderId="44" xfId="0" applyFont="1" applyBorder="1" applyProtection="1">
      <protection hidden="1"/>
    </xf>
    <xf numFmtId="0" fontId="47" fillId="0" borderId="46" xfId="0" applyFont="1" applyBorder="1" applyProtection="1">
      <protection hidden="1"/>
    </xf>
    <xf numFmtId="0" fontId="47" fillId="0" borderId="36" xfId="0" applyFont="1" applyBorder="1" applyProtection="1">
      <protection hidden="1"/>
    </xf>
    <xf numFmtId="0" fontId="85" fillId="0" borderId="3" xfId="0" applyFont="1" applyBorder="1"/>
    <xf numFmtId="0" fontId="2" fillId="0" borderId="0" xfId="0" applyFont="1" applyAlignment="1">
      <alignment horizontal="center"/>
    </xf>
    <xf numFmtId="175" fontId="0" fillId="0" borderId="0" xfId="0" applyNumberFormat="1"/>
    <xf numFmtId="0" fontId="2" fillId="0" borderId="0" xfId="0" applyFont="1" applyAlignment="1">
      <alignment horizontal="right"/>
    </xf>
    <xf numFmtId="43" fontId="0" fillId="0" borderId="1" xfId="1" applyFont="1" applyBorder="1"/>
    <xf numFmtId="0" fontId="46" fillId="43" borderId="1" xfId="0" applyFont="1" applyFill="1" applyBorder="1"/>
    <xf numFmtId="0" fontId="46" fillId="48" borderId="1" xfId="0" applyFont="1" applyFill="1" applyBorder="1"/>
    <xf numFmtId="0" fontId="85" fillId="43" borderId="48" xfId="0" applyFont="1" applyFill="1" applyBorder="1"/>
    <xf numFmtId="175" fontId="0" fillId="0" borderId="0" xfId="0" applyNumberFormat="1" applyAlignment="1">
      <alignment horizontal="center"/>
    </xf>
    <xf numFmtId="175" fontId="46" fillId="0" borderId="1" xfId="0" applyNumberFormat="1" applyFont="1" applyBorder="1" applyAlignment="1" applyProtection="1">
      <alignment horizontal="center" vertical="center" wrapText="1"/>
      <protection hidden="1"/>
    </xf>
    <xf numFmtId="175" fontId="0" fillId="0" borderId="0" xfId="1" applyNumberFormat="1" applyFont="1"/>
    <xf numFmtId="175" fontId="47" fillId="0" borderId="1" xfId="1" applyNumberFormat="1" applyFont="1" applyBorder="1" applyProtection="1">
      <protection hidden="1"/>
    </xf>
    <xf numFmtId="175" fontId="46" fillId="48" borderId="1" xfId="1" applyNumberFormat="1" applyFont="1" applyFill="1" applyBorder="1" applyProtection="1">
      <protection hidden="1"/>
    </xf>
    <xf numFmtId="175" fontId="0" fillId="0" borderId="0" xfId="1" applyNumberFormat="1" applyFont="1" applyAlignment="1">
      <alignment horizontal="center"/>
    </xf>
    <xf numFmtId="175" fontId="46" fillId="43" borderId="1" xfId="1" applyNumberFormat="1" applyFont="1" applyFill="1" applyBorder="1" applyProtection="1">
      <protection hidden="1"/>
    </xf>
    <xf numFmtId="175" fontId="46" fillId="0" borderId="25" xfId="1" applyNumberFormat="1" applyFont="1" applyBorder="1"/>
    <xf numFmtId="175" fontId="47" fillId="0" borderId="0" xfId="1" applyNumberFormat="1" applyFont="1" applyBorder="1"/>
    <xf numFmtId="175" fontId="3" fillId="0" borderId="0" xfId="1" applyNumberFormat="1" applyFont="1"/>
    <xf numFmtId="175" fontId="3" fillId="0" borderId="20" xfId="1" applyNumberFormat="1" applyFont="1" applyBorder="1"/>
    <xf numFmtId="175" fontId="0" fillId="0" borderId="20" xfId="1" applyNumberFormat="1" applyFont="1" applyBorder="1"/>
    <xf numFmtId="175" fontId="0" fillId="0" borderId="21" xfId="0" applyNumberFormat="1" applyBorder="1"/>
    <xf numFmtId="175" fontId="0" fillId="0" borderId="15" xfId="1" applyNumberFormat="1" applyFont="1" applyBorder="1"/>
    <xf numFmtId="175" fontId="0" fillId="0" borderId="23" xfId="0" applyNumberFormat="1" applyBorder="1"/>
    <xf numFmtId="175" fontId="46" fillId="0" borderId="17" xfId="1" applyNumberFormat="1" applyFont="1" applyBorder="1" applyAlignment="1">
      <alignment horizontal="center" vertical="center" wrapText="1"/>
    </xf>
    <xf numFmtId="175" fontId="46" fillId="0" borderId="27" xfId="0" applyNumberFormat="1" applyFont="1" applyBorder="1" applyAlignment="1">
      <alignment horizontal="center" vertical="center" wrapText="1"/>
    </xf>
    <xf numFmtId="175" fontId="2" fillId="0" borderId="0" xfId="0" applyNumberFormat="1" applyFont="1" applyAlignment="1">
      <alignment horizontal="center" vertical="center" wrapText="1"/>
    </xf>
    <xf numFmtId="175" fontId="47" fillId="0" borderId="1" xfId="1" applyNumberFormat="1" applyFont="1" applyBorder="1"/>
    <xf numFmtId="175" fontId="47" fillId="0" borderId="1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Border="1" applyAlignment="1">
      <alignment horizontal="right" vertical="center" wrapText="1"/>
    </xf>
    <xf numFmtId="175" fontId="47" fillId="0" borderId="17" xfId="1" applyNumberFormat="1" applyFont="1" applyBorder="1" applyAlignment="1">
      <alignment horizontal="right" vertical="center" wrapText="1"/>
    </xf>
    <xf numFmtId="175" fontId="46" fillId="0" borderId="27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>
      <alignment horizontal="right" vertical="center" wrapText="1"/>
    </xf>
    <xf numFmtId="175" fontId="2" fillId="0" borderId="0" xfId="2" applyNumberFormat="1" applyFont="1" applyFill="1" applyBorder="1" applyAlignment="1">
      <alignment horizontal="center" vertical="center" wrapText="1"/>
    </xf>
    <xf numFmtId="175" fontId="46" fillId="48" borderId="1" xfId="1" applyNumberFormat="1" applyFont="1" applyFill="1" applyBorder="1"/>
    <xf numFmtId="175" fontId="46" fillId="48" borderId="1" xfId="1" applyNumberFormat="1" applyFont="1" applyFill="1" applyBorder="1" applyAlignment="1">
      <alignment horizontal="right" vertical="center" wrapText="1"/>
    </xf>
    <xf numFmtId="175" fontId="46" fillId="48" borderId="17" xfId="1" applyNumberFormat="1" applyFont="1" applyFill="1" applyBorder="1" applyAlignment="1">
      <alignment horizontal="right" vertical="center" wrapText="1"/>
    </xf>
    <xf numFmtId="175" fontId="46" fillId="0" borderId="1" xfId="1" applyNumberFormat="1" applyFont="1" applyBorder="1"/>
    <xf numFmtId="175" fontId="46" fillId="0" borderId="1" xfId="1" applyNumberFormat="1" applyFont="1" applyBorder="1" applyAlignment="1">
      <alignment horizontal="right" vertical="center" wrapText="1"/>
    </xf>
    <xf numFmtId="175" fontId="46" fillId="0" borderId="23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 applyProtection="1">
      <alignment horizontal="right" wrapText="1"/>
      <protection hidden="1"/>
    </xf>
    <xf numFmtId="175" fontId="46" fillId="43" borderId="49" xfId="1" applyNumberFormat="1" applyFont="1" applyFill="1" applyBorder="1"/>
    <xf numFmtId="175" fontId="46" fillId="43" borderId="49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39" xfId="1" applyNumberFormat="1" applyFont="1" applyFill="1" applyBorder="1" applyAlignment="1" applyProtection="1">
      <alignment horizontal="right" vertical="center" wrapText="1"/>
      <protection hidden="1"/>
    </xf>
    <xf numFmtId="175" fontId="46" fillId="0" borderId="3" xfId="1" applyNumberFormat="1" applyFont="1" applyBorder="1"/>
    <xf numFmtId="175" fontId="46" fillId="0" borderId="3" xfId="1" applyNumberFormat="1" applyFont="1" applyBorder="1" applyAlignment="1">
      <alignment horizontal="right" vertical="center" wrapText="1"/>
    </xf>
    <xf numFmtId="175" fontId="46" fillId="0" borderId="42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Fill="1" applyBorder="1" applyAlignment="1">
      <alignment horizontal="right" vertical="center" wrapText="1"/>
    </xf>
    <xf numFmtId="175" fontId="47" fillId="0" borderId="1" xfId="1" applyNumberFormat="1" applyFont="1" applyBorder="1" applyAlignment="1" applyProtection="1">
      <alignment horizontal="right" vertical="center" wrapText="1"/>
      <protection hidden="1"/>
    </xf>
    <xf numFmtId="175" fontId="47" fillId="0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1" xfId="1" applyNumberFormat="1" applyFont="1" applyFill="1" applyBorder="1"/>
    <xf numFmtId="175" fontId="46" fillId="43" borderId="1" xfId="1" applyNumberFormat="1" applyFont="1" applyFill="1" applyBorder="1" applyAlignment="1">
      <alignment horizontal="right" vertical="center" wrapText="1"/>
    </xf>
    <xf numFmtId="175" fontId="47" fillId="48" borderId="1" xfId="1" applyNumberFormat="1" applyFont="1" applyFill="1" applyBorder="1"/>
    <xf numFmtId="175" fontId="47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7" fillId="48" borderId="1" xfId="1" applyNumberFormat="1" applyFont="1" applyFill="1" applyBorder="1" applyAlignment="1">
      <alignment horizontal="right" vertical="center" wrapText="1"/>
    </xf>
    <xf numFmtId="175" fontId="49" fillId="0" borderId="23" xfId="0" applyNumberFormat="1" applyFont="1" applyBorder="1"/>
    <xf numFmtId="175" fontId="46" fillId="0" borderId="43" xfId="1" applyNumberFormat="1" applyFont="1" applyBorder="1" applyProtection="1">
      <protection hidden="1"/>
    </xf>
    <xf numFmtId="175" fontId="46" fillId="0" borderId="43" xfId="1" applyNumberFormat="1" applyFont="1" applyBorder="1" applyAlignment="1" applyProtection="1">
      <alignment horizontal="right" vertical="center" wrapText="1"/>
    </xf>
    <xf numFmtId="175" fontId="46" fillId="0" borderId="45" xfId="1" applyNumberFormat="1" applyFont="1" applyBorder="1" applyProtection="1">
      <protection hidden="1"/>
    </xf>
    <xf numFmtId="175" fontId="46" fillId="0" borderId="45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Protection="1">
      <protection hidden="1"/>
    </xf>
    <xf numFmtId="175" fontId="46" fillId="0" borderId="37" xfId="1" applyNumberFormat="1" applyFont="1" applyBorder="1" applyProtection="1">
      <protection hidden="1"/>
    </xf>
    <xf numFmtId="175" fontId="46" fillId="0" borderId="37" xfId="1" applyNumberFormat="1" applyFont="1" applyBorder="1" applyAlignment="1" applyProtection="1">
      <alignment horizontal="right" vertical="center" wrapText="1"/>
      <protection hidden="1"/>
    </xf>
    <xf numFmtId="175" fontId="0" fillId="0" borderId="25" xfId="0" applyNumberFormat="1" applyBorder="1"/>
    <xf numFmtId="175" fontId="0" fillId="0" borderId="26" xfId="0" applyNumberFormat="1" applyBorder="1"/>
    <xf numFmtId="175" fontId="47" fillId="0" borderId="1" xfId="1" applyNumberFormat="1" applyFont="1" applyBorder="1" applyAlignment="1" applyProtection="1">
      <alignment horizontal="right"/>
      <protection hidden="1"/>
    </xf>
    <xf numFmtId="175" fontId="46" fillId="48" borderId="1" xfId="1" applyNumberFormat="1" applyFont="1" applyFill="1" applyBorder="1" applyAlignment="1" applyProtection="1">
      <alignment horizontal="right"/>
      <protection hidden="1"/>
    </xf>
    <xf numFmtId="175" fontId="46" fillId="43" borderId="1" xfId="1" applyNumberFormat="1" applyFont="1" applyFill="1" applyBorder="1" applyAlignment="1" applyProtection="1">
      <alignment horizontal="right"/>
      <protection hidden="1"/>
    </xf>
    <xf numFmtId="175" fontId="46" fillId="0" borderId="25" xfId="1" applyNumberFormat="1" applyFont="1" applyBorder="1" applyAlignment="1">
      <alignment horizontal="right"/>
    </xf>
    <xf numFmtId="175" fontId="47" fillId="0" borderId="0" xfId="1" applyNumberFormat="1" applyFont="1" applyBorder="1" applyAlignment="1">
      <alignment horizontal="right"/>
    </xf>
    <xf numFmtId="175" fontId="0" fillId="0" borderId="0" xfId="1" applyNumberFormat="1" applyFont="1" applyAlignment="1">
      <alignment horizontal="right"/>
    </xf>
    <xf numFmtId="175" fontId="0" fillId="0" borderId="20" xfId="1" applyNumberFormat="1" applyFont="1" applyBorder="1" applyAlignment="1">
      <alignment horizontal="right"/>
    </xf>
    <xf numFmtId="175" fontId="3" fillId="0" borderId="0" xfId="1" applyNumberFormat="1" applyFont="1" applyBorder="1"/>
    <xf numFmtId="175" fontId="0" fillId="0" borderId="0" xfId="1" applyNumberFormat="1" applyFont="1" applyBorder="1" applyAlignment="1">
      <alignment horizontal="right"/>
    </xf>
    <xf numFmtId="175" fontId="0" fillId="0" borderId="23" xfId="1" applyNumberFormat="1" applyFont="1" applyBorder="1"/>
    <xf numFmtId="175" fontId="0" fillId="0" borderId="0" xfId="1" applyNumberFormat="1" applyFont="1" applyBorder="1"/>
    <xf numFmtId="175" fontId="49" fillId="0" borderId="0" xfId="1" applyNumberFormat="1" applyFont="1" applyBorder="1" applyAlignment="1">
      <alignment horizontal="right"/>
    </xf>
    <xf numFmtId="175" fontId="93" fillId="25" borderId="0" xfId="1" applyNumberFormat="1" applyFont="1" applyFill="1" applyBorder="1" applyAlignment="1">
      <alignment horizontal="center" vertical="center" wrapText="1"/>
    </xf>
    <xf numFmtId="0" fontId="84" fillId="0" borderId="0" xfId="0" applyFont="1"/>
    <xf numFmtId="175" fontId="84" fillId="0" borderId="0" xfId="1" applyNumberFormat="1" applyFont="1" applyBorder="1" applyAlignment="1">
      <alignment horizontal="right"/>
    </xf>
    <xf numFmtId="175" fontId="48" fillId="0" borderId="0" xfId="1" applyNumberFormat="1" applyFont="1" applyBorder="1" applyAlignment="1">
      <alignment horizontal="center" vertical="center" wrapText="1"/>
    </xf>
    <xf numFmtId="175" fontId="49" fillId="0" borderId="0" xfId="1" applyNumberFormat="1" applyFont="1" applyBorder="1"/>
    <xf numFmtId="175" fontId="0" fillId="0" borderId="0" xfId="1" applyNumberFormat="1" applyFont="1" applyFill="1"/>
    <xf numFmtId="0" fontId="95" fillId="0" borderId="0" xfId="0" applyFont="1"/>
    <xf numFmtId="0" fontId="95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71" fontId="5" fillId="0" borderId="0" xfId="0" applyNumberFormat="1" applyFont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71" fontId="2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43" fontId="2" fillId="0" borderId="0" xfId="0" applyNumberFormat="1" applyFont="1" applyAlignment="1">
      <alignment horizontal="center" vertical="center" wrapText="1"/>
    </xf>
    <xf numFmtId="43" fontId="47" fillId="0" borderId="1" xfId="1" applyFont="1" applyBorder="1" applyAlignment="1" applyProtection="1">
      <alignment horizontal="right"/>
      <protection hidden="1"/>
    </xf>
    <xf numFmtId="176" fontId="0" fillId="0" borderId="0" xfId="1" applyNumberFormat="1" applyFont="1" applyBorder="1" applyAlignment="1">
      <alignment horizontal="right"/>
    </xf>
    <xf numFmtId="175" fontId="47" fillId="0" borderId="26" xfId="1" applyNumberFormat="1" applyFont="1" applyBorder="1"/>
    <xf numFmtId="175" fontId="2" fillId="0" borderId="0" xfId="0" applyNumberFormat="1" applyFont="1" applyAlignment="1">
      <alignment horizontal="left" vertical="center"/>
    </xf>
    <xf numFmtId="175" fontId="47" fillId="0" borderId="25" xfId="1" applyNumberFormat="1" applyFont="1" applyBorder="1"/>
    <xf numFmtId="175" fontId="46" fillId="0" borderId="38" xfId="0" applyNumberFormat="1" applyFont="1" applyBorder="1" applyAlignment="1">
      <alignment vertical="center" wrapText="1"/>
    </xf>
    <xf numFmtId="175" fontId="0" fillId="0" borderId="38" xfId="1" applyNumberFormat="1" applyFont="1" applyBorder="1" applyAlignment="1">
      <alignment horizontal="right"/>
    </xf>
    <xf numFmtId="175" fontId="47" fillId="0" borderId="25" xfId="1" applyNumberFormat="1" applyFont="1" applyBorder="1" applyAlignment="1">
      <alignment horizontal="right"/>
    </xf>
    <xf numFmtId="0" fontId="96" fillId="0" borderId="0" xfId="0" applyFont="1"/>
    <xf numFmtId="17" fontId="46" fillId="0" borderId="1" xfId="1" applyNumberFormat="1" applyFont="1" applyFill="1" applyBorder="1" applyAlignment="1" applyProtection="1">
      <alignment horizontal="center" vertical="center" wrapText="1"/>
    </xf>
    <xf numFmtId="175" fontId="46" fillId="0" borderId="3" xfId="1" applyNumberFormat="1" applyFont="1" applyFill="1" applyBorder="1" applyAlignment="1" applyProtection="1">
      <alignment horizontal="center" vertical="center" wrapText="1"/>
    </xf>
    <xf numFmtId="175" fontId="46" fillId="0" borderId="1" xfId="1" applyNumberFormat="1" applyFont="1" applyFill="1" applyBorder="1" applyAlignment="1">
      <alignment horizontal="center" vertical="center" wrapText="1"/>
    </xf>
    <xf numFmtId="175" fontId="0" fillId="0" borderId="1" xfId="1" applyNumberFormat="1" applyFont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2" fillId="50" borderId="1" xfId="0" applyFont="1" applyFill="1" applyBorder="1" applyAlignment="1">
      <alignment horizontal="left" vertical="center"/>
    </xf>
    <xf numFmtId="0" fontId="2" fillId="50" borderId="1" xfId="0" applyFont="1" applyFill="1" applyBorder="1" applyAlignment="1">
      <alignment horizontal="left" vertical="center" wrapText="1"/>
    </xf>
    <xf numFmtId="0" fontId="2" fillId="50" borderId="1" xfId="0" applyFont="1" applyFill="1" applyBorder="1" applyAlignment="1">
      <alignment horizontal="left"/>
    </xf>
    <xf numFmtId="0" fontId="2" fillId="0" borderId="48" xfId="0" applyFont="1" applyBorder="1" applyAlignment="1">
      <alignment horizontal="center" vertical="top" wrapText="1"/>
    </xf>
    <xf numFmtId="0" fontId="2" fillId="0" borderId="54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center" vertical="top" wrapText="1"/>
    </xf>
    <xf numFmtId="0" fontId="2" fillId="0" borderId="39" xfId="0" applyFont="1" applyBorder="1" applyAlignment="1">
      <alignment horizontal="center" vertical="top" wrapText="1"/>
    </xf>
    <xf numFmtId="0" fontId="2" fillId="0" borderId="48" xfId="0" applyFont="1" applyBorder="1"/>
    <xf numFmtId="0" fontId="2" fillId="0" borderId="49" xfId="0" applyFont="1" applyBorder="1"/>
    <xf numFmtId="0" fontId="2" fillId="0" borderId="39" xfId="0" applyFont="1" applyBorder="1"/>
    <xf numFmtId="0" fontId="2" fillId="0" borderId="47" xfId="0" applyFont="1" applyBorder="1" applyAlignment="1">
      <alignment wrapText="1"/>
    </xf>
    <xf numFmtId="0" fontId="0" fillId="0" borderId="3" xfId="0" applyBorder="1" applyAlignment="1">
      <alignment vertical="center" wrapText="1"/>
    </xf>
    <xf numFmtId="43" fontId="0" fillId="0" borderId="0" xfId="0" applyNumberFormat="1" applyAlignment="1">
      <alignment vertical="center" wrapText="1"/>
    </xf>
    <xf numFmtId="44" fontId="0" fillId="0" borderId="0" xfId="0" applyNumberFormat="1" applyAlignment="1">
      <alignment vertical="center" wrapText="1"/>
    </xf>
    <xf numFmtId="44" fontId="0" fillId="0" borderId="35" xfId="0" applyNumberFormat="1" applyBorder="1"/>
    <xf numFmtId="43" fontId="0" fillId="0" borderId="1" xfId="0" applyNumberFormat="1" applyBorder="1" applyAlignment="1">
      <alignment vertical="center" wrapText="1"/>
    </xf>
    <xf numFmtId="43" fontId="0" fillId="0" borderId="1" xfId="0" applyNumberFormat="1" applyBorder="1"/>
    <xf numFmtId="43" fontId="0" fillId="0" borderId="3" xfId="0" applyNumberFormat="1" applyBorder="1" applyAlignment="1">
      <alignment vertical="center" wrapText="1"/>
    </xf>
    <xf numFmtId="0" fontId="0" fillId="44" borderId="1" xfId="0" applyFill="1" applyBorder="1"/>
    <xf numFmtId="43" fontId="0" fillId="44" borderId="3" xfId="0" applyNumberFormat="1" applyFill="1" applyBorder="1" applyAlignment="1">
      <alignment vertical="center" wrapText="1"/>
    </xf>
    <xf numFmtId="43" fontId="0" fillId="44" borderId="0" xfId="0" applyNumberFormat="1" applyFill="1"/>
    <xf numFmtId="0" fontId="0" fillId="44" borderId="0" xfId="0" applyFill="1"/>
    <xf numFmtId="0" fontId="2" fillId="44" borderId="1" xfId="0" applyFont="1" applyFill="1" applyBorder="1"/>
    <xf numFmtId="0" fontId="2" fillId="0" borderId="55" xfId="0" applyFont="1" applyBorder="1" applyAlignment="1">
      <alignment horizontal="center" vertical="top" wrapText="1"/>
    </xf>
    <xf numFmtId="44" fontId="0" fillId="0" borderId="1" xfId="0" applyNumberForma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31" xfId="0" applyBorder="1"/>
    <xf numFmtId="0" fontId="0" fillId="0" borderId="34" xfId="0" applyBorder="1"/>
    <xf numFmtId="0" fontId="0" fillId="44" borderId="31" xfId="0" applyFill="1" applyBorder="1"/>
    <xf numFmtId="0" fontId="0" fillId="44" borderId="34" xfId="0" applyFill="1" applyBorder="1"/>
    <xf numFmtId="0" fontId="0" fillId="0" borderId="56" xfId="0" applyBorder="1"/>
    <xf numFmtId="0" fontId="0" fillId="0" borderId="57" xfId="0" applyBorder="1"/>
    <xf numFmtId="0" fontId="2" fillId="0" borderId="57" xfId="0" applyFont="1" applyBorder="1"/>
    <xf numFmtId="0" fontId="2" fillId="0" borderId="58" xfId="0" applyFont="1" applyBorder="1"/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53" xfId="0" applyBorder="1" applyAlignment="1">
      <alignment vertical="center" wrapText="1"/>
    </xf>
    <xf numFmtId="43" fontId="0" fillId="0" borderId="3" xfId="0" applyNumberFormat="1" applyBorder="1"/>
    <xf numFmtId="44" fontId="0" fillId="0" borderId="3" xfId="0" applyNumberFormat="1" applyBorder="1" applyAlignment="1">
      <alignment vertical="center" wrapText="1"/>
    </xf>
    <xf numFmtId="43" fontId="0" fillId="0" borderId="53" xfId="0" applyNumberFormat="1" applyBorder="1" applyAlignment="1">
      <alignment vertical="center" wrapText="1"/>
    </xf>
    <xf numFmtId="43" fontId="0" fillId="0" borderId="34" xfId="0" applyNumberFormat="1" applyBorder="1"/>
    <xf numFmtId="43" fontId="0" fillId="44" borderId="34" xfId="0" applyNumberFormat="1" applyFill="1" applyBorder="1"/>
    <xf numFmtId="44" fontId="0" fillId="0" borderId="57" xfId="0" applyNumberFormat="1" applyBorder="1"/>
    <xf numFmtId="44" fontId="0" fillId="0" borderId="58" xfId="0" applyNumberFormat="1" applyBorder="1"/>
    <xf numFmtId="0" fontId="0" fillId="0" borderId="3" xfId="0" applyBorder="1"/>
    <xf numFmtId="44" fontId="0" fillId="44" borderId="35" xfId="0" applyNumberFormat="1" applyFill="1" applyBorder="1" applyAlignment="1">
      <alignment vertical="center" wrapText="1"/>
    </xf>
    <xf numFmtId="44" fontId="0" fillId="44" borderId="51" xfId="0" applyNumberFormat="1" applyFill="1" applyBorder="1"/>
    <xf numFmtId="174" fontId="0" fillId="0" borderId="1" xfId="0" applyNumberFormat="1" applyBorder="1"/>
    <xf numFmtId="0" fontId="99" fillId="0" borderId="1" xfId="0" applyFont="1" applyBorder="1"/>
    <xf numFmtId="174" fontId="0" fillId="0" borderId="0" xfId="0" applyNumberFormat="1"/>
    <xf numFmtId="175" fontId="46" fillId="43" borderId="17" xfId="1" applyNumberFormat="1" applyFont="1" applyFill="1" applyBorder="1" applyAlignment="1">
      <alignment horizontal="center" vertical="center" wrapText="1"/>
    </xf>
    <xf numFmtId="175" fontId="46" fillId="43" borderId="17" xfId="1" applyNumberFormat="1" applyFont="1" applyFill="1" applyBorder="1" applyAlignment="1">
      <alignment horizontal="right" vertical="center" wrapText="1"/>
    </xf>
    <xf numFmtId="175" fontId="46" fillId="43" borderId="18" xfId="1" applyNumberFormat="1" applyFont="1" applyFill="1" applyBorder="1" applyAlignment="1" applyProtection="1">
      <alignment horizontal="right"/>
      <protection hidden="1"/>
    </xf>
    <xf numFmtId="0" fontId="0" fillId="0" borderId="52" xfId="0" applyBorder="1"/>
    <xf numFmtId="43" fontId="0" fillId="0" borderId="31" xfId="1" applyFont="1" applyBorder="1"/>
    <xf numFmtId="43" fontId="0" fillId="0" borderId="34" xfId="1" applyFont="1" applyBorder="1"/>
    <xf numFmtId="0" fontId="0" fillId="0" borderId="53" xfId="0" applyBorder="1"/>
    <xf numFmtId="0" fontId="0" fillId="53" borderId="19" xfId="0" applyFill="1" applyBorder="1"/>
    <xf numFmtId="0" fontId="0" fillId="53" borderId="20" xfId="0" applyFill="1" applyBorder="1"/>
    <xf numFmtId="0" fontId="45" fillId="53" borderId="20" xfId="0" applyFont="1" applyFill="1" applyBorder="1" applyProtection="1">
      <protection hidden="1"/>
    </xf>
    <xf numFmtId="0" fontId="0" fillId="53" borderId="20" xfId="0" applyFill="1" applyBorder="1" applyProtection="1">
      <protection hidden="1"/>
    </xf>
    <xf numFmtId="0" fontId="0" fillId="53" borderId="21" xfId="0" applyFill="1" applyBorder="1" applyProtection="1">
      <protection hidden="1"/>
    </xf>
    <xf numFmtId="0" fontId="0" fillId="53" borderId="22" xfId="0" applyFill="1" applyBorder="1"/>
    <xf numFmtId="0" fontId="0" fillId="53" borderId="0" xfId="0" applyFill="1"/>
    <xf numFmtId="0" fontId="0" fillId="53" borderId="0" xfId="0" applyFill="1" applyProtection="1">
      <protection hidden="1"/>
    </xf>
    <xf numFmtId="0" fontId="0" fillId="53" borderId="23" xfId="0" applyFill="1" applyBorder="1" applyProtection="1">
      <protection hidden="1"/>
    </xf>
    <xf numFmtId="0" fontId="0" fillId="53" borderId="24" xfId="0" applyFill="1" applyBorder="1"/>
    <xf numFmtId="0" fontId="2" fillId="53" borderId="25" xfId="0" applyFont="1" applyFill="1" applyBorder="1"/>
    <xf numFmtId="0" fontId="0" fillId="53" borderId="25" xfId="0" applyFill="1" applyBorder="1"/>
    <xf numFmtId="0" fontId="0" fillId="53" borderId="26" xfId="0" applyFill="1" applyBorder="1"/>
    <xf numFmtId="0" fontId="46" fillId="0" borderId="0" xfId="0" applyFont="1"/>
    <xf numFmtId="175" fontId="46" fillId="0" borderId="0" xfId="1" applyNumberFormat="1" applyFont="1" applyFill="1" applyBorder="1" applyProtection="1">
      <protection hidden="1"/>
    </xf>
    <xf numFmtId="175" fontId="46" fillId="0" borderId="0" xfId="1" applyNumberFormat="1" applyFont="1" applyFill="1" applyBorder="1" applyAlignment="1" applyProtection="1">
      <alignment horizontal="right"/>
      <protection hidden="1"/>
    </xf>
    <xf numFmtId="175" fontId="47" fillId="0" borderId="1" xfId="1" applyNumberFormat="1" applyFont="1" applyFill="1" applyBorder="1"/>
    <xf numFmtId="0" fontId="26" fillId="0" borderId="1" xfId="3967" applyBorder="1"/>
    <xf numFmtId="4" fontId="0" fillId="0" borderId="1" xfId="1" applyNumberFormat="1" applyFont="1" applyBorder="1"/>
    <xf numFmtId="4" fontId="0" fillId="0" borderId="1" xfId="0" applyNumberFormat="1" applyBorder="1"/>
    <xf numFmtId="0" fontId="100" fillId="53" borderId="20" xfId="0" applyFont="1" applyFill="1" applyBorder="1"/>
    <xf numFmtId="0" fontId="3" fillId="53" borderId="20" xfId="0" applyFont="1" applyFill="1" applyBorder="1"/>
    <xf numFmtId="0" fontId="100" fillId="53" borderId="0" xfId="0" applyFont="1" applyFill="1"/>
    <xf numFmtId="0" fontId="3" fillId="53" borderId="0" xfId="0" applyFont="1" applyFill="1"/>
    <xf numFmtId="0" fontId="101" fillId="53" borderId="0" xfId="0" applyFont="1" applyFill="1"/>
    <xf numFmtId="0" fontId="90" fillId="0" borderId="0" xfId="0" applyFont="1"/>
    <xf numFmtId="0" fontId="47" fillId="0" borderId="25" xfId="0" applyFont="1" applyBorder="1"/>
    <xf numFmtId="175" fontId="46" fillId="54" borderId="1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right"/>
      <protection hidden="1"/>
    </xf>
    <xf numFmtId="175" fontId="47" fillId="54" borderId="17" xfId="1" applyNumberFormat="1" applyFont="1" applyFill="1" applyBorder="1" applyAlignment="1">
      <alignment horizontal="right" vertical="center" wrapText="1"/>
    </xf>
    <xf numFmtId="0" fontId="103" fillId="48" borderId="1" xfId="0" applyFont="1" applyFill="1" applyBorder="1"/>
    <xf numFmtId="0" fontId="2" fillId="48" borderId="0" xfId="0" applyFont="1" applyFill="1" applyAlignment="1">
      <alignment horizontal="center" vertical="center" wrapText="1"/>
    </xf>
    <xf numFmtId="175" fontId="46" fillId="48" borderId="23" xfId="1" applyNumberFormat="1" applyFont="1" applyFill="1" applyBorder="1" applyAlignment="1">
      <alignment horizontal="center" vertical="center" wrapText="1"/>
    </xf>
    <xf numFmtId="175" fontId="2" fillId="48" borderId="0" xfId="0" applyNumberFormat="1" applyFont="1" applyFill="1" applyAlignment="1">
      <alignment horizontal="center" vertical="center" wrapText="1"/>
    </xf>
    <xf numFmtId="0" fontId="102" fillId="48" borderId="1" xfId="0" applyFont="1" applyFill="1" applyBorder="1"/>
    <xf numFmtId="175" fontId="46" fillId="0" borderId="1" xfId="1" applyNumberFormat="1" applyFont="1" applyFill="1" applyBorder="1" applyAlignment="1">
      <alignment horizontal="right" vertical="center" wrapText="1"/>
    </xf>
    <xf numFmtId="0" fontId="26" fillId="0" borderId="1" xfId="3967" applyFill="1" applyBorder="1"/>
    <xf numFmtId="175" fontId="46" fillId="0" borderId="1" xfId="1" applyNumberFormat="1" applyFont="1" applyFill="1" applyBorder="1"/>
    <xf numFmtId="0" fontId="104" fillId="55" borderId="0" xfId="0" applyFont="1" applyFill="1"/>
    <xf numFmtId="0" fontId="105" fillId="55" borderId="0" xfId="0" applyFont="1" applyFill="1"/>
    <xf numFmtId="0" fontId="106" fillId="55" borderId="1" xfId="0" applyFont="1" applyFill="1" applyBorder="1" applyAlignment="1">
      <alignment wrapText="1"/>
    </xf>
    <xf numFmtId="0" fontId="0" fillId="55" borderId="0" xfId="0" applyFill="1"/>
    <xf numFmtId="0" fontId="0" fillId="55" borderId="1" xfId="0" applyFill="1" applyBorder="1"/>
    <xf numFmtId="0" fontId="2" fillId="49" borderId="48" xfId="0" applyFont="1" applyFill="1" applyBorder="1" applyAlignment="1">
      <alignment horizontal="center" wrapText="1"/>
    </xf>
    <xf numFmtId="0" fontId="2" fillId="49" borderId="49" xfId="0" applyFont="1" applyFill="1" applyBorder="1" applyAlignment="1">
      <alignment horizontal="center" wrapText="1"/>
    </xf>
    <xf numFmtId="174" fontId="0" fillId="0" borderId="0" xfId="1" applyNumberFormat="1" applyFont="1"/>
    <xf numFmtId="0" fontId="0" fillId="54" borderId="0" xfId="0" applyFill="1"/>
    <xf numFmtId="0" fontId="2" fillId="54" borderId="0" xfId="0" applyFont="1" applyFill="1" applyAlignment="1">
      <alignment horizontal="center" vertical="top" wrapText="1"/>
    </xf>
    <xf numFmtId="43" fontId="0" fillId="54" borderId="0" xfId="0" applyNumberFormat="1" applyFill="1"/>
    <xf numFmtId="0" fontId="0" fillId="54" borderId="31" xfId="0" applyFill="1" applyBorder="1"/>
    <xf numFmtId="0" fontId="0" fillId="54" borderId="1" xfId="0" applyFill="1" applyBorder="1"/>
    <xf numFmtId="0" fontId="2" fillId="54" borderId="1" xfId="0" applyFont="1" applyFill="1" applyBorder="1"/>
    <xf numFmtId="43" fontId="0" fillId="54" borderId="3" xfId="0" applyNumberFormat="1" applyFill="1" applyBorder="1" applyAlignment="1">
      <alignment vertical="center" wrapText="1"/>
    </xf>
    <xf numFmtId="43" fontId="0" fillId="54" borderId="34" xfId="0" applyNumberFormat="1" applyFill="1" applyBorder="1"/>
    <xf numFmtId="174" fontId="0" fillId="0" borderId="31" xfId="0" applyNumberFormat="1" applyBorder="1"/>
    <xf numFmtId="174" fontId="0" fillId="0" borderId="34" xfId="0" applyNumberFormat="1" applyBorder="1"/>
    <xf numFmtId="43" fontId="0" fillId="54" borderId="56" xfId="1" applyFont="1" applyFill="1" applyBorder="1"/>
    <xf numFmtId="43" fontId="0" fillId="54" borderId="57" xfId="1" applyFont="1" applyFill="1" applyBorder="1"/>
    <xf numFmtId="43" fontId="0" fillId="54" borderId="58" xfId="1" applyFont="1" applyFill="1" applyBorder="1"/>
    <xf numFmtId="44" fontId="0" fillId="0" borderId="0" xfId="1" applyNumberFormat="1" applyFont="1" applyFill="1" applyBorder="1"/>
    <xf numFmtId="174" fontId="0" fillId="54" borderId="0" xfId="0" applyNumberFormat="1" applyFill="1"/>
    <xf numFmtId="0" fontId="0" fillId="0" borderId="32" xfId="0" applyBorder="1"/>
    <xf numFmtId="0" fontId="0" fillId="0" borderId="33" xfId="0" applyBorder="1"/>
    <xf numFmtId="0" fontId="0" fillId="0" borderId="59" xfId="0" applyBorder="1"/>
    <xf numFmtId="43" fontId="0" fillId="0" borderId="56" xfId="1" applyFont="1" applyBorder="1"/>
    <xf numFmtId="0" fontId="2" fillId="54" borderId="0" xfId="0" applyFont="1" applyFill="1"/>
    <xf numFmtId="178" fontId="0" fillId="0" borderId="0" xfId="0" applyNumberFormat="1"/>
    <xf numFmtId="175" fontId="0" fillId="55" borderId="0" xfId="1" applyNumberFormat="1" applyFont="1" applyFill="1"/>
    <xf numFmtId="175" fontId="0" fillId="55" borderId="0" xfId="0" applyNumberFormat="1" applyFill="1"/>
    <xf numFmtId="0" fontId="0" fillId="50" borderId="0" xfId="0" applyFill="1"/>
    <xf numFmtId="0" fontId="104" fillId="50" borderId="0" xfId="0" applyFont="1" applyFill="1"/>
    <xf numFmtId="0" fontId="105" fillId="50" borderId="0" xfId="0" applyFont="1" applyFill="1"/>
    <xf numFmtId="0" fontId="106" fillId="50" borderId="1" xfId="0" applyFont="1" applyFill="1" applyBorder="1" applyAlignment="1">
      <alignment wrapText="1"/>
    </xf>
    <xf numFmtId="0" fontId="0" fillId="50" borderId="1" xfId="0" applyFill="1" applyBorder="1"/>
    <xf numFmtId="175" fontId="0" fillId="50" borderId="0" xfId="1" applyNumberFormat="1" applyFont="1" applyFill="1"/>
    <xf numFmtId="175" fontId="0" fillId="50" borderId="0" xfId="0" applyNumberFormat="1" applyFill="1"/>
    <xf numFmtId="0" fontId="0" fillId="57" borderId="0" xfId="0" applyFill="1"/>
    <xf numFmtId="0" fontId="104" fillId="57" borderId="0" xfId="0" applyFont="1" applyFill="1"/>
    <xf numFmtId="0" fontId="105" fillId="57" borderId="0" xfId="0" applyFont="1" applyFill="1"/>
    <xf numFmtId="0" fontId="106" fillId="57" borderId="1" xfId="0" applyFont="1" applyFill="1" applyBorder="1" applyAlignment="1">
      <alignment wrapText="1"/>
    </xf>
    <xf numFmtId="0" fontId="0" fillId="57" borderId="1" xfId="0" applyFill="1" applyBorder="1"/>
    <xf numFmtId="175" fontId="0" fillId="57" borderId="0" xfId="1" applyNumberFormat="1" applyFont="1" applyFill="1"/>
    <xf numFmtId="175" fontId="0" fillId="57" borderId="0" xfId="0" applyNumberFormat="1" applyFill="1"/>
    <xf numFmtId="0" fontId="0" fillId="29" borderId="0" xfId="0" applyFill="1"/>
    <xf numFmtId="0" fontId="104" fillId="29" borderId="0" xfId="0" applyFont="1" applyFill="1"/>
    <xf numFmtId="0" fontId="105" fillId="29" borderId="0" xfId="0" applyFont="1" applyFill="1"/>
    <xf numFmtId="0" fontId="106" fillId="29" borderId="1" xfId="0" applyFont="1" applyFill="1" applyBorder="1" applyAlignment="1">
      <alignment wrapText="1"/>
    </xf>
    <xf numFmtId="0" fontId="0" fillId="29" borderId="1" xfId="0" applyFill="1" applyBorder="1"/>
    <xf numFmtId="175" fontId="0" fillId="29" borderId="0" xfId="1" applyNumberFormat="1" applyFont="1" applyFill="1"/>
    <xf numFmtId="175" fontId="0" fillId="29" borderId="0" xfId="0" applyNumberFormat="1" applyFill="1"/>
    <xf numFmtId="0" fontId="26" fillId="54" borderId="0" xfId="3967" applyFill="1" applyBorder="1" applyAlignment="1"/>
    <xf numFmtId="0" fontId="0" fillId="52" borderId="0" xfId="0" applyFill="1"/>
    <xf numFmtId="0" fontId="104" fillId="52" borderId="0" xfId="0" applyFont="1" applyFill="1"/>
    <xf numFmtId="0" fontId="105" fillId="52" borderId="0" xfId="0" applyFont="1" applyFill="1"/>
    <xf numFmtId="0" fontId="106" fillId="52" borderId="1" xfId="0" applyFont="1" applyFill="1" applyBorder="1" applyAlignment="1">
      <alignment wrapText="1"/>
    </xf>
    <xf numFmtId="0" fontId="0" fillId="52" borderId="1" xfId="0" applyFill="1" applyBorder="1"/>
    <xf numFmtId="175" fontId="0" fillId="52" borderId="0" xfId="1" applyNumberFormat="1" applyFont="1" applyFill="1"/>
    <xf numFmtId="175" fontId="0" fillId="52" borderId="0" xfId="0" applyNumberFormat="1" applyFill="1"/>
    <xf numFmtId="0" fontId="0" fillId="49" borderId="0" xfId="0" applyFill="1"/>
    <xf numFmtId="0" fontId="104" fillId="49" borderId="0" xfId="0" applyFont="1" applyFill="1"/>
    <xf numFmtId="0" fontId="105" fillId="49" borderId="0" xfId="0" applyFont="1" applyFill="1"/>
    <xf numFmtId="0" fontId="106" fillId="49" borderId="1" xfId="0" applyFont="1" applyFill="1" applyBorder="1" applyAlignment="1">
      <alignment wrapText="1"/>
    </xf>
    <xf numFmtId="0" fontId="0" fillId="49" borderId="1" xfId="0" applyFill="1" applyBorder="1"/>
    <xf numFmtId="175" fontId="0" fillId="49" borderId="0" xfId="1" applyNumberFormat="1" applyFont="1" applyFill="1"/>
    <xf numFmtId="175" fontId="0" fillId="49" borderId="0" xfId="0" applyNumberFormat="1" applyFill="1"/>
    <xf numFmtId="0" fontId="0" fillId="58" borderId="0" xfId="0" applyFill="1"/>
    <xf numFmtId="0" fontId="104" fillId="58" borderId="0" xfId="0" applyFont="1" applyFill="1"/>
    <xf numFmtId="0" fontId="105" fillId="58" borderId="0" xfId="0" applyFont="1" applyFill="1"/>
    <xf numFmtId="0" fontId="106" fillId="58" borderId="1" xfId="0" applyFont="1" applyFill="1" applyBorder="1" applyAlignment="1">
      <alignment wrapText="1"/>
    </xf>
    <xf numFmtId="0" fontId="0" fillId="58" borderId="1" xfId="0" applyFill="1" applyBorder="1"/>
    <xf numFmtId="175" fontId="0" fillId="58" borderId="0" xfId="1" applyNumberFormat="1" applyFont="1" applyFill="1"/>
    <xf numFmtId="175" fontId="0" fillId="58" borderId="0" xfId="0" applyNumberFormat="1" applyFill="1"/>
    <xf numFmtId="0" fontId="0" fillId="0" borderId="52" xfId="0" applyBorder="1" applyAlignment="1">
      <alignment horizontal="center" vertical="top" wrapText="1"/>
    </xf>
    <xf numFmtId="0" fontId="0" fillId="0" borderId="56" xfId="0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19" xfId="0" applyBorder="1" applyAlignment="1">
      <alignment horizontal="centerContinuous"/>
    </xf>
    <xf numFmtId="0" fontId="0" fillId="0" borderId="21" xfId="0" applyBorder="1" applyAlignment="1">
      <alignment horizontal="centerContinuous"/>
    </xf>
    <xf numFmtId="0" fontId="0" fillId="59" borderId="0" xfId="0" applyFill="1"/>
    <xf numFmtId="0" fontId="104" fillId="59" borderId="0" xfId="0" applyFont="1" applyFill="1"/>
    <xf numFmtId="0" fontId="105" fillId="59" borderId="0" xfId="0" applyFont="1" applyFill="1"/>
    <xf numFmtId="0" fontId="106" fillId="59" borderId="1" xfId="0" applyFont="1" applyFill="1" applyBorder="1" applyAlignment="1">
      <alignment wrapText="1"/>
    </xf>
    <xf numFmtId="0" fontId="0" fillId="59" borderId="1" xfId="0" applyFill="1" applyBorder="1"/>
    <xf numFmtId="175" fontId="0" fillId="59" borderId="0" xfId="1" applyNumberFormat="1" applyFont="1" applyFill="1"/>
    <xf numFmtId="175" fontId="0" fillId="59" borderId="0" xfId="0" applyNumberFormat="1" applyFill="1"/>
    <xf numFmtId="0" fontId="0" fillId="0" borderId="63" xfId="0" applyBorder="1" applyAlignment="1">
      <alignment horizontal="centerContinuous"/>
    </xf>
    <xf numFmtId="0" fontId="0" fillId="0" borderId="37" xfId="0" applyBorder="1" applyAlignment="1">
      <alignment wrapText="1"/>
    </xf>
    <xf numFmtId="0" fontId="0" fillId="0" borderId="64" xfId="0" applyBorder="1"/>
    <xf numFmtId="174" fontId="0" fillId="0" borderId="45" xfId="0" applyNumberFormat="1" applyBorder="1"/>
    <xf numFmtId="0" fontId="2" fillId="0" borderId="48" xfId="0" applyFont="1" applyBorder="1" applyAlignment="1" applyProtection="1">
      <alignment horizontal="center" vertical="top" wrapText="1"/>
      <protection locked="0"/>
    </xf>
    <xf numFmtId="0" fontId="2" fillId="0" borderId="54" xfId="0" applyFont="1" applyBorder="1" applyAlignment="1" applyProtection="1">
      <alignment horizontal="center" vertical="top" wrapText="1"/>
      <protection locked="0"/>
    </xf>
    <xf numFmtId="0" fontId="2" fillId="0" borderId="49" xfId="0" applyFont="1" applyBorder="1" applyAlignment="1" applyProtection="1">
      <alignment horizontal="center" vertical="top" wrapText="1"/>
      <protection locked="0"/>
    </xf>
    <xf numFmtId="0" fontId="2" fillId="0" borderId="39" xfId="0" applyFont="1" applyBorder="1" applyAlignment="1" applyProtection="1">
      <alignment horizontal="center" vertical="top" wrapText="1"/>
      <protection locked="0"/>
    </xf>
    <xf numFmtId="0" fontId="101" fillId="53" borderId="0" xfId="0" applyFont="1" applyFill="1" applyAlignment="1">
      <alignment horizontal="left"/>
    </xf>
    <xf numFmtId="0" fontId="101" fillId="53" borderId="0" xfId="0" applyFont="1" applyFill="1" applyProtection="1">
      <protection locked="0"/>
    </xf>
    <xf numFmtId="14" fontId="0" fillId="0" borderId="0" xfId="0" applyNumberFormat="1"/>
    <xf numFmtId="43" fontId="0" fillId="0" borderId="3" xfId="1" applyFont="1" applyBorder="1" applyAlignment="1">
      <alignment vertical="center" wrapText="1"/>
    </xf>
    <xf numFmtId="0" fontId="4" fillId="0" borderId="1" xfId="3967" applyFont="1" applyFill="1" applyBorder="1"/>
    <xf numFmtId="43" fontId="0" fillId="60" borderId="3" xfId="0" applyNumberFormat="1" applyFill="1" applyBorder="1" applyAlignment="1">
      <alignment vertical="center" wrapText="1"/>
    </xf>
    <xf numFmtId="0" fontId="46" fillId="54" borderId="1" xfId="0" applyFont="1" applyFill="1" applyBorder="1"/>
    <xf numFmtId="43" fontId="95" fillId="0" borderId="3" xfId="0" applyNumberFormat="1" applyFont="1" applyBorder="1" applyAlignment="1">
      <alignment vertical="center" wrapText="1"/>
    </xf>
    <xf numFmtId="43" fontId="95" fillId="0" borderId="1" xfId="0" applyNumberFormat="1" applyFont="1" applyBorder="1"/>
    <xf numFmtId="44" fontId="95" fillId="0" borderId="57" xfId="0" applyNumberFormat="1" applyFont="1" applyBorder="1"/>
    <xf numFmtId="175" fontId="108" fillId="0" borderId="1" xfId="1" applyNumberFormat="1" applyFont="1" applyBorder="1" applyAlignment="1" applyProtection="1">
      <alignment horizontal="right" vertical="center" wrapText="1"/>
      <protection hidden="1"/>
    </xf>
    <xf numFmtId="0" fontId="0" fillId="60" borderId="0" xfId="0" applyFill="1"/>
    <xf numFmtId="175" fontId="5" fillId="25" borderId="0" xfId="0" applyNumberFormat="1" applyFont="1" applyFill="1" applyAlignment="1">
      <alignment horizontal="left" vertical="center"/>
    </xf>
    <xf numFmtId="43" fontId="0" fillId="57" borderId="3" xfId="0" applyNumberFormat="1" applyFill="1" applyBorder="1" applyAlignment="1">
      <alignment vertical="center" wrapText="1"/>
    </xf>
    <xf numFmtId="43" fontId="0" fillId="57" borderId="34" xfId="0" applyNumberFormat="1" applyFill="1" applyBorder="1"/>
    <xf numFmtId="43" fontId="4" fillId="0" borderId="1" xfId="0" applyNumberFormat="1" applyFont="1" applyBorder="1"/>
    <xf numFmtId="43" fontId="4" fillId="0" borderId="3" xfId="0" applyNumberFormat="1" applyFont="1" applyBorder="1" applyAlignment="1">
      <alignment vertical="center" wrapText="1"/>
    </xf>
    <xf numFmtId="44" fontId="4" fillId="0" borderId="57" xfId="0" applyNumberFormat="1" applyFont="1" applyBorder="1"/>
    <xf numFmtId="0" fontId="0" fillId="57" borderId="31" xfId="0" applyFill="1" applyBorder="1"/>
    <xf numFmtId="0" fontId="2" fillId="57" borderId="1" xfId="0" applyFont="1" applyFill="1" applyBorder="1"/>
    <xf numFmtId="174" fontId="0" fillId="57" borderId="56" xfId="0" applyNumberFormat="1" applyFill="1" applyBorder="1"/>
    <xf numFmtId="174" fontId="0" fillId="57" borderId="58" xfId="0" applyNumberFormat="1" applyFill="1" applyBorder="1"/>
    <xf numFmtId="174" fontId="0" fillId="57" borderId="37" xfId="0" applyNumberFormat="1" applyFill="1" applyBorder="1"/>
    <xf numFmtId="174" fontId="0" fillId="57" borderId="34" xfId="0" applyNumberFormat="1" applyFill="1" applyBorder="1"/>
    <xf numFmtId="175" fontId="46" fillId="48" borderId="17" xfId="1" applyNumberFormat="1" applyFont="1" applyFill="1" applyBorder="1" applyAlignment="1" applyProtection="1">
      <alignment horizontal="right"/>
      <protection hidden="1"/>
    </xf>
    <xf numFmtId="174" fontId="0" fillId="57" borderId="0" xfId="0" applyNumberFormat="1" applyFill="1"/>
    <xf numFmtId="175" fontId="90" fillId="0" borderId="0" xfId="2" applyNumberFormat="1" applyFont="1" applyFill="1" applyBorder="1" applyAlignment="1">
      <alignment horizontal="center" vertical="center" wrapText="1"/>
    </xf>
    <xf numFmtId="175" fontId="90" fillId="0" borderId="38" xfId="1" applyNumberFormat="1" applyFont="1" applyBorder="1" applyAlignment="1">
      <alignment horizontal="left"/>
    </xf>
    <xf numFmtId="174" fontId="0" fillId="54" borderId="0" xfId="0" applyNumberFormat="1" applyFill="1" applyAlignment="1">
      <alignment vertical="center" wrapText="1"/>
    </xf>
    <xf numFmtId="0" fontId="4" fillId="0" borderId="0" xfId="3967" applyFont="1" applyFill="1" applyBorder="1" applyAlignment="1">
      <alignment horizontal="center" vertical="center" wrapText="1"/>
    </xf>
    <xf numFmtId="0" fontId="107" fillId="0" borderId="0" xfId="0" applyFont="1" applyAlignment="1">
      <alignment horizontal="center" vertical="center" wrapText="1"/>
    </xf>
    <xf numFmtId="43" fontId="0" fillId="0" borderId="0" xfId="1" applyFont="1" applyFill="1" applyBorder="1"/>
    <xf numFmtId="177" fontId="0" fillId="0" borderId="0" xfId="0" applyNumberFormat="1"/>
    <xf numFmtId="174" fontId="0" fillId="0" borderId="0" xfId="0" applyNumberFormat="1" applyAlignment="1">
      <alignment vertical="center" wrapText="1"/>
    </xf>
    <xf numFmtId="0" fontId="2" fillId="52" borderId="0" xfId="0" applyFont="1" applyFill="1" applyAlignment="1">
      <alignment horizontal="center" vertical="top" wrapText="1"/>
    </xf>
    <xf numFmtId="0" fontId="2" fillId="29" borderId="0" xfId="0" applyFont="1" applyFill="1" applyAlignment="1">
      <alignment horizontal="center" vertical="top" wrapText="1"/>
    </xf>
    <xf numFmtId="0" fontId="2" fillId="57" borderId="0" xfId="0" applyFont="1" applyFill="1" applyAlignment="1">
      <alignment horizontal="center" vertical="top" wrapText="1"/>
    </xf>
    <xf numFmtId="174" fontId="0" fillId="0" borderId="51" xfId="0" applyNumberFormat="1" applyBorder="1" applyAlignment="1">
      <alignment vertical="center" wrapText="1"/>
    </xf>
    <xf numFmtId="43" fontId="0" fillId="0" borderId="1" xfId="1" applyFont="1" applyFill="1" applyBorder="1"/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17" fontId="2" fillId="0" borderId="1" xfId="0" applyNumberFormat="1" applyFont="1" applyBorder="1" applyAlignment="1">
      <alignment horizontal="center"/>
    </xf>
    <xf numFmtId="17" fontId="2" fillId="0" borderId="1" xfId="0" applyNumberFormat="1" applyFont="1" applyBorder="1"/>
    <xf numFmtId="0" fontId="2" fillId="0" borderId="47" xfId="0" applyFont="1" applyBorder="1" applyAlignment="1">
      <alignment horizontal="center"/>
    </xf>
    <xf numFmtId="43" fontId="0" fillId="0" borderId="0" xfId="0" applyNumberFormat="1" applyAlignment="1">
      <alignment horizontal="left"/>
    </xf>
    <xf numFmtId="43" fontId="0" fillId="0" borderId="57" xfId="1" applyFont="1" applyFill="1" applyBorder="1"/>
    <xf numFmtId="0" fontId="0" fillId="0" borderId="30" xfId="0" applyBorder="1" applyAlignment="1">
      <alignment horizontal="centerContinuous"/>
    </xf>
    <xf numFmtId="0" fontId="0" fillId="0" borderId="50" xfId="0" applyBorder="1" applyAlignment="1">
      <alignment horizontal="centerContinuous"/>
    </xf>
    <xf numFmtId="0" fontId="44" fillId="0" borderId="65" xfId="0" applyFont="1" applyBorder="1" applyAlignment="1">
      <alignment horizontal="centerContinuous"/>
    </xf>
    <xf numFmtId="0" fontId="44" fillId="0" borderId="30" xfId="0" applyFont="1" applyBorder="1" applyAlignment="1">
      <alignment horizontal="centerContinuous"/>
    </xf>
    <xf numFmtId="0" fontId="44" fillId="54" borderId="30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" vertical="top" wrapText="1"/>
    </xf>
    <xf numFmtId="0" fontId="2" fillId="49" borderId="0" xfId="0" applyFont="1" applyFill="1" applyAlignment="1">
      <alignment horizontal="center" vertical="top" wrapText="1"/>
    </xf>
    <xf numFmtId="0" fontId="26" fillId="0" borderId="0" xfId="3967" applyBorder="1" applyAlignment="1"/>
    <xf numFmtId="0" fontId="2" fillId="54" borderId="0" xfId="0" applyFont="1" applyFill="1" applyAlignment="1">
      <alignment horizontal="center"/>
    </xf>
    <xf numFmtId="0" fontId="2" fillId="51" borderId="1" xfId="0" applyFont="1" applyFill="1" applyBorder="1" applyAlignment="1">
      <alignment horizontal="center" vertical="top" wrapText="1"/>
    </xf>
    <xf numFmtId="174" fontId="0" fillId="44" borderId="1" xfId="0" applyNumberFormat="1" applyFill="1" applyBorder="1" applyAlignment="1">
      <alignment vertical="center" wrapText="1"/>
    </xf>
    <xf numFmtId="4" fontId="0" fillId="44" borderId="1" xfId="0" applyNumberFormat="1" applyFill="1" applyBorder="1"/>
    <xf numFmtId="0" fontId="2" fillId="50" borderId="1" xfId="0" applyFont="1" applyFill="1" applyBorder="1" applyAlignment="1">
      <alignment horizontal="center"/>
    </xf>
    <xf numFmtId="0" fontId="0" fillId="0" borderId="43" xfId="0" applyBorder="1"/>
    <xf numFmtId="0" fontId="0" fillId="0" borderId="45" xfId="0" applyBorder="1"/>
    <xf numFmtId="0" fontId="2" fillId="51" borderId="0" xfId="0" applyFont="1" applyFill="1" applyAlignment="1">
      <alignment horizontal="center" vertical="top" wrapText="1"/>
    </xf>
    <xf numFmtId="0" fontId="109" fillId="60" borderId="19" xfId="0" applyFont="1" applyFill="1" applyBorder="1" applyAlignment="1">
      <alignment horizontal="centerContinuous"/>
    </xf>
    <xf numFmtId="0" fontId="109" fillId="60" borderId="20" xfId="0" applyFont="1" applyFill="1" applyBorder="1" applyAlignment="1">
      <alignment horizontal="centerContinuous"/>
    </xf>
    <xf numFmtId="0" fontId="109" fillId="60" borderId="21" xfId="0" applyFont="1" applyFill="1" applyBorder="1" applyAlignment="1">
      <alignment horizontal="centerContinuous"/>
    </xf>
    <xf numFmtId="0" fontId="109" fillId="60" borderId="24" xfId="0" applyFont="1" applyFill="1" applyBorder="1" applyAlignment="1">
      <alignment horizontal="centerContinuous"/>
    </xf>
    <xf numFmtId="0" fontId="109" fillId="60" borderId="25" xfId="0" applyFont="1" applyFill="1" applyBorder="1" applyAlignment="1">
      <alignment horizontal="centerContinuous"/>
    </xf>
    <xf numFmtId="0" fontId="109" fillId="60" borderId="26" xfId="0" applyFont="1" applyFill="1" applyBorder="1" applyAlignment="1">
      <alignment horizontal="centerContinuous"/>
    </xf>
    <xf numFmtId="44" fontId="0" fillId="0" borderId="67" xfId="0" applyNumberFormat="1" applyBorder="1"/>
    <xf numFmtId="0" fontId="110" fillId="0" borderId="65" xfId="0" applyFont="1" applyBorder="1" applyAlignment="1">
      <alignment horizontal="centerContinuous" wrapText="1"/>
    </xf>
    <xf numFmtId="0" fontId="111" fillId="0" borderId="30" xfId="0" applyFont="1" applyBorder="1" applyAlignment="1">
      <alignment horizontal="centerContinuous"/>
    </xf>
    <xf numFmtId="0" fontId="111" fillId="0" borderId="50" xfId="0" applyFont="1" applyBorder="1" applyAlignment="1">
      <alignment horizontal="centerContinuous"/>
    </xf>
    <xf numFmtId="0" fontId="112" fillId="0" borderId="65" xfId="0" applyFont="1" applyBorder="1" applyAlignment="1">
      <alignment horizontal="centerContinuous"/>
    </xf>
    <xf numFmtId="175" fontId="2" fillId="0" borderId="0" xfId="1" applyNumberFormat="1" applyFont="1" applyBorder="1"/>
    <xf numFmtId="175" fontId="2" fillId="0" borderId="0" xfId="1" applyNumberFormat="1" applyFont="1" applyBorder="1" applyAlignment="1">
      <alignment horizontal="center"/>
    </xf>
    <xf numFmtId="175" fontId="95" fillId="0" borderId="0" xfId="0" applyNumberFormat="1" applyFont="1"/>
    <xf numFmtId="17" fontId="2" fillId="0" borderId="0" xfId="0" applyNumberFormat="1" applyFont="1" applyAlignment="1" applyProtection="1">
      <alignment horizontal="center" vertical="top" wrapText="1"/>
      <protection locked="0"/>
    </xf>
    <xf numFmtId="179" fontId="0" fillId="0" borderId="0" xfId="1" applyNumberFormat="1" applyFont="1"/>
    <xf numFmtId="0" fontId="0" fillId="60" borderId="3" xfId="0" applyFill="1" applyBorder="1" applyAlignment="1">
      <alignment vertical="center" wrapText="1"/>
    </xf>
    <xf numFmtId="0" fontId="0" fillId="60" borderId="1" xfId="0" applyFill="1" applyBorder="1"/>
    <xf numFmtId="174" fontId="0" fillId="60" borderId="0" xfId="1" applyNumberFormat="1" applyFont="1" applyFill="1"/>
    <xf numFmtId="175" fontId="0" fillId="60" borderId="0" xfId="1" applyNumberFormat="1" applyFont="1" applyFill="1"/>
    <xf numFmtId="175" fontId="0" fillId="60" borderId="0" xfId="0" applyNumberFormat="1" applyFill="1"/>
    <xf numFmtId="43" fontId="0" fillId="60" borderId="0" xfId="1" applyFont="1" applyFill="1"/>
    <xf numFmtId="179" fontId="0" fillId="0" borderId="0" xfId="0" applyNumberFormat="1"/>
    <xf numFmtId="17" fontId="46" fillId="0" borderId="1" xfId="0" applyNumberFormat="1" applyFont="1" applyBorder="1" applyAlignment="1" applyProtection="1">
      <alignment horizontal="center" vertical="center" wrapText="1"/>
      <protection hidden="1"/>
    </xf>
    <xf numFmtId="17" fontId="0" fillId="0" borderId="0" xfId="0" applyNumberFormat="1"/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0" borderId="0" xfId="1" applyNumberFormat="1" applyFont="1" applyBorder="1" applyProtection="1">
      <protection hidden="1"/>
    </xf>
    <xf numFmtId="175" fontId="47" fillId="0" borderId="0" xfId="1" applyNumberFormat="1" applyFont="1" applyBorder="1" applyAlignment="1" applyProtection="1">
      <alignment horizontal="right"/>
      <protection hidden="1"/>
    </xf>
    <xf numFmtId="175" fontId="47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0" xfId="1" applyNumberFormat="1" applyFont="1" applyFill="1" applyBorder="1" applyProtection="1">
      <protection hidden="1"/>
    </xf>
    <xf numFmtId="175" fontId="47" fillId="0" borderId="0" xfId="1" applyNumberFormat="1" applyFont="1" applyFill="1" applyBorder="1" applyAlignment="1" applyProtection="1">
      <alignment horizontal="right"/>
      <protection hidden="1"/>
    </xf>
    <xf numFmtId="175" fontId="46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51" xfId="1" applyNumberFormat="1" applyFont="1" applyFill="1" applyBorder="1" applyProtection="1">
      <protection hidden="1"/>
    </xf>
    <xf numFmtId="175" fontId="47" fillId="48" borderId="0" xfId="1" applyNumberFormat="1" applyFont="1" applyFill="1" applyBorder="1" applyProtection="1">
      <protection hidden="1"/>
    </xf>
    <xf numFmtId="0" fontId="47" fillId="0" borderId="0" xfId="0" applyFont="1" applyProtection="1">
      <protection hidden="1"/>
    </xf>
    <xf numFmtId="175" fontId="46" fillId="0" borderId="0" xfId="0" applyNumberFormat="1" applyFont="1" applyAlignment="1" applyProtection="1">
      <alignment horizontal="left" vertical="center" wrapText="1"/>
      <protection hidden="1"/>
    </xf>
    <xf numFmtId="175" fontId="46" fillId="54" borderId="68" xfId="1" applyNumberFormat="1" applyFont="1" applyFill="1" applyBorder="1" applyProtection="1">
      <protection hidden="1"/>
    </xf>
    <xf numFmtId="175" fontId="46" fillId="54" borderId="51" xfId="1" applyNumberFormat="1" applyFont="1" applyFill="1" applyBorder="1" applyProtection="1">
      <protection hidden="1"/>
    </xf>
    <xf numFmtId="175" fontId="47" fillId="48" borderId="6" xfId="1" applyNumberFormat="1" applyFont="1" applyFill="1" applyBorder="1" applyProtection="1">
      <protection locked="0"/>
    </xf>
    <xf numFmtId="0" fontId="0" fillId="53" borderId="19" xfId="0" applyFill="1" applyBorder="1" applyProtection="1">
      <protection hidden="1"/>
    </xf>
    <xf numFmtId="0" fontId="100" fillId="53" borderId="20" xfId="0" applyFont="1" applyFill="1" applyBorder="1" applyProtection="1">
      <protection hidden="1"/>
    </xf>
    <xf numFmtId="0" fontId="3" fillId="53" borderId="20" xfId="0" applyFont="1" applyFill="1" applyBorder="1" applyProtection="1"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53" borderId="22" xfId="0" applyFill="1" applyBorder="1" applyProtection="1">
      <protection hidden="1"/>
    </xf>
    <xf numFmtId="0" fontId="100" fillId="53" borderId="0" xfId="0" applyFont="1" applyFill="1" applyProtection="1">
      <protection hidden="1"/>
    </xf>
    <xf numFmtId="0" fontId="3" fillId="53" borderId="0" xfId="0" applyFont="1" applyFill="1" applyProtection="1">
      <protection hidden="1"/>
    </xf>
    <xf numFmtId="0" fontId="101" fillId="53" borderId="0" xfId="0" applyFont="1" applyFill="1" applyAlignment="1" applyProtection="1">
      <alignment horizontal="left"/>
      <protection hidden="1"/>
    </xf>
    <xf numFmtId="0" fontId="101" fillId="53" borderId="0" xfId="0" applyFont="1" applyFill="1" applyProtection="1">
      <protection hidden="1"/>
    </xf>
    <xf numFmtId="0" fontId="0" fillId="53" borderId="24" xfId="0" applyFill="1" applyBorder="1" applyProtection="1">
      <protection hidden="1"/>
    </xf>
    <xf numFmtId="0" fontId="2" fillId="53" borderId="25" xfId="0" applyFont="1" applyFill="1" applyBorder="1" applyProtection="1">
      <protection hidden="1"/>
    </xf>
    <xf numFmtId="0" fontId="0" fillId="53" borderId="25" xfId="0" applyFill="1" applyBorder="1" applyProtection="1">
      <protection hidden="1"/>
    </xf>
    <xf numFmtId="0" fontId="0" fillId="53" borderId="26" xfId="0" applyFill="1" applyBorder="1" applyProtection="1">
      <protection hidden="1"/>
    </xf>
    <xf numFmtId="0" fontId="2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90" fillId="0" borderId="0" xfId="0" applyFont="1" applyProtection="1">
      <protection hidden="1"/>
    </xf>
    <xf numFmtId="43" fontId="0" fillId="0" borderId="0" xfId="1" applyFont="1" applyProtection="1">
      <protection hidden="1"/>
    </xf>
    <xf numFmtId="0" fontId="0" fillId="0" borderId="25" xfId="0" applyBorder="1" applyProtection="1">
      <protection hidden="1"/>
    </xf>
    <xf numFmtId="0" fontId="0" fillId="0" borderId="19" xfId="0" applyBorder="1" applyProtection="1">
      <protection hidden="1"/>
    </xf>
    <xf numFmtId="0" fontId="2" fillId="0" borderId="20" xfId="0" applyFont="1" applyBorder="1" applyProtection="1">
      <protection hidden="1"/>
    </xf>
    <xf numFmtId="0" fontId="3" fillId="0" borderId="20" xfId="0" applyFont="1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175" fontId="0" fillId="0" borderId="23" xfId="0" applyNumberFormat="1" applyBorder="1" applyProtection="1">
      <protection hidden="1"/>
    </xf>
    <xf numFmtId="175" fontId="0" fillId="0" borderId="0" xfId="0" applyNumberFormat="1" applyProtection="1">
      <protection hidden="1"/>
    </xf>
    <xf numFmtId="175" fontId="0" fillId="0" borderId="0" xfId="1" applyNumberFormat="1" applyFont="1" applyFill="1" applyProtection="1">
      <protection hidden="1"/>
    </xf>
    <xf numFmtId="0" fontId="95" fillId="0" borderId="0" xfId="0" applyFont="1" applyProtection="1">
      <protection hidden="1"/>
    </xf>
    <xf numFmtId="175" fontId="0" fillId="0" borderId="0" xfId="1" applyNumberFormat="1" applyFont="1" applyBorder="1" applyAlignment="1" applyProtection="1">
      <alignment horizontal="right"/>
      <protection hidden="1"/>
    </xf>
    <xf numFmtId="175" fontId="0" fillId="0" borderId="23" xfId="1" applyNumberFormat="1" applyFont="1" applyBorder="1" applyProtection="1">
      <protection hidden="1"/>
    </xf>
    <xf numFmtId="0" fontId="47" fillId="48" borderId="0" xfId="0" applyFont="1" applyFill="1" applyProtection="1">
      <protection hidden="1"/>
    </xf>
    <xf numFmtId="0" fontId="46" fillId="54" borderId="0" xfId="0" applyFont="1" applyFill="1" applyProtection="1">
      <protection hidden="1"/>
    </xf>
    <xf numFmtId="0" fontId="47" fillId="0" borderId="0" xfId="0" applyFont="1" applyAlignment="1" applyProtection="1">
      <alignment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6" fillId="0" borderId="0" xfId="0" applyFont="1" applyProtection="1">
      <protection hidden="1"/>
    </xf>
    <xf numFmtId="43" fontId="5" fillId="0" borderId="0" xfId="0" applyNumberFormat="1" applyFont="1" applyAlignment="1" applyProtection="1">
      <alignment horizontal="center" vertical="center" wrapText="1"/>
      <protection hidden="1"/>
    </xf>
    <xf numFmtId="166" fontId="5" fillId="0" borderId="0" xfId="0" applyNumberFormat="1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75" fontId="90" fillId="0" borderId="0" xfId="1" applyNumberFormat="1" applyFont="1" applyBorder="1" applyAlignment="1" applyProtection="1">
      <alignment horizontal="left"/>
      <protection hidden="1"/>
    </xf>
    <xf numFmtId="0" fontId="95" fillId="0" borderId="0" xfId="0" applyFont="1" applyAlignment="1" applyProtection="1">
      <alignment horizontal="left"/>
      <protection hidden="1"/>
    </xf>
    <xf numFmtId="175" fontId="0" fillId="0" borderId="0" xfId="1" applyNumberFormat="1" applyFont="1" applyFill="1" applyBorder="1" applyAlignment="1" applyProtection="1">
      <alignment horizontal="right"/>
      <protection hidden="1"/>
    </xf>
    <xf numFmtId="0" fontId="0" fillId="0" borderId="24" xfId="0" applyBorder="1" applyProtection="1">
      <protection hidden="1"/>
    </xf>
    <xf numFmtId="0" fontId="47" fillId="0" borderId="25" xfId="0" applyFont="1" applyBorder="1" applyProtection="1">
      <protection hidden="1"/>
    </xf>
    <xf numFmtId="175" fontId="46" fillId="0" borderId="25" xfId="1" applyNumberFormat="1" applyFont="1" applyBorder="1" applyProtection="1">
      <protection hidden="1"/>
    </xf>
    <xf numFmtId="175" fontId="46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Protection="1">
      <protection hidden="1"/>
    </xf>
    <xf numFmtId="175" fontId="47" fillId="0" borderId="26" xfId="1" applyNumberFormat="1" applyFont="1" applyBorder="1" applyProtection="1">
      <protection hidden="1"/>
    </xf>
    <xf numFmtId="175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right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5" fontId="3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0" fontId="44" fillId="0" borderId="20" xfId="0" applyFont="1" applyBorder="1" applyProtection="1">
      <protection hidden="1"/>
    </xf>
    <xf numFmtId="175" fontId="3" fillId="0" borderId="20" xfId="1" applyNumberFormat="1" applyFont="1" applyBorder="1" applyProtection="1">
      <protection hidden="1"/>
    </xf>
    <xf numFmtId="175" fontId="0" fillId="0" borderId="20" xfId="1" applyNumberFormat="1" applyFont="1" applyBorder="1" applyAlignment="1" applyProtection="1">
      <alignment horizontal="right"/>
      <protection hidden="1"/>
    </xf>
    <xf numFmtId="175" fontId="0" fillId="0" borderId="20" xfId="1" applyNumberFormat="1" applyFont="1" applyBorder="1" applyProtection="1">
      <protection hidden="1"/>
    </xf>
    <xf numFmtId="175" fontId="0" fillId="0" borderId="21" xfId="0" applyNumberFormat="1" applyBorder="1" applyProtection="1">
      <protection hidden="1"/>
    </xf>
    <xf numFmtId="0" fontId="4" fillId="0" borderId="0" xfId="0" applyFont="1" applyProtection="1">
      <protection hidden="1"/>
    </xf>
    <xf numFmtId="175" fontId="0" fillId="0" borderId="0" xfId="1" applyNumberFormat="1" applyFont="1" applyBorder="1" applyProtection="1">
      <protection hidden="1"/>
    </xf>
    <xf numFmtId="17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23" xfId="0" applyNumberFormat="1" applyFont="1" applyBorder="1" applyAlignment="1" applyProtection="1">
      <alignment horizontal="center" vertical="center" wrapText="1"/>
      <protection hidden="1"/>
    </xf>
    <xf numFmtId="175" fontId="2" fillId="0" borderId="0" xfId="0" applyNumberFormat="1" applyFont="1" applyAlignment="1" applyProtection="1">
      <alignment horizontal="center" vertical="center" wrapText="1"/>
      <protection hidden="1"/>
    </xf>
    <xf numFmtId="175" fontId="46" fillId="0" borderId="23" xfId="1" applyNumberFormat="1" applyFont="1" applyBorder="1" applyAlignment="1" applyProtection="1">
      <alignment horizontal="center" vertical="center" wrapText="1"/>
      <protection hidden="1"/>
    </xf>
    <xf numFmtId="0" fontId="99" fillId="0" borderId="0" xfId="0" applyFont="1" applyProtection="1">
      <protection hidden="1"/>
    </xf>
    <xf numFmtId="175" fontId="0" fillId="0" borderId="25" xfId="0" applyNumberFormat="1" applyBorder="1" applyProtection="1">
      <protection hidden="1"/>
    </xf>
    <xf numFmtId="175" fontId="0" fillId="0" borderId="26" xfId="0" applyNumberFormat="1" applyBorder="1" applyProtection="1">
      <protection hidden="1"/>
    </xf>
    <xf numFmtId="43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1" applyNumberFormat="1" applyFont="1" applyFill="1" applyBorder="1" applyProtection="1">
      <protection hidden="1"/>
    </xf>
    <xf numFmtId="0" fontId="46" fillId="0" borderId="0" xfId="0" applyFont="1" applyAlignment="1" applyProtection="1">
      <alignment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0" fontId="47" fillId="0" borderId="1" xfId="0" applyFont="1" applyBorder="1" applyProtection="1">
      <protection hidden="1"/>
    </xf>
    <xf numFmtId="0" fontId="0" fillId="0" borderId="1" xfId="0" applyBorder="1" applyProtection="1">
      <protection hidden="1"/>
    </xf>
    <xf numFmtId="166" fontId="47" fillId="0" borderId="1" xfId="1" applyNumberFormat="1" applyFont="1" applyBorder="1" applyAlignment="1" applyProtection="1">
      <alignment vertical="center" wrapText="1"/>
      <protection hidden="1"/>
    </xf>
    <xf numFmtId="166" fontId="47" fillId="0" borderId="1" xfId="0" applyNumberFormat="1" applyFont="1" applyBorder="1" applyProtection="1">
      <protection hidden="1"/>
    </xf>
    <xf numFmtId="166" fontId="47" fillId="0" borderId="1" xfId="1" applyNumberFormat="1" applyFont="1" applyFill="1" applyBorder="1" applyAlignment="1" applyProtection="1">
      <alignment vertical="center" wrapText="1"/>
      <protection hidden="1"/>
    </xf>
    <xf numFmtId="172" fontId="47" fillId="0" borderId="1" xfId="1" applyNumberFormat="1" applyFont="1" applyBorder="1" applyAlignment="1" applyProtection="1">
      <alignment vertical="center" wrapText="1"/>
      <protection hidden="1"/>
    </xf>
    <xf numFmtId="0" fontId="44" fillId="0" borderId="1" xfId="0" applyFont="1" applyBorder="1" applyProtection="1">
      <protection hidden="1"/>
    </xf>
    <xf numFmtId="0" fontId="2" fillId="0" borderId="1" xfId="0" applyFont="1" applyBorder="1" applyProtection="1">
      <protection hidden="1"/>
    </xf>
    <xf numFmtId="166" fontId="46" fillId="0" borderId="1" xfId="0" applyNumberFormat="1" applyFont="1" applyBorder="1" applyProtection="1">
      <protection hidden="1"/>
    </xf>
    <xf numFmtId="0" fontId="0" fillId="0" borderId="26" xfId="0" applyBorder="1" applyProtection="1">
      <protection hidden="1"/>
    </xf>
    <xf numFmtId="17" fontId="46" fillId="0" borderId="0" xfId="0" applyNumberFormat="1" applyFont="1" applyAlignment="1" applyProtection="1">
      <alignment horizontal="center" vertical="center" wrapText="1"/>
      <protection locked="0"/>
    </xf>
    <xf numFmtId="175" fontId="47" fillId="48" borderId="6" xfId="1" applyNumberFormat="1" applyFont="1" applyFill="1" applyBorder="1" applyAlignment="1" applyProtection="1">
      <alignment horizontal="center"/>
      <protection locked="0"/>
    </xf>
    <xf numFmtId="175" fontId="47" fillId="0" borderId="0" xfId="1" applyNumberFormat="1" applyFont="1" applyFill="1" applyBorder="1" applyProtection="1">
      <protection locked="0"/>
    </xf>
    <xf numFmtId="0" fontId="47" fillId="0" borderId="0" xfId="0" applyFont="1" applyAlignment="1" applyProtection="1">
      <alignment horizontal="left"/>
      <protection hidden="1"/>
    </xf>
    <xf numFmtId="175" fontId="46" fillId="54" borderId="15" xfId="1" applyNumberFormat="1" applyFont="1" applyFill="1" applyBorder="1" applyProtection="1">
      <protection locked="0"/>
    </xf>
    <xf numFmtId="0" fontId="47" fillId="25" borderId="0" xfId="0" applyFont="1" applyFill="1" applyProtection="1">
      <protection hidden="1"/>
    </xf>
    <xf numFmtId="175" fontId="47" fillId="25" borderId="0" xfId="1" applyNumberFormat="1" applyFont="1" applyFill="1" applyBorder="1" applyProtection="1">
      <protection locked="0"/>
    </xf>
    <xf numFmtId="175" fontId="47" fillId="48" borderId="6" xfId="1" applyNumberFormat="1" applyFont="1" applyFill="1" applyBorder="1" applyProtection="1"/>
    <xf numFmtId="0" fontId="114" fillId="0" borderId="0" xfId="0" applyFont="1" applyProtection="1">
      <protection hidden="1"/>
    </xf>
    <xf numFmtId="17" fontId="2" fillId="0" borderId="1" xfId="0" applyNumberFormat="1" applyFont="1" applyBorder="1" applyAlignment="1" applyProtection="1">
      <alignment horizontal="center" vertical="top" wrapText="1"/>
      <protection locked="0"/>
    </xf>
    <xf numFmtId="179" fontId="0" fillId="0" borderId="1" xfId="1" applyNumberFormat="1" applyFont="1" applyBorder="1"/>
    <xf numFmtId="0" fontId="2" fillId="61" borderId="17" xfId="0" applyFont="1" applyFill="1" applyBorder="1" applyAlignment="1">
      <alignment horizontal="centerContinuous"/>
    </xf>
    <xf numFmtId="0" fontId="0" fillId="61" borderId="6" xfId="0" applyFill="1" applyBorder="1" applyAlignment="1">
      <alignment horizontal="centerContinuous"/>
    </xf>
    <xf numFmtId="0" fontId="0" fillId="61" borderId="18" xfId="0" applyFill="1" applyBorder="1" applyAlignment="1">
      <alignment horizontal="centerContinuous"/>
    </xf>
    <xf numFmtId="0" fontId="2" fillId="44" borderId="17" xfId="0" applyFont="1" applyFill="1" applyBorder="1" applyAlignment="1">
      <alignment horizontal="centerContinuous"/>
    </xf>
    <xf numFmtId="0" fontId="2" fillId="44" borderId="6" xfId="0" applyFont="1" applyFill="1" applyBorder="1" applyAlignment="1">
      <alignment horizontal="centerContinuous"/>
    </xf>
    <xf numFmtId="0" fontId="2" fillId="44" borderId="18" xfId="0" applyFont="1" applyFill="1" applyBorder="1" applyAlignment="1">
      <alignment horizontal="centerContinuous"/>
    </xf>
    <xf numFmtId="0" fontId="0" fillId="0" borderId="1" xfId="0" applyBorder="1" applyAlignment="1">
      <alignment horizontal="center"/>
    </xf>
    <xf numFmtId="0" fontId="0" fillId="43" borderId="0" xfId="0" applyFill="1"/>
    <xf numFmtId="0" fontId="47" fillId="48" borderId="6" xfId="0" applyFont="1" applyFill="1" applyBorder="1" applyAlignment="1" applyProtection="1">
      <alignment horizontal="center"/>
      <protection locked="0"/>
    </xf>
    <xf numFmtId="170" fontId="0" fillId="0" borderId="0" xfId="1" applyNumberFormat="1" applyFont="1" applyFill="1" applyBorder="1"/>
    <xf numFmtId="0" fontId="0" fillId="29" borderId="1" xfId="0" applyFill="1" applyBorder="1" applyAlignment="1">
      <alignment horizontal="center"/>
    </xf>
    <xf numFmtId="43" fontId="0" fillId="47" borderId="1" xfId="1" applyFont="1" applyFill="1" applyBorder="1"/>
    <xf numFmtId="0" fontId="99" fillId="48" borderId="0" xfId="0" applyFont="1" applyFill="1" applyProtection="1">
      <protection hidden="1"/>
    </xf>
    <xf numFmtId="180" fontId="121" fillId="0" borderId="72" xfId="1" applyNumberFormat="1" applyFont="1" applyFill="1" applyBorder="1" applyProtection="1">
      <protection locked="0"/>
    </xf>
    <xf numFmtId="0" fontId="100" fillId="53" borderId="19" xfId="0" applyFont="1" applyFill="1" applyBorder="1" applyProtection="1">
      <protection hidden="1"/>
    </xf>
    <xf numFmtId="0" fontId="100" fillId="53" borderId="22" xfId="0" applyFont="1" applyFill="1" applyBorder="1" applyProtection="1">
      <protection hidden="1"/>
    </xf>
    <xf numFmtId="0" fontId="116" fillId="0" borderId="0" xfId="0" applyFont="1" applyProtection="1">
      <protection hidden="1"/>
    </xf>
    <xf numFmtId="0" fontId="116" fillId="53" borderId="22" xfId="0" applyFont="1" applyFill="1" applyBorder="1" applyProtection="1">
      <protection hidden="1"/>
    </xf>
    <xf numFmtId="49" fontId="118" fillId="0" borderId="0" xfId="0" applyNumberFormat="1" applyFont="1" applyProtection="1">
      <protection hidden="1"/>
    </xf>
    <xf numFmtId="49" fontId="45" fillId="0" borderId="0" xfId="0" applyNumberFormat="1" applyFont="1" applyProtection="1">
      <protection hidden="1"/>
    </xf>
    <xf numFmtId="0" fontId="116" fillId="0" borderId="19" xfId="0" applyFont="1" applyBorder="1" applyProtection="1">
      <protection hidden="1"/>
    </xf>
    <xf numFmtId="0" fontId="116" fillId="0" borderId="20" xfId="0" applyFont="1" applyBorder="1" applyProtection="1">
      <protection hidden="1"/>
    </xf>
    <xf numFmtId="0" fontId="116" fillId="0" borderId="22" xfId="0" applyFont="1" applyBorder="1" applyProtection="1">
      <protection hidden="1"/>
    </xf>
    <xf numFmtId="0" fontId="117" fillId="53" borderId="24" xfId="0" applyFont="1" applyFill="1" applyBorder="1" applyProtection="1">
      <protection hidden="1"/>
    </xf>
    <xf numFmtId="0" fontId="117" fillId="53" borderId="25" xfId="0" applyFont="1" applyFill="1" applyBorder="1" applyProtection="1">
      <protection hidden="1"/>
    </xf>
    <xf numFmtId="0" fontId="119" fillId="0" borderId="0" xfId="0" applyFont="1" applyProtection="1">
      <protection hidden="1"/>
    </xf>
    <xf numFmtId="0" fontId="119" fillId="0" borderId="22" xfId="0" applyFont="1" applyBorder="1" applyProtection="1">
      <protection hidden="1"/>
    </xf>
    <xf numFmtId="0" fontId="121" fillId="0" borderId="0" xfId="0" applyFont="1" applyProtection="1">
      <protection hidden="1"/>
    </xf>
    <xf numFmtId="166" fontId="119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17" xfId="1" applyNumberFormat="1" applyFont="1" applyFill="1" applyBorder="1" applyAlignment="1" applyProtection="1">
      <alignment horizontal="center" vertical="center" wrapText="1"/>
      <protection hidden="1"/>
    </xf>
    <xf numFmtId="49" fontId="122" fillId="0" borderId="0" xfId="0" applyNumberFormat="1" applyFont="1" applyAlignment="1" applyProtection="1">
      <alignment horizontal="center"/>
      <protection hidden="1"/>
    </xf>
    <xf numFmtId="0" fontId="121" fillId="0" borderId="22" xfId="0" applyFont="1" applyBorder="1" applyProtection="1">
      <protection hidden="1"/>
    </xf>
    <xf numFmtId="166" fontId="119" fillId="0" borderId="0" xfId="1" applyNumberFormat="1" applyFont="1" applyAlignment="1" applyProtection="1">
      <alignment horizontal="center" vertical="center" wrapText="1"/>
      <protection hidden="1"/>
    </xf>
    <xf numFmtId="0" fontId="119" fillId="43" borderId="42" xfId="0" applyFont="1" applyFill="1" applyBorder="1" applyAlignment="1" applyProtection="1">
      <alignment horizontal="center" wrapText="1"/>
      <protection hidden="1"/>
    </xf>
    <xf numFmtId="166" fontId="119" fillId="43" borderId="3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0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1" xfId="1" applyNumberFormat="1" applyFont="1" applyFill="1" applyBorder="1" applyAlignment="1" applyProtection="1">
      <alignment horizontal="center" vertical="center" wrapText="1"/>
      <protection hidden="1"/>
    </xf>
    <xf numFmtId="0" fontId="119" fillId="0" borderId="2" xfId="0" applyFont="1" applyBorder="1" applyProtection="1">
      <protection hidden="1"/>
    </xf>
    <xf numFmtId="166" fontId="119" fillId="0" borderId="70" xfId="1" applyNumberFormat="1" applyFont="1" applyBorder="1" applyAlignment="1" applyProtection="1">
      <alignment horizontal="center" vertical="center" wrapText="1"/>
      <protection hidden="1"/>
    </xf>
    <xf numFmtId="166" fontId="119" fillId="0" borderId="73" xfId="1" applyNumberFormat="1" applyFont="1" applyBorder="1" applyAlignment="1" applyProtection="1">
      <alignment horizontal="center" vertical="center" wrapText="1"/>
      <protection hidden="1"/>
    </xf>
    <xf numFmtId="166" fontId="119" fillId="0" borderId="0" xfId="1" applyNumberFormat="1" applyFont="1" applyBorder="1" applyAlignment="1" applyProtection="1">
      <alignment horizontal="center" vertical="center" wrapText="1"/>
      <protection hidden="1"/>
    </xf>
    <xf numFmtId="166" fontId="119" fillId="0" borderId="71" xfId="1" applyNumberFormat="1" applyFont="1" applyBorder="1" applyAlignment="1" applyProtection="1">
      <alignment horizontal="center" vertical="center" wrapText="1"/>
      <protection hidden="1"/>
    </xf>
    <xf numFmtId="0" fontId="124" fillId="0" borderId="38" xfId="0" applyFont="1" applyBorder="1" applyAlignment="1" applyProtection="1">
      <alignment horizontal="left"/>
      <protection hidden="1"/>
    </xf>
    <xf numFmtId="0" fontId="124" fillId="0" borderId="74" xfId="0" applyFont="1" applyBorder="1" applyAlignment="1" applyProtection="1">
      <alignment horizontal="left"/>
      <protection hidden="1"/>
    </xf>
    <xf numFmtId="180" fontId="119" fillId="43" borderId="1" xfId="1" applyNumberFormat="1" applyFont="1" applyFill="1" applyBorder="1" applyAlignment="1" applyProtection="1">
      <alignment horizontal="right"/>
      <protection hidden="1"/>
    </xf>
    <xf numFmtId="180" fontId="119" fillId="43" borderId="1" xfId="1" applyNumberFormat="1" applyFont="1" applyFill="1" applyBorder="1" applyProtection="1">
      <protection hidden="1"/>
    </xf>
    <xf numFmtId="166" fontId="119" fillId="43" borderId="1" xfId="1" applyNumberFormat="1" applyFont="1" applyFill="1" applyBorder="1" applyProtection="1">
      <protection hidden="1"/>
    </xf>
    <xf numFmtId="166" fontId="119" fillId="43" borderId="18" xfId="1" applyNumberFormat="1" applyFont="1" applyFill="1" applyBorder="1" applyProtection="1">
      <protection hidden="1"/>
    </xf>
    <xf numFmtId="4" fontId="119" fillId="43" borderId="1" xfId="1" applyNumberFormat="1" applyFont="1" applyFill="1" applyBorder="1" applyProtection="1">
      <protection hidden="1"/>
    </xf>
    <xf numFmtId="49" fontId="125" fillId="0" borderId="0" xfId="0" applyNumberFormat="1" applyFont="1" applyProtection="1">
      <protection hidden="1"/>
    </xf>
    <xf numFmtId="49" fontId="121" fillId="0" borderId="22" xfId="0" applyNumberFormat="1" applyFont="1" applyBorder="1" applyProtection="1">
      <protection hidden="1"/>
    </xf>
    <xf numFmtId="180" fontId="119" fillId="0" borderId="0" xfId="1" applyNumberFormat="1" applyFont="1" applyProtection="1">
      <protection hidden="1"/>
    </xf>
    <xf numFmtId="0" fontId="121" fillId="0" borderId="72" xfId="0" applyFont="1" applyBorder="1" applyAlignment="1" applyProtection="1">
      <alignment horizontal="center" wrapText="1"/>
      <protection hidden="1"/>
    </xf>
    <xf numFmtId="4" fontId="119" fillId="0" borderId="72" xfId="1" applyNumberFormat="1" applyFont="1" applyBorder="1" applyProtection="1">
      <protection hidden="1"/>
    </xf>
    <xf numFmtId="180" fontId="121" fillId="0" borderId="71" xfId="1" applyNumberFormat="1" applyFont="1" applyFill="1" applyBorder="1" applyProtection="1">
      <protection hidden="1"/>
    </xf>
    <xf numFmtId="4" fontId="119" fillId="0" borderId="0" xfId="1" applyNumberFormat="1" applyFont="1" applyProtection="1">
      <protection hidden="1"/>
    </xf>
    <xf numFmtId="181" fontId="21" fillId="0" borderId="0" xfId="3974" applyNumberFormat="1" applyFont="1" applyAlignment="1" applyProtection="1">
      <alignment wrapText="1"/>
      <protection hidden="1"/>
    </xf>
    <xf numFmtId="0" fontId="121" fillId="0" borderId="38" xfId="0" applyFont="1" applyBorder="1" applyProtection="1">
      <protection hidden="1"/>
    </xf>
    <xf numFmtId="180" fontId="121" fillId="0" borderId="72" xfId="1" applyNumberFormat="1" applyFont="1" applyBorder="1" applyProtection="1">
      <protection hidden="1"/>
    </xf>
    <xf numFmtId="180" fontId="121" fillId="55" borderId="72" xfId="1" applyNumberFormat="1" applyFont="1" applyFill="1" applyBorder="1" applyProtection="1">
      <protection hidden="1"/>
    </xf>
    <xf numFmtId="180" fontId="121" fillId="0" borderId="72" xfId="1" applyNumberFormat="1" applyFont="1" applyFill="1" applyBorder="1" applyProtection="1">
      <protection hidden="1"/>
    </xf>
    <xf numFmtId="180" fontId="121" fillId="62" borderId="72" xfId="1" applyNumberFormat="1" applyFont="1" applyFill="1" applyBorder="1" applyProtection="1">
      <protection hidden="1"/>
    </xf>
    <xf numFmtId="9" fontId="121" fillId="0" borderId="72" xfId="2" applyFont="1" applyBorder="1" applyProtection="1">
      <protection hidden="1"/>
    </xf>
    <xf numFmtId="182" fontId="121" fillId="0" borderId="72" xfId="2" applyNumberFormat="1" applyFont="1" applyBorder="1" applyProtection="1">
      <protection hidden="1"/>
    </xf>
    <xf numFmtId="180" fontId="121" fillId="55" borderId="71" xfId="1" applyNumberFormat="1" applyFont="1" applyFill="1" applyBorder="1" applyProtection="1">
      <protection hidden="1"/>
    </xf>
    <xf numFmtId="4" fontId="119" fillId="55" borderId="72" xfId="1" applyNumberFormat="1" applyFont="1" applyFill="1" applyBorder="1" applyProtection="1">
      <protection hidden="1"/>
    </xf>
    <xf numFmtId="180" fontId="121" fillId="0" borderId="0" xfId="1" applyNumberFormat="1" applyFont="1" applyProtection="1">
      <protection hidden="1"/>
    </xf>
    <xf numFmtId="0" fontId="121" fillId="0" borderId="38" xfId="0" applyFont="1" applyBorder="1" applyAlignment="1" applyProtection="1">
      <alignment horizontal="center" wrapText="1"/>
      <protection hidden="1"/>
    </xf>
    <xf numFmtId="182" fontId="119" fillId="43" borderId="1" xfId="1" applyNumberFormat="1" applyFont="1" applyFill="1" applyBorder="1" applyProtection="1">
      <protection hidden="1"/>
    </xf>
    <xf numFmtId="180" fontId="119" fillId="43" borderId="18" xfId="1" applyNumberFormat="1" applyFont="1" applyFill="1" applyBorder="1" applyProtection="1">
      <protection hidden="1"/>
    </xf>
    <xf numFmtId="4" fontId="121" fillId="0" borderId="72" xfId="1" applyNumberFormat="1" applyFont="1" applyBorder="1" applyProtection="1">
      <protection hidden="1"/>
    </xf>
    <xf numFmtId="182" fontId="121" fillId="0" borderId="72" xfId="1" applyNumberFormat="1" applyFont="1" applyBorder="1" applyProtection="1">
      <protection hidden="1"/>
    </xf>
    <xf numFmtId="4" fontId="121" fillId="0" borderId="71" xfId="1" applyNumberFormat="1" applyFont="1" applyBorder="1" applyProtection="1">
      <protection hidden="1"/>
    </xf>
    <xf numFmtId="4" fontId="121" fillId="0" borderId="0" xfId="1" applyNumberFormat="1" applyFont="1" applyProtection="1">
      <protection hidden="1"/>
    </xf>
    <xf numFmtId="0" fontId="121" fillId="0" borderId="17" xfId="0" applyFont="1" applyBorder="1" applyAlignment="1" applyProtection="1">
      <alignment horizontal="center" wrapText="1"/>
      <protection hidden="1"/>
    </xf>
    <xf numFmtId="0" fontId="121" fillId="0" borderId="6" xfId="0" applyFont="1" applyBorder="1" applyProtection="1">
      <protection hidden="1"/>
    </xf>
    <xf numFmtId="4" fontId="121" fillId="0" borderId="6" xfId="0" applyNumberFormat="1" applyFont="1" applyBorder="1" applyProtection="1">
      <protection hidden="1"/>
    </xf>
    <xf numFmtId="4" fontId="119" fillId="0" borderId="0" xfId="1" applyNumberFormat="1" applyFont="1" applyBorder="1" applyProtection="1">
      <protection hidden="1"/>
    </xf>
    <xf numFmtId="4" fontId="119" fillId="0" borderId="6" xfId="1" applyNumberFormat="1" applyFont="1" applyBorder="1" applyProtection="1">
      <protection hidden="1"/>
    </xf>
    <xf numFmtId="182" fontId="119" fillId="0" borderId="71" xfId="1" applyNumberFormat="1" applyFont="1" applyBorder="1" applyProtection="1">
      <protection hidden="1"/>
    </xf>
    <xf numFmtId="4" fontId="119" fillId="0" borderId="73" xfId="1" applyNumberFormat="1" applyFont="1" applyBorder="1" applyProtection="1">
      <protection hidden="1"/>
    </xf>
    <xf numFmtId="4" fontId="126" fillId="43" borderId="1" xfId="1" applyNumberFormat="1" applyFont="1" applyFill="1" applyBorder="1" applyProtection="1">
      <protection hidden="1"/>
    </xf>
    <xf numFmtId="4" fontId="119" fillId="0" borderId="71" xfId="1" applyNumberFormat="1" applyFont="1" applyBorder="1" applyProtection="1">
      <protection hidden="1"/>
    </xf>
    <xf numFmtId="0" fontId="121" fillId="0" borderId="70" xfId="0" applyFont="1" applyBorder="1" applyProtection="1">
      <protection hidden="1"/>
    </xf>
    <xf numFmtId="4" fontId="121" fillId="0" borderId="70" xfId="0" applyNumberFormat="1" applyFont="1" applyBorder="1" applyProtection="1">
      <protection hidden="1"/>
    </xf>
    <xf numFmtId="4" fontId="119" fillId="0" borderId="70" xfId="1" applyNumberFormat="1" applyFont="1" applyBorder="1" applyProtection="1">
      <protection hidden="1"/>
    </xf>
    <xf numFmtId="182" fontId="119" fillId="0" borderId="70" xfId="1" applyNumberFormat="1" applyFont="1" applyBorder="1" applyProtection="1">
      <protection hidden="1"/>
    </xf>
    <xf numFmtId="0" fontId="123" fillId="0" borderId="38" xfId="0" applyFont="1" applyBorder="1" applyAlignment="1" applyProtection="1">
      <alignment horizontal="left"/>
      <protection hidden="1"/>
    </xf>
    <xf numFmtId="0" fontId="121" fillId="0" borderId="15" xfId="0" applyFont="1" applyBorder="1" applyProtection="1">
      <protection hidden="1"/>
    </xf>
    <xf numFmtId="4" fontId="121" fillId="0" borderId="15" xfId="0" applyNumberFormat="1" applyFont="1" applyBorder="1" applyProtection="1">
      <protection hidden="1"/>
    </xf>
    <xf numFmtId="4" fontId="119" fillId="0" borderId="15" xfId="1" applyNumberFormat="1" applyFont="1" applyBorder="1" applyProtection="1">
      <protection hidden="1"/>
    </xf>
    <xf numFmtId="166" fontId="121" fillId="0" borderId="72" xfId="1" applyNumberFormat="1" applyFont="1" applyBorder="1" applyProtection="1">
      <protection hidden="1"/>
    </xf>
    <xf numFmtId="166" fontId="121" fillId="0" borderId="71" xfId="1" applyNumberFormat="1" applyFont="1" applyBorder="1" applyProtection="1">
      <protection hidden="1"/>
    </xf>
    <xf numFmtId="166" fontId="121" fillId="0" borderId="0" xfId="1" applyNumberFormat="1" applyFont="1" applyProtection="1">
      <protection hidden="1"/>
    </xf>
    <xf numFmtId="166" fontId="121" fillId="0" borderId="6" xfId="1" applyNumberFormat="1" applyFont="1" applyBorder="1" applyProtection="1">
      <protection hidden="1"/>
    </xf>
    <xf numFmtId="166" fontId="119" fillId="0" borderId="0" xfId="1" applyNumberFormat="1" applyFont="1" applyBorder="1" applyProtection="1">
      <protection hidden="1"/>
    </xf>
    <xf numFmtId="166" fontId="119" fillId="0" borderId="6" xfId="1" applyNumberFormat="1" applyFont="1" applyBorder="1" applyProtection="1">
      <protection hidden="1"/>
    </xf>
    <xf numFmtId="166" fontId="119" fillId="0" borderId="0" xfId="1" applyNumberFormat="1" applyFont="1" applyProtection="1">
      <protection hidden="1"/>
    </xf>
    <xf numFmtId="166" fontId="119" fillId="0" borderId="38" xfId="1" applyNumberFormat="1" applyFont="1" applyBorder="1" applyProtection="1">
      <protection hidden="1"/>
    </xf>
    <xf numFmtId="0" fontId="121" fillId="0" borderId="0" xfId="0" applyFont="1" applyAlignment="1" applyProtection="1">
      <alignment wrapText="1"/>
      <protection hidden="1"/>
    </xf>
    <xf numFmtId="182" fontId="121" fillId="0" borderId="0" xfId="0" applyNumberFormat="1" applyFont="1" applyProtection="1">
      <protection hidden="1"/>
    </xf>
    <xf numFmtId="4" fontId="121" fillId="0" borderId="0" xfId="0" applyNumberFormat="1" applyFont="1" applyProtection="1">
      <protection hidden="1"/>
    </xf>
    <xf numFmtId="166" fontId="119" fillId="0" borderId="72" xfId="1" applyNumberFormat="1" applyFont="1" applyBorder="1" applyProtection="1">
      <protection hidden="1"/>
    </xf>
    <xf numFmtId="166" fontId="119" fillId="0" borderId="71" xfId="1" applyNumberFormat="1" applyFont="1" applyBorder="1" applyProtection="1">
      <protection hidden="1"/>
    </xf>
    <xf numFmtId="182" fontId="119" fillId="0" borderId="72" xfId="1" applyNumberFormat="1" applyFont="1" applyBorder="1" applyProtection="1">
      <protection hidden="1"/>
    </xf>
    <xf numFmtId="0" fontId="121" fillId="0" borderId="38" xfId="0" applyFont="1" applyBorder="1" applyAlignment="1" applyProtection="1">
      <alignment wrapText="1"/>
      <protection hidden="1"/>
    </xf>
    <xf numFmtId="166" fontId="121" fillId="0" borderId="0" xfId="1" applyNumberFormat="1" applyFont="1" applyBorder="1" applyProtection="1">
      <protection hidden="1"/>
    </xf>
    <xf numFmtId="182" fontId="121" fillId="0" borderId="71" xfId="0" applyNumberFormat="1" applyFont="1" applyBorder="1" applyProtection="1">
      <protection hidden="1"/>
    </xf>
    <xf numFmtId="0" fontId="121" fillId="0" borderId="69" xfId="0" applyFont="1" applyBorder="1" applyAlignment="1" applyProtection="1">
      <alignment wrapText="1"/>
      <protection hidden="1"/>
    </xf>
    <xf numFmtId="166" fontId="121" fillId="0" borderId="70" xfId="1" applyNumberFormat="1" applyFont="1" applyBorder="1" applyProtection="1">
      <protection hidden="1"/>
    </xf>
    <xf numFmtId="0" fontId="121" fillId="0" borderId="69" xfId="0" applyFont="1" applyBorder="1" applyAlignment="1" applyProtection="1">
      <alignment horizontal="center" wrapText="1"/>
      <protection hidden="1"/>
    </xf>
    <xf numFmtId="4" fontId="121" fillId="0" borderId="2" xfId="0" applyNumberFormat="1" applyFont="1" applyBorder="1" applyProtection="1">
      <protection hidden="1"/>
    </xf>
    <xf numFmtId="180" fontId="121" fillId="0" borderId="2" xfId="1" applyNumberFormat="1" applyFont="1" applyBorder="1" applyProtection="1">
      <protection hidden="1"/>
    </xf>
    <xf numFmtId="182" fontId="121" fillId="0" borderId="2" xfId="0" applyNumberFormat="1" applyFont="1" applyBorder="1" applyProtection="1">
      <protection hidden="1"/>
    </xf>
    <xf numFmtId="4" fontId="121" fillId="0" borderId="73" xfId="0" applyNumberFormat="1" applyFont="1" applyBorder="1" applyProtection="1">
      <protection hidden="1"/>
    </xf>
    <xf numFmtId="4" fontId="121" fillId="0" borderId="72" xfId="0" applyNumberFormat="1" applyFont="1" applyBorder="1" applyProtection="1">
      <protection hidden="1"/>
    </xf>
    <xf numFmtId="180" fontId="121" fillId="25" borderId="72" xfId="1" applyNumberFormat="1" applyFont="1" applyFill="1" applyBorder="1" applyProtection="1">
      <protection hidden="1"/>
    </xf>
    <xf numFmtId="0" fontId="119" fillId="0" borderId="70" xfId="2108" applyFont="1" applyBorder="1" applyProtection="1">
      <protection hidden="1"/>
    </xf>
    <xf numFmtId="183" fontId="119" fillId="0" borderId="70" xfId="2108" applyNumberFormat="1" applyFont="1" applyBorder="1" applyProtection="1">
      <protection hidden="1"/>
    </xf>
    <xf numFmtId="183" fontId="121" fillId="0" borderId="70" xfId="2108" applyNumberFormat="1" applyFont="1" applyBorder="1" applyProtection="1">
      <protection hidden="1"/>
    </xf>
    <xf numFmtId="180" fontId="119" fillId="0" borderId="70" xfId="1" applyNumberFormat="1" applyFont="1" applyBorder="1" applyProtection="1">
      <protection hidden="1"/>
    </xf>
    <xf numFmtId="183" fontId="119" fillId="0" borderId="73" xfId="2108" applyNumberFormat="1" applyFont="1" applyBorder="1" applyProtection="1">
      <protection hidden="1"/>
    </xf>
    <xf numFmtId="183" fontId="119" fillId="0" borderId="0" xfId="2108" applyNumberFormat="1" applyFont="1" applyProtection="1">
      <protection hidden="1"/>
    </xf>
    <xf numFmtId="183" fontId="119" fillId="0" borderId="71" xfId="2108" applyNumberFormat="1" applyFont="1" applyBorder="1" applyProtection="1">
      <protection hidden="1"/>
    </xf>
    <xf numFmtId="0" fontId="119" fillId="0" borderId="0" xfId="2108" applyFont="1" applyProtection="1">
      <protection hidden="1"/>
    </xf>
    <xf numFmtId="183" fontId="121" fillId="0" borderId="0" xfId="2108" applyNumberFormat="1" applyFont="1" applyProtection="1">
      <protection hidden="1"/>
    </xf>
    <xf numFmtId="180" fontId="119" fillId="0" borderId="0" xfId="1" applyNumberFormat="1" applyFont="1" applyBorder="1" applyProtection="1">
      <protection hidden="1"/>
    </xf>
    <xf numFmtId="166" fontId="119" fillId="0" borderId="0" xfId="1" applyNumberFormat="1" applyFont="1" applyBorder="1" applyAlignment="1" applyProtection="1">
      <alignment horizontal="left"/>
      <protection hidden="1"/>
    </xf>
    <xf numFmtId="166" fontId="119" fillId="0" borderId="0" xfId="1" applyNumberFormat="1" applyFont="1" applyAlignment="1" applyProtection="1">
      <alignment wrapText="1"/>
      <protection hidden="1"/>
    </xf>
    <xf numFmtId="49" fontId="125" fillId="0" borderId="71" xfId="0" applyNumberFormat="1" applyFont="1" applyBorder="1" applyProtection="1">
      <protection hidden="1"/>
    </xf>
    <xf numFmtId="49" fontId="125" fillId="0" borderId="38" xfId="0" applyNumberFormat="1" applyFont="1" applyBorder="1" applyProtection="1">
      <protection hidden="1"/>
    </xf>
    <xf numFmtId="0" fontId="119" fillId="54" borderId="1" xfId="2108" applyFont="1" applyFill="1" applyBorder="1" applyProtection="1">
      <protection hidden="1"/>
    </xf>
    <xf numFmtId="180" fontId="121" fillId="55" borderId="1" xfId="1" applyNumberFormat="1" applyFont="1" applyFill="1" applyBorder="1" applyProtection="1">
      <protection hidden="1"/>
    </xf>
    <xf numFmtId="180" fontId="121" fillId="0" borderId="0" xfId="1" applyNumberFormat="1" applyFont="1" applyBorder="1" applyProtection="1">
      <protection hidden="1"/>
    </xf>
    <xf numFmtId="180" fontId="118" fillId="0" borderId="0" xfId="0" applyNumberFormat="1" applyFont="1" applyProtection="1">
      <protection hidden="1"/>
    </xf>
    <xf numFmtId="0" fontId="115" fillId="0" borderId="0" xfId="2108" applyFont="1" applyProtection="1">
      <protection hidden="1"/>
    </xf>
    <xf numFmtId="0" fontId="121" fillId="0" borderId="1" xfId="2108" applyFont="1" applyBorder="1" applyProtection="1">
      <protection hidden="1"/>
    </xf>
    <xf numFmtId="180" fontId="119" fillId="0" borderId="72" xfId="1" applyNumberFormat="1" applyFont="1" applyBorder="1" applyProtection="1">
      <protection hidden="1"/>
    </xf>
    <xf numFmtId="180" fontId="121" fillId="63" borderId="1" xfId="1" applyNumberFormat="1" applyFont="1" applyFill="1" applyBorder="1" applyProtection="1">
      <protection hidden="1"/>
    </xf>
    <xf numFmtId="0" fontId="119" fillId="54" borderId="1" xfId="2108" applyFont="1" applyFill="1" applyBorder="1" applyAlignment="1" applyProtection="1">
      <alignment wrapText="1"/>
      <protection hidden="1"/>
    </xf>
    <xf numFmtId="180" fontId="128" fillId="0" borderId="0" xfId="1" applyNumberFormat="1" applyFont="1" applyBorder="1" applyProtection="1">
      <protection hidden="1"/>
    </xf>
    <xf numFmtId="180" fontId="119" fillId="25" borderId="0" xfId="1" applyNumberFormat="1" applyFont="1" applyFill="1" applyBorder="1" applyProtection="1">
      <protection hidden="1"/>
    </xf>
    <xf numFmtId="180" fontId="119" fillId="25" borderId="0" xfId="1" applyNumberFormat="1" applyFont="1" applyFill="1" applyProtection="1">
      <protection hidden="1"/>
    </xf>
    <xf numFmtId="183" fontId="128" fillId="0" borderId="0" xfId="2108" applyNumberFormat="1" applyFont="1" applyProtection="1">
      <protection hidden="1"/>
    </xf>
    <xf numFmtId="171" fontId="121" fillId="0" borderId="1" xfId="2108" applyNumberFormat="1" applyFont="1" applyBorder="1" applyProtection="1">
      <protection hidden="1"/>
    </xf>
    <xf numFmtId="171" fontId="121" fillId="0" borderId="0" xfId="2108" applyNumberFormat="1" applyFont="1" applyProtection="1">
      <protection hidden="1"/>
    </xf>
    <xf numFmtId="171" fontId="119" fillId="54" borderId="1" xfId="2108" applyNumberFormat="1" applyFont="1" applyFill="1" applyBorder="1" applyProtection="1">
      <protection hidden="1"/>
    </xf>
    <xf numFmtId="171" fontId="119" fillId="0" borderId="0" xfId="2108" applyNumberFormat="1" applyFont="1" applyProtection="1">
      <protection hidden="1"/>
    </xf>
    <xf numFmtId="0" fontId="121" fillId="0" borderId="0" xfId="2108" applyFont="1" applyProtection="1">
      <protection hidden="1"/>
    </xf>
    <xf numFmtId="0" fontId="121" fillId="0" borderId="6" xfId="2108" applyFont="1" applyBorder="1" applyProtection="1">
      <protection hidden="1"/>
    </xf>
    <xf numFmtId="180" fontId="121" fillId="0" borderId="6" xfId="1" applyNumberFormat="1" applyFont="1" applyBorder="1" applyProtection="1">
      <protection hidden="1"/>
    </xf>
    <xf numFmtId="43" fontId="119" fillId="43" borderId="1" xfId="1" applyFont="1" applyFill="1" applyBorder="1" applyProtection="1">
      <protection hidden="1"/>
    </xf>
    <xf numFmtId="49" fontId="122" fillId="0" borderId="0" xfId="0" applyNumberFormat="1" applyFont="1" applyProtection="1">
      <protection hidden="1"/>
    </xf>
    <xf numFmtId="49" fontId="122" fillId="0" borderId="38" xfId="0" applyNumberFormat="1" applyFont="1" applyBorder="1" applyProtection="1">
      <protection hidden="1"/>
    </xf>
    <xf numFmtId="49" fontId="129" fillId="0" borderId="0" xfId="0" applyNumberFormat="1" applyFont="1" applyProtection="1">
      <protection hidden="1"/>
    </xf>
    <xf numFmtId="49" fontId="125" fillId="0" borderId="42" xfId="0" applyNumberFormat="1" applyFont="1" applyBorder="1" applyProtection="1">
      <protection hidden="1"/>
    </xf>
    <xf numFmtId="0" fontId="119" fillId="0" borderId="15" xfId="2108" applyFont="1" applyBorder="1" applyProtection="1">
      <protection hidden="1"/>
    </xf>
    <xf numFmtId="183" fontId="119" fillId="0" borderId="15" xfId="2108" applyNumberFormat="1" applyFont="1" applyBorder="1" applyProtection="1">
      <protection hidden="1"/>
    </xf>
    <xf numFmtId="183" fontId="121" fillId="0" borderId="15" xfId="2108" applyNumberFormat="1" applyFont="1" applyBorder="1" applyProtection="1">
      <protection hidden="1"/>
    </xf>
    <xf numFmtId="180" fontId="119" fillId="0" borderId="15" xfId="1" applyNumberFormat="1" applyFont="1" applyBorder="1" applyProtection="1">
      <protection hidden="1"/>
    </xf>
    <xf numFmtId="183" fontId="119" fillId="0" borderId="74" xfId="2108" applyNumberFormat="1" applyFont="1" applyBorder="1" applyProtection="1">
      <protection hidden="1"/>
    </xf>
    <xf numFmtId="183" fontId="119" fillId="43" borderId="3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Alignment="1" applyProtection="1">
      <alignment wrapText="1"/>
      <protection hidden="1"/>
    </xf>
    <xf numFmtId="183" fontId="119" fillId="43" borderId="1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Protection="1">
      <protection hidden="1"/>
    </xf>
    <xf numFmtId="183" fontId="119" fillId="55" borderId="1" xfId="2108" applyNumberFormat="1" applyFont="1" applyFill="1" applyBorder="1" applyProtection="1">
      <protection hidden="1"/>
    </xf>
    <xf numFmtId="180" fontId="119" fillId="0" borderId="0" xfId="1" applyNumberFormat="1" applyFont="1" applyFill="1" applyBorder="1" applyProtection="1">
      <protection hidden="1"/>
    </xf>
    <xf numFmtId="0" fontId="130" fillId="0" borderId="0" xfId="2108" applyFont="1" applyProtection="1">
      <protection hidden="1"/>
    </xf>
    <xf numFmtId="14" fontId="119" fillId="43" borderId="1" xfId="2108" applyNumberFormat="1" applyFont="1" applyFill="1" applyBorder="1" applyProtection="1">
      <protection hidden="1"/>
    </xf>
    <xf numFmtId="14" fontId="119" fillId="0" borderId="0" xfId="2108" applyNumberFormat="1" applyFont="1" applyProtection="1">
      <protection hidden="1"/>
    </xf>
    <xf numFmtId="0" fontId="131" fillId="0" borderId="19" xfId="2108" applyFont="1" applyBorder="1" applyAlignment="1" applyProtection="1">
      <alignment horizontal="left"/>
      <protection hidden="1"/>
    </xf>
    <xf numFmtId="183" fontId="119" fillId="0" borderId="20" xfId="2108" applyNumberFormat="1" applyFont="1" applyBorder="1" applyProtection="1">
      <protection hidden="1"/>
    </xf>
    <xf numFmtId="183" fontId="121" fillId="0" borderId="21" xfId="2108" applyNumberFormat="1" applyFont="1" applyBorder="1" applyProtection="1">
      <protection hidden="1"/>
    </xf>
    <xf numFmtId="183" fontId="121" fillId="0" borderId="22" xfId="2108" applyNumberFormat="1" applyFont="1" applyBorder="1" applyProtection="1">
      <protection hidden="1"/>
    </xf>
    <xf numFmtId="183" fontId="127" fillId="0" borderId="0" xfId="2108" applyNumberFormat="1" applyFont="1" applyProtection="1">
      <protection hidden="1"/>
    </xf>
    <xf numFmtId="183" fontId="121" fillId="0" borderId="23" xfId="2108" applyNumberFormat="1" applyFont="1" applyBorder="1" applyProtection="1">
      <protection hidden="1"/>
    </xf>
    <xf numFmtId="183" fontId="121" fillId="0" borderId="22" xfId="2108" applyNumberFormat="1" applyFont="1" applyBorder="1" applyAlignment="1" applyProtection="1">
      <alignment horizontal="right"/>
      <protection hidden="1"/>
    </xf>
    <xf numFmtId="184" fontId="121" fillId="0" borderId="0" xfId="2108" applyNumberFormat="1" applyFont="1" applyProtection="1">
      <protection hidden="1"/>
    </xf>
    <xf numFmtId="49" fontId="119" fillId="0" borderId="22" xfId="0" applyNumberFormat="1" applyFont="1" applyBorder="1" applyAlignment="1" applyProtection="1">
      <alignment horizontal="right"/>
      <protection hidden="1"/>
    </xf>
    <xf numFmtId="184" fontId="119" fillId="0" borderId="0" xfId="2108" applyNumberFormat="1" applyFont="1" applyProtection="1">
      <protection hidden="1"/>
    </xf>
    <xf numFmtId="49" fontId="125" fillId="0" borderId="23" xfId="0" applyNumberFormat="1" applyFont="1" applyBorder="1" applyProtection="1">
      <protection hidden="1"/>
    </xf>
    <xf numFmtId="49" fontId="125" fillId="0" borderId="22" xfId="0" applyNumberFormat="1" applyFont="1" applyBorder="1" applyAlignment="1" applyProtection="1">
      <alignment horizontal="right"/>
      <protection hidden="1"/>
    </xf>
    <xf numFmtId="0" fontId="119" fillId="0" borderId="22" xfId="2108" applyFont="1" applyBorder="1" applyAlignment="1" applyProtection="1">
      <alignment horizontal="right"/>
      <protection hidden="1"/>
    </xf>
    <xf numFmtId="0" fontId="119" fillId="0" borderId="75" xfId="2108" applyFont="1" applyBorder="1" applyAlignment="1" applyProtection="1">
      <alignment horizontal="right"/>
      <protection hidden="1"/>
    </xf>
    <xf numFmtId="184" fontId="119" fillId="0" borderId="51" xfId="2108" applyNumberFormat="1" applyFont="1" applyBorder="1" applyProtection="1">
      <protection hidden="1"/>
    </xf>
    <xf numFmtId="0" fontId="121" fillId="0" borderId="22" xfId="2108" applyFont="1" applyBorder="1" applyAlignment="1" applyProtection="1">
      <alignment horizontal="right"/>
      <protection hidden="1"/>
    </xf>
    <xf numFmtId="49" fontId="125" fillId="0" borderId="76" xfId="0" applyNumberFormat="1" applyFont="1" applyBorder="1" applyProtection="1">
      <protection hidden="1"/>
    </xf>
    <xf numFmtId="0" fontId="119" fillId="43" borderId="1" xfId="2108" applyFont="1" applyFill="1" applyBorder="1" applyProtection="1">
      <protection hidden="1"/>
    </xf>
    <xf numFmtId="166" fontId="121" fillId="25" borderId="70" xfId="1" applyNumberFormat="1" applyFont="1" applyFill="1" applyBorder="1" applyProtection="1">
      <protection hidden="1"/>
    </xf>
    <xf numFmtId="49" fontId="125" fillId="0" borderId="73" xfId="0" applyNumberFormat="1" applyFont="1" applyBorder="1" applyProtection="1">
      <protection hidden="1"/>
    </xf>
    <xf numFmtId="166" fontId="121" fillId="25" borderId="0" xfId="1" applyNumberFormat="1" applyFont="1" applyFill="1" applyBorder="1" applyProtection="1"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19" fillId="0" borderId="0" xfId="0" applyFont="1" applyAlignment="1" applyProtection="1">
      <alignment wrapText="1"/>
      <protection hidden="1"/>
    </xf>
    <xf numFmtId="0" fontId="125" fillId="0" borderId="0" xfId="0" applyFont="1" applyProtection="1">
      <protection hidden="1"/>
    </xf>
    <xf numFmtId="0" fontId="121" fillId="0" borderId="42" xfId="0" applyFont="1" applyBorder="1" applyAlignment="1" applyProtection="1">
      <alignment wrapText="1"/>
      <protection hidden="1"/>
    </xf>
    <xf numFmtId="166" fontId="121" fillId="0" borderId="15" xfId="1" applyNumberFormat="1" applyFont="1" applyBorder="1" applyProtection="1">
      <protection hidden="1"/>
    </xf>
    <xf numFmtId="49" fontId="125" fillId="0" borderId="74" xfId="0" applyNumberFormat="1" applyFont="1" applyBorder="1" applyProtection="1">
      <protection hidden="1"/>
    </xf>
    <xf numFmtId="0" fontId="3" fillId="53" borderId="21" xfId="0" applyFont="1" applyFill="1" applyBorder="1" applyProtection="1">
      <protection hidden="1"/>
    </xf>
    <xf numFmtId="0" fontId="116" fillId="53" borderId="23" xfId="0" applyFont="1" applyFill="1" applyBorder="1" applyProtection="1">
      <protection hidden="1"/>
    </xf>
    <xf numFmtId="49" fontId="45" fillId="53" borderId="23" xfId="0" applyNumberFormat="1" applyFont="1" applyFill="1" applyBorder="1" applyProtection="1">
      <protection hidden="1"/>
    </xf>
    <xf numFmtId="49" fontId="45" fillId="53" borderId="26" xfId="0" applyNumberFormat="1" applyFont="1" applyFill="1" applyBorder="1" applyProtection="1">
      <protection hidden="1"/>
    </xf>
    <xf numFmtId="182" fontId="121" fillId="0" borderId="70" xfId="0" applyNumberFormat="1" applyFont="1" applyBorder="1" applyProtection="1">
      <protection hidden="1"/>
    </xf>
    <xf numFmtId="182" fontId="119" fillId="0" borderId="15" xfId="1" applyNumberFormat="1" applyFont="1" applyBorder="1" applyProtection="1">
      <protection hidden="1"/>
    </xf>
    <xf numFmtId="0" fontId="121" fillId="0" borderId="70" xfId="0" applyFont="1" applyBorder="1" applyAlignment="1" applyProtection="1">
      <alignment horizontal="center" wrapText="1"/>
      <protection hidden="1"/>
    </xf>
    <xf numFmtId="0" fontId="121" fillId="0" borderId="70" xfId="0" applyFont="1" applyBorder="1" applyAlignment="1" applyProtection="1">
      <alignment wrapText="1"/>
      <protection hidden="1"/>
    </xf>
    <xf numFmtId="183" fontId="119" fillId="0" borderId="18" xfId="2108" applyNumberFormat="1" applyFont="1" applyBorder="1" applyProtection="1">
      <protection hidden="1"/>
    </xf>
    <xf numFmtId="0" fontId="2" fillId="50" borderId="72" xfId="0" quotePrefix="1" applyFont="1" applyFill="1" applyBorder="1" applyAlignment="1">
      <alignment horizontal="center" vertical="center"/>
    </xf>
    <xf numFmtId="0" fontId="97" fillId="53" borderId="0" xfId="0" applyFont="1" applyFill="1"/>
    <xf numFmtId="0" fontId="3" fillId="53" borderId="0" xfId="0" applyFont="1" applyFill="1" applyAlignment="1">
      <alignment horizontal="left"/>
    </xf>
    <xf numFmtId="0" fontId="2" fillId="0" borderId="0" xfId="0" applyFont="1" applyAlignment="1">
      <alignment horizontal="center" wrapText="1"/>
    </xf>
    <xf numFmtId="0" fontId="0" fillId="60" borderId="31" xfId="0" applyFill="1" applyBorder="1"/>
    <xf numFmtId="43" fontId="0" fillId="60" borderId="34" xfId="0" applyNumberFormat="1" applyFill="1" applyBorder="1"/>
    <xf numFmtId="0" fontId="116" fillId="53" borderId="0" xfId="0" applyFont="1" applyFill="1" applyProtection="1">
      <protection hidden="1"/>
    </xf>
    <xf numFmtId="0" fontId="117" fillId="53" borderId="0" xfId="0" applyFont="1" applyFill="1" applyProtection="1">
      <protection hidden="1"/>
    </xf>
    <xf numFmtId="0" fontId="46" fillId="43" borderId="69" xfId="0" applyFont="1" applyFill="1" applyBorder="1" applyAlignment="1" applyProtection="1">
      <alignment horizontal="center" wrapText="1"/>
      <protection hidden="1"/>
    </xf>
    <xf numFmtId="166" fontId="46" fillId="43" borderId="2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7" xfId="1" applyNumberFormat="1" applyFont="1" applyFill="1" applyBorder="1" applyAlignment="1" applyProtection="1">
      <alignment horizontal="center" vertical="center" wrapText="1"/>
      <protection hidden="1"/>
    </xf>
    <xf numFmtId="180" fontId="46" fillId="43" borderId="1" xfId="1" applyNumberFormat="1" applyFont="1" applyFill="1" applyBorder="1" applyProtection="1">
      <protection hidden="1"/>
    </xf>
    <xf numFmtId="166" fontId="46" fillId="43" borderId="2" xfId="1" applyNumberFormat="1" applyFont="1" applyFill="1" applyBorder="1" applyAlignment="1" applyProtection="1">
      <alignment horizontal="left" vertical="center"/>
      <protection hidden="1"/>
    </xf>
    <xf numFmtId="0" fontId="47" fillId="0" borderId="38" xfId="0" applyFont="1" applyBorder="1" applyProtection="1">
      <protection hidden="1"/>
    </xf>
    <xf numFmtId="0" fontId="47" fillId="0" borderId="72" xfId="0" applyFont="1" applyBorder="1" applyAlignment="1" applyProtection="1">
      <alignment horizontal="center" wrapText="1"/>
      <protection hidden="1"/>
    </xf>
    <xf numFmtId="180" fontId="47" fillId="0" borderId="72" xfId="1" applyNumberFormat="1" applyFont="1" applyBorder="1" applyProtection="1">
      <protection hidden="1"/>
    </xf>
    <xf numFmtId="180" fontId="47" fillId="55" borderId="72" xfId="1" applyNumberFormat="1" applyFont="1" applyFill="1" applyBorder="1" applyProtection="1">
      <protection locked="0"/>
    </xf>
    <xf numFmtId="182" fontId="47" fillId="0" borderId="72" xfId="2" applyNumberFormat="1" applyFont="1" applyBorder="1" applyProtection="1">
      <protection hidden="1"/>
    </xf>
    <xf numFmtId="4" fontId="46" fillId="55" borderId="72" xfId="1" applyNumberFormat="1" applyFont="1" applyFill="1" applyBorder="1" applyProtection="1">
      <protection locked="0"/>
    </xf>
    <xf numFmtId="4" fontId="46" fillId="55" borderId="1" xfId="1" applyNumberFormat="1" applyFont="1" applyFill="1" applyBorder="1" applyProtection="1">
      <protection locked="0"/>
    </xf>
    <xf numFmtId="0" fontId="121" fillId="0" borderId="42" xfId="0" applyFont="1" applyBorder="1" applyAlignment="1" applyProtection="1">
      <alignment horizontal="center" wrapText="1"/>
      <protection hidden="1"/>
    </xf>
    <xf numFmtId="166" fontId="46" fillId="43" borderId="1" xfId="1" applyNumberFormat="1" applyFont="1" applyFill="1" applyBorder="1" applyAlignment="1" applyProtection="1">
      <alignment horizontal="left" vertical="center"/>
      <protection hidden="1"/>
    </xf>
    <xf numFmtId="166" fontId="44" fillId="43" borderId="1" xfId="1" applyNumberFormat="1" applyFont="1" applyFill="1" applyBorder="1" applyAlignment="1" applyProtection="1">
      <alignment horizontal="left" vertical="center"/>
      <protection hidden="1"/>
    </xf>
    <xf numFmtId="0" fontId="44" fillId="0" borderId="72" xfId="0" applyFont="1" applyBorder="1" applyProtection="1">
      <protection hidden="1"/>
    </xf>
    <xf numFmtId="0" fontId="111" fillId="0" borderId="69" xfId="0" applyFont="1" applyBorder="1" applyAlignment="1" applyProtection="1">
      <alignment horizontal="left" vertical="top"/>
      <protection hidden="1"/>
    </xf>
    <xf numFmtId="0" fontId="133" fillId="0" borderId="0" xfId="2108" applyFont="1" applyProtection="1">
      <protection hidden="1"/>
    </xf>
    <xf numFmtId="0" fontId="134" fillId="0" borderId="0" xfId="2108" applyFont="1" applyProtection="1">
      <protection hidden="1"/>
    </xf>
    <xf numFmtId="0" fontId="47" fillId="0" borderId="1" xfId="2108" applyFont="1" applyBorder="1" applyProtection="1">
      <protection hidden="1"/>
    </xf>
    <xf numFmtId="49" fontId="135" fillId="0" borderId="0" xfId="0" applyNumberFormat="1" applyFont="1" applyProtection="1">
      <protection hidden="1"/>
    </xf>
    <xf numFmtId="0" fontId="46" fillId="0" borderId="0" xfId="2108" applyFont="1" applyProtection="1">
      <protection hidden="1"/>
    </xf>
    <xf numFmtId="166" fontId="46" fillId="0" borderId="0" xfId="1" applyNumberFormat="1" applyFont="1" applyBorder="1" applyAlignment="1" applyProtection="1">
      <alignment horizontal="center" wrapText="1"/>
      <protection hidden="1"/>
    </xf>
    <xf numFmtId="166" fontId="46" fillId="0" borderId="0" xfId="1" applyNumberFormat="1" applyFont="1" applyBorder="1" applyProtection="1">
      <protection hidden="1"/>
    </xf>
    <xf numFmtId="180" fontId="47" fillId="55" borderId="1" xfId="1" applyNumberFormat="1" applyFont="1" applyFill="1" applyBorder="1" applyProtection="1">
      <protection locked="0"/>
    </xf>
    <xf numFmtId="180" fontId="46" fillId="0" borderId="0" xfId="1" applyNumberFormat="1" applyFont="1" applyBorder="1" applyProtection="1">
      <protection hidden="1"/>
    </xf>
    <xf numFmtId="183" fontId="132" fillId="0" borderId="0" xfId="2108" applyNumberFormat="1" applyFont="1" applyProtection="1">
      <protection hidden="1"/>
    </xf>
    <xf numFmtId="0" fontId="0" fillId="0" borderId="0" xfId="0" pivotButton="1"/>
    <xf numFmtId="0" fontId="0" fillId="64" borderId="0" xfId="0" applyFill="1"/>
    <xf numFmtId="43" fontId="0" fillId="64" borderId="31" xfId="1" applyFont="1" applyFill="1" applyBorder="1"/>
    <xf numFmtId="43" fontId="0" fillId="60" borderId="53" xfId="0" applyNumberFormat="1" applyFill="1" applyBorder="1" applyAlignment="1">
      <alignment vertical="center" wrapText="1"/>
    </xf>
    <xf numFmtId="43" fontId="0" fillId="60" borderId="0" xfId="0" applyNumberFormat="1" applyFill="1"/>
    <xf numFmtId="174" fontId="0" fillId="60" borderId="0" xfId="0" applyNumberFormat="1" applyFill="1"/>
    <xf numFmtId="43" fontId="0" fillId="60" borderId="0" xfId="1" applyFont="1" applyFill="1" applyBorder="1"/>
    <xf numFmtId="44" fontId="0" fillId="60" borderId="0" xfId="1" applyNumberFormat="1" applyFont="1" applyFill="1" applyBorder="1"/>
    <xf numFmtId="170" fontId="0" fillId="60" borderId="0" xfId="1" applyNumberFormat="1" applyFont="1" applyFill="1" applyBorder="1"/>
    <xf numFmtId="177" fontId="0" fillId="60" borderId="0" xfId="0" applyNumberFormat="1" applyFill="1"/>
    <xf numFmtId="0" fontId="2" fillId="0" borderId="47" xfId="0" applyFont="1" applyBorder="1" applyAlignment="1">
      <alignment horizontal="centerContinuous"/>
    </xf>
    <xf numFmtId="0" fontId="2" fillId="0" borderId="30" xfId="0" applyFont="1" applyBorder="1" applyAlignment="1">
      <alignment horizontal="centerContinuous"/>
    </xf>
    <xf numFmtId="0" fontId="2" fillId="0" borderId="50" xfId="0" applyFont="1" applyBorder="1" applyAlignment="1">
      <alignment horizontal="centerContinuous"/>
    </xf>
    <xf numFmtId="0" fontId="2" fillId="0" borderId="65" xfId="0" applyFont="1" applyBorder="1" applyAlignment="1">
      <alignment horizontal="centerContinuous"/>
    </xf>
    <xf numFmtId="0" fontId="47" fillId="48" borderId="1" xfId="0" applyFont="1" applyFill="1" applyBorder="1"/>
    <xf numFmtId="44" fontId="0" fillId="60" borderId="0" xfId="0" applyNumberFormat="1" applyFill="1"/>
    <xf numFmtId="175" fontId="47" fillId="0" borderId="0" xfId="1" applyNumberFormat="1" applyFont="1" applyFill="1" applyBorder="1" applyAlignment="1" applyProtection="1">
      <alignment vertical="center" wrapText="1"/>
      <protection hidden="1"/>
    </xf>
    <xf numFmtId="175" fontId="46" fillId="0" borderId="0" xfId="1" applyNumberFormat="1" applyFont="1" applyFill="1" applyBorder="1" applyAlignment="1" applyProtection="1">
      <protection hidden="1"/>
    </xf>
    <xf numFmtId="175" fontId="47" fillId="0" borderId="0" xfId="1" applyNumberFormat="1" applyFont="1" applyFill="1" applyBorder="1" applyAlignment="1" applyProtection="1">
      <protection hidden="1"/>
    </xf>
    <xf numFmtId="179" fontId="0" fillId="29" borderId="1" xfId="1" applyNumberFormat="1" applyFont="1" applyFill="1" applyBorder="1"/>
    <xf numFmtId="0" fontId="0" fillId="29" borderId="1" xfId="1" applyNumberFormat="1" applyFont="1" applyFill="1" applyBorder="1"/>
    <xf numFmtId="0" fontId="0" fillId="65" borderId="1" xfId="1" applyNumberFormat="1" applyFont="1" applyFill="1" applyBorder="1"/>
    <xf numFmtId="0" fontId="0" fillId="65" borderId="1" xfId="0" applyFill="1" applyBorder="1" applyAlignment="1">
      <alignment horizontal="center"/>
    </xf>
    <xf numFmtId="179" fontId="0" fillId="66" borderId="1" xfId="1" applyNumberFormat="1" applyFont="1" applyFill="1" applyBorder="1"/>
    <xf numFmtId="175" fontId="0" fillId="44" borderId="0" xfId="0" applyNumberFormat="1" applyFill="1"/>
    <xf numFmtId="0" fontId="0" fillId="61" borderId="1" xfId="0" applyFill="1" applyBorder="1" applyAlignment="1">
      <alignment horizontal="center" vertical="top" wrapText="1"/>
    </xf>
    <xf numFmtId="0" fontId="2" fillId="61" borderId="60" xfId="0" applyFont="1" applyFill="1" applyBorder="1" applyAlignment="1">
      <alignment horizontal="centerContinuous"/>
    </xf>
    <xf numFmtId="0" fontId="0" fillId="61" borderId="20" xfId="0" applyFill="1" applyBorder="1" applyAlignment="1">
      <alignment horizontal="centerContinuous"/>
    </xf>
    <xf numFmtId="0" fontId="0" fillId="61" borderId="21" xfId="0" applyFill="1" applyBorder="1" applyAlignment="1">
      <alignment horizontal="centerContinuous"/>
    </xf>
    <xf numFmtId="0" fontId="0" fillId="61" borderId="31" xfId="0" applyFill="1" applyBorder="1" applyAlignment="1">
      <alignment horizontal="center" vertical="top" wrapText="1"/>
    </xf>
    <xf numFmtId="0" fontId="0" fillId="61" borderId="34" xfId="0" applyFill="1" applyBorder="1" applyAlignment="1">
      <alignment horizontal="center" vertical="top" wrapText="1"/>
    </xf>
    <xf numFmtId="43" fontId="0" fillId="0" borderId="57" xfId="1" applyFont="1" applyBorder="1"/>
    <xf numFmtId="43" fontId="0" fillId="0" borderId="58" xfId="1" applyFont="1" applyBorder="1"/>
    <xf numFmtId="0" fontId="0" fillId="47" borderId="1" xfId="0" applyFill="1" applyBorder="1" applyAlignment="1">
      <alignment horizontal="center" vertical="top" wrapText="1"/>
    </xf>
    <xf numFmtId="0" fontId="2" fillId="47" borderId="32" xfId="0" applyFont="1" applyFill="1" applyBorder="1" applyAlignment="1">
      <alignment horizontal="centerContinuous"/>
    </xf>
    <xf numFmtId="0" fontId="0" fillId="47" borderId="33" xfId="0" applyFill="1" applyBorder="1" applyAlignment="1">
      <alignment horizontal="centerContinuous"/>
    </xf>
    <xf numFmtId="0" fontId="0" fillId="47" borderId="59" xfId="0" applyFill="1" applyBorder="1" applyAlignment="1">
      <alignment horizontal="centerContinuous"/>
    </xf>
    <xf numFmtId="0" fontId="0" fillId="47" borderId="31" xfId="0" applyFill="1" applyBorder="1" applyAlignment="1">
      <alignment horizontal="center" vertical="top" wrapText="1"/>
    </xf>
    <xf numFmtId="0" fontId="0" fillId="47" borderId="34" xfId="0" applyFill="1" applyBorder="1" applyAlignment="1">
      <alignment horizontal="center" vertical="top" wrapText="1"/>
    </xf>
    <xf numFmtId="0" fontId="0" fillId="56" borderId="1" xfId="0" applyFill="1" applyBorder="1" applyAlignment="1">
      <alignment horizontal="center" vertical="top" wrapText="1"/>
    </xf>
    <xf numFmtId="0" fontId="2" fillId="56" borderId="32" xfId="0" applyFont="1" applyFill="1" applyBorder="1" applyAlignment="1">
      <alignment horizontal="centerContinuous"/>
    </xf>
    <xf numFmtId="0" fontId="2" fillId="56" borderId="33" xfId="0" applyFont="1" applyFill="1" applyBorder="1" applyAlignment="1">
      <alignment horizontal="centerContinuous"/>
    </xf>
    <xf numFmtId="0" fontId="0" fillId="56" borderId="33" xfId="0" applyFill="1" applyBorder="1" applyAlignment="1">
      <alignment horizontal="centerContinuous"/>
    </xf>
    <xf numFmtId="0" fontId="0" fillId="56" borderId="31" xfId="0" applyFill="1" applyBorder="1" applyAlignment="1">
      <alignment horizontal="center" vertical="top" wrapText="1"/>
    </xf>
    <xf numFmtId="0" fontId="2" fillId="0" borderId="34" xfId="0" applyFont="1" applyBorder="1" applyAlignment="1">
      <alignment horizontal="center"/>
    </xf>
    <xf numFmtId="174" fontId="0" fillId="0" borderId="58" xfId="0" applyNumberFormat="1" applyBorder="1"/>
    <xf numFmtId="0" fontId="0" fillId="56" borderId="20" xfId="0" applyFill="1" applyBorder="1" applyAlignment="1">
      <alignment horizontal="centerContinuous"/>
    </xf>
    <xf numFmtId="0" fontId="0" fillId="56" borderId="21" xfId="0" applyFill="1" applyBorder="1"/>
    <xf numFmtId="0" fontId="0" fillId="56" borderId="61" xfId="0" applyFill="1" applyBorder="1" applyAlignment="1">
      <alignment horizontal="centerContinuous"/>
    </xf>
    <xf numFmtId="174" fontId="0" fillId="0" borderId="37" xfId="0" applyNumberFormat="1" applyBorder="1"/>
    <xf numFmtId="0" fontId="0" fillId="0" borderId="77" xfId="0" applyBorder="1" applyAlignment="1">
      <alignment wrapText="1"/>
    </xf>
    <xf numFmtId="0" fontId="0" fillId="0" borderId="74" xfId="0" applyBorder="1" applyAlignment="1">
      <alignment horizontal="center" vertical="top" wrapText="1"/>
    </xf>
    <xf numFmtId="174" fontId="0" fillId="0" borderId="18" xfId="0" applyNumberFormat="1" applyBorder="1"/>
    <xf numFmtId="0" fontId="0" fillId="0" borderId="20" xfId="0" applyBorder="1" applyAlignment="1">
      <alignment horizontal="centerContinuous"/>
    </xf>
    <xf numFmtId="175" fontId="48" fillId="0" borderId="0" xfId="1" applyNumberFormat="1" applyFont="1" applyBorder="1" applyAlignment="1">
      <alignment vertical="center" wrapText="1"/>
    </xf>
    <xf numFmtId="179" fontId="0" fillId="0" borderId="3" xfId="0" applyNumberFormat="1" applyBorder="1" applyAlignment="1">
      <alignment vertical="center" wrapText="1"/>
    </xf>
    <xf numFmtId="0" fontId="2" fillId="51" borderId="1" xfId="0" applyFont="1" applyFill="1" applyBorder="1" applyAlignment="1">
      <alignment horizontal="center"/>
    </xf>
    <xf numFmtId="0" fontId="2" fillId="50" borderId="1" xfId="0" applyFont="1" applyFill="1" applyBorder="1" applyAlignment="1">
      <alignment horizontal="center" wrapText="1"/>
    </xf>
    <xf numFmtId="0" fontId="2" fillId="50" borderId="1" xfId="0" applyFont="1" applyFill="1" applyBorder="1" applyAlignment="1">
      <alignment horizontal="centerContinuous"/>
    </xf>
    <xf numFmtId="0" fontId="2" fillId="50" borderId="1" xfId="0" applyFont="1" applyFill="1" applyBorder="1" applyAlignment="1">
      <alignment horizontal="centerContinuous" wrapText="1"/>
    </xf>
    <xf numFmtId="0" fontId="2" fillId="51" borderId="1" xfId="0" applyFont="1" applyFill="1" applyBorder="1" applyAlignment="1">
      <alignment horizontal="center" wrapText="1"/>
    </xf>
    <xf numFmtId="0" fontId="0" fillId="0" borderId="47" xfId="0" applyBorder="1" applyAlignment="1">
      <alignment horizontal="centerContinuous"/>
    </xf>
    <xf numFmtId="0" fontId="2" fillId="0" borderId="0" xfId="0" applyFont="1" applyAlignment="1">
      <alignment horizontal="centerContinuous"/>
    </xf>
    <xf numFmtId="175" fontId="90" fillId="0" borderId="0" xfId="2" applyNumberFormat="1" applyFont="1" applyFill="1" applyBorder="1" applyAlignment="1">
      <alignment horizontal="left" vertical="center"/>
    </xf>
    <xf numFmtId="174" fontId="0" fillId="0" borderId="1" xfId="1" applyNumberFormat="1" applyFont="1" applyBorder="1"/>
    <xf numFmtId="0" fontId="2" fillId="0" borderId="47" xfId="0" applyFont="1" applyBorder="1" applyAlignment="1">
      <alignment horizontal="center" vertical="top" wrapText="1"/>
    </xf>
    <xf numFmtId="175" fontId="46" fillId="0" borderId="2" xfId="1" applyNumberFormat="1" applyFont="1" applyBorder="1" applyAlignment="1">
      <alignment horizontal="center" vertical="center" wrapText="1"/>
    </xf>
    <xf numFmtId="175" fontId="46" fillId="0" borderId="3" xfId="1" applyNumberFormat="1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left"/>
    </xf>
    <xf numFmtId="0" fontId="46" fillId="0" borderId="18" xfId="0" applyFont="1" applyBorder="1" applyAlignment="1">
      <alignment horizontal="left"/>
    </xf>
    <xf numFmtId="0" fontId="46" fillId="0" borderId="2" xfId="0" applyFont="1" applyBorder="1" applyAlignment="1" applyProtection="1">
      <alignment horizontal="center" vertical="center" wrapText="1"/>
      <protection hidden="1"/>
    </xf>
    <xf numFmtId="0" fontId="46" fillId="0" borderId="3" xfId="0" applyFont="1" applyBorder="1" applyAlignment="1" applyProtection="1">
      <alignment horizontal="center" vertical="center" wrapText="1"/>
      <protection hidden="1"/>
    </xf>
    <xf numFmtId="14" fontId="99" fillId="0" borderId="15" xfId="1" applyNumberFormat="1" applyFont="1" applyBorder="1" applyAlignment="1" applyProtection="1">
      <alignment horizontal="center"/>
      <protection locked="0"/>
    </xf>
    <xf numFmtId="175" fontId="99" fillId="0" borderId="6" xfId="1" applyNumberFormat="1" applyFont="1" applyFill="1" applyBorder="1" applyAlignment="1" applyProtection="1">
      <alignment horizontal="center" wrapText="1"/>
      <protection locked="0"/>
    </xf>
    <xf numFmtId="175" fontId="99" fillId="0" borderId="6" xfId="1" applyNumberFormat="1" applyFont="1" applyFill="1" applyBorder="1" applyAlignment="1" applyProtection="1">
      <alignment horizontal="center"/>
      <protection locked="0"/>
    </xf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55" borderId="68" xfId="1" applyNumberFormat="1" applyFont="1" applyFill="1" applyBorder="1" applyAlignment="1" applyProtection="1">
      <alignment horizontal="center" vertical="center" wrapText="1"/>
      <protection locked="0"/>
    </xf>
    <xf numFmtId="175" fontId="47" fillId="55" borderId="51" xfId="1" applyNumberFormat="1" applyFont="1" applyFill="1" applyBorder="1" applyAlignment="1" applyProtection="1">
      <alignment horizontal="center" vertical="center" wrapText="1"/>
      <protection locked="0"/>
    </xf>
    <xf numFmtId="0" fontId="0" fillId="55" borderId="6" xfId="0" applyFill="1" applyBorder="1" applyAlignment="1" applyProtection="1">
      <alignment horizontal="center"/>
      <protection locked="0"/>
    </xf>
    <xf numFmtId="175" fontId="47" fillId="55" borderId="6" xfId="1" applyNumberFormat="1" applyFont="1" applyFill="1" applyBorder="1" applyAlignment="1" applyProtection="1">
      <alignment horizontal="center" vertical="center" wrapText="1"/>
      <protection locked="0"/>
    </xf>
    <xf numFmtId="175" fontId="46" fillId="55" borderId="6" xfId="1" applyNumberFormat="1" applyFont="1" applyFill="1" applyBorder="1" applyAlignment="1" applyProtection="1">
      <alignment horizontal="center"/>
      <protection locked="0"/>
    </xf>
    <xf numFmtId="0" fontId="120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4" fontId="119" fillId="55" borderId="18" xfId="1" applyNumberFormat="1" applyFont="1" applyFill="1" applyBorder="1" applyAlignment="1" applyProtection="1">
      <alignment horizontal="center" wrapText="1"/>
      <protection hidden="1"/>
    </xf>
    <xf numFmtId="4" fontId="119" fillId="55" borderId="1" xfId="1" applyNumberFormat="1" applyFont="1" applyFill="1" applyBorder="1" applyAlignment="1" applyProtection="1">
      <alignment horizontal="center" wrapText="1"/>
      <protection hidden="1"/>
    </xf>
    <xf numFmtId="4" fontId="46" fillId="55" borderId="17" xfId="1" applyNumberFormat="1" applyFont="1" applyFill="1" applyBorder="1" applyAlignment="1" applyProtection="1">
      <alignment horizontal="center" wrapText="1"/>
      <protection locked="0"/>
    </xf>
    <xf numFmtId="4" fontId="46" fillId="55" borderId="6" xfId="1" applyNumberFormat="1" applyFont="1" applyFill="1" applyBorder="1" applyAlignment="1" applyProtection="1">
      <alignment horizontal="center" wrapText="1"/>
      <protection locked="0"/>
    </xf>
    <xf numFmtId="4" fontId="46" fillId="55" borderId="18" xfId="1" applyNumberFormat="1" applyFont="1" applyFill="1" applyBorder="1" applyAlignment="1" applyProtection="1">
      <alignment horizontal="center" wrapText="1"/>
      <protection locked="0"/>
    </xf>
    <xf numFmtId="14" fontId="125" fillId="0" borderId="15" xfId="0" applyNumberFormat="1" applyFont="1" applyBorder="1" applyAlignment="1" applyProtection="1">
      <alignment horizontal="center"/>
      <protection hidden="1"/>
    </xf>
    <xf numFmtId="0" fontId="125" fillId="0" borderId="15" xfId="0" applyFont="1" applyBorder="1" applyAlignment="1" applyProtection="1">
      <alignment horizontal="center"/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25" fillId="0" borderId="15" xfId="0" applyFont="1" applyBorder="1" applyAlignment="1" applyProtection="1">
      <alignment horizontal="right"/>
      <protection hidden="1"/>
    </xf>
    <xf numFmtId="0" fontId="2" fillId="51" borderId="1" xfId="0" applyFont="1" applyFill="1" applyBorder="1" applyAlignment="1">
      <alignment horizontal="center"/>
    </xf>
    <xf numFmtId="0" fontId="2" fillId="50" borderId="1" xfId="0" applyFont="1" applyFill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5" fillId="27" borderId="17" xfId="0" applyFont="1" applyFill="1" applyBorder="1" applyAlignment="1">
      <alignment horizontal="left" wrapText="1"/>
    </xf>
    <xf numFmtId="0" fontId="5" fillId="27" borderId="6" xfId="0" applyFont="1" applyFill="1" applyBorder="1" applyAlignment="1">
      <alignment horizontal="left" wrapText="1"/>
    </xf>
    <xf numFmtId="0" fontId="5" fillId="27" borderId="18" xfId="0" applyFont="1" applyFill="1" applyBorder="1" applyAlignment="1">
      <alignment horizontal="left" wrapText="1"/>
    </xf>
  </cellXfs>
  <cellStyles count="3975">
    <cellStyle name=" 1" xfId="3" xr:uid="{00000000-0005-0000-0000-000000000000}"/>
    <cellStyle name=" 2" xfId="4" xr:uid="{00000000-0005-0000-0000-000001000000}"/>
    <cellStyle name=" 3" xfId="5" xr:uid="{00000000-0005-0000-0000-000002000000}"/>
    <cellStyle name="%" xfId="6" xr:uid="{00000000-0005-0000-0000-000003000000}"/>
    <cellStyle name="% 2" xfId="186" xr:uid="{00000000-0005-0000-0000-000004000000}"/>
    <cellStyle name="% 2 2" xfId="210" xr:uid="{00000000-0005-0000-0000-000005000000}"/>
    <cellStyle name="% 2 3" xfId="211" xr:uid="{00000000-0005-0000-0000-000006000000}"/>
    <cellStyle name="% 2 4" xfId="212" xr:uid="{00000000-0005-0000-0000-000007000000}"/>
    <cellStyle name="% 3" xfId="213" xr:uid="{00000000-0005-0000-0000-000008000000}"/>
    <cellStyle name="% 3 2" xfId="214" xr:uid="{00000000-0005-0000-0000-000009000000}"/>
    <cellStyle name="% 4" xfId="215" xr:uid="{00000000-0005-0000-0000-00000A000000}"/>
    <cellStyle name="% 5" xfId="216" xr:uid="{00000000-0005-0000-0000-00000B000000}"/>
    <cellStyle name="% 6" xfId="217" xr:uid="{00000000-0005-0000-0000-00000C000000}"/>
    <cellStyle name="%_Appendices A C and D and MFG transitional protection -corrected on 11th January" xfId="218" xr:uid="{00000000-0005-0000-0000-00000D000000}"/>
    <cellStyle name="%_Appendices A C and D and MFG transitional protection -corrected on 11th January 2" xfId="219" xr:uid="{00000000-0005-0000-0000-00000E000000}"/>
    <cellStyle name="%_Book1" xfId="7" xr:uid="{00000000-0005-0000-0000-00000F000000}"/>
    <cellStyle name="%_DFE Contribution" xfId="220" xr:uid="{00000000-0005-0000-0000-000010000000}"/>
    <cellStyle name="%_LFF 3-4 2011.12 Indicative 26.01.2011 v2" xfId="221" xr:uid="{00000000-0005-0000-0000-000011000000}"/>
    <cellStyle name="%_mainstreaming of specific grants GM V2 25-10-10 v5" xfId="222" xr:uid="{00000000-0005-0000-0000-000012000000}"/>
    <cellStyle name="%_mainstreaming of specific grants GM V2 25-10-10 v5 2" xfId="223" xr:uid="{00000000-0005-0000-0000-000013000000}"/>
    <cellStyle name="%_mainstreaming of specific grants GM V2 25-10-10 v5_Appendices A C and D and MFG transitional protection -corrected on 11th January" xfId="224" xr:uid="{00000000-0005-0000-0000-000014000000}"/>
    <cellStyle name="%_mainstreaming of specific grants GM V2 25-10-10 v5_Appendices A C and D and MFG transitional protection -corrected on 11th January 2" xfId="225" xr:uid="{00000000-0005-0000-0000-000015000000}"/>
    <cellStyle name="%_School Contributions" xfId="226" xr:uid="{00000000-0005-0000-0000-000016000000}"/>
    <cellStyle name="]_x000d__x000a_Zoomed=1_x000d__x000a_Row=0_x000d__x000a_Column=0_x000d__x000a_Height=0_x000d__x000a_Width=0_x000d__x000a_FontName=FoxFont_x000d__x000a_FontStyle=0_x000d__x000a_FontSize=9_x000d__x000a_PrtFontName=FoxPrin" xfId="8" xr:uid="{00000000-0005-0000-0000-000017000000}"/>
    <cellStyle name="]_x000d__x000a_Zoomed=1_x000d__x000a_Row=0_x000d__x000a_Column=0_x000d__x000a_Height=0_x000d__x000a_Width=0_x000d__x000a_FontName=FoxFont_x000d__x000a_FontStyle=0_x000d__x000a_FontSize=9_x000d__x000a_PrtFontName=FoxPrin 2" xfId="9" xr:uid="{00000000-0005-0000-0000-000018000000}"/>
    <cellStyle name="]_x000d__x000a_Zoomed=1_x000d__x000a_Row=0_x000d__x000a_Column=0_x000d__x000a_Height=0_x000d__x000a_Width=0_x000d__x000a_FontName=FoxFont_x000d__x000a_FontStyle=0_x000d__x000a_FontSize=9_x000d__x000a_PrtFontName=FoxPrin 2 2" xfId="10" xr:uid="{00000000-0005-0000-0000-000019000000}"/>
    <cellStyle name="]_x000d__x000a_Zoomed=1_x000d__x000a_Row=0_x000d__x000a_Column=0_x000d__x000a_Height=0_x000d__x000a_Width=0_x000d__x000a_FontName=FoxFont_x000d__x000a_FontStyle=0_x000d__x000a_FontSize=9_x000d__x000a_PrtFontName=FoxPrin 3" xfId="11" xr:uid="{00000000-0005-0000-0000-00001A000000}"/>
    <cellStyle name="]_x000d__x000a_Zoomed=1_x000d__x000a_Row=0_x000d__x000a_Column=0_x000d__x000a_Height=0_x000d__x000a_Width=0_x000d__x000a_FontName=FoxFont_x000d__x000a_FontStyle=0_x000d__x000a_FontSize=9_x000d__x000a_PrtFontName=FoxPrin 3 2" xfId="12" xr:uid="{00000000-0005-0000-0000-00001B000000}"/>
    <cellStyle name="]_x000d__x000a_Zoomed=1_x000d__x000a_Row=0_x000d__x000a_Column=0_x000d__x000a_Height=0_x000d__x000a_Width=0_x000d__x000a_FontName=FoxFont_x000d__x000a_FontStyle=0_x000d__x000a_FontSize=9_x000d__x000a_PrtFontName=FoxPrin 3_All Schools2" xfId="13" xr:uid="{00000000-0005-0000-0000-00001C000000}"/>
    <cellStyle name="]_x000d__x000a_Zoomed=1_x000d__x000a_Row=0_x000d__x000a_Column=0_x000d__x000a_Height=0_x000d__x000a_Width=0_x000d__x000a_FontName=FoxFont_x000d__x000a_FontStyle=0_x000d__x000a_FontSize=9_x000d__x000a_PrtFontName=FoxPrin_All Schools2" xfId="14" xr:uid="{00000000-0005-0000-0000-00001D000000}"/>
    <cellStyle name="_38006 University Academy Keighley MFG Calculation" xfId="15" xr:uid="{00000000-0005-0000-0000-00001E000000}"/>
    <cellStyle name="20% - Accent1 2" xfId="16" xr:uid="{00000000-0005-0000-0000-00001F000000}"/>
    <cellStyle name="20% - Accent1 2 2" xfId="17" xr:uid="{00000000-0005-0000-0000-000020000000}"/>
    <cellStyle name="20% - Accent1 2 2 2" xfId="227" xr:uid="{00000000-0005-0000-0000-000021000000}"/>
    <cellStyle name="20% - Accent1 2 2 3" xfId="228" xr:uid="{00000000-0005-0000-0000-000022000000}"/>
    <cellStyle name="20% - Accent1 2 3" xfId="229" xr:uid="{00000000-0005-0000-0000-000023000000}"/>
    <cellStyle name="20% - Accent1 2 4" xfId="230" xr:uid="{00000000-0005-0000-0000-000024000000}"/>
    <cellStyle name="20% - Accent2 2" xfId="18" xr:uid="{00000000-0005-0000-0000-000025000000}"/>
    <cellStyle name="20% - Accent2 2 2" xfId="19" xr:uid="{00000000-0005-0000-0000-000026000000}"/>
    <cellStyle name="20% - Accent2 2 3" xfId="231" xr:uid="{00000000-0005-0000-0000-000027000000}"/>
    <cellStyle name="20% - Accent3 2" xfId="20" xr:uid="{00000000-0005-0000-0000-000028000000}"/>
    <cellStyle name="20% - Accent3 2 2" xfId="21" xr:uid="{00000000-0005-0000-0000-000029000000}"/>
    <cellStyle name="20% - Accent3 2 3" xfId="232" xr:uid="{00000000-0005-0000-0000-00002A000000}"/>
    <cellStyle name="20% - Accent4 2" xfId="22" xr:uid="{00000000-0005-0000-0000-00002B000000}"/>
    <cellStyle name="20% - Accent4 2 2" xfId="23" xr:uid="{00000000-0005-0000-0000-00002C000000}"/>
    <cellStyle name="20% - Accent4 2 3" xfId="233" xr:uid="{00000000-0005-0000-0000-00002D000000}"/>
    <cellStyle name="20% - Accent5 2" xfId="24" xr:uid="{00000000-0005-0000-0000-00002E000000}"/>
    <cellStyle name="20% - Accent5 2 2" xfId="25" xr:uid="{00000000-0005-0000-0000-00002F000000}"/>
    <cellStyle name="20% - Accent5 2 3" xfId="234" xr:uid="{00000000-0005-0000-0000-000030000000}"/>
    <cellStyle name="20% - Accent6 2" xfId="26" xr:uid="{00000000-0005-0000-0000-000031000000}"/>
    <cellStyle name="20% - Accent6 2 2" xfId="27" xr:uid="{00000000-0005-0000-0000-000032000000}"/>
    <cellStyle name="20% - Accent6 2 3" xfId="235" xr:uid="{00000000-0005-0000-0000-000033000000}"/>
    <cellStyle name="40% - Accent1 2" xfId="28" xr:uid="{00000000-0005-0000-0000-000034000000}"/>
    <cellStyle name="40% - Accent1 2 2" xfId="29" xr:uid="{00000000-0005-0000-0000-000035000000}"/>
    <cellStyle name="40% - Accent1 2 3" xfId="236" xr:uid="{00000000-0005-0000-0000-000036000000}"/>
    <cellStyle name="40% - Accent1 3" xfId="237" xr:uid="{00000000-0005-0000-0000-000037000000}"/>
    <cellStyle name="40% - Accent2 2" xfId="30" xr:uid="{00000000-0005-0000-0000-000038000000}"/>
    <cellStyle name="40% - Accent2 2 2" xfId="31" xr:uid="{00000000-0005-0000-0000-000039000000}"/>
    <cellStyle name="40% - Accent2 2 3" xfId="238" xr:uid="{00000000-0005-0000-0000-00003A000000}"/>
    <cellStyle name="40% - Accent2 3" xfId="239" xr:uid="{00000000-0005-0000-0000-00003B000000}"/>
    <cellStyle name="40% - Accent3 2" xfId="32" xr:uid="{00000000-0005-0000-0000-00003C000000}"/>
    <cellStyle name="40% - Accent3 2 2" xfId="33" xr:uid="{00000000-0005-0000-0000-00003D000000}"/>
    <cellStyle name="40% - Accent3 2 3" xfId="240" xr:uid="{00000000-0005-0000-0000-00003E000000}"/>
    <cellStyle name="40% - Accent4 2" xfId="34" xr:uid="{00000000-0005-0000-0000-00003F000000}"/>
    <cellStyle name="40% - Accent4 2 2" xfId="35" xr:uid="{00000000-0005-0000-0000-000040000000}"/>
    <cellStyle name="40% - Accent4 2 3" xfId="241" xr:uid="{00000000-0005-0000-0000-000041000000}"/>
    <cellStyle name="40% - Accent5 2" xfId="36" xr:uid="{00000000-0005-0000-0000-000042000000}"/>
    <cellStyle name="40% - Accent5 2 2" xfId="37" xr:uid="{00000000-0005-0000-0000-000043000000}"/>
    <cellStyle name="40% - Accent5 2 3" xfId="242" xr:uid="{00000000-0005-0000-0000-000044000000}"/>
    <cellStyle name="40% - Accent6 2" xfId="38" xr:uid="{00000000-0005-0000-0000-000045000000}"/>
    <cellStyle name="40% - Accent6 2 2" xfId="39" xr:uid="{00000000-0005-0000-0000-000046000000}"/>
    <cellStyle name="40% - Accent6 2 3" xfId="243" xr:uid="{00000000-0005-0000-0000-000047000000}"/>
    <cellStyle name="60% - Accent1 2" xfId="40" xr:uid="{00000000-0005-0000-0000-000048000000}"/>
    <cellStyle name="60% - Accent1 2 2" xfId="244" xr:uid="{00000000-0005-0000-0000-000049000000}"/>
    <cellStyle name="60% - Accent2 2" xfId="41" xr:uid="{00000000-0005-0000-0000-00004A000000}"/>
    <cellStyle name="60% - Accent2 2 2" xfId="245" xr:uid="{00000000-0005-0000-0000-00004B000000}"/>
    <cellStyle name="60% - Accent3 2" xfId="42" xr:uid="{00000000-0005-0000-0000-00004C000000}"/>
    <cellStyle name="60% - Accent3 2 2" xfId="246" xr:uid="{00000000-0005-0000-0000-00004D000000}"/>
    <cellStyle name="60% - Accent3 3" xfId="3970" xr:uid="{05A01E92-CE58-4CA6-8478-B2420B48C3C0}"/>
    <cellStyle name="60% - Accent4 2" xfId="43" xr:uid="{00000000-0005-0000-0000-00004E000000}"/>
    <cellStyle name="60% - Accent4 2 2" xfId="247" xr:uid="{00000000-0005-0000-0000-00004F000000}"/>
    <cellStyle name="60% - Accent5 2" xfId="44" xr:uid="{00000000-0005-0000-0000-000050000000}"/>
    <cellStyle name="60% - Accent5 2 2" xfId="248" xr:uid="{00000000-0005-0000-0000-000051000000}"/>
    <cellStyle name="60% - Accent6 2" xfId="45" xr:uid="{00000000-0005-0000-0000-000052000000}"/>
    <cellStyle name="60% - Accent6 2 2" xfId="249" xr:uid="{00000000-0005-0000-0000-000053000000}"/>
    <cellStyle name="60% - Accent6 2 3" xfId="250" xr:uid="{00000000-0005-0000-0000-000054000000}"/>
    <cellStyle name="60% - Accent6 2 4" xfId="251" xr:uid="{00000000-0005-0000-0000-000055000000}"/>
    <cellStyle name="Accent1 2" xfId="46" xr:uid="{00000000-0005-0000-0000-000056000000}"/>
    <cellStyle name="Accent1 2 2" xfId="252" xr:uid="{00000000-0005-0000-0000-000057000000}"/>
    <cellStyle name="Accent1 3" xfId="253" xr:uid="{00000000-0005-0000-0000-000058000000}"/>
    <cellStyle name="Accent2 2" xfId="47" xr:uid="{00000000-0005-0000-0000-000059000000}"/>
    <cellStyle name="Accent2 2 2" xfId="254" xr:uid="{00000000-0005-0000-0000-00005A000000}"/>
    <cellStyle name="Accent3 2" xfId="48" xr:uid="{00000000-0005-0000-0000-00005B000000}"/>
    <cellStyle name="Accent3 2 2" xfId="255" xr:uid="{00000000-0005-0000-0000-00005C000000}"/>
    <cellStyle name="Accent4 2" xfId="49" xr:uid="{00000000-0005-0000-0000-00005D000000}"/>
    <cellStyle name="Accent4 2 2" xfId="256" xr:uid="{00000000-0005-0000-0000-00005E000000}"/>
    <cellStyle name="Accent5 2" xfId="50" xr:uid="{00000000-0005-0000-0000-00005F000000}"/>
    <cellStyle name="Accent5 2 2" xfId="257" xr:uid="{00000000-0005-0000-0000-000060000000}"/>
    <cellStyle name="Accent6 2" xfId="51" xr:uid="{00000000-0005-0000-0000-000061000000}"/>
    <cellStyle name="Accent6 2 2" xfId="258" xr:uid="{00000000-0005-0000-0000-000062000000}"/>
    <cellStyle name="Bad 2" xfId="52" xr:uid="{00000000-0005-0000-0000-000063000000}"/>
    <cellStyle name="Bad 2 2" xfId="259" xr:uid="{00000000-0005-0000-0000-000064000000}"/>
    <cellStyle name="Calculation 2" xfId="53" xr:uid="{00000000-0005-0000-0000-000065000000}"/>
    <cellStyle name="Calculation 2 10" xfId="260" xr:uid="{00000000-0005-0000-0000-000066000000}"/>
    <cellStyle name="Calculation 2 10 2" xfId="261" xr:uid="{00000000-0005-0000-0000-000067000000}"/>
    <cellStyle name="Calculation 2 10 3" xfId="262" xr:uid="{00000000-0005-0000-0000-000068000000}"/>
    <cellStyle name="Calculation 2 10 4" xfId="263" xr:uid="{00000000-0005-0000-0000-000069000000}"/>
    <cellStyle name="Calculation 2 10 5" xfId="264" xr:uid="{00000000-0005-0000-0000-00006A000000}"/>
    <cellStyle name="Calculation 2 11" xfId="265" xr:uid="{00000000-0005-0000-0000-00006B000000}"/>
    <cellStyle name="Calculation 2 11 2" xfId="266" xr:uid="{00000000-0005-0000-0000-00006C000000}"/>
    <cellStyle name="Calculation 2 11 3" xfId="267" xr:uid="{00000000-0005-0000-0000-00006D000000}"/>
    <cellStyle name="Calculation 2 11 4" xfId="268" xr:uid="{00000000-0005-0000-0000-00006E000000}"/>
    <cellStyle name="Calculation 2 11 5" xfId="269" xr:uid="{00000000-0005-0000-0000-00006F000000}"/>
    <cellStyle name="Calculation 2 12" xfId="270" xr:uid="{00000000-0005-0000-0000-000070000000}"/>
    <cellStyle name="Calculation 2 12 2" xfId="271" xr:uid="{00000000-0005-0000-0000-000071000000}"/>
    <cellStyle name="Calculation 2 12 3" xfId="272" xr:uid="{00000000-0005-0000-0000-000072000000}"/>
    <cellStyle name="Calculation 2 12 4" xfId="273" xr:uid="{00000000-0005-0000-0000-000073000000}"/>
    <cellStyle name="Calculation 2 12 5" xfId="274" xr:uid="{00000000-0005-0000-0000-000074000000}"/>
    <cellStyle name="Calculation 2 13" xfId="275" xr:uid="{00000000-0005-0000-0000-000075000000}"/>
    <cellStyle name="Calculation 2 13 2" xfId="276" xr:uid="{00000000-0005-0000-0000-000076000000}"/>
    <cellStyle name="Calculation 2 13 3" xfId="277" xr:uid="{00000000-0005-0000-0000-000077000000}"/>
    <cellStyle name="Calculation 2 13 4" xfId="278" xr:uid="{00000000-0005-0000-0000-000078000000}"/>
    <cellStyle name="Calculation 2 14" xfId="279" xr:uid="{00000000-0005-0000-0000-000079000000}"/>
    <cellStyle name="Calculation 2 14 2" xfId="280" xr:uid="{00000000-0005-0000-0000-00007A000000}"/>
    <cellStyle name="Calculation 2 14 3" xfId="281" xr:uid="{00000000-0005-0000-0000-00007B000000}"/>
    <cellStyle name="Calculation 2 14 4" xfId="282" xr:uid="{00000000-0005-0000-0000-00007C000000}"/>
    <cellStyle name="Calculation 2 15" xfId="283" xr:uid="{00000000-0005-0000-0000-00007D000000}"/>
    <cellStyle name="Calculation 2 15 2" xfId="284" xr:uid="{00000000-0005-0000-0000-00007E000000}"/>
    <cellStyle name="Calculation 2 15 3" xfId="285" xr:uid="{00000000-0005-0000-0000-00007F000000}"/>
    <cellStyle name="Calculation 2 15 4" xfId="286" xr:uid="{00000000-0005-0000-0000-000080000000}"/>
    <cellStyle name="Calculation 2 16" xfId="287" xr:uid="{00000000-0005-0000-0000-000081000000}"/>
    <cellStyle name="Calculation 2 2" xfId="288" xr:uid="{00000000-0005-0000-0000-000082000000}"/>
    <cellStyle name="Calculation 2 2 10" xfId="289" xr:uid="{00000000-0005-0000-0000-000083000000}"/>
    <cellStyle name="Calculation 2 2 10 2" xfId="290" xr:uid="{00000000-0005-0000-0000-000084000000}"/>
    <cellStyle name="Calculation 2 2 10 3" xfId="291" xr:uid="{00000000-0005-0000-0000-000085000000}"/>
    <cellStyle name="Calculation 2 2 10 4" xfId="292" xr:uid="{00000000-0005-0000-0000-000086000000}"/>
    <cellStyle name="Calculation 2 2 10 5" xfId="293" xr:uid="{00000000-0005-0000-0000-000087000000}"/>
    <cellStyle name="Calculation 2 2 11" xfId="294" xr:uid="{00000000-0005-0000-0000-000088000000}"/>
    <cellStyle name="Calculation 2 2 11 2" xfId="295" xr:uid="{00000000-0005-0000-0000-000089000000}"/>
    <cellStyle name="Calculation 2 2 11 3" xfId="296" xr:uid="{00000000-0005-0000-0000-00008A000000}"/>
    <cellStyle name="Calculation 2 2 11 4" xfId="297" xr:uid="{00000000-0005-0000-0000-00008B000000}"/>
    <cellStyle name="Calculation 2 2 11 5" xfId="298" xr:uid="{00000000-0005-0000-0000-00008C000000}"/>
    <cellStyle name="Calculation 2 2 12" xfId="299" xr:uid="{00000000-0005-0000-0000-00008D000000}"/>
    <cellStyle name="Calculation 2 2 12 2" xfId="300" xr:uid="{00000000-0005-0000-0000-00008E000000}"/>
    <cellStyle name="Calculation 2 2 12 3" xfId="301" xr:uid="{00000000-0005-0000-0000-00008F000000}"/>
    <cellStyle name="Calculation 2 2 12 4" xfId="302" xr:uid="{00000000-0005-0000-0000-000090000000}"/>
    <cellStyle name="Calculation 2 2 12 5" xfId="303" xr:uid="{00000000-0005-0000-0000-000091000000}"/>
    <cellStyle name="Calculation 2 2 13" xfId="304" xr:uid="{00000000-0005-0000-0000-000092000000}"/>
    <cellStyle name="Calculation 2 2 13 2" xfId="305" xr:uid="{00000000-0005-0000-0000-000093000000}"/>
    <cellStyle name="Calculation 2 2 13 3" xfId="306" xr:uid="{00000000-0005-0000-0000-000094000000}"/>
    <cellStyle name="Calculation 2 2 13 4" xfId="307" xr:uid="{00000000-0005-0000-0000-000095000000}"/>
    <cellStyle name="Calculation 2 2 13 5" xfId="308" xr:uid="{00000000-0005-0000-0000-000096000000}"/>
    <cellStyle name="Calculation 2 2 14" xfId="309" xr:uid="{00000000-0005-0000-0000-000097000000}"/>
    <cellStyle name="Calculation 2 2 14 2" xfId="310" xr:uid="{00000000-0005-0000-0000-000098000000}"/>
    <cellStyle name="Calculation 2 2 14 3" xfId="311" xr:uid="{00000000-0005-0000-0000-000099000000}"/>
    <cellStyle name="Calculation 2 2 14 4" xfId="312" xr:uid="{00000000-0005-0000-0000-00009A000000}"/>
    <cellStyle name="Calculation 2 2 14 5" xfId="313" xr:uid="{00000000-0005-0000-0000-00009B000000}"/>
    <cellStyle name="Calculation 2 2 15" xfId="314" xr:uid="{00000000-0005-0000-0000-00009C000000}"/>
    <cellStyle name="Calculation 2 2 15 2" xfId="315" xr:uid="{00000000-0005-0000-0000-00009D000000}"/>
    <cellStyle name="Calculation 2 2 15 3" xfId="316" xr:uid="{00000000-0005-0000-0000-00009E000000}"/>
    <cellStyle name="Calculation 2 2 15 4" xfId="317" xr:uid="{00000000-0005-0000-0000-00009F000000}"/>
    <cellStyle name="Calculation 2 2 15 5" xfId="318" xr:uid="{00000000-0005-0000-0000-0000A0000000}"/>
    <cellStyle name="Calculation 2 2 16" xfId="319" xr:uid="{00000000-0005-0000-0000-0000A1000000}"/>
    <cellStyle name="Calculation 2 2 16 2" xfId="320" xr:uid="{00000000-0005-0000-0000-0000A2000000}"/>
    <cellStyle name="Calculation 2 2 16 3" xfId="321" xr:uid="{00000000-0005-0000-0000-0000A3000000}"/>
    <cellStyle name="Calculation 2 2 16 4" xfId="322" xr:uid="{00000000-0005-0000-0000-0000A4000000}"/>
    <cellStyle name="Calculation 2 2 16 5" xfId="323" xr:uid="{00000000-0005-0000-0000-0000A5000000}"/>
    <cellStyle name="Calculation 2 2 17" xfId="324" xr:uid="{00000000-0005-0000-0000-0000A6000000}"/>
    <cellStyle name="Calculation 2 2 17 2" xfId="325" xr:uid="{00000000-0005-0000-0000-0000A7000000}"/>
    <cellStyle name="Calculation 2 2 17 3" xfId="326" xr:uid="{00000000-0005-0000-0000-0000A8000000}"/>
    <cellStyle name="Calculation 2 2 17 4" xfId="327" xr:uid="{00000000-0005-0000-0000-0000A9000000}"/>
    <cellStyle name="Calculation 2 2 17 5" xfId="328" xr:uid="{00000000-0005-0000-0000-0000AA000000}"/>
    <cellStyle name="Calculation 2 2 18" xfId="329" xr:uid="{00000000-0005-0000-0000-0000AB000000}"/>
    <cellStyle name="Calculation 2 2 18 2" xfId="330" xr:uid="{00000000-0005-0000-0000-0000AC000000}"/>
    <cellStyle name="Calculation 2 2 18 3" xfId="331" xr:uid="{00000000-0005-0000-0000-0000AD000000}"/>
    <cellStyle name="Calculation 2 2 18 4" xfId="332" xr:uid="{00000000-0005-0000-0000-0000AE000000}"/>
    <cellStyle name="Calculation 2 2 18 5" xfId="333" xr:uid="{00000000-0005-0000-0000-0000AF000000}"/>
    <cellStyle name="Calculation 2 2 19" xfId="334" xr:uid="{00000000-0005-0000-0000-0000B0000000}"/>
    <cellStyle name="Calculation 2 2 19 2" xfId="335" xr:uid="{00000000-0005-0000-0000-0000B1000000}"/>
    <cellStyle name="Calculation 2 2 19 3" xfId="336" xr:uid="{00000000-0005-0000-0000-0000B2000000}"/>
    <cellStyle name="Calculation 2 2 19 4" xfId="337" xr:uid="{00000000-0005-0000-0000-0000B3000000}"/>
    <cellStyle name="Calculation 2 2 2" xfId="338" xr:uid="{00000000-0005-0000-0000-0000B4000000}"/>
    <cellStyle name="Calculation 2 2 2 2" xfId="339" xr:uid="{00000000-0005-0000-0000-0000B5000000}"/>
    <cellStyle name="Calculation 2 2 2 3" xfId="340" xr:uid="{00000000-0005-0000-0000-0000B6000000}"/>
    <cellStyle name="Calculation 2 2 2 4" xfId="341" xr:uid="{00000000-0005-0000-0000-0000B7000000}"/>
    <cellStyle name="Calculation 2 2 2 5" xfId="342" xr:uid="{00000000-0005-0000-0000-0000B8000000}"/>
    <cellStyle name="Calculation 2 2 20" xfId="343" xr:uid="{00000000-0005-0000-0000-0000B9000000}"/>
    <cellStyle name="Calculation 2 2 20 2" xfId="344" xr:uid="{00000000-0005-0000-0000-0000BA000000}"/>
    <cellStyle name="Calculation 2 2 20 3" xfId="345" xr:uid="{00000000-0005-0000-0000-0000BB000000}"/>
    <cellStyle name="Calculation 2 2 20 4" xfId="346" xr:uid="{00000000-0005-0000-0000-0000BC000000}"/>
    <cellStyle name="Calculation 2 2 21" xfId="347" xr:uid="{00000000-0005-0000-0000-0000BD000000}"/>
    <cellStyle name="Calculation 2 2 21 2" xfId="348" xr:uid="{00000000-0005-0000-0000-0000BE000000}"/>
    <cellStyle name="Calculation 2 2 21 3" xfId="349" xr:uid="{00000000-0005-0000-0000-0000BF000000}"/>
    <cellStyle name="Calculation 2 2 21 4" xfId="350" xr:uid="{00000000-0005-0000-0000-0000C0000000}"/>
    <cellStyle name="Calculation 2 2 22" xfId="351" xr:uid="{00000000-0005-0000-0000-0000C1000000}"/>
    <cellStyle name="Calculation 2 2 22 2" xfId="352" xr:uid="{00000000-0005-0000-0000-0000C2000000}"/>
    <cellStyle name="Calculation 2 2 22 3" xfId="353" xr:uid="{00000000-0005-0000-0000-0000C3000000}"/>
    <cellStyle name="Calculation 2 2 22 4" xfId="354" xr:uid="{00000000-0005-0000-0000-0000C4000000}"/>
    <cellStyle name="Calculation 2 2 23" xfId="355" xr:uid="{00000000-0005-0000-0000-0000C5000000}"/>
    <cellStyle name="Calculation 2 2 3" xfId="356" xr:uid="{00000000-0005-0000-0000-0000C6000000}"/>
    <cellStyle name="Calculation 2 2 3 2" xfId="357" xr:uid="{00000000-0005-0000-0000-0000C7000000}"/>
    <cellStyle name="Calculation 2 2 3 3" xfId="358" xr:uid="{00000000-0005-0000-0000-0000C8000000}"/>
    <cellStyle name="Calculation 2 2 3 4" xfId="359" xr:uid="{00000000-0005-0000-0000-0000C9000000}"/>
    <cellStyle name="Calculation 2 2 3 5" xfId="360" xr:uid="{00000000-0005-0000-0000-0000CA000000}"/>
    <cellStyle name="Calculation 2 2 4" xfId="361" xr:uid="{00000000-0005-0000-0000-0000CB000000}"/>
    <cellStyle name="Calculation 2 2 4 2" xfId="362" xr:uid="{00000000-0005-0000-0000-0000CC000000}"/>
    <cellStyle name="Calculation 2 2 4 3" xfId="363" xr:uid="{00000000-0005-0000-0000-0000CD000000}"/>
    <cellStyle name="Calculation 2 2 4 4" xfId="364" xr:uid="{00000000-0005-0000-0000-0000CE000000}"/>
    <cellStyle name="Calculation 2 2 4 5" xfId="365" xr:uid="{00000000-0005-0000-0000-0000CF000000}"/>
    <cellStyle name="Calculation 2 2 5" xfId="366" xr:uid="{00000000-0005-0000-0000-0000D0000000}"/>
    <cellStyle name="Calculation 2 2 5 2" xfId="367" xr:uid="{00000000-0005-0000-0000-0000D1000000}"/>
    <cellStyle name="Calculation 2 2 5 3" xfId="368" xr:uid="{00000000-0005-0000-0000-0000D2000000}"/>
    <cellStyle name="Calculation 2 2 5 4" xfId="369" xr:uid="{00000000-0005-0000-0000-0000D3000000}"/>
    <cellStyle name="Calculation 2 2 5 5" xfId="370" xr:uid="{00000000-0005-0000-0000-0000D4000000}"/>
    <cellStyle name="Calculation 2 2 6" xfId="371" xr:uid="{00000000-0005-0000-0000-0000D5000000}"/>
    <cellStyle name="Calculation 2 2 6 2" xfId="372" xr:uid="{00000000-0005-0000-0000-0000D6000000}"/>
    <cellStyle name="Calculation 2 2 6 3" xfId="373" xr:uid="{00000000-0005-0000-0000-0000D7000000}"/>
    <cellStyle name="Calculation 2 2 6 4" xfId="374" xr:uid="{00000000-0005-0000-0000-0000D8000000}"/>
    <cellStyle name="Calculation 2 2 6 5" xfId="375" xr:uid="{00000000-0005-0000-0000-0000D9000000}"/>
    <cellStyle name="Calculation 2 2 7" xfId="376" xr:uid="{00000000-0005-0000-0000-0000DA000000}"/>
    <cellStyle name="Calculation 2 2 7 2" xfId="377" xr:uid="{00000000-0005-0000-0000-0000DB000000}"/>
    <cellStyle name="Calculation 2 2 7 3" xfId="378" xr:uid="{00000000-0005-0000-0000-0000DC000000}"/>
    <cellStyle name="Calculation 2 2 7 4" xfId="379" xr:uid="{00000000-0005-0000-0000-0000DD000000}"/>
    <cellStyle name="Calculation 2 2 7 5" xfId="380" xr:uid="{00000000-0005-0000-0000-0000DE000000}"/>
    <cellStyle name="Calculation 2 2 8" xfId="381" xr:uid="{00000000-0005-0000-0000-0000DF000000}"/>
    <cellStyle name="Calculation 2 2 8 2" xfId="382" xr:uid="{00000000-0005-0000-0000-0000E0000000}"/>
    <cellStyle name="Calculation 2 2 8 3" xfId="383" xr:uid="{00000000-0005-0000-0000-0000E1000000}"/>
    <cellStyle name="Calculation 2 2 8 4" xfId="384" xr:uid="{00000000-0005-0000-0000-0000E2000000}"/>
    <cellStyle name="Calculation 2 2 8 5" xfId="385" xr:uid="{00000000-0005-0000-0000-0000E3000000}"/>
    <cellStyle name="Calculation 2 2 9" xfId="386" xr:uid="{00000000-0005-0000-0000-0000E4000000}"/>
    <cellStyle name="Calculation 2 2 9 2" xfId="387" xr:uid="{00000000-0005-0000-0000-0000E5000000}"/>
    <cellStyle name="Calculation 2 2 9 3" xfId="388" xr:uid="{00000000-0005-0000-0000-0000E6000000}"/>
    <cellStyle name="Calculation 2 2 9 4" xfId="389" xr:uid="{00000000-0005-0000-0000-0000E7000000}"/>
    <cellStyle name="Calculation 2 2 9 5" xfId="390" xr:uid="{00000000-0005-0000-0000-0000E8000000}"/>
    <cellStyle name="Calculation 2 3" xfId="391" xr:uid="{00000000-0005-0000-0000-0000E9000000}"/>
    <cellStyle name="Calculation 2 3 10" xfId="392" xr:uid="{00000000-0005-0000-0000-0000EA000000}"/>
    <cellStyle name="Calculation 2 3 10 2" xfId="393" xr:uid="{00000000-0005-0000-0000-0000EB000000}"/>
    <cellStyle name="Calculation 2 3 10 3" xfId="394" xr:uid="{00000000-0005-0000-0000-0000EC000000}"/>
    <cellStyle name="Calculation 2 3 10 4" xfId="395" xr:uid="{00000000-0005-0000-0000-0000ED000000}"/>
    <cellStyle name="Calculation 2 3 10 5" xfId="396" xr:uid="{00000000-0005-0000-0000-0000EE000000}"/>
    <cellStyle name="Calculation 2 3 11" xfId="397" xr:uid="{00000000-0005-0000-0000-0000EF000000}"/>
    <cellStyle name="Calculation 2 3 11 2" xfId="398" xr:uid="{00000000-0005-0000-0000-0000F0000000}"/>
    <cellStyle name="Calculation 2 3 11 3" xfId="399" xr:uid="{00000000-0005-0000-0000-0000F1000000}"/>
    <cellStyle name="Calculation 2 3 11 4" xfId="400" xr:uid="{00000000-0005-0000-0000-0000F2000000}"/>
    <cellStyle name="Calculation 2 3 11 5" xfId="401" xr:uid="{00000000-0005-0000-0000-0000F3000000}"/>
    <cellStyle name="Calculation 2 3 12" xfId="402" xr:uid="{00000000-0005-0000-0000-0000F4000000}"/>
    <cellStyle name="Calculation 2 3 12 2" xfId="403" xr:uid="{00000000-0005-0000-0000-0000F5000000}"/>
    <cellStyle name="Calculation 2 3 12 3" xfId="404" xr:uid="{00000000-0005-0000-0000-0000F6000000}"/>
    <cellStyle name="Calculation 2 3 12 4" xfId="405" xr:uid="{00000000-0005-0000-0000-0000F7000000}"/>
    <cellStyle name="Calculation 2 3 12 5" xfId="406" xr:uid="{00000000-0005-0000-0000-0000F8000000}"/>
    <cellStyle name="Calculation 2 3 13" xfId="407" xr:uid="{00000000-0005-0000-0000-0000F9000000}"/>
    <cellStyle name="Calculation 2 3 13 2" xfId="408" xr:uid="{00000000-0005-0000-0000-0000FA000000}"/>
    <cellStyle name="Calculation 2 3 13 3" xfId="409" xr:uid="{00000000-0005-0000-0000-0000FB000000}"/>
    <cellStyle name="Calculation 2 3 13 4" xfId="410" xr:uid="{00000000-0005-0000-0000-0000FC000000}"/>
    <cellStyle name="Calculation 2 3 13 5" xfId="411" xr:uid="{00000000-0005-0000-0000-0000FD000000}"/>
    <cellStyle name="Calculation 2 3 14" xfId="412" xr:uid="{00000000-0005-0000-0000-0000FE000000}"/>
    <cellStyle name="Calculation 2 3 14 2" xfId="413" xr:uid="{00000000-0005-0000-0000-0000FF000000}"/>
    <cellStyle name="Calculation 2 3 14 3" xfId="414" xr:uid="{00000000-0005-0000-0000-000000010000}"/>
    <cellStyle name="Calculation 2 3 14 4" xfId="415" xr:uid="{00000000-0005-0000-0000-000001010000}"/>
    <cellStyle name="Calculation 2 3 14 5" xfId="416" xr:uid="{00000000-0005-0000-0000-000002010000}"/>
    <cellStyle name="Calculation 2 3 15" xfId="417" xr:uid="{00000000-0005-0000-0000-000003010000}"/>
    <cellStyle name="Calculation 2 3 15 2" xfId="418" xr:uid="{00000000-0005-0000-0000-000004010000}"/>
    <cellStyle name="Calculation 2 3 15 3" xfId="419" xr:uid="{00000000-0005-0000-0000-000005010000}"/>
    <cellStyle name="Calculation 2 3 15 4" xfId="420" xr:uid="{00000000-0005-0000-0000-000006010000}"/>
    <cellStyle name="Calculation 2 3 15 5" xfId="421" xr:uid="{00000000-0005-0000-0000-000007010000}"/>
    <cellStyle name="Calculation 2 3 16" xfId="422" xr:uid="{00000000-0005-0000-0000-000008010000}"/>
    <cellStyle name="Calculation 2 3 16 2" xfId="423" xr:uid="{00000000-0005-0000-0000-000009010000}"/>
    <cellStyle name="Calculation 2 3 16 3" xfId="424" xr:uid="{00000000-0005-0000-0000-00000A010000}"/>
    <cellStyle name="Calculation 2 3 16 4" xfId="425" xr:uid="{00000000-0005-0000-0000-00000B010000}"/>
    <cellStyle name="Calculation 2 3 16 5" xfId="426" xr:uid="{00000000-0005-0000-0000-00000C010000}"/>
    <cellStyle name="Calculation 2 3 17" xfId="427" xr:uid="{00000000-0005-0000-0000-00000D010000}"/>
    <cellStyle name="Calculation 2 3 17 2" xfId="428" xr:uid="{00000000-0005-0000-0000-00000E010000}"/>
    <cellStyle name="Calculation 2 3 17 3" xfId="429" xr:uid="{00000000-0005-0000-0000-00000F010000}"/>
    <cellStyle name="Calculation 2 3 17 4" xfId="430" xr:uid="{00000000-0005-0000-0000-000010010000}"/>
    <cellStyle name="Calculation 2 3 17 5" xfId="431" xr:uid="{00000000-0005-0000-0000-000011010000}"/>
    <cellStyle name="Calculation 2 3 18" xfId="432" xr:uid="{00000000-0005-0000-0000-000012010000}"/>
    <cellStyle name="Calculation 2 3 18 2" xfId="433" xr:uid="{00000000-0005-0000-0000-000013010000}"/>
    <cellStyle name="Calculation 2 3 18 3" xfId="434" xr:uid="{00000000-0005-0000-0000-000014010000}"/>
    <cellStyle name="Calculation 2 3 18 4" xfId="435" xr:uid="{00000000-0005-0000-0000-000015010000}"/>
    <cellStyle name="Calculation 2 3 18 5" xfId="436" xr:uid="{00000000-0005-0000-0000-000016010000}"/>
    <cellStyle name="Calculation 2 3 19" xfId="437" xr:uid="{00000000-0005-0000-0000-000017010000}"/>
    <cellStyle name="Calculation 2 3 19 2" xfId="438" xr:uid="{00000000-0005-0000-0000-000018010000}"/>
    <cellStyle name="Calculation 2 3 19 3" xfId="439" xr:uid="{00000000-0005-0000-0000-000019010000}"/>
    <cellStyle name="Calculation 2 3 19 4" xfId="440" xr:uid="{00000000-0005-0000-0000-00001A010000}"/>
    <cellStyle name="Calculation 2 3 2" xfId="441" xr:uid="{00000000-0005-0000-0000-00001B010000}"/>
    <cellStyle name="Calculation 2 3 2 2" xfId="442" xr:uid="{00000000-0005-0000-0000-00001C010000}"/>
    <cellStyle name="Calculation 2 3 2 3" xfId="443" xr:uid="{00000000-0005-0000-0000-00001D010000}"/>
    <cellStyle name="Calculation 2 3 2 4" xfId="444" xr:uid="{00000000-0005-0000-0000-00001E010000}"/>
    <cellStyle name="Calculation 2 3 2 5" xfId="445" xr:uid="{00000000-0005-0000-0000-00001F010000}"/>
    <cellStyle name="Calculation 2 3 20" xfId="446" xr:uid="{00000000-0005-0000-0000-000020010000}"/>
    <cellStyle name="Calculation 2 3 20 2" xfId="447" xr:uid="{00000000-0005-0000-0000-000021010000}"/>
    <cellStyle name="Calculation 2 3 20 3" xfId="448" xr:uid="{00000000-0005-0000-0000-000022010000}"/>
    <cellStyle name="Calculation 2 3 20 4" xfId="449" xr:uid="{00000000-0005-0000-0000-000023010000}"/>
    <cellStyle name="Calculation 2 3 21" xfId="450" xr:uid="{00000000-0005-0000-0000-000024010000}"/>
    <cellStyle name="Calculation 2 3 21 2" xfId="451" xr:uid="{00000000-0005-0000-0000-000025010000}"/>
    <cellStyle name="Calculation 2 3 21 3" xfId="452" xr:uid="{00000000-0005-0000-0000-000026010000}"/>
    <cellStyle name="Calculation 2 3 21 4" xfId="453" xr:uid="{00000000-0005-0000-0000-000027010000}"/>
    <cellStyle name="Calculation 2 3 22" xfId="454" xr:uid="{00000000-0005-0000-0000-000028010000}"/>
    <cellStyle name="Calculation 2 3 22 2" xfId="455" xr:uid="{00000000-0005-0000-0000-000029010000}"/>
    <cellStyle name="Calculation 2 3 22 3" xfId="456" xr:uid="{00000000-0005-0000-0000-00002A010000}"/>
    <cellStyle name="Calculation 2 3 22 4" xfId="457" xr:uid="{00000000-0005-0000-0000-00002B010000}"/>
    <cellStyle name="Calculation 2 3 23" xfId="458" xr:uid="{00000000-0005-0000-0000-00002C010000}"/>
    <cellStyle name="Calculation 2 3 3" xfId="459" xr:uid="{00000000-0005-0000-0000-00002D010000}"/>
    <cellStyle name="Calculation 2 3 3 2" xfId="460" xr:uid="{00000000-0005-0000-0000-00002E010000}"/>
    <cellStyle name="Calculation 2 3 3 3" xfId="461" xr:uid="{00000000-0005-0000-0000-00002F010000}"/>
    <cellStyle name="Calculation 2 3 3 4" xfId="462" xr:uid="{00000000-0005-0000-0000-000030010000}"/>
    <cellStyle name="Calculation 2 3 3 5" xfId="463" xr:uid="{00000000-0005-0000-0000-000031010000}"/>
    <cellStyle name="Calculation 2 3 4" xfId="464" xr:uid="{00000000-0005-0000-0000-000032010000}"/>
    <cellStyle name="Calculation 2 3 4 2" xfId="465" xr:uid="{00000000-0005-0000-0000-000033010000}"/>
    <cellStyle name="Calculation 2 3 4 3" xfId="466" xr:uid="{00000000-0005-0000-0000-000034010000}"/>
    <cellStyle name="Calculation 2 3 4 4" xfId="467" xr:uid="{00000000-0005-0000-0000-000035010000}"/>
    <cellStyle name="Calculation 2 3 4 5" xfId="468" xr:uid="{00000000-0005-0000-0000-000036010000}"/>
    <cellStyle name="Calculation 2 3 5" xfId="469" xr:uid="{00000000-0005-0000-0000-000037010000}"/>
    <cellStyle name="Calculation 2 3 5 2" xfId="470" xr:uid="{00000000-0005-0000-0000-000038010000}"/>
    <cellStyle name="Calculation 2 3 5 3" xfId="471" xr:uid="{00000000-0005-0000-0000-000039010000}"/>
    <cellStyle name="Calculation 2 3 5 4" xfId="472" xr:uid="{00000000-0005-0000-0000-00003A010000}"/>
    <cellStyle name="Calculation 2 3 5 5" xfId="473" xr:uid="{00000000-0005-0000-0000-00003B010000}"/>
    <cellStyle name="Calculation 2 3 6" xfId="474" xr:uid="{00000000-0005-0000-0000-00003C010000}"/>
    <cellStyle name="Calculation 2 3 6 2" xfId="475" xr:uid="{00000000-0005-0000-0000-00003D010000}"/>
    <cellStyle name="Calculation 2 3 6 3" xfId="476" xr:uid="{00000000-0005-0000-0000-00003E010000}"/>
    <cellStyle name="Calculation 2 3 6 4" xfId="477" xr:uid="{00000000-0005-0000-0000-00003F010000}"/>
    <cellStyle name="Calculation 2 3 6 5" xfId="478" xr:uid="{00000000-0005-0000-0000-000040010000}"/>
    <cellStyle name="Calculation 2 3 7" xfId="479" xr:uid="{00000000-0005-0000-0000-000041010000}"/>
    <cellStyle name="Calculation 2 3 7 2" xfId="480" xr:uid="{00000000-0005-0000-0000-000042010000}"/>
    <cellStyle name="Calculation 2 3 7 3" xfId="481" xr:uid="{00000000-0005-0000-0000-000043010000}"/>
    <cellStyle name="Calculation 2 3 7 4" xfId="482" xr:uid="{00000000-0005-0000-0000-000044010000}"/>
    <cellStyle name="Calculation 2 3 7 5" xfId="483" xr:uid="{00000000-0005-0000-0000-000045010000}"/>
    <cellStyle name="Calculation 2 3 8" xfId="484" xr:uid="{00000000-0005-0000-0000-000046010000}"/>
    <cellStyle name="Calculation 2 3 8 2" xfId="485" xr:uid="{00000000-0005-0000-0000-000047010000}"/>
    <cellStyle name="Calculation 2 3 8 3" xfId="486" xr:uid="{00000000-0005-0000-0000-000048010000}"/>
    <cellStyle name="Calculation 2 3 8 4" xfId="487" xr:uid="{00000000-0005-0000-0000-000049010000}"/>
    <cellStyle name="Calculation 2 3 8 5" xfId="488" xr:uid="{00000000-0005-0000-0000-00004A010000}"/>
    <cellStyle name="Calculation 2 3 9" xfId="489" xr:uid="{00000000-0005-0000-0000-00004B010000}"/>
    <cellStyle name="Calculation 2 3 9 2" xfId="490" xr:uid="{00000000-0005-0000-0000-00004C010000}"/>
    <cellStyle name="Calculation 2 3 9 3" xfId="491" xr:uid="{00000000-0005-0000-0000-00004D010000}"/>
    <cellStyle name="Calculation 2 3 9 4" xfId="492" xr:uid="{00000000-0005-0000-0000-00004E010000}"/>
    <cellStyle name="Calculation 2 3 9 5" xfId="493" xr:uid="{00000000-0005-0000-0000-00004F010000}"/>
    <cellStyle name="Calculation 2 4" xfId="494" xr:uid="{00000000-0005-0000-0000-000050010000}"/>
    <cellStyle name="Calculation 2 4 10" xfId="495" xr:uid="{00000000-0005-0000-0000-000051010000}"/>
    <cellStyle name="Calculation 2 4 10 2" xfId="496" xr:uid="{00000000-0005-0000-0000-000052010000}"/>
    <cellStyle name="Calculation 2 4 10 3" xfId="497" xr:uid="{00000000-0005-0000-0000-000053010000}"/>
    <cellStyle name="Calculation 2 4 10 4" xfId="498" xr:uid="{00000000-0005-0000-0000-000054010000}"/>
    <cellStyle name="Calculation 2 4 10 5" xfId="499" xr:uid="{00000000-0005-0000-0000-000055010000}"/>
    <cellStyle name="Calculation 2 4 11" xfId="500" xr:uid="{00000000-0005-0000-0000-000056010000}"/>
    <cellStyle name="Calculation 2 4 11 2" xfId="501" xr:uid="{00000000-0005-0000-0000-000057010000}"/>
    <cellStyle name="Calculation 2 4 11 3" xfId="502" xr:uid="{00000000-0005-0000-0000-000058010000}"/>
    <cellStyle name="Calculation 2 4 11 4" xfId="503" xr:uid="{00000000-0005-0000-0000-000059010000}"/>
    <cellStyle name="Calculation 2 4 11 5" xfId="504" xr:uid="{00000000-0005-0000-0000-00005A010000}"/>
    <cellStyle name="Calculation 2 4 12" xfId="505" xr:uid="{00000000-0005-0000-0000-00005B010000}"/>
    <cellStyle name="Calculation 2 4 12 2" xfId="506" xr:uid="{00000000-0005-0000-0000-00005C010000}"/>
    <cellStyle name="Calculation 2 4 12 3" xfId="507" xr:uid="{00000000-0005-0000-0000-00005D010000}"/>
    <cellStyle name="Calculation 2 4 12 4" xfId="508" xr:uid="{00000000-0005-0000-0000-00005E010000}"/>
    <cellStyle name="Calculation 2 4 12 5" xfId="509" xr:uid="{00000000-0005-0000-0000-00005F010000}"/>
    <cellStyle name="Calculation 2 4 13" xfId="510" xr:uid="{00000000-0005-0000-0000-000060010000}"/>
    <cellStyle name="Calculation 2 4 13 2" xfId="511" xr:uid="{00000000-0005-0000-0000-000061010000}"/>
    <cellStyle name="Calculation 2 4 13 3" xfId="512" xr:uid="{00000000-0005-0000-0000-000062010000}"/>
    <cellStyle name="Calculation 2 4 13 4" xfId="513" xr:uid="{00000000-0005-0000-0000-000063010000}"/>
    <cellStyle name="Calculation 2 4 13 5" xfId="514" xr:uid="{00000000-0005-0000-0000-000064010000}"/>
    <cellStyle name="Calculation 2 4 14" xfId="515" xr:uid="{00000000-0005-0000-0000-000065010000}"/>
    <cellStyle name="Calculation 2 4 14 2" xfId="516" xr:uid="{00000000-0005-0000-0000-000066010000}"/>
    <cellStyle name="Calculation 2 4 14 3" xfId="517" xr:uid="{00000000-0005-0000-0000-000067010000}"/>
    <cellStyle name="Calculation 2 4 14 4" xfId="518" xr:uid="{00000000-0005-0000-0000-000068010000}"/>
    <cellStyle name="Calculation 2 4 14 5" xfId="519" xr:uid="{00000000-0005-0000-0000-000069010000}"/>
    <cellStyle name="Calculation 2 4 15" xfId="520" xr:uid="{00000000-0005-0000-0000-00006A010000}"/>
    <cellStyle name="Calculation 2 4 15 2" xfId="521" xr:uid="{00000000-0005-0000-0000-00006B010000}"/>
    <cellStyle name="Calculation 2 4 15 3" xfId="522" xr:uid="{00000000-0005-0000-0000-00006C010000}"/>
    <cellStyle name="Calculation 2 4 15 4" xfId="523" xr:uid="{00000000-0005-0000-0000-00006D010000}"/>
    <cellStyle name="Calculation 2 4 15 5" xfId="524" xr:uid="{00000000-0005-0000-0000-00006E010000}"/>
    <cellStyle name="Calculation 2 4 16" xfId="525" xr:uid="{00000000-0005-0000-0000-00006F010000}"/>
    <cellStyle name="Calculation 2 4 16 2" xfId="526" xr:uid="{00000000-0005-0000-0000-000070010000}"/>
    <cellStyle name="Calculation 2 4 16 3" xfId="527" xr:uid="{00000000-0005-0000-0000-000071010000}"/>
    <cellStyle name="Calculation 2 4 16 4" xfId="528" xr:uid="{00000000-0005-0000-0000-000072010000}"/>
    <cellStyle name="Calculation 2 4 16 5" xfId="529" xr:uid="{00000000-0005-0000-0000-000073010000}"/>
    <cellStyle name="Calculation 2 4 17" xfId="530" xr:uid="{00000000-0005-0000-0000-000074010000}"/>
    <cellStyle name="Calculation 2 4 17 2" xfId="531" xr:uid="{00000000-0005-0000-0000-000075010000}"/>
    <cellStyle name="Calculation 2 4 17 3" xfId="532" xr:uid="{00000000-0005-0000-0000-000076010000}"/>
    <cellStyle name="Calculation 2 4 17 4" xfId="533" xr:uid="{00000000-0005-0000-0000-000077010000}"/>
    <cellStyle name="Calculation 2 4 17 5" xfId="534" xr:uid="{00000000-0005-0000-0000-000078010000}"/>
    <cellStyle name="Calculation 2 4 18" xfId="535" xr:uid="{00000000-0005-0000-0000-000079010000}"/>
    <cellStyle name="Calculation 2 4 18 2" xfId="536" xr:uid="{00000000-0005-0000-0000-00007A010000}"/>
    <cellStyle name="Calculation 2 4 18 3" xfId="537" xr:uid="{00000000-0005-0000-0000-00007B010000}"/>
    <cellStyle name="Calculation 2 4 18 4" xfId="538" xr:uid="{00000000-0005-0000-0000-00007C010000}"/>
    <cellStyle name="Calculation 2 4 18 5" xfId="539" xr:uid="{00000000-0005-0000-0000-00007D010000}"/>
    <cellStyle name="Calculation 2 4 19" xfId="540" xr:uid="{00000000-0005-0000-0000-00007E010000}"/>
    <cellStyle name="Calculation 2 4 19 2" xfId="541" xr:uid="{00000000-0005-0000-0000-00007F010000}"/>
    <cellStyle name="Calculation 2 4 19 3" xfId="542" xr:uid="{00000000-0005-0000-0000-000080010000}"/>
    <cellStyle name="Calculation 2 4 19 4" xfId="543" xr:uid="{00000000-0005-0000-0000-000081010000}"/>
    <cellStyle name="Calculation 2 4 2" xfId="544" xr:uid="{00000000-0005-0000-0000-000082010000}"/>
    <cellStyle name="Calculation 2 4 2 2" xfId="545" xr:uid="{00000000-0005-0000-0000-000083010000}"/>
    <cellStyle name="Calculation 2 4 2 3" xfId="546" xr:uid="{00000000-0005-0000-0000-000084010000}"/>
    <cellStyle name="Calculation 2 4 2 4" xfId="547" xr:uid="{00000000-0005-0000-0000-000085010000}"/>
    <cellStyle name="Calculation 2 4 2 5" xfId="548" xr:uid="{00000000-0005-0000-0000-000086010000}"/>
    <cellStyle name="Calculation 2 4 20" xfId="549" xr:uid="{00000000-0005-0000-0000-000087010000}"/>
    <cellStyle name="Calculation 2 4 20 2" xfId="550" xr:uid="{00000000-0005-0000-0000-000088010000}"/>
    <cellStyle name="Calculation 2 4 20 3" xfId="551" xr:uid="{00000000-0005-0000-0000-000089010000}"/>
    <cellStyle name="Calculation 2 4 20 4" xfId="552" xr:uid="{00000000-0005-0000-0000-00008A010000}"/>
    <cellStyle name="Calculation 2 4 21" xfId="553" xr:uid="{00000000-0005-0000-0000-00008B010000}"/>
    <cellStyle name="Calculation 2 4 21 2" xfId="554" xr:uid="{00000000-0005-0000-0000-00008C010000}"/>
    <cellStyle name="Calculation 2 4 21 3" xfId="555" xr:uid="{00000000-0005-0000-0000-00008D010000}"/>
    <cellStyle name="Calculation 2 4 21 4" xfId="556" xr:uid="{00000000-0005-0000-0000-00008E010000}"/>
    <cellStyle name="Calculation 2 4 22" xfId="557" xr:uid="{00000000-0005-0000-0000-00008F010000}"/>
    <cellStyle name="Calculation 2 4 22 2" xfId="558" xr:uid="{00000000-0005-0000-0000-000090010000}"/>
    <cellStyle name="Calculation 2 4 22 3" xfId="559" xr:uid="{00000000-0005-0000-0000-000091010000}"/>
    <cellStyle name="Calculation 2 4 22 4" xfId="560" xr:uid="{00000000-0005-0000-0000-000092010000}"/>
    <cellStyle name="Calculation 2 4 23" xfId="561" xr:uid="{00000000-0005-0000-0000-000093010000}"/>
    <cellStyle name="Calculation 2 4 3" xfId="562" xr:uid="{00000000-0005-0000-0000-000094010000}"/>
    <cellStyle name="Calculation 2 4 3 2" xfId="563" xr:uid="{00000000-0005-0000-0000-000095010000}"/>
    <cellStyle name="Calculation 2 4 3 3" xfId="564" xr:uid="{00000000-0005-0000-0000-000096010000}"/>
    <cellStyle name="Calculation 2 4 3 4" xfId="565" xr:uid="{00000000-0005-0000-0000-000097010000}"/>
    <cellStyle name="Calculation 2 4 3 5" xfId="566" xr:uid="{00000000-0005-0000-0000-000098010000}"/>
    <cellStyle name="Calculation 2 4 4" xfId="567" xr:uid="{00000000-0005-0000-0000-000099010000}"/>
    <cellStyle name="Calculation 2 4 4 2" xfId="568" xr:uid="{00000000-0005-0000-0000-00009A010000}"/>
    <cellStyle name="Calculation 2 4 4 3" xfId="569" xr:uid="{00000000-0005-0000-0000-00009B010000}"/>
    <cellStyle name="Calculation 2 4 4 4" xfId="570" xr:uid="{00000000-0005-0000-0000-00009C010000}"/>
    <cellStyle name="Calculation 2 4 4 5" xfId="571" xr:uid="{00000000-0005-0000-0000-00009D010000}"/>
    <cellStyle name="Calculation 2 4 5" xfId="572" xr:uid="{00000000-0005-0000-0000-00009E010000}"/>
    <cellStyle name="Calculation 2 4 5 2" xfId="573" xr:uid="{00000000-0005-0000-0000-00009F010000}"/>
    <cellStyle name="Calculation 2 4 5 3" xfId="574" xr:uid="{00000000-0005-0000-0000-0000A0010000}"/>
    <cellStyle name="Calculation 2 4 5 4" xfId="575" xr:uid="{00000000-0005-0000-0000-0000A1010000}"/>
    <cellStyle name="Calculation 2 4 5 5" xfId="576" xr:uid="{00000000-0005-0000-0000-0000A2010000}"/>
    <cellStyle name="Calculation 2 4 6" xfId="577" xr:uid="{00000000-0005-0000-0000-0000A3010000}"/>
    <cellStyle name="Calculation 2 4 6 2" xfId="578" xr:uid="{00000000-0005-0000-0000-0000A4010000}"/>
    <cellStyle name="Calculation 2 4 6 3" xfId="579" xr:uid="{00000000-0005-0000-0000-0000A5010000}"/>
    <cellStyle name="Calculation 2 4 6 4" xfId="580" xr:uid="{00000000-0005-0000-0000-0000A6010000}"/>
    <cellStyle name="Calculation 2 4 6 5" xfId="581" xr:uid="{00000000-0005-0000-0000-0000A7010000}"/>
    <cellStyle name="Calculation 2 4 7" xfId="582" xr:uid="{00000000-0005-0000-0000-0000A8010000}"/>
    <cellStyle name="Calculation 2 4 7 2" xfId="583" xr:uid="{00000000-0005-0000-0000-0000A9010000}"/>
    <cellStyle name="Calculation 2 4 7 3" xfId="584" xr:uid="{00000000-0005-0000-0000-0000AA010000}"/>
    <cellStyle name="Calculation 2 4 7 4" xfId="585" xr:uid="{00000000-0005-0000-0000-0000AB010000}"/>
    <cellStyle name="Calculation 2 4 7 5" xfId="586" xr:uid="{00000000-0005-0000-0000-0000AC010000}"/>
    <cellStyle name="Calculation 2 4 8" xfId="587" xr:uid="{00000000-0005-0000-0000-0000AD010000}"/>
    <cellStyle name="Calculation 2 4 8 2" xfId="588" xr:uid="{00000000-0005-0000-0000-0000AE010000}"/>
    <cellStyle name="Calculation 2 4 8 3" xfId="589" xr:uid="{00000000-0005-0000-0000-0000AF010000}"/>
    <cellStyle name="Calculation 2 4 8 4" xfId="590" xr:uid="{00000000-0005-0000-0000-0000B0010000}"/>
    <cellStyle name="Calculation 2 4 8 5" xfId="591" xr:uid="{00000000-0005-0000-0000-0000B1010000}"/>
    <cellStyle name="Calculation 2 4 9" xfId="592" xr:uid="{00000000-0005-0000-0000-0000B2010000}"/>
    <cellStyle name="Calculation 2 4 9 2" xfId="593" xr:uid="{00000000-0005-0000-0000-0000B3010000}"/>
    <cellStyle name="Calculation 2 4 9 3" xfId="594" xr:uid="{00000000-0005-0000-0000-0000B4010000}"/>
    <cellStyle name="Calculation 2 4 9 4" xfId="595" xr:uid="{00000000-0005-0000-0000-0000B5010000}"/>
    <cellStyle name="Calculation 2 4 9 5" xfId="596" xr:uid="{00000000-0005-0000-0000-0000B6010000}"/>
    <cellStyle name="Calculation 2 5" xfId="597" xr:uid="{00000000-0005-0000-0000-0000B7010000}"/>
    <cellStyle name="Calculation 2 5 10" xfId="598" xr:uid="{00000000-0005-0000-0000-0000B8010000}"/>
    <cellStyle name="Calculation 2 5 10 2" xfId="599" xr:uid="{00000000-0005-0000-0000-0000B9010000}"/>
    <cellStyle name="Calculation 2 5 10 3" xfId="600" xr:uid="{00000000-0005-0000-0000-0000BA010000}"/>
    <cellStyle name="Calculation 2 5 10 4" xfId="601" xr:uid="{00000000-0005-0000-0000-0000BB010000}"/>
    <cellStyle name="Calculation 2 5 10 5" xfId="602" xr:uid="{00000000-0005-0000-0000-0000BC010000}"/>
    <cellStyle name="Calculation 2 5 11" xfId="603" xr:uid="{00000000-0005-0000-0000-0000BD010000}"/>
    <cellStyle name="Calculation 2 5 11 2" xfId="604" xr:uid="{00000000-0005-0000-0000-0000BE010000}"/>
    <cellStyle name="Calculation 2 5 11 3" xfId="605" xr:uid="{00000000-0005-0000-0000-0000BF010000}"/>
    <cellStyle name="Calculation 2 5 11 4" xfId="606" xr:uid="{00000000-0005-0000-0000-0000C0010000}"/>
    <cellStyle name="Calculation 2 5 11 5" xfId="607" xr:uid="{00000000-0005-0000-0000-0000C1010000}"/>
    <cellStyle name="Calculation 2 5 12" xfId="608" xr:uid="{00000000-0005-0000-0000-0000C2010000}"/>
    <cellStyle name="Calculation 2 5 12 2" xfId="609" xr:uid="{00000000-0005-0000-0000-0000C3010000}"/>
    <cellStyle name="Calculation 2 5 12 3" xfId="610" xr:uid="{00000000-0005-0000-0000-0000C4010000}"/>
    <cellStyle name="Calculation 2 5 12 4" xfId="611" xr:uid="{00000000-0005-0000-0000-0000C5010000}"/>
    <cellStyle name="Calculation 2 5 12 5" xfId="612" xr:uid="{00000000-0005-0000-0000-0000C6010000}"/>
    <cellStyle name="Calculation 2 5 13" xfId="613" xr:uid="{00000000-0005-0000-0000-0000C7010000}"/>
    <cellStyle name="Calculation 2 5 13 2" xfId="614" xr:uid="{00000000-0005-0000-0000-0000C8010000}"/>
    <cellStyle name="Calculation 2 5 13 3" xfId="615" xr:uid="{00000000-0005-0000-0000-0000C9010000}"/>
    <cellStyle name="Calculation 2 5 13 4" xfId="616" xr:uid="{00000000-0005-0000-0000-0000CA010000}"/>
    <cellStyle name="Calculation 2 5 13 5" xfId="617" xr:uid="{00000000-0005-0000-0000-0000CB010000}"/>
    <cellStyle name="Calculation 2 5 14" xfId="618" xr:uid="{00000000-0005-0000-0000-0000CC010000}"/>
    <cellStyle name="Calculation 2 5 14 2" xfId="619" xr:uid="{00000000-0005-0000-0000-0000CD010000}"/>
    <cellStyle name="Calculation 2 5 14 3" xfId="620" xr:uid="{00000000-0005-0000-0000-0000CE010000}"/>
    <cellStyle name="Calculation 2 5 14 4" xfId="621" xr:uid="{00000000-0005-0000-0000-0000CF010000}"/>
    <cellStyle name="Calculation 2 5 14 5" xfId="622" xr:uid="{00000000-0005-0000-0000-0000D0010000}"/>
    <cellStyle name="Calculation 2 5 15" xfId="623" xr:uid="{00000000-0005-0000-0000-0000D1010000}"/>
    <cellStyle name="Calculation 2 5 15 2" xfId="624" xr:uid="{00000000-0005-0000-0000-0000D2010000}"/>
    <cellStyle name="Calculation 2 5 15 3" xfId="625" xr:uid="{00000000-0005-0000-0000-0000D3010000}"/>
    <cellStyle name="Calculation 2 5 15 4" xfId="626" xr:uid="{00000000-0005-0000-0000-0000D4010000}"/>
    <cellStyle name="Calculation 2 5 15 5" xfId="627" xr:uid="{00000000-0005-0000-0000-0000D5010000}"/>
    <cellStyle name="Calculation 2 5 16" xfId="628" xr:uid="{00000000-0005-0000-0000-0000D6010000}"/>
    <cellStyle name="Calculation 2 5 16 2" xfId="629" xr:uid="{00000000-0005-0000-0000-0000D7010000}"/>
    <cellStyle name="Calculation 2 5 16 3" xfId="630" xr:uid="{00000000-0005-0000-0000-0000D8010000}"/>
    <cellStyle name="Calculation 2 5 16 4" xfId="631" xr:uid="{00000000-0005-0000-0000-0000D9010000}"/>
    <cellStyle name="Calculation 2 5 16 5" xfId="632" xr:uid="{00000000-0005-0000-0000-0000DA010000}"/>
    <cellStyle name="Calculation 2 5 17" xfId="633" xr:uid="{00000000-0005-0000-0000-0000DB010000}"/>
    <cellStyle name="Calculation 2 5 17 2" xfId="634" xr:uid="{00000000-0005-0000-0000-0000DC010000}"/>
    <cellStyle name="Calculation 2 5 17 3" xfId="635" xr:uid="{00000000-0005-0000-0000-0000DD010000}"/>
    <cellStyle name="Calculation 2 5 17 4" xfId="636" xr:uid="{00000000-0005-0000-0000-0000DE010000}"/>
    <cellStyle name="Calculation 2 5 17 5" xfId="637" xr:uid="{00000000-0005-0000-0000-0000DF010000}"/>
    <cellStyle name="Calculation 2 5 18" xfId="638" xr:uid="{00000000-0005-0000-0000-0000E0010000}"/>
    <cellStyle name="Calculation 2 5 18 2" xfId="639" xr:uid="{00000000-0005-0000-0000-0000E1010000}"/>
    <cellStyle name="Calculation 2 5 18 3" xfId="640" xr:uid="{00000000-0005-0000-0000-0000E2010000}"/>
    <cellStyle name="Calculation 2 5 18 4" xfId="641" xr:uid="{00000000-0005-0000-0000-0000E3010000}"/>
    <cellStyle name="Calculation 2 5 18 5" xfId="642" xr:uid="{00000000-0005-0000-0000-0000E4010000}"/>
    <cellStyle name="Calculation 2 5 19" xfId="643" xr:uid="{00000000-0005-0000-0000-0000E5010000}"/>
    <cellStyle name="Calculation 2 5 19 2" xfId="644" xr:uid="{00000000-0005-0000-0000-0000E6010000}"/>
    <cellStyle name="Calculation 2 5 19 3" xfId="645" xr:uid="{00000000-0005-0000-0000-0000E7010000}"/>
    <cellStyle name="Calculation 2 5 19 4" xfId="646" xr:uid="{00000000-0005-0000-0000-0000E8010000}"/>
    <cellStyle name="Calculation 2 5 2" xfId="647" xr:uid="{00000000-0005-0000-0000-0000E9010000}"/>
    <cellStyle name="Calculation 2 5 2 2" xfId="648" xr:uid="{00000000-0005-0000-0000-0000EA010000}"/>
    <cellStyle name="Calculation 2 5 2 3" xfId="649" xr:uid="{00000000-0005-0000-0000-0000EB010000}"/>
    <cellStyle name="Calculation 2 5 2 4" xfId="650" xr:uid="{00000000-0005-0000-0000-0000EC010000}"/>
    <cellStyle name="Calculation 2 5 2 5" xfId="651" xr:uid="{00000000-0005-0000-0000-0000ED010000}"/>
    <cellStyle name="Calculation 2 5 20" xfId="652" xr:uid="{00000000-0005-0000-0000-0000EE010000}"/>
    <cellStyle name="Calculation 2 5 20 2" xfId="653" xr:uid="{00000000-0005-0000-0000-0000EF010000}"/>
    <cellStyle name="Calculation 2 5 20 3" xfId="654" xr:uid="{00000000-0005-0000-0000-0000F0010000}"/>
    <cellStyle name="Calculation 2 5 20 4" xfId="655" xr:uid="{00000000-0005-0000-0000-0000F1010000}"/>
    <cellStyle name="Calculation 2 5 21" xfId="656" xr:uid="{00000000-0005-0000-0000-0000F2010000}"/>
    <cellStyle name="Calculation 2 5 21 2" xfId="657" xr:uid="{00000000-0005-0000-0000-0000F3010000}"/>
    <cellStyle name="Calculation 2 5 21 3" xfId="658" xr:uid="{00000000-0005-0000-0000-0000F4010000}"/>
    <cellStyle name="Calculation 2 5 21 4" xfId="659" xr:uid="{00000000-0005-0000-0000-0000F5010000}"/>
    <cellStyle name="Calculation 2 5 22" xfId="660" xr:uid="{00000000-0005-0000-0000-0000F6010000}"/>
    <cellStyle name="Calculation 2 5 22 2" xfId="661" xr:uid="{00000000-0005-0000-0000-0000F7010000}"/>
    <cellStyle name="Calculation 2 5 22 3" xfId="662" xr:uid="{00000000-0005-0000-0000-0000F8010000}"/>
    <cellStyle name="Calculation 2 5 22 4" xfId="663" xr:uid="{00000000-0005-0000-0000-0000F9010000}"/>
    <cellStyle name="Calculation 2 5 23" xfId="664" xr:uid="{00000000-0005-0000-0000-0000FA010000}"/>
    <cellStyle name="Calculation 2 5 3" xfId="665" xr:uid="{00000000-0005-0000-0000-0000FB010000}"/>
    <cellStyle name="Calculation 2 5 3 2" xfId="666" xr:uid="{00000000-0005-0000-0000-0000FC010000}"/>
    <cellStyle name="Calculation 2 5 3 3" xfId="667" xr:uid="{00000000-0005-0000-0000-0000FD010000}"/>
    <cellStyle name="Calculation 2 5 3 4" xfId="668" xr:uid="{00000000-0005-0000-0000-0000FE010000}"/>
    <cellStyle name="Calculation 2 5 3 5" xfId="669" xr:uid="{00000000-0005-0000-0000-0000FF010000}"/>
    <cellStyle name="Calculation 2 5 4" xfId="670" xr:uid="{00000000-0005-0000-0000-000000020000}"/>
    <cellStyle name="Calculation 2 5 4 2" xfId="671" xr:uid="{00000000-0005-0000-0000-000001020000}"/>
    <cellStyle name="Calculation 2 5 4 3" xfId="672" xr:uid="{00000000-0005-0000-0000-000002020000}"/>
    <cellStyle name="Calculation 2 5 4 4" xfId="673" xr:uid="{00000000-0005-0000-0000-000003020000}"/>
    <cellStyle name="Calculation 2 5 4 5" xfId="674" xr:uid="{00000000-0005-0000-0000-000004020000}"/>
    <cellStyle name="Calculation 2 5 5" xfId="675" xr:uid="{00000000-0005-0000-0000-000005020000}"/>
    <cellStyle name="Calculation 2 5 5 2" xfId="676" xr:uid="{00000000-0005-0000-0000-000006020000}"/>
    <cellStyle name="Calculation 2 5 5 3" xfId="677" xr:uid="{00000000-0005-0000-0000-000007020000}"/>
    <cellStyle name="Calculation 2 5 5 4" xfId="678" xr:uid="{00000000-0005-0000-0000-000008020000}"/>
    <cellStyle name="Calculation 2 5 5 5" xfId="679" xr:uid="{00000000-0005-0000-0000-000009020000}"/>
    <cellStyle name="Calculation 2 5 6" xfId="680" xr:uid="{00000000-0005-0000-0000-00000A020000}"/>
    <cellStyle name="Calculation 2 5 6 2" xfId="681" xr:uid="{00000000-0005-0000-0000-00000B020000}"/>
    <cellStyle name="Calculation 2 5 6 3" xfId="682" xr:uid="{00000000-0005-0000-0000-00000C020000}"/>
    <cellStyle name="Calculation 2 5 6 4" xfId="683" xr:uid="{00000000-0005-0000-0000-00000D020000}"/>
    <cellStyle name="Calculation 2 5 6 5" xfId="684" xr:uid="{00000000-0005-0000-0000-00000E020000}"/>
    <cellStyle name="Calculation 2 5 7" xfId="685" xr:uid="{00000000-0005-0000-0000-00000F020000}"/>
    <cellStyle name="Calculation 2 5 7 2" xfId="686" xr:uid="{00000000-0005-0000-0000-000010020000}"/>
    <cellStyle name="Calculation 2 5 7 3" xfId="687" xr:uid="{00000000-0005-0000-0000-000011020000}"/>
    <cellStyle name="Calculation 2 5 7 4" xfId="688" xr:uid="{00000000-0005-0000-0000-000012020000}"/>
    <cellStyle name="Calculation 2 5 7 5" xfId="689" xr:uid="{00000000-0005-0000-0000-000013020000}"/>
    <cellStyle name="Calculation 2 5 8" xfId="690" xr:uid="{00000000-0005-0000-0000-000014020000}"/>
    <cellStyle name="Calculation 2 5 8 2" xfId="691" xr:uid="{00000000-0005-0000-0000-000015020000}"/>
    <cellStyle name="Calculation 2 5 8 3" xfId="692" xr:uid="{00000000-0005-0000-0000-000016020000}"/>
    <cellStyle name="Calculation 2 5 8 4" xfId="693" xr:uid="{00000000-0005-0000-0000-000017020000}"/>
    <cellStyle name="Calculation 2 5 8 5" xfId="694" xr:uid="{00000000-0005-0000-0000-000018020000}"/>
    <cellStyle name="Calculation 2 5 9" xfId="695" xr:uid="{00000000-0005-0000-0000-000019020000}"/>
    <cellStyle name="Calculation 2 5 9 2" xfId="696" xr:uid="{00000000-0005-0000-0000-00001A020000}"/>
    <cellStyle name="Calculation 2 5 9 3" xfId="697" xr:uid="{00000000-0005-0000-0000-00001B020000}"/>
    <cellStyle name="Calculation 2 5 9 4" xfId="698" xr:uid="{00000000-0005-0000-0000-00001C020000}"/>
    <cellStyle name="Calculation 2 5 9 5" xfId="699" xr:uid="{00000000-0005-0000-0000-00001D020000}"/>
    <cellStyle name="Calculation 2 6" xfId="700" xr:uid="{00000000-0005-0000-0000-00001E020000}"/>
    <cellStyle name="Calculation 2 6 10" xfId="701" xr:uid="{00000000-0005-0000-0000-00001F020000}"/>
    <cellStyle name="Calculation 2 6 10 2" xfId="702" xr:uid="{00000000-0005-0000-0000-000020020000}"/>
    <cellStyle name="Calculation 2 6 10 3" xfId="703" xr:uid="{00000000-0005-0000-0000-000021020000}"/>
    <cellStyle name="Calculation 2 6 10 4" xfId="704" xr:uid="{00000000-0005-0000-0000-000022020000}"/>
    <cellStyle name="Calculation 2 6 10 5" xfId="705" xr:uid="{00000000-0005-0000-0000-000023020000}"/>
    <cellStyle name="Calculation 2 6 11" xfId="706" xr:uid="{00000000-0005-0000-0000-000024020000}"/>
    <cellStyle name="Calculation 2 6 11 2" xfId="707" xr:uid="{00000000-0005-0000-0000-000025020000}"/>
    <cellStyle name="Calculation 2 6 11 3" xfId="708" xr:uid="{00000000-0005-0000-0000-000026020000}"/>
    <cellStyle name="Calculation 2 6 11 4" xfId="709" xr:uid="{00000000-0005-0000-0000-000027020000}"/>
    <cellStyle name="Calculation 2 6 11 5" xfId="710" xr:uid="{00000000-0005-0000-0000-000028020000}"/>
    <cellStyle name="Calculation 2 6 12" xfId="711" xr:uid="{00000000-0005-0000-0000-000029020000}"/>
    <cellStyle name="Calculation 2 6 12 2" xfId="712" xr:uid="{00000000-0005-0000-0000-00002A020000}"/>
    <cellStyle name="Calculation 2 6 12 3" xfId="713" xr:uid="{00000000-0005-0000-0000-00002B020000}"/>
    <cellStyle name="Calculation 2 6 12 4" xfId="714" xr:uid="{00000000-0005-0000-0000-00002C020000}"/>
    <cellStyle name="Calculation 2 6 12 5" xfId="715" xr:uid="{00000000-0005-0000-0000-00002D020000}"/>
    <cellStyle name="Calculation 2 6 13" xfId="716" xr:uid="{00000000-0005-0000-0000-00002E020000}"/>
    <cellStyle name="Calculation 2 6 13 2" xfId="717" xr:uid="{00000000-0005-0000-0000-00002F020000}"/>
    <cellStyle name="Calculation 2 6 13 3" xfId="718" xr:uid="{00000000-0005-0000-0000-000030020000}"/>
    <cellStyle name="Calculation 2 6 13 4" xfId="719" xr:uid="{00000000-0005-0000-0000-000031020000}"/>
    <cellStyle name="Calculation 2 6 13 5" xfId="720" xr:uid="{00000000-0005-0000-0000-000032020000}"/>
    <cellStyle name="Calculation 2 6 14" xfId="721" xr:uid="{00000000-0005-0000-0000-000033020000}"/>
    <cellStyle name="Calculation 2 6 14 2" xfId="722" xr:uid="{00000000-0005-0000-0000-000034020000}"/>
    <cellStyle name="Calculation 2 6 14 3" xfId="723" xr:uid="{00000000-0005-0000-0000-000035020000}"/>
    <cellStyle name="Calculation 2 6 14 4" xfId="724" xr:uid="{00000000-0005-0000-0000-000036020000}"/>
    <cellStyle name="Calculation 2 6 14 5" xfId="725" xr:uid="{00000000-0005-0000-0000-000037020000}"/>
    <cellStyle name="Calculation 2 6 15" xfId="726" xr:uid="{00000000-0005-0000-0000-000038020000}"/>
    <cellStyle name="Calculation 2 6 15 2" xfId="727" xr:uid="{00000000-0005-0000-0000-000039020000}"/>
    <cellStyle name="Calculation 2 6 15 3" xfId="728" xr:uid="{00000000-0005-0000-0000-00003A020000}"/>
    <cellStyle name="Calculation 2 6 15 4" xfId="729" xr:uid="{00000000-0005-0000-0000-00003B020000}"/>
    <cellStyle name="Calculation 2 6 15 5" xfId="730" xr:uid="{00000000-0005-0000-0000-00003C020000}"/>
    <cellStyle name="Calculation 2 6 16" xfId="731" xr:uid="{00000000-0005-0000-0000-00003D020000}"/>
    <cellStyle name="Calculation 2 6 16 2" xfId="732" xr:uid="{00000000-0005-0000-0000-00003E020000}"/>
    <cellStyle name="Calculation 2 6 16 3" xfId="733" xr:uid="{00000000-0005-0000-0000-00003F020000}"/>
    <cellStyle name="Calculation 2 6 16 4" xfId="734" xr:uid="{00000000-0005-0000-0000-000040020000}"/>
    <cellStyle name="Calculation 2 6 16 5" xfId="735" xr:uid="{00000000-0005-0000-0000-000041020000}"/>
    <cellStyle name="Calculation 2 6 17" xfId="736" xr:uid="{00000000-0005-0000-0000-000042020000}"/>
    <cellStyle name="Calculation 2 6 17 2" xfId="737" xr:uid="{00000000-0005-0000-0000-000043020000}"/>
    <cellStyle name="Calculation 2 6 17 3" xfId="738" xr:uid="{00000000-0005-0000-0000-000044020000}"/>
    <cellStyle name="Calculation 2 6 17 4" xfId="739" xr:uid="{00000000-0005-0000-0000-000045020000}"/>
    <cellStyle name="Calculation 2 6 17 5" xfId="740" xr:uid="{00000000-0005-0000-0000-000046020000}"/>
    <cellStyle name="Calculation 2 6 18" xfId="741" xr:uid="{00000000-0005-0000-0000-000047020000}"/>
    <cellStyle name="Calculation 2 6 18 2" xfId="742" xr:uid="{00000000-0005-0000-0000-000048020000}"/>
    <cellStyle name="Calculation 2 6 18 3" xfId="743" xr:uid="{00000000-0005-0000-0000-000049020000}"/>
    <cellStyle name="Calculation 2 6 18 4" xfId="744" xr:uid="{00000000-0005-0000-0000-00004A020000}"/>
    <cellStyle name="Calculation 2 6 18 5" xfId="745" xr:uid="{00000000-0005-0000-0000-00004B020000}"/>
    <cellStyle name="Calculation 2 6 19" xfId="746" xr:uid="{00000000-0005-0000-0000-00004C020000}"/>
    <cellStyle name="Calculation 2 6 19 2" xfId="747" xr:uid="{00000000-0005-0000-0000-00004D020000}"/>
    <cellStyle name="Calculation 2 6 19 3" xfId="748" xr:uid="{00000000-0005-0000-0000-00004E020000}"/>
    <cellStyle name="Calculation 2 6 19 4" xfId="749" xr:uid="{00000000-0005-0000-0000-00004F020000}"/>
    <cellStyle name="Calculation 2 6 19 5" xfId="750" xr:uid="{00000000-0005-0000-0000-000050020000}"/>
    <cellStyle name="Calculation 2 6 2" xfId="751" xr:uid="{00000000-0005-0000-0000-000051020000}"/>
    <cellStyle name="Calculation 2 6 2 2" xfId="752" xr:uid="{00000000-0005-0000-0000-000052020000}"/>
    <cellStyle name="Calculation 2 6 2 3" xfId="753" xr:uid="{00000000-0005-0000-0000-000053020000}"/>
    <cellStyle name="Calculation 2 6 2 4" xfId="754" xr:uid="{00000000-0005-0000-0000-000054020000}"/>
    <cellStyle name="Calculation 2 6 2 5" xfId="755" xr:uid="{00000000-0005-0000-0000-000055020000}"/>
    <cellStyle name="Calculation 2 6 20" xfId="756" xr:uid="{00000000-0005-0000-0000-000056020000}"/>
    <cellStyle name="Calculation 2 6 20 2" xfId="757" xr:uid="{00000000-0005-0000-0000-000057020000}"/>
    <cellStyle name="Calculation 2 6 20 3" xfId="758" xr:uid="{00000000-0005-0000-0000-000058020000}"/>
    <cellStyle name="Calculation 2 6 20 4" xfId="759" xr:uid="{00000000-0005-0000-0000-000059020000}"/>
    <cellStyle name="Calculation 2 6 20 5" xfId="760" xr:uid="{00000000-0005-0000-0000-00005A020000}"/>
    <cellStyle name="Calculation 2 6 21" xfId="761" xr:uid="{00000000-0005-0000-0000-00005B020000}"/>
    <cellStyle name="Calculation 2 6 21 2" xfId="762" xr:uid="{00000000-0005-0000-0000-00005C020000}"/>
    <cellStyle name="Calculation 2 6 21 3" xfId="763" xr:uid="{00000000-0005-0000-0000-00005D020000}"/>
    <cellStyle name="Calculation 2 6 21 4" xfId="764" xr:uid="{00000000-0005-0000-0000-00005E020000}"/>
    <cellStyle name="Calculation 2 6 21 5" xfId="765" xr:uid="{00000000-0005-0000-0000-00005F020000}"/>
    <cellStyle name="Calculation 2 6 22" xfId="766" xr:uid="{00000000-0005-0000-0000-000060020000}"/>
    <cellStyle name="Calculation 2 6 22 2" xfId="767" xr:uid="{00000000-0005-0000-0000-000061020000}"/>
    <cellStyle name="Calculation 2 6 22 3" xfId="768" xr:uid="{00000000-0005-0000-0000-000062020000}"/>
    <cellStyle name="Calculation 2 6 22 4" xfId="769" xr:uid="{00000000-0005-0000-0000-000063020000}"/>
    <cellStyle name="Calculation 2 6 23" xfId="770" xr:uid="{00000000-0005-0000-0000-000064020000}"/>
    <cellStyle name="Calculation 2 6 23 2" xfId="771" xr:uid="{00000000-0005-0000-0000-000065020000}"/>
    <cellStyle name="Calculation 2 6 23 3" xfId="772" xr:uid="{00000000-0005-0000-0000-000066020000}"/>
    <cellStyle name="Calculation 2 6 23 4" xfId="773" xr:uid="{00000000-0005-0000-0000-000067020000}"/>
    <cellStyle name="Calculation 2 6 24" xfId="774" xr:uid="{00000000-0005-0000-0000-000068020000}"/>
    <cellStyle name="Calculation 2 6 24 2" xfId="775" xr:uid="{00000000-0005-0000-0000-000069020000}"/>
    <cellStyle name="Calculation 2 6 24 3" xfId="776" xr:uid="{00000000-0005-0000-0000-00006A020000}"/>
    <cellStyle name="Calculation 2 6 24 4" xfId="777" xr:uid="{00000000-0005-0000-0000-00006B020000}"/>
    <cellStyle name="Calculation 2 6 25" xfId="778" xr:uid="{00000000-0005-0000-0000-00006C020000}"/>
    <cellStyle name="Calculation 2 6 25 2" xfId="779" xr:uid="{00000000-0005-0000-0000-00006D020000}"/>
    <cellStyle name="Calculation 2 6 25 3" xfId="780" xr:uid="{00000000-0005-0000-0000-00006E020000}"/>
    <cellStyle name="Calculation 2 6 25 4" xfId="781" xr:uid="{00000000-0005-0000-0000-00006F020000}"/>
    <cellStyle name="Calculation 2 6 3" xfId="782" xr:uid="{00000000-0005-0000-0000-000070020000}"/>
    <cellStyle name="Calculation 2 6 3 2" xfId="783" xr:uid="{00000000-0005-0000-0000-000071020000}"/>
    <cellStyle name="Calculation 2 6 3 3" xfId="784" xr:uid="{00000000-0005-0000-0000-000072020000}"/>
    <cellStyle name="Calculation 2 6 3 4" xfId="785" xr:uid="{00000000-0005-0000-0000-000073020000}"/>
    <cellStyle name="Calculation 2 6 3 5" xfId="786" xr:uid="{00000000-0005-0000-0000-000074020000}"/>
    <cellStyle name="Calculation 2 6 4" xfId="787" xr:uid="{00000000-0005-0000-0000-000075020000}"/>
    <cellStyle name="Calculation 2 6 4 2" xfId="788" xr:uid="{00000000-0005-0000-0000-000076020000}"/>
    <cellStyle name="Calculation 2 6 4 3" xfId="789" xr:uid="{00000000-0005-0000-0000-000077020000}"/>
    <cellStyle name="Calculation 2 6 4 4" xfId="790" xr:uid="{00000000-0005-0000-0000-000078020000}"/>
    <cellStyle name="Calculation 2 6 4 5" xfId="791" xr:uid="{00000000-0005-0000-0000-000079020000}"/>
    <cellStyle name="Calculation 2 6 5" xfId="792" xr:uid="{00000000-0005-0000-0000-00007A020000}"/>
    <cellStyle name="Calculation 2 6 5 2" xfId="793" xr:uid="{00000000-0005-0000-0000-00007B020000}"/>
    <cellStyle name="Calculation 2 6 5 3" xfId="794" xr:uid="{00000000-0005-0000-0000-00007C020000}"/>
    <cellStyle name="Calculation 2 6 5 4" xfId="795" xr:uid="{00000000-0005-0000-0000-00007D020000}"/>
    <cellStyle name="Calculation 2 6 5 5" xfId="796" xr:uid="{00000000-0005-0000-0000-00007E020000}"/>
    <cellStyle name="Calculation 2 6 6" xfId="797" xr:uid="{00000000-0005-0000-0000-00007F020000}"/>
    <cellStyle name="Calculation 2 6 6 2" xfId="798" xr:uid="{00000000-0005-0000-0000-000080020000}"/>
    <cellStyle name="Calculation 2 6 6 3" xfId="799" xr:uid="{00000000-0005-0000-0000-000081020000}"/>
    <cellStyle name="Calculation 2 6 6 4" xfId="800" xr:uid="{00000000-0005-0000-0000-000082020000}"/>
    <cellStyle name="Calculation 2 6 6 5" xfId="801" xr:uid="{00000000-0005-0000-0000-000083020000}"/>
    <cellStyle name="Calculation 2 6 7" xfId="802" xr:uid="{00000000-0005-0000-0000-000084020000}"/>
    <cellStyle name="Calculation 2 6 7 2" xfId="803" xr:uid="{00000000-0005-0000-0000-000085020000}"/>
    <cellStyle name="Calculation 2 6 7 3" xfId="804" xr:uid="{00000000-0005-0000-0000-000086020000}"/>
    <cellStyle name="Calculation 2 6 7 4" xfId="805" xr:uid="{00000000-0005-0000-0000-000087020000}"/>
    <cellStyle name="Calculation 2 6 7 5" xfId="806" xr:uid="{00000000-0005-0000-0000-000088020000}"/>
    <cellStyle name="Calculation 2 6 8" xfId="807" xr:uid="{00000000-0005-0000-0000-000089020000}"/>
    <cellStyle name="Calculation 2 6 8 2" xfId="808" xr:uid="{00000000-0005-0000-0000-00008A020000}"/>
    <cellStyle name="Calculation 2 6 8 3" xfId="809" xr:uid="{00000000-0005-0000-0000-00008B020000}"/>
    <cellStyle name="Calculation 2 6 8 4" xfId="810" xr:uid="{00000000-0005-0000-0000-00008C020000}"/>
    <cellStyle name="Calculation 2 6 8 5" xfId="811" xr:uid="{00000000-0005-0000-0000-00008D020000}"/>
    <cellStyle name="Calculation 2 6 9" xfId="812" xr:uid="{00000000-0005-0000-0000-00008E020000}"/>
    <cellStyle name="Calculation 2 6 9 2" xfId="813" xr:uid="{00000000-0005-0000-0000-00008F020000}"/>
    <cellStyle name="Calculation 2 6 9 3" xfId="814" xr:uid="{00000000-0005-0000-0000-000090020000}"/>
    <cellStyle name="Calculation 2 6 9 4" xfId="815" xr:uid="{00000000-0005-0000-0000-000091020000}"/>
    <cellStyle name="Calculation 2 6 9 5" xfId="816" xr:uid="{00000000-0005-0000-0000-000092020000}"/>
    <cellStyle name="Calculation 2 7" xfId="817" xr:uid="{00000000-0005-0000-0000-000093020000}"/>
    <cellStyle name="Calculation 2 7 2" xfId="818" xr:uid="{00000000-0005-0000-0000-000094020000}"/>
    <cellStyle name="Calculation 2 7 3" xfId="819" xr:uid="{00000000-0005-0000-0000-000095020000}"/>
    <cellStyle name="Calculation 2 7 4" xfId="820" xr:uid="{00000000-0005-0000-0000-000096020000}"/>
    <cellStyle name="Calculation 2 7 5" xfId="821" xr:uid="{00000000-0005-0000-0000-000097020000}"/>
    <cellStyle name="Calculation 2 8" xfId="822" xr:uid="{00000000-0005-0000-0000-000098020000}"/>
    <cellStyle name="Calculation 2 8 2" xfId="823" xr:uid="{00000000-0005-0000-0000-000099020000}"/>
    <cellStyle name="Calculation 2 8 3" xfId="824" xr:uid="{00000000-0005-0000-0000-00009A020000}"/>
    <cellStyle name="Calculation 2 8 4" xfId="825" xr:uid="{00000000-0005-0000-0000-00009B020000}"/>
    <cellStyle name="Calculation 2 8 5" xfId="826" xr:uid="{00000000-0005-0000-0000-00009C020000}"/>
    <cellStyle name="Calculation 2 9" xfId="827" xr:uid="{00000000-0005-0000-0000-00009D020000}"/>
    <cellStyle name="Calculation 2 9 2" xfId="828" xr:uid="{00000000-0005-0000-0000-00009E020000}"/>
    <cellStyle name="Calculation 2 9 3" xfId="829" xr:uid="{00000000-0005-0000-0000-00009F020000}"/>
    <cellStyle name="Calculation 2 9 4" xfId="830" xr:uid="{00000000-0005-0000-0000-0000A0020000}"/>
    <cellStyle name="Calculation 2 9 5" xfId="831" xr:uid="{00000000-0005-0000-0000-0000A1020000}"/>
    <cellStyle name="centre across selection" xfId="54" xr:uid="{00000000-0005-0000-0000-0000A2020000}"/>
    <cellStyle name="cf1" xfId="187" xr:uid="{00000000-0005-0000-0000-0000A3020000}"/>
    <cellStyle name="cf2" xfId="188" xr:uid="{00000000-0005-0000-0000-0000A4020000}"/>
    <cellStyle name="cf3" xfId="189" xr:uid="{00000000-0005-0000-0000-0000A5020000}"/>
    <cellStyle name="cf4" xfId="190" xr:uid="{00000000-0005-0000-0000-0000A6020000}"/>
    <cellStyle name="cf5" xfId="191" xr:uid="{00000000-0005-0000-0000-0000A7020000}"/>
    <cellStyle name="cf6" xfId="192" xr:uid="{00000000-0005-0000-0000-0000A8020000}"/>
    <cellStyle name="Check Cell 2" xfId="55" xr:uid="{00000000-0005-0000-0000-0000A9020000}"/>
    <cellStyle name="Check Cell 2 2" xfId="832" xr:uid="{00000000-0005-0000-0000-0000AA020000}"/>
    <cellStyle name="Check Cell 2 3" xfId="833" xr:uid="{00000000-0005-0000-0000-0000AB020000}"/>
    <cellStyle name="Check Cell 3" xfId="834" xr:uid="{00000000-0005-0000-0000-0000AC020000}"/>
    <cellStyle name="Comma" xfId="1" builtinId="3"/>
    <cellStyle name="Comma 10" xfId="835" xr:uid="{00000000-0005-0000-0000-0000AE020000}"/>
    <cellStyle name="Comma 10 2" xfId="836" xr:uid="{00000000-0005-0000-0000-0000AF020000}"/>
    <cellStyle name="Comma 11" xfId="837" xr:uid="{00000000-0005-0000-0000-0000B0020000}"/>
    <cellStyle name="Comma 2" xfId="56" xr:uid="{00000000-0005-0000-0000-0000B1020000}"/>
    <cellStyle name="Comma 2 10" xfId="838" xr:uid="{00000000-0005-0000-0000-0000B2020000}"/>
    <cellStyle name="Comma 2 11" xfId="839" xr:uid="{00000000-0005-0000-0000-0000B3020000}"/>
    <cellStyle name="Comma 2 12" xfId="840" xr:uid="{00000000-0005-0000-0000-0000B4020000}"/>
    <cellStyle name="Comma 2 12 2" xfId="841" xr:uid="{00000000-0005-0000-0000-0000B5020000}"/>
    <cellStyle name="Comma 2 13" xfId="842" xr:uid="{00000000-0005-0000-0000-0000B6020000}"/>
    <cellStyle name="Comma 2 14" xfId="843" xr:uid="{00000000-0005-0000-0000-0000B7020000}"/>
    <cellStyle name="Comma 2 2" xfId="193" xr:uid="{00000000-0005-0000-0000-0000B8020000}"/>
    <cellStyle name="Comma 2 2 2" xfId="194" xr:uid="{00000000-0005-0000-0000-0000B9020000}"/>
    <cellStyle name="Comma 2 2 2 2" xfId="844" xr:uid="{00000000-0005-0000-0000-0000BA020000}"/>
    <cellStyle name="Comma 2 2 3" xfId="845" xr:uid="{00000000-0005-0000-0000-0000BB020000}"/>
    <cellStyle name="Comma 2 2 4" xfId="3916" xr:uid="{00000000-0005-0000-0000-0000BC020000}"/>
    <cellStyle name="Comma 2 3" xfId="195" xr:uid="{00000000-0005-0000-0000-0000BD020000}"/>
    <cellStyle name="Comma 2 3 2" xfId="846" xr:uid="{00000000-0005-0000-0000-0000BE020000}"/>
    <cellStyle name="Comma 2 3 3" xfId="3921" xr:uid="{00000000-0005-0000-0000-0000BF020000}"/>
    <cellStyle name="Comma 2 3 4" xfId="3957" xr:uid="{00000000-0005-0000-0000-0000C0020000}"/>
    <cellStyle name="Comma 2 4" xfId="847" xr:uid="{00000000-0005-0000-0000-0000C1020000}"/>
    <cellStyle name="Comma 2 5" xfId="848" xr:uid="{00000000-0005-0000-0000-0000C2020000}"/>
    <cellStyle name="Comma 2 6" xfId="849" xr:uid="{00000000-0005-0000-0000-0000C3020000}"/>
    <cellStyle name="Comma 2 7" xfId="850" xr:uid="{00000000-0005-0000-0000-0000C4020000}"/>
    <cellStyle name="Comma 2 8" xfId="851" xr:uid="{00000000-0005-0000-0000-0000C5020000}"/>
    <cellStyle name="Comma 2 9" xfId="852" xr:uid="{00000000-0005-0000-0000-0000C6020000}"/>
    <cellStyle name="Comma 3" xfId="57" xr:uid="{00000000-0005-0000-0000-0000C7020000}"/>
    <cellStyle name="Comma 3 2" xfId="196" xr:uid="{00000000-0005-0000-0000-0000C8020000}"/>
    <cellStyle name="Comma 3 3" xfId="853" xr:uid="{00000000-0005-0000-0000-0000C9020000}"/>
    <cellStyle name="Comma 3 3 2" xfId="3939" xr:uid="{00000000-0005-0000-0000-0000CA020000}"/>
    <cellStyle name="Comma 3 4" xfId="854" xr:uid="{00000000-0005-0000-0000-0000CB020000}"/>
    <cellStyle name="Comma 3 4 2" xfId="3925" xr:uid="{00000000-0005-0000-0000-0000CC020000}"/>
    <cellStyle name="Comma 3 5" xfId="855" xr:uid="{00000000-0005-0000-0000-0000CD020000}"/>
    <cellStyle name="Comma 3 6" xfId="856" xr:uid="{00000000-0005-0000-0000-0000CE020000}"/>
    <cellStyle name="Comma 3 7" xfId="857" xr:uid="{00000000-0005-0000-0000-0000CF020000}"/>
    <cellStyle name="Comma 4" xfId="58" xr:uid="{00000000-0005-0000-0000-0000D0020000}"/>
    <cellStyle name="Comma 4 2" xfId="858" xr:uid="{00000000-0005-0000-0000-0000D1020000}"/>
    <cellStyle name="Comma 4 3" xfId="859" xr:uid="{00000000-0005-0000-0000-0000D2020000}"/>
    <cellStyle name="Comma 4 4" xfId="860" xr:uid="{00000000-0005-0000-0000-0000D3020000}"/>
    <cellStyle name="Comma 4 5" xfId="861" xr:uid="{00000000-0005-0000-0000-0000D4020000}"/>
    <cellStyle name="Comma 4 6" xfId="862" xr:uid="{00000000-0005-0000-0000-0000D5020000}"/>
    <cellStyle name="Comma 5" xfId="197" xr:uid="{00000000-0005-0000-0000-0000D6020000}"/>
    <cellStyle name="Comma 5 2" xfId="863" xr:uid="{00000000-0005-0000-0000-0000D7020000}"/>
    <cellStyle name="Comma 5 3" xfId="864" xr:uid="{00000000-0005-0000-0000-0000D8020000}"/>
    <cellStyle name="Comma 5 4" xfId="865" xr:uid="{00000000-0005-0000-0000-0000D9020000}"/>
    <cellStyle name="Comma 5 5" xfId="866" xr:uid="{00000000-0005-0000-0000-0000DA020000}"/>
    <cellStyle name="Comma 6" xfId="198" xr:uid="{00000000-0005-0000-0000-0000DB020000}"/>
    <cellStyle name="Comma 6 2" xfId="867" xr:uid="{00000000-0005-0000-0000-0000DC020000}"/>
    <cellStyle name="Comma 6 3" xfId="868" xr:uid="{00000000-0005-0000-0000-0000DD020000}"/>
    <cellStyle name="Comma 6 4" xfId="869" xr:uid="{00000000-0005-0000-0000-0000DE020000}"/>
    <cellStyle name="Comma 6 5" xfId="870" xr:uid="{00000000-0005-0000-0000-0000DF020000}"/>
    <cellStyle name="Comma 7" xfId="871" xr:uid="{00000000-0005-0000-0000-0000E0020000}"/>
    <cellStyle name="Comma 7 2" xfId="872" xr:uid="{00000000-0005-0000-0000-0000E1020000}"/>
    <cellStyle name="Comma 7 3" xfId="873" xr:uid="{00000000-0005-0000-0000-0000E2020000}"/>
    <cellStyle name="Comma 8" xfId="874" xr:uid="{00000000-0005-0000-0000-0000E3020000}"/>
    <cellStyle name="Comma 8 2" xfId="875" xr:uid="{00000000-0005-0000-0000-0000E4020000}"/>
    <cellStyle name="Comma 8 3" xfId="876" xr:uid="{00000000-0005-0000-0000-0000E5020000}"/>
    <cellStyle name="Comma 8 4" xfId="877" xr:uid="{00000000-0005-0000-0000-0000E6020000}"/>
    <cellStyle name="Comma 9" xfId="878" xr:uid="{00000000-0005-0000-0000-0000E7020000}"/>
    <cellStyle name="Comma 9 2" xfId="879" xr:uid="{00000000-0005-0000-0000-0000E8020000}"/>
    <cellStyle name="Comma0" xfId="59" xr:uid="{00000000-0005-0000-0000-0000E9020000}"/>
    <cellStyle name="Currency 14" xfId="3961" xr:uid="{00000000-0005-0000-0000-0000EB020000}"/>
    <cellStyle name="Currency 14 12 10" xfId="3966" xr:uid="{3B3D72DD-C276-48BA-8E22-B094E81F04A9}"/>
    <cellStyle name="Currency 14 21" xfId="3965" xr:uid="{F3617526-4F11-45D7-A252-1D34435693CC}"/>
    <cellStyle name="Currency 14 24" xfId="3968" xr:uid="{93E1532C-FD5D-4210-A005-21E1943881AF}"/>
    <cellStyle name="Currency 2" xfId="60" xr:uid="{00000000-0005-0000-0000-0000EC020000}"/>
    <cellStyle name="Currency 2 2" xfId="209" xr:uid="{00000000-0005-0000-0000-0000ED020000}"/>
    <cellStyle name="Currency 2 2 2" xfId="880" xr:uid="{00000000-0005-0000-0000-0000EE020000}"/>
    <cellStyle name="Currency 2 2 3" xfId="881" xr:uid="{00000000-0005-0000-0000-0000EF020000}"/>
    <cellStyle name="Currency 2 3" xfId="882" xr:uid="{00000000-0005-0000-0000-0000F0020000}"/>
    <cellStyle name="Currency 2 4" xfId="883" xr:uid="{00000000-0005-0000-0000-0000F1020000}"/>
    <cellStyle name="Currency 2 5" xfId="884" xr:uid="{00000000-0005-0000-0000-0000F2020000}"/>
    <cellStyle name="Currency 2 6" xfId="885" xr:uid="{00000000-0005-0000-0000-0000F3020000}"/>
    <cellStyle name="Currency 3" xfId="61" xr:uid="{00000000-0005-0000-0000-0000F4020000}"/>
    <cellStyle name="Currency 3 2" xfId="199" xr:uid="{00000000-0005-0000-0000-0000F5020000}"/>
    <cellStyle name="Currency 3 2 2" xfId="886" xr:uid="{00000000-0005-0000-0000-0000F6020000}"/>
    <cellStyle name="Currency 3 2 3" xfId="887" xr:uid="{00000000-0005-0000-0000-0000F7020000}"/>
    <cellStyle name="Currency 3 2 4" xfId="888" xr:uid="{00000000-0005-0000-0000-0000F8020000}"/>
    <cellStyle name="Currency 3 3" xfId="889" xr:uid="{00000000-0005-0000-0000-0000F9020000}"/>
    <cellStyle name="Currency 3 3 2" xfId="3940" xr:uid="{00000000-0005-0000-0000-0000FA020000}"/>
    <cellStyle name="Currency 3 4" xfId="890" xr:uid="{00000000-0005-0000-0000-0000FB020000}"/>
    <cellStyle name="Currency 3 5" xfId="891" xr:uid="{00000000-0005-0000-0000-0000FC020000}"/>
    <cellStyle name="Currency 3 5 2" xfId="892" xr:uid="{00000000-0005-0000-0000-0000FD020000}"/>
    <cellStyle name="Currency 3 6" xfId="893" xr:uid="{00000000-0005-0000-0000-0000FE020000}"/>
    <cellStyle name="Currency 3 7" xfId="894" xr:uid="{00000000-0005-0000-0000-0000FF020000}"/>
    <cellStyle name="Currency 4" xfId="62" xr:uid="{00000000-0005-0000-0000-000000030000}"/>
    <cellStyle name="Currency 4 2" xfId="895" xr:uid="{00000000-0005-0000-0000-000001030000}"/>
    <cellStyle name="Currency 4 3" xfId="896" xr:uid="{00000000-0005-0000-0000-000002030000}"/>
    <cellStyle name="Currency 4 4" xfId="897" xr:uid="{00000000-0005-0000-0000-000003030000}"/>
    <cellStyle name="Currency 4 5" xfId="898" xr:uid="{00000000-0005-0000-0000-000004030000}"/>
    <cellStyle name="Currency 5" xfId="200" xr:uid="{00000000-0005-0000-0000-000005030000}"/>
    <cellStyle name="Currency 5 2" xfId="899" xr:uid="{00000000-0005-0000-0000-000006030000}"/>
    <cellStyle name="Currency 5 3" xfId="900" xr:uid="{00000000-0005-0000-0000-000007030000}"/>
    <cellStyle name="Currency 6" xfId="901" xr:uid="{00000000-0005-0000-0000-000008030000}"/>
    <cellStyle name="Currency 6 2" xfId="902" xr:uid="{00000000-0005-0000-0000-000009030000}"/>
    <cellStyle name="Currency 7" xfId="903" xr:uid="{00000000-0005-0000-0000-00000A030000}"/>
    <cellStyle name="Currency 7 2" xfId="904" xr:uid="{00000000-0005-0000-0000-00000B030000}"/>
    <cellStyle name="Currency 8" xfId="905" xr:uid="{00000000-0005-0000-0000-00000C030000}"/>
    <cellStyle name="Currency 9" xfId="906" xr:uid="{00000000-0005-0000-0000-00000D030000}"/>
    <cellStyle name="Currency 9 2" xfId="907" xr:uid="{00000000-0005-0000-0000-00000E030000}"/>
    <cellStyle name="dataEntry" xfId="3926" xr:uid="{00000000-0005-0000-0000-00000F030000}"/>
    <cellStyle name="DetailStyleText" xfId="908" xr:uid="{00000000-0005-0000-0000-000010030000}"/>
    <cellStyle name="Emphasis 1" xfId="909" xr:uid="{00000000-0005-0000-0000-000011030000}"/>
    <cellStyle name="Emphasis 2" xfId="910" xr:uid="{00000000-0005-0000-0000-000012030000}"/>
    <cellStyle name="Emphasis 3" xfId="911" xr:uid="{00000000-0005-0000-0000-000013030000}"/>
    <cellStyle name="Estimated" xfId="63" xr:uid="{00000000-0005-0000-0000-000014030000}"/>
    <cellStyle name="Euro" xfId="64" xr:uid="{00000000-0005-0000-0000-000015030000}"/>
    <cellStyle name="Èurrency [0]" xfId="912" xr:uid="{00000000-0005-0000-0000-000016030000}"/>
    <cellStyle name="Explanatory Text 2" xfId="65" xr:uid="{00000000-0005-0000-0000-000017030000}"/>
    <cellStyle name="Explanatory Text 2 2" xfId="913" xr:uid="{00000000-0005-0000-0000-000018030000}"/>
    <cellStyle name="external input" xfId="66" xr:uid="{00000000-0005-0000-0000-000019030000}"/>
    <cellStyle name="FinancialTitleStyle" xfId="914" xr:uid="{00000000-0005-0000-0000-00001A030000}"/>
    <cellStyle name="Fixed" xfId="67" xr:uid="{00000000-0005-0000-0000-00001B030000}"/>
    <cellStyle name="Followed Hyperlink 10" xfId="915" xr:uid="{00000000-0005-0000-0000-00001C030000}"/>
    <cellStyle name="Followed Hyperlink 10 2" xfId="916" xr:uid="{00000000-0005-0000-0000-00001D030000}"/>
    <cellStyle name="Followed Hyperlink 2" xfId="917" xr:uid="{00000000-0005-0000-0000-00001E030000}"/>
    <cellStyle name="Followed Hyperlink 2 2" xfId="918" xr:uid="{00000000-0005-0000-0000-00001F030000}"/>
    <cellStyle name="Followed Hyperlink 3" xfId="919" xr:uid="{00000000-0005-0000-0000-000020030000}"/>
    <cellStyle name="Followed Hyperlink 3 2" xfId="920" xr:uid="{00000000-0005-0000-0000-000021030000}"/>
    <cellStyle name="Followed Hyperlink 4" xfId="921" xr:uid="{00000000-0005-0000-0000-000022030000}"/>
    <cellStyle name="Followed Hyperlink 4 2" xfId="922" xr:uid="{00000000-0005-0000-0000-000023030000}"/>
    <cellStyle name="Followed Hyperlink 5" xfId="923" xr:uid="{00000000-0005-0000-0000-000024030000}"/>
    <cellStyle name="Followed Hyperlink 5 2" xfId="924" xr:uid="{00000000-0005-0000-0000-000025030000}"/>
    <cellStyle name="Followed Hyperlink 6" xfId="925" xr:uid="{00000000-0005-0000-0000-000026030000}"/>
    <cellStyle name="Followed Hyperlink 6 2" xfId="926" xr:uid="{00000000-0005-0000-0000-000027030000}"/>
    <cellStyle name="Followed Hyperlink 7" xfId="927" xr:uid="{00000000-0005-0000-0000-000028030000}"/>
    <cellStyle name="Followed Hyperlink 7 2" xfId="928" xr:uid="{00000000-0005-0000-0000-000029030000}"/>
    <cellStyle name="Followed Hyperlink 8" xfId="929" xr:uid="{00000000-0005-0000-0000-00002A030000}"/>
    <cellStyle name="Followed Hyperlink 8 2" xfId="930" xr:uid="{00000000-0005-0000-0000-00002B030000}"/>
    <cellStyle name="Followed Hyperlink 9" xfId="931" xr:uid="{00000000-0005-0000-0000-00002C030000}"/>
    <cellStyle name="Followed Hyperlink 9 2" xfId="932" xr:uid="{00000000-0005-0000-0000-00002D030000}"/>
    <cellStyle name="Good 2" xfId="68" xr:uid="{00000000-0005-0000-0000-00002E030000}"/>
    <cellStyle name="Good 2 2" xfId="933" xr:uid="{00000000-0005-0000-0000-00002F030000}"/>
    <cellStyle name="Good 2 3" xfId="934" xr:uid="{00000000-0005-0000-0000-000030030000}"/>
    <cellStyle name="Header" xfId="69" xr:uid="{00000000-0005-0000-0000-000031030000}"/>
    <cellStyle name="HeaderGrant" xfId="70" xr:uid="{00000000-0005-0000-0000-000032030000}"/>
    <cellStyle name="HeaderGrant 10" xfId="935" xr:uid="{00000000-0005-0000-0000-000033030000}"/>
    <cellStyle name="HeaderGrant 10 2" xfId="936" xr:uid="{00000000-0005-0000-0000-000034030000}"/>
    <cellStyle name="HeaderGrant 10 3" xfId="937" xr:uid="{00000000-0005-0000-0000-000035030000}"/>
    <cellStyle name="HeaderGrant 10 4" xfId="938" xr:uid="{00000000-0005-0000-0000-000036030000}"/>
    <cellStyle name="HeaderGrant 10 5" xfId="939" xr:uid="{00000000-0005-0000-0000-000037030000}"/>
    <cellStyle name="HeaderGrant 11" xfId="940" xr:uid="{00000000-0005-0000-0000-000038030000}"/>
    <cellStyle name="HeaderGrant 11 2" xfId="941" xr:uid="{00000000-0005-0000-0000-000039030000}"/>
    <cellStyle name="HeaderGrant 11 3" xfId="942" xr:uid="{00000000-0005-0000-0000-00003A030000}"/>
    <cellStyle name="HeaderGrant 11 4" xfId="943" xr:uid="{00000000-0005-0000-0000-00003B030000}"/>
    <cellStyle name="HeaderGrant 12" xfId="944" xr:uid="{00000000-0005-0000-0000-00003C030000}"/>
    <cellStyle name="HeaderGrant 12 2" xfId="945" xr:uid="{00000000-0005-0000-0000-00003D030000}"/>
    <cellStyle name="HeaderGrant 12 3" xfId="946" xr:uid="{00000000-0005-0000-0000-00003E030000}"/>
    <cellStyle name="HeaderGrant 12 4" xfId="947" xr:uid="{00000000-0005-0000-0000-00003F030000}"/>
    <cellStyle name="HeaderGrant 13" xfId="948" xr:uid="{00000000-0005-0000-0000-000040030000}"/>
    <cellStyle name="HeaderGrant 13 2" xfId="949" xr:uid="{00000000-0005-0000-0000-000041030000}"/>
    <cellStyle name="HeaderGrant 13 3" xfId="950" xr:uid="{00000000-0005-0000-0000-000042030000}"/>
    <cellStyle name="HeaderGrant 13 4" xfId="951" xr:uid="{00000000-0005-0000-0000-000043030000}"/>
    <cellStyle name="HeaderGrant 2" xfId="952" xr:uid="{00000000-0005-0000-0000-000044030000}"/>
    <cellStyle name="HeaderGrant 2 10" xfId="953" xr:uid="{00000000-0005-0000-0000-000045030000}"/>
    <cellStyle name="HeaderGrant 2 10 2" xfId="954" xr:uid="{00000000-0005-0000-0000-000046030000}"/>
    <cellStyle name="HeaderGrant 2 10 3" xfId="955" xr:uid="{00000000-0005-0000-0000-000047030000}"/>
    <cellStyle name="HeaderGrant 2 10 4" xfId="956" xr:uid="{00000000-0005-0000-0000-000048030000}"/>
    <cellStyle name="HeaderGrant 2 11" xfId="957" xr:uid="{00000000-0005-0000-0000-000049030000}"/>
    <cellStyle name="HeaderGrant 2 11 2" xfId="958" xr:uid="{00000000-0005-0000-0000-00004A030000}"/>
    <cellStyle name="HeaderGrant 2 11 3" xfId="959" xr:uid="{00000000-0005-0000-0000-00004B030000}"/>
    <cellStyle name="HeaderGrant 2 11 4" xfId="960" xr:uid="{00000000-0005-0000-0000-00004C030000}"/>
    <cellStyle name="HeaderGrant 2 12" xfId="961" xr:uid="{00000000-0005-0000-0000-00004D030000}"/>
    <cellStyle name="HeaderGrant 2 12 2" xfId="962" xr:uid="{00000000-0005-0000-0000-00004E030000}"/>
    <cellStyle name="HeaderGrant 2 12 3" xfId="963" xr:uid="{00000000-0005-0000-0000-00004F030000}"/>
    <cellStyle name="HeaderGrant 2 12 4" xfId="964" xr:uid="{00000000-0005-0000-0000-000050030000}"/>
    <cellStyle name="HeaderGrant 2 2" xfId="965" xr:uid="{00000000-0005-0000-0000-000051030000}"/>
    <cellStyle name="HeaderGrant 2 2 10" xfId="966" xr:uid="{00000000-0005-0000-0000-000052030000}"/>
    <cellStyle name="HeaderGrant 2 2 10 2" xfId="967" xr:uid="{00000000-0005-0000-0000-000053030000}"/>
    <cellStyle name="HeaderGrant 2 2 10 3" xfId="968" xr:uid="{00000000-0005-0000-0000-000054030000}"/>
    <cellStyle name="HeaderGrant 2 2 10 4" xfId="969" xr:uid="{00000000-0005-0000-0000-000055030000}"/>
    <cellStyle name="HeaderGrant 2 2 10 5" xfId="970" xr:uid="{00000000-0005-0000-0000-000056030000}"/>
    <cellStyle name="HeaderGrant 2 2 11" xfId="971" xr:uid="{00000000-0005-0000-0000-000057030000}"/>
    <cellStyle name="HeaderGrant 2 2 11 2" xfId="972" xr:uid="{00000000-0005-0000-0000-000058030000}"/>
    <cellStyle name="HeaderGrant 2 2 11 3" xfId="973" xr:uid="{00000000-0005-0000-0000-000059030000}"/>
    <cellStyle name="HeaderGrant 2 2 11 4" xfId="974" xr:uid="{00000000-0005-0000-0000-00005A030000}"/>
    <cellStyle name="HeaderGrant 2 2 12" xfId="975" xr:uid="{00000000-0005-0000-0000-00005B030000}"/>
    <cellStyle name="HeaderGrant 2 2 12 2" xfId="976" xr:uid="{00000000-0005-0000-0000-00005C030000}"/>
    <cellStyle name="HeaderGrant 2 2 12 3" xfId="977" xr:uid="{00000000-0005-0000-0000-00005D030000}"/>
    <cellStyle name="HeaderGrant 2 2 12 4" xfId="978" xr:uid="{00000000-0005-0000-0000-00005E030000}"/>
    <cellStyle name="HeaderGrant 2 2 13" xfId="979" xr:uid="{00000000-0005-0000-0000-00005F030000}"/>
    <cellStyle name="HeaderGrant 2 2 13 2" xfId="980" xr:uid="{00000000-0005-0000-0000-000060030000}"/>
    <cellStyle name="HeaderGrant 2 2 13 3" xfId="981" xr:uid="{00000000-0005-0000-0000-000061030000}"/>
    <cellStyle name="HeaderGrant 2 2 13 4" xfId="982" xr:uid="{00000000-0005-0000-0000-000062030000}"/>
    <cellStyle name="HeaderGrant 2 2 14" xfId="983" xr:uid="{00000000-0005-0000-0000-000063030000}"/>
    <cellStyle name="HeaderGrant 2 2 2" xfId="984" xr:uid="{00000000-0005-0000-0000-000064030000}"/>
    <cellStyle name="HeaderGrant 2 2 2 2" xfId="985" xr:uid="{00000000-0005-0000-0000-000065030000}"/>
    <cellStyle name="HeaderGrant 2 2 2 3" xfId="986" xr:uid="{00000000-0005-0000-0000-000066030000}"/>
    <cellStyle name="HeaderGrant 2 2 2 4" xfId="987" xr:uid="{00000000-0005-0000-0000-000067030000}"/>
    <cellStyle name="HeaderGrant 2 2 2 5" xfId="988" xr:uid="{00000000-0005-0000-0000-000068030000}"/>
    <cellStyle name="HeaderGrant 2 2 3" xfId="989" xr:uid="{00000000-0005-0000-0000-000069030000}"/>
    <cellStyle name="HeaderGrant 2 2 3 2" xfId="990" xr:uid="{00000000-0005-0000-0000-00006A030000}"/>
    <cellStyle name="HeaderGrant 2 2 3 3" xfId="991" xr:uid="{00000000-0005-0000-0000-00006B030000}"/>
    <cellStyle name="HeaderGrant 2 2 3 4" xfId="992" xr:uid="{00000000-0005-0000-0000-00006C030000}"/>
    <cellStyle name="HeaderGrant 2 2 3 5" xfId="993" xr:uid="{00000000-0005-0000-0000-00006D030000}"/>
    <cellStyle name="HeaderGrant 2 2 4" xfId="994" xr:uid="{00000000-0005-0000-0000-00006E030000}"/>
    <cellStyle name="HeaderGrant 2 2 4 2" xfId="995" xr:uid="{00000000-0005-0000-0000-00006F030000}"/>
    <cellStyle name="HeaderGrant 2 2 4 3" xfId="996" xr:uid="{00000000-0005-0000-0000-000070030000}"/>
    <cellStyle name="HeaderGrant 2 2 4 4" xfId="997" xr:uid="{00000000-0005-0000-0000-000071030000}"/>
    <cellStyle name="HeaderGrant 2 2 4 5" xfId="998" xr:uid="{00000000-0005-0000-0000-000072030000}"/>
    <cellStyle name="HeaderGrant 2 2 5" xfId="999" xr:uid="{00000000-0005-0000-0000-000073030000}"/>
    <cellStyle name="HeaderGrant 2 2 5 2" xfId="1000" xr:uid="{00000000-0005-0000-0000-000074030000}"/>
    <cellStyle name="HeaderGrant 2 2 5 3" xfId="1001" xr:uid="{00000000-0005-0000-0000-000075030000}"/>
    <cellStyle name="HeaderGrant 2 2 5 4" xfId="1002" xr:uid="{00000000-0005-0000-0000-000076030000}"/>
    <cellStyle name="HeaderGrant 2 2 5 5" xfId="1003" xr:uid="{00000000-0005-0000-0000-000077030000}"/>
    <cellStyle name="HeaderGrant 2 2 6" xfId="1004" xr:uid="{00000000-0005-0000-0000-000078030000}"/>
    <cellStyle name="HeaderGrant 2 2 6 2" xfId="1005" xr:uid="{00000000-0005-0000-0000-000079030000}"/>
    <cellStyle name="HeaderGrant 2 2 6 3" xfId="1006" xr:uid="{00000000-0005-0000-0000-00007A030000}"/>
    <cellStyle name="HeaderGrant 2 2 6 4" xfId="1007" xr:uid="{00000000-0005-0000-0000-00007B030000}"/>
    <cellStyle name="HeaderGrant 2 2 6 5" xfId="1008" xr:uid="{00000000-0005-0000-0000-00007C030000}"/>
    <cellStyle name="HeaderGrant 2 2 7" xfId="1009" xr:uid="{00000000-0005-0000-0000-00007D030000}"/>
    <cellStyle name="HeaderGrant 2 2 7 2" xfId="1010" xr:uid="{00000000-0005-0000-0000-00007E030000}"/>
    <cellStyle name="HeaderGrant 2 2 7 3" xfId="1011" xr:uid="{00000000-0005-0000-0000-00007F030000}"/>
    <cellStyle name="HeaderGrant 2 2 7 4" xfId="1012" xr:uid="{00000000-0005-0000-0000-000080030000}"/>
    <cellStyle name="HeaderGrant 2 2 7 5" xfId="1013" xr:uid="{00000000-0005-0000-0000-000081030000}"/>
    <cellStyle name="HeaderGrant 2 2 8" xfId="1014" xr:uid="{00000000-0005-0000-0000-000082030000}"/>
    <cellStyle name="HeaderGrant 2 2 8 2" xfId="1015" xr:uid="{00000000-0005-0000-0000-000083030000}"/>
    <cellStyle name="HeaderGrant 2 2 8 3" xfId="1016" xr:uid="{00000000-0005-0000-0000-000084030000}"/>
    <cellStyle name="HeaderGrant 2 2 8 4" xfId="1017" xr:uid="{00000000-0005-0000-0000-000085030000}"/>
    <cellStyle name="HeaderGrant 2 2 8 5" xfId="1018" xr:uid="{00000000-0005-0000-0000-000086030000}"/>
    <cellStyle name="HeaderGrant 2 2 9" xfId="1019" xr:uid="{00000000-0005-0000-0000-000087030000}"/>
    <cellStyle name="HeaderGrant 2 2 9 2" xfId="1020" xr:uid="{00000000-0005-0000-0000-000088030000}"/>
    <cellStyle name="HeaderGrant 2 2 9 3" xfId="1021" xr:uid="{00000000-0005-0000-0000-000089030000}"/>
    <cellStyle name="HeaderGrant 2 2 9 4" xfId="1022" xr:uid="{00000000-0005-0000-0000-00008A030000}"/>
    <cellStyle name="HeaderGrant 2 2 9 5" xfId="1023" xr:uid="{00000000-0005-0000-0000-00008B030000}"/>
    <cellStyle name="HeaderGrant 2 3" xfId="1024" xr:uid="{00000000-0005-0000-0000-00008C030000}"/>
    <cellStyle name="HeaderGrant 2 3 10" xfId="1025" xr:uid="{00000000-0005-0000-0000-00008D030000}"/>
    <cellStyle name="HeaderGrant 2 3 10 2" xfId="1026" xr:uid="{00000000-0005-0000-0000-00008E030000}"/>
    <cellStyle name="HeaderGrant 2 3 10 3" xfId="1027" xr:uid="{00000000-0005-0000-0000-00008F030000}"/>
    <cellStyle name="HeaderGrant 2 3 10 4" xfId="1028" xr:uid="{00000000-0005-0000-0000-000090030000}"/>
    <cellStyle name="HeaderGrant 2 3 10 5" xfId="1029" xr:uid="{00000000-0005-0000-0000-000091030000}"/>
    <cellStyle name="HeaderGrant 2 3 11" xfId="1030" xr:uid="{00000000-0005-0000-0000-000092030000}"/>
    <cellStyle name="HeaderGrant 2 3 11 2" xfId="1031" xr:uid="{00000000-0005-0000-0000-000093030000}"/>
    <cellStyle name="HeaderGrant 2 3 11 3" xfId="1032" xr:uid="{00000000-0005-0000-0000-000094030000}"/>
    <cellStyle name="HeaderGrant 2 3 11 4" xfId="1033" xr:uid="{00000000-0005-0000-0000-000095030000}"/>
    <cellStyle name="HeaderGrant 2 3 12" xfId="1034" xr:uid="{00000000-0005-0000-0000-000096030000}"/>
    <cellStyle name="HeaderGrant 2 3 12 2" xfId="1035" xr:uid="{00000000-0005-0000-0000-000097030000}"/>
    <cellStyle name="HeaderGrant 2 3 12 3" xfId="1036" xr:uid="{00000000-0005-0000-0000-000098030000}"/>
    <cellStyle name="HeaderGrant 2 3 12 4" xfId="1037" xr:uid="{00000000-0005-0000-0000-000099030000}"/>
    <cellStyle name="HeaderGrant 2 3 13" xfId="1038" xr:uid="{00000000-0005-0000-0000-00009A030000}"/>
    <cellStyle name="HeaderGrant 2 3 13 2" xfId="1039" xr:uid="{00000000-0005-0000-0000-00009B030000}"/>
    <cellStyle name="HeaderGrant 2 3 13 3" xfId="1040" xr:uid="{00000000-0005-0000-0000-00009C030000}"/>
    <cellStyle name="HeaderGrant 2 3 13 4" xfId="1041" xr:uid="{00000000-0005-0000-0000-00009D030000}"/>
    <cellStyle name="HeaderGrant 2 3 14" xfId="1042" xr:uid="{00000000-0005-0000-0000-00009E030000}"/>
    <cellStyle name="HeaderGrant 2 3 2" xfId="1043" xr:uid="{00000000-0005-0000-0000-00009F030000}"/>
    <cellStyle name="HeaderGrant 2 3 2 2" xfId="1044" xr:uid="{00000000-0005-0000-0000-0000A0030000}"/>
    <cellStyle name="HeaderGrant 2 3 2 3" xfId="1045" xr:uid="{00000000-0005-0000-0000-0000A1030000}"/>
    <cellStyle name="HeaderGrant 2 3 2 4" xfId="1046" xr:uid="{00000000-0005-0000-0000-0000A2030000}"/>
    <cellStyle name="HeaderGrant 2 3 2 5" xfId="1047" xr:uid="{00000000-0005-0000-0000-0000A3030000}"/>
    <cellStyle name="HeaderGrant 2 3 3" xfId="1048" xr:uid="{00000000-0005-0000-0000-0000A4030000}"/>
    <cellStyle name="HeaderGrant 2 3 3 2" xfId="1049" xr:uid="{00000000-0005-0000-0000-0000A5030000}"/>
    <cellStyle name="HeaderGrant 2 3 3 3" xfId="1050" xr:uid="{00000000-0005-0000-0000-0000A6030000}"/>
    <cellStyle name="HeaderGrant 2 3 3 4" xfId="1051" xr:uid="{00000000-0005-0000-0000-0000A7030000}"/>
    <cellStyle name="HeaderGrant 2 3 3 5" xfId="1052" xr:uid="{00000000-0005-0000-0000-0000A8030000}"/>
    <cellStyle name="HeaderGrant 2 3 4" xfId="1053" xr:uid="{00000000-0005-0000-0000-0000A9030000}"/>
    <cellStyle name="HeaderGrant 2 3 4 2" xfId="1054" xr:uid="{00000000-0005-0000-0000-0000AA030000}"/>
    <cellStyle name="HeaderGrant 2 3 4 3" xfId="1055" xr:uid="{00000000-0005-0000-0000-0000AB030000}"/>
    <cellStyle name="HeaderGrant 2 3 4 4" xfId="1056" xr:uid="{00000000-0005-0000-0000-0000AC030000}"/>
    <cellStyle name="HeaderGrant 2 3 4 5" xfId="1057" xr:uid="{00000000-0005-0000-0000-0000AD030000}"/>
    <cellStyle name="HeaderGrant 2 3 5" xfId="1058" xr:uid="{00000000-0005-0000-0000-0000AE030000}"/>
    <cellStyle name="HeaderGrant 2 3 5 2" xfId="1059" xr:uid="{00000000-0005-0000-0000-0000AF030000}"/>
    <cellStyle name="HeaderGrant 2 3 5 3" xfId="1060" xr:uid="{00000000-0005-0000-0000-0000B0030000}"/>
    <cellStyle name="HeaderGrant 2 3 5 4" xfId="1061" xr:uid="{00000000-0005-0000-0000-0000B1030000}"/>
    <cellStyle name="HeaderGrant 2 3 5 5" xfId="1062" xr:uid="{00000000-0005-0000-0000-0000B2030000}"/>
    <cellStyle name="HeaderGrant 2 3 6" xfId="1063" xr:uid="{00000000-0005-0000-0000-0000B3030000}"/>
    <cellStyle name="HeaderGrant 2 3 6 2" xfId="1064" xr:uid="{00000000-0005-0000-0000-0000B4030000}"/>
    <cellStyle name="HeaderGrant 2 3 6 3" xfId="1065" xr:uid="{00000000-0005-0000-0000-0000B5030000}"/>
    <cellStyle name="HeaderGrant 2 3 6 4" xfId="1066" xr:uid="{00000000-0005-0000-0000-0000B6030000}"/>
    <cellStyle name="HeaderGrant 2 3 6 5" xfId="1067" xr:uid="{00000000-0005-0000-0000-0000B7030000}"/>
    <cellStyle name="HeaderGrant 2 3 7" xfId="1068" xr:uid="{00000000-0005-0000-0000-0000B8030000}"/>
    <cellStyle name="HeaderGrant 2 3 7 2" xfId="1069" xr:uid="{00000000-0005-0000-0000-0000B9030000}"/>
    <cellStyle name="HeaderGrant 2 3 7 3" xfId="1070" xr:uid="{00000000-0005-0000-0000-0000BA030000}"/>
    <cellStyle name="HeaderGrant 2 3 7 4" xfId="1071" xr:uid="{00000000-0005-0000-0000-0000BB030000}"/>
    <cellStyle name="HeaderGrant 2 3 7 5" xfId="1072" xr:uid="{00000000-0005-0000-0000-0000BC030000}"/>
    <cellStyle name="HeaderGrant 2 3 8" xfId="1073" xr:uid="{00000000-0005-0000-0000-0000BD030000}"/>
    <cellStyle name="HeaderGrant 2 3 8 2" xfId="1074" xr:uid="{00000000-0005-0000-0000-0000BE030000}"/>
    <cellStyle name="HeaderGrant 2 3 8 3" xfId="1075" xr:uid="{00000000-0005-0000-0000-0000BF030000}"/>
    <cellStyle name="HeaderGrant 2 3 8 4" xfId="1076" xr:uid="{00000000-0005-0000-0000-0000C0030000}"/>
    <cellStyle name="HeaderGrant 2 3 8 5" xfId="1077" xr:uid="{00000000-0005-0000-0000-0000C1030000}"/>
    <cellStyle name="HeaderGrant 2 3 9" xfId="1078" xr:uid="{00000000-0005-0000-0000-0000C2030000}"/>
    <cellStyle name="HeaderGrant 2 3 9 2" xfId="1079" xr:uid="{00000000-0005-0000-0000-0000C3030000}"/>
    <cellStyle name="HeaderGrant 2 3 9 3" xfId="1080" xr:uid="{00000000-0005-0000-0000-0000C4030000}"/>
    <cellStyle name="HeaderGrant 2 3 9 4" xfId="1081" xr:uid="{00000000-0005-0000-0000-0000C5030000}"/>
    <cellStyle name="HeaderGrant 2 3 9 5" xfId="1082" xr:uid="{00000000-0005-0000-0000-0000C6030000}"/>
    <cellStyle name="HeaderGrant 2 4" xfId="1083" xr:uid="{00000000-0005-0000-0000-0000C7030000}"/>
    <cellStyle name="HeaderGrant 2 4 10" xfId="1084" xr:uid="{00000000-0005-0000-0000-0000C8030000}"/>
    <cellStyle name="HeaderGrant 2 4 10 2" xfId="1085" xr:uid="{00000000-0005-0000-0000-0000C9030000}"/>
    <cellStyle name="HeaderGrant 2 4 10 3" xfId="1086" xr:uid="{00000000-0005-0000-0000-0000CA030000}"/>
    <cellStyle name="HeaderGrant 2 4 10 4" xfId="1087" xr:uid="{00000000-0005-0000-0000-0000CB030000}"/>
    <cellStyle name="HeaderGrant 2 4 10 5" xfId="1088" xr:uid="{00000000-0005-0000-0000-0000CC030000}"/>
    <cellStyle name="HeaderGrant 2 4 11" xfId="1089" xr:uid="{00000000-0005-0000-0000-0000CD030000}"/>
    <cellStyle name="HeaderGrant 2 4 11 2" xfId="1090" xr:uid="{00000000-0005-0000-0000-0000CE030000}"/>
    <cellStyle name="HeaderGrant 2 4 11 3" xfId="1091" xr:uid="{00000000-0005-0000-0000-0000CF030000}"/>
    <cellStyle name="HeaderGrant 2 4 11 4" xfId="1092" xr:uid="{00000000-0005-0000-0000-0000D0030000}"/>
    <cellStyle name="HeaderGrant 2 4 11 5" xfId="1093" xr:uid="{00000000-0005-0000-0000-0000D1030000}"/>
    <cellStyle name="HeaderGrant 2 4 12" xfId="1094" xr:uid="{00000000-0005-0000-0000-0000D2030000}"/>
    <cellStyle name="HeaderGrant 2 4 12 2" xfId="1095" xr:uid="{00000000-0005-0000-0000-0000D3030000}"/>
    <cellStyle name="HeaderGrant 2 4 12 3" xfId="1096" xr:uid="{00000000-0005-0000-0000-0000D4030000}"/>
    <cellStyle name="HeaderGrant 2 4 12 4" xfId="1097" xr:uid="{00000000-0005-0000-0000-0000D5030000}"/>
    <cellStyle name="HeaderGrant 2 4 12 5" xfId="1098" xr:uid="{00000000-0005-0000-0000-0000D6030000}"/>
    <cellStyle name="HeaderGrant 2 4 13" xfId="1099" xr:uid="{00000000-0005-0000-0000-0000D7030000}"/>
    <cellStyle name="HeaderGrant 2 4 13 2" xfId="1100" xr:uid="{00000000-0005-0000-0000-0000D8030000}"/>
    <cellStyle name="HeaderGrant 2 4 13 3" xfId="1101" xr:uid="{00000000-0005-0000-0000-0000D9030000}"/>
    <cellStyle name="HeaderGrant 2 4 13 4" xfId="1102" xr:uid="{00000000-0005-0000-0000-0000DA030000}"/>
    <cellStyle name="HeaderGrant 2 4 13 5" xfId="1103" xr:uid="{00000000-0005-0000-0000-0000DB030000}"/>
    <cellStyle name="HeaderGrant 2 4 14" xfId="1104" xr:uid="{00000000-0005-0000-0000-0000DC030000}"/>
    <cellStyle name="HeaderGrant 2 4 14 2" xfId="1105" xr:uid="{00000000-0005-0000-0000-0000DD030000}"/>
    <cellStyle name="HeaderGrant 2 4 14 3" xfId="1106" xr:uid="{00000000-0005-0000-0000-0000DE030000}"/>
    <cellStyle name="HeaderGrant 2 4 14 4" xfId="1107" xr:uid="{00000000-0005-0000-0000-0000DF030000}"/>
    <cellStyle name="HeaderGrant 2 4 14 5" xfId="1108" xr:uid="{00000000-0005-0000-0000-0000E0030000}"/>
    <cellStyle name="HeaderGrant 2 4 15" xfId="1109" xr:uid="{00000000-0005-0000-0000-0000E1030000}"/>
    <cellStyle name="HeaderGrant 2 4 15 2" xfId="1110" xr:uid="{00000000-0005-0000-0000-0000E2030000}"/>
    <cellStyle name="HeaderGrant 2 4 15 3" xfId="1111" xr:uid="{00000000-0005-0000-0000-0000E3030000}"/>
    <cellStyle name="HeaderGrant 2 4 15 4" xfId="1112" xr:uid="{00000000-0005-0000-0000-0000E4030000}"/>
    <cellStyle name="HeaderGrant 2 4 15 5" xfId="1113" xr:uid="{00000000-0005-0000-0000-0000E5030000}"/>
    <cellStyle name="HeaderGrant 2 4 16" xfId="1114" xr:uid="{00000000-0005-0000-0000-0000E6030000}"/>
    <cellStyle name="HeaderGrant 2 4 16 2" xfId="1115" xr:uid="{00000000-0005-0000-0000-0000E7030000}"/>
    <cellStyle name="HeaderGrant 2 4 16 3" xfId="1116" xr:uid="{00000000-0005-0000-0000-0000E8030000}"/>
    <cellStyle name="HeaderGrant 2 4 16 4" xfId="1117" xr:uid="{00000000-0005-0000-0000-0000E9030000}"/>
    <cellStyle name="HeaderGrant 2 4 16 5" xfId="1118" xr:uid="{00000000-0005-0000-0000-0000EA030000}"/>
    <cellStyle name="HeaderGrant 2 4 17" xfId="1119" xr:uid="{00000000-0005-0000-0000-0000EB030000}"/>
    <cellStyle name="HeaderGrant 2 4 17 2" xfId="1120" xr:uid="{00000000-0005-0000-0000-0000EC030000}"/>
    <cellStyle name="HeaderGrant 2 4 17 3" xfId="1121" xr:uid="{00000000-0005-0000-0000-0000ED030000}"/>
    <cellStyle name="HeaderGrant 2 4 17 4" xfId="1122" xr:uid="{00000000-0005-0000-0000-0000EE030000}"/>
    <cellStyle name="HeaderGrant 2 4 17 5" xfId="1123" xr:uid="{00000000-0005-0000-0000-0000EF030000}"/>
    <cellStyle name="HeaderGrant 2 4 18" xfId="1124" xr:uid="{00000000-0005-0000-0000-0000F0030000}"/>
    <cellStyle name="HeaderGrant 2 4 18 2" xfId="1125" xr:uid="{00000000-0005-0000-0000-0000F1030000}"/>
    <cellStyle name="HeaderGrant 2 4 18 3" xfId="1126" xr:uid="{00000000-0005-0000-0000-0000F2030000}"/>
    <cellStyle name="HeaderGrant 2 4 18 4" xfId="1127" xr:uid="{00000000-0005-0000-0000-0000F3030000}"/>
    <cellStyle name="HeaderGrant 2 4 18 5" xfId="1128" xr:uid="{00000000-0005-0000-0000-0000F4030000}"/>
    <cellStyle name="HeaderGrant 2 4 19" xfId="1129" xr:uid="{00000000-0005-0000-0000-0000F5030000}"/>
    <cellStyle name="HeaderGrant 2 4 19 2" xfId="1130" xr:uid="{00000000-0005-0000-0000-0000F6030000}"/>
    <cellStyle name="HeaderGrant 2 4 19 3" xfId="1131" xr:uid="{00000000-0005-0000-0000-0000F7030000}"/>
    <cellStyle name="HeaderGrant 2 4 19 4" xfId="1132" xr:uid="{00000000-0005-0000-0000-0000F8030000}"/>
    <cellStyle name="HeaderGrant 2 4 19 5" xfId="1133" xr:uid="{00000000-0005-0000-0000-0000F9030000}"/>
    <cellStyle name="HeaderGrant 2 4 2" xfId="1134" xr:uid="{00000000-0005-0000-0000-0000FA030000}"/>
    <cellStyle name="HeaderGrant 2 4 2 2" xfId="1135" xr:uid="{00000000-0005-0000-0000-0000FB030000}"/>
    <cellStyle name="HeaderGrant 2 4 2 3" xfId="1136" xr:uid="{00000000-0005-0000-0000-0000FC030000}"/>
    <cellStyle name="HeaderGrant 2 4 2 4" xfId="1137" xr:uid="{00000000-0005-0000-0000-0000FD030000}"/>
    <cellStyle name="HeaderGrant 2 4 2 5" xfId="1138" xr:uid="{00000000-0005-0000-0000-0000FE030000}"/>
    <cellStyle name="HeaderGrant 2 4 20" xfId="1139" xr:uid="{00000000-0005-0000-0000-0000FF030000}"/>
    <cellStyle name="HeaderGrant 2 4 20 2" xfId="1140" xr:uid="{00000000-0005-0000-0000-000000040000}"/>
    <cellStyle name="HeaderGrant 2 4 20 3" xfId="1141" xr:uid="{00000000-0005-0000-0000-000001040000}"/>
    <cellStyle name="HeaderGrant 2 4 20 4" xfId="1142" xr:uid="{00000000-0005-0000-0000-000002040000}"/>
    <cellStyle name="HeaderGrant 2 4 20 5" xfId="1143" xr:uid="{00000000-0005-0000-0000-000003040000}"/>
    <cellStyle name="HeaderGrant 2 4 21" xfId="1144" xr:uid="{00000000-0005-0000-0000-000004040000}"/>
    <cellStyle name="HeaderGrant 2 4 21 2" xfId="1145" xr:uid="{00000000-0005-0000-0000-000005040000}"/>
    <cellStyle name="HeaderGrant 2 4 21 3" xfId="1146" xr:uid="{00000000-0005-0000-0000-000006040000}"/>
    <cellStyle name="HeaderGrant 2 4 21 4" xfId="1147" xr:uid="{00000000-0005-0000-0000-000007040000}"/>
    <cellStyle name="HeaderGrant 2 4 21 5" xfId="1148" xr:uid="{00000000-0005-0000-0000-000008040000}"/>
    <cellStyle name="HeaderGrant 2 4 22" xfId="1149" xr:uid="{00000000-0005-0000-0000-000009040000}"/>
    <cellStyle name="HeaderGrant 2 4 22 2" xfId="1150" xr:uid="{00000000-0005-0000-0000-00000A040000}"/>
    <cellStyle name="HeaderGrant 2 4 22 3" xfId="1151" xr:uid="{00000000-0005-0000-0000-00000B040000}"/>
    <cellStyle name="HeaderGrant 2 4 22 4" xfId="1152" xr:uid="{00000000-0005-0000-0000-00000C040000}"/>
    <cellStyle name="HeaderGrant 2 4 23" xfId="1153" xr:uid="{00000000-0005-0000-0000-00000D040000}"/>
    <cellStyle name="HeaderGrant 2 4 23 2" xfId="1154" xr:uid="{00000000-0005-0000-0000-00000E040000}"/>
    <cellStyle name="HeaderGrant 2 4 23 3" xfId="1155" xr:uid="{00000000-0005-0000-0000-00000F040000}"/>
    <cellStyle name="HeaderGrant 2 4 23 4" xfId="1156" xr:uid="{00000000-0005-0000-0000-000010040000}"/>
    <cellStyle name="HeaderGrant 2 4 24" xfId="1157" xr:uid="{00000000-0005-0000-0000-000011040000}"/>
    <cellStyle name="HeaderGrant 2 4 24 2" xfId="1158" xr:uid="{00000000-0005-0000-0000-000012040000}"/>
    <cellStyle name="HeaderGrant 2 4 24 3" xfId="1159" xr:uid="{00000000-0005-0000-0000-000013040000}"/>
    <cellStyle name="HeaderGrant 2 4 24 4" xfId="1160" xr:uid="{00000000-0005-0000-0000-000014040000}"/>
    <cellStyle name="HeaderGrant 2 4 25" xfId="1161" xr:uid="{00000000-0005-0000-0000-000015040000}"/>
    <cellStyle name="HeaderGrant 2 4 25 2" xfId="1162" xr:uid="{00000000-0005-0000-0000-000016040000}"/>
    <cellStyle name="HeaderGrant 2 4 25 3" xfId="1163" xr:uid="{00000000-0005-0000-0000-000017040000}"/>
    <cellStyle name="HeaderGrant 2 4 25 4" xfId="1164" xr:uid="{00000000-0005-0000-0000-000018040000}"/>
    <cellStyle name="HeaderGrant 2 4 3" xfId="1165" xr:uid="{00000000-0005-0000-0000-000019040000}"/>
    <cellStyle name="HeaderGrant 2 4 3 2" xfId="1166" xr:uid="{00000000-0005-0000-0000-00001A040000}"/>
    <cellStyle name="HeaderGrant 2 4 3 3" xfId="1167" xr:uid="{00000000-0005-0000-0000-00001B040000}"/>
    <cellStyle name="HeaderGrant 2 4 3 4" xfId="1168" xr:uid="{00000000-0005-0000-0000-00001C040000}"/>
    <cellStyle name="HeaderGrant 2 4 3 5" xfId="1169" xr:uid="{00000000-0005-0000-0000-00001D040000}"/>
    <cellStyle name="HeaderGrant 2 4 4" xfId="1170" xr:uid="{00000000-0005-0000-0000-00001E040000}"/>
    <cellStyle name="HeaderGrant 2 4 4 2" xfId="1171" xr:uid="{00000000-0005-0000-0000-00001F040000}"/>
    <cellStyle name="HeaderGrant 2 4 4 3" xfId="1172" xr:uid="{00000000-0005-0000-0000-000020040000}"/>
    <cellStyle name="HeaderGrant 2 4 4 4" xfId="1173" xr:uid="{00000000-0005-0000-0000-000021040000}"/>
    <cellStyle name="HeaderGrant 2 4 4 5" xfId="1174" xr:uid="{00000000-0005-0000-0000-000022040000}"/>
    <cellStyle name="HeaderGrant 2 4 5" xfId="1175" xr:uid="{00000000-0005-0000-0000-000023040000}"/>
    <cellStyle name="HeaderGrant 2 4 5 2" xfId="1176" xr:uid="{00000000-0005-0000-0000-000024040000}"/>
    <cellStyle name="HeaderGrant 2 4 5 3" xfId="1177" xr:uid="{00000000-0005-0000-0000-000025040000}"/>
    <cellStyle name="HeaderGrant 2 4 5 4" xfId="1178" xr:uid="{00000000-0005-0000-0000-000026040000}"/>
    <cellStyle name="HeaderGrant 2 4 5 5" xfId="1179" xr:uid="{00000000-0005-0000-0000-000027040000}"/>
    <cellStyle name="HeaderGrant 2 4 6" xfId="1180" xr:uid="{00000000-0005-0000-0000-000028040000}"/>
    <cellStyle name="HeaderGrant 2 4 6 2" xfId="1181" xr:uid="{00000000-0005-0000-0000-000029040000}"/>
    <cellStyle name="HeaderGrant 2 4 6 3" xfId="1182" xr:uid="{00000000-0005-0000-0000-00002A040000}"/>
    <cellStyle name="HeaderGrant 2 4 6 4" xfId="1183" xr:uid="{00000000-0005-0000-0000-00002B040000}"/>
    <cellStyle name="HeaderGrant 2 4 6 5" xfId="1184" xr:uid="{00000000-0005-0000-0000-00002C040000}"/>
    <cellStyle name="HeaderGrant 2 4 7" xfId="1185" xr:uid="{00000000-0005-0000-0000-00002D040000}"/>
    <cellStyle name="HeaderGrant 2 4 7 2" xfId="1186" xr:uid="{00000000-0005-0000-0000-00002E040000}"/>
    <cellStyle name="HeaderGrant 2 4 7 3" xfId="1187" xr:uid="{00000000-0005-0000-0000-00002F040000}"/>
    <cellStyle name="HeaderGrant 2 4 7 4" xfId="1188" xr:uid="{00000000-0005-0000-0000-000030040000}"/>
    <cellStyle name="HeaderGrant 2 4 7 5" xfId="1189" xr:uid="{00000000-0005-0000-0000-000031040000}"/>
    <cellStyle name="HeaderGrant 2 4 8" xfId="1190" xr:uid="{00000000-0005-0000-0000-000032040000}"/>
    <cellStyle name="HeaderGrant 2 4 8 2" xfId="1191" xr:uid="{00000000-0005-0000-0000-000033040000}"/>
    <cellStyle name="HeaderGrant 2 4 8 3" xfId="1192" xr:uid="{00000000-0005-0000-0000-000034040000}"/>
    <cellStyle name="HeaderGrant 2 4 8 4" xfId="1193" xr:uid="{00000000-0005-0000-0000-000035040000}"/>
    <cellStyle name="HeaderGrant 2 4 8 5" xfId="1194" xr:uid="{00000000-0005-0000-0000-000036040000}"/>
    <cellStyle name="HeaderGrant 2 4 9" xfId="1195" xr:uid="{00000000-0005-0000-0000-000037040000}"/>
    <cellStyle name="HeaderGrant 2 4 9 2" xfId="1196" xr:uid="{00000000-0005-0000-0000-000038040000}"/>
    <cellStyle name="HeaderGrant 2 4 9 3" xfId="1197" xr:uid="{00000000-0005-0000-0000-000039040000}"/>
    <cellStyle name="HeaderGrant 2 4 9 4" xfId="1198" xr:uid="{00000000-0005-0000-0000-00003A040000}"/>
    <cellStyle name="HeaderGrant 2 4 9 5" xfId="1199" xr:uid="{00000000-0005-0000-0000-00003B040000}"/>
    <cellStyle name="HeaderGrant 2 5" xfId="1200" xr:uid="{00000000-0005-0000-0000-00003C040000}"/>
    <cellStyle name="HeaderGrant 2 5 2" xfId="1201" xr:uid="{00000000-0005-0000-0000-00003D040000}"/>
    <cellStyle name="HeaderGrant 2 5 3" xfId="1202" xr:uid="{00000000-0005-0000-0000-00003E040000}"/>
    <cellStyle name="HeaderGrant 2 5 4" xfId="1203" xr:uid="{00000000-0005-0000-0000-00003F040000}"/>
    <cellStyle name="HeaderGrant 2 5 5" xfId="1204" xr:uid="{00000000-0005-0000-0000-000040040000}"/>
    <cellStyle name="HeaderGrant 2 6" xfId="1205" xr:uid="{00000000-0005-0000-0000-000041040000}"/>
    <cellStyle name="HeaderGrant 2 6 2" xfId="1206" xr:uid="{00000000-0005-0000-0000-000042040000}"/>
    <cellStyle name="HeaderGrant 2 6 3" xfId="1207" xr:uid="{00000000-0005-0000-0000-000043040000}"/>
    <cellStyle name="HeaderGrant 2 6 4" xfId="1208" xr:uid="{00000000-0005-0000-0000-000044040000}"/>
    <cellStyle name="HeaderGrant 2 6 5" xfId="1209" xr:uid="{00000000-0005-0000-0000-000045040000}"/>
    <cellStyle name="HeaderGrant 2 7" xfId="1210" xr:uid="{00000000-0005-0000-0000-000046040000}"/>
    <cellStyle name="HeaderGrant 2 7 2" xfId="1211" xr:uid="{00000000-0005-0000-0000-000047040000}"/>
    <cellStyle name="HeaderGrant 2 7 3" xfId="1212" xr:uid="{00000000-0005-0000-0000-000048040000}"/>
    <cellStyle name="HeaderGrant 2 7 4" xfId="1213" xr:uid="{00000000-0005-0000-0000-000049040000}"/>
    <cellStyle name="HeaderGrant 2 7 5" xfId="1214" xr:uid="{00000000-0005-0000-0000-00004A040000}"/>
    <cellStyle name="HeaderGrant 2 8" xfId="1215" xr:uid="{00000000-0005-0000-0000-00004B040000}"/>
    <cellStyle name="HeaderGrant 2 8 2" xfId="1216" xr:uid="{00000000-0005-0000-0000-00004C040000}"/>
    <cellStyle name="HeaderGrant 2 8 3" xfId="1217" xr:uid="{00000000-0005-0000-0000-00004D040000}"/>
    <cellStyle name="HeaderGrant 2 8 4" xfId="1218" xr:uid="{00000000-0005-0000-0000-00004E040000}"/>
    <cellStyle name="HeaderGrant 2 8 5" xfId="1219" xr:uid="{00000000-0005-0000-0000-00004F040000}"/>
    <cellStyle name="HeaderGrant 2 9" xfId="1220" xr:uid="{00000000-0005-0000-0000-000050040000}"/>
    <cellStyle name="HeaderGrant 2 9 2" xfId="1221" xr:uid="{00000000-0005-0000-0000-000051040000}"/>
    <cellStyle name="HeaderGrant 2 9 3" xfId="1222" xr:uid="{00000000-0005-0000-0000-000052040000}"/>
    <cellStyle name="HeaderGrant 2 9 4" xfId="1223" xr:uid="{00000000-0005-0000-0000-000053040000}"/>
    <cellStyle name="HeaderGrant 2 9 5" xfId="1224" xr:uid="{00000000-0005-0000-0000-000054040000}"/>
    <cellStyle name="HeaderGrant 3" xfId="1225" xr:uid="{00000000-0005-0000-0000-000055040000}"/>
    <cellStyle name="HeaderGrant 3 10" xfId="1226" xr:uid="{00000000-0005-0000-0000-000056040000}"/>
    <cellStyle name="HeaderGrant 3 10 2" xfId="1227" xr:uid="{00000000-0005-0000-0000-000057040000}"/>
    <cellStyle name="HeaderGrant 3 10 3" xfId="1228" xr:uid="{00000000-0005-0000-0000-000058040000}"/>
    <cellStyle name="HeaderGrant 3 10 4" xfId="1229" xr:uid="{00000000-0005-0000-0000-000059040000}"/>
    <cellStyle name="HeaderGrant 3 10 5" xfId="1230" xr:uid="{00000000-0005-0000-0000-00005A040000}"/>
    <cellStyle name="HeaderGrant 3 11" xfId="1231" xr:uid="{00000000-0005-0000-0000-00005B040000}"/>
    <cellStyle name="HeaderGrant 3 11 2" xfId="1232" xr:uid="{00000000-0005-0000-0000-00005C040000}"/>
    <cellStyle name="HeaderGrant 3 11 3" xfId="1233" xr:uid="{00000000-0005-0000-0000-00005D040000}"/>
    <cellStyle name="HeaderGrant 3 11 4" xfId="1234" xr:uid="{00000000-0005-0000-0000-00005E040000}"/>
    <cellStyle name="HeaderGrant 3 12" xfId="1235" xr:uid="{00000000-0005-0000-0000-00005F040000}"/>
    <cellStyle name="HeaderGrant 3 12 2" xfId="1236" xr:uid="{00000000-0005-0000-0000-000060040000}"/>
    <cellStyle name="HeaderGrant 3 12 3" xfId="1237" xr:uid="{00000000-0005-0000-0000-000061040000}"/>
    <cellStyle name="HeaderGrant 3 12 4" xfId="1238" xr:uid="{00000000-0005-0000-0000-000062040000}"/>
    <cellStyle name="HeaderGrant 3 13" xfId="1239" xr:uid="{00000000-0005-0000-0000-000063040000}"/>
    <cellStyle name="HeaderGrant 3 13 2" xfId="1240" xr:uid="{00000000-0005-0000-0000-000064040000}"/>
    <cellStyle name="HeaderGrant 3 13 3" xfId="1241" xr:uid="{00000000-0005-0000-0000-000065040000}"/>
    <cellStyle name="HeaderGrant 3 13 4" xfId="1242" xr:uid="{00000000-0005-0000-0000-000066040000}"/>
    <cellStyle name="HeaderGrant 3 14" xfId="1243" xr:uid="{00000000-0005-0000-0000-000067040000}"/>
    <cellStyle name="HeaderGrant 3 2" xfId="1244" xr:uid="{00000000-0005-0000-0000-000068040000}"/>
    <cellStyle name="HeaderGrant 3 2 2" xfId="1245" xr:uid="{00000000-0005-0000-0000-000069040000}"/>
    <cellStyle name="HeaderGrant 3 2 3" xfId="1246" xr:uid="{00000000-0005-0000-0000-00006A040000}"/>
    <cellStyle name="HeaderGrant 3 2 4" xfId="1247" xr:uid="{00000000-0005-0000-0000-00006B040000}"/>
    <cellStyle name="HeaderGrant 3 2 5" xfId="1248" xr:uid="{00000000-0005-0000-0000-00006C040000}"/>
    <cellStyle name="HeaderGrant 3 3" xfId="1249" xr:uid="{00000000-0005-0000-0000-00006D040000}"/>
    <cellStyle name="HeaderGrant 3 3 2" xfId="1250" xr:uid="{00000000-0005-0000-0000-00006E040000}"/>
    <cellStyle name="HeaderGrant 3 3 3" xfId="1251" xr:uid="{00000000-0005-0000-0000-00006F040000}"/>
    <cellStyle name="HeaderGrant 3 3 4" xfId="1252" xr:uid="{00000000-0005-0000-0000-000070040000}"/>
    <cellStyle name="HeaderGrant 3 3 5" xfId="1253" xr:uid="{00000000-0005-0000-0000-000071040000}"/>
    <cellStyle name="HeaderGrant 3 4" xfId="1254" xr:uid="{00000000-0005-0000-0000-000072040000}"/>
    <cellStyle name="HeaderGrant 3 4 2" xfId="1255" xr:uid="{00000000-0005-0000-0000-000073040000}"/>
    <cellStyle name="HeaderGrant 3 4 3" xfId="1256" xr:uid="{00000000-0005-0000-0000-000074040000}"/>
    <cellStyle name="HeaderGrant 3 4 4" xfId="1257" xr:uid="{00000000-0005-0000-0000-000075040000}"/>
    <cellStyle name="HeaderGrant 3 4 5" xfId="1258" xr:uid="{00000000-0005-0000-0000-000076040000}"/>
    <cellStyle name="HeaderGrant 3 5" xfId="1259" xr:uid="{00000000-0005-0000-0000-000077040000}"/>
    <cellStyle name="HeaderGrant 3 5 2" xfId="1260" xr:uid="{00000000-0005-0000-0000-000078040000}"/>
    <cellStyle name="HeaderGrant 3 5 3" xfId="1261" xr:uid="{00000000-0005-0000-0000-000079040000}"/>
    <cellStyle name="HeaderGrant 3 5 4" xfId="1262" xr:uid="{00000000-0005-0000-0000-00007A040000}"/>
    <cellStyle name="HeaderGrant 3 5 5" xfId="1263" xr:uid="{00000000-0005-0000-0000-00007B040000}"/>
    <cellStyle name="HeaderGrant 3 6" xfId="1264" xr:uid="{00000000-0005-0000-0000-00007C040000}"/>
    <cellStyle name="HeaderGrant 3 6 2" xfId="1265" xr:uid="{00000000-0005-0000-0000-00007D040000}"/>
    <cellStyle name="HeaderGrant 3 6 3" xfId="1266" xr:uid="{00000000-0005-0000-0000-00007E040000}"/>
    <cellStyle name="HeaderGrant 3 6 4" xfId="1267" xr:uid="{00000000-0005-0000-0000-00007F040000}"/>
    <cellStyle name="HeaderGrant 3 6 5" xfId="1268" xr:uid="{00000000-0005-0000-0000-000080040000}"/>
    <cellStyle name="HeaderGrant 3 7" xfId="1269" xr:uid="{00000000-0005-0000-0000-000081040000}"/>
    <cellStyle name="HeaderGrant 3 7 2" xfId="1270" xr:uid="{00000000-0005-0000-0000-000082040000}"/>
    <cellStyle name="HeaderGrant 3 7 3" xfId="1271" xr:uid="{00000000-0005-0000-0000-000083040000}"/>
    <cellStyle name="HeaderGrant 3 7 4" xfId="1272" xr:uid="{00000000-0005-0000-0000-000084040000}"/>
    <cellStyle name="HeaderGrant 3 7 5" xfId="1273" xr:uid="{00000000-0005-0000-0000-000085040000}"/>
    <cellStyle name="HeaderGrant 3 8" xfId="1274" xr:uid="{00000000-0005-0000-0000-000086040000}"/>
    <cellStyle name="HeaderGrant 3 8 2" xfId="1275" xr:uid="{00000000-0005-0000-0000-000087040000}"/>
    <cellStyle name="HeaderGrant 3 8 3" xfId="1276" xr:uid="{00000000-0005-0000-0000-000088040000}"/>
    <cellStyle name="HeaderGrant 3 8 4" xfId="1277" xr:uid="{00000000-0005-0000-0000-000089040000}"/>
    <cellStyle name="HeaderGrant 3 8 5" xfId="1278" xr:uid="{00000000-0005-0000-0000-00008A040000}"/>
    <cellStyle name="HeaderGrant 3 9" xfId="1279" xr:uid="{00000000-0005-0000-0000-00008B040000}"/>
    <cellStyle name="HeaderGrant 3 9 2" xfId="1280" xr:uid="{00000000-0005-0000-0000-00008C040000}"/>
    <cellStyle name="HeaderGrant 3 9 3" xfId="1281" xr:uid="{00000000-0005-0000-0000-00008D040000}"/>
    <cellStyle name="HeaderGrant 3 9 4" xfId="1282" xr:uid="{00000000-0005-0000-0000-00008E040000}"/>
    <cellStyle name="HeaderGrant 3 9 5" xfId="1283" xr:uid="{00000000-0005-0000-0000-00008F040000}"/>
    <cellStyle name="HeaderGrant 4" xfId="1284" xr:uid="{00000000-0005-0000-0000-000090040000}"/>
    <cellStyle name="HeaderGrant 4 10" xfId="1285" xr:uid="{00000000-0005-0000-0000-000091040000}"/>
    <cellStyle name="HeaderGrant 4 10 2" xfId="1286" xr:uid="{00000000-0005-0000-0000-000092040000}"/>
    <cellStyle name="HeaderGrant 4 10 3" xfId="1287" xr:uid="{00000000-0005-0000-0000-000093040000}"/>
    <cellStyle name="HeaderGrant 4 10 4" xfId="1288" xr:uid="{00000000-0005-0000-0000-000094040000}"/>
    <cellStyle name="HeaderGrant 4 10 5" xfId="1289" xr:uid="{00000000-0005-0000-0000-000095040000}"/>
    <cellStyle name="HeaderGrant 4 11" xfId="1290" xr:uid="{00000000-0005-0000-0000-000096040000}"/>
    <cellStyle name="HeaderGrant 4 11 2" xfId="1291" xr:uid="{00000000-0005-0000-0000-000097040000}"/>
    <cellStyle name="HeaderGrant 4 11 3" xfId="1292" xr:uid="{00000000-0005-0000-0000-000098040000}"/>
    <cellStyle name="HeaderGrant 4 11 4" xfId="1293" xr:uid="{00000000-0005-0000-0000-000099040000}"/>
    <cellStyle name="HeaderGrant 4 12" xfId="1294" xr:uid="{00000000-0005-0000-0000-00009A040000}"/>
    <cellStyle name="HeaderGrant 4 12 2" xfId="1295" xr:uid="{00000000-0005-0000-0000-00009B040000}"/>
    <cellStyle name="HeaderGrant 4 12 3" xfId="1296" xr:uid="{00000000-0005-0000-0000-00009C040000}"/>
    <cellStyle name="HeaderGrant 4 12 4" xfId="1297" xr:uid="{00000000-0005-0000-0000-00009D040000}"/>
    <cellStyle name="HeaderGrant 4 13" xfId="1298" xr:uid="{00000000-0005-0000-0000-00009E040000}"/>
    <cellStyle name="HeaderGrant 4 13 2" xfId="1299" xr:uid="{00000000-0005-0000-0000-00009F040000}"/>
    <cellStyle name="HeaderGrant 4 13 3" xfId="1300" xr:uid="{00000000-0005-0000-0000-0000A0040000}"/>
    <cellStyle name="HeaderGrant 4 13 4" xfId="1301" xr:uid="{00000000-0005-0000-0000-0000A1040000}"/>
    <cellStyle name="HeaderGrant 4 14" xfId="1302" xr:uid="{00000000-0005-0000-0000-0000A2040000}"/>
    <cellStyle name="HeaderGrant 4 2" xfId="1303" xr:uid="{00000000-0005-0000-0000-0000A3040000}"/>
    <cellStyle name="HeaderGrant 4 2 2" xfId="1304" xr:uid="{00000000-0005-0000-0000-0000A4040000}"/>
    <cellStyle name="HeaderGrant 4 2 3" xfId="1305" xr:uid="{00000000-0005-0000-0000-0000A5040000}"/>
    <cellStyle name="HeaderGrant 4 2 4" xfId="1306" xr:uid="{00000000-0005-0000-0000-0000A6040000}"/>
    <cellStyle name="HeaderGrant 4 2 5" xfId="1307" xr:uid="{00000000-0005-0000-0000-0000A7040000}"/>
    <cellStyle name="HeaderGrant 4 3" xfId="1308" xr:uid="{00000000-0005-0000-0000-0000A8040000}"/>
    <cellStyle name="HeaderGrant 4 3 2" xfId="1309" xr:uid="{00000000-0005-0000-0000-0000A9040000}"/>
    <cellStyle name="HeaderGrant 4 3 3" xfId="1310" xr:uid="{00000000-0005-0000-0000-0000AA040000}"/>
    <cellStyle name="HeaderGrant 4 3 4" xfId="1311" xr:uid="{00000000-0005-0000-0000-0000AB040000}"/>
    <cellStyle name="HeaderGrant 4 3 5" xfId="1312" xr:uid="{00000000-0005-0000-0000-0000AC040000}"/>
    <cellStyle name="HeaderGrant 4 4" xfId="1313" xr:uid="{00000000-0005-0000-0000-0000AD040000}"/>
    <cellStyle name="HeaderGrant 4 4 2" xfId="1314" xr:uid="{00000000-0005-0000-0000-0000AE040000}"/>
    <cellStyle name="HeaderGrant 4 4 3" xfId="1315" xr:uid="{00000000-0005-0000-0000-0000AF040000}"/>
    <cellStyle name="HeaderGrant 4 4 4" xfId="1316" xr:uid="{00000000-0005-0000-0000-0000B0040000}"/>
    <cellStyle name="HeaderGrant 4 4 5" xfId="1317" xr:uid="{00000000-0005-0000-0000-0000B1040000}"/>
    <cellStyle name="HeaderGrant 4 5" xfId="1318" xr:uid="{00000000-0005-0000-0000-0000B2040000}"/>
    <cellStyle name="HeaderGrant 4 5 2" xfId="1319" xr:uid="{00000000-0005-0000-0000-0000B3040000}"/>
    <cellStyle name="HeaderGrant 4 5 3" xfId="1320" xr:uid="{00000000-0005-0000-0000-0000B4040000}"/>
    <cellStyle name="HeaderGrant 4 5 4" xfId="1321" xr:uid="{00000000-0005-0000-0000-0000B5040000}"/>
    <cellStyle name="HeaderGrant 4 5 5" xfId="1322" xr:uid="{00000000-0005-0000-0000-0000B6040000}"/>
    <cellStyle name="HeaderGrant 4 6" xfId="1323" xr:uid="{00000000-0005-0000-0000-0000B7040000}"/>
    <cellStyle name="HeaderGrant 4 6 2" xfId="1324" xr:uid="{00000000-0005-0000-0000-0000B8040000}"/>
    <cellStyle name="HeaderGrant 4 6 3" xfId="1325" xr:uid="{00000000-0005-0000-0000-0000B9040000}"/>
    <cellStyle name="HeaderGrant 4 6 4" xfId="1326" xr:uid="{00000000-0005-0000-0000-0000BA040000}"/>
    <cellStyle name="HeaderGrant 4 6 5" xfId="1327" xr:uid="{00000000-0005-0000-0000-0000BB040000}"/>
    <cellStyle name="HeaderGrant 4 7" xfId="1328" xr:uid="{00000000-0005-0000-0000-0000BC040000}"/>
    <cellStyle name="HeaderGrant 4 7 2" xfId="1329" xr:uid="{00000000-0005-0000-0000-0000BD040000}"/>
    <cellStyle name="HeaderGrant 4 7 3" xfId="1330" xr:uid="{00000000-0005-0000-0000-0000BE040000}"/>
    <cellStyle name="HeaderGrant 4 7 4" xfId="1331" xr:uid="{00000000-0005-0000-0000-0000BF040000}"/>
    <cellStyle name="HeaderGrant 4 7 5" xfId="1332" xr:uid="{00000000-0005-0000-0000-0000C0040000}"/>
    <cellStyle name="HeaderGrant 4 8" xfId="1333" xr:uid="{00000000-0005-0000-0000-0000C1040000}"/>
    <cellStyle name="HeaderGrant 4 8 2" xfId="1334" xr:uid="{00000000-0005-0000-0000-0000C2040000}"/>
    <cellStyle name="HeaderGrant 4 8 3" xfId="1335" xr:uid="{00000000-0005-0000-0000-0000C3040000}"/>
    <cellStyle name="HeaderGrant 4 8 4" xfId="1336" xr:uid="{00000000-0005-0000-0000-0000C4040000}"/>
    <cellStyle name="HeaderGrant 4 8 5" xfId="1337" xr:uid="{00000000-0005-0000-0000-0000C5040000}"/>
    <cellStyle name="HeaderGrant 4 9" xfId="1338" xr:uid="{00000000-0005-0000-0000-0000C6040000}"/>
    <cellStyle name="HeaderGrant 4 9 2" xfId="1339" xr:uid="{00000000-0005-0000-0000-0000C7040000}"/>
    <cellStyle name="HeaderGrant 4 9 3" xfId="1340" xr:uid="{00000000-0005-0000-0000-0000C8040000}"/>
    <cellStyle name="HeaderGrant 4 9 4" xfId="1341" xr:uid="{00000000-0005-0000-0000-0000C9040000}"/>
    <cellStyle name="HeaderGrant 4 9 5" xfId="1342" xr:uid="{00000000-0005-0000-0000-0000CA040000}"/>
    <cellStyle name="HeaderGrant 5" xfId="1343" xr:uid="{00000000-0005-0000-0000-0000CB040000}"/>
    <cellStyle name="HeaderGrant 5 10" xfId="1344" xr:uid="{00000000-0005-0000-0000-0000CC040000}"/>
    <cellStyle name="HeaderGrant 5 10 2" xfId="1345" xr:uid="{00000000-0005-0000-0000-0000CD040000}"/>
    <cellStyle name="HeaderGrant 5 10 3" xfId="1346" xr:uid="{00000000-0005-0000-0000-0000CE040000}"/>
    <cellStyle name="HeaderGrant 5 10 4" xfId="1347" xr:uid="{00000000-0005-0000-0000-0000CF040000}"/>
    <cellStyle name="HeaderGrant 5 10 5" xfId="1348" xr:uid="{00000000-0005-0000-0000-0000D0040000}"/>
    <cellStyle name="HeaderGrant 5 11" xfId="1349" xr:uid="{00000000-0005-0000-0000-0000D1040000}"/>
    <cellStyle name="HeaderGrant 5 11 2" xfId="1350" xr:uid="{00000000-0005-0000-0000-0000D2040000}"/>
    <cellStyle name="HeaderGrant 5 11 3" xfId="1351" xr:uid="{00000000-0005-0000-0000-0000D3040000}"/>
    <cellStyle name="HeaderGrant 5 11 4" xfId="1352" xr:uid="{00000000-0005-0000-0000-0000D4040000}"/>
    <cellStyle name="HeaderGrant 5 11 5" xfId="1353" xr:uid="{00000000-0005-0000-0000-0000D5040000}"/>
    <cellStyle name="HeaderGrant 5 12" xfId="1354" xr:uid="{00000000-0005-0000-0000-0000D6040000}"/>
    <cellStyle name="HeaderGrant 5 12 2" xfId="1355" xr:uid="{00000000-0005-0000-0000-0000D7040000}"/>
    <cellStyle name="HeaderGrant 5 12 3" xfId="1356" xr:uid="{00000000-0005-0000-0000-0000D8040000}"/>
    <cellStyle name="HeaderGrant 5 12 4" xfId="1357" xr:uid="{00000000-0005-0000-0000-0000D9040000}"/>
    <cellStyle name="HeaderGrant 5 12 5" xfId="1358" xr:uid="{00000000-0005-0000-0000-0000DA040000}"/>
    <cellStyle name="HeaderGrant 5 13" xfId="1359" xr:uid="{00000000-0005-0000-0000-0000DB040000}"/>
    <cellStyle name="HeaderGrant 5 13 2" xfId="1360" xr:uid="{00000000-0005-0000-0000-0000DC040000}"/>
    <cellStyle name="HeaderGrant 5 13 3" xfId="1361" xr:uid="{00000000-0005-0000-0000-0000DD040000}"/>
    <cellStyle name="HeaderGrant 5 13 4" xfId="1362" xr:uid="{00000000-0005-0000-0000-0000DE040000}"/>
    <cellStyle name="HeaderGrant 5 13 5" xfId="1363" xr:uid="{00000000-0005-0000-0000-0000DF040000}"/>
    <cellStyle name="HeaderGrant 5 14" xfId="1364" xr:uid="{00000000-0005-0000-0000-0000E0040000}"/>
    <cellStyle name="HeaderGrant 5 14 2" xfId="1365" xr:uid="{00000000-0005-0000-0000-0000E1040000}"/>
    <cellStyle name="HeaderGrant 5 14 3" xfId="1366" xr:uid="{00000000-0005-0000-0000-0000E2040000}"/>
    <cellStyle name="HeaderGrant 5 14 4" xfId="1367" xr:uid="{00000000-0005-0000-0000-0000E3040000}"/>
    <cellStyle name="HeaderGrant 5 14 5" xfId="1368" xr:uid="{00000000-0005-0000-0000-0000E4040000}"/>
    <cellStyle name="HeaderGrant 5 15" xfId="1369" xr:uid="{00000000-0005-0000-0000-0000E5040000}"/>
    <cellStyle name="HeaderGrant 5 15 2" xfId="1370" xr:uid="{00000000-0005-0000-0000-0000E6040000}"/>
    <cellStyle name="HeaderGrant 5 15 3" xfId="1371" xr:uid="{00000000-0005-0000-0000-0000E7040000}"/>
    <cellStyle name="HeaderGrant 5 15 4" xfId="1372" xr:uid="{00000000-0005-0000-0000-0000E8040000}"/>
    <cellStyle name="HeaderGrant 5 15 5" xfId="1373" xr:uid="{00000000-0005-0000-0000-0000E9040000}"/>
    <cellStyle name="HeaderGrant 5 16" xfId="1374" xr:uid="{00000000-0005-0000-0000-0000EA040000}"/>
    <cellStyle name="HeaderGrant 5 16 2" xfId="1375" xr:uid="{00000000-0005-0000-0000-0000EB040000}"/>
    <cellStyle name="HeaderGrant 5 16 3" xfId="1376" xr:uid="{00000000-0005-0000-0000-0000EC040000}"/>
    <cellStyle name="HeaderGrant 5 16 4" xfId="1377" xr:uid="{00000000-0005-0000-0000-0000ED040000}"/>
    <cellStyle name="HeaderGrant 5 16 5" xfId="1378" xr:uid="{00000000-0005-0000-0000-0000EE040000}"/>
    <cellStyle name="HeaderGrant 5 17" xfId="1379" xr:uid="{00000000-0005-0000-0000-0000EF040000}"/>
    <cellStyle name="HeaderGrant 5 17 2" xfId="1380" xr:uid="{00000000-0005-0000-0000-0000F0040000}"/>
    <cellStyle name="HeaderGrant 5 17 3" xfId="1381" xr:uid="{00000000-0005-0000-0000-0000F1040000}"/>
    <cellStyle name="HeaderGrant 5 17 4" xfId="1382" xr:uid="{00000000-0005-0000-0000-0000F2040000}"/>
    <cellStyle name="HeaderGrant 5 17 5" xfId="1383" xr:uid="{00000000-0005-0000-0000-0000F3040000}"/>
    <cellStyle name="HeaderGrant 5 18" xfId="1384" xr:uid="{00000000-0005-0000-0000-0000F4040000}"/>
    <cellStyle name="HeaderGrant 5 18 2" xfId="1385" xr:uid="{00000000-0005-0000-0000-0000F5040000}"/>
    <cellStyle name="HeaderGrant 5 18 3" xfId="1386" xr:uid="{00000000-0005-0000-0000-0000F6040000}"/>
    <cellStyle name="HeaderGrant 5 18 4" xfId="1387" xr:uid="{00000000-0005-0000-0000-0000F7040000}"/>
    <cellStyle name="HeaderGrant 5 18 5" xfId="1388" xr:uid="{00000000-0005-0000-0000-0000F8040000}"/>
    <cellStyle name="HeaderGrant 5 19" xfId="1389" xr:uid="{00000000-0005-0000-0000-0000F9040000}"/>
    <cellStyle name="HeaderGrant 5 19 2" xfId="1390" xr:uid="{00000000-0005-0000-0000-0000FA040000}"/>
    <cellStyle name="HeaderGrant 5 19 3" xfId="1391" xr:uid="{00000000-0005-0000-0000-0000FB040000}"/>
    <cellStyle name="HeaderGrant 5 19 4" xfId="1392" xr:uid="{00000000-0005-0000-0000-0000FC040000}"/>
    <cellStyle name="HeaderGrant 5 19 5" xfId="1393" xr:uid="{00000000-0005-0000-0000-0000FD040000}"/>
    <cellStyle name="HeaderGrant 5 2" xfId="1394" xr:uid="{00000000-0005-0000-0000-0000FE040000}"/>
    <cellStyle name="HeaderGrant 5 2 2" xfId="1395" xr:uid="{00000000-0005-0000-0000-0000FF040000}"/>
    <cellStyle name="HeaderGrant 5 2 3" xfId="1396" xr:uid="{00000000-0005-0000-0000-000000050000}"/>
    <cellStyle name="HeaderGrant 5 2 4" xfId="1397" xr:uid="{00000000-0005-0000-0000-000001050000}"/>
    <cellStyle name="HeaderGrant 5 2 5" xfId="1398" xr:uid="{00000000-0005-0000-0000-000002050000}"/>
    <cellStyle name="HeaderGrant 5 20" xfId="1399" xr:uid="{00000000-0005-0000-0000-000003050000}"/>
    <cellStyle name="HeaderGrant 5 20 2" xfId="1400" xr:uid="{00000000-0005-0000-0000-000004050000}"/>
    <cellStyle name="HeaderGrant 5 20 3" xfId="1401" xr:uid="{00000000-0005-0000-0000-000005050000}"/>
    <cellStyle name="HeaderGrant 5 20 4" xfId="1402" xr:uid="{00000000-0005-0000-0000-000006050000}"/>
    <cellStyle name="HeaderGrant 5 20 5" xfId="1403" xr:uid="{00000000-0005-0000-0000-000007050000}"/>
    <cellStyle name="HeaderGrant 5 21" xfId="1404" xr:uid="{00000000-0005-0000-0000-000008050000}"/>
    <cellStyle name="HeaderGrant 5 21 2" xfId="1405" xr:uid="{00000000-0005-0000-0000-000009050000}"/>
    <cellStyle name="HeaderGrant 5 21 3" xfId="1406" xr:uid="{00000000-0005-0000-0000-00000A050000}"/>
    <cellStyle name="HeaderGrant 5 21 4" xfId="1407" xr:uid="{00000000-0005-0000-0000-00000B050000}"/>
    <cellStyle name="HeaderGrant 5 21 5" xfId="1408" xr:uid="{00000000-0005-0000-0000-00000C050000}"/>
    <cellStyle name="HeaderGrant 5 22" xfId="1409" xr:uid="{00000000-0005-0000-0000-00000D050000}"/>
    <cellStyle name="HeaderGrant 5 22 2" xfId="1410" xr:uid="{00000000-0005-0000-0000-00000E050000}"/>
    <cellStyle name="HeaderGrant 5 22 3" xfId="1411" xr:uid="{00000000-0005-0000-0000-00000F050000}"/>
    <cellStyle name="HeaderGrant 5 22 4" xfId="1412" xr:uid="{00000000-0005-0000-0000-000010050000}"/>
    <cellStyle name="HeaderGrant 5 23" xfId="1413" xr:uid="{00000000-0005-0000-0000-000011050000}"/>
    <cellStyle name="HeaderGrant 5 23 2" xfId="1414" xr:uid="{00000000-0005-0000-0000-000012050000}"/>
    <cellStyle name="HeaderGrant 5 23 3" xfId="1415" xr:uid="{00000000-0005-0000-0000-000013050000}"/>
    <cellStyle name="HeaderGrant 5 23 4" xfId="1416" xr:uid="{00000000-0005-0000-0000-000014050000}"/>
    <cellStyle name="HeaderGrant 5 24" xfId="1417" xr:uid="{00000000-0005-0000-0000-000015050000}"/>
    <cellStyle name="HeaderGrant 5 24 2" xfId="1418" xr:uid="{00000000-0005-0000-0000-000016050000}"/>
    <cellStyle name="HeaderGrant 5 24 3" xfId="1419" xr:uid="{00000000-0005-0000-0000-000017050000}"/>
    <cellStyle name="HeaderGrant 5 24 4" xfId="1420" xr:uid="{00000000-0005-0000-0000-000018050000}"/>
    <cellStyle name="HeaderGrant 5 25" xfId="1421" xr:uid="{00000000-0005-0000-0000-000019050000}"/>
    <cellStyle name="HeaderGrant 5 25 2" xfId="1422" xr:uid="{00000000-0005-0000-0000-00001A050000}"/>
    <cellStyle name="HeaderGrant 5 25 3" xfId="1423" xr:uid="{00000000-0005-0000-0000-00001B050000}"/>
    <cellStyle name="HeaderGrant 5 25 4" xfId="1424" xr:uid="{00000000-0005-0000-0000-00001C050000}"/>
    <cellStyle name="HeaderGrant 5 3" xfId="1425" xr:uid="{00000000-0005-0000-0000-00001D050000}"/>
    <cellStyle name="HeaderGrant 5 3 2" xfId="1426" xr:uid="{00000000-0005-0000-0000-00001E050000}"/>
    <cellStyle name="HeaderGrant 5 3 3" xfId="1427" xr:uid="{00000000-0005-0000-0000-00001F050000}"/>
    <cellStyle name="HeaderGrant 5 3 4" xfId="1428" xr:uid="{00000000-0005-0000-0000-000020050000}"/>
    <cellStyle name="HeaderGrant 5 3 5" xfId="1429" xr:uid="{00000000-0005-0000-0000-000021050000}"/>
    <cellStyle name="HeaderGrant 5 4" xfId="1430" xr:uid="{00000000-0005-0000-0000-000022050000}"/>
    <cellStyle name="HeaderGrant 5 4 2" xfId="1431" xr:uid="{00000000-0005-0000-0000-000023050000}"/>
    <cellStyle name="HeaderGrant 5 4 3" xfId="1432" xr:uid="{00000000-0005-0000-0000-000024050000}"/>
    <cellStyle name="HeaderGrant 5 4 4" xfId="1433" xr:uid="{00000000-0005-0000-0000-000025050000}"/>
    <cellStyle name="HeaderGrant 5 4 5" xfId="1434" xr:uid="{00000000-0005-0000-0000-000026050000}"/>
    <cellStyle name="HeaderGrant 5 5" xfId="1435" xr:uid="{00000000-0005-0000-0000-000027050000}"/>
    <cellStyle name="HeaderGrant 5 5 2" xfId="1436" xr:uid="{00000000-0005-0000-0000-000028050000}"/>
    <cellStyle name="HeaderGrant 5 5 3" xfId="1437" xr:uid="{00000000-0005-0000-0000-000029050000}"/>
    <cellStyle name="HeaderGrant 5 5 4" xfId="1438" xr:uid="{00000000-0005-0000-0000-00002A050000}"/>
    <cellStyle name="HeaderGrant 5 5 5" xfId="1439" xr:uid="{00000000-0005-0000-0000-00002B050000}"/>
    <cellStyle name="HeaderGrant 5 6" xfId="1440" xr:uid="{00000000-0005-0000-0000-00002C050000}"/>
    <cellStyle name="HeaderGrant 5 6 2" xfId="1441" xr:uid="{00000000-0005-0000-0000-00002D050000}"/>
    <cellStyle name="HeaderGrant 5 6 3" xfId="1442" xr:uid="{00000000-0005-0000-0000-00002E050000}"/>
    <cellStyle name="HeaderGrant 5 6 4" xfId="1443" xr:uid="{00000000-0005-0000-0000-00002F050000}"/>
    <cellStyle name="HeaderGrant 5 6 5" xfId="1444" xr:uid="{00000000-0005-0000-0000-000030050000}"/>
    <cellStyle name="HeaderGrant 5 7" xfId="1445" xr:uid="{00000000-0005-0000-0000-000031050000}"/>
    <cellStyle name="HeaderGrant 5 7 2" xfId="1446" xr:uid="{00000000-0005-0000-0000-000032050000}"/>
    <cellStyle name="HeaderGrant 5 7 3" xfId="1447" xr:uid="{00000000-0005-0000-0000-000033050000}"/>
    <cellStyle name="HeaderGrant 5 7 4" xfId="1448" xr:uid="{00000000-0005-0000-0000-000034050000}"/>
    <cellStyle name="HeaderGrant 5 7 5" xfId="1449" xr:uid="{00000000-0005-0000-0000-000035050000}"/>
    <cellStyle name="HeaderGrant 5 8" xfId="1450" xr:uid="{00000000-0005-0000-0000-000036050000}"/>
    <cellStyle name="HeaderGrant 5 8 2" xfId="1451" xr:uid="{00000000-0005-0000-0000-000037050000}"/>
    <cellStyle name="HeaderGrant 5 8 3" xfId="1452" xr:uid="{00000000-0005-0000-0000-000038050000}"/>
    <cellStyle name="HeaderGrant 5 8 4" xfId="1453" xr:uid="{00000000-0005-0000-0000-000039050000}"/>
    <cellStyle name="HeaderGrant 5 8 5" xfId="1454" xr:uid="{00000000-0005-0000-0000-00003A050000}"/>
    <cellStyle name="HeaderGrant 5 9" xfId="1455" xr:uid="{00000000-0005-0000-0000-00003B050000}"/>
    <cellStyle name="HeaderGrant 5 9 2" xfId="1456" xr:uid="{00000000-0005-0000-0000-00003C050000}"/>
    <cellStyle name="HeaderGrant 5 9 3" xfId="1457" xr:uid="{00000000-0005-0000-0000-00003D050000}"/>
    <cellStyle name="HeaderGrant 5 9 4" xfId="1458" xr:uid="{00000000-0005-0000-0000-00003E050000}"/>
    <cellStyle name="HeaderGrant 5 9 5" xfId="1459" xr:uid="{00000000-0005-0000-0000-00003F050000}"/>
    <cellStyle name="HeaderGrant 6" xfId="1460" xr:uid="{00000000-0005-0000-0000-000040050000}"/>
    <cellStyle name="HeaderGrant 6 2" xfId="1461" xr:uid="{00000000-0005-0000-0000-000041050000}"/>
    <cellStyle name="HeaderGrant 6 3" xfId="1462" xr:uid="{00000000-0005-0000-0000-000042050000}"/>
    <cellStyle name="HeaderGrant 6 4" xfId="1463" xr:uid="{00000000-0005-0000-0000-000043050000}"/>
    <cellStyle name="HeaderGrant 6 5" xfId="1464" xr:uid="{00000000-0005-0000-0000-000044050000}"/>
    <cellStyle name="HeaderGrant 7" xfId="1465" xr:uid="{00000000-0005-0000-0000-000045050000}"/>
    <cellStyle name="HeaderGrant 7 2" xfId="1466" xr:uid="{00000000-0005-0000-0000-000046050000}"/>
    <cellStyle name="HeaderGrant 7 3" xfId="1467" xr:uid="{00000000-0005-0000-0000-000047050000}"/>
    <cellStyle name="HeaderGrant 7 4" xfId="1468" xr:uid="{00000000-0005-0000-0000-000048050000}"/>
    <cellStyle name="HeaderGrant 7 5" xfId="1469" xr:uid="{00000000-0005-0000-0000-000049050000}"/>
    <cellStyle name="HeaderGrant 8" xfId="1470" xr:uid="{00000000-0005-0000-0000-00004A050000}"/>
    <cellStyle name="HeaderGrant 8 2" xfId="1471" xr:uid="{00000000-0005-0000-0000-00004B050000}"/>
    <cellStyle name="HeaderGrant 8 3" xfId="1472" xr:uid="{00000000-0005-0000-0000-00004C050000}"/>
    <cellStyle name="HeaderGrant 8 4" xfId="1473" xr:uid="{00000000-0005-0000-0000-00004D050000}"/>
    <cellStyle name="HeaderGrant 8 5" xfId="1474" xr:uid="{00000000-0005-0000-0000-00004E050000}"/>
    <cellStyle name="HeaderGrant 9" xfId="1475" xr:uid="{00000000-0005-0000-0000-00004F050000}"/>
    <cellStyle name="HeaderGrant 9 2" xfId="1476" xr:uid="{00000000-0005-0000-0000-000050050000}"/>
    <cellStyle name="HeaderGrant 9 3" xfId="1477" xr:uid="{00000000-0005-0000-0000-000051050000}"/>
    <cellStyle name="HeaderGrant 9 4" xfId="1478" xr:uid="{00000000-0005-0000-0000-000052050000}"/>
    <cellStyle name="HeaderGrant 9 5" xfId="1479" xr:uid="{00000000-0005-0000-0000-000053050000}"/>
    <cellStyle name="HeaderLEA" xfId="71" xr:uid="{00000000-0005-0000-0000-000054050000}"/>
    <cellStyle name="Heading 1 2" xfId="72" xr:uid="{00000000-0005-0000-0000-000055050000}"/>
    <cellStyle name="Heading 1 2 2" xfId="1480" xr:uid="{00000000-0005-0000-0000-000056050000}"/>
    <cellStyle name="Heading 2 2" xfId="73" xr:uid="{00000000-0005-0000-0000-000057050000}"/>
    <cellStyle name="Heading 2 2 2" xfId="1481" xr:uid="{00000000-0005-0000-0000-000058050000}"/>
    <cellStyle name="Heading 3 2" xfId="74" xr:uid="{00000000-0005-0000-0000-000059050000}"/>
    <cellStyle name="Heading 3 2 2" xfId="1482" xr:uid="{00000000-0005-0000-0000-00005A050000}"/>
    <cellStyle name="Heading 4 2" xfId="75" xr:uid="{00000000-0005-0000-0000-00005B050000}"/>
    <cellStyle name="Heading 4 2 2" xfId="1483" xr:uid="{00000000-0005-0000-0000-00005C050000}"/>
    <cellStyle name="Heading 4 3" xfId="1484" xr:uid="{00000000-0005-0000-0000-00005D050000}"/>
    <cellStyle name="Hyperlink" xfId="3967" builtinId="8"/>
    <cellStyle name="Hyperlink 2" xfId="76" xr:uid="{00000000-0005-0000-0000-00005F050000}"/>
    <cellStyle name="Hyperlink 2 2" xfId="77" xr:uid="{00000000-0005-0000-0000-000060050000}"/>
    <cellStyle name="Hyperlink 2 2 2" xfId="1485" xr:uid="{00000000-0005-0000-0000-000061050000}"/>
    <cellStyle name="Hyperlink 2 3" xfId="1486" xr:uid="{00000000-0005-0000-0000-000062050000}"/>
    <cellStyle name="Hyperlink 2 3 2" xfId="3941" xr:uid="{00000000-0005-0000-0000-000063050000}"/>
    <cellStyle name="Hyperlink 2 4" xfId="1487" xr:uid="{00000000-0005-0000-0000-000064050000}"/>
    <cellStyle name="Hyperlink 2 5" xfId="1488" xr:uid="{00000000-0005-0000-0000-000065050000}"/>
    <cellStyle name="Hyperlink 3" xfId="78" xr:uid="{00000000-0005-0000-0000-000066050000}"/>
    <cellStyle name="Hyperlink 3 2" xfId="1489" xr:uid="{00000000-0005-0000-0000-000067050000}"/>
    <cellStyle name="Hyperlink 4" xfId="79" xr:uid="{00000000-0005-0000-0000-000068050000}"/>
    <cellStyle name="Hyperlink 4 2" xfId="1490" xr:uid="{00000000-0005-0000-0000-000069050000}"/>
    <cellStyle name="Hyperlink 5" xfId="80" xr:uid="{00000000-0005-0000-0000-00006A050000}"/>
    <cellStyle name="Imported" xfId="81" xr:uid="{00000000-0005-0000-0000-00006B050000}"/>
    <cellStyle name="imput" xfId="3927" xr:uid="{00000000-0005-0000-0000-00006C050000}"/>
    <cellStyle name="Input 2" xfId="82" xr:uid="{00000000-0005-0000-0000-00006D050000}"/>
    <cellStyle name="Input 2 10" xfId="1491" xr:uid="{00000000-0005-0000-0000-00006E050000}"/>
    <cellStyle name="Input 2 10 2" xfId="1492" xr:uid="{00000000-0005-0000-0000-00006F050000}"/>
    <cellStyle name="Input 2 10 3" xfId="1493" xr:uid="{00000000-0005-0000-0000-000070050000}"/>
    <cellStyle name="Input 2 10 4" xfId="1494" xr:uid="{00000000-0005-0000-0000-000071050000}"/>
    <cellStyle name="Input 2 10 5" xfId="1495" xr:uid="{00000000-0005-0000-0000-000072050000}"/>
    <cellStyle name="Input 2 11" xfId="1496" xr:uid="{00000000-0005-0000-0000-000073050000}"/>
    <cellStyle name="Input 2 11 2" xfId="1497" xr:uid="{00000000-0005-0000-0000-000074050000}"/>
    <cellStyle name="Input 2 11 3" xfId="1498" xr:uid="{00000000-0005-0000-0000-000075050000}"/>
    <cellStyle name="Input 2 11 4" xfId="1499" xr:uid="{00000000-0005-0000-0000-000076050000}"/>
    <cellStyle name="Input 2 11 5" xfId="1500" xr:uid="{00000000-0005-0000-0000-000077050000}"/>
    <cellStyle name="Input 2 12" xfId="1501" xr:uid="{00000000-0005-0000-0000-000078050000}"/>
    <cellStyle name="Input 2 12 2" xfId="1502" xr:uid="{00000000-0005-0000-0000-000079050000}"/>
    <cellStyle name="Input 2 12 3" xfId="1503" xr:uid="{00000000-0005-0000-0000-00007A050000}"/>
    <cellStyle name="Input 2 12 4" xfId="1504" xr:uid="{00000000-0005-0000-0000-00007B050000}"/>
    <cellStyle name="Input 2 12 5" xfId="1505" xr:uid="{00000000-0005-0000-0000-00007C050000}"/>
    <cellStyle name="Input 2 13" xfId="1506" xr:uid="{00000000-0005-0000-0000-00007D050000}"/>
    <cellStyle name="Input 2 13 2" xfId="1507" xr:uid="{00000000-0005-0000-0000-00007E050000}"/>
    <cellStyle name="Input 2 13 3" xfId="1508" xr:uid="{00000000-0005-0000-0000-00007F050000}"/>
    <cellStyle name="Input 2 13 4" xfId="1509" xr:uid="{00000000-0005-0000-0000-000080050000}"/>
    <cellStyle name="Input 2 14" xfId="1510" xr:uid="{00000000-0005-0000-0000-000081050000}"/>
    <cellStyle name="Input 2 14 2" xfId="1511" xr:uid="{00000000-0005-0000-0000-000082050000}"/>
    <cellStyle name="Input 2 14 3" xfId="1512" xr:uid="{00000000-0005-0000-0000-000083050000}"/>
    <cellStyle name="Input 2 14 4" xfId="1513" xr:uid="{00000000-0005-0000-0000-000084050000}"/>
    <cellStyle name="Input 2 15" xfId="1514" xr:uid="{00000000-0005-0000-0000-000085050000}"/>
    <cellStyle name="Input 2 15 2" xfId="1515" xr:uid="{00000000-0005-0000-0000-000086050000}"/>
    <cellStyle name="Input 2 15 3" xfId="1516" xr:uid="{00000000-0005-0000-0000-000087050000}"/>
    <cellStyle name="Input 2 15 4" xfId="1517" xr:uid="{00000000-0005-0000-0000-000088050000}"/>
    <cellStyle name="Input 2 16" xfId="1518" xr:uid="{00000000-0005-0000-0000-000089050000}"/>
    <cellStyle name="Input 2 2" xfId="1519" xr:uid="{00000000-0005-0000-0000-00008A050000}"/>
    <cellStyle name="Input 2 2 10" xfId="1520" xr:uid="{00000000-0005-0000-0000-00008B050000}"/>
    <cellStyle name="Input 2 2 10 2" xfId="1521" xr:uid="{00000000-0005-0000-0000-00008C050000}"/>
    <cellStyle name="Input 2 2 10 3" xfId="1522" xr:uid="{00000000-0005-0000-0000-00008D050000}"/>
    <cellStyle name="Input 2 2 10 4" xfId="1523" xr:uid="{00000000-0005-0000-0000-00008E050000}"/>
    <cellStyle name="Input 2 2 10 5" xfId="1524" xr:uid="{00000000-0005-0000-0000-00008F050000}"/>
    <cellStyle name="Input 2 2 11" xfId="1525" xr:uid="{00000000-0005-0000-0000-000090050000}"/>
    <cellStyle name="Input 2 2 11 2" xfId="1526" xr:uid="{00000000-0005-0000-0000-000091050000}"/>
    <cellStyle name="Input 2 2 11 3" xfId="1527" xr:uid="{00000000-0005-0000-0000-000092050000}"/>
    <cellStyle name="Input 2 2 11 4" xfId="1528" xr:uid="{00000000-0005-0000-0000-000093050000}"/>
    <cellStyle name="Input 2 2 11 5" xfId="1529" xr:uid="{00000000-0005-0000-0000-000094050000}"/>
    <cellStyle name="Input 2 2 12" xfId="1530" xr:uid="{00000000-0005-0000-0000-000095050000}"/>
    <cellStyle name="Input 2 2 12 2" xfId="1531" xr:uid="{00000000-0005-0000-0000-000096050000}"/>
    <cellStyle name="Input 2 2 12 3" xfId="1532" xr:uid="{00000000-0005-0000-0000-000097050000}"/>
    <cellStyle name="Input 2 2 12 4" xfId="1533" xr:uid="{00000000-0005-0000-0000-000098050000}"/>
    <cellStyle name="Input 2 2 12 5" xfId="1534" xr:uid="{00000000-0005-0000-0000-000099050000}"/>
    <cellStyle name="Input 2 2 13" xfId="1535" xr:uid="{00000000-0005-0000-0000-00009A050000}"/>
    <cellStyle name="Input 2 2 13 2" xfId="1536" xr:uid="{00000000-0005-0000-0000-00009B050000}"/>
    <cellStyle name="Input 2 2 13 3" xfId="1537" xr:uid="{00000000-0005-0000-0000-00009C050000}"/>
    <cellStyle name="Input 2 2 13 4" xfId="1538" xr:uid="{00000000-0005-0000-0000-00009D050000}"/>
    <cellStyle name="Input 2 2 13 5" xfId="1539" xr:uid="{00000000-0005-0000-0000-00009E050000}"/>
    <cellStyle name="Input 2 2 14" xfId="1540" xr:uid="{00000000-0005-0000-0000-00009F050000}"/>
    <cellStyle name="Input 2 2 14 2" xfId="1541" xr:uid="{00000000-0005-0000-0000-0000A0050000}"/>
    <cellStyle name="Input 2 2 14 3" xfId="1542" xr:uid="{00000000-0005-0000-0000-0000A1050000}"/>
    <cellStyle name="Input 2 2 14 4" xfId="1543" xr:uid="{00000000-0005-0000-0000-0000A2050000}"/>
    <cellStyle name="Input 2 2 14 5" xfId="1544" xr:uid="{00000000-0005-0000-0000-0000A3050000}"/>
    <cellStyle name="Input 2 2 15" xfId="1545" xr:uid="{00000000-0005-0000-0000-0000A4050000}"/>
    <cellStyle name="Input 2 2 15 2" xfId="1546" xr:uid="{00000000-0005-0000-0000-0000A5050000}"/>
    <cellStyle name="Input 2 2 15 3" xfId="1547" xr:uid="{00000000-0005-0000-0000-0000A6050000}"/>
    <cellStyle name="Input 2 2 15 4" xfId="1548" xr:uid="{00000000-0005-0000-0000-0000A7050000}"/>
    <cellStyle name="Input 2 2 15 5" xfId="1549" xr:uid="{00000000-0005-0000-0000-0000A8050000}"/>
    <cellStyle name="Input 2 2 16" xfId="1550" xr:uid="{00000000-0005-0000-0000-0000A9050000}"/>
    <cellStyle name="Input 2 2 16 2" xfId="1551" xr:uid="{00000000-0005-0000-0000-0000AA050000}"/>
    <cellStyle name="Input 2 2 16 3" xfId="1552" xr:uid="{00000000-0005-0000-0000-0000AB050000}"/>
    <cellStyle name="Input 2 2 16 4" xfId="1553" xr:uid="{00000000-0005-0000-0000-0000AC050000}"/>
    <cellStyle name="Input 2 2 16 5" xfId="1554" xr:uid="{00000000-0005-0000-0000-0000AD050000}"/>
    <cellStyle name="Input 2 2 17" xfId="1555" xr:uid="{00000000-0005-0000-0000-0000AE050000}"/>
    <cellStyle name="Input 2 2 17 2" xfId="1556" xr:uid="{00000000-0005-0000-0000-0000AF050000}"/>
    <cellStyle name="Input 2 2 17 3" xfId="1557" xr:uid="{00000000-0005-0000-0000-0000B0050000}"/>
    <cellStyle name="Input 2 2 17 4" xfId="1558" xr:uid="{00000000-0005-0000-0000-0000B1050000}"/>
    <cellStyle name="Input 2 2 17 5" xfId="1559" xr:uid="{00000000-0005-0000-0000-0000B2050000}"/>
    <cellStyle name="Input 2 2 18" xfId="1560" xr:uid="{00000000-0005-0000-0000-0000B3050000}"/>
    <cellStyle name="Input 2 2 18 2" xfId="1561" xr:uid="{00000000-0005-0000-0000-0000B4050000}"/>
    <cellStyle name="Input 2 2 18 3" xfId="1562" xr:uid="{00000000-0005-0000-0000-0000B5050000}"/>
    <cellStyle name="Input 2 2 18 4" xfId="1563" xr:uid="{00000000-0005-0000-0000-0000B6050000}"/>
    <cellStyle name="Input 2 2 18 5" xfId="1564" xr:uid="{00000000-0005-0000-0000-0000B7050000}"/>
    <cellStyle name="Input 2 2 19" xfId="1565" xr:uid="{00000000-0005-0000-0000-0000B8050000}"/>
    <cellStyle name="Input 2 2 19 2" xfId="1566" xr:uid="{00000000-0005-0000-0000-0000B9050000}"/>
    <cellStyle name="Input 2 2 19 3" xfId="1567" xr:uid="{00000000-0005-0000-0000-0000BA050000}"/>
    <cellStyle name="Input 2 2 19 4" xfId="1568" xr:uid="{00000000-0005-0000-0000-0000BB050000}"/>
    <cellStyle name="Input 2 2 2" xfId="1569" xr:uid="{00000000-0005-0000-0000-0000BC050000}"/>
    <cellStyle name="Input 2 2 2 2" xfId="1570" xr:uid="{00000000-0005-0000-0000-0000BD050000}"/>
    <cellStyle name="Input 2 2 2 3" xfId="1571" xr:uid="{00000000-0005-0000-0000-0000BE050000}"/>
    <cellStyle name="Input 2 2 2 4" xfId="1572" xr:uid="{00000000-0005-0000-0000-0000BF050000}"/>
    <cellStyle name="Input 2 2 2 5" xfId="1573" xr:uid="{00000000-0005-0000-0000-0000C0050000}"/>
    <cellStyle name="Input 2 2 20" xfId="1574" xr:uid="{00000000-0005-0000-0000-0000C1050000}"/>
    <cellStyle name="Input 2 2 20 2" xfId="1575" xr:uid="{00000000-0005-0000-0000-0000C2050000}"/>
    <cellStyle name="Input 2 2 20 3" xfId="1576" xr:uid="{00000000-0005-0000-0000-0000C3050000}"/>
    <cellStyle name="Input 2 2 20 4" xfId="1577" xr:uid="{00000000-0005-0000-0000-0000C4050000}"/>
    <cellStyle name="Input 2 2 21" xfId="1578" xr:uid="{00000000-0005-0000-0000-0000C5050000}"/>
    <cellStyle name="Input 2 2 21 2" xfId="1579" xr:uid="{00000000-0005-0000-0000-0000C6050000}"/>
    <cellStyle name="Input 2 2 21 3" xfId="1580" xr:uid="{00000000-0005-0000-0000-0000C7050000}"/>
    <cellStyle name="Input 2 2 21 4" xfId="1581" xr:uid="{00000000-0005-0000-0000-0000C8050000}"/>
    <cellStyle name="Input 2 2 22" xfId="1582" xr:uid="{00000000-0005-0000-0000-0000C9050000}"/>
    <cellStyle name="Input 2 2 22 2" xfId="1583" xr:uid="{00000000-0005-0000-0000-0000CA050000}"/>
    <cellStyle name="Input 2 2 22 3" xfId="1584" xr:uid="{00000000-0005-0000-0000-0000CB050000}"/>
    <cellStyle name="Input 2 2 22 4" xfId="1585" xr:uid="{00000000-0005-0000-0000-0000CC050000}"/>
    <cellStyle name="Input 2 2 23" xfId="1586" xr:uid="{00000000-0005-0000-0000-0000CD050000}"/>
    <cellStyle name="Input 2 2 3" xfId="1587" xr:uid="{00000000-0005-0000-0000-0000CE050000}"/>
    <cellStyle name="Input 2 2 3 2" xfId="1588" xr:uid="{00000000-0005-0000-0000-0000CF050000}"/>
    <cellStyle name="Input 2 2 3 3" xfId="1589" xr:uid="{00000000-0005-0000-0000-0000D0050000}"/>
    <cellStyle name="Input 2 2 3 4" xfId="1590" xr:uid="{00000000-0005-0000-0000-0000D1050000}"/>
    <cellStyle name="Input 2 2 3 5" xfId="1591" xr:uid="{00000000-0005-0000-0000-0000D2050000}"/>
    <cellStyle name="Input 2 2 4" xfId="1592" xr:uid="{00000000-0005-0000-0000-0000D3050000}"/>
    <cellStyle name="Input 2 2 4 2" xfId="1593" xr:uid="{00000000-0005-0000-0000-0000D4050000}"/>
    <cellStyle name="Input 2 2 4 3" xfId="1594" xr:uid="{00000000-0005-0000-0000-0000D5050000}"/>
    <cellStyle name="Input 2 2 4 4" xfId="1595" xr:uid="{00000000-0005-0000-0000-0000D6050000}"/>
    <cellStyle name="Input 2 2 4 5" xfId="1596" xr:uid="{00000000-0005-0000-0000-0000D7050000}"/>
    <cellStyle name="Input 2 2 5" xfId="1597" xr:uid="{00000000-0005-0000-0000-0000D8050000}"/>
    <cellStyle name="Input 2 2 5 2" xfId="1598" xr:uid="{00000000-0005-0000-0000-0000D9050000}"/>
    <cellStyle name="Input 2 2 5 3" xfId="1599" xr:uid="{00000000-0005-0000-0000-0000DA050000}"/>
    <cellStyle name="Input 2 2 5 4" xfId="1600" xr:uid="{00000000-0005-0000-0000-0000DB050000}"/>
    <cellStyle name="Input 2 2 5 5" xfId="1601" xr:uid="{00000000-0005-0000-0000-0000DC050000}"/>
    <cellStyle name="Input 2 2 6" xfId="1602" xr:uid="{00000000-0005-0000-0000-0000DD050000}"/>
    <cellStyle name="Input 2 2 6 2" xfId="1603" xr:uid="{00000000-0005-0000-0000-0000DE050000}"/>
    <cellStyle name="Input 2 2 6 3" xfId="1604" xr:uid="{00000000-0005-0000-0000-0000DF050000}"/>
    <cellStyle name="Input 2 2 6 4" xfId="1605" xr:uid="{00000000-0005-0000-0000-0000E0050000}"/>
    <cellStyle name="Input 2 2 6 5" xfId="1606" xr:uid="{00000000-0005-0000-0000-0000E1050000}"/>
    <cellStyle name="Input 2 2 7" xfId="1607" xr:uid="{00000000-0005-0000-0000-0000E2050000}"/>
    <cellStyle name="Input 2 2 7 2" xfId="1608" xr:uid="{00000000-0005-0000-0000-0000E3050000}"/>
    <cellStyle name="Input 2 2 7 3" xfId="1609" xr:uid="{00000000-0005-0000-0000-0000E4050000}"/>
    <cellStyle name="Input 2 2 7 4" xfId="1610" xr:uid="{00000000-0005-0000-0000-0000E5050000}"/>
    <cellStyle name="Input 2 2 7 5" xfId="1611" xr:uid="{00000000-0005-0000-0000-0000E6050000}"/>
    <cellStyle name="Input 2 2 8" xfId="1612" xr:uid="{00000000-0005-0000-0000-0000E7050000}"/>
    <cellStyle name="Input 2 2 8 2" xfId="1613" xr:uid="{00000000-0005-0000-0000-0000E8050000}"/>
    <cellStyle name="Input 2 2 8 3" xfId="1614" xr:uid="{00000000-0005-0000-0000-0000E9050000}"/>
    <cellStyle name="Input 2 2 8 4" xfId="1615" xr:uid="{00000000-0005-0000-0000-0000EA050000}"/>
    <cellStyle name="Input 2 2 8 5" xfId="1616" xr:uid="{00000000-0005-0000-0000-0000EB050000}"/>
    <cellStyle name="Input 2 2 9" xfId="1617" xr:uid="{00000000-0005-0000-0000-0000EC050000}"/>
    <cellStyle name="Input 2 2 9 2" xfId="1618" xr:uid="{00000000-0005-0000-0000-0000ED050000}"/>
    <cellStyle name="Input 2 2 9 3" xfId="1619" xr:uid="{00000000-0005-0000-0000-0000EE050000}"/>
    <cellStyle name="Input 2 2 9 4" xfId="1620" xr:uid="{00000000-0005-0000-0000-0000EF050000}"/>
    <cellStyle name="Input 2 2 9 5" xfId="1621" xr:uid="{00000000-0005-0000-0000-0000F0050000}"/>
    <cellStyle name="Input 2 3" xfId="1622" xr:uid="{00000000-0005-0000-0000-0000F1050000}"/>
    <cellStyle name="Input 2 3 10" xfId="1623" xr:uid="{00000000-0005-0000-0000-0000F2050000}"/>
    <cellStyle name="Input 2 3 10 2" xfId="1624" xr:uid="{00000000-0005-0000-0000-0000F3050000}"/>
    <cellStyle name="Input 2 3 10 3" xfId="1625" xr:uid="{00000000-0005-0000-0000-0000F4050000}"/>
    <cellStyle name="Input 2 3 10 4" xfId="1626" xr:uid="{00000000-0005-0000-0000-0000F5050000}"/>
    <cellStyle name="Input 2 3 10 5" xfId="1627" xr:uid="{00000000-0005-0000-0000-0000F6050000}"/>
    <cellStyle name="Input 2 3 11" xfId="1628" xr:uid="{00000000-0005-0000-0000-0000F7050000}"/>
    <cellStyle name="Input 2 3 11 2" xfId="1629" xr:uid="{00000000-0005-0000-0000-0000F8050000}"/>
    <cellStyle name="Input 2 3 11 3" xfId="1630" xr:uid="{00000000-0005-0000-0000-0000F9050000}"/>
    <cellStyle name="Input 2 3 11 4" xfId="1631" xr:uid="{00000000-0005-0000-0000-0000FA050000}"/>
    <cellStyle name="Input 2 3 11 5" xfId="1632" xr:uid="{00000000-0005-0000-0000-0000FB050000}"/>
    <cellStyle name="Input 2 3 12" xfId="1633" xr:uid="{00000000-0005-0000-0000-0000FC050000}"/>
    <cellStyle name="Input 2 3 12 2" xfId="1634" xr:uid="{00000000-0005-0000-0000-0000FD050000}"/>
    <cellStyle name="Input 2 3 12 3" xfId="1635" xr:uid="{00000000-0005-0000-0000-0000FE050000}"/>
    <cellStyle name="Input 2 3 12 4" xfId="1636" xr:uid="{00000000-0005-0000-0000-0000FF050000}"/>
    <cellStyle name="Input 2 3 12 5" xfId="1637" xr:uid="{00000000-0005-0000-0000-000000060000}"/>
    <cellStyle name="Input 2 3 13" xfId="1638" xr:uid="{00000000-0005-0000-0000-000001060000}"/>
    <cellStyle name="Input 2 3 13 2" xfId="1639" xr:uid="{00000000-0005-0000-0000-000002060000}"/>
    <cellStyle name="Input 2 3 13 3" xfId="1640" xr:uid="{00000000-0005-0000-0000-000003060000}"/>
    <cellStyle name="Input 2 3 13 4" xfId="1641" xr:uid="{00000000-0005-0000-0000-000004060000}"/>
    <cellStyle name="Input 2 3 13 5" xfId="1642" xr:uid="{00000000-0005-0000-0000-000005060000}"/>
    <cellStyle name="Input 2 3 14" xfId="1643" xr:uid="{00000000-0005-0000-0000-000006060000}"/>
    <cellStyle name="Input 2 3 14 2" xfId="1644" xr:uid="{00000000-0005-0000-0000-000007060000}"/>
    <cellStyle name="Input 2 3 14 3" xfId="1645" xr:uid="{00000000-0005-0000-0000-000008060000}"/>
    <cellStyle name="Input 2 3 14 4" xfId="1646" xr:uid="{00000000-0005-0000-0000-000009060000}"/>
    <cellStyle name="Input 2 3 14 5" xfId="1647" xr:uid="{00000000-0005-0000-0000-00000A060000}"/>
    <cellStyle name="Input 2 3 15" xfId="1648" xr:uid="{00000000-0005-0000-0000-00000B060000}"/>
    <cellStyle name="Input 2 3 15 2" xfId="1649" xr:uid="{00000000-0005-0000-0000-00000C060000}"/>
    <cellStyle name="Input 2 3 15 3" xfId="1650" xr:uid="{00000000-0005-0000-0000-00000D060000}"/>
    <cellStyle name="Input 2 3 15 4" xfId="1651" xr:uid="{00000000-0005-0000-0000-00000E060000}"/>
    <cellStyle name="Input 2 3 15 5" xfId="1652" xr:uid="{00000000-0005-0000-0000-00000F060000}"/>
    <cellStyle name="Input 2 3 16" xfId="1653" xr:uid="{00000000-0005-0000-0000-000010060000}"/>
    <cellStyle name="Input 2 3 16 2" xfId="1654" xr:uid="{00000000-0005-0000-0000-000011060000}"/>
    <cellStyle name="Input 2 3 16 3" xfId="1655" xr:uid="{00000000-0005-0000-0000-000012060000}"/>
    <cellStyle name="Input 2 3 16 4" xfId="1656" xr:uid="{00000000-0005-0000-0000-000013060000}"/>
    <cellStyle name="Input 2 3 16 5" xfId="1657" xr:uid="{00000000-0005-0000-0000-000014060000}"/>
    <cellStyle name="Input 2 3 17" xfId="1658" xr:uid="{00000000-0005-0000-0000-000015060000}"/>
    <cellStyle name="Input 2 3 17 2" xfId="1659" xr:uid="{00000000-0005-0000-0000-000016060000}"/>
    <cellStyle name="Input 2 3 17 3" xfId="1660" xr:uid="{00000000-0005-0000-0000-000017060000}"/>
    <cellStyle name="Input 2 3 17 4" xfId="1661" xr:uid="{00000000-0005-0000-0000-000018060000}"/>
    <cellStyle name="Input 2 3 17 5" xfId="1662" xr:uid="{00000000-0005-0000-0000-000019060000}"/>
    <cellStyle name="Input 2 3 18" xfId="1663" xr:uid="{00000000-0005-0000-0000-00001A060000}"/>
    <cellStyle name="Input 2 3 18 2" xfId="1664" xr:uid="{00000000-0005-0000-0000-00001B060000}"/>
    <cellStyle name="Input 2 3 18 3" xfId="1665" xr:uid="{00000000-0005-0000-0000-00001C060000}"/>
    <cellStyle name="Input 2 3 18 4" xfId="1666" xr:uid="{00000000-0005-0000-0000-00001D060000}"/>
    <cellStyle name="Input 2 3 18 5" xfId="1667" xr:uid="{00000000-0005-0000-0000-00001E060000}"/>
    <cellStyle name="Input 2 3 19" xfId="1668" xr:uid="{00000000-0005-0000-0000-00001F060000}"/>
    <cellStyle name="Input 2 3 19 2" xfId="1669" xr:uid="{00000000-0005-0000-0000-000020060000}"/>
    <cellStyle name="Input 2 3 19 3" xfId="1670" xr:uid="{00000000-0005-0000-0000-000021060000}"/>
    <cellStyle name="Input 2 3 19 4" xfId="1671" xr:uid="{00000000-0005-0000-0000-000022060000}"/>
    <cellStyle name="Input 2 3 2" xfId="1672" xr:uid="{00000000-0005-0000-0000-000023060000}"/>
    <cellStyle name="Input 2 3 2 2" xfId="1673" xr:uid="{00000000-0005-0000-0000-000024060000}"/>
    <cellStyle name="Input 2 3 2 3" xfId="1674" xr:uid="{00000000-0005-0000-0000-000025060000}"/>
    <cellStyle name="Input 2 3 2 4" xfId="1675" xr:uid="{00000000-0005-0000-0000-000026060000}"/>
    <cellStyle name="Input 2 3 2 5" xfId="1676" xr:uid="{00000000-0005-0000-0000-000027060000}"/>
    <cellStyle name="Input 2 3 20" xfId="1677" xr:uid="{00000000-0005-0000-0000-000028060000}"/>
    <cellStyle name="Input 2 3 20 2" xfId="1678" xr:uid="{00000000-0005-0000-0000-000029060000}"/>
    <cellStyle name="Input 2 3 20 3" xfId="1679" xr:uid="{00000000-0005-0000-0000-00002A060000}"/>
    <cellStyle name="Input 2 3 20 4" xfId="1680" xr:uid="{00000000-0005-0000-0000-00002B060000}"/>
    <cellStyle name="Input 2 3 21" xfId="1681" xr:uid="{00000000-0005-0000-0000-00002C060000}"/>
    <cellStyle name="Input 2 3 21 2" xfId="1682" xr:uid="{00000000-0005-0000-0000-00002D060000}"/>
    <cellStyle name="Input 2 3 21 3" xfId="1683" xr:uid="{00000000-0005-0000-0000-00002E060000}"/>
    <cellStyle name="Input 2 3 21 4" xfId="1684" xr:uid="{00000000-0005-0000-0000-00002F060000}"/>
    <cellStyle name="Input 2 3 22" xfId="1685" xr:uid="{00000000-0005-0000-0000-000030060000}"/>
    <cellStyle name="Input 2 3 22 2" xfId="1686" xr:uid="{00000000-0005-0000-0000-000031060000}"/>
    <cellStyle name="Input 2 3 22 3" xfId="1687" xr:uid="{00000000-0005-0000-0000-000032060000}"/>
    <cellStyle name="Input 2 3 22 4" xfId="1688" xr:uid="{00000000-0005-0000-0000-000033060000}"/>
    <cellStyle name="Input 2 3 23" xfId="1689" xr:uid="{00000000-0005-0000-0000-000034060000}"/>
    <cellStyle name="Input 2 3 3" xfId="1690" xr:uid="{00000000-0005-0000-0000-000035060000}"/>
    <cellStyle name="Input 2 3 3 2" xfId="1691" xr:uid="{00000000-0005-0000-0000-000036060000}"/>
    <cellStyle name="Input 2 3 3 3" xfId="1692" xr:uid="{00000000-0005-0000-0000-000037060000}"/>
    <cellStyle name="Input 2 3 3 4" xfId="1693" xr:uid="{00000000-0005-0000-0000-000038060000}"/>
    <cellStyle name="Input 2 3 3 5" xfId="1694" xr:uid="{00000000-0005-0000-0000-000039060000}"/>
    <cellStyle name="Input 2 3 4" xfId="1695" xr:uid="{00000000-0005-0000-0000-00003A060000}"/>
    <cellStyle name="Input 2 3 4 2" xfId="1696" xr:uid="{00000000-0005-0000-0000-00003B060000}"/>
    <cellStyle name="Input 2 3 4 3" xfId="1697" xr:uid="{00000000-0005-0000-0000-00003C060000}"/>
    <cellStyle name="Input 2 3 4 4" xfId="1698" xr:uid="{00000000-0005-0000-0000-00003D060000}"/>
    <cellStyle name="Input 2 3 4 5" xfId="1699" xr:uid="{00000000-0005-0000-0000-00003E060000}"/>
    <cellStyle name="Input 2 3 5" xfId="1700" xr:uid="{00000000-0005-0000-0000-00003F060000}"/>
    <cellStyle name="Input 2 3 5 2" xfId="1701" xr:uid="{00000000-0005-0000-0000-000040060000}"/>
    <cellStyle name="Input 2 3 5 3" xfId="1702" xr:uid="{00000000-0005-0000-0000-000041060000}"/>
    <cellStyle name="Input 2 3 5 4" xfId="1703" xr:uid="{00000000-0005-0000-0000-000042060000}"/>
    <cellStyle name="Input 2 3 5 5" xfId="1704" xr:uid="{00000000-0005-0000-0000-000043060000}"/>
    <cellStyle name="Input 2 3 6" xfId="1705" xr:uid="{00000000-0005-0000-0000-000044060000}"/>
    <cellStyle name="Input 2 3 6 2" xfId="1706" xr:uid="{00000000-0005-0000-0000-000045060000}"/>
    <cellStyle name="Input 2 3 6 3" xfId="1707" xr:uid="{00000000-0005-0000-0000-000046060000}"/>
    <cellStyle name="Input 2 3 6 4" xfId="1708" xr:uid="{00000000-0005-0000-0000-000047060000}"/>
    <cellStyle name="Input 2 3 6 5" xfId="1709" xr:uid="{00000000-0005-0000-0000-000048060000}"/>
    <cellStyle name="Input 2 3 7" xfId="1710" xr:uid="{00000000-0005-0000-0000-000049060000}"/>
    <cellStyle name="Input 2 3 7 2" xfId="1711" xr:uid="{00000000-0005-0000-0000-00004A060000}"/>
    <cellStyle name="Input 2 3 7 3" xfId="1712" xr:uid="{00000000-0005-0000-0000-00004B060000}"/>
    <cellStyle name="Input 2 3 7 4" xfId="1713" xr:uid="{00000000-0005-0000-0000-00004C060000}"/>
    <cellStyle name="Input 2 3 7 5" xfId="1714" xr:uid="{00000000-0005-0000-0000-00004D060000}"/>
    <cellStyle name="Input 2 3 8" xfId="1715" xr:uid="{00000000-0005-0000-0000-00004E060000}"/>
    <cellStyle name="Input 2 3 8 2" xfId="1716" xr:uid="{00000000-0005-0000-0000-00004F060000}"/>
    <cellStyle name="Input 2 3 8 3" xfId="1717" xr:uid="{00000000-0005-0000-0000-000050060000}"/>
    <cellStyle name="Input 2 3 8 4" xfId="1718" xr:uid="{00000000-0005-0000-0000-000051060000}"/>
    <cellStyle name="Input 2 3 8 5" xfId="1719" xr:uid="{00000000-0005-0000-0000-000052060000}"/>
    <cellStyle name="Input 2 3 9" xfId="1720" xr:uid="{00000000-0005-0000-0000-000053060000}"/>
    <cellStyle name="Input 2 3 9 2" xfId="1721" xr:uid="{00000000-0005-0000-0000-000054060000}"/>
    <cellStyle name="Input 2 3 9 3" xfId="1722" xr:uid="{00000000-0005-0000-0000-000055060000}"/>
    <cellStyle name="Input 2 3 9 4" xfId="1723" xr:uid="{00000000-0005-0000-0000-000056060000}"/>
    <cellStyle name="Input 2 3 9 5" xfId="1724" xr:uid="{00000000-0005-0000-0000-000057060000}"/>
    <cellStyle name="Input 2 4" xfId="1725" xr:uid="{00000000-0005-0000-0000-000058060000}"/>
    <cellStyle name="Input 2 4 10" xfId="1726" xr:uid="{00000000-0005-0000-0000-000059060000}"/>
    <cellStyle name="Input 2 4 10 2" xfId="1727" xr:uid="{00000000-0005-0000-0000-00005A060000}"/>
    <cellStyle name="Input 2 4 10 3" xfId="1728" xr:uid="{00000000-0005-0000-0000-00005B060000}"/>
    <cellStyle name="Input 2 4 10 4" xfId="1729" xr:uid="{00000000-0005-0000-0000-00005C060000}"/>
    <cellStyle name="Input 2 4 10 5" xfId="1730" xr:uid="{00000000-0005-0000-0000-00005D060000}"/>
    <cellStyle name="Input 2 4 11" xfId="1731" xr:uid="{00000000-0005-0000-0000-00005E060000}"/>
    <cellStyle name="Input 2 4 11 2" xfId="1732" xr:uid="{00000000-0005-0000-0000-00005F060000}"/>
    <cellStyle name="Input 2 4 11 3" xfId="1733" xr:uid="{00000000-0005-0000-0000-000060060000}"/>
    <cellStyle name="Input 2 4 11 4" xfId="1734" xr:uid="{00000000-0005-0000-0000-000061060000}"/>
    <cellStyle name="Input 2 4 11 5" xfId="1735" xr:uid="{00000000-0005-0000-0000-000062060000}"/>
    <cellStyle name="Input 2 4 12" xfId="1736" xr:uid="{00000000-0005-0000-0000-000063060000}"/>
    <cellStyle name="Input 2 4 12 2" xfId="1737" xr:uid="{00000000-0005-0000-0000-000064060000}"/>
    <cellStyle name="Input 2 4 12 3" xfId="1738" xr:uid="{00000000-0005-0000-0000-000065060000}"/>
    <cellStyle name="Input 2 4 12 4" xfId="1739" xr:uid="{00000000-0005-0000-0000-000066060000}"/>
    <cellStyle name="Input 2 4 12 5" xfId="1740" xr:uid="{00000000-0005-0000-0000-000067060000}"/>
    <cellStyle name="Input 2 4 13" xfId="1741" xr:uid="{00000000-0005-0000-0000-000068060000}"/>
    <cellStyle name="Input 2 4 13 2" xfId="1742" xr:uid="{00000000-0005-0000-0000-000069060000}"/>
    <cellStyle name="Input 2 4 13 3" xfId="1743" xr:uid="{00000000-0005-0000-0000-00006A060000}"/>
    <cellStyle name="Input 2 4 13 4" xfId="1744" xr:uid="{00000000-0005-0000-0000-00006B060000}"/>
    <cellStyle name="Input 2 4 13 5" xfId="1745" xr:uid="{00000000-0005-0000-0000-00006C060000}"/>
    <cellStyle name="Input 2 4 14" xfId="1746" xr:uid="{00000000-0005-0000-0000-00006D060000}"/>
    <cellStyle name="Input 2 4 14 2" xfId="1747" xr:uid="{00000000-0005-0000-0000-00006E060000}"/>
    <cellStyle name="Input 2 4 14 3" xfId="1748" xr:uid="{00000000-0005-0000-0000-00006F060000}"/>
    <cellStyle name="Input 2 4 14 4" xfId="1749" xr:uid="{00000000-0005-0000-0000-000070060000}"/>
    <cellStyle name="Input 2 4 14 5" xfId="1750" xr:uid="{00000000-0005-0000-0000-000071060000}"/>
    <cellStyle name="Input 2 4 15" xfId="1751" xr:uid="{00000000-0005-0000-0000-000072060000}"/>
    <cellStyle name="Input 2 4 15 2" xfId="1752" xr:uid="{00000000-0005-0000-0000-000073060000}"/>
    <cellStyle name="Input 2 4 15 3" xfId="1753" xr:uid="{00000000-0005-0000-0000-000074060000}"/>
    <cellStyle name="Input 2 4 15 4" xfId="1754" xr:uid="{00000000-0005-0000-0000-000075060000}"/>
    <cellStyle name="Input 2 4 15 5" xfId="1755" xr:uid="{00000000-0005-0000-0000-000076060000}"/>
    <cellStyle name="Input 2 4 16" xfId="1756" xr:uid="{00000000-0005-0000-0000-000077060000}"/>
    <cellStyle name="Input 2 4 16 2" xfId="1757" xr:uid="{00000000-0005-0000-0000-000078060000}"/>
    <cellStyle name="Input 2 4 16 3" xfId="1758" xr:uid="{00000000-0005-0000-0000-000079060000}"/>
    <cellStyle name="Input 2 4 16 4" xfId="1759" xr:uid="{00000000-0005-0000-0000-00007A060000}"/>
    <cellStyle name="Input 2 4 16 5" xfId="1760" xr:uid="{00000000-0005-0000-0000-00007B060000}"/>
    <cellStyle name="Input 2 4 17" xfId="1761" xr:uid="{00000000-0005-0000-0000-00007C060000}"/>
    <cellStyle name="Input 2 4 17 2" xfId="1762" xr:uid="{00000000-0005-0000-0000-00007D060000}"/>
    <cellStyle name="Input 2 4 17 3" xfId="1763" xr:uid="{00000000-0005-0000-0000-00007E060000}"/>
    <cellStyle name="Input 2 4 17 4" xfId="1764" xr:uid="{00000000-0005-0000-0000-00007F060000}"/>
    <cellStyle name="Input 2 4 17 5" xfId="1765" xr:uid="{00000000-0005-0000-0000-000080060000}"/>
    <cellStyle name="Input 2 4 18" xfId="1766" xr:uid="{00000000-0005-0000-0000-000081060000}"/>
    <cellStyle name="Input 2 4 18 2" xfId="1767" xr:uid="{00000000-0005-0000-0000-000082060000}"/>
    <cellStyle name="Input 2 4 18 3" xfId="1768" xr:uid="{00000000-0005-0000-0000-000083060000}"/>
    <cellStyle name="Input 2 4 18 4" xfId="1769" xr:uid="{00000000-0005-0000-0000-000084060000}"/>
    <cellStyle name="Input 2 4 18 5" xfId="1770" xr:uid="{00000000-0005-0000-0000-000085060000}"/>
    <cellStyle name="Input 2 4 19" xfId="1771" xr:uid="{00000000-0005-0000-0000-000086060000}"/>
    <cellStyle name="Input 2 4 19 2" xfId="1772" xr:uid="{00000000-0005-0000-0000-000087060000}"/>
    <cellStyle name="Input 2 4 19 3" xfId="1773" xr:uid="{00000000-0005-0000-0000-000088060000}"/>
    <cellStyle name="Input 2 4 19 4" xfId="1774" xr:uid="{00000000-0005-0000-0000-000089060000}"/>
    <cellStyle name="Input 2 4 2" xfId="1775" xr:uid="{00000000-0005-0000-0000-00008A060000}"/>
    <cellStyle name="Input 2 4 2 2" xfId="1776" xr:uid="{00000000-0005-0000-0000-00008B060000}"/>
    <cellStyle name="Input 2 4 2 3" xfId="1777" xr:uid="{00000000-0005-0000-0000-00008C060000}"/>
    <cellStyle name="Input 2 4 2 4" xfId="1778" xr:uid="{00000000-0005-0000-0000-00008D060000}"/>
    <cellStyle name="Input 2 4 2 5" xfId="1779" xr:uid="{00000000-0005-0000-0000-00008E060000}"/>
    <cellStyle name="Input 2 4 20" xfId="1780" xr:uid="{00000000-0005-0000-0000-00008F060000}"/>
    <cellStyle name="Input 2 4 20 2" xfId="1781" xr:uid="{00000000-0005-0000-0000-000090060000}"/>
    <cellStyle name="Input 2 4 20 3" xfId="1782" xr:uid="{00000000-0005-0000-0000-000091060000}"/>
    <cellStyle name="Input 2 4 20 4" xfId="1783" xr:uid="{00000000-0005-0000-0000-000092060000}"/>
    <cellStyle name="Input 2 4 21" xfId="1784" xr:uid="{00000000-0005-0000-0000-000093060000}"/>
    <cellStyle name="Input 2 4 21 2" xfId="1785" xr:uid="{00000000-0005-0000-0000-000094060000}"/>
    <cellStyle name="Input 2 4 21 3" xfId="1786" xr:uid="{00000000-0005-0000-0000-000095060000}"/>
    <cellStyle name="Input 2 4 21 4" xfId="1787" xr:uid="{00000000-0005-0000-0000-000096060000}"/>
    <cellStyle name="Input 2 4 22" xfId="1788" xr:uid="{00000000-0005-0000-0000-000097060000}"/>
    <cellStyle name="Input 2 4 22 2" xfId="1789" xr:uid="{00000000-0005-0000-0000-000098060000}"/>
    <cellStyle name="Input 2 4 22 3" xfId="1790" xr:uid="{00000000-0005-0000-0000-000099060000}"/>
    <cellStyle name="Input 2 4 22 4" xfId="1791" xr:uid="{00000000-0005-0000-0000-00009A060000}"/>
    <cellStyle name="Input 2 4 23" xfId="1792" xr:uid="{00000000-0005-0000-0000-00009B060000}"/>
    <cellStyle name="Input 2 4 3" xfId="1793" xr:uid="{00000000-0005-0000-0000-00009C060000}"/>
    <cellStyle name="Input 2 4 3 2" xfId="1794" xr:uid="{00000000-0005-0000-0000-00009D060000}"/>
    <cellStyle name="Input 2 4 3 3" xfId="1795" xr:uid="{00000000-0005-0000-0000-00009E060000}"/>
    <cellStyle name="Input 2 4 3 4" xfId="1796" xr:uid="{00000000-0005-0000-0000-00009F060000}"/>
    <cellStyle name="Input 2 4 3 5" xfId="1797" xr:uid="{00000000-0005-0000-0000-0000A0060000}"/>
    <cellStyle name="Input 2 4 4" xfId="1798" xr:uid="{00000000-0005-0000-0000-0000A1060000}"/>
    <cellStyle name="Input 2 4 4 2" xfId="1799" xr:uid="{00000000-0005-0000-0000-0000A2060000}"/>
    <cellStyle name="Input 2 4 4 3" xfId="1800" xr:uid="{00000000-0005-0000-0000-0000A3060000}"/>
    <cellStyle name="Input 2 4 4 4" xfId="1801" xr:uid="{00000000-0005-0000-0000-0000A4060000}"/>
    <cellStyle name="Input 2 4 4 5" xfId="1802" xr:uid="{00000000-0005-0000-0000-0000A5060000}"/>
    <cellStyle name="Input 2 4 5" xfId="1803" xr:uid="{00000000-0005-0000-0000-0000A6060000}"/>
    <cellStyle name="Input 2 4 5 2" xfId="1804" xr:uid="{00000000-0005-0000-0000-0000A7060000}"/>
    <cellStyle name="Input 2 4 5 3" xfId="1805" xr:uid="{00000000-0005-0000-0000-0000A8060000}"/>
    <cellStyle name="Input 2 4 5 4" xfId="1806" xr:uid="{00000000-0005-0000-0000-0000A9060000}"/>
    <cellStyle name="Input 2 4 5 5" xfId="1807" xr:uid="{00000000-0005-0000-0000-0000AA060000}"/>
    <cellStyle name="Input 2 4 6" xfId="1808" xr:uid="{00000000-0005-0000-0000-0000AB060000}"/>
    <cellStyle name="Input 2 4 6 2" xfId="1809" xr:uid="{00000000-0005-0000-0000-0000AC060000}"/>
    <cellStyle name="Input 2 4 6 3" xfId="1810" xr:uid="{00000000-0005-0000-0000-0000AD060000}"/>
    <cellStyle name="Input 2 4 6 4" xfId="1811" xr:uid="{00000000-0005-0000-0000-0000AE060000}"/>
    <cellStyle name="Input 2 4 6 5" xfId="1812" xr:uid="{00000000-0005-0000-0000-0000AF060000}"/>
    <cellStyle name="Input 2 4 7" xfId="1813" xr:uid="{00000000-0005-0000-0000-0000B0060000}"/>
    <cellStyle name="Input 2 4 7 2" xfId="1814" xr:uid="{00000000-0005-0000-0000-0000B1060000}"/>
    <cellStyle name="Input 2 4 7 3" xfId="1815" xr:uid="{00000000-0005-0000-0000-0000B2060000}"/>
    <cellStyle name="Input 2 4 7 4" xfId="1816" xr:uid="{00000000-0005-0000-0000-0000B3060000}"/>
    <cellStyle name="Input 2 4 7 5" xfId="1817" xr:uid="{00000000-0005-0000-0000-0000B4060000}"/>
    <cellStyle name="Input 2 4 8" xfId="1818" xr:uid="{00000000-0005-0000-0000-0000B5060000}"/>
    <cellStyle name="Input 2 4 8 2" xfId="1819" xr:uid="{00000000-0005-0000-0000-0000B6060000}"/>
    <cellStyle name="Input 2 4 8 3" xfId="1820" xr:uid="{00000000-0005-0000-0000-0000B7060000}"/>
    <cellStyle name="Input 2 4 8 4" xfId="1821" xr:uid="{00000000-0005-0000-0000-0000B8060000}"/>
    <cellStyle name="Input 2 4 8 5" xfId="1822" xr:uid="{00000000-0005-0000-0000-0000B9060000}"/>
    <cellStyle name="Input 2 4 9" xfId="1823" xr:uid="{00000000-0005-0000-0000-0000BA060000}"/>
    <cellStyle name="Input 2 4 9 2" xfId="1824" xr:uid="{00000000-0005-0000-0000-0000BB060000}"/>
    <cellStyle name="Input 2 4 9 3" xfId="1825" xr:uid="{00000000-0005-0000-0000-0000BC060000}"/>
    <cellStyle name="Input 2 4 9 4" xfId="1826" xr:uid="{00000000-0005-0000-0000-0000BD060000}"/>
    <cellStyle name="Input 2 4 9 5" xfId="1827" xr:uid="{00000000-0005-0000-0000-0000BE060000}"/>
    <cellStyle name="Input 2 5" xfId="1828" xr:uid="{00000000-0005-0000-0000-0000BF060000}"/>
    <cellStyle name="Input 2 5 10" xfId="1829" xr:uid="{00000000-0005-0000-0000-0000C0060000}"/>
    <cellStyle name="Input 2 5 10 2" xfId="1830" xr:uid="{00000000-0005-0000-0000-0000C1060000}"/>
    <cellStyle name="Input 2 5 10 3" xfId="1831" xr:uid="{00000000-0005-0000-0000-0000C2060000}"/>
    <cellStyle name="Input 2 5 10 4" xfId="1832" xr:uid="{00000000-0005-0000-0000-0000C3060000}"/>
    <cellStyle name="Input 2 5 10 5" xfId="1833" xr:uid="{00000000-0005-0000-0000-0000C4060000}"/>
    <cellStyle name="Input 2 5 11" xfId="1834" xr:uid="{00000000-0005-0000-0000-0000C5060000}"/>
    <cellStyle name="Input 2 5 11 2" xfId="1835" xr:uid="{00000000-0005-0000-0000-0000C6060000}"/>
    <cellStyle name="Input 2 5 11 3" xfId="1836" xr:uid="{00000000-0005-0000-0000-0000C7060000}"/>
    <cellStyle name="Input 2 5 11 4" xfId="1837" xr:uid="{00000000-0005-0000-0000-0000C8060000}"/>
    <cellStyle name="Input 2 5 11 5" xfId="1838" xr:uid="{00000000-0005-0000-0000-0000C9060000}"/>
    <cellStyle name="Input 2 5 12" xfId="1839" xr:uid="{00000000-0005-0000-0000-0000CA060000}"/>
    <cellStyle name="Input 2 5 12 2" xfId="1840" xr:uid="{00000000-0005-0000-0000-0000CB060000}"/>
    <cellStyle name="Input 2 5 12 3" xfId="1841" xr:uid="{00000000-0005-0000-0000-0000CC060000}"/>
    <cellStyle name="Input 2 5 12 4" xfId="1842" xr:uid="{00000000-0005-0000-0000-0000CD060000}"/>
    <cellStyle name="Input 2 5 12 5" xfId="1843" xr:uid="{00000000-0005-0000-0000-0000CE060000}"/>
    <cellStyle name="Input 2 5 13" xfId="1844" xr:uid="{00000000-0005-0000-0000-0000CF060000}"/>
    <cellStyle name="Input 2 5 13 2" xfId="1845" xr:uid="{00000000-0005-0000-0000-0000D0060000}"/>
    <cellStyle name="Input 2 5 13 3" xfId="1846" xr:uid="{00000000-0005-0000-0000-0000D1060000}"/>
    <cellStyle name="Input 2 5 13 4" xfId="1847" xr:uid="{00000000-0005-0000-0000-0000D2060000}"/>
    <cellStyle name="Input 2 5 13 5" xfId="1848" xr:uid="{00000000-0005-0000-0000-0000D3060000}"/>
    <cellStyle name="Input 2 5 14" xfId="1849" xr:uid="{00000000-0005-0000-0000-0000D4060000}"/>
    <cellStyle name="Input 2 5 14 2" xfId="1850" xr:uid="{00000000-0005-0000-0000-0000D5060000}"/>
    <cellStyle name="Input 2 5 14 3" xfId="1851" xr:uid="{00000000-0005-0000-0000-0000D6060000}"/>
    <cellStyle name="Input 2 5 14 4" xfId="1852" xr:uid="{00000000-0005-0000-0000-0000D7060000}"/>
    <cellStyle name="Input 2 5 14 5" xfId="1853" xr:uid="{00000000-0005-0000-0000-0000D8060000}"/>
    <cellStyle name="Input 2 5 15" xfId="1854" xr:uid="{00000000-0005-0000-0000-0000D9060000}"/>
    <cellStyle name="Input 2 5 15 2" xfId="1855" xr:uid="{00000000-0005-0000-0000-0000DA060000}"/>
    <cellStyle name="Input 2 5 15 3" xfId="1856" xr:uid="{00000000-0005-0000-0000-0000DB060000}"/>
    <cellStyle name="Input 2 5 15 4" xfId="1857" xr:uid="{00000000-0005-0000-0000-0000DC060000}"/>
    <cellStyle name="Input 2 5 15 5" xfId="1858" xr:uid="{00000000-0005-0000-0000-0000DD060000}"/>
    <cellStyle name="Input 2 5 16" xfId="1859" xr:uid="{00000000-0005-0000-0000-0000DE060000}"/>
    <cellStyle name="Input 2 5 16 2" xfId="1860" xr:uid="{00000000-0005-0000-0000-0000DF060000}"/>
    <cellStyle name="Input 2 5 16 3" xfId="1861" xr:uid="{00000000-0005-0000-0000-0000E0060000}"/>
    <cellStyle name="Input 2 5 16 4" xfId="1862" xr:uid="{00000000-0005-0000-0000-0000E1060000}"/>
    <cellStyle name="Input 2 5 16 5" xfId="1863" xr:uid="{00000000-0005-0000-0000-0000E2060000}"/>
    <cellStyle name="Input 2 5 17" xfId="1864" xr:uid="{00000000-0005-0000-0000-0000E3060000}"/>
    <cellStyle name="Input 2 5 17 2" xfId="1865" xr:uid="{00000000-0005-0000-0000-0000E4060000}"/>
    <cellStyle name="Input 2 5 17 3" xfId="1866" xr:uid="{00000000-0005-0000-0000-0000E5060000}"/>
    <cellStyle name="Input 2 5 17 4" xfId="1867" xr:uid="{00000000-0005-0000-0000-0000E6060000}"/>
    <cellStyle name="Input 2 5 17 5" xfId="1868" xr:uid="{00000000-0005-0000-0000-0000E7060000}"/>
    <cellStyle name="Input 2 5 18" xfId="1869" xr:uid="{00000000-0005-0000-0000-0000E8060000}"/>
    <cellStyle name="Input 2 5 18 2" xfId="1870" xr:uid="{00000000-0005-0000-0000-0000E9060000}"/>
    <cellStyle name="Input 2 5 18 3" xfId="1871" xr:uid="{00000000-0005-0000-0000-0000EA060000}"/>
    <cellStyle name="Input 2 5 18 4" xfId="1872" xr:uid="{00000000-0005-0000-0000-0000EB060000}"/>
    <cellStyle name="Input 2 5 18 5" xfId="1873" xr:uid="{00000000-0005-0000-0000-0000EC060000}"/>
    <cellStyle name="Input 2 5 19" xfId="1874" xr:uid="{00000000-0005-0000-0000-0000ED060000}"/>
    <cellStyle name="Input 2 5 19 2" xfId="1875" xr:uid="{00000000-0005-0000-0000-0000EE060000}"/>
    <cellStyle name="Input 2 5 19 3" xfId="1876" xr:uid="{00000000-0005-0000-0000-0000EF060000}"/>
    <cellStyle name="Input 2 5 19 4" xfId="1877" xr:uid="{00000000-0005-0000-0000-0000F0060000}"/>
    <cellStyle name="Input 2 5 2" xfId="1878" xr:uid="{00000000-0005-0000-0000-0000F1060000}"/>
    <cellStyle name="Input 2 5 2 2" xfId="1879" xr:uid="{00000000-0005-0000-0000-0000F2060000}"/>
    <cellStyle name="Input 2 5 2 3" xfId="1880" xr:uid="{00000000-0005-0000-0000-0000F3060000}"/>
    <cellStyle name="Input 2 5 2 4" xfId="1881" xr:uid="{00000000-0005-0000-0000-0000F4060000}"/>
    <cellStyle name="Input 2 5 2 5" xfId="1882" xr:uid="{00000000-0005-0000-0000-0000F5060000}"/>
    <cellStyle name="Input 2 5 20" xfId="1883" xr:uid="{00000000-0005-0000-0000-0000F6060000}"/>
    <cellStyle name="Input 2 5 20 2" xfId="1884" xr:uid="{00000000-0005-0000-0000-0000F7060000}"/>
    <cellStyle name="Input 2 5 20 3" xfId="1885" xr:uid="{00000000-0005-0000-0000-0000F8060000}"/>
    <cellStyle name="Input 2 5 20 4" xfId="1886" xr:uid="{00000000-0005-0000-0000-0000F9060000}"/>
    <cellStyle name="Input 2 5 21" xfId="1887" xr:uid="{00000000-0005-0000-0000-0000FA060000}"/>
    <cellStyle name="Input 2 5 21 2" xfId="1888" xr:uid="{00000000-0005-0000-0000-0000FB060000}"/>
    <cellStyle name="Input 2 5 21 3" xfId="1889" xr:uid="{00000000-0005-0000-0000-0000FC060000}"/>
    <cellStyle name="Input 2 5 21 4" xfId="1890" xr:uid="{00000000-0005-0000-0000-0000FD060000}"/>
    <cellStyle name="Input 2 5 22" xfId="1891" xr:uid="{00000000-0005-0000-0000-0000FE060000}"/>
    <cellStyle name="Input 2 5 22 2" xfId="1892" xr:uid="{00000000-0005-0000-0000-0000FF060000}"/>
    <cellStyle name="Input 2 5 22 3" xfId="1893" xr:uid="{00000000-0005-0000-0000-000000070000}"/>
    <cellStyle name="Input 2 5 22 4" xfId="1894" xr:uid="{00000000-0005-0000-0000-000001070000}"/>
    <cellStyle name="Input 2 5 23" xfId="1895" xr:uid="{00000000-0005-0000-0000-000002070000}"/>
    <cellStyle name="Input 2 5 3" xfId="1896" xr:uid="{00000000-0005-0000-0000-000003070000}"/>
    <cellStyle name="Input 2 5 3 2" xfId="1897" xr:uid="{00000000-0005-0000-0000-000004070000}"/>
    <cellStyle name="Input 2 5 3 3" xfId="1898" xr:uid="{00000000-0005-0000-0000-000005070000}"/>
    <cellStyle name="Input 2 5 3 4" xfId="1899" xr:uid="{00000000-0005-0000-0000-000006070000}"/>
    <cellStyle name="Input 2 5 3 5" xfId="1900" xr:uid="{00000000-0005-0000-0000-000007070000}"/>
    <cellStyle name="Input 2 5 4" xfId="1901" xr:uid="{00000000-0005-0000-0000-000008070000}"/>
    <cellStyle name="Input 2 5 4 2" xfId="1902" xr:uid="{00000000-0005-0000-0000-000009070000}"/>
    <cellStyle name="Input 2 5 4 3" xfId="1903" xr:uid="{00000000-0005-0000-0000-00000A070000}"/>
    <cellStyle name="Input 2 5 4 4" xfId="1904" xr:uid="{00000000-0005-0000-0000-00000B070000}"/>
    <cellStyle name="Input 2 5 4 5" xfId="1905" xr:uid="{00000000-0005-0000-0000-00000C070000}"/>
    <cellStyle name="Input 2 5 5" xfId="1906" xr:uid="{00000000-0005-0000-0000-00000D070000}"/>
    <cellStyle name="Input 2 5 5 2" xfId="1907" xr:uid="{00000000-0005-0000-0000-00000E070000}"/>
    <cellStyle name="Input 2 5 5 3" xfId="1908" xr:uid="{00000000-0005-0000-0000-00000F070000}"/>
    <cellStyle name="Input 2 5 5 4" xfId="1909" xr:uid="{00000000-0005-0000-0000-000010070000}"/>
    <cellStyle name="Input 2 5 5 5" xfId="1910" xr:uid="{00000000-0005-0000-0000-000011070000}"/>
    <cellStyle name="Input 2 5 6" xfId="1911" xr:uid="{00000000-0005-0000-0000-000012070000}"/>
    <cellStyle name="Input 2 5 6 2" xfId="1912" xr:uid="{00000000-0005-0000-0000-000013070000}"/>
    <cellStyle name="Input 2 5 6 3" xfId="1913" xr:uid="{00000000-0005-0000-0000-000014070000}"/>
    <cellStyle name="Input 2 5 6 4" xfId="1914" xr:uid="{00000000-0005-0000-0000-000015070000}"/>
    <cellStyle name="Input 2 5 6 5" xfId="1915" xr:uid="{00000000-0005-0000-0000-000016070000}"/>
    <cellStyle name="Input 2 5 7" xfId="1916" xr:uid="{00000000-0005-0000-0000-000017070000}"/>
    <cellStyle name="Input 2 5 7 2" xfId="1917" xr:uid="{00000000-0005-0000-0000-000018070000}"/>
    <cellStyle name="Input 2 5 7 3" xfId="1918" xr:uid="{00000000-0005-0000-0000-000019070000}"/>
    <cellStyle name="Input 2 5 7 4" xfId="1919" xr:uid="{00000000-0005-0000-0000-00001A070000}"/>
    <cellStyle name="Input 2 5 7 5" xfId="1920" xr:uid="{00000000-0005-0000-0000-00001B070000}"/>
    <cellStyle name="Input 2 5 8" xfId="1921" xr:uid="{00000000-0005-0000-0000-00001C070000}"/>
    <cellStyle name="Input 2 5 8 2" xfId="1922" xr:uid="{00000000-0005-0000-0000-00001D070000}"/>
    <cellStyle name="Input 2 5 8 3" xfId="1923" xr:uid="{00000000-0005-0000-0000-00001E070000}"/>
    <cellStyle name="Input 2 5 8 4" xfId="1924" xr:uid="{00000000-0005-0000-0000-00001F070000}"/>
    <cellStyle name="Input 2 5 8 5" xfId="1925" xr:uid="{00000000-0005-0000-0000-000020070000}"/>
    <cellStyle name="Input 2 5 9" xfId="1926" xr:uid="{00000000-0005-0000-0000-000021070000}"/>
    <cellStyle name="Input 2 5 9 2" xfId="1927" xr:uid="{00000000-0005-0000-0000-000022070000}"/>
    <cellStyle name="Input 2 5 9 3" xfId="1928" xr:uid="{00000000-0005-0000-0000-000023070000}"/>
    <cellStyle name="Input 2 5 9 4" xfId="1929" xr:uid="{00000000-0005-0000-0000-000024070000}"/>
    <cellStyle name="Input 2 5 9 5" xfId="1930" xr:uid="{00000000-0005-0000-0000-000025070000}"/>
    <cellStyle name="Input 2 6" xfId="1931" xr:uid="{00000000-0005-0000-0000-000026070000}"/>
    <cellStyle name="Input 2 6 10" xfId="1932" xr:uid="{00000000-0005-0000-0000-000027070000}"/>
    <cellStyle name="Input 2 6 10 2" xfId="1933" xr:uid="{00000000-0005-0000-0000-000028070000}"/>
    <cellStyle name="Input 2 6 10 3" xfId="1934" xr:uid="{00000000-0005-0000-0000-000029070000}"/>
    <cellStyle name="Input 2 6 10 4" xfId="1935" xr:uid="{00000000-0005-0000-0000-00002A070000}"/>
    <cellStyle name="Input 2 6 10 5" xfId="1936" xr:uid="{00000000-0005-0000-0000-00002B070000}"/>
    <cellStyle name="Input 2 6 11" xfId="1937" xr:uid="{00000000-0005-0000-0000-00002C070000}"/>
    <cellStyle name="Input 2 6 11 2" xfId="1938" xr:uid="{00000000-0005-0000-0000-00002D070000}"/>
    <cellStyle name="Input 2 6 11 3" xfId="1939" xr:uid="{00000000-0005-0000-0000-00002E070000}"/>
    <cellStyle name="Input 2 6 11 4" xfId="1940" xr:uid="{00000000-0005-0000-0000-00002F070000}"/>
    <cellStyle name="Input 2 6 11 5" xfId="1941" xr:uid="{00000000-0005-0000-0000-000030070000}"/>
    <cellStyle name="Input 2 6 12" xfId="1942" xr:uid="{00000000-0005-0000-0000-000031070000}"/>
    <cellStyle name="Input 2 6 12 2" xfId="1943" xr:uid="{00000000-0005-0000-0000-000032070000}"/>
    <cellStyle name="Input 2 6 12 3" xfId="1944" xr:uid="{00000000-0005-0000-0000-000033070000}"/>
    <cellStyle name="Input 2 6 12 4" xfId="1945" xr:uid="{00000000-0005-0000-0000-000034070000}"/>
    <cellStyle name="Input 2 6 12 5" xfId="1946" xr:uid="{00000000-0005-0000-0000-000035070000}"/>
    <cellStyle name="Input 2 6 13" xfId="1947" xr:uid="{00000000-0005-0000-0000-000036070000}"/>
    <cellStyle name="Input 2 6 13 2" xfId="1948" xr:uid="{00000000-0005-0000-0000-000037070000}"/>
    <cellStyle name="Input 2 6 13 3" xfId="1949" xr:uid="{00000000-0005-0000-0000-000038070000}"/>
    <cellStyle name="Input 2 6 13 4" xfId="1950" xr:uid="{00000000-0005-0000-0000-000039070000}"/>
    <cellStyle name="Input 2 6 13 5" xfId="1951" xr:uid="{00000000-0005-0000-0000-00003A070000}"/>
    <cellStyle name="Input 2 6 14" xfId="1952" xr:uid="{00000000-0005-0000-0000-00003B070000}"/>
    <cellStyle name="Input 2 6 14 2" xfId="1953" xr:uid="{00000000-0005-0000-0000-00003C070000}"/>
    <cellStyle name="Input 2 6 14 3" xfId="1954" xr:uid="{00000000-0005-0000-0000-00003D070000}"/>
    <cellStyle name="Input 2 6 14 4" xfId="1955" xr:uid="{00000000-0005-0000-0000-00003E070000}"/>
    <cellStyle name="Input 2 6 14 5" xfId="1956" xr:uid="{00000000-0005-0000-0000-00003F070000}"/>
    <cellStyle name="Input 2 6 15" xfId="1957" xr:uid="{00000000-0005-0000-0000-000040070000}"/>
    <cellStyle name="Input 2 6 15 2" xfId="1958" xr:uid="{00000000-0005-0000-0000-000041070000}"/>
    <cellStyle name="Input 2 6 15 3" xfId="1959" xr:uid="{00000000-0005-0000-0000-000042070000}"/>
    <cellStyle name="Input 2 6 15 4" xfId="1960" xr:uid="{00000000-0005-0000-0000-000043070000}"/>
    <cellStyle name="Input 2 6 15 5" xfId="1961" xr:uid="{00000000-0005-0000-0000-000044070000}"/>
    <cellStyle name="Input 2 6 16" xfId="1962" xr:uid="{00000000-0005-0000-0000-000045070000}"/>
    <cellStyle name="Input 2 6 16 2" xfId="1963" xr:uid="{00000000-0005-0000-0000-000046070000}"/>
    <cellStyle name="Input 2 6 16 3" xfId="1964" xr:uid="{00000000-0005-0000-0000-000047070000}"/>
    <cellStyle name="Input 2 6 16 4" xfId="1965" xr:uid="{00000000-0005-0000-0000-000048070000}"/>
    <cellStyle name="Input 2 6 16 5" xfId="1966" xr:uid="{00000000-0005-0000-0000-000049070000}"/>
    <cellStyle name="Input 2 6 17" xfId="1967" xr:uid="{00000000-0005-0000-0000-00004A070000}"/>
    <cellStyle name="Input 2 6 17 2" xfId="1968" xr:uid="{00000000-0005-0000-0000-00004B070000}"/>
    <cellStyle name="Input 2 6 17 3" xfId="1969" xr:uid="{00000000-0005-0000-0000-00004C070000}"/>
    <cellStyle name="Input 2 6 17 4" xfId="1970" xr:uid="{00000000-0005-0000-0000-00004D070000}"/>
    <cellStyle name="Input 2 6 17 5" xfId="1971" xr:uid="{00000000-0005-0000-0000-00004E070000}"/>
    <cellStyle name="Input 2 6 18" xfId="1972" xr:uid="{00000000-0005-0000-0000-00004F070000}"/>
    <cellStyle name="Input 2 6 18 2" xfId="1973" xr:uid="{00000000-0005-0000-0000-000050070000}"/>
    <cellStyle name="Input 2 6 18 3" xfId="1974" xr:uid="{00000000-0005-0000-0000-000051070000}"/>
    <cellStyle name="Input 2 6 18 4" xfId="1975" xr:uid="{00000000-0005-0000-0000-000052070000}"/>
    <cellStyle name="Input 2 6 18 5" xfId="1976" xr:uid="{00000000-0005-0000-0000-000053070000}"/>
    <cellStyle name="Input 2 6 19" xfId="1977" xr:uid="{00000000-0005-0000-0000-000054070000}"/>
    <cellStyle name="Input 2 6 19 2" xfId="1978" xr:uid="{00000000-0005-0000-0000-000055070000}"/>
    <cellStyle name="Input 2 6 19 3" xfId="1979" xr:uid="{00000000-0005-0000-0000-000056070000}"/>
    <cellStyle name="Input 2 6 19 4" xfId="1980" xr:uid="{00000000-0005-0000-0000-000057070000}"/>
    <cellStyle name="Input 2 6 19 5" xfId="1981" xr:uid="{00000000-0005-0000-0000-000058070000}"/>
    <cellStyle name="Input 2 6 2" xfId="1982" xr:uid="{00000000-0005-0000-0000-000059070000}"/>
    <cellStyle name="Input 2 6 2 2" xfId="1983" xr:uid="{00000000-0005-0000-0000-00005A070000}"/>
    <cellStyle name="Input 2 6 2 3" xfId="1984" xr:uid="{00000000-0005-0000-0000-00005B070000}"/>
    <cellStyle name="Input 2 6 2 4" xfId="1985" xr:uid="{00000000-0005-0000-0000-00005C070000}"/>
    <cellStyle name="Input 2 6 2 5" xfId="1986" xr:uid="{00000000-0005-0000-0000-00005D070000}"/>
    <cellStyle name="Input 2 6 20" xfId="1987" xr:uid="{00000000-0005-0000-0000-00005E070000}"/>
    <cellStyle name="Input 2 6 20 2" xfId="1988" xr:uid="{00000000-0005-0000-0000-00005F070000}"/>
    <cellStyle name="Input 2 6 20 3" xfId="1989" xr:uid="{00000000-0005-0000-0000-000060070000}"/>
    <cellStyle name="Input 2 6 20 4" xfId="1990" xr:uid="{00000000-0005-0000-0000-000061070000}"/>
    <cellStyle name="Input 2 6 20 5" xfId="1991" xr:uid="{00000000-0005-0000-0000-000062070000}"/>
    <cellStyle name="Input 2 6 21" xfId="1992" xr:uid="{00000000-0005-0000-0000-000063070000}"/>
    <cellStyle name="Input 2 6 21 2" xfId="1993" xr:uid="{00000000-0005-0000-0000-000064070000}"/>
    <cellStyle name="Input 2 6 21 3" xfId="1994" xr:uid="{00000000-0005-0000-0000-000065070000}"/>
    <cellStyle name="Input 2 6 21 4" xfId="1995" xr:uid="{00000000-0005-0000-0000-000066070000}"/>
    <cellStyle name="Input 2 6 21 5" xfId="1996" xr:uid="{00000000-0005-0000-0000-000067070000}"/>
    <cellStyle name="Input 2 6 22" xfId="1997" xr:uid="{00000000-0005-0000-0000-000068070000}"/>
    <cellStyle name="Input 2 6 22 2" xfId="1998" xr:uid="{00000000-0005-0000-0000-000069070000}"/>
    <cellStyle name="Input 2 6 22 3" xfId="1999" xr:uid="{00000000-0005-0000-0000-00006A070000}"/>
    <cellStyle name="Input 2 6 22 4" xfId="2000" xr:uid="{00000000-0005-0000-0000-00006B070000}"/>
    <cellStyle name="Input 2 6 23" xfId="2001" xr:uid="{00000000-0005-0000-0000-00006C070000}"/>
    <cellStyle name="Input 2 6 23 2" xfId="2002" xr:uid="{00000000-0005-0000-0000-00006D070000}"/>
    <cellStyle name="Input 2 6 23 3" xfId="2003" xr:uid="{00000000-0005-0000-0000-00006E070000}"/>
    <cellStyle name="Input 2 6 23 4" xfId="2004" xr:uid="{00000000-0005-0000-0000-00006F070000}"/>
    <cellStyle name="Input 2 6 24" xfId="2005" xr:uid="{00000000-0005-0000-0000-000070070000}"/>
    <cellStyle name="Input 2 6 24 2" xfId="2006" xr:uid="{00000000-0005-0000-0000-000071070000}"/>
    <cellStyle name="Input 2 6 24 3" xfId="2007" xr:uid="{00000000-0005-0000-0000-000072070000}"/>
    <cellStyle name="Input 2 6 24 4" xfId="2008" xr:uid="{00000000-0005-0000-0000-000073070000}"/>
    <cellStyle name="Input 2 6 25" xfId="2009" xr:uid="{00000000-0005-0000-0000-000074070000}"/>
    <cellStyle name="Input 2 6 25 2" xfId="2010" xr:uid="{00000000-0005-0000-0000-000075070000}"/>
    <cellStyle name="Input 2 6 25 3" xfId="2011" xr:uid="{00000000-0005-0000-0000-000076070000}"/>
    <cellStyle name="Input 2 6 25 4" xfId="2012" xr:uid="{00000000-0005-0000-0000-000077070000}"/>
    <cellStyle name="Input 2 6 3" xfId="2013" xr:uid="{00000000-0005-0000-0000-000078070000}"/>
    <cellStyle name="Input 2 6 3 2" xfId="2014" xr:uid="{00000000-0005-0000-0000-000079070000}"/>
    <cellStyle name="Input 2 6 3 3" xfId="2015" xr:uid="{00000000-0005-0000-0000-00007A070000}"/>
    <cellStyle name="Input 2 6 3 4" xfId="2016" xr:uid="{00000000-0005-0000-0000-00007B070000}"/>
    <cellStyle name="Input 2 6 3 5" xfId="2017" xr:uid="{00000000-0005-0000-0000-00007C070000}"/>
    <cellStyle name="Input 2 6 4" xfId="2018" xr:uid="{00000000-0005-0000-0000-00007D070000}"/>
    <cellStyle name="Input 2 6 4 2" xfId="2019" xr:uid="{00000000-0005-0000-0000-00007E070000}"/>
    <cellStyle name="Input 2 6 4 3" xfId="2020" xr:uid="{00000000-0005-0000-0000-00007F070000}"/>
    <cellStyle name="Input 2 6 4 4" xfId="2021" xr:uid="{00000000-0005-0000-0000-000080070000}"/>
    <cellStyle name="Input 2 6 4 5" xfId="2022" xr:uid="{00000000-0005-0000-0000-000081070000}"/>
    <cellStyle name="Input 2 6 5" xfId="2023" xr:uid="{00000000-0005-0000-0000-000082070000}"/>
    <cellStyle name="Input 2 6 5 2" xfId="2024" xr:uid="{00000000-0005-0000-0000-000083070000}"/>
    <cellStyle name="Input 2 6 5 3" xfId="2025" xr:uid="{00000000-0005-0000-0000-000084070000}"/>
    <cellStyle name="Input 2 6 5 4" xfId="2026" xr:uid="{00000000-0005-0000-0000-000085070000}"/>
    <cellStyle name="Input 2 6 5 5" xfId="2027" xr:uid="{00000000-0005-0000-0000-000086070000}"/>
    <cellStyle name="Input 2 6 6" xfId="2028" xr:uid="{00000000-0005-0000-0000-000087070000}"/>
    <cellStyle name="Input 2 6 6 2" xfId="2029" xr:uid="{00000000-0005-0000-0000-000088070000}"/>
    <cellStyle name="Input 2 6 6 3" xfId="2030" xr:uid="{00000000-0005-0000-0000-000089070000}"/>
    <cellStyle name="Input 2 6 6 4" xfId="2031" xr:uid="{00000000-0005-0000-0000-00008A070000}"/>
    <cellStyle name="Input 2 6 6 5" xfId="2032" xr:uid="{00000000-0005-0000-0000-00008B070000}"/>
    <cellStyle name="Input 2 6 7" xfId="2033" xr:uid="{00000000-0005-0000-0000-00008C070000}"/>
    <cellStyle name="Input 2 6 7 2" xfId="2034" xr:uid="{00000000-0005-0000-0000-00008D070000}"/>
    <cellStyle name="Input 2 6 7 3" xfId="2035" xr:uid="{00000000-0005-0000-0000-00008E070000}"/>
    <cellStyle name="Input 2 6 7 4" xfId="2036" xr:uid="{00000000-0005-0000-0000-00008F070000}"/>
    <cellStyle name="Input 2 6 7 5" xfId="2037" xr:uid="{00000000-0005-0000-0000-000090070000}"/>
    <cellStyle name="Input 2 6 8" xfId="2038" xr:uid="{00000000-0005-0000-0000-000091070000}"/>
    <cellStyle name="Input 2 6 8 2" xfId="2039" xr:uid="{00000000-0005-0000-0000-000092070000}"/>
    <cellStyle name="Input 2 6 8 3" xfId="2040" xr:uid="{00000000-0005-0000-0000-000093070000}"/>
    <cellStyle name="Input 2 6 8 4" xfId="2041" xr:uid="{00000000-0005-0000-0000-000094070000}"/>
    <cellStyle name="Input 2 6 8 5" xfId="2042" xr:uid="{00000000-0005-0000-0000-000095070000}"/>
    <cellStyle name="Input 2 6 9" xfId="2043" xr:uid="{00000000-0005-0000-0000-000096070000}"/>
    <cellStyle name="Input 2 6 9 2" xfId="2044" xr:uid="{00000000-0005-0000-0000-000097070000}"/>
    <cellStyle name="Input 2 6 9 3" xfId="2045" xr:uid="{00000000-0005-0000-0000-000098070000}"/>
    <cellStyle name="Input 2 6 9 4" xfId="2046" xr:uid="{00000000-0005-0000-0000-000099070000}"/>
    <cellStyle name="Input 2 6 9 5" xfId="2047" xr:uid="{00000000-0005-0000-0000-00009A070000}"/>
    <cellStyle name="Input 2 7" xfId="2048" xr:uid="{00000000-0005-0000-0000-00009B070000}"/>
    <cellStyle name="Input 2 7 2" xfId="2049" xr:uid="{00000000-0005-0000-0000-00009C070000}"/>
    <cellStyle name="Input 2 7 3" xfId="2050" xr:uid="{00000000-0005-0000-0000-00009D070000}"/>
    <cellStyle name="Input 2 7 4" xfId="2051" xr:uid="{00000000-0005-0000-0000-00009E070000}"/>
    <cellStyle name="Input 2 7 5" xfId="2052" xr:uid="{00000000-0005-0000-0000-00009F070000}"/>
    <cellStyle name="Input 2 8" xfId="2053" xr:uid="{00000000-0005-0000-0000-0000A0070000}"/>
    <cellStyle name="Input 2 8 2" xfId="2054" xr:uid="{00000000-0005-0000-0000-0000A1070000}"/>
    <cellStyle name="Input 2 8 3" xfId="2055" xr:uid="{00000000-0005-0000-0000-0000A2070000}"/>
    <cellStyle name="Input 2 8 4" xfId="2056" xr:uid="{00000000-0005-0000-0000-0000A3070000}"/>
    <cellStyle name="Input 2 8 5" xfId="2057" xr:uid="{00000000-0005-0000-0000-0000A4070000}"/>
    <cellStyle name="Input 2 9" xfId="2058" xr:uid="{00000000-0005-0000-0000-0000A5070000}"/>
    <cellStyle name="Input 2 9 2" xfId="2059" xr:uid="{00000000-0005-0000-0000-0000A6070000}"/>
    <cellStyle name="Input 2 9 3" xfId="2060" xr:uid="{00000000-0005-0000-0000-0000A7070000}"/>
    <cellStyle name="Input 2 9 4" xfId="2061" xr:uid="{00000000-0005-0000-0000-0000A8070000}"/>
    <cellStyle name="Input 2 9 5" xfId="2062" xr:uid="{00000000-0005-0000-0000-0000A9070000}"/>
    <cellStyle name="LEAName" xfId="83" xr:uid="{00000000-0005-0000-0000-0000AA070000}"/>
    <cellStyle name="LEAName 2" xfId="2063" xr:uid="{00000000-0005-0000-0000-0000AB070000}"/>
    <cellStyle name="LEANumber" xfId="84" xr:uid="{00000000-0005-0000-0000-0000AC070000}"/>
    <cellStyle name="LEANumber 2" xfId="2064" xr:uid="{00000000-0005-0000-0000-0000AD070000}"/>
    <cellStyle name="Linked Cell 2" xfId="85" xr:uid="{00000000-0005-0000-0000-0000AE070000}"/>
    <cellStyle name="Linked Cell 2 2" xfId="2065" xr:uid="{00000000-0005-0000-0000-0000AF070000}"/>
    <cellStyle name="log projection" xfId="86" xr:uid="{00000000-0005-0000-0000-0000B0070000}"/>
    <cellStyle name="Neutral 2" xfId="87" xr:uid="{00000000-0005-0000-0000-0000B1070000}"/>
    <cellStyle name="Neutral 2 2" xfId="2066" xr:uid="{00000000-0005-0000-0000-0000B2070000}"/>
    <cellStyle name="Neutral 3" xfId="3969" xr:uid="{99151CE0-5588-41B3-9A88-B31386AAA186}"/>
    <cellStyle name="Normal" xfId="0" builtinId="0"/>
    <cellStyle name="Normal - Style1" xfId="88" xr:uid="{00000000-0005-0000-0000-0000B4070000}"/>
    <cellStyle name="Normal - Style2" xfId="89" xr:uid="{00000000-0005-0000-0000-0000B5070000}"/>
    <cellStyle name="Normal - Style3" xfId="90" xr:uid="{00000000-0005-0000-0000-0000B6070000}"/>
    <cellStyle name="Normal - Style4" xfId="91" xr:uid="{00000000-0005-0000-0000-0000B7070000}"/>
    <cellStyle name="Normal - Style5" xfId="92" xr:uid="{00000000-0005-0000-0000-0000B8070000}"/>
    <cellStyle name="Normal 10" xfId="93" xr:uid="{00000000-0005-0000-0000-0000B9070000}"/>
    <cellStyle name="Normal 10 2" xfId="94" xr:uid="{00000000-0005-0000-0000-0000BA070000}"/>
    <cellStyle name="Normal 10 2 2" xfId="2067" xr:uid="{00000000-0005-0000-0000-0000BB070000}"/>
    <cellStyle name="Normal 10 2 2 2" xfId="2068" xr:uid="{00000000-0005-0000-0000-0000BC070000}"/>
    <cellStyle name="Normal 10 3" xfId="2069" xr:uid="{00000000-0005-0000-0000-0000BD070000}"/>
    <cellStyle name="Normal 10 3 2" xfId="2070" xr:uid="{00000000-0005-0000-0000-0000BE070000}"/>
    <cellStyle name="Normal 10 4" xfId="2071" xr:uid="{00000000-0005-0000-0000-0000BF070000}"/>
    <cellStyle name="Normal 10 4 2" xfId="2072" xr:uid="{00000000-0005-0000-0000-0000C0070000}"/>
    <cellStyle name="Normal 10 4 2 2" xfId="2073" xr:uid="{00000000-0005-0000-0000-0000C1070000}"/>
    <cellStyle name="Normal 10 4 3" xfId="2074" xr:uid="{00000000-0005-0000-0000-0000C2070000}"/>
    <cellStyle name="Normal 10 5" xfId="2075" xr:uid="{00000000-0005-0000-0000-0000C3070000}"/>
    <cellStyle name="Normal 10 6" xfId="2076" xr:uid="{00000000-0005-0000-0000-0000C4070000}"/>
    <cellStyle name="Normal 11" xfId="95" xr:uid="{00000000-0005-0000-0000-0000C5070000}"/>
    <cellStyle name="Normal 11 2" xfId="2077" xr:uid="{00000000-0005-0000-0000-0000C6070000}"/>
    <cellStyle name="Normal 11 2 10" xfId="201" xr:uid="{00000000-0005-0000-0000-0000C7070000}"/>
    <cellStyle name="Normal 11 2 2" xfId="3919" xr:uid="{00000000-0005-0000-0000-0000C8070000}"/>
    <cellStyle name="Normal 11 3" xfId="208" xr:uid="{00000000-0005-0000-0000-0000C9070000}"/>
    <cellStyle name="Normal 11 4" xfId="2078" xr:uid="{00000000-0005-0000-0000-0000CA070000}"/>
    <cellStyle name="Normal 12" xfId="96" xr:uid="{00000000-0005-0000-0000-0000CB070000}"/>
    <cellStyle name="Normal 12 2" xfId="97" xr:uid="{00000000-0005-0000-0000-0000CC070000}"/>
    <cellStyle name="Normal 12 2 2" xfId="2079" xr:uid="{00000000-0005-0000-0000-0000CD070000}"/>
    <cellStyle name="Normal 12 3" xfId="2080" xr:uid="{00000000-0005-0000-0000-0000CE070000}"/>
    <cellStyle name="Normal 12 3 2" xfId="2081" xr:uid="{00000000-0005-0000-0000-0000CF070000}"/>
    <cellStyle name="Normal 12 4" xfId="2082" xr:uid="{00000000-0005-0000-0000-0000D0070000}"/>
    <cellStyle name="Normal 12 5" xfId="2083" xr:uid="{00000000-0005-0000-0000-0000D1070000}"/>
    <cellStyle name="Normal 13" xfId="98" xr:uid="{00000000-0005-0000-0000-0000D2070000}"/>
    <cellStyle name="Normal 13 2" xfId="2084" xr:uid="{00000000-0005-0000-0000-0000D3070000}"/>
    <cellStyle name="Normal 13 3" xfId="2085" xr:uid="{00000000-0005-0000-0000-0000D4070000}"/>
    <cellStyle name="Normal 13 4" xfId="2086" xr:uid="{00000000-0005-0000-0000-0000D5070000}"/>
    <cellStyle name="Normal 14" xfId="99" xr:uid="{00000000-0005-0000-0000-0000D6070000}"/>
    <cellStyle name="Normal 14 2" xfId="100" xr:uid="{00000000-0005-0000-0000-0000D7070000}"/>
    <cellStyle name="Normal 14 2 2" xfId="2087" xr:uid="{00000000-0005-0000-0000-0000D8070000}"/>
    <cellStyle name="Normal 14 3" xfId="202" xr:uid="{00000000-0005-0000-0000-0000D9070000}"/>
    <cellStyle name="Normal 14 4" xfId="2088" xr:uid="{00000000-0005-0000-0000-0000DA070000}"/>
    <cellStyle name="Normal 15" xfId="101" xr:uid="{00000000-0005-0000-0000-0000DB070000}"/>
    <cellStyle name="Normal 15 2" xfId="2089" xr:uid="{00000000-0005-0000-0000-0000DC070000}"/>
    <cellStyle name="Normal 16" xfId="102" xr:uid="{00000000-0005-0000-0000-0000DD070000}"/>
    <cellStyle name="Normal 16 2" xfId="2090" xr:uid="{00000000-0005-0000-0000-0000DE070000}"/>
    <cellStyle name="Normal 16 3" xfId="2091" xr:uid="{00000000-0005-0000-0000-0000DF070000}"/>
    <cellStyle name="Normal 17" xfId="103" xr:uid="{00000000-0005-0000-0000-0000E0070000}"/>
    <cellStyle name="Normal 17 2" xfId="2092" xr:uid="{00000000-0005-0000-0000-0000E1070000}"/>
    <cellStyle name="Normal 17 3" xfId="2093" xr:uid="{00000000-0005-0000-0000-0000E2070000}"/>
    <cellStyle name="Normal 18" xfId="104" xr:uid="{00000000-0005-0000-0000-0000E3070000}"/>
    <cellStyle name="Normal 18 2" xfId="2094" xr:uid="{00000000-0005-0000-0000-0000E4070000}"/>
    <cellStyle name="Normal 18 3" xfId="2095" xr:uid="{00000000-0005-0000-0000-0000E5070000}"/>
    <cellStyle name="Normal 19" xfId="184" xr:uid="{00000000-0005-0000-0000-0000E6070000}"/>
    <cellStyle name="Normal 19 2" xfId="2096" xr:uid="{00000000-0005-0000-0000-0000E7070000}"/>
    <cellStyle name="Normal 19 3" xfId="2097" xr:uid="{00000000-0005-0000-0000-0000E8070000}"/>
    <cellStyle name="Normal 19 4" xfId="2098" xr:uid="{00000000-0005-0000-0000-0000E9070000}"/>
    <cellStyle name="Normal 2" xfId="105" xr:uid="{00000000-0005-0000-0000-0000EA070000}"/>
    <cellStyle name="Normal 2 10" xfId="2099" xr:uid="{00000000-0005-0000-0000-0000EB070000}"/>
    <cellStyle name="Normal 2 11" xfId="2100" xr:uid="{00000000-0005-0000-0000-0000EC070000}"/>
    <cellStyle name="Normal 2 12" xfId="2101" xr:uid="{00000000-0005-0000-0000-0000ED070000}"/>
    <cellStyle name="Normal 2 13" xfId="2102" xr:uid="{00000000-0005-0000-0000-0000EE070000}"/>
    <cellStyle name="Normal 2 14" xfId="2103" xr:uid="{00000000-0005-0000-0000-0000EF070000}"/>
    <cellStyle name="Normal 2 14 2" xfId="2104" xr:uid="{00000000-0005-0000-0000-0000F0070000}"/>
    <cellStyle name="Normal 2 15" xfId="2105" xr:uid="{00000000-0005-0000-0000-0000F1070000}"/>
    <cellStyle name="Normal 2 16" xfId="2106" xr:uid="{00000000-0005-0000-0000-0000F2070000}"/>
    <cellStyle name="Normal 2 17" xfId="2107" xr:uid="{00000000-0005-0000-0000-0000F3070000}"/>
    <cellStyle name="Normal 2 18" xfId="2108" xr:uid="{00000000-0005-0000-0000-0000F4070000}"/>
    <cellStyle name="Normal 2 19" xfId="2109" xr:uid="{00000000-0005-0000-0000-0000F5070000}"/>
    <cellStyle name="Normal 2 2" xfId="106" xr:uid="{00000000-0005-0000-0000-0000F6070000}"/>
    <cellStyle name="Normal 2 2 10" xfId="2110" xr:uid="{00000000-0005-0000-0000-0000F7070000}"/>
    <cellStyle name="Normal 2 2 10 2" xfId="2111" xr:uid="{00000000-0005-0000-0000-0000F8070000}"/>
    <cellStyle name="Normal 2 2 11" xfId="2112" xr:uid="{00000000-0005-0000-0000-0000F9070000}"/>
    <cellStyle name="Normal 2 2 11 2" xfId="2113" xr:uid="{00000000-0005-0000-0000-0000FA070000}"/>
    <cellStyle name="Normal 2 2 12" xfId="2114" xr:uid="{00000000-0005-0000-0000-0000FB070000}"/>
    <cellStyle name="Normal 2 2 13" xfId="2115" xr:uid="{00000000-0005-0000-0000-0000FC070000}"/>
    <cellStyle name="Normal 2 2 14" xfId="3974" xr:uid="{8399A3C9-D66C-4F09-8847-DF02E45A8759}"/>
    <cellStyle name="Normal 2 2 2" xfId="107" xr:uid="{00000000-0005-0000-0000-0000FD070000}"/>
    <cellStyle name="Normal 2 2 2 2" xfId="2116" xr:uid="{00000000-0005-0000-0000-0000FE070000}"/>
    <cellStyle name="Normal 2 2 2 2 2" xfId="2117" xr:uid="{00000000-0005-0000-0000-0000FF070000}"/>
    <cellStyle name="Normal 2 2 2 2 3" xfId="2118" xr:uid="{00000000-0005-0000-0000-000000080000}"/>
    <cellStyle name="Normal 2 2 2 2 4" xfId="3944" xr:uid="{00000000-0005-0000-0000-000001080000}"/>
    <cellStyle name="Normal 2 2 2 3" xfId="2119" xr:uid="{00000000-0005-0000-0000-000002080000}"/>
    <cellStyle name="Normal 2 2 2 3 2" xfId="2120" xr:uid="{00000000-0005-0000-0000-000003080000}"/>
    <cellStyle name="Normal 2 2 2 3 3" xfId="3929" xr:uid="{00000000-0005-0000-0000-000004080000}"/>
    <cellStyle name="Normal 2 2 2 4" xfId="2121" xr:uid="{00000000-0005-0000-0000-000005080000}"/>
    <cellStyle name="Normal 2 2 2 4 2" xfId="2122" xr:uid="{00000000-0005-0000-0000-000006080000}"/>
    <cellStyle name="Normal 2 2 2 5" xfId="2123" xr:uid="{00000000-0005-0000-0000-000007080000}"/>
    <cellStyle name="Normal 2 2 2 5 2" xfId="2124" xr:uid="{00000000-0005-0000-0000-000008080000}"/>
    <cellStyle name="Normal 2 2 2 6" xfId="2125" xr:uid="{00000000-0005-0000-0000-000009080000}"/>
    <cellStyle name="Normal 2 2 2 6 2" xfId="2126" xr:uid="{00000000-0005-0000-0000-00000A080000}"/>
    <cellStyle name="Normal 2 2 2 7" xfId="2127" xr:uid="{00000000-0005-0000-0000-00000B080000}"/>
    <cellStyle name="Normal 2 2 2 7 2" xfId="2128" xr:uid="{00000000-0005-0000-0000-00000C080000}"/>
    <cellStyle name="Normal 2 2 2 8" xfId="2129" xr:uid="{00000000-0005-0000-0000-00000D080000}"/>
    <cellStyle name="Normal 2 2 2 9" xfId="2130" xr:uid="{00000000-0005-0000-0000-00000E080000}"/>
    <cellStyle name="Normal 2 2 3" xfId="108" xr:uid="{00000000-0005-0000-0000-00000F080000}"/>
    <cellStyle name="Normal 2 2 3 2" xfId="2131" xr:uid="{00000000-0005-0000-0000-000010080000}"/>
    <cellStyle name="Normal 2 2 3 2 2" xfId="3945" xr:uid="{00000000-0005-0000-0000-000011080000}"/>
    <cellStyle name="Normal 2 2 3 3" xfId="2132" xr:uid="{00000000-0005-0000-0000-000012080000}"/>
    <cellStyle name="Normal 2 2 3 3 2" xfId="3930" xr:uid="{00000000-0005-0000-0000-000013080000}"/>
    <cellStyle name="Normal 2 2 4" xfId="2133" xr:uid="{00000000-0005-0000-0000-000014080000}"/>
    <cellStyle name="Normal 2 2 4 2" xfId="2134" xr:uid="{00000000-0005-0000-0000-000015080000}"/>
    <cellStyle name="Normal 2 2 4 3" xfId="3917" xr:uid="{00000000-0005-0000-0000-000016080000}"/>
    <cellStyle name="Normal 2 2 5" xfId="2135" xr:uid="{00000000-0005-0000-0000-000017080000}"/>
    <cellStyle name="Normal 2 2 5 2" xfId="2136" xr:uid="{00000000-0005-0000-0000-000018080000}"/>
    <cellStyle name="Normal 2 2 5 3" xfId="3943" xr:uid="{00000000-0005-0000-0000-000019080000}"/>
    <cellStyle name="Normal 2 2 6" xfId="2137" xr:uid="{00000000-0005-0000-0000-00001A080000}"/>
    <cellStyle name="Normal 2 2 6 2" xfId="2138" xr:uid="{00000000-0005-0000-0000-00001B080000}"/>
    <cellStyle name="Normal 2 2 6 3" xfId="3928" xr:uid="{00000000-0005-0000-0000-00001C080000}"/>
    <cellStyle name="Normal 2 2 7" xfId="2139" xr:uid="{00000000-0005-0000-0000-00001D080000}"/>
    <cellStyle name="Normal 2 2 7 2" xfId="2140" xr:uid="{00000000-0005-0000-0000-00001E080000}"/>
    <cellStyle name="Normal 2 2 8" xfId="2141" xr:uid="{00000000-0005-0000-0000-00001F080000}"/>
    <cellStyle name="Normal 2 2 8 2" xfId="2142" xr:uid="{00000000-0005-0000-0000-000020080000}"/>
    <cellStyle name="Normal 2 2 9" xfId="2143" xr:uid="{00000000-0005-0000-0000-000021080000}"/>
    <cellStyle name="Normal 2 2 9 2" xfId="2144" xr:uid="{00000000-0005-0000-0000-000022080000}"/>
    <cellStyle name="Normal 2 3" xfId="109" xr:uid="{00000000-0005-0000-0000-000023080000}"/>
    <cellStyle name="Normal 2 3 2" xfId="2145" xr:uid="{00000000-0005-0000-0000-000024080000}"/>
    <cellStyle name="Normal 2 3 2 2" xfId="3946" xr:uid="{00000000-0005-0000-0000-000025080000}"/>
    <cellStyle name="Normal 2 3 3" xfId="2146" xr:uid="{00000000-0005-0000-0000-000026080000}"/>
    <cellStyle name="Normal 2 3 3 2" xfId="3931" xr:uid="{00000000-0005-0000-0000-000027080000}"/>
    <cellStyle name="Normal 2 4" xfId="110" xr:uid="{00000000-0005-0000-0000-000028080000}"/>
    <cellStyle name="Normal 2 4 2" xfId="2147" xr:uid="{00000000-0005-0000-0000-000029080000}"/>
    <cellStyle name="Normal 2 5" xfId="111" xr:uid="{00000000-0005-0000-0000-00002A080000}"/>
    <cellStyle name="Normal 2 5 2" xfId="2148" xr:uid="{00000000-0005-0000-0000-00002B080000}"/>
    <cellStyle name="Normal 2 5 3" xfId="2149" xr:uid="{00000000-0005-0000-0000-00002C080000}"/>
    <cellStyle name="Normal 2 6" xfId="2150" xr:uid="{00000000-0005-0000-0000-00002D080000}"/>
    <cellStyle name="Normal 2 6 2" xfId="2151" xr:uid="{00000000-0005-0000-0000-00002E080000}"/>
    <cellStyle name="Normal 2 6 3" xfId="3942" xr:uid="{00000000-0005-0000-0000-00002F080000}"/>
    <cellStyle name="Normal 2 7" xfId="2152" xr:uid="{00000000-0005-0000-0000-000030080000}"/>
    <cellStyle name="Normal 2 7 2" xfId="2153" xr:uid="{00000000-0005-0000-0000-000031080000}"/>
    <cellStyle name="Normal 2 7 3" xfId="3920" xr:uid="{00000000-0005-0000-0000-000032080000}"/>
    <cellStyle name="Normal 2 8" xfId="2154" xr:uid="{00000000-0005-0000-0000-000033080000}"/>
    <cellStyle name="Normal 2 8 2" xfId="2155" xr:uid="{00000000-0005-0000-0000-000034080000}"/>
    <cellStyle name="Normal 2 9" xfId="112" xr:uid="{00000000-0005-0000-0000-000035080000}"/>
    <cellStyle name="Normal 2 9 2" xfId="2156" xr:uid="{00000000-0005-0000-0000-000036080000}"/>
    <cellStyle name="Normal 2_Acads List" xfId="113" xr:uid="{00000000-0005-0000-0000-000037080000}"/>
    <cellStyle name="Normal 20" xfId="203" xr:uid="{00000000-0005-0000-0000-000038080000}"/>
    <cellStyle name="Normal 20 2" xfId="2157" xr:uid="{00000000-0005-0000-0000-000039080000}"/>
    <cellStyle name="Normal 20 3" xfId="2158" xr:uid="{00000000-0005-0000-0000-00003A080000}"/>
    <cellStyle name="Normal 21" xfId="2159" xr:uid="{00000000-0005-0000-0000-00003B080000}"/>
    <cellStyle name="Normal 21 2" xfId="2160" xr:uid="{00000000-0005-0000-0000-00003C080000}"/>
    <cellStyle name="Normal 22" xfId="2161" xr:uid="{00000000-0005-0000-0000-00003D080000}"/>
    <cellStyle name="Normal 22 2" xfId="2162" xr:uid="{00000000-0005-0000-0000-00003E080000}"/>
    <cellStyle name="Normal 23" xfId="2163" xr:uid="{00000000-0005-0000-0000-00003F080000}"/>
    <cellStyle name="Normal 24" xfId="2164" xr:uid="{00000000-0005-0000-0000-000040080000}"/>
    <cellStyle name="Normal 25" xfId="2165" xr:uid="{00000000-0005-0000-0000-000041080000}"/>
    <cellStyle name="Normal 26" xfId="2166" xr:uid="{00000000-0005-0000-0000-000042080000}"/>
    <cellStyle name="Normal 27" xfId="2167" xr:uid="{00000000-0005-0000-0000-000043080000}"/>
    <cellStyle name="Normal 28" xfId="2168" xr:uid="{00000000-0005-0000-0000-000044080000}"/>
    <cellStyle name="Normal 29" xfId="2169" xr:uid="{00000000-0005-0000-0000-000045080000}"/>
    <cellStyle name="Normal 3" xfId="114" xr:uid="{00000000-0005-0000-0000-000046080000}"/>
    <cellStyle name="Normal 3 10" xfId="2170" xr:uid="{00000000-0005-0000-0000-000047080000}"/>
    <cellStyle name="Normal 3 11" xfId="2171" xr:uid="{00000000-0005-0000-0000-000048080000}"/>
    <cellStyle name="Normal 3 12" xfId="2172" xr:uid="{00000000-0005-0000-0000-000049080000}"/>
    <cellStyle name="Normal 3 13" xfId="2173" xr:uid="{00000000-0005-0000-0000-00004A080000}"/>
    <cellStyle name="Normal 3 13 2" xfId="2174" xr:uid="{00000000-0005-0000-0000-00004B080000}"/>
    <cellStyle name="Normal 3 14" xfId="2175" xr:uid="{00000000-0005-0000-0000-00004C080000}"/>
    <cellStyle name="Normal 3 2" xfId="115" xr:uid="{00000000-0005-0000-0000-00004D080000}"/>
    <cellStyle name="Normal 3 2 2" xfId="116" xr:uid="{00000000-0005-0000-0000-00004E080000}"/>
    <cellStyle name="Normal 3 2 2 2" xfId="2176" xr:uid="{00000000-0005-0000-0000-00004F080000}"/>
    <cellStyle name="Normal 3 2 3" xfId="2177" xr:uid="{00000000-0005-0000-0000-000050080000}"/>
    <cellStyle name="Normal 3 2 4" xfId="2178" xr:uid="{00000000-0005-0000-0000-000051080000}"/>
    <cellStyle name="Normal 3 2 5" xfId="2179" xr:uid="{00000000-0005-0000-0000-000052080000}"/>
    <cellStyle name="Normal 3 2 6" xfId="2180" xr:uid="{00000000-0005-0000-0000-000053080000}"/>
    <cellStyle name="Normal 3 2 7" xfId="2181" xr:uid="{00000000-0005-0000-0000-000054080000}"/>
    <cellStyle name="Normal 3 2 8" xfId="2182" xr:uid="{00000000-0005-0000-0000-000055080000}"/>
    <cellStyle name="Normal 3 2_Main Allocation Sheet" xfId="2183" xr:uid="{00000000-0005-0000-0000-000056080000}"/>
    <cellStyle name="Normal 3 3" xfId="117" xr:uid="{00000000-0005-0000-0000-000057080000}"/>
    <cellStyle name="Normal 3 3 2" xfId="2184" xr:uid="{00000000-0005-0000-0000-000058080000}"/>
    <cellStyle name="Normal 3 3 3" xfId="2185" xr:uid="{00000000-0005-0000-0000-000059080000}"/>
    <cellStyle name="Normal 3 4" xfId="118" xr:uid="{00000000-0005-0000-0000-00005A080000}"/>
    <cellStyle name="Normal 3 4 2" xfId="2186" xr:uid="{00000000-0005-0000-0000-00005B080000}"/>
    <cellStyle name="Normal 3 4 3" xfId="2187" xr:uid="{00000000-0005-0000-0000-00005C080000}"/>
    <cellStyle name="Normal 3 4 3 2 2" xfId="3972" xr:uid="{C6C539FD-2601-4A5A-BF5F-2D761F15B6D4}"/>
    <cellStyle name="Normal 3 5" xfId="2188" xr:uid="{00000000-0005-0000-0000-00005D080000}"/>
    <cellStyle name="Normal 3 5 2" xfId="2189" xr:uid="{00000000-0005-0000-0000-00005E080000}"/>
    <cellStyle name="Normal 3 5 3" xfId="3947" xr:uid="{00000000-0005-0000-0000-00005F080000}"/>
    <cellStyle name="Normal 3 6" xfId="2190" xr:uid="{00000000-0005-0000-0000-000060080000}"/>
    <cellStyle name="Normal 3 6 2" xfId="2191" xr:uid="{00000000-0005-0000-0000-000061080000}"/>
    <cellStyle name="Normal 3 7" xfId="2192" xr:uid="{00000000-0005-0000-0000-000062080000}"/>
    <cellStyle name="Normal 3 8" xfId="2193" xr:uid="{00000000-0005-0000-0000-000063080000}"/>
    <cellStyle name="Normal 3 9" xfId="2194" xr:uid="{00000000-0005-0000-0000-000064080000}"/>
    <cellStyle name="Normal 3_Colleges and Providers" xfId="2195" xr:uid="{00000000-0005-0000-0000-000065080000}"/>
    <cellStyle name="Normal 30" xfId="2196" xr:uid="{00000000-0005-0000-0000-000066080000}"/>
    <cellStyle name="Normal 31" xfId="2197" xr:uid="{00000000-0005-0000-0000-000067080000}"/>
    <cellStyle name="Normal 32" xfId="3954" xr:uid="{00000000-0005-0000-0000-000068080000}"/>
    <cellStyle name="Normal 33" xfId="2198" xr:uid="{00000000-0005-0000-0000-000069080000}"/>
    <cellStyle name="Normal 34" xfId="3971" xr:uid="{29569DA8-044C-4BD8-A441-7DEF3B1DEF36}"/>
    <cellStyle name="Normal 35" xfId="3958" xr:uid="{00000000-0005-0000-0000-00006A080000}"/>
    <cellStyle name="Normal 36" xfId="3973" xr:uid="{26E38277-1009-4A66-847D-5B85D9A1940F}"/>
    <cellStyle name="Normal 4" xfId="119" xr:uid="{00000000-0005-0000-0000-00006B080000}"/>
    <cellStyle name="Normal 4 10" xfId="2199" xr:uid="{00000000-0005-0000-0000-00006C080000}"/>
    <cellStyle name="Normal 4 10 2" xfId="2200" xr:uid="{00000000-0005-0000-0000-00006D080000}"/>
    <cellStyle name="Normal 4 11" xfId="2201" xr:uid="{00000000-0005-0000-0000-00006E080000}"/>
    <cellStyle name="Normal 4 2" xfId="120" xr:uid="{00000000-0005-0000-0000-00006F080000}"/>
    <cellStyle name="Normal 4 2 2" xfId="2202" xr:uid="{00000000-0005-0000-0000-000070080000}"/>
    <cellStyle name="Normal 4 2 2 2" xfId="2203" xr:uid="{00000000-0005-0000-0000-000071080000}"/>
    <cellStyle name="Normal 4 2 2 2 2" xfId="2204" xr:uid="{00000000-0005-0000-0000-000072080000}"/>
    <cellStyle name="Normal 4 2 2 2 2 2" xfId="2205" xr:uid="{00000000-0005-0000-0000-000073080000}"/>
    <cellStyle name="Normal 4 2 2 2 3" xfId="2206" xr:uid="{00000000-0005-0000-0000-000074080000}"/>
    <cellStyle name="Normal 4 2 2 3" xfId="2207" xr:uid="{00000000-0005-0000-0000-000075080000}"/>
    <cellStyle name="Normal 4 2 2 3 2" xfId="2208" xr:uid="{00000000-0005-0000-0000-000076080000}"/>
    <cellStyle name="Normal 4 2 2 4" xfId="2209" xr:uid="{00000000-0005-0000-0000-000077080000}"/>
    <cellStyle name="Normal 4 2 2 5" xfId="3949" xr:uid="{00000000-0005-0000-0000-000078080000}"/>
    <cellStyle name="Normal 4 2 3" xfId="2210" xr:uid="{00000000-0005-0000-0000-000079080000}"/>
    <cellStyle name="Normal 4 2 3 2" xfId="2211" xr:uid="{00000000-0005-0000-0000-00007A080000}"/>
    <cellStyle name="Normal 4 2 3 2 2" xfId="2212" xr:uid="{00000000-0005-0000-0000-00007B080000}"/>
    <cellStyle name="Normal 4 2 3 3" xfId="2213" xr:uid="{00000000-0005-0000-0000-00007C080000}"/>
    <cellStyle name="Normal 4 2 3 4" xfId="3938" xr:uid="{00000000-0005-0000-0000-00007D080000}"/>
    <cellStyle name="Normal 4 2 4" xfId="2214" xr:uid="{00000000-0005-0000-0000-00007E080000}"/>
    <cellStyle name="Normal 4 2 4 2" xfId="2215" xr:uid="{00000000-0005-0000-0000-00007F080000}"/>
    <cellStyle name="Normal 4 2 5" xfId="2216" xr:uid="{00000000-0005-0000-0000-000080080000}"/>
    <cellStyle name="Normal 4 2 6" xfId="2217" xr:uid="{00000000-0005-0000-0000-000081080000}"/>
    <cellStyle name="Normal 4 3" xfId="121" xr:uid="{00000000-0005-0000-0000-000082080000}"/>
    <cellStyle name="Normal 4 3 2" xfId="2218" xr:uid="{00000000-0005-0000-0000-000083080000}"/>
    <cellStyle name="Normal 4 3 2 2" xfId="2219" xr:uid="{00000000-0005-0000-0000-000084080000}"/>
    <cellStyle name="Normal 4 3 2 2 2" xfId="2220" xr:uid="{00000000-0005-0000-0000-000085080000}"/>
    <cellStyle name="Normal 4 3 2 2 2 2" xfId="2221" xr:uid="{00000000-0005-0000-0000-000086080000}"/>
    <cellStyle name="Normal 4 3 2 2 3" xfId="2222" xr:uid="{00000000-0005-0000-0000-000087080000}"/>
    <cellStyle name="Normal 4 3 2 3" xfId="2223" xr:uid="{00000000-0005-0000-0000-000088080000}"/>
    <cellStyle name="Normal 4 3 2 3 2" xfId="2224" xr:uid="{00000000-0005-0000-0000-000089080000}"/>
    <cellStyle name="Normal 4 3 2 4" xfId="2225" xr:uid="{00000000-0005-0000-0000-00008A080000}"/>
    <cellStyle name="Normal 4 3 2 5" xfId="3950" xr:uid="{00000000-0005-0000-0000-00008B080000}"/>
    <cellStyle name="Normal 4 3 3" xfId="2226" xr:uid="{00000000-0005-0000-0000-00008C080000}"/>
    <cellStyle name="Normal 4 3 3 2" xfId="2227" xr:uid="{00000000-0005-0000-0000-00008D080000}"/>
    <cellStyle name="Normal 4 3 3 2 2" xfId="2228" xr:uid="{00000000-0005-0000-0000-00008E080000}"/>
    <cellStyle name="Normal 4 3 3 3" xfId="2229" xr:uid="{00000000-0005-0000-0000-00008F080000}"/>
    <cellStyle name="Normal 4 3 3 4" xfId="3932" xr:uid="{00000000-0005-0000-0000-000090080000}"/>
    <cellStyle name="Normal 4 3 4" xfId="2230" xr:uid="{00000000-0005-0000-0000-000091080000}"/>
    <cellStyle name="Normal 4 3 4 2" xfId="2231" xr:uid="{00000000-0005-0000-0000-000092080000}"/>
    <cellStyle name="Normal 4 3 5" xfId="2232" xr:uid="{00000000-0005-0000-0000-000093080000}"/>
    <cellStyle name="Normal 4 3 6" xfId="2233" xr:uid="{00000000-0005-0000-0000-000094080000}"/>
    <cellStyle name="Normal 4 4" xfId="2234" xr:uid="{00000000-0005-0000-0000-000095080000}"/>
    <cellStyle name="Normal 4 4 2" xfId="2235" xr:uid="{00000000-0005-0000-0000-000096080000}"/>
    <cellStyle name="Normal 4 4 2 2" xfId="2236" xr:uid="{00000000-0005-0000-0000-000097080000}"/>
    <cellStyle name="Normal 4 4 2 2 2" xfId="2237" xr:uid="{00000000-0005-0000-0000-000098080000}"/>
    <cellStyle name="Normal 4 4 2 2 2 2" xfId="2238" xr:uid="{00000000-0005-0000-0000-000099080000}"/>
    <cellStyle name="Normal 4 4 2 2 3" xfId="2239" xr:uid="{00000000-0005-0000-0000-00009A080000}"/>
    <cellStyle name="Normal 4 4 2 3" xfId="2240" xr:uid="{00000000-0005-0000-0000-00009B080000}"/>
    <cellStyle name="Normal 4 4 2 3 2" xfId="2241" xr:uid="{00000000-0005-0000-0000-00009C080000}"/>
    <cellStyle name="Normal 4 4 2 4" xfId="2242" xr:uid="{00000000-0005-0000-0000-00009D080000}"/>
    <cellStyle name="Normal 4 4 3" xfId="2243" xr:uid="{00000000-0005-0000-0000-00009E080000}"/>
    <cellStyle name="Normal 4 4 3 2" xfId="2244" xr:uid="{00000000-0005-0000-0000-00009F080000}"/>
    <cellStyle name="Normal 4 4 3 2 2" xfId="2245" xr:uid="{00000000-0005-0000-0000-0000A0080000}"/>
    <cellStyle name="Normal 4 4 3 3" xfId="2246" xr:uid="{00000000-0005-0000-0000-0000A1080000}"/>
    <cellStyle name="Normal 4 4 4" xfId="2247" xr:uid="{00000000-0005-0000-0000-0000A2080000}"/>
    <cellStyle name="Normal 4 4 4 2" xfId="2248" xr:uid="{00000000-0005-0000-0000-0000A3080000}"/>
    <cellStyle name="Normal 4 4 5" xfId="2249" xr:uid="{00000000-0005-0000-0000-0000A4080000}"/>
    <cellStyle name="Normal 4 5" xfId="2250" xr:uid="{00000000-0005-0000-0000-0000A5080000}"/>
    <cellStyle name="Normal 4 5 2" xfId="2251" xr:uid="{00000000-0005-0000-0000-0000A6080000}"/>
    <cellStyle name="Normal 4 5 2 2" xfId="2252" xr:uid="{00000000-0005-0000-0000-0000A7080000}"/>
    <cellStyle name="Normal 4 5 2 2 2" xfId="2253" xr:uid="{00000000-0005-0000-0000-0000A8080000}"/>
    <cellStyle name="Normal 4 5 2 3" xfId="2254" xr:uid="{00000000-0005-0000-0000-0000A9080000}"/>
    <cellStyle name="Normal 4 5 3" xfId="2255" xr:uid="{00000000-0005-0000-0000-0000AA080000}"/>
    <cellStyle name="Normal 4 5 3 2" xfId="2256" xr:uid="{00000000-0005-0000-0000-0000AB080000}"/>
    <cellStyle name="Normal 4 5 4" xfId="2257" xr:uid="{00000000-0005-0000-0000-0000AC080000}"/>
    <cellStyle name="Normal 4 5 5" xfId="3948" xr:uid="{00000000-0005-0000-0000-0000AD080000}"/>
    <cellStyle name="Normal 4 6" xfId="2258" xr:uid="{00000000-0005-0000-0000-0000AE080000}"/>
    <cellStyle name="Normal 4 6 2" xfId="2259" xr:uid="{00000000-0005-0000-0000-0000AF080000}"/>
    <cellStyle name="Normal 4 6 2 2" xfId="2260" xr:uid="{00000000-0005-0000-0000-0000B0080000}"/>
    <cellStyle name="Normal 4 6 2 2 2" xfId="2261" xr:uid="{00000000-0005-0000-0000-0000B1080000}"/>
    <cellStyle name="Normal 4 6 2 3" xfId="2262" xr:uid="{00000000-0005-0000-0000-0000B2080000}"/>
    <cellStyle name="Normal 4 6 3" xfId="2263" xr:uid="{00000000-0005-0000-0000-0000B3080000}"/>
    <cellStyle name="Normal 4 6 3 2" xfId="2264" xr:uid="{00000000-0005-0000-0000-0000B4080000}"/>
    <cellStyle name="Normal 4 6 4" xfId="2265" xr:uid="{00000000-0005-0000-0000-0000B5080000}"/>
    <cellStyle name="Normal 4 6 5" xfId="3923" xr:uid="{00000000-0005-0000-0000-0000B6080000}"/>
    <cellStyle name="Normal 4 7" xfId="2266" xr:uid="{00000000-0005-0000-0000-0000B7080000}"/>
    <cellStyle name="Normal 4 7 2" xfId="2267" xr:uid="{00000000-0005-0000-0000-0000B8080000}"/>
    <cellStyle name="Normal 4 7 2 2" xfId="2268" xr:uid="{00000000-0005-0000-0000-0000B9080000}"/>
    <cellStyle name="Normal 4 7 3" xfId="2269" xr:uid="{00000000-0005-0000-0000-0000BA080000}"/>
    <cellStyle name="Normal 4 8" xfId="2270" xr:uid="{00000000-0005-0000-0000-0000BB080000}"/>
    <cellStyle name="Normal 4 8 2" xfId="2271" xr:uid="{00000000-0005-0000-0000-0000BC080000}"/>
    <cellStyle name="Normal 4 9" xfId="2272" xr:uid="{00000000-0005-0000-0000-0000BD080000}"/>
    <cellStyle name="Normal 4 9 2" xfId="2273" xr:uid="{00000000-0005-0000-0000-0000BE080000}"/>
    <cellStyle name="Normal 4_Regional Readiness Sheet" xfId="2274" xr:uid="{00000000-0005-0000-0000-0000BF080000}"/>
    <cellStyle name="Normal 48" xfId="2275" xr:uid="{00000000-0005-0000-0000-0000C0080000}"/>
    <cellStyle name="Normal 5" xfId="122" xr:uid="{00000000-0005-0000-0000-0000C1080000}"/>
    <cellStyle name="Normal 5 2" xfId="123" xr:uid="{00000000-0005-0000-0000-0000C2080000}"/>
    <cellStyle name="Normal 5 2 2" xfId="124" xr:uid="{00000000-0005-0000-0000-0000C3080000}"/>
    <cellStyle name="Normal 5 2 3" xfId="2276" xr:uid="{00000000-0005-0000-0000-0000C4080000}"/>
    <cellStyle name="Normal 5 3" xfId="125" xr:uid="{00000000-0005-0000-0000-0000C5080000}"/>
    <cellStyle name="Normal 5 3 2" xfId="126" xr:uid="{00000000-0005-0000-0000-0000C6080000}"/>
    <cellStyle name="Normal 5 3 3" xfId="2277" xr:uid="{00000000-0005-0000-0000-0000C7080000}"/>
    <cellStyle name="Normal 5 4" xfId="127" xr:uid="{00000000-0005-0000-0000-0000C8080000}"/>
    <cellStyle name="Normal 5 5" xfId="128" xr:uid="{00000000-0005-0000-0000-0000C9080000}"/>
    <cellStyle name="Normal 5 6" xfId="2278" xr:uid="{00000000-0005-0000-0000-0000CA080000}"/>
    <cellStyle name="Normal 5 6 2" xfId="3951" xr:uid="{00000000-0005-0000-0000-0000CB080000}"/>
    <cellStyle name="Normal 5 7" xfId="3924" xr:uid="{00000000-0005-0000-0000-0000CC080000}"/>
    <cellStyle name="Normal 58 2" xfId="3959" xr:uid="{00000000-0005-0000-0000-0000CD080000}"/>
    <cellStyle name="Normal 58 2 2" xfId="3962" xr:uid="{00000000-0005-0000-0000-0000CE080000}"/>
    <cellStyle name="Normal 58 2 2 21" xfId="3964" xr:uid="{AAD84B4D-1FBB-4848-AE2E-96F69F3B2F12}"/>
    <cellStyle name="Normal 6" xfId="129" xr:uid="{00000000-0005-0000-0000-0000CF080000}"/>
    <cellStyle name="Normal 6 2" xfId="130" xr:uid="{00000000-0005-0000-0000-0000D0080000}"/>
    <cellStyle name="Normal 6 2 2" xfId="2279" xr:uid="{00000000-0005-0000-0000-0000D1080000}"/>
    <cellStyle name="Normal 6 2 3" xfId="2280" xr:uid="{00000000-0005-0000-0000-0000D2080000}"/>
    <cellStyle name="Normal 6 2 4" xfId="2281" xr:uid="{00000000-0005-0000-0000-0000D3080000}"/>
    <cellStyle name="Normal 6 3" xfId="131" xr:uid="{00000000-0005-0000-0000-0000D4080000}"/>
    <cellStyle name="Normal 6 3 2" xfId="132" xr:uid="{00000000-0005-0000-0000-0000D5080000}"/>
    <cellStyle name="Normal 6 3 2 2" xfId="2282" xr:uid="{00000000-0005-0000-0000-0000D6080000}"/>
    <cellStyle name="Normal 6 3 3" xfId="2283" xr:uid="{00000000-0005-0000-0000-0000D7080000}"/>
    <cellStyle name="Normal 6 3 4" xfId="3933" xr:uid="{00000000-0005-0000-0000-0000D8080000}"/>
    <cellStyle name="Normal 6 4" xfId="133" xr:uid="{00000000-0005-0000-0000-0000D9080000}"/>
    <cellStyle name="Normal 6 4 2" xfId="2284" xr:uid="{00000000-0005-0000-0000-0000DA080000}"/>
    <cellStyle name="Normal 6 5" xfId="2285" xr:uid="{00000000-0005-0000-0000-0000DB080000}"/>
    <cellStyle name="Normal 6 5 2" xfId="3952" xr:uid="{00000000-0005-0000-0000-0000DC080000}"/>
    <cellStyle name="Normal 6 6" xfId="3955" xr:uid="{00000000-0005-0000-0000-0000DD080000}"/>
    <cellStyle name="Normal 60" xfId="3960" xr:uid="{00000000-0005-0000-0000-0000DE080000}"/>
    <cellStyle name="Normal 60 21" xfId="3963" xr:uid="{EDCAFD6D-5E1D-42F3-8F77-D52E65179751}"/>
    <cellStyle name="Normal 7" xfId="134" xr:uid="{00000000-0005-0000-0000-0000DF080000}"/>
    <cellStyle name="Normal 7 2" xfId="135" xr:uid="{00000000-0005-0000-0000-0000E0080000}"/>
    <cellStyle name="Normal 7 2 2" xfId="2286" xr:uid="{00000000-0005-0000-0000-0000E1080000}"/>
    <cellStyle name="Normal 7 2 3" xfId="2287" xr:uid="{00000000-0005-0000-0000-0000E2080000}"/>
    <cellStyle name="Normal 7 3" xfId="2288" xr:uid="{00000000-0005-0000-0000-0000E3080000}"/>
    <cellStyle name="Normal 7 3 2" xfId="3953" xr:uid="{00000000-0005-0000-0000-0000E4080000}"/>
    <cellStyle name="Normal 7 4" xfId="2289" xr:uid="{00000000-0005-0000-0000-0000E5080000}"/>
    <cellStyle name="Normal 7 4 2" xfId="2290" xr:uid="{00000000-0005-0000-0000-0000E6080000}"/>
    <cellStyle name="Normal 7 4 3" xfId="3934" xr:uid="{00000000-0005-0000-0000-0000E7080000}"/>
    <cellStyle name="Normal 7 5" xfId="2291" xr:uid="{00000000-0005-0000-0000-0000E8080000}"/>
    <cellStyle name="Normal 7 6" xfId="3956" xr:uid="{00000000-0005-0000-0000-0000E9080000}"/>
    <cellStyle name="Normal 8" xfId="136" xr:uid="{00000000-0005-0000-0000-0000EA080000}"/>
    <cellStyle name="Normal 8 2" xfId="137" xr:uid="{00000000-0005-0000-0000-0000EB080000}"/>
    <cellStyle name="Normal 8 2 2" xfId="2292" xr:uid="{00000000-0005-0000-0000-0000EC080000}"/>
    <cellStyle name="Normal 8 3" xfId="204" xr:uid="{00000000-0005-0000-0000-0000ED080000}"/>
    <cellStyle name="Normal 8 4" xfId="3935" xr:uid="{00000000-0005-0000-0000-0000EE080000}"/>
    <cellStyle name="Normal 9" xfId="138" xr:uid="{00000000-0005-0000-0000-0000EF080000}"/>
    <cellStyle name="Normal 9 2" xfId="139" xr:uid="{00000000-0005-0000-0000-0000F0080000}"/>
    <cellStyle name="Normal 9 2 2" xfId="2293" xr:uid="{00000000-0005-0000-0000-0000F1080000}"/>
    <cellStyle name="Normal 9 2 2 2" xfId="2294" xr:uid="{00000000-0005-0000-0000-0000F2080000}"/>
    <cellStyle name="Normal 9 2 3" xfId="2295" xr:uid="{00000000-0005-0000-0000-0000F3080000}"/>
    <cellStyle name="Normal 9 3" xfId="2296" xr:uid="{00000000-0005-0000-0000-0000F4080000}"/>
    <cellStyle name="Normal 9 3 2" xfId="2297" xr:uid="{00000000-0005-0000-0000-0000F5080000}"/>
    <cellStyle name="Normal 9 4" xfId="2298" xr:uid="{00000000-0005-0000-0000-0000F6080000}"/>
    <cellStyle name="Normal 9 4 2" xfId="2299" xr:uid="{00000000-0005-0000-0000-0000F7080000}"/>
    <cellStyle name="Normal 9 4 2 2" xfId="2300" xr:uid="{00000000-0005-0000-0000-0000F8080000}"/>
    <cellStyle name="Normal 9 4 3" xfId="2301" xr:uid="{00000000-0005-0000-0000-0000F9080000}"/>
    <cellStyle name="Normal 9 5" xfId="2302" xr:uid="{00000000-0005-0000-0000-0000FA080000}"/>
    <cellStyle name="NormalStyleCurrency" xfId="2303" xr:uid="{00000000-0005-0000-0000-0000FC080000}"/>
    <cellStyle name="NormalStyleText" xfId="2304" xr:uid="{00000000-0005-0000-0000-0000FD080000}"/>
    <cellStyle name="Note 2" xfId="140" xr:uid="{00000000-0005-0000-0000-0000FE080000}"/>
    <cellStyle name="Note 2 2" xfId="141" xr:uid="{00000000-0005-0000-0000-0000FF080000}"/>
    <cellStyle name="Note 2 2 10" xfId="2305" xr:uid="{00000000-0005-0000-0000-000000090000}"/>
    <cellStyle name="Note 2 2 10 2" xfId="2306" xr:uid="{00000000-0005-0000-0000-000001090000}"/>
    <cellStyle name="Note 2 2 10 3" xfId="2307" xr:uid="{00000000-0005-0000-0000-000002090000}"/>
    <cellStyle name="Note 2 2 10 4" xfId="2308" xr:uid="{00000000-0005-0000-0000-000003090000}"/>
    <cellStyle name="Note 2 2 10 5" xfId="2309" xr:uid="{00000000-0005-0000-0000-000004090000}"/>
    <cellStyle name="Note 2 2 11" xfId="2310" xr:uid="{00000000-0005-0000-0000-000005090000}"/>
    <cellStyle name="Note 2 2 11 2" xfId="2311" xr:uid="{00000000-0005-0000-0000-000006090000}"/>
    <cellStyle name="Note 2 2 11 3" xfId="2312" xr:uid="{00000000-0005-0000-0000-000007090000}"/>
    <cellStyle name="Note 2 2 11 4" xfId="2313" xr:uid="{00000000-0005-0000-0000-000008090000}"/>
    <cellStyle name="Note 2 2 11 5" xfId="2314" xr:uid="{00000000-0005-0000-0000-000009090000}"/>
    <cellStyle name="Note 2 2 12" xfId="2315" xr:uid="{00000000-0005-0000-0000-00000A090000}"/>
    <cellStyle name="Note 2 2 12 2" xfId="2316" xr:uid="{00000000-0005-0000-0000-00000B090000}"/>
    <cellStyle name="Note 2 2 12 3" xfId="2317" xr:uid="{00000000-0005-0000-0000-00000C090000}"/>
    <cellStyle name="Note 2 2 12 4" xfId="2318" xr:uid="{00000000-0005-0000-0000-00000D090000}"/>
    <cellStyle name="Note 2 2 12 5" xfId="2319" xr:uid="{00000000-0005-0000-0000-00000E090000}"/>
    <cellStyle name="Note 2 2 13" xfId="2320" xr:uid="{00000000-0005-0000-0000-00000F090000}"/>
    <cellStyle name="Note 2 2 13 2" xfId="2321" xr:uid="{00000000-0005-0000-0000-000010090000}"/>
    <cellStyle name="Note 2 2 13 3" xfId="2322" xr:uid="{00000000-0005-0000-0000-000011090000}"/>
    <cellStyle name="Note 2 2 13 4" xfId="2323" xr:uid="{00000000-0005-0000-0000-000012090000}"/>
    <cellStyle name="Note 2 2 14" xfId="2324" xr:uid="{00000000-0005-0000-0000-000013090000}"/>
    <cellStyle name="Note 2 2 14 2" xfId="2325" xr:uid="{00000000-0005-0000-0000-000014090000}"/>
    <cellStyle name="Note 2 2 14 3" xfId="2326" xr:uid="{00000000-0005-0000-0000-000015090000}"/>
    <cellStyle name="Note 2 2 14 4" xfId="2327" xr:uid="{00000000-0005-0000-0000-000016090000}"/>
    <cellStyle name="Note 2 2 15" xfId="2328" xr:uid="{00000000-0005-0000-0000-000017090000}"/>
    <cellStyle name="Note 2 2 15 2" xfId="2329" xr:uid="{00000000-0005-0000-0000-000018090000}"/>
    <cellStyle name="Note 2 2 15 3" xfId="2330" xr:uid="{00000000-0005-0000-0000-000019090000}"/>
    <cellStyle name="Note 2 2 15 4" xfId="2331" xr:uid="{00000000-0005-0000-0000-00001A090000}"/>
    <cellStyle name="Note 2 2 2" xfId="142" xr:uid="{00000000-0005-0000-0000-00001B090000}"/>
    <cellStyle name="Note 2 2 2 10" xfId="2332" xr:uid="{00000000-0005-0000-0000-00001C090000}"/>
    <cellStyle name="Note 2 2 2 10 2" xfId="2333" xr:uid="{00000000-0005-0000-0000-00001D090000}"/>
    <cellStyle name="Note 2 2 2 10 3" xfId="2334" xr:uid="{00000000-0005-0000-0000-00001E090000}"/>
    <cellStyle name="Note 2 2 2 10 4" xfId="2335" xr:uid="{00000000-0005-0000-0000-00001F090000}"/>
    <cellStyle name="Note 2 2 2 10 5" xfId="2336" xr:uid="{00000000-0005-0000-0000-000020090000}"/>
    <cellStyle name="Note 2 2 2 11" xfId="2337" xr:uid="{00000000-0005-0000-0000-000021090000}"/>
    <cellStyle name="Note 2 2 2 11 2" xfId="2338" xr:uid="{00000000-0005-0000-0000-000022090000}"/>
    <cellStyle name="Note 2 2 2 11 3" xfId="2339" xr:uid="{00000000-0005-0000-0000-000023090000}"/>
    <cellStyle name="Note 2 2 2 11 4" xfId="2340" xr:uid="{00000000-0005-0000-0000-000024090000}"/>
    <cellStyle name="Note 2 2 2 11 5" xfId="2341" xr:uid="{00000000-0005-0000-0000-000025090000}"/>
    <cellStyle name="Note 2 2 2 12" xfId="2342" xr:uid="{00000000-0005-0000-0000-000026090000}"/>
    <cellStyle name="Note 2 2 2 12 2" xfId="2343" xr:uid="{00000000-0005-0000-0000-000027090000}"/>
    <cellStyle name="Note 2 2 2 12 3" xfId="2344" xr:uid="{00000000-0005-0000-0000-000028090000}"/>
    <cellStyle name="Note 2 2 2 12 4" xfId="2345" xr:uid="{00000000-0005-0000-0000-000029090000}"/>
    <cellStyle name="Note 2 2 2 12 5" xfId="2346" xr:uid="{00000000-0005-0000-0000-00002A090000}"/>
    <cellStyle name="Note 2 2 2 13" xfId="2347" xr:uid="{00000000-0005-0000-0000-00002B090000}"/>
    <cellStyle name="Note 2 2 2 13 2" xfId="2348" xr:uid="{00000000-0005-0000-0000-00002C090000}"/>
    <cellStyle name="Note 2 2 2 13 3" xfId="2349" xr:uid="{00000000-0005-0000-0000-00002D090000}"/>
    <cellStyle name="Note 2 2 2 13 4" xfId="2350" xr:uid="{00000000-0005-0000-0000-00002E090000}"/>
    <cellStyle name="Note 2 2 2 13 5" xfId="2351" xr:uid="{00000000-0005-0000-0000-00002F090000}"/>
    <cellStyle name="Note 2 2 2 14" xfId="2352" xr:uid="{00000000-0005-0000-0000-000030090000}"/>
    <cellStyle name="Note 2 2 2 14 2" xfId="2353" xr:uid="{00000000-0005-0000-0000-000031090000}"/>
    <cellStyle name="Note 2 2 2 14 3" xfId="2354" xr:uid="{00000000-0005-0000-0000-000032090000}"/>
    <cellStyle name="Note 2 2 2 14 4" xfId="2355" xr:uid="{00000000-0005-0000-0000-000033090000}"/>
    <cellStyle name="Note 2 2 2 14 5" xfId="2356" xr:uid="{00000000-0005-0000-0000-000034090000}"/>
    <cellStyle name="Note 2 2 2 15" xfId="2357" xr:uid="{00000000-0005-0000-0000-000035090000}"/>
    <cellStyle name="Note 2 2 2 15 2" xfId="2358" xr:uid="{00000000-0005-0000-0000-000036090000}"/>
    <cellStyle name="Note 2 2 2 15 3" xfId="2359" xr:uid="{00000000-0005-0000-0000-000037090000}"/>
    <cellStyle name="Note 2 2 2 15 4" xfId="2360" xr:uid="{00000000-0005-0000-0000-000038090000}"/>
    <cellStyle name="Note 2 2 2 15 5" xfId="2361" xr:uid="{00000000-0005-0000-0000-000039090000}"/>
    <cellStyle name="Note 2 2 2 16" xfId="2362" xr:uid="{00000000-0005-0000-0000-00003A090000}"/>
    <cellStyle name="Note 2 2 2 16 2" xfId="2363" xr:uid="{00000000-0005-0000-0000-00003B090000}"/>
    <cellStyle name="Note 2 2 2 16 3" xfId="2364" xr:uid="{00000000-0005-0000-0000-00003C090000}"/>
    <cellStyle name="Note 2 2 2 16 4" xfId="2365" xr:uid="{00000000-0005-0000-0000-00003D090000}"/>
    <cellStyle name="Note 2 2 2 16 5" xfId="2366" xr:uid="{00000000-0005-0000-0000-00003E090000}"/>
    <cellStyle name="Note 2 2 2 17" xfId="2367" xr:uid="{00000000-0005-0000-0000-00003F090000}"/>
    <cellStyle name="Note 2 2 2 17 2" xfId="2368" xr:uid="{00000000-0005-0000-0000-000040090000}"/>
    <cellStyle name="Note 2 2 2 17 3" xfId="2369" xr:uid="{00000000-0005-0000-0000-000041090000}"/>
    <cellStyle name="Note 2 2 2 17 4" xfId="2370" xr:uid="{00000000-0005-0000-0000-000042090000}"/>
    <cellStyle name="Note 2 2 2 17 5" xfId="2371" xr:uid="{00000000-0005-0000-0000-000043090000}"/>
    <cellStyle name="Note 2 2 2 18" xfId="2372" xr:uid="{00000000-0005-0000-0000-000044090000}"/>
    <cellStyle name="Note 2 2 2 18 2" xfId="2373" xr:uid="{00000000-0005-0000-0000-000045090000}"/>
    <cellStyle name="Note 2 2 2 18 3" xfId="2374" xr:uid="{00000000-0005-0000-0000-000046090000}"/>
    <cellStyle name="Note 2 2 2 18 4" xfId="2375" xr:uid="{00000000-0005-0000-0000-000047090000}"/>
    <cellStyle name="Note 2 2 2 18 5" xfId="2376" xr:uid="{00000000-0005-0000-0000-000048090000}"/>
    <cellStyle name="Note 2 2 2 19" xfId="2377" xr:uid="{00000000-0005-0000-0000-000049090000}"/>
    <cellStyle name="Note 2 2 2 19 2" xfId="2378" xr:uid="{00000000-0005-0000-0000-00004A090000}"/>
    <cellStyle name="Note 2 2 2 19 3" xfId="2379" xr:uid="{00000000-0005-0000-0000-00004B090000}"/>
    <cellStyle name="Note 2 2 2 19 4" xfId="2380" xr:uid="{00000000-0005-0000-0000-00004C090000}"/>
    <cellStyle name="Note 2 2 2 2" xfId="2381" xr:uid="{00000000-0005-0000-0000-00004D090000}"/>
    <cellStyle name="Note 2 2 2 2 2" xfId="2382" xr:uid="{00000000-0005-0000-0000-00004E090000}"/>
    <cellStyle name="Note 2 2 2 2 3" xfId="2383" xr:uid="{00000000-0005-0000-0000-00004F090000}"/>
    <cellStyle name="Note 2 2 2 2 4" xfId="2384" xr:uid="{00000000-0005-0000-0000-000050090000}"/>
    <cellStyle name="Note 2 2 2 2 5" xfId="2385" xr:uid="{00000000-0005-0000-0000-000051090000}"/>
    <cellStyle name="Note 2 2 2 20" xfId="2386" xr:uid="{00000000-0005-0000-0000-000052090000}"/>
    <cellStyle name="Note 2 2 2 20 2" xfId="2387" xr:uid="{00000000-0005-0000-0000-000053090000}"/>
    <cellStyle name="Note 2 2 2 20 3" xfId="2388" xr:uid="{00000000-0005-0000-0000-000054090000}"/>
    <cellStyle name="Note 2 2 2 20 4" xfId="2389" xr:uid="{00000000-0005-0000-0000-000055090000}"/>
    <cellStyle name="Note 2 2 2 21" xfId="2390" xr:uid="{00000000-0005-0000-0000-000056090000}"/>
    <cellStyle name="Note 2 2 2 21 2" xfId="2391" xr:uid="{00000000-0005-0000-0000-000057090000}"/>
    <cellStyle name="Note 2 2 2 21 3" xfId="2392" xr:uid="{00000000-0005-0000-0000-000058090000}"/>
    <cellStyle name="Note 2 2 2 21 4" xfId="2393" xr:uid="{00000000-0005-0000-0000-000059090000}"/>
    <cellStyle name="Note 2 2 2 22" xfId="2394" xr:uid="{00000000-0005-0000-0000-00005A090000}"/>
    <cellStyle name="Note 2 2 2 22 2" xfId="2395" xr:uid="{00000000-0005-0000-0000-00005B090000}"/>
    <cellStyle name="Note 2 2 2 22 3" xfId="2396" xr:uid="{00000000-0005-0000-0000-00005C090000}"/>
    <cellStyle name="Note 2 2 2 22 4" xfId="2397" xr:uid="{00000000-0005-0000-0000-00005D090000}"/>
    <cellStyle name="Note 2 2 2 23" xfId="2398" xr:uid="{00000000-0005-0000-0000-00005E090000}"/>
    <cellStyle name="Note 2 2 2 3" xfId="2399" xr:uid="{00000000-0005-0000-0000-00005F090000}"/>
    <cellStyle name="Note 2 2 2 3 2" xfId="2400" xr:uid="{00000000-0005-0000-0000-000060090000}"/>
    <cellStyle name="Note 2 2 2 3 3" xfId="2401" xr:uid="{00000000-0005-0000-0000-000061090000}"/>
    <cellStyle name="Note 2 2 2 3 4" xfId="2402" xr:uid="{00000000-0005-0000-0000-000062090000}"/>
    <cellStyle name="Note 2 2 2 3 5" xfId="2403" xr:uid="{00000000-0005-0000-0000-000063090000}"/>
    <cellStyle name="Note 2 2 2 4" xfId="2404" xr:uid="{00000000-0005-0000-0000-000064090000}"/>
    <cellStyle name="Note 2 2 2 4 2" xfId="2405" xr:uid="{00000000-0005-0000-0000-000065090000}"/>
    <cellStyle name="Note 2 2 2 4 3" xfId="2406" xr:uid="{00000000-0005-0000-0000-000066090000}"/>
    <cellStyle name="Note 2 2 2 4 4" xfId="2407" xr:uid="{00000000-0005-0000-0000-000067090000}"/>
    <cellStyle name="Note 2 2 2 4 5" xfId="2408" xr:uid="{00000000-0005-0000-0000-000068090000}"/>
    <cellStyle name="Note 2 2 2 5" xfId="2409" xr:uid="{00000000-0005-0000-0000-000069090000}"/>
    <cellStyle name="Note 2 2 2 5 2" xfId="2410" xr:uid="{00000000-0005-0000-0000-00006A090000}"/>
    <cellStyle name="Note 2 2 2 5 3" xfId="2411" xr:uid="{00000000-0005-0000-0000-00006B090000}"/>
    <cellStyle name="Note 2 2 2 5 4" xfId="2412" xr:uid="{00000000-0005-0000-0000-00006C090000}"/>
    <cellStyle name="Note 2 2 2 5 5" xfId="2413" xr:uid="{00000000-0005-0000-0000-00006D090000}"/>
    <cellStyle name="Note 2 2 2 6" xfId="2414" xr:uid="{00000000-0005-0000-0000-00006E090000}"/>
    <cellStyle name="Note 2 2 2 6 2" xfId="2415" xr:uid="{00000000-0005-0000-0000-00006F090000}"/>
    <cellStyle name="Note 2 2 2 6 3" xfId="2416" xr:uid="{00000000-0005-0000-0000-000070090000}"/>
    <cellStyle name="Note 2 2 2 6 4" xfId="2417" xr:uid="{00000000-0005-0000-0000-000071090000}"/>
    <cellStyle name="Note 2 2 2 6 5" xfId="2418" xr:uid="{00000000-0005-0000-0000-000072090000}"/>
    <cellStyle name="Note 2 2 2 7" xfId="2419" xr:uid="{00000000-0005-0000-0000-000073090000}"/>
    <cellStyle name="Note 2 2 2 7 2" xfId="2420" xr:uid="{00000000-0005-0000-0000-000074090000}"/>
    <cellStyle name="Note 2 2 2 7 3" xfId="2421" xr:uid="{00000000-0005-0000-0000-000075090000}"/>
    <cellStyle name="Note 2 2 2 7 4" xfId="2422" xr:uid="{00000000-0005-0000-0000-000076090000}"/>
    <cellStyle name="Note 2 2 2 7 5" xfId="2423" xr:uid="{00000000-0005-0000-0000-000077090000}"/>
    <cellStyle name="Note 2 2 2 8" xfId="2424" xr:uid="{00000000-0005-0000-0000-000078090000}"/>
    <cellStyle name="Note 2 2 2 8 2" xfId="2425" xr:uid="{00000000-0005-0000-0000-000079090000}"/>
    <cellStyle name="Note 2 2 2 8 3" xfId="2426" xr:uid="{00000000-0005-0000-0000-00007A090000}"/>
    <cellStyle name="Note 2 2 2 8 4" xfId="2427" xr:uid="{00000000-0005-0000-0000-00007B090000}"/>
    <cellStyle name="Note 2 2 2 8 5" xfId="2428" xr:uid="{00000000-0005-0000-0000-00007C090000}"/>
    <cellStyle name="Note 2 2 2 9" xfId="2429" xr:uid="{00000000-0005-0000-0000-00007D090000}"/>
    <cellStyle name="Note 2 2 2 9 2" xfId="2430" xr:uid="{00000000-0005-0000-0000-00007E090000}"/>
    <cellStyle name="Note 2 2 2 9 3" xfId="2431" xr:uid="{00000000-0005-0000-0000-00007F090000}"/>
    <cellStyle name="Note 2 2 2 9 4" xfId="2432" xr:uid="{00000000-0005-0000-0000-000080090000}"/>
    <cellStyle name="Note 2 2 2 9 5" xfId="2433" xr:uid="{00000000-0005-0000-0000-000081090000}"/>
    <cellStyle name="Note 2 2 3" xfId="2434" xr:uid="{00000000-0005-0000-0000-000082090000}"/>
    <cellStyle name="Note 2 2 3 10" xfId="2435" xr:uid="{00000000-0005-0000-0000-000083090000}"/>
    <cellStyle name="Note 2 2 3 10 2" xfId="2436" xr:uid="{00000000-0005-0000-0000-000084090000}"/>
    <cellStyle name="Note 2 2 3 10 3" xfId="2437" xr:uid="{00000000-0005-0000-0000-000085090000}"/>
    <cellStyle name="Note 2 2 3 10 4" xfId="2438" xr:uid="{00000000-0005-0000-0000-000086090000}"/>
    <cellStyle name="Note 2 2 3 10 5" xfId="2439" xr:uid="{00000000-0005-0000-0000-000087090000}"/>
    <cellStyle name="Note 2 2 3 11" xfId="2440" xr:uid="{00000000-0005-0000-0000-000088090000}"/>
    <cellStyle name="Note 2 2 3 11 2" xfId="2441" xr:uid="{00000000-0005-0000-0000-000089090000}"/>
    <cellStyle name="Note 2 2 3 11 3" xfId="2442" xr:uid="{00000000-0005-0000-0000-00008A090000}"/>
    <cellStyle name="Note 2 2 3 11 4" xfId="2443" xr:uid="{00000000-0005-0000-0000-00008B090000}"/>
    <cellStyle name="Note 2 2 3 11 5" xfId="2444" xr:uid="{00000000-0005-0000-0000-00008C090000}"/>
    <cellStyle name="Note 2 2 3 12" xfId="2445" xr:uid="{00000000-0005-0000-0000-00008D090000}"/>
    <cellStyle name="Note 2 2 3 12 2" xfId="2446" xr:uid="{00000000-0005-0000-0000-00008E090000}"/>
    <cellStyle name="Note 2 2 3 12 3" xfId="2447" xr:uid="{00000000-0005-0000-0000-00008F090000}"/>
    <cellStyle name="Note 2 2 3 12 4" xfId="2448" xr:uid="{00000000-0005-0000-0000-000090090000}"/>
    <cellStyle name="Note 2 2 3 12 5" xfId="2449" xr:uid="{00000000-0005-0000-0000-000091090000}"/>
    <cellStyle name="Note 2 2 3 13" xfId="2450" xr:uid="{00000000-0005-0000-0000-000092090000}"/>
    <cellStyle name="Note 2 2 3 13 2" xfId="2451" xr:uid="{00000000-0005-0000-0000-000093090000}"/>
    <cellStyle name="Note 2 2 3 13 3" xfId="2452" xr:uid="{00000000-0005-0000-0000-000094090000}"/>
    <cellStyle name="Note 2 2 3 13 4" xfId="2453" xr:uid="{00000000-0005-0000-0000-000095090000}"/>
    <cellStyle name="Note 2 2 3 13 5" xfId="2454" xr:uid="{00000000-0005-0000-0000-000096090000}"/>
    <cellStyle name="Note 2 2 3 14" xfId="2455" xr:uid="{00000000-0005-0000-0000-000097090000}"/>
    <cellStyle name="Note 2 2 3 14 2" xfId="2456" xr:uid="{00000000-0005-0000-0000-000098090000}"/>
    <cellStyle name="Note 2 2 3 14 3" xfId="2457" xr:uid="{00000000-0005-0000-0000-000099090000}"/>
    <cellStyle name="Note 2 2 3 14 4" xfId="2458" xr:uid="{00000000-0005-0000-0000-00009A090000}"/>
    <cellStyle name="Note 2 2 3 14 5" xfId="2459" xr:uid="{00000000-0005-0000-0000-00009B090000}"/>
    <cellStyle name="Note 2 2 3 15" xfId="2460" xr:uid="{00000000-0005-0000-0000-00009C090000}"/>
    <cellStyle name="Note 2 2 3 15 2" xfId="2461" xr:uid="{00000000-0005-0000-0000-00009D090000}"/>
    <cellStyle name="Note 2 2 3 15 3" xfId="2462" xr:uid="{00000000-0005-0000-0000-00009E090000}"/>
    <cellStyle name="Note 2 2 3 15 4" xfId="2463" xr:uid="{00000000-0005-0000-0000-00009F090000}"/>
    <cellStyle name="Note 2 2 3 15 5" xfId="2464" xr:uid="{00000000-0005-0000-0000-0000A0090000}"/>
    <cellStyle name="Note 2 2 3 16" xfId="2465" xr:uid="{00000000-0005-0000-0000-0000A1090000}"/>
    <cellStyle name="Note 2 2 3 16 2" xfId="2466" xr:uid="{00000000-0005-0000-0000-0000A2090000}"/>
    <cellStyle name="Note 2 2 3 16 3" xfId="2467" xr:uid="{00000000-0005-0000-0000-0000A3090000}"/>
    <cellStyle name="Note 2 2 3 16 4" xfId="2468" xr:uid="{00000000-0005-0000-0000-0000A4090000}"/>
    <cellStyle name="Note 2 2 3 16 5" xfId="2469" xr:uid="{00000000-0005-0000-0000-0000A5090000}"/>
    <cellStyle name="Note 2 2 3 17" xfId="2470" xr:uid="{00000000-0005-0000-0000-0000A6090000}"/>
    <cellStyle name="Note 2 2 3 17 2" xfId="2471" xr:uid="{00000000-0005-0000-0000-0000A7090000}"/>
    <cellStyle name="Note 2 2 3 17 3" xfId="2472" xr:uid="{00000000-0005-0000-0000-0000A8090000}"/>
    <cellStyle name="Note 2 2 3 17 4" xfId="2473" xr:uid="{00000000-0005-0000-0000-0000A9090000}"/>
    <cellStyle name="Note 2 2 3 17 5" xfId="2474" xr:uid="{00000000-0005-0000-0000-0000AA090000}"/>
    <cellStyle name="Note 2 2 3 18" xfId="2475" xr:uid="{00000000-0005-0000-0000-0000AB090000}"/>
    <cellStyle name="Note 2 2 3 18 2" xfId="2476" xr:uid="{00000000-0005-0000-0000-0000AC090000}"/>
    <cellStyle name="Note 2 2 3 18 3" xfId="2477" xr:uid="{00000000-0005-0000-0000-0000AD090000}"/>
    <cellStyle name="Note 2 2 3 18 4" xfId="2478" xr:uid="{00000000-0005-0000-0000-0000AE090000}"/>
    <cellStyle name="Note 2 2 3 18 5" xfId="2479" xr:uid="{00000000-0005-0000-0000-0000AF090000}"/>
    <cellStyle name="Note 2 2 3 19" xfId="2480" xr:uid="{00000000-0005-0000-0000-0000B0090000}"/>
    <cellStyle name="Note 2 2 3 19 2" xfId="2481" xr:uid="{00000000-0005-0000-0000-0000B1090000}"/>
    <cellStyle name="Note 2 2 3 19 3" xfId="2482" xr:uid="{00000000-0005-0000-0000-0000B2090000}"/>
    <cellStyle name="Note 2 2 3 19 4" xfId="2483" xr:uid="{00000000-0005-0000-0000-0000B3090000}"/>
    <cellStyle name="Note 2 2 3 2" xfId="2484" xr:uid="{00000000-0005-0000-0000-0000B4090000}"/>
    <cellStyle name="Note 2 2 3 2 2" xfId="2485" xr:uid="{00000000-0005-0000-0000-0000B5090000}"/>
    <cellStyle name="Note 2 2 3 2 3" xfId="2486" xr:uid="{00000000-0005-0000-0000-0000B6090000}"/>
    <cellStyle name="Note 2 2 3 2 4" xfId="2487" xr:uid="{00000000-0005-0000-0000-0000B7090000}"/>
    <cellStyle name="Note 2 2 3 2 5" xfId="2488" xr:uid="{00000000-0005-0000-0000-0000B8090000}"/>
    <cellStyle name="Note 2 2 3 20" xfId="2489" xr:uid="{00000000-0005-0000-0000-0000B9090000}"/>
    <cellStyle name="Note 2 2 3 20 2" xfId="2490" xr:uid="{00000000-0005-0000-0000-0000BA090000}"/>
    <cellStyle name="Note 2 2 3 20 3" xfId="2491" xr:uid="{00000000-0005-0000-0000-0000BB090000}"/>
    <cellStyle name="Note 2 2 3 20 4" xfId="2492" xr:uid="{00000000-0005-0000-0000-0000BC090000}"/>
    <cellStyle name="Note 2 2 3 21" xfId="2493" xr:uid="{00000000-0005-0000-0000-0000BD090000}"/>
    <cellStyle name="Note 2 2 3 21 2" xfId="2494" xr:uid="{00000000-0005-0000-0000-0000BE090000}"/>
    <cellStyle name="Note 2 2 3 21 3" xfId="2495" xr:uid="{00000000-0005-0000-0000-0000BF090000}"/>
    <cellStyle name="Note 2 2 3 21 4" xfId="2496" xr:uid="{00000000-0005-0000-0000-0000C0090000}"/>
    <cellStyle name="Note 2 2 3 22" xfId="2497" xr:uid="{00000000-0005-0000-0000-0000C1090000}"/>
    <cellStyle name="Note 2 2 3 22 2" xfId="2498" xr:uid="{00000000-0005-0000-0000-0000C2090000}"/>
    <cellStyle name="Note 2 2 3 22 3" xfId="2499" xr:uid="{00000000-0005-0000-0000-0000C3090000}"/>
    <cellStyle name="Note 2 2 3 22 4" xfId="2500" xr:uid="{00000000-0005-0000-0000-0000C4090000}"/>
    <cellStyle name="Note 2 2 3 23" xfId="2501" xr:uid="{00000000-0005-0000-0000-0000C5090000}"/>
    <cellStyle name="Note 2 2 3 3" xfId="2502" xr:uid="{00000000-0005-0000-0000-0000C6090000}"/>
    <cellStyle name="Note 2 2 3 3 2" xfId="2503" xr:uid="{00000000-0005-0000-0000-0000C7090000}"/>
    <cellStyle name="Note 2 2 3 3 3" xfId="2504" xr:uid="{00000000-0005-0000-0000-0000C8090000}"/>
    <cellStyle name="Note 2 2 3 3 4" xfId="2505" xr:uid="{00000000-0005-0000-0000-0000C9090000}"/>
    <cellStyle name="Note 2 2 3 3 5" xfId="2506" xr:uid="{00000000-0005-0000-0000-0000CA090000}"/>
    <cellStyle name="Note 2 2 3 4" xfId="2507" xr:uid="{00000000-0005-0000-0000-0000CB090000}"/>
    <cellStyle name="Note 2 2 3 4 2" xfId="2508" xr:uid="{00000000-0005-0000-0000-0000CC090000}"/>
    <cellStyle name="Note 2 2 3 4 3" xfId="2509" xr:uid="{00000000-0005-0000-0000-0000CD090000}"/>
    <cellStyle name="Note 2 2 3 4 4" xfId="2510" xr:uid="{00000000-0005-0000-0000-0000CE090000}"/>
    <cellStyle name="Note 2 2 3 4 5" xfId="2511" xr:uid="{00000000-0005-0000-0000-0000CF090000}"/>
    <cellStyle name="Note 2 2 3 5" xfId="2512" xr:uid="{00000000-0005-0000-0000-0000D0090000}"/>
    <cellStyle name="Note 2 2 3 5 2" xfId="2513" xr:uid="{00000000-0005-0000-0000-0000D1090000}"/>
    <cellStyle name="Note 2 2 3 5 3" xfId="2514" xr:uid="{00000000-0005-0000-0000-0000D2090000}"/>
    <cellStyle name="Note 2 2 3 5 4" xfId="2515" xr:uid="{00000000-0005-0000-0000-0000D3090000}"/>
    <cellStyle name="Note 2 2 3 5 5" xfId="2516" xr:uid="{00000000-0005-0000-0000-0000D4090000}"/>
    <cellStyle name="Note 2 2 3 6" xfId="2517" xr:uid="{00000000-0005-0000-0000-0000D5090000}"/>
    <cellStyle name="Note 2 2 3 6 2" xfId="2518" xr:uid="{00000000-0005-0000-0000-0000D6090000}"/>
    <cellStyle name="Note 2 2 3 6 3" xfId="2519" xr:uid="{00000000-0005-0000-0000-0000D7090000}"/>
    <cellStyle name="Note 2 2 3 6 4" xfId="2520" xr:uid="{00000000-0005-0000-0000-0000D8090000}"/>
    <cellStyle name="Note 2 2 3 6 5" xfId="2521" xr:uid="{00000000-0005-0000-0000-0000D9090000}"/>
    <cellStyle name="Note 2 2 3 7" xfId="2522" xr:uid="{00000000-0005-0000-0000-0000DA090000}"/>
    <cellStyle name="Note 2 2 3 7 2" xfId="2523" xr:uid="{00000000-0005-0000-0000-0000DB090000}"/>
    <cellStyle name="Note 2 2 3 7 3" xfId="2524" xr:uid="{00000000-0005-0000-0000-0000DC090000}"/>
    <cellStyle name="Note 2 2 3 7 4" xfId="2525" xr:uid="{00000000-0005-0000-0000-0000DD090000}"/>
    <cellStyle name="Note 2 2 3 7 5" xfId="2526" xr:uid="{00000000-0005-0000-0000-0000DE090000}"/>
    <cellStyle name="Note 2 2 3 8" xfId="2527" xr:uid="{00000000-0005-0000-0000-0000DF090000}"/>
    <cellStyle name="Note 2 2 3 8 2" xfId="2528" xr:uid="{00000000-0005-0000-0000-0000E0090000}"/>
    <cellStyle name="Note 2 2 3 8 3" xfId="2529" xr:uid="{00000000-0005-0000-0000-0000E1090000}"/>
    <cellStyle name="Note 2 2 3 8 4" xfId="2530" xr:uid="{00000000-0005-0000-0000-0000E2090000}"/>
    <cellStyle name="Note 2 2 3 8 5" xfId="2531" xr:uid="{00000000-0005-0000-0000-0000E3090000}"/>
    <cellStyle name="Note 2 2 3 9" xfId="2532" xr:uid="{00000000-0005-0000-0000-0000E4090000}"/>
    <cellStyle name="Note 2 2 3 9 2" xfId="2533" xr:uid="{00000000-0005-0000-0000-0000E5090000}"/>
    <cellStyle name="Note 2 2 3 9 3" xfId="2534" xr:uid="{00000000-0005-0000-0000-0000E6090000}"/>
    <cellStyle name="Note 2 2 3 9 4" xfId="2535" xr:uid="{00000000-0005-0000-0000-0000E7090000}"/>
    <cellStyle name="Note 2 2 3 9 5" xfId="2536" xr:uid="{00000000-0005-0000-0000-0000E8090000}"/>
    <cellStyle name="Note 2 2 4" xfId="2537" xr:uid="{00000000-0005-0000-0000-0000E9090000}"/>
    <cellStyle name="Note 2 2 4 10" xfId="2538" xr:uid="{00000000-0005-0000-0000-0000EA090000}"/>
    <cellStyle name="Note 2 2 4 10 2" xfId="2539" xr:uid="{00000000-0005-0000-0000-0000EB090000}"/>
    <cellStyle name="Note 2 2 4 10 3" xfId="2540" xr:uid="{00000000-0005-0000-0000-0000EC090000}"/>
    <cellStyle name="Note 2 2 4 10 4" xfId="2541" xr:uid="{00000000-0005-0000-0000-0000ED090000}"/>
    <cellStyle name="Note 2 2 4 10 5" xfId="2542" xr:uid="{00000000-0005-0000-0000-0000EE090000}"/>
    <cellStyle name="Note 2 2 4 11" xfId="2543" xr:uid="{00000000-0005-0000-0000-0000EF090000}"/>
    <cellStyle name="Note 2 2 4 11 2" xfId="2544" xr:uid="{00000000-0005-0000-0000-0000F0090000}"/>
    <cellStyle name="Note 2 2 4 11 3" xfId="2545" xr:uid="{00000000-0005-0000-0000-0000F1090000}"/>
    <cellStyle name="Note 2 2 4 11 4" xfId="2546" xr:uid="{00000000-0005-0000-0000-0000F2090000}"/>
    <cellStyle name="Note 2 2 4 11 5" xfId="2547" xr:uid="{00000000-0005-0000-0000-0000F3090000}"/>
    <cellStyle name="Note 2 2 4 12" xfId="2548" xr:uid="{00000000-0005-0000-0000-0000F4090000}"/>
    <cellStyle name="Note 2 2 4 12 2" xfId="2549" xr:uid="{00000000-0005-0000-0000-0000F5090000}"/>
    <cellStyle name="Note 2 2 4 12 3" xfId="2550" xr:uid="{00000000-0005-0000-0000-0000F6090000}"/>
    <cellStyle name="Note 2 2 4 12 4" xfId="2551" xr:uid="{00000000-0005-0000-0000-0000F7090000}"/>
    <cellStyle name="Note 2 2 4 12 5" xfId="2552" xr:uid="{00000000-0005-0000-0000-0000F8090000}"/>
    <cellStyle name="Note 2 2 4 13" xfId="2553" xr:uid="{00000000-0005-0000-0000-0000F9090000}"/>
    <cellStyle name="Note 2 2 4 13 2" xfId="2554" xr:uid="{00000000-0005-0000-0000-0000FA090000}"/>
    <cellStyle name="Note 2 2 4 13 3" xfId="2555" xr:uid="{00000000-0005-0000-0000-0000FB090000}"/>
    <cellStyle name="Note 2 2 4 13 4" xfId="2556" xr:uid="{00000000-0005-0000-0000-0000FC090000}"/>
    <cellStyle name="Note 2 2 4 13 5" xfId="2557" xr:uid="{00000000-0005-0000-0000-0000FD090000}"/>
    <cellStyle name="Note 2 2 4 14" xfId="2558" xr:uid="{00000000-0005-0000-0000-0000FE090000}"/>
    <cellStyle name="Note 2 2 4 14 2" xfId="2559" xr:uid="{00000000-0005-0000-0000-0000FF090000}"/>
    <cellStyle name="Note 2 2 4 14 3" xfId="2560" xr:uid="{00000000-0005-0000-0000-0000000A0000}"/>
    <cellStyle name="Note 2 2 4 14 4" xfId="2561" xr:uid="{00000000-0005-0000-0000-0000010A0000}"/>
    <cellStyle name="Note 2 2 4 14 5" xfId="2562" xr:uid="{00000000-0005-0000-0000-0000020A0000}"/>
    <cellStyle name="Note 2 2 4 15" xfId="2563" xr:uid="{00000000-0005-0000-0000-0000030A0000}"/>
    <cellStyle name="Note 2 2 4 15 2" xfId="2564" xr:uid="{00000000-0005-0000-0000-0000040A0000}"/>
    <cellStyle name="Note 2 2 4 15 3" xfId="2565" xr:uid="{00000000-0005-0000-0000-0000050A0000}"/>
    <cellStyle name="Note 2 2 4 15 4" xfId="2566" xr:uid="{00000000-0005-0000-0000-0000060A0000}"/>
    <cellStyle name="Note 2 2 4 15 5" xfId="2567" xr:uid="{00000000-0005-0000-0000-0000070A0000}"/>
    <cellStyle name="Note 2 2 4 16" xfId="2568" xr:uid="{00000000-0005-0000-0000-0000080A0000}"/>
    <cellStyle name="Note 2 2 4 16 2" xfId="2569" xr:uid="{00000000-0005-0000-0000-0000090A0000}"/>
    <cellStyle name="Note 2 2 4 16 3" xfId="2570" xr:uid="{00000000-0005-0000-0000-00000A0A0000}"/>
    <cellStyle name="Note 2 2 4 16 4" xfId="2571" xr:uid="{00000000-0005-0000-0000-00000B0A0000}"/>
    <cellStyle name="Note 2 2 4 16 5" xfId="2572" xr:uid="{00000000-0005-0000-0000-00000C0A0000}"/>
    <cellStyle name="Note 2 2 4 17" xfId="2573" xr:uid="{00000000-0005-0000-0000-00000D0A0000}"/>
    <cellStyle name="Note 2 2 4 17 2" xfId="2574" xr:uid="{00000000-0005-0000-0000-00000E0A0000}"/>
    <cellStyle name="Note 2 2 4 17 3" xfId="2575" xr:uid="{00000000-0005-0000-0000-00000F0A0000}"/>
    <cellStyle name="Note 2 2 4 17 4" xfId="2576" xr:uid="{00000000-0005-0000-0000-0000100A0000}"/>
    <cellStyle name="Note 2 2 4 17 5" xfId="2577" xr:uid="{00000000-0005-0000-0000-0000110A0000}"/>
    <cellStyle name="Note 2 2 4 18" xfId="2578" xr:uid="{00000000-0005-0000-0000-0000120A0000}"/>
    <cellStyle name="Note 2 2 4 18 2" xfId="2579" xr:uid="{00000000-0005-0000-0000-0000130A0000}"/>
    <cellStyle name="Note 2 2 4 18 3" xfId="2580" xr:uid="{00000000-0005-0000-0000-0000140A0000}"/>
    <cellStyle name="Note 2 2 4 18 4" xfId="2581" xr:uid="{00000000-0005-0000-0000-0000150A0000}"/>
    <cellStyle name="Note 2 2 4 18 5" xfId="2582" xr:uid="{00000000-0005-0000-0000-0000160A0000}"/>
    <cellStyle name="Note 2 2 4 19" xfId="2583" xr:uid="{00000000-0005-0000-0000-0000170A0000}"/>
    <cellStyle name="Note 2 2 4 19 2" xfId="2584" xr:uid="{00000000-0005-0000-0000-0000180A0000}"/>
    <cellStyle name="Note 2 2 4 19 3" xfId="2585" xr:uid="{00000000-0005-0000-0000-0000190A0000}"/>
    <cellStyle name="Note 2 2 4 19 4" xfId="2586" xr:uid="{00000000-0005-0000-0000-00001A0A0000}"/>
    <cellStyle name="Note 2 2 4 2" xfId="2587" xr:uid="{00000000-0005-0000-0000-00001B0A0000}"/>
    <cellStyle name="Note 2 2 4 2 2" xfId="2588" xr:uid="{00000000-0005-0000-0000-00001C0A0000}"/>
    <cellStyle name="Note 2 2 4 2 3" xfId="2589" xr:uid="{00000000-0005-0000-0000-00001D0A0000}"/>
    <cellStyle name="Note 2 2 4 2 4" xfId="2590" xr:uid="{00000000-0005-0000-0000-00001E0A0000}"/>
    <cellStyle name="Note 2 2 4 2 5" xfId="2591" xr:uid="{00000000-0005-0000-0000-00001F0A0000}"/>
    <cellStyle name="Note 2 2 4 20" xfId="2592" xr:uid="{00000000-0005-0000-0000-0000200A0000}"/>
    <cellStyle name="Note 2 2 4 20 2" xfId="2593" xr:uid="{00000000-0005-0000-0000-0000210A0000}"/>
    <cellStyle name="Note 2 2 4 20 3" xfId="2594" xr:uid="{00000000-0005-0000-0000-0000220A0000}"/>
    <cellStyle name="Note 2 2 4 20 4" xfId="2595" xr:uid="{00000000-0005-0000-0000-0000230A0000}"/>
    <cellStyle name="Note 2 2 4 21" xfId="2596" xr:uid="{00000000-0005-0000-0000-0000240A0000}"/>
    <cellStyle name="Note 2 2 4 21 2" xfId="2597" xr:uid="{00000000-0005-0000-0000-0000250A0000}"/>
    <cellStyle name="Note 2 2 4 21 3" xfId="2598" xr:uid="{00000000-0005-0000-0000-0000260A0000}"/>
    <cellStyle name="Note 2 2 4 21 4" xfId="2599" xr:uid="{00000000-0005-0000-0000-0000270A0000}"/>
    <cellStyle name="Note 2 2 4 22" xfId="2600" xr:uid="{00000000-0005-0000-0000-0000280A0000}"/>
    <cellStyle name="Note 2 2 4 22 2" xfId="2601" xr:uid="{00000000-0005-0000-0000-0000290A0000}"/>
    <cellStyle name="Note 2 2 4 22 3" xfId="2602" xr:uid="{00000000-0005-0000-0000-00002A0A0000}"/>
    <cellStyle name="Note 2 2 4 22 4" xfId="2603" xr:uid="{00000000-0005-0000-0000-00002B0A0000}"/>
    <cellStyle name="Note 2 2 4 23" xfId="2604" xr:uid="{00000000-0005-0000-0000-00002C0A0000}"/>
    <cellStyle name="Note 2 2 4 3" xfId="2605" xr:uid="{00000000-0005-0000-0000-00002D0A0000}"/>
    <cellStyle name="Note 2 2 4 3 2" xfId="2606" xr:uid="{00000000-0005-0000-0000-00002E0A0000}"/>
    <cellStyle name="Note 2 2 4 3 3" xfId="2607" xr:uid="{00000000-0005-0000-0000-00002F0A0000}"/>
    <cellStyle name="Note 2 2 4 3 4" xfId="2608" xr:uid="{00000000-0005-0000-0000-0000300A0000}"/>
    <cellStyle name="Note 2 2 4 3 5" xfId="2609" xr:uid="{00000000-0005-0000-0000-0000310A0000}"/>
    <cellStyle name="Note 2 2 4 4" xfId="2610" xr:uid="{00000000-0005-0000-0000-0000320A0000}"/>
    <cellStyle name="Note 2 2 4 4 2" xfId="2611" xr:uid="{00000000-0005-0000-0000-0000330A0000}"/>
    <cellStyle name="Note 2 2 4 4 3" xfId="2612" xr:uid="{00000000-0005-0000-0000-0000340A0000}"/>
    <cellStyle name="Note 2 2 4 4 4" xfId="2613" xr:uid="{00000000-0005-0000-0000-0000350A0000}"/>
    <cellStyle name="Note 2 2 4 4 5" xfId="2614" xr:uid="{00000000-0005-0000-0000-0000360A0000}"/>
    <cellStyle name="Note 2 2 4 5" xfId="2615" xr:uid="{00000000-0005-0000-0000-0000370A0000}"/>
    <cellStyle name="Note 2 2 4 5 2" xfId="2616" xr:uid="{00000000-0005-0000-0000-0000380A0000}"/>
    <cellStyle name="Note 2 2 4 5 3" xfId="2617" xr:uid="{00000000-0005-0000-0000-0000390A0000}"/>
    <cellStyle name="Note 2 2 4 5 4" xfId="2618" xr:uid="{00000000-0005-0000-0000-00003A0A0000}"/>
    <cellStyle name="Note 2 2 4 5 5" xfId="2619" xr:uid="{00000000-0005-0000-0000-00003B0A0000}"/>
    <cellStyle name="Note 2 2 4 6" xfId="2620" xr:uid="{00000000-0005-0000-0000-00003C0A0000}"/>
    <cellStyle name="Note 2 2 4 6 2" xfId="2621" xr:uid="{00000000-0005-0000-0000-00003D0A0000}"/>
    <cellStyle name="Note 2 2 4 6 3" xfId="2622" xr:uid="{00000000-0005-0000-0000-00003E0A0000}"/>
    <cellStyle name="Note 2 2 4 6 4" xfId="2623" xr:uid="{00000000-0005-0000-0000-00003F0A0000}"/>
    <cellStyle name="Note 2 2 4 6 5" xfId="2624" xr:uid="{00000000-0005-0000-0000-0000400A0000}"/>
    <cellStyle name="Note 2 2 4 7" xfId="2625" xr:uid="{00000000-0005-0000-0000-0000410A0000}"/>
    <cellStyle name="Note 2 2 4 7 2" xfId="2626" xr:uid="{00000000-0005-0000-0000-0000420A0000}"/>
    <cellStyle name="Note 2 2 4 7 3" xfId="2627" xr:uid="{00000000-0005-0000-0000-0000430A0000}"/>
    <cellStyle name="Note 2 2 4 7 4" xfId="2628" xr:uid="{00000000-0005-0000-0000-0000440A0000}"/>
    <cellStyle name="Note 2 2 4 7 5" xfId="2629" xr:uid="{00000000-0005-0000-0000-0000450A0000}"/>
    <cellStyle name="Note 2 2 4 8" xfId="2630" xr:uid="{00000000-0005-0000-0000-0000460A0000}"/>
    <cellStyle name="Note 2 2 4 8 2" xfId="2631" xr:uid="{00000000-0005-0000-0000-0000470A0000}"/>
    <cellStyle name="Note 2 2 4 8 3" xfId="2632" xr:uid="{00000000-0005-0000-0000-0000480A0000}"/>
    <cellStyle name="Note 2 2 4 8 4" xfId="2633" xr:uid="{00000000-0005-0000-0000-0000490A0000}"/>
    <cellStyle name="Note 2 2 4 8 5" xfId="2634" xr:uid="{00000000-0005-0000-0000-00004A0A0000}"/>
    <cellStyle name="Note 2 2 4 9" xfId="2635" xr:uid="{00000000-0005-0000-0000-00004B0A0000}"/>
    <cellStyle name="Note 2 2 4 9 2" xfId="2636" xr:uid="{00000000-0005-0000-0000-00004C0A0000}"/>
    <cellStyle name="Note 2 2 4 9 3" xfId="2637" xr:uid="{00000000-0005-0000-0000-00004D0A0000}"/>
    <cellStyle name="Note 2 2 4 9 4" xfId="2638" xr:uid="{00000000-0005-0000-0000-00004E0A0000}"/>
    <cellStyle name="Note 2 2 4 9 5" xfId="2639" xr:uid="{00000000-0005-0000-0000-00004F0A0000}"/>
    <cellStyle name="Note 2 2 5" xfId="2640" xr:uid="{00000000-0005-0000-0000-0000500A0000}"/>
    <cellStyle name="Note 2 2 5 10" xfId="2641" xr:uid="{00000000-0005-0000-0000-0000510A0000}"/>
    <cellStyle name="Note 2 2 5 10 2" xfId="2642" xr:uid="{00000000-0005-0000-0000-0000520A0000}"/>
    <cellStyle name="Note 2 2 5 10 3" xfId="2643" xr:uid="{00000000-0005-0000-0000-0000530A0000}"/>
    <cellStyle name="Note 2 2 5 10 4" xfId="2644" xr:uid="{00000000-0005-0000-0000-0000540A0000}"/>
    <cellStyle name="Note 2 2 5 10 5" xfId="2645" xr:uid="{00000000-0005-0000-0000-0000550A0000}"/>
    <cellStyle name="Note 2 2 5 11" xfId="2646" xr:uid="{00000000-0005-0000-0000-0000560A0000}"/>
    <cellStyle name="Note 2 2 5 11 2" xfId="2647" xr:uid="{00000000-0005-0000-0000-0000570A0000}"/>
    <cellStyle name="Note 2 2 5 11 3" xfId="2648" xr:uid="{00000000-0005-0000-0000-0000580A0000}"/>
    <cellStyle name="Note 2 2 5 11 4" xfId="2649" xr:uid="{00000000-0005-0000-0000-0000590A0000}"/>
    <cellStyle name="Note 2 2 5 11 5" xfId="2650" xr:uid="{00000000-0005-0000-0000-00005A0A0000}"/>
    <cellStyle name="Note 2 2 5 12" xfId="2651" xr:uid="{00000000-0005-0000-0000-00005B0A0000}"/>
    <cellStyle name="Note 2 2 5 12 2" xfId="2652" xr:uid="{00000000-0005-0000-0000-00005C0A0000}"/>
    <cellStyle name="Note 2 2 5 12 3" xfId="2653" xr:uid="{00000000-0005-0000-0000-00005D0A0000}"/>
    <cellStyle name="Note 2 2 5 12 4" xfId="2654" xr:uid="{00000000-0005-0000-0000-00005E0A0000}"/>
    <cellStyle name="Note 2 2 5 12 5" xfId="2655" xr:uid="{00000000-0005-0000-0000-00005F0A0000}"/>
    <cellStyle name="Note 2 2 5 13" xfId="2656" xr:uid="{00000000-0005-0000-0000-0000600A0000}"/>
    <cellStyle name="Note 2 2 5 13 2" xfId="2657" xr:uid="{00000000-0005-0000-0000-0000610A0000}"/>
    <cellStyle name="Note 2 2 5 13 3" xfId="2658" xr:uid="{00000000-0005-0000-0000-0000620A0000}"/>
    <cellStyle name="Note 2 2 5 13 4" xfId="2659" xr:uid="{00000000-0005-0000-0000-0000630A0000}"/>
    <cellStyle name="Note 2 2 5 13 5" xfId="2660" xr:uid="{00000000-0005-0000-0000-0000640A0000}"/>
    <cellStyle name="Note 2 2 5 14" xfId="2661" xr:uid="{00000000-0005-0000-0000-0000650A0000}"/>
    <cellStyle name="Note 2 2 5 14 2" xfId="2662" xr:uid="{00000000-0005-0000-0000-0000660A0000}"/>
    <cellStyle name="Note 2 2 5 14 3" xfId="2663" xr:uid="{00000000-0005-0000-0000-0000670A0000}"/>
    <cellStyle name="Note 2 2 5 14 4" xfId="2664" xr:uid="{00000000-0005-0000-0000-0000680A0000}"/>
    <cellStyle name="Note 2 2 5 14 5" xfId="2665" xr:uid="{00000000-0005-0000-0000-0000690A0000}"/>
    <cellStyle name="Note 2 2 5 15" xfId="2666" xr:uid="{00000000-0005-0000-0000-00006A0A0000}"/>
    <cellStyle name="Note 2 2 5 15 2" xfId="2667" xr:uid="{00000000-0005-0000-0000-00006B0A0000}"/>
    <cellStyle name="Note 2 2 5 15 3" xfId="2668" xr:uid="{00000000-0005-0000-0000-00006C0A0000}"/>
    <cellStyle name="Note 2 2 5 15 4" xfId="2669" xr:uid="{00000000-0005-0000-0000-00006D0A0000}"/>
    <cellStyle name="Note 2 2 5 15 5" xfId="2670" xr:uid="{00000000-0005-0000-0000-00006E0A0000}"/>
    <cellStyle name="Note 2 2 5 16" xfId="2671" xr:uid="{00000000-0005-0000-0000-00006F0A0000}"/>
    <cellStyle name="Note 2 2 5 16 2" xfId="2672" xr:uid="{00000000-0005-0000-0000-0000700A0000}"/>
    <cellStyle name="Note 2 2 5 16 3" xfId="2673" xr:uid="{00000000-0005-0000-0000-0000710A0000}"/>
    <cellStyle name="Note 2 2 5 16 4" xfId="2674" xr:uid="{00000000-0005-0000-0000-0000720A0000}"/>
    <cellStyle name="Note 2 2 5 16 5" xfId="2675" xr:uid="{00000000-0005-0000-0000-0000730A0000}"/>
    <cellStyle name="Note 2 2 5 17" xfId="2676" xr:uid="{00000000-0005-0000-0000-0000740A0000}"/>
    <cellStyle name="Note 2 2 5 17 2" xfId="2677" xr:uid="{00000000-0005-0000-0000-0000750A0000}"/>
    <cellStyle name="Note 2 2 5 17 3" xfId="2678" xr:uid="{00000000-0005-0000-0000-0000760A0000}"/>
    <cellStyle name="Note 2 2 5 17 4" xfId="2679" xr:uid="{00000000-0005-0000-0000-0000770A0000}"/>
    <cellStyle name="Note 2 2 5 17 5" xfId="2680" xr:uid="{00000000-0005-0000-0000-0000780A0000}"/>
    <cellStyle name="Note 2 2 5 18" xfId="2681" xr:uid="{00000000-0005-0000-0000-0000790A0000}"/>
    <cellStyle name="Note 2 2 5 18 2" xfId="2682" xr:uid="{00000000-0005-0000-0000-00007A0A0000}"/>
    <cellStyle name="Note 2 2 5 18 3" xfId="2683" xr:uid="{00000000-0005-0000-0000-00007B0A0000}"/>
    <cellStyle name="Note 2 2 5 18 4" xfId="2684" xr:uid="{00000000-0005-0000-0000-00007C0A0000}"/>
    <cellStyle name="Note 2 2 5 18 5" xfId="2685" xr:uid="{00000000-0005-0000-0000-00007D0A0000}"/>
    <cellStyle name="Note 2 2 5 19" xfId="2686" xr:uid="{00000000-0005-0000-0000-00007E0A0000}"/>
    <cellStyle name="Note 2 2 5 19 2" xfId="2687" xr:uid="{00000000-0005-0000-0000-00007F0A0000}"/>
    <cellStyle name="Note 2 2 5 19 3" xfId="2688" xr:uid="{00000000-0005-0000-0000-0000800A0000}"/>
    <cellStyle name="Note 2 2 5 19 4" xfId="2689" xr:uid="{00000000-0005-0000-0000-0000810A0000}"/>
    <cellStyle name="Note 2 2 5 2" xfId="2690" xr:uid="{00000000-0005-0000-0000-0000820A0000}"/>
    <cellStyle name="Note 2 2 5 2 2" xfId="2691" xr:uid="{00000000-0005-0000-0000-0000830A0000}"/>
    <cellStyle name="Note 2 2 5 2 3" xfId="2692" xr:uid="{00000000-0005-0000-0000-0000840A0000}"/>
    <cellStyle name="Note 2 2 5 2 4" xfId="2693" xr:uid="{00000000-0005-0000-0000-0000850A0000}"/>
    <cellStyle name="Note 2 2 5 2 5" xfId="2694" xr:uid="{00000000-0005-0000-0000-0000860A0000}"/>
    <cellStyle name="Note 2 2 5 20" xfId="2695" xr:uid="{00000000-0005-0000-0000-0000870A0000}"/>
    <cellStyle name="Note 2 2 5 20 2" xfId="2696" xr:uid="{00000000-0005-0000-0000-0000880A0000}"/>
    <cellStyle name="Note 2 2 5 20 3" xfId="2697" xr:uid="{00000000-0005-0000-0000-0000890A0000}"/>
    <cellStyle name="Note 2 2 5 20 4" xfId="2698" xr:uid="{00000000-0005-0000-0000-00008A0A0000}"/>
    <cellStyle name="Note 2 2 5 21" xfId="2699" xr:uid="{00000000-0005-0000-0000-00008B0A0000}"/>
    <cellStyle name="Note 2 2 5 21 2" xfId="2700" xr:uid="{00000000-0005-0000-0000-00008C0A0000}"/>
    <cellStyle name="Note 2 2 5 21 3" xfId="2701" xr:uid="{00000000-0005-0000-0000-00008D0A0000}"/>
    <cellStyle name="Note 2 2 5 21 4" xfId="2702" xr:uid="{00000000-0005-0000-0000-00008E0A0000}"/>
    <cellStyle name="Note 2 2 5 22" xfId="2703" xr:uid="{00000000-0005-0000-0000-00008F0A0000}"/>
    <cellStyle name="Note 2 2 5 22 2" xfId="2704" xr:uid="{00000000-0005-0000-0000-0000900A0000}"/>
    <cellStyle name="Note 2 2 5 22 3" xfId="2705" xr:uid="{00000000-0005-0000-0000-0000910A0000}"/>
    <cellStyle name="Note 2 2 5 22 4" xfId="2706" xr:uid="{00000000-0005-0000-0000-0000920A0000}"/>
    <cellStyle name="Note 2 2 5 23" xfId="2707" xr:uid="{00000000-0005-0000-0000-0000930A0000}"/>
    <cellStyle name="Note 2 2 5 3" xfId="2708" xr:uid="{00000000-0005-0000-0000-0000940A0000}"/>
    <cellStyle name="Note 2 2 5 3 2" xfId="2709" xr:uid="{00000000-0005-0000-0000-0000950A0000}"/>
    <cellStyle name="Note 2 2 5 3 3" xfId="2710" xr:uid="{00000000-0005-0000-0000-0000960A0000}"/>
    <cellStyle name="Note 2 2 5 3 4" xfId="2711" xr:uid="{00000000-0005-0000-0000-0000970A0000}"/>
    <cellStyle name="Note 2 2 5 3 5" xfId="2712" xr:uid="{00000000-0005-0000-0000-0000980A0000}"/>
    <cellStyle name="Note 2 2 5 4" xfId="2713" xr:uid="{00000000-0005-0000-0000-0000990A0000}"/>
    <cellStyle name="Note 2 2 5 4 2" xfId="2714" xr:uid="{00000000-0005-0000-0000-00009A0A0000}"/>
    <cellStyle name="Note 2 2 5 4 3" xfId="2715" xr:uid="{00000000-0005-0000-0000-00009B0A0000}"/>
    <cellStyle name="Note 2 2 5 4 4" xfId="2716" xr:uid="{00000000-0005-0000-0000-00009C0A0000}"/>
    <cellStyle name="Note 2 2 5 4 5" xfId="2717" xr:uid="{00000000-0005-0000-0000-00009D0A0000}"/>
    <cellStyle name="Note 2 2 5 5" xfId="2718" xr:uid="{00000000-0005-0000-0000-00009E0A0000}"/>
    <cellStyle name="Note 2 2 5 5 2" xfId="2719" xr:uid="{00000000-0005-0000-0000-00009F0A0000}"/>
    <cellStyle name="Note 2 2 5 5 3" xfId="2720" xr:uid="{00000000-0005-0000-0000-0000A00A0000}"/>
    <cellStyle name="Note 2 2 5 5 4" xfId="2721" xr:uid="{00000000-0005-0000-0000-0000A10A0000}"/>
    <cellStyle name="Note 2 2 5 5 5" xfId="2722" xr:uid="{00000000-0005-0000-0000-0000A20A0000}"/>
    <cellStyle name="Note 2 2 5 6" xfId="2723" xr:uid="{00000000-0005-0000-0000-0000A30A0000}"/>
    <cellStyle name="Note 2 2 5 6 2" xfId="2724" xr:uid="{00000000-0005-0000-0000-0000A40A0000}"/>
    <cellStyle name="Note 2 2 5 6 3" xfId="2725" xr:uid="{00000000-0005-0000-0000-0000A50A0000}"/>
    <cellStyle name="Note 2 2 5 6 4" xfId="2726" xr:uid="{00000000-0005-0000-0000-0000A60A0000}"/>
    <cellStyle name="Note 2 2 5 6 5" xfId="2727" xr:uid="{00000000-0005-0000-0000-0000A70A0000}"/>
    <cellStyle name="Note 2 2 5 7" xfId="2728" xr:uid="{00000000-0005-0000-0000-0000A80A0000}"/>
    <cellStyle name="Note 2 2 5 7 2" xfId="2729" xr:uid="{00000000-0005-0000-0000-0000A90A0000}"/>
    <cellStyle name="Note 2 2 5 7 3" xfId="2730" xr:uid="{00000000-0005-0000-0000-0000AA0A0000}"/>
    <cellStyle name="Note 2 2 5 7 4" xfId="2731" xr:uid="{00000000-0005-0000-0000-0000AB0A0000}"/>
    <cellStyle name="Note 2 2 5 7 5" xfId="2732" xr:uid="{00000000-0005-0000-0000-0000AC0A0000}"/>
    <cellStyle name="Note 2 2 5 8" xfId="2733" xr:uid="{00000000-0005-0000-0000-0000AD0A0000}"/>
    <cellStyle name="Note 2 2 5 8 2" xfId="2734" xr:uid="{00000000-0005-0000-0000-0000AE0A0000}"/>
    <cellStyle name="Note 2 2 5 8 3" xfId="2735" xr:uid="{00000000-0005-0000-0000-0000AF0A0000}"/>
    <cellStyle name="Note 2 2 5 8 4" xfId="2736" xr:uid="{00000000-0005-0000-0000-0000B00A0000}"/>
    <cellStyle name="Note 2 2 5 8 5" xfId="2737" xr:uid="{00000000-0005-0000-0000-0000B10A0000}"/>
    <cellStyle name="Note 2 2 5 9" xfId="2738" xr:uid="{00000000-0005-0000-0000-0000B20A0000}"/>
    <cellStyle name="Note 2 2 5 9 2" xfId="2739" xr:uid="{00000000-0005-0000-0000-0000B30A0000}"/>
    <cellStyle name="Note 2 2 5 9 3" xfId="2740" xr:uid="{00000000-0005-0000-0000-0000B40A0000}"/>
    <cellStyle name="Note 2 2 5 9 4" xfId="2741" xr:uid="{00000000-0005-0000-0000-0000B50A0000}"/>
    <cellStyle name="Note 2 2 5 9 5" xfId="2742" xr:uid="{00000000-0005-0000-0000-0000B60A0000}"/>
    <cellStyle name="Note 2 2 6" xfId="2743" xr:uid="{00000000-0005-0000-0000-0000B70A0000}"/>
    <cellStyle name="Note 2 2 6 10" xfId="2744" xr:uid="{00000000-0005-0000-0000-0000B80A0000}"/>
    <cellStyle name="Note 2 2 6 10 2" xfId="2745" xr:uid="{00000000-0005-0000-0000-0000B90A0000}"/>
    <cellStyle name="Note 2 2 6 10 3" xfId="2746" xr:uid="{00000000-0005-0000-0000-0000BA0A0000}"/>
    <cellStyle name="Note 2 2 6 10 4" xfId="2747" xr:uid="{00000000-0005-0000-0000-0000BB0A0000}"/>
    <cellStyle name="Note 2 2 6 10 5" xfId="2748" xr:uid="{00000000-0005-0000-0000-0000BC0A0000}"/>
    <cellStyle name="Note 2 2 6 11" xfId="2749" xr:uid="{00000000-0005-0000-0000-0000BD0A0000}"/>
    <cellStyle name="Note 2 2 6 11 2" xfId="2750" xr:uid="{00000000-0005-0000-0000-0000BE0A0000}"/>
    <cellStyle name="Note 2 2 6 11 3" xfId="2751" xr:uid="{00000000-0005-0000-0000-0000BF0A0000}"/>
    <cellStyle name="Note 2 2 6 11 4" xfId="2752" xr:uid="{00000000-0005-0000-0000-0000C00A0000}"/>
    <cellStyle name="Note 2 2 6 11 5" xfId="2753" xr:uid="{00000000-0005-0000-0000-0000C10A0000}"/>
    <cellStyle name="Note 2 2 6 12" xfId="2754" xr:uid="{00000000-0005-0000-0000-0000C20A0000}"/>
    <cellStyle name="Note 2 2 6 12 2" xfId="2755" xr:uid="{00000000-0005-0000-0000-0000C30A0000}"/>
    <cellStyle name="Note 2 2 6 12 3" xfId="2756" xr:uid="{00000000-0005-0000-0000-0000C40A0000}"/>
    <cellStyle name="Note 2 2 6 12 4" xfId="2757" xr:uid="{00000000-0005-0000-0000-0000C50A0000}"/>
    <cellStyle name="Note 2 2 6 12 5" xfId="2758" xr:uid="{00000000-0005-0000-0000-0000C60A0000}"/>
    <cellStyle name="Note 2 2 6 13" xfId="2759" xr:uid="{00000000-0005-0000-0000-0000C70A0000}"/>
    <cellStyle name="Note 2 2 6 13 2" xfId="2760" xr:uid="{00000000-0005-0000-0000-0000C80A0000}"/>
    <cellStyle name="Note 2 2 6 13 3" xfId="2761" xr:uid="{00000000-0005-0000-0000-0000C90A0000}"/>
    <cellStyle name="Note 2 2 6 13 4" xfId="2762" xr:uid="{00000000-0005-0000-0000-0000CA0A0000}"/>
    <cellStyle name="Note 2 2 6 13 5" xfId="2763" xr:uid="{00000000-0005-0000-0000-0000CB0A0000}"/>
    <cellStyle name="Note 2 2 6 14" xfId="2764" xr:uid="{00000000-0005-0000-0000-0000CC0A0000}"/>
    <cellStyle name="Note 2 2 6 14 2" xfId="2765" xr:uid="{00000000-0005-0000-0000-0000CD0A0000}"/>
    <cellStyle name="Note 2 2 6 14 3" xfId="2766" xr:uid="{00000000-0005-0000-0000-0000CE0A0000}"/>
    <cellStyle name="Note 2 2 6 14 4" xfId="2767" xr:uid="{00000000-0005-0000-0000-0000CF0A0000}"/>
    <cellStyle name="Note 2 2 6 14 5" xfId="2768" xr:uid="{00000000-0005-0000-0000-0000D00A0000}"/>
    <cellStyle name="Note 2 2 6 15" xfId="2769" xr:uid="{00000000-0005-0000-0000-0000D10A0000}"/>
    <cellStyle name="Note 2 2 6 15 2" xfId="2770" xr:uid="{00000000-0005-0000-0000-0000D20A0000}"/>
    <cellStyle name="Note 2 2 6 15 3" xfId="2771" xr:uid="{00000000-0005-0000-0000-0000D30A0000}"/>
    <cellStyle name="Note 2 2 6 15 4" xfId="2772" xr:uid="{00000000-0005-0000-0000-0000D40A0000}"/>
    <cellStyle name="Note 2 2 6 15 5" xfId="2773" xr:uid="{00000000-0005-0000-0000-0000D50A0000}"/>
    <cellStyle name="Note 2 2 6 16" xfId="2774" xr:uid="{00000000-0005-0000-0000-0000D60A0000}"/>
    <cellStyle name="Note 2 2 6 16 2" xfId="2775" xr:uid="{00000000-0005-0000-0000-0000D70A0000}"/>
    <cellStyle name="Note 2 2 6 16 3" xfId="2776" xr:uid="{00000000-0005-0000-0000-0000D80A0000}"/>
    <cellStyle name="Note 2 2 6 16 4" xfId="2777" xr:uid="{00000000-0005-0000-0000-0000D90A0000}"/>
    <cellStyle name="Note 2 2 6 16 5" xfId="2778" xr:uid="{00000000-0005-0000-0000-0000DA0A0000}"/>
    <cellStyle name="Note 2 2 6 17" xfId="2779" xr:uid="{00000000-0005-0000-0000-0000DB0A0000}"/>
    <cellStyle name="Note 2 2 6 17 2" xfId="2780" xr:uid="{00000000-0005-0000-0000-0000DC0A0000}"/>
    <cellStyle name="Note 2 2 6 17 3" xfId="2781" xr:uid="{00000000-0005-0000-0000-0000DD0A0000}"/>
    <cellStyle name="Note 2 2 6 17 4" xfId="2782" xr:uid="{00000000-0005-0000-0000-0000DE0A0000}"/>
    <cellStyle name="Note 2 2 6 17 5" xfId="2783" xr:uid="{00000000-0005-0000-0000-0000DF0A0000}"/>
    <cellStyle name="Note 2 2 6 18" xfId="2784" xr:uid="{00000000-0005-0000-0000-0000E00A0000}"/>
    <cellStyle name="Note 2 2 6 18 2" xfId="2785" xr:uid="{00000000-0005-0000-0000-0000E10A0000}"/>
    <cellStyle name="Note 2 2 6 18 3" xfId="2786" xr:uid="{00000000-0005-0000-0000-0000E20A0000}"/>
    <cellStyle name="Note 2 2 6 18 4" xfId="2787" xr:uid="{00000000-0005-0000-0000-0000E30A0000}"/>
    <cellStyle name="Note 2 2 6 18 5" xfId="2788" xr:uid="{00000000-0005-0000-0000-0000E40A0000}"/>
    <cellStyle name="Note 2 2 6 19" xfId="2789" xr:uid="{00000000-0005-0000-0000-0000E50A0000}"/>
    <cellStyle name="Note 2 2 6 19 2" xfId="2790" xr:uid="{00000000-0005-0000-0000-0000E60A0000}"/>
    <cellStyle name="Note 2 2 6 19 3" xfId="2791" xr:uid="{00000000-0005-0000-0000-0000E70A0000}"/>
    <cellStyle name="Note 2 2 6 19 4" xfId="2792" xr:uid="{00000000-0005-0000-0000-0000E80A0000}"/>
    <cellStyle name="Note 2 2 6 19 5" xfId="2793" xr:uid="{00000000-0005-0000-0000-0000E90A0000}"/>
    <cellStyle name="Note 2 2 6 2" xfId="2794" xr:uid="{00000000-0005-0000-0000-0000EA0A0000}"/>
    <cellStyle name="Note 2 2 6 2 2" xfId="2795" xr:uid="{00000000-0005-0000-0000-0000EB0A0000}"/>
    <cellStyle name="Note 2 2 6 2 3" xfId="2796" xr:uid="{00000000-0005-0000-0000-0000EC0A0000}"/>
    <cellStyle name="Note 2 2 6 2 4" xfId="2797" xr:uid="{00000000-0005-0000-0000-0000ED0A0000}"/>
    <cellStyle name="Note 2 2 6 2 5" xfId="2798" xr:uid="{00000000-0005-0000-0000-0000EE0A0000}"/>
    <cellStyle name="Note 2 2 6 20" xfId="2799" xr:uid="{00000000-0005-0000-0000-0000EF0A0000}"/>
    <cellStyle name="Note 2 2 6 20 2" xfId="2800" xr:uid="{00000000-0005-0000-0000-0000F00A0000}"/>
    <cellStyle name="Note 2 2 6 20 3" xfId="2801" xr:uid="{00000000-0005-0000-0000-0000F10A0000}"/>
    <cellStyle name="Note 2 2 6 20 4" xfId="2802" xr:uid="{00000000-0005-0000-0000-0000F20A0000}"/>
    <cellStyle name="Note 2 2 6 20 5" xfId="2803" xr:uid="{00000000-0005-0000-0000-0000F30A0000}"/>
    <cellStyle name="Note 2 2 6 21" xfId="2804" xr:uid="{00000000-0005-0000-0000-0000F40A0000}"/>
    <cellStyle name="Note 2 2 6 21 2" xfId="2805" xr:uid="{00000000-0005-0000-0000-0000F50A0000}"/>
    <cellStyle name="Note 2 2 6 21 3" xfId="2806" xr:uid="{00000000-0005-0000-0000-0000F60A0000}"/>
    <cellStyle name="Note 2 2 6 21 4" xfId="2807" xr:uid="{00000000-0005-0000-0000-0000F70A0000}"/>
    <cellStyle name="Note 2 2 6 21 5" xfId="2808" xr:uid="{00000000-0005-0000-0000-0000F80A0000}"/>
    <cellStyle name="Note 2 2 6 22" xfId="2809" xr:uid="{00000000-0005-0000-0000-0000F90A0000}"/>
    <cellStyle name="Note 2 2 6 22 2" xfId="2810" xr:uid="{00000000-0005-0000-0000-0000FA0A0000}"/>
    <cellStyle name="Note 2 2 6 22 3" xfId="2811" xr:uid="{00000000-0005-0000-0000-0000FB0A0000}"/>
    <cellStyle name="Note 2 2 6 22 4" xfId="2812" xr:uid="{00000000-0005-0000-0000-0000FC0A0000}"/>
    <cellStyle name="Note 2 2 6 23" xfId="2813" xr:uid="{00000000-0005-0000-0000-0000FD0A0000}"/>
    <cellStyle name="Note 2 2 6 23 2" xfId="2814" xr:uid="{00000000-0005-0000-0000-0000FE0A0000}"/>
    <cellStyle name="Note 2 2 6 23 3" xfId="2815" xr:uid="{00000000-0005-0000-0000-0000FF0A0000}"/>
    <cellStyle name="Note 2 2 6 23 4" xfId="2816" xr:uid="{00000000-0005-0000-0000-0000000B0000}"/>
    <cellStyle name="Note 2 2 6 24" xfId="2817" xr:uid="{00000000-0005-0000-0000-0000010B0000}"/>
    <cellStyle name="Note 2 2 6 24 2" xfId="2818" xr:uid="{00000000-0005-0000-0000-0000020B0000}"/>
    <cellStyle name="Note 2 2 6 24 3" xfId="2819" xr:uid="{00000000-0005-0000-0000-0000030B0000}"/>
    <cellStyle name="Note 2 2 6 24 4" xfId="2820" xr:uid="{00000000-0005-0000-0000-0000040B0000}"/>
    <cellStyle name="Note 2 2 6 25" xfId="2821" xr:uid="{00000000-0005-0000-0000-0000050B0000}"/>
    <cellStyle name="Note 2 2 6 25 2" xfId="2822" xr:uid="{00000000-0005-0000-0000-0000060B0000}"/>
    <cellStyle name="Note 2 2 6 25 3" xfId="2823" xr:uid="{00000000-0005-0000-0000-0000070B0000}"/>
    <cellStyle name="Note 2 2 6 25 4" xfId="2824" xr:uid="{00000000-0005-0000-0000-0000080B0000}"/>
    <cellStyle name="Note 2 2 6 3" xfId="2825" xr:uid="{00000000-0005-0000-0000-0000090B0000}"/>
    <cellStyle name="Note 2 2 6 3 2" xfId="2826" xr:uid="{00000000-0005-0000-0000-00000A0B0000}"/>
    <cellStyle name="Note 2 2 6 3 3" xfId="2827" xr:uid="{00000000-0005-0000-0000-00000B0B0000}"/>
    <cellStyle name="Note 2 2 6 3 4" xfId="2828" xr:uid="{00000000-0005-0000-0000-00000C0B0000}"/>
    <cellStyle name="Note 2 2 6 3 5" xfId="2829" xr:uid="{00000000-0005-0000-0000-00000D0B0000}"/>
    <cellStyle name="Note 2 2 6 4" xfId="2830" xr:uid="{00000000-0005-0000-0000-00000E0B0000}"/>
    <cellStyle name="Note 2 2 6 4 2" xfId="2831" xr:uid="{00000000-0005-0000-0000-00000F0B0000}"/>
    <cellStyle name="Note 2 2 6 4 3" xfId="2832" xr:uid="{00000000-0005-0000-0000-0000100B0000}"/>
    <cellStyle name="Note 2 2 6 4 4" xfId="2833" xr:uid="{00000000-0005-0000-0000-0000110B0000}"/>
    <cellStyle name="Note 2 2 6 4 5" xfId="2834" xr:uid="{00000000-0005-0000-0000-0000120B0000}"/>
    <cellStyle name="Note 2 2 6 5" xfId="2835" xr:uid="{00000000-0005-0000-0000-0000130B0000}"/>
    <cellStyle name="Note 2 2 6 5 2" xfId="2836" xr:uid="{00000000-0005-0000-0000-0000140B0000}"/>
    <cellStyle name="Note 2 2 6 5 3" xfId="2837" xr:uid="{00000000-0005-0000-0000-0000150B0000}"/>
    <cellStyle name="Note 2 2 6 5 4" xfId="2838" xr:uid="{00000000-0005-0000-0000-0000160B0000}"/>
    <cellStyle name="Note 2 2 6 5 5" xfId="2839" xr:uid="{00000000-0005-0000-0000-0000170B0000}"/>
    <cellStyle name="Note 2 2 6 6" xfId="2840" xr:uid="{00000000-0005-0000-0000-0000180B0000}"/>
    <cellStyle name="Note 2 2 6 6 2" xfId="2841" xr:uid="{00000000-0005-0000-0000-0000190B0000}"/>
    <cellStyle name="Note 2 2 6 6 3" xfId="2842" xr:uid="{00000000-0005-0000-0000-00001A0B0000}"/>
    <cellStyle name="Note 2 2 6 6 4" xfId="2843" xr:uid="{00000000-0005-0000-0000-00001B0B0000}"/>
    <cellStyle name="Note 2 2 6 6 5" xfId="2844" xr:uid="{00000000-0005-0000-0000-00001C0B0000}"/>
    <cellStyle name="Note 2 2 6 7" xfId="2845" xr:uid="{00000000-0005-0000-0000-00001D0B0000}"/>
    <cellStyle name="Note 2 2 6 7 2" xfId="2846" xr:uid="{00000000-0005-0000-0000-00001E0B0000}"/>
    <cellStyle name="Note 2 2 6 7 3" xfId="2847" xr:uid="{00000000-0005-0000-0000-00001F0B0000}"/>
    <cellStyle name="Note 2 2 6 7 4" xfId="2848" xr:uid="{00000000-0005-0000-0000-0000200B0000}"/>
    <cellStyle name="Note 2 2 6 7 5" xfId="2849" xr:uid="{00000000-0005-0000-0000-0000210B0000}"/>
    <cellStyle name="Note 2 2 6 8" xfId="2850" xr:uid="{00000000-0005-0000-0000-0000220B0000}"/>
    <cellStyle name="Note 2 2 6 8 2" xfId="2851" xr:uid="{00000000-0005-0000-0000-0000230B0000}"/>
    <cellStyle name="Note 2 2 6 8 3" xfId="2852" xr:uid="{00000000-0005-0000-0000-0000240B0000}"/>
    <cellStyle name="Note 2 2 6 8 4" xfId="2853" xr:uid="{00000000-0005-0000-0000-0000250B0000}"/>
    <cellStyle name="Note 2 2 6 8 5" xfId="2854" xr:uid="{00000000-0005-0000-0000-0000260B0000}"/>
    <cellStyle name="Note 2 2 6 9" xfId="2855" xr:uid="{00000000-0005-0000-0000-0000270B0000}"/>
    <cellStyle name="Note 2 2 6 9 2" xfId="2856" xr:uid="{00000000-0005-0000-0000-0000280B0000}"/>
    <cellStyle name="Note 2 2 6 9 3" xfId="2857" xr:uid="{00000000-0005-0000-0000-0000290B0000}"/>
    <cellStyle name="Note 2 2 6 9 4" xfId="2858" xr:uid="{00000000-0005-0000-0000-00002A0B0000}"/>
    <cellStyle name="Note 2 2 6 9 5" xfId="2859" xr:uid="{00000000-0005-0000-0000-00002B0B0000}"/>
    <cellStyle name="Note 2 2 7" xfId="2860" xr:uid="{00000000-0005-0000-0000-00002C0B0000}"/>
    <cellStyle name="Note 2 2 7 2" xfId="2861" xr:uid="{00000000-0005-0000-0000-00002D0B0000}"/>
    <cellStyle name="Note 2 2 7 3" xfId="2862" xr:uid="{00000000-0005-0000-0000-00002E0B0000}"/>
    <cellStyle name="Note 2 2 7 4" xfId="2863" xr:uid="{00000000-0005-0000-0000-00002F0B0000}"/>
    <cellStyle name="Note 2 2 7 5" xfId="2864" xr:uid="{00000000-0005-0000-0000-0000300B0000}"/>
    <cellStyle name="Note 2 2 8" xfId="2865" xr:uid="{00000000-0005-0000-0000-0000310B0000}"/>
    <cellStyle name="Note 2 2 8 2" xfId="2866" xr:uid="{00000000-0005-0000-0000-0000320B0000}"/>
    <cellStyle name="Note 2 2 8 3" xfId="2867" xr:uid="{00000000-0005-0000-0000-0000330B0000}"/>
    <cellStyle name="Note 2 2 8 4" xfId="2868" xr:uid="{00000000-0005-0000-0000-0000340B0000}"/>
    <cellStyle name="Note 2 2 8 5" xfId="2869" xr:uid="{00000000-0005-0000-0000-0000350B0000}"/>
    <cellStyle name="Note 2 2 9" xfId="2870" xr:uid="{00000000-0005-0000-0000-0000360B0000}"/>
    <cellStyle name="Note 2 2 9 2" xfId="2871" xr:uid="{00000000-0005-0000-0000-0000370B0000}"/>
    <cellStyle name="Note 2 2 9 3" xfId="2872" xr:uid="{00000000-0005-0000-0000-0000380B0000}"/>
    <cellStyle name="Note 2 2 9 4" xfId="2873" xr:uid="{00000000-0005-0000-0000-0000390B0000}"/>
    <cellStyle name="Note 2 2 9 5" xfId="2874" xr:uid="{00000000-0005-0000-0000-00003A0B0000}"/>
    <cellStyle name="Note 2 3" xfId="143" xr:uid="{00000000-0005-0000-0000-00003B0B0000}"/>
    <cellStyle name="Note 2 3 2" xfId="144" xr:uid="{00000000-0005-0000-0000-00003C0B0000}"/>
    <cellStyle name="Note 2 3 3" xfId="2875" xr:uid="{00000000-0005-0000-0000-00003D0B0000}"/>
    <cellStyle name="Note 2 4" xfId="145" xr:uid="{00000000-0005-0000-0000-00003E0B0000}"/>
    <cellStyle name="Note 2 4 2" xfId="146" xr:uid="{00000000-0005-0000-0000-00003F0B0000}"/>
    <cellStyle name="Note 2 5" xfId="147" xr:uid="{00000000-0005-0000-0000-0000400B0000}"/>
    <cellStyle name="Note 2 5 2" xfId="148" xr:uid="{00000000-0005-0000-0000-0000410B0000}"/>
    <cellStyle name="Note 2 6" xfId="149" xr:uid="{00000000-0005-0000-0000-0000420B0000}"/>
    <cellStyle name="Note 2 6 2" xfId="150" xr:uid="{00000000-0005-0000-0000-0000430B0000}"/>
    <cellStyle name="Note 3" xfId="151" xr:uid="{00000000-0005-0000-0000-0000440B0000}"/>
    <cellStyle name="Note 3 2" xfId="152" xr:uid="{00000000-0005-0000-0000-0000450B0000}"/>
    <cellStyle name="Note 3 2 2" xfId="153" xr:uid="{00000000-0005-0000-0000-0000460B0000}"/>
    <cellStyle name="Note 3 2 3" xfId="2876" xr:uid="{00000000-0005-0000-0000-0000470B0000}"/>
    <cellStyle name="Note 3 3" xfId="154" xr:uid="{00000000-0005-0000-0000-0000480B0000}"/>
    <cellStyle name="Note 3 3 2" xfId="155" xr:uid="{00000000-0005-0000-0000-0000490B0000}"/>
    <cellStyle name="Note 3 4" xfId="156" xr:uid="{00000000-0005-0000-0000-00004A0B0000}"/>
    <cellStyle name="Note 3 5" xfId="2877" xr:uid="{00000000-0005-0000-0000-00004B0B0000}"/>
    <cellStyle name="Note 4" xfId="157" xr:uid="{00000000-0005-0000-0000-00004C0B0000}"/>
    <cellStyle name="Note 4 2" xfId="158" xr:uid="{00000000-0005-0000-0000-00004D0B0000}"/>
    <cellStyle name="Note 4 3" xfId="2878" xr:uid="{00000000-0005-0000-0000-00004E0B0000}"/>
    <cellStyle name="Note 5" xfId="159" xr:uid="{00000000-0005-0000-0000-00004F0B0000}"/>
    <cellStyle name="Note 5 2" xfId="160" xr:uid="{00000000-0005-0000-0000-0000500B0000}"/>
    <cellStyle name="Note 6" xfId="161" xr:uid="{00000000-0005-0000-0000-0000510B0000}"/>
    <cellStyle name="Note 6 2" xfId="162" xr:uid="{00000000-0005-0000-0000-0000520B0000}"/>
    <cellStyle name="Note 7" xfId="163" xr:uid="{00000000-0005-0000-0000-0000530B0000}"/>
    <cellStyle name="Note 7 2" xfId="164" xr:uid="{00000000-0005-0000-0000-0000540B0000}"/>
    <cellStyle name="Note 8" xfId="165" xr:uid="{00000000-0005-0000-0000-0000550B0000}"/>
    <cellStyle name="Note 8 2" xfId="166" xr:uid="{00000000-0005-0000-0000-0000560B0000}"/>
    <cellStyle name="Number" xfId="167" xr:uid="{00000000-0005-0000-0000-0000570B0000}"/>
    <cellStyle name="Number 2" xfId="2879" xr:uid="{00000000-0005-0000-0000-0000580B0000}"/>
    <cellStyle name="Output 2" xfId="168" xr:uid="{00000000-0005-0000-0000-0000590B0000}"/>
    <cellStyle name="Output 2 10" xfId="2880" xr:uid="{00000000-0005-0000-0000-00005A0B0000}"/>
    <cellStyle name="Output 2 10 2" xfId="2881" xr:uid="{00000000-0005-0000-0000-00005B0B0000}"/>
    <cellStyle name="Output 2 10 3" xfId="2882" xr:uid="{00000000-0005-0000-0000-00005C0B0000}"/>
    <cellStyle name="Output 2 10 4" xfId="2883" xr:uid="{00000000-0005-0000-0000-00005D0B0000}"/>
    <cellStyle name="Output 2 10 5" xfId="2884" xr:uid="{00000000-0005-0000-0000-00005E0B0000}"/>
    <cellStyle name="Output 2 11" xfId="2885" xr:uid="{00000000-0005-0000-0000-00005F0B0000}"/>
    <cellStyle name="Output 2 11 2" xfId="2886" xr:uid="{00000000-0005-0000-0000-0000600B0000}"/>
    <cellStyle name="Output 2 11 3" xfId="2887" xr:uid="{00000000-0005-0000-0000-0000610B0000}"/>
    <cellStyle name="Output 2 11 4" xfId="2888" xr:uid="{00000000-0005-0000-0000-0000620B0000}"/>
    <cellStyle name="Output 2 11 5" xfId="2889" xr:uid="{00000000-0005-0000-0000-0000630B0000}"/>
    <cellStyle name="Output 2 12" xfId="2890" xr:uid="{00000000-0005-0000-0000-0000640B0000}"/>
    <cellStyle name="Output 2 12 2" xfId="2891" xr:uid="{00000000-0005-0000-0000-0000650B0000}"/>
    <cellStyle name="Output 2 12 3" xfId="2892" xr:uid="{00000000-0005-0000-0000-0000660B0000}"/>
    <cellStyle name="Output 2 12 4" xfId="2893" xr:uid="{00000000-0005-0000-0000-0000670B0000}"/>
    <cellStyle name="Output 2 12 5" xfId="2894" xr:uid="{00000000-0005-0000-0000-0000680B0000}"/>
    <cellStyle name="Output 2 13" xfId="2895" xr:uid="{00000000-0005-0000-0000-0000690B0000}"/>
    <cellStyle name="Output 2 13 2" xfId="2896" xr:uid="{00000000-0005-0000-0000-00006A0B0000}"/>
    <cellStyle name="Output 2 13 3" xfId="2897" xr:uid="{00000000-0005-0000-0000-00006B0B0000}"/>
    <cellStyle name="Output 2 13 4" xfId="2898" xr:uid="{00000000-0005-0000-0000-00006C0B0000}"/>
    <cellStyle name="Output 2 14" xfId="2899" xr:uid="{00000000-0005-0000-0000-00006D0B0000}"/>
    <cellStyle name="Output 2 14 2" xfId="2900" xr:uid="{00000000-0005-0000-0000-00006E0B0000}"/>
    <cellStyle name="Output 2 14 3" xfId="2901" xr:uid="{00000000-0005-0000-0000-00006F0B0000}"/>
    <cellStyle name="Output 2 14 4" xfId="2902" xr:uid="{00000000-0005-0000-0000-0000700B0000}"/>
    <cellStyle name="Output 2 15" xfId="2903" xr:uid="{00000000-0005-0000-0000-0000710B0000}"/>
    <cellStyle name="Output 2 15 2" xfId="2904" xr:uid="{00000000-0005-0000-0000-0000720B0000}"/>
    <cellStyle name="Output 2 15 3" xfId="2905" xr:uid="{00000000-0005-0000-0000-0000730B0000}"/>
    <cellStyle name="Output 2 15 4" xfId="2906" xr:uid="{00000000-0005-0000-0000-0000740B0000}"/>
    <cellStyle name="Output 2 16" xfId="2907" xr:uid="{00000000-0005-0000-0000-0000750B0000}"/>
    <cellStyle name="Output 2 2" xfId="2908" xr:uid="{00000000-0005-0000-0000-0000760B0000}"/>
    <cellStyle name="Output 2 2 10" xfId="2909" xr:uid="{00000000-0005-0000-0000-0000770B0000}"/>
    <cellStyle name="Output 2 2 10 2" xfId="2910" xr:uid="{00000000-0005-0000-0000-0000780B0000}"/>
    <cellStyle name="Output 2 2 10 3" xfId="2911" xr:uid="{00000000-0005-0000-0000-0000790B0000}"/>
    <cellStyle name="Output 2 2 10 4" xfId="2912" xr:uid="{00000000-0005-0000-0000-00007A0B0000}"/>
    <cellStyle name="Output 2 2 10 5" xfId="2913" xr:uid="{00000000-0005-0000-0000-00007B0B0000}"/>
    <cellStyle name="Output 2 2 11" xfId="2914" xr:uid="{00000000-0005-0000-0000-00007C0B0000}"/>
    <cellStyle name="Output 2 2 11 2" xfId="2915" xr:uid="{00000000-0005-0000-0000-00007D0B0000}"/>
    <cellStyle name="Output 2 2 11 3" xfId="2916" xr:uid="{00000000-0005-0000-0000-00007E0B0000}"/>
    <cellStyle name="Output 2 2 11 4" xfId="2917" xr:uid="{00000000-0005-0000-0000-00007F0B0000}"/>
    <cellStyle name="Output 2 2 11 5" xfId="2918" xr:uid="{00000000-0005-0000-0000-0000800B0000}"/>
    <cellStyle name="Output 2 2 12" xfId="2919" xr:uid="{00000000-0005-0000-0000-0000810B0000}"/>
    <cellStyle name="Output 2 2 12 2" xfId="2920" xr:uid="{00000000-0005-0000-0000-0000820B0000}"/>
    <cellStyle name="Output 2 2 12 3" xfId="2921" xr:uid="{00000000-0005-0000-0000-0000830B0000}"/>
    <cellStyle name="Output 2 2 12 4" xfId="2922" xr:uid="{00000000-0005-0000-0000-0000840B0000}"/>
    <cellStyle name="Output 2 2 12 5" xfId="2923" xr:uid="{00000000-0005-0000-0000-0000850B0000}"/>
    <cellStyle name="Output 2 2 13" xfId="2924" xr:uid="{00000000-0005-0000-0000-0000860B0000}"/>
    <cellStyle name="Output 2 2 13 2" xfId="2925" xr:uid="{00000000-0005-0000-0000-0000870B0000}"/>
    <cellStyle name="Output 2 2 13 3" xfId="2926" xr:uid="{00000000-0005-0000-0000-0000880B0000}"/>
    <cellStyle name="Output 2 2 13 4" xfId="2927" xr:uid="{00000000-0005-0000-0000-0000890B0000}"/>
    <cellStyle name="Output 2 2 13 5" xfId="2928" xr:uid="{00000000-0005-0000-0000-00008A0B0000}"/>
    <cellStyle name="Output 2 2 14" xfId="2929" xr:uid="{00000000-0005-0000-0000-00008B0B0000}"/>
    <cellStyle name="Output 2 2 14 2" xfId="2930" xr:uid="{00000000-0005-0000-0000-00008C0B0000}"/>
    <cellStyle name="Output 2 2 14 3" xfId="2931" xr:uid="{00000000-0005-0000-0000-00008D0B0000}"/>
    <cellStyle name="Output 2 2 14 4" xfId="2932" xr:uid="{00000000-0005-0000-0000-00008E0B0000}"/>
    <cellStyle name="Output 2 2 15" xfId="2933" xr:uid="{00000000-0005-0000-0000-00008F0B0000}"/>
    <cellStyle name="Output 2 2 15 2" xfId="2934" xr:uid="{00000000-0005-0000-0000-0000900B0000}"/>
    <cellStyle name="Output 2 2 15 3" xfId="2935" xr:uid="{00000000-0005-0000-0000-0000910B0000}"/>
    <cellStyle name="Output 2 2 15 4" xfId="2936" xr:uid="{00000000-0005-0000-0000-0000920B0000}"/>
    <cellStyle name="Output 2 2 16" xfId="2937" xr:uid="{00000000-0005-0000-0000-0000930B0000}"/>
    <cellStyle name="Output 2 2 16 2" xfId="2938" xr:uid="{00000000-0005-0000-0000-0000940B0000}"/>
    <cellStyle name="Output 2 2 16 3" xfId="2939" xr:uid="{00000000-0005-0000-0000-0000950B0000}"/>
    <cellStyle name="Output 2 2 16 4" xfId="2940" xr:uid="{00000000-0005-0000-0000-0000960B0000}"/>
    <cellStyle name="Output 2 2 17" xfId="2941" xr:uid="{00000000-0005-0000-0000-0000970B0000}"/>
    <cellStyle name="Output 2 2 2" xfId="2942" xr:uid="{00000000-0005-0000-0000-0000980B0000}"/>
    <cellStyle name="Output 2 2 2 2" xfId="2943" xr:uid="{00000000-0005-0000-0000-0000990B0000}"/>
    <cellStyle name="Output 2 2 2 3" xfId="2944" xr:uid="{00000000-0005-0000-0000-00009A0B0000}"/>
    <cellStyle name="Output 2 2 2 4" xfId="2945" xr:uid="{00000000-0005-0000-0000-00009B0B0000}"/>
    <cellStyle name="Output 2 2 2 5" xfId="2946" xr:uid="{00000000-0005-0000-0000-00009C0B0000}"/>
    <cellStyle name="Output 2 2 3" xfId="2947" xr:uid="{00000000-0005-0000-0000-00009D0B0000}"/>
    <cellStyle name="Output 2 2 3 2" xfId="2948" xr:uid="{00000000-0005-0000-0000-00009E0B0000}"/>
    <cellStyle name="Output 2 2 3 3" xfId="2949" xr:uid="{00000000-0005-0000-0000-00009F0B0000}"/>
    <cellStyle name="Output 2 2 3 4" xfId="2950" xr:uid="{00000000-0005-0000-0000-0000A00B0000}"/>
    <cellStyle name="Output 2 2 3 5" xfId="2951" xr:uid="{00000000-0005-0000-0000-0000A10B0000}"/>
    <cellStyle name="Output 2 2 4" xfId="2952" xr:uid="{00000000-0005-0000-0000-0000A20B0000}"/>
    <cellStyle name="Output 2 2 4 2" xfId="2953" xr:uid="{00000000-0005-0000-0000-0000A30B0000}"/>
    <cellStyle name="Output 2 2 4 3" xfId="2954" xr:uid="{00000000-0005-0000-0000-0000A40B0000}"/>
    <cellStyle name="Output 2 2 4 4" xfId="2955" xr:uid="{00000000-0005-0000-0000-0000A50B0000}"/>
    <cellStyle name="Output 2 2 4 5" xfId="2956" xr:uid="{00000000-0005-0000-0000-0000A60B0000}"/>
    <cellStyle name="Output 2 2 5" xfId="2957" xr:uid="{00000000-0005-0000-0000-0000A70B0000}"/>
    <cellStyle name="Output 2 2 5 2" xfId="2958" xr:uid="{00000000-0005-0000-0000-0000A80B0000}"/>
    <cellStyle name="Output 2 2 5 3" xfId="2959" xr:uid="{00000000-0005-0000-0000-0000A90B0000}"/>
    <cellStyle name="Output 2 2 5 4" xfId="2960" xr:uid="{00000000-0005-0000-0000-0000AA0B0000}"/>
    <cellStyle name="Output 2 2 5 5" xfId="2961" xr:uid="{00000000-0005-0000-0000-0000AB0B0000}"/>
    <cellStyle name="Output 2 2 6" xfId="2962" xr:uid="{00000000-0005-0000-0000-0000AC0B0000}"/>
    <cellStyle name="Output 2 2 6 2" xfId="2963" xr:uid="{00000000-0005-0000-0000-0000AD0B0000}"/>
    <cellStyle name="Output 2 2 6 3" xfId="2964" xr:uid="{00000000-0005-0000-0000-0000AE0B0000}"/>
    <cellStyle name="Output 2 2 6 4" xfId="2965" xr:uid="{00000000-0005-0000-0000-0000AF0B0000}"/>
    <cellStyle name="Output 2 2 6 5" xfId="2966" xr:uid="{00000000-0005-0000-0000-0000B00B0000}"/>
    <cellStyle name="Output 2 2 7" xfId="2967" xr:uid="{00000000-0005-0000-0000-0000B10B0000}"/>
    <cellStyle name="Output 2 2 7 2" xfId="2968" xr:uid="{00000000-0005-0000-0000-0000B20B0000}"/>
    <cellStyle name="Output 2 2 7 3" xfId="2969" xr:uid="{00000000-0005-0000-0000-0000B30B0000}"/>
    <cellStyle name="Output 2 2 7 4" xfId="2970" xr:uid="{00000000-0005-0000-0000-0000B40B0000}"/>
    <cellStyle name="Output 2 2 7 5" xfId="2971" xr:uid="{00000000-0005-0000-0000-0000B50B0000}"/>
    <cellStyle name="Output 2 2 8" xfId="2972" xr:uid="{00000000-0005-0000-0000-0000B60B0000}"/>
    <cellStyle name="Output 2 2 8 2" xfId="2973" xr:uid="{00000000-0005-0000-0000-0000B70B0000}"/>
    <cellStyle name="Output 2 2 8 3" xfId="2974" xr:uid="{00000000-0005-0000-0000-0000B80B0000}"/>
    <cellStyle name="Output 2 2 8 4" xfId="2975" xr:uid="{00000000-0005-0000-0000-0000B90B0000}"/>
    <cellStyle name="Output 2 2 8 5" xfId="2976" xr:uid="{00000000-0005-0000-0000-0000BA0B0000}"/>
    <cellStyle name="Output 2 2 9" xfId="2977" xr:uid="{00000000-0005-0000-0000-0000BB0B0000}"/>
    <cellStyle name="Output 2 2 9 2" xfId="2978" xr:uid="{00000000-0005-0000-0000-0000BC0B0000}"/>
    <cellStyle name="Output 2 2 9 3" xfId="2979" xr:uid="{00000000-0005-0000-0000-0000BD0B0000}"/>
    <cellStyle name="Output 2 2 9 4" xfId="2980" xr:uid="{00000000-0005-0000-0000-0000BE0B0000}"/>
    <cellStyle name="Output 2 2 9 5" xfId="2981" xr:uid="{00000000-0005-0000-0000-0000BF0B0000}"/>
    <cellStyle name="Output 2 3" xfId="2982" xr:uid="{00000000-0005-0000-0000-0000C00B0000}"/>
    <cellStyle name="Output 2 3 10" xfId="2983" xr:uid="{00000000-0005-0000-0000-0000C10B0000}"/>
    <cellStyle name="Output 2 3 10 2" xfId="2984" xr:uid="{00000000-0005-0000-0000-0000C20B0000}"/>
    <cellStyle name="Output 2 3 10 3" xfId="2985" xr:uid="{00000000-0005-0000-0000-0000C30B0000}"/>
    <cellStyle name="Output 2 3 10 4" xfId="2986" xr:uid="{00000000-0005-0000-0000-0000C40B0000}"/>
    <cellStyle name="Output 2 3 10 5" xfId="2987" xr:uid="{00000000-0005-0000-0000-0000C50B0000}"/>
    <cellStyle name="Output 2 3 11" xfId="2988" xr:uid="{00000000-0005-0000-0000-0000C60B0000}"/>
    <cellStyle name="Output 2 3 11 2" xfId="2989" xr:uid="{00000000-0005-0000-0000-0000C70B0000}"/>
    <cellStyle name="Output 2 3 11 3" xfId="2990" xr:uid="{00000000-0005-0000-0000-0000C80B0000}"/>
    <cellStyle name="Output 2 3 11 4" xfId="2991" xr:uid="{00000000-0005-0000-0000-0000C90B0000}"/>
    <cellStyle name="Output 2 3 11 5" xfId="2992" xr:uid="{00000000-0005-0000-0000-0000CA0B0000}"/>
    <cellStyle name="Output 2 3 12" xfId="2993" xr:uid="{00000000-0005-0000-0000-0000CB0B0000}"/>
    <cellStyle name="Output 2 3 12 2" xfId="2994" xr:uid="{00000000-0005-0000-0000-0000CC0B0000}"/>
    <cellStyle name="Output 2 3 12 3" xfId="2995" xr:uid="{00000000-0005-0000-0000-0000CD0B0000}"/>
    <cellStyle name="Output 2 3 12 4" xfId="2996" xr:uid="{00000000-0005-0000-0000-0000CE0B0000}"/>
    <cellStyle name="Output 2 3 12 5" xfId="2997" xr:uid="{00000000-0005-0000-0000-0000CF0B0000}"/>
    <cellStyle name="Output 2 3 13" xfId="2998" xr:uid="{00000000-0005-0000-0000-0000D00B0000}"/>
    <cellStyle name="Output 2 3 13 2" xfId="2999" xr:uid="{00000000-0005-0000-0000-0000D10B0000}"/>
    <cellStyle name="Output 2 3 13 3" xfId="3000" xr:uid="{00000000-0005-0000-0000-0000D20B0000}"/>
    <cellStyle name="Output 2 3 13 4" xfId="3001" xr:uid="{00000000-0005-0000-0000-0000D30B0000}"/>
    <cellStyle name="Output 2 3 13 5" xfId="3002" xr:uid="{00000000-0005-0000-0000-0000D40B0000}"/>
    <cellStyle name="Output 2 3 14" xfId="3003" xr:uid="{00000000-0005-0000-0000-0000D50B0000}"/>
    <cellStyle name="Output 2 3 14 2" xfId="3004" xr:uid="{00000000-0005-0000-0000-0000D60B0000}"/>
    <cellStyle name="Output 2 3 14 3" xfId="3005" xr:uid="{00000000-0005-0000-0000-0000D70B0000}"/>
    <cellStyle name="Output 2 3 14 4" xfId="3006" xr:uid="{00000000-0005-0000-0000-0000D80B0000}"/>
    <cellStyle name="Output 2 3 15" xfId="3007" xr:uid="{00000000-0005-0000-0000-0000D90B0000}"/>
    <cellStyle name="Output 2 3 15 2" xfId="3008" xr:uid="{00000000-0005-0000-0000-0000DA0B0000}"/>
    <cellStyle name="Output 2 3 15 3" xfId="3009" xr:uid="{00000000-0005-0000-0000-0000DB0B0000}"/>
    <cellStyle name="Output 2 3 15 4" xfId="3010" xr:uid="{00000000-0005-0000-0000-0000DC0B0000}"/>
    <cellStyle name="Output 2 3 16" xfId="3011" xr:uid="{00000000-0005-0000-0000-0000DD0B0000}"/>
    <cellStyle name="Output 2 3 16 2" xfId="3012" xr:uid="{00000000-0005-0000-0000-0000DE0B0000}"/>
    <cellStyle name="Output 2 3 16 3" xfId="3013" xr:uid="{00000000-0005-0000-0000-0000DF0B0000}"/>
    <cellStyle name="Output 2 3 16 4" xfId="3014" xr:uid="{00000000-0005-0000-0000-0000E00B0000}"/>
    <cellStyle name="Output 2 3 17" xfId="3015" xr:uid="{00000000-0005-0000-0000-0000E10B0000}"/>
    <cellStyle name="Output 2 3 2" xfId="3016" xr:uid="{00000000-0005-0000-0000-0000E20B0000}"/>
    <cellStyle name="Output 2 3 2 2" xfId="3017" xr:uid="{00000000-0005-0000-0000-0000E30B0000}"/>
    <cellStyle name="Output 2 3 2 3" xfId="3018" xr:uid="{00000000-0005-0000-0000-0000E40B0000}"/>
    <cellStyle name="Output 2 3 2 4" xfId="3019" xr:uid="{00000000-0005-0000-0000-0000E50B0000}"/>
    <cellStyle name="Output 2 3 2 5" xfId="3020" xr:uid="{00000000-0005-0000-0000-0000E60B0000}"/>
    <cellStyle name="Output 2 3 3" xfId="3021" xr:uid="{00000000-0005-0000-0000-0000E70B0000}"/>
    <cellStyle name="Output 2 3 3 2" xfId="3022" xr:uid="{00000000-0005-0000-0000-0000E80B0000}"/>
    <cellStyle name="Output 2 3 3 3" xfId="3023" xr:uid="{00000000-0005-0000-0000-0000E90B0000}"/>
    <cellStyle name="Output 2 3 3 4" xfId="3024" xr:uid="{00000000-0005-0000-0000-0000EA0B0000}"/>
    <cellStyle name="Output 2 3 3 5" xfId="3025" xr:uid="{00000000-0005-0000-0000-0000EB0B0000}"/>
    <cellStyle name="Output 2 3 4" xfId="3026" xr:uid="{00000000-0005-0000-0000-0000EC0B0000}"/>
    <cellStyle name="Output 2 3 4 2" xfId="3027" xr:uid="{00000000-0005-0000-0000-0000ED0B0000}"/>
    <cellStyle name="Output 2 3 4 3" xfId="3028" xr:uid="{00000000-0005-0000-0000-0000EE0B0000}"/>
    <cellStyle name="Output 2 3 4 4" xfId="3029" xr:uid="{00000000-0005-0000-0000-0000EF0B0000}"/>
    <cellStyle name="Output 2 3 4 5" xfId="3030" xr:uid="{00000000-0005-0000-0000-0000F00B0000}"/>
    <cellStyle name="Output 2 3 5" xfId="3031" xr:uid="{00000000-0005-0000-0000-0000F10B0000}"/>
    <cellStyle name="Output 2 3 5 2" xfId="3032" xr:uid="{00000000-0005-0000-0000-0000F20B0000}"/>
    <cellStyle name="Output 2 3 5 3" xfId="3033" xr:uid="{00000000-0005-0000-0000-0000F30B0000}"/>
    <cellStyle name="Output 2 3 5 4" xfId="3034" xr:uid="{00000000-0005-0000-0000-0000F40B0000}"/>
    <cellStyle name="Output 2 3 5 5" xfId="3035" xr:uid="{00000000-0005-0000-0000-0000F50B0000}"/>
    <cellStyle name="Output 2 3 6" xfId="3036" xr:uid="{00000000-0005-0000-0000-0000F60B0000}"/>
    <cellStyle name="Output 2 3 6 2" xfId="3037" xr:uid="{00000000-0005-0000-0000-0000F70B0000}"/>
    <cellStyle name="Output 2 3 6 3" xfId="3038" xr:uid="{00000000-0005-0000-0000-0000F80B0000}"/>
    <cellStyle name="Output 2 3 6 4" xfId="3039" xr:uid="{00000000-0005-0000-0000-0000F90B0000}"/>
    <cellStyle name="Output 2 3 6 5" xfId="3040" xr:uid="{00000000-0005-0000-0000-0000FA0B0000}"/>
    <cellStyle name="Output 2 3 7" xfId="3041" xr:uid="{00000000-0005-0000-0000-0000FB0B0000}"/>
    <cellStyle name="Output 2 3 7 2" xfId="3042" xr:uid="{00000000-0005-0000-0000-0000FC0B0000}"/>
    <cellStyle name="Output 2 3 7 3" xfId="3043" xr:uid="{00000000-0005-0000-0000-0000FD0B0000}"/>
    <cellStyle name="Output 2 3 7 4" xfId="3044" xr:uid="{00000000-0005-0000-0000-0000FE0B0000}"/>
    <cellStyle name="Output 2 3 7 5" xfId="3045" xr:uid="{00000000-0005-0000-0000-0000FF0B0000}"/>
    <cellStyle name="Output 2 3 8" xfId="3046" xr:uid="{00000000-0005-0000-0000-0000000C0000}"/>
    <cellStyle name="Output 2 3 8 2" xfId="3047" xr:uid="{00000000-0005-0000-0000-0000010C0000}"/>
    <cellStyle name="Output 2 3 8 3" xfId="3048" xr:uid="{00000000-0005-0000-0000-0000020C0000}"/>
    <cellStyle name="Output 2 3 8 4" xfId="3049" xr:uid="{00000000-0005-0000-0000-0000030C0000}"/>
    <cellStyle name="Output 2 3 8 5" xfId="3050" xr:uid="{00000000-0005-0000-0000-0000040C0000}"/>
    <cellStyle name="Output 2 3 9" xfId="3051" xr:uid="{00000000-0005-0000-0000-0000050C0000}"/>
    <cellStyle name="Output 2 3 9 2" xfId="3052" xr:uid="{00000000-0005-0000-0000-0000060C0000}"/>
    <cellStyle name="Output 2 3 9 3" xfId="3053" xr:uid="{00000000-0005-0000-0000-0000070C0000}"/>
    <cellStyle name="Output 2 3 9 4" xfId="3054" xr:uid="{00000000-0005-0000-0000-0000080C0000}"/>
    <cellStyle name="Output 2 3 9 5" xfId="3055" xr:uid="{00000000-0005-0000-0000-0000090C0000}"/>
    <cellStyle name="Output 2 4" xfId="3056" xr:uid="{00000000-0005-0000-0000-00000A0C0000}"/>
    <cellStyle name="Output 2 4 10" xfId="3057" xr:uid="{00000000-0005-0000-0000-00000B0C0000}"/>
    <cellStyle name="Output 2 4 10 2" xfId="3058" xr:uid="{00000000-0005-0000-0000-00000C0C0000}"/>
    <cellStyle name="Output 2 4 10 3" xfId="3059" xr:uid="{00000000-0005-0000-0000-00000D0C0000}"/>
    <cellStyle name="Output 2 4 10 4" xfId="3060" xr:uid="{00000000-0005-0000-0000-00000E0C0000}"/>
    <cellStyle name="Output 2 4 10 5" xfId="3061" xr:uid="{00000000-0005-0000-0000-00000F0C0000}"/>
    <cellStyle name="Output 2 4 11" xfId="3062" xr:uid="{00000000-0005-0000-0000-0000100C0000}"/>
    <cellStyle name="Output 2 4 11 2" xfId="3063" xr:uid="{00000000-0005-0000-0000-0000110C0000}"/>
    <cellStyle name="Output 2 4 11 3" xfId="3064" xr:uid="{00000000-0005-0000-0000-0000120C0000}"/>
    <cellStyle name="Output 2 4 11 4" xfId="3065" xr:uid="{00000000-0005-0000-0000-0000130C0000}"/>
    <cellStyle name="Output 2 4 11 5" xfId="3066" xr:uid="{00000000-0005-0000-0000-0000140C0000}"/>
    <cellStyle name="Output 2 4 12" xfId="3067" xr:uid="{00000000-0005-0000-0000-0000150C0000}"/>
    <cellStyle name="Output 2 4 12 2" xfId="3068" xr:uid="{00000000-0005-0000-0000-0000160C0000}"/>
    <cellStyle name="Output 2 4 12 3" xfId="3069" xr:uid="{00000000-0005-0000-0000-0000170C0000}"/>
    <cellStyle name="Output 2 4 12 4" xfId="3070" xr:uid="{00000000-0005-0000-0000-0000180C0000}"/>
    <cellStyle name="Output 2 4 12 5" xfId="3071" xr:uid="{00000000-0005-0000-0000-0000190C0000}"/>
    <cellStyle name="Output 2 4 13" xfId="3072" xr:uid="{00000000-0005-0000-0000-00001A0C0000}"/>
    <cellStyle name="Output 2 4 13 2" xfId="3073" xr:uid="{00000000-0005-0000-0000-00001B0C0000}"/>
    <cellStyle name="Output 2 4 13 3" xfId="3074" xr:uid="{00000000-0005-0000-0000-00001C0C0000}"/>
    <cellStyle name="Output 2 4 13 4" xfId="3075" xr:uid="{00000000-0005-0000-0000-00001D0C0000}"/>
    <cellStyle name="Output 2 4 13 5" xfId="3076" xr:uid="{00000000-0005-0000-0000-00001E0C0000}"/>
    <cellStyle name="Output 2 4 14" xfId="3077" xr:uid="{00000000-0005-0000-0000-00001F0C0000}"/>
    <cellStyle name="Output 2 4 14 2" xfId="3078" xr:uid="{00000000-0005-0000-0000-0000200C0000}"/>
    <cellStyle name="Output 2 4 14 3" xfId="3079" xr:uid="{00000000-0005-0000-0000-0000210C0000}"/>
    <cellStyle name="Output 2 4 14 4" xfId="3080" xr:uid="{00000000-0005-0000-0000-0000220C0000}"/>
    <cellStyle name="Output 2 4 15" xfId="3081" xr:uid="{00000000-0005-0000-0000-0000230C0000}"/>
    <cellStyle name="Output 2 4 15 2" xfId="3082" xr:uid="{00000000-0005-0000-0000-0000240C0000}"/>
    <cellStyle name="Output 2 4 15 3" xfId="3083" xr:uid="{00000000-0005-0000-0000-0000250C0000}"/>
    <cellStyle name="Output 2 4 15 4" xfId="3084" xr:uid="{00000000-0005-0000-0000-0000260C0000}"/>
    <cellStyle name="Output 2 4 16" xfId="3085" xr:uid="{00000000-0005-0000-0000-0000270C0000}"/>
    <cellStyle name="Output 2 4 16 2" xfId="3086" xr:uid="{00000000-0005-0000-0000-0000280C0000}"/>
    <cellStyle name="Output 2 4 16 3" xfId="3087" xr:uid="{00000000-0005-0000-0000-0000290C0000}"/>
    <cellStyle name="Output 2 4 16 4" xfId="3088" xr:uid="{00000000-0005-0000-0000-00002A0C0000}"/>
    <cellStyle name="Output 2 4 17" xfId="3089" xr:uid="{00000000-0005-0000-0000-00002B0C0000}"/>
    <cellStyle name="Output 2 4 2" xfId="3090" xr:uid="{00000000-0005-0000-0000-00002C0C0000}"/>
    <cellStyle name="Output 2 4 2 2" xfId="3091" xr:uid="{00000000-0005-0000-0000-00002D0C0000}"/>
    <cellStyle name="Output 2 4 2 3" xfId="3092" xr:uid="{00000000-0005-0000-0000-00002E0C0000}"/>
    <cellStyle name="Output 2 4 2 4" xfId="3093" xr:uid="{00000000-0005-0000-0000-00002F0C0000}"/>
    <cellStyle name="Output 2 4 2 5" xfId="3094" xr:uid="{00000000-0005-0000-0000-0000300C0000}"/>
    <cellStyle name="Output 2 4 3" xfId="3095" xr:uid="{00000000-0005-0000-0000-0000310C0000}"/>
    <cellStyle name="Output 2 4 3 2" xfId="3096" xr:uid="{00000000-0005-0000-0000-0000320C0000}"/>
    <cellStyle name="Output 2 4 3 3" xfId="3097" xr:uid="{00000000-0005-0000-0000-0000330C0000}"/>
    <cellStyle name="Output 2 4 3 4" xfId="3098" xr:uid="{00000000-0005-0000-0000-0000340C0000}"/>
    <cellStyle name="Output 2 4 3 5" xfId="3099" xr:uid="{00000000-0005-0000-0000-0000350C0000}"/>
    <cellStyle name="Output 2 4 4" xfId="3100" xr:uid="{00000000-0005-0000-0000-0000360C0000}"/>
    <cellStyle name="Output 2 4 4 2" xfId="3101" xr:uid="{00000000-0005-0000-0000-0000370C0000}"/>
    <cellStyle name="Output 2 4 4 3" xfId="3102" xr:uid="{00000000-0005-0000-0000-0000380C0000}"/>
    <cellStyle name="Output 2 4 4 4" xfId="3103" xr:uid="{00000000-0005-0000-0000-0000390C0000}"/>
    <cellStyle name="Output 2 4 4 5" xfId="3104" xr:uid="{00000000-0005-0000-0000-00003A0C0000}"/>
    <cellStyle name="Output 2 4 5" xfId="3105" xr:uid="{00000000-0005-0000-0000-00003B0C0000}"/>
    <cellStyle name="Output 2 4 5 2" xfId="3106" xr:uid="{00000000-0005-0000-0000-00003C0C0000}"/>
    <cellStyle name="Output 2 4 5 3" xfId="3107" xr:uid="{00000000-0005-0000-0000-00003D0C0000}"/>
    <cellStyle name="Output 2 4 5 4" xfId="3108" xr:uid="{00000000-0005-0000-0000-00003E0C0000}"/>
    <cellStyle name="Output 2 4 5 5" xfId="3109" xr:uid="{00000000-0005-0000-0000-00003F0C0000}"/>
    <cellStyle name="Output 2 4 6" xfId="3110" xr:uid="{00000000-0005-0000-0000-0000400C0000}"/>
    <cellStyle name="Output 2 4 6 2" xfId="3111" xr:uid="{00000000-0005-0000-0000-0000410C0000}"/>
    <cellStyle name="Output 2 4 6 3" xfId="3112" xr:uid="{00000000-0005-0000-0000-0000420C0000}"/>
    <cellStyle name="Output 2 4 6 4" xfId="3113" xr:uid="{00000000-0005-0000-0000-0000430C0000}"/>
    <cellStyle name="Output 2 4 6 5" xfId="3114" xr:uid="{00000000-0005-0000-0000-0000440C0000}"/>
    <cellStyle name="Output 2 4 7" xfId="3115" xr:uid="{00000000-0005-0000-0000-0000450C0000}"/>
    <cellStyle name="Output 2 4 7 2" xfId="3116" xr:uid="{00000000-0005-0000-0000-0000460C0000}"/>
    <cellStyle name="Output 2 4 7 3" xfId="3117" xr:uid="{00000000-0005-0000-0000-0000470C0000}"/>
    <cellStyle name="Output 2 4 7 4" xfId="3118" xr:uid="{00000000-0005-0000-0000-0000480C0000}"/>
    <cellStyle name="Output 2 4 7 5" xfId="3119" xr:uid="{00000000-0005-0000-0000-0000490C0000}"/>
    <cellStyle name="Output 2 4 8" xfId="3120" xr:uid="{00000000-0005-0000-0000-00004A0C0000}"/>
    <cellStyle name="Output 2 4 8 2" xfId="3121" xr:uid="{00000000-0005-0000-0000-00004B0C0000}"/>
    <cellStyle name="Output 2 4 8 3" xfId="3122" xr:uid="{00000000-0005-0000-0000-00004C0C0000}"/>
    <cellStyle name="Output 2 4 8 4" xfId="3123" xr:uid="{00000000-0005-0000-0000-00004D0C0000}"/>
    <cellStyle name="Output 2 4 8 5" xfId="3124" xr:uid="{00000000-0005-0000-0000-00004E0C0000}"/>
    <cellStyle name="Output 2 4 9" xfId="3125" xr:uid="{00000000-0005-0000-0000-00004F0C0000}"/>
    <cellStyle name="Output 2 4 9 2" xfId="3126" xr:uid="{00000000-0005-0000-0000-0000500C0000}"/>
    <cellStyle name="Output 2 4 9 3" xfId="3127" xr:uid="{00000000-0005-0000-0000-0000510C0000}"/>
    <cellStyle name="Output 2 4 9 4" xfId="3128" xr:uid="{00000000-0005-0000-0000-0000520C0000}"/>
    <cellStyle name="Output 2 4 9 5" xfId="3129" xr:uid="{00000000-0005-0000-0000-0000530C0000}"/>
    <cellStyle name="Output 2 5" xfId="3130" xr:uid="{00000000-0005-0000-0000-0000540C0000}"/>
    <cellStyle name="Output 2 5 10" xfId="3131" xr:uid="{00000000-0005-0000-0000-0000550C0000}"/>
    <cellStyle name="Output 2 5 10 2" xfId="3132" xr:uid="{00000000-0005-0000-0000-0000560C0000}"/>
    <cellStyle name="Output 2 5 10 3" xfId="3133" xr:uid="{00000000-0005-0000-0000-0000570C0000}"/>
    <cellStyle name="Output 2 5 10 4" xfId="3134" xr:uid="{00000000-0005-0000-0000-0000580C0000}"/>
    <cellStyle name="Output 2 5 10 5" xfId="3135" xr:uid="{00000000-0005-0000-0000-0000590C0000}"/>
    <cellStyle name="Output 2 5 11" xfId="3136" xr:uid="{00000000-0005-0000-0000-00005A0C0000}"/>
    <cellStyle name="Output 2 5 11 2" xfId="3137" xr:uid="{00000000-0005-0000-0000-00005B0C0000}"/>
    <cellStyle name="Output 2 5 11 3" xfId="3138" xr:uid="{00000000-0005-0000-0000-00005C0C0000}"/>
    <cellStyle name="Output 2 5 11 4" xfId="3139" xr:uid="{00000000-0005-0000-0000-00005D0C0000}"/>
    <cellStyle name="Output 2 5 11 5" xfId="3140" xr:uid="{00000000-0005-0000-0000-00005E0C0000}"/>
    <cellStyle name="Output 2 5 12" xfId="3141" xr:uid="{00000000-0005-0000-0000-00005F0C0000}"/>
    <cellStyle name="Output 2 5 12 2" xfId="3142" xr:uid="{00000000-0005-0000-0000-0000600C0000}"/>
    <cellStyle name="Output 2 5 12 3" xfId="3143" xr:uid="{00000000-0005-0000-0000-0000610C0000}"/>
    <cellStyle name="Output 2 5 12 4" xfId="3144" xr:uid="{00000000-0005-0000-0000-0000620C0000}"/>
    <cellStyle name="Output 2 5 12 5" xfId="3145" xr:uid="{00000000-0005-0000-0000-0000630C0000}"/>
    <cellStyle name="Output 2 5 13" xfId="3146" xr:uid="{00000000-0005-0000-0000-0000640C0000}"/>
    <cellStyle name="Output 2 5 13 2" xfId="3147" xr:uid="{00000000-0005-0000-0000-0000650C0000}"/>
    <cellStyle name="Output 2 5 13 3" xfId="3148" xr:uid="{00000000-0005-0000-0000-0000660C0000}"/>
    <cellStyle name="Output 2 5 13 4" xfId="3149" xr:uid="{00000000-0005-0000-0000-0000670C0000}"/>
    <cellStyle name="Output 2 5 13 5" xfId="3150" xr:uid="{00000000-0005-0000-0000-0000680C0000}"/>
    <cellStyle name="Output 2 5 14" xfId="3151" xr:uid="{00000000-0005-0000-0000-0000690C0000}"/>
    <cellStyle name="Output 2 5 14 2" xfId="3152" xr:uid="{00000000-0005-0000-0000-00006A0C0000}"/>
    <cellStyle name="Output 2 5 14 3" xfId="3153" xr:uid="{00000000-0005-0000-0000-00006B0C0000}"/>
    <cellStyle name="Output 2 5 14 4" xfId="3154" xr:uid="{00000000-0005-0000-0000-00006C0C0000}"/>
    <cellStyle name="Output 2 5 15" xfId="3155" xr:uid="{00000000-0005-0000-0000-00006D0C0000}"/>
    <cellStyle name="Output 2 5 15 2" xfId="3156" xr:uid="{00000000-0005-0000-0000-00006E0C0000}"/>
    <cellStyle name="Output 2 5 15 3" xfId="3157" xr:uid="{00000000-0005-0000-0000-00006F0C0000}"/>
    <cellStyle name="Output 2 5 15 4" xfId="3158" xr:uid="{00000000-0005-0000-0000-0000700C0000}"/>
    <cellStyle name="Output 2 5 16" xfId="3159" xr:uid="{00000000-0005-0000-0000-0000710C0000}"/>
    <cellStyle name="Output 2 5 16 2" xfId="3160" xr:uid="{00000000-0005-0000-0000-0000720C0000}"/>
    <cellStyle name="Output 2 5 16 3" xfId="3161" xr:uid="{00000000-0005-0000-0000-0000730C0000}"/>
    <cellStyle name="Output 2 5 16 4" xfId="3162" xr:uid="{00000000-0005-0000-0000-0000740C0000}"/>
    <cellStyle name="Output 2 5 17" xfId="3163" xr:uid="{00000000-0005-0000-0000-0000750C0000}"/>
    <cellStyle name="Output 2 5 2" xfId="3164" xr:uid="{00000000-0005-0000-0000-0000760C0000}"/>
    <cellStyle name="Output 2 5 2 2" xfId="3165" xr:uid="{00000000-0005-0000-0000-0000770C0000}"/>
    <cellStyle name="Output 2 5 2 3" xfId="3166" xr:uid="{00000000-0005-0000-0000-0000780C0000}"/>
    <cellStyle name="Output 2 5 2 4" xfId="3167" xr:uid="{00000000-0005-0000-0000-0000790C0000}"/>
    <cellStyle name="Output 2 5 2 5" xfId="3168" xr:uid="{00000000-0005-0000-0000-00007A0C0000}"/>
    <cellStyle name="Output 2 5 3" xfId="3169" xr:uid="{00000000-0005-0000-0000-00007B0C0000}"/>
    <cellStyle name="Output 2 5 3 2" xfId="3170" xr:uid="{00000000-0005-0000-0000-00007C0C0000}"/>
    <cellStyle name="Output 2 5 3 3" xfId="3171" xr:uid="{00000000-0005-0000-0000-00007D0C0000}"/>
    <cellStyle name="Output 2 5 3 4" xfId="3172" xr:uid="{00000000-0005-0000-0000-00007E0C0000}"/>
    <cellStyle name="Output 2 5 3 5" xfId="3173" xr:uid="{00000000-0005-0000-0000-00007F0C0000}"/>
    <cellStyle name="Output 2 5 4" xfId="3174" xr:uid="{00000000-0005-0000-0000-0000800C0000}"/>
    <cellStyle name="Output 2 5 4 2" xfId="3175" xr:uid="{00000000-0005-0000-0000-0000810C0000}"/>
    <cellStyle name="Output 2 5 4 3" xfId="3176" xr:uid="{00000000-0005-0000-0000-0000820C0000}"/>
    <cellStyle name="Output 2 5 4 4" xfId="3177" xr:uid="{00000000-0005-0000-0000-0000830C0000}"/>
    <cellStyle name="Output 2 5 4 5" xfId="3178" xr:uid="{00000000-0005-0000-0000-0000840C0000}"/>
    <cellStyle name="Output 2 5 5" xfId="3179" xr:uid="{00000000-0005-0000-0000-0000850C0000}"/>
    <cellStyle name="Output 2 5 5 2" xfId="3180" xr:uid="{00000000-0005-0000-0000-0000860C0000}"/>
    <cellStyle name="Output 2 5 5 3" xfId="3181" xr:uid="{00000000-0005-0000-0000-0000870C0000}"/>
    <cellStyle name="Output 2 5 5 4" xfId="3182" xr:uid="{00000000-0005-0000-0000-0000880C0000}"/>
    <cellStyle name="Output 2 5 5 5" xfId="3183" xr:uid="{00000000-0005-0000-0000-0000890C0000}"/>
    <cellStyle name="Output 2 5 6" xfId="3184" xr:uid="{00000000-0005-0000-0000-00008A0C0000}"/>
    <cellStyle name="Output 2 5 6 2" xfId="3185" xr:uid="{00000000-0005-0000-0000-00008B0C0000}"/>
    <cellStyle name="Output 2 5 6 3" xfId="3186" xr:uid="{00000000-0005-0000-0000-00008C0C0000}"/>
    <cellStyle name="Output 2 5 6 4" xfId="3187" xr:uid="{00000000-0005-0000-0000-00008D0C0000}"/>
    <cellStyle name="Output 2 5 6 5" xfId="3188" xr:uid="{00000000-0005-0000-0000-00008E0C0000}"/>
    <cellStyle name="Output 2 5 7" xfId="3189" xr:uid="{00000000-0005-0000-0000-00008F0C0000}"/>
    <cellStyle name="Output 2 5 7 2" xfId="3190" xr:uid="{00000000-0005-0000-0000-0000900C0000}"/>
    <cellStyle name="Output 2 5 7 3" xfId="3191" xr:uid="{00000000-0005-0000-0000-0000910C0000}"/>
    <cellStyle name="Output 2 5 7 4" xfId="3192" xr:uid="{00000000-0005-0000-0000-0000920C0000}"/>
    <cellStyle name="Output 2 5 7 5" xfId="3193" xr:uid="{00000000-0005-0000-0000-0000930C0000}"/>
    <cellStyle name="Output 2 5 8" xfId="3194" xr:uid="{00000000-0005-0000-0000-0000940C0000}"/>
    <cellStyle name="Output 2 5 8 2" xfId="3195" xr:uid="{00000000-0005-0000-0000-0000950C0000}"/>
    <cellStyle name="Output 2 5 8 3" xfId="3196" xr:uid="{00000000-0005-0000-0000-0000960C0000}"/>
    <cellStyle name="Output 2 5 8 4" xfId="3197" xr:uid="{00000000-0005-0000-0000-0000970C0000}"/>
    <cellStyle name="Output 2 5 8 5" xfId="3198" xr:uid="{00000000-0005-0000-0000-0000980C0000}"/>
    <cellStyle name="Output 2 5 9" xfId="3199" xr:uid="{00000000-0005-0000-0000-0000990C0000}"/>
    <cellStyle name="Output 2 5 9 2" xfId="3200" xr:uid="{00000000-0005-0000-0000-00009A0C0000}"/>
    <cellStyle name="Output 2 5 9 3" xfId="3201" xr:uid="{00000000-0005-0000-0000-00009B0C0000}"/>
    <cellStyle name="Output 2 5 9 4" xfId="3202" xr:uid="{00000000-0005-0000-0000-00009C0C0000}"/>
    <cellStyle name="Output 2 5 9 5" xfId="3203" xr:uid="{00000000-0005-0000-0000-00009D0C0000}"/>
    <cellStyle name="Output 2 6" xfId="3204" xr:uid="{00000000-0005-0000-0000-00009E0C0000}"/>
    <cellStyle name="Output 2 6 10" xfId="3205" xr:uid="{00000000-0005-0000-0000-00009F0C0000}"/>
    <cellStyle name="Output 2 6 10 2" xfId="3206" xr:uid="{00000000-0005-0000-0000-0000A00C0000}"/>
    <cellStyle name="Output 2 6 10 3" xfId="3207" xr:uid="{00000000-0005-0000-0000-0000A10C0000}"/>
    <cellStyle name="Output 2 6 10 4" xfId="3208" xr:uid="{00000000-0005-0000-0000-0000A20C0000}"/>
    <cellStyle name="Output 2 6 10 5" xfId="3209" xr:uid="{00000000-0005-0000-0000-0000A30C0000}"/>
    <cellStyle name="Output 2 6 11" xfId="3210" xr:uid="{00000000-0005-0000-0000-0000A40C0000}"/>
    <cellStyle name="Output 2 6 11 2" xfId="3211" xr:uid="{00000000-0005-0000-0000-0000A50C0000}"/>
    <cellStyle name="Output 2 6 11 3" xfId="3212" xr:uid="{00000000-0005-0000-0000-0000A60C0000}"/>
    <cellStyle name="Output 2 6 11 4" xfId="3213" xr:uid="{00000000-0005-0000-0000-0000A70C0000}"/>
    <cellStyle name="Output 2 6 11 5" xfId="3214" xr:uid="{00000000-0005-0000-0000-0000A80C0000}"/>
    <cellStyle name="Output 2 6 12" xfId="3215" xr:uid="{00000000-0005-0000-0000-0000A90C0000}"/>
    <cellStyle name="Output 2 6 12 2" xfId="3216" xr:uid="{00000000-0005-0000-0000-0000AA0C0000}"/>
    <cellStyle name="Output 2 6 12 3" xfId="3217" xr:uid="{00000000-0005-0000-0000-0000AB0C0000}"/>
    <cellStyle name="Output 2 6 12 4" xfId="3218" xr:uid="{00000000-0005-0000-0000-0000AC0C0000}"/>
    <cellStyle name="Output 2 6 12 5" xfId="3219" xr:uid="{00000000-0005-0000-0000-0000AD0C0000}"/>
    <cellStyle name="Output 2 6 13" xfId="3220" xr:uid="{00000000-0005-0000-0000-0000AE0C0000}"/>
    <cellStyle name="Output 2 6 13 2" xfId="3221" xr:uid="{00000000-0005-0000-0000-0000AF0C0000}"/>
    <cellStyle name="Output 2 6 13 3" xfId="3222" xr:uid="{00000000-0005-0000-0000-0000B00C0000}"/>
    <cellStyle name="Output 2 6 13 4" xfId="3223" xr:uid="{00000000-0005-0000-0000-0000B10C0000}"/>
    <cellStyle name="Output 2 6 13 5" xfId="3224" xr:uid="{00000000-0005-0000-0000-0000B20C0000}"/>
    <cellStyle name="Output 2 6 14" xfId="3225" xr:uid="{00000000-0005-0000-0000-0000B30C0000}"/>
    <cellStyle name="Output 2 6 14 2" xfId="3226" xr:uid="{00000000-0005-0000-0000-0000B40C0000}"/>
    <cellStyle name="Output 2 6 14 3" xfId="3227" xr:uid="{00000000-0005-0000-0000-0000B50C0000}"/>
    <cellStyle name="Output 2 6 14 4" xfId="3228" xr:uid="{00000000-0005-0000-0000-0000B60C0000}"/>
    <cellStyle name="Output 2 6 14 5" xfId="3229" xr:uid="{00000000-0005-0000-0000-0000B70C0000}"/>
    <cellStyle name="Output 2 6 15" xfId="3230" xr:uid="{00000000-0005-0000-0000-0000B80C0000}"/>
    <cellStyle name="Output 2 6 15 2" xfId="3231" xr:uid="{00000000-0005-0000-0000-0000B90C0000}"/>
    <cellStyle name="Output 2 6 15 3" xfId="3232" xr:uid="{00000000-0005-0000-0000-0000BA0C0000}"/>
    <cellStyle name="Output 2 6 15 4" xfId="3233" xr:uid="{00000000-0005-0000-0000-0000BB0C0000}"/>
    <cellStyle name="Output 2 6 15 5" xfId="3234" xr:uid="{00000000-0005-0000-0000-0000BC0C0000}"/>
    <cellStyle name="Output 2 6 16" xfId="3235" xr:uid="{00000000-0005-0000-0000-0000BD0C0000}"/>
    <cellStyle name="Output 2 6 16 2" xfId="3236" xr:uid="{00000000-0005-0000-0000-0000BE0C0000}"/>
    <cellStyle name="Output 2 6 16 3" xfId="3237" xr:uid="{00000000-0005-0000-0000-0000BF0C0000}"/>
    <cellStyle name="Output 2 6 16 4" xfId="3238" xr:uid="{00000000-0005-0000-0000-0000C00C0000}"/>
    <cellStyle name="Output 2 6 16 5" xfId="3239" xr:uid="{00000000-0005-0000-0000-0000C10C0000}"/>
    <cellStyle name="Output 2 6 17" xfId="3240" xr:uid="{00000000-0005-0000-0000-0000C20C0000}"/>
    <cellStyle name="Output 2 6 17 2" xfId="3241" xr:uid="{00000000-0005-0000-0000-0000C30C0000}"/>
    <cellStyle name="Output 2 6 17 3" xfId="3242" xr:uid="{00000000-0005-0000-0000-0000C40C0000}"/>
    <cellStyle name="Output 2 6 17 4" xfId="3243" xr:uid="{00000000-0005-0000-0000-0000C50C0000}"/>
    <cellStyle name="Output 2 6 17 5" xfId="3244" xr:uid="{00000000-0005-0000-0000-0000C60C0000}"/>
    <cellStyle name="Output 2 6 18" xfId="3245" xr:uid="{00000000-0005-0000-0000-0000C70C0000}"/>
    <cellStyle name="Output 2 6 18 2" xfId="3246" xr:uid="{00000000-0005-0000-0000-0000C80C0000}"/>
    <cellStyle name="Output 2 6 18 3" xfId="3247" xr:uid="{00000000-0005-0000-0000-0000C90C0000}"/>
    <cellStyle name="Output 2 6 18 4" xfId="3248" xr:uid="{00000000-0005-0000-0000-0000CA0C0000}"/>
    <cellStyle name="Output 2 6 18 5" xfId="3249" xr:uid="{00000000-0005-0000-0000-0000CB0C0000}"/>
    <cellStyle name="Output 2 6 19" xfId="3250" xr:uid="{00000000-0005-0000-0000-0000CC0C0000}"/>
    <cellStyle name="Output 2 6 19 2" xfId="3251" xr:uid="{00000000-0005-0000-0000-0000CD0C0000}"/>
    <cellStyle name="Output 2 6 19 3" xfId="3252" xr:uid="{00000000-0005-0000-0000-0000CE0C0000}"/>
    <cellStyle name="Output 2 6 19 4" xfId="3253" xr:uid="{00000000-0005-0000-0000-0000CF0C0000}"/>
    <cellStyle name="Output 2 6 19 5" xfId="3254" xr:uid="{00000000-0005-0000-0000-0000D00C0000}"/>
    <cellStyle name="Output 2 6 2" xfId="3255" xr:uid="{00000000-0005-0000-0000-0000D10C0000}"/>
    <cellStyle name="Output 2 6 2 2" xfId="3256" xr:uid="{00000000-0005-0000-0000-0000D20C0000}"/>
    <cellStyle name="Output 2 6 2 3" xfId="3257" xr:uid="{00000000-0005-0000-0000-0000D30C0000}"/>
    <cellStyle name="Output 2 6 2 4" xfId="3258" xr:uid="{00000000-0005-0000-0000-0000D40C0000}"/>
    <cellStyle name="Output 2 6 2 5" xfId="3259" xr:uid="{00000000-0005-0000-0000-0000D50C0000}"/>
    <cellStyle name="Output 2 6 20" xfId="3260" xr:uid="{00000000-0005-0000-0000-0000D60C0000}"/>
    <cellStyle name="Output 2 6 20 2" xfId="3261" xr:uid="{00000000-0005-0000-0000-0000D70C0000}"/>
    <cellStyle name="Output 2 6 20 3" xfId="3262" xr:uid="{00000000-0005-0000-0000-0000D80C0000}"/>
    <cellStyle name="Output 2 6 20 4" xfId="3263" xr:uid="{00000000-0005-0000-0000-0000D90C0000}"/>
    <cellStyle name="Output 2 6 20 5" xfId="3264" xr:uid="{00000000-0005-0000-0000-0000DA0C0000}"/>
    <cellStyle name="Output 2 6 21" xfId="3265" xr:uid="{00000000-0005-0000-0000-0000DB0C0000}"/>
    <cellStyle name="Output 2 6 21 2" xfId="3266" xr:uid="{00000000-0005-0000-0000-0000DC0C0000}"/>
    <cellStyle name="Output 2 6 21 3" xfId="3267" xr:uid="{00000000-0005-0000-0000-0000DD0C0000}"/>
    <cellStyle name="Output 2 6 21 4" xfId="3268" xr:uid="{00000000-0005-0000-0000-0000DE0C0000}"/>
    <cellStyle name="Output 2 6 21 5" xfId="3269" xr:uid="{00000000-0005-0000-0000-0000DF0C0000}"/>
    <cellStyle name="Output 2 6 22" xfId="3270" xr:uid="{00000000-0005-0000-0000-0000E00C0000}"/>
    <cellStyle name="Output 2 6 22 2" xfId="3271" xr:uid="{00000000-0005-0000-0000-0000E10C0000}"/>
    <cellStyle name="Output 2 6 22 3" xfId="3272" xr:uid="{00000000-0005-0000-0000-0000E20C0000}"/>
    <cellStyle name="Output 2 6 22 4" xfId="3273" xr:uid="{00000000-0005-0000-0000-0000E30C0000}"/>
    <cellStyle name="Output 2 6 23" xfId="3274" xr:uid="{00000000-0005-0000-0000-0000E40C0000}"/>
    <cellStyle name="Output 2 6 23 2" xfId="3275" xr:uid="{00000000-0005-0000-0000-0000E50C0000}"/>
    <cellStyle name="Output 2 6 23 3" xfId="3276" xr:uid="{00000000-0005-0000-0000-0000E60C0000}"/>
    <cellStyle name="Output 2 6 23 4" xfId="3277" xr:uid="{00000000-0005-0000-0000-0000E70C0000}"/>
    <cellStyle name="Output 2 6 24" xfId="3278" xr:uid="{00000000-0005-0000-0000-0000E80C0000}"/>
    <cellStyle name="Output 2 6 24 2" xfId="3279" xr:uid="{00000000-0005-0000-0000-0000E90C0000}"/>
    <cellStyle name="Output 2 6 24 3" xfId="3280" xr:uid="{00000000-0005-0000-0000-0000EA0C0000}"/>
    <cellStyle name="Output 2 6 24 4" xfId="3281" xr:uid="{00000000-0005-0000-0000-0000EB0C0000}"/>
    <cellStyle name="Output 2 6 25" xfId="3282" xr:uid="{00000000-0005-0000-0000-0000EC0C0000}"/>
    <cellStyle name="Output 2 6 25 2" xfId="3283" xr:uid="{00000000-0005-0000-0000-0000ED0C0000}"/>
    <cellStyle name="Output 2 6 25 3" xfId="3284" xr:uid="{00000000-0005-0000-0000-0000EE0C0000}"/>
    <cellStyle name="Output 2 6 25 4" xfId="3285" xr:uid="{00000000-0005-0000-0000-0000EF0C0000}"/>
    <cellStyle name="Output 2 6 3" xfId="3286" xr:uid="{00000000-0005-0000-0000-0000F00C0000}"/>
    <cellStyle name="Output 2 6 3 2" xfId="3287" xr:uid="{00000000-0005-0000-0000-0000F10C0000}"/>
    <cellStyle name="Output 2 6 3 3" xfId="3288" xr:uid="{00000000-0005-0000-0000-0000F20C0000}"/>
    <cellStyle name="Output 2 6 3 4" xfId="3289" xr:uid="{00000000-0005-0000-0000-0000F30C0000}"/>
    <cellStyle name="Output 2 6 3 5" xfId="3290" xr:uid="{00000000-0005-0000-0000-0000F40C0000}"/>
    <cellStyle name="Output 2 6 4" xfId="3291" xr:uid="{00000000-0005-0000-0000-0000F50C0000}"/>
    <cellStyle name="Output 2 6 4 2" xfId="3292" xr:uid="{00000000-0005-0000-0000-0000F60C0000}"/>
    <cellStyle name="Output 2 6 4 3" xfId="3293" xr:uid="{00000000-0005-0000-0000-0000F70C0000}"/>
    <cellStyle name="Output 2 6 4 4" xfId="3294" xr:uid="{00000000-0005-0000-0000-0000F80C0000}"/>
    <cellStyle name="Output 2 6 4 5" xfId="3295" xr:uid="{00000000-0005-0000-0000-0000F90C0000}"/>
    <cellStyle name="Output 2 6 5" xfId="3296" xr:uid="{00000000-0005-0000-0000-0000FA0C0000}"/>
    <cellStyle name="Output 2 6 5 2" xfId="3297" xr:uid="{00000000-0005-0000-0000-0000FB0C0000}"/>
    <cellStyle name="Output 2 6 5 3" xfId="3298" xr:uid="{00000000-0005-0000-0000-0000FC0C0000}"/>
    <cellStyle name="Output 2 6 5 4" xfId="3299" xr:uid="{00000000-0005-0000-0000-0000FD0C0000}"/>
    <cellStyle name="Output 2 6 5 5" xfId="3300" xr:uid="{00000000-0005-0000-0000-0000FE0C0000}"/>
    <cellStyle name="Output 2 6 6" xfId="3301" xr:uid="{00000000-0005-0000-0000-0000FF0C0000}"/>
    <cellStyle name="Output 2 6 6 2" xfId="3302" xr:uid="{00000000-0005-0000-0000-0000000D0000}"/>
    <cellStyle name="Output 2 6 6 3" xfId="3303" xr:uid="{00000000-0005-0000-0000-0000010D0000}"/>
    <cellStyle name="Output 2 6 6 4" xfId="3304" xr:uid="{00000000-0005-0000-0000-0000020D0000}"/>
    <cellStyle name="Output 2 6 6 5" xfId="3305" xr:uid="{00000000-0005-0000-0000-0000030D0000}"/>
    <cellStyle name="Output 2 6 7" xfId="3306" xr:uid="{00000000-0005-0000-0000-0000040D0000}"/>
    <cellStyle name="Output 2 6 7 2" xfId="3307" xr:uid="{00000000-0005-0000-0000-0000050D0000}"/>
    <cellStyle name="Output 2 6 7 3" xfId="3308" xr:uid="{00000000-0005-0000-0000-0000060D0000}"/>
    <cellStyle name="Output 2 6 7 4" xfId="3309" xr:uid="{00000000-0005-0000-0000-0000070D0000}"/>
    <cellStyle name="Output 2 6 7 5" xfId="3310" xr:uid="{00000000-0005-0000-0000-0000080D0000}"/>
    <cellStyle name="Output 2 6 8" xfId="3311" xr:uid="{00000000-0005-0000-0000-0000090D0000}"/>
    <cellStyle name="Output 2 6 8 2" xfId="3312" xr:uid="{00000000-0005-0000-0000-00000A0D0000}"/>
    <cellStyle name="Output 2 6 8 3" xfId="3313" xr:uid="{00000000-0005-0000-0000-00000B0D0000}"/>
    <cellStyle name="Output 2 6 8 4" xfId="3314" xr:uid="{00000000-0005-0000-0000-00000C0D0000}"/>
    <cellStyle name="Output 2 6 8 5" xfId="3315" xr:uid="{00000000-0005-0000-0000-00000D0D0000}"/>
    <cellStyle name="Output 2 6 9" xfId="3316" xr:uid="{00000000-0005-0000-0000-00000E0D0000}"/>
    <cellStyle name="Output 2 6 9 2" xfId="3317" xr:uid="{00000000-0005-0000-0000-00000F0D0000}"/>
    <cellStyle name="Output 2 6 9 3" xfId="3318" xr:uid="{00000000-0005-0000-0000-0000100D0000}"/>
    <cellStyle name="Output 2 6 9 4" xfId="3319" xr:uid="{00000000-0005-0000-0000-0000110D0000}"/>
    <cellStyle name="Output 2 6 9 5" xfId="3320" xr:uid="{00000000-0005-0000-0000-0000120D0000}"/>
    <cellStyle name="Output 2 7" xfId="3321" xr:uid="{00000000-0005-0000-0000-0000130D0000}"/>
    <cellStyle name="Output 2 7 2" xfId="3322" xr:uid="{00000000-0005-0000-0000-0000140D0000}"/>
    <cellStyle name="Output 2 7 3" xfId="3323" xr:uid="{00000000-0005-0000-0000-0000150D0000}"/>
    <cellStyle name="Output 2 7 4" xfId="3324" xr:uid="{00000000-0005-0000-0000-0000160D0000}"/>
    <cellStyle name="Output 2 7 5" xfId="3325" xr:uid="{00000000-0005-0000-0000-0000170D0000}"/>
    <cellStyle name="Output 2 8" xfId="3326" xr:uid="{00000000-0005-0000-0000-0000180D0000}"/>
    <cellStyle name="Output 2 8 2" xfId="3327" xr:uid="{00000000-0005-0000-0000-0000190D0000}"/>
    <cellStyle name="Output 2 8 3" xfId="3328" xr:uid="{00000000-0005-0000-0000-00001A0D0000}"/>
    <cellStyle name="Output 2 8 4" xfId="3329" xr:uid="{00000000-0005-0000-0000-00001B0D0000}"/>
    <cellStyle name="Output 2 8 5" xfId="3330" xr:uid="{00000000-0005-0000-0000-00001C0D0000}"/>
    <cellStyle name="Output 2 9" xfId="3331" xr:uid="{00000000-0005-0000-0000-00001D0D0000}"/>
    <cellStyle name="Output 2 9 2" xfId="3332" xr:uid="{00000000-0005-0000-0000-00001E0D0000}"/>
    <cellStyle name="Output 2 9 3" xfId="3333" xr:uid="{00000000-0005-0000-0000-00001F0D0000}"/>
    <cellStyle name="Output 2 9 4" xfId="3334" xr:uid="{00000000-0005-0000-0000-0000200D0000}"/>
    <cellStyle name="Output 2 9 5" xfId="3335" xr:uid="{00000000-0005-0000-0000-0000210D0000}"/>
    <cellStyle name="Percent" xfId="2" builtinId="5"/>
    <cellStyle name="Percent 10" xfId="3336" xr:uid="{00000000-0005-0000-0000-0000230D0000}"/>
    <cellStyle name="Percent 17" xfId="3337" xr:uid="{00000000-0005-0000-0000-0000240D0000}"/>
    <cellStyle name="Percent 2" xfId="169" xr:uid="{00000000-0005-0000-0000-0000250D0000}"/>
    <cellStyle name="Percent 2 2" xfId="185" xr:uid="{00000000-0005-0000-0000-0000260D0000}"/>
    <cellStyle name="Percent 2 2 2" xfId="3338" xr:uid="{00000000-0005-0000-0000-0000270D0000}"/>
    <cellStyle name="Percent 2 2 3" xfId="3339" xr:uid="{00000000-0005-0000-0000-0000280D0000}"/>
    <cellStyle name="Percent 2 2 4" xfId="3340" xr:uid="{00000000-0005-0000-0000-0000290D0000}"/>
    <cellStyle name="Percent 2 2 4 2" xfId="3341" xr:uid="{00000000-0005-0000-0000-00002A0D0000}"/>
    <cellStyle name="Percent 2 2 5" xfId="3342" xr:uid="{00000000-0005-0000-0000-00002B0D0000}"/>
    <cellStyle name="Percent 2 2 6" xfId="3343" xr:uid="{00000000-0005-0000-0000-00002C0D0000}"/>
    <cellStyle name="Percent 2 3" xfId="3344" xr:uid="{00000000-0005-0000-0000-00002D0D0000}"/>
    <cellStyle name="Percent 2 3 2" xfId="3345" xr:uid="{00000000-0005-0000-0000-00002E0D0000}"/>
    <cellStyle name="Percent 2 4" xfId="3346" xr:uid="{00000000-0005-0000-0000-00002F0D0000}"/>
    <cellStyle name="Percent 2 4 2" xfId="3347" xr:uid="{00000000-0005-0000-0000-0000300D0000}"/>
    <cellStyle name="Percent 2 5" xfId="3348" xr:uid="{00000000-0005-0000-0000-0000310D0000}"/>
    <cellStyle name="Percent 2 6" xfId="3349" xr:uid="{00000000-0005-0000-0000-0000320D0000}"/>
    <cellStyle name="Percent 2 7" xfId="3350" xr:uid="{00000000-0005-0000-0000-0000330D0000}"/>
    <cellStyle name="Percent 3" xfId="170" xr:uid="{00000000-0005-0000-0000-0000340D0000}"/>
    <cellStyle name="Percent 3 2" xfId="205" xr:uid="{00000000-0005-0000-0000-0000350D0000}"/>
    <cellStyle name="Percent 3 2 2" xfId="3918" xr:uid="{00000000-0005-0000-0000-0000360D0000}"/>
    <cellStyle name="Percent 3 3" xfId="3351" xr:uid="{00000000-0005-0000-0000-0000370D0000}"/>
    <cellStyle name="Percent 3 4" xfId="3352" xr:uid="{00000000-0005-0000-0000-0000380D0000}"/>
    <cellStyle name="Percent 3 5" xfId="3353" xr:uid="{00000000-0005-0000-0000-0000390D0000}"/>
    <cellStyle name="Percent 4" xfId="206" xr:uid="{00000000-0005-0000-0000-00003A0D0000}"/>
    <cellStyle name="Percent 4 2" xfId="3354" xr:uid="{00000000-0005-0000-0000-00003B0D0000}"/>
    <cellStyle name="Percent 4 3" xfId="3355" xr:uid="{00000000-0005-0000-0000-00003C0D0000}"/>
    <cellStyle name="Percent 4 4" xfId="3356" xr:uid="{00000000-0005-0000-0000-00003D0D0000}"/>
    <cellStyle name="Percent 4 5" xfId="3357" xr:uid="{00000000-0005-0000-0000-00003E0D0000}"/>
    <cellStyle name="Percent 5" xfId="3358" xr:uid="{00000000-0005-0000-0000-00003F0D0000}"/>
    <cellStyle name="Percent 5 2" xfId="3359" xr:uid="{00000000-0005-0000-0000-0000400D0000}"/>
    <cellStyle name="Percent 5 3" xfId="3360" xr:uid="{00000000-0005-0000-0000-0000410D0000}"/>
    <cellStyle name="Percent 5 4" xfId="3361" xr:uid="{00000000-0005-0000-0000-0000420D0000}"/>
    <cellStyle name="Percent 6" xfId="3362" xr:uid="{00000000-0005-0000-0000-0000430D0000}"/>
    <cellStyle name="Percent 6 2" xfId="3363" xr:uid="{00000000-0005-0000-0000-0000440D0000}"/>
    <cellStyle name="Percent 6 3" xfId="3364" xr:uid="{00000000-0005-0000-0000-0000450D0000}"/>
    <cellStyle name="Percent 7" xfId="3365" xr:uid="{00000000-0005-0000-0000-0000460D0000}"/>
    <cellStyle name="Percent 7 2" xfId="3366" xr:uid="{00000000-0005-0000-0000-0000470D0000}"/>
    <cellStyle name="Percent 7 3" xfId="3367" xr:uid="{00000000-0005-0000-0000-0000480D0000}"/>
    <cellStyle name="Percent 7 4" xfId="3368" xr:uid="{00000000-0005-0000-0000-0000490D0000}"/>
    <cellStyle name="Percent 8" xfId="3369" xr:uid="{00000000-0005-0000-0000-00004A0D0000}"/>
    <cellStyle name="Percent 8 2" xfId="3370" xr:uid="{00000000-0005-0000-0000-00004B0D0000}"/>
    <cellStyle name="Percent 8 3" xfId="3371" xr:uid="{00000000-0005-0000-0000-00004C0D0000}"/>
    <cellStyle name="Percent 9" xfId="3372" xr:uid="{00000000-0005-0000-0000-00004D0D0000}"/>
    <cellStyle name="Percent 9 2" xfId="3373" xr:uid="{00000000-0005-0000-0000-00004E0D0000}"/>
    <cellStyle name="provisional PN158/97" xfId="171" xr:uid="{00000000-0005-0000-0000-00004F0D0000}"/>
    <cellStyle name="P嗴_x000c_〘 ńバ঒〘 " xfId="3374" xr:uid="{00000000-0005-0000-0000-0000500D0000}"/>
    <cellStyle name="P嗴_x000c_〘 ńバ঒〘  2" xfId="3375" xr:uid="{00000000-0005-0000-0000-0000510D0000}"/>
    <cellStyle name="P嗴_x000c_〘 ńバ঒〘 _Main Allocation Sheet" xfId="3376" xr:uid="{00000000-0005-0000-0000-0000520D0000}"/>
    <cellStyle name="Sheet Title" xfId="3377" xr:uid="{00000000-0005-0000-0000-0000530D0000}"/>
    <cellStyle name="Style 1" xfId="172" xr:uid="{00000000-0005-0000-0000-0000540D0000}"/>
    <cellStyle name="Style 1 2" xfId="207" xr:uid="{00000000-0005-0000-0000-0000550D0000}"/>
    <cellStyle name="Style 1 2 2" xfId="3378" xr:uid="{00000000-0005-0000-0000-0000560D0000}"/>
    <cellStyle name="Style 1 3" xfId="3379" xr:uid="{00000000-0005-0000-0000-0000570D0000}"/>
    <cellStyle name="Style 1_Main Allocation Sheet" xfId="3380" xr:uid="{00000000-0005-0000-0000-0000580D0000}"/>
    <cellStyle name="style1456487729786" xfId="182" xr:uid="{00000000-0005-0000-0000-0000590D0000}"/>
    <cellStyle name="style1456487878690" xfId="183" xr:uid="{00000000-0005-0000-0000-00005A0D0000}"/>
    <cellStyle name="sub" xfId="173" xr:uid="{00000000-0005-0000-0000-00005B0D0000}"/>
    <cellStyle name="table imported" xfId="174" xr:uid="{00000000-0005-0000-0000-00005C0D0000}"/>
    <cellStyle name="table sum" xfId="175" xr:uid="{00000000-0005-0000-0000-00005D0D0000}"/>
    <cellStyle name="table values" xfId="176" xr:uid="{00000000-0005-0000-0000-00005E0D0000}"/>
    <cellStyle name="Title 2" xfId="177" xr:uid="{00000000-0005-0000-0000-00005F0D0000}"/>
    <cellStyle name="TitleStyle" xfId="3922" xr:uid="{00000000-0005-0000-0000-0000600D0000}"/>
    <cellStyle name="TitleStyle 2" xfId="3936" xr:uid="{00000000-0005-0000-0000-0000610D0000}"/>
    <cellStyle name="TitleStyle 3" xfId="3937" xr:uid="{00000000-0005-0000-0000-0000620D0000}"/>
    <cellStyle name="Total 2" xfId="178" xr:uid="{00000000-0005-0000-0000-0000630D0000}"/>
    <cellStyle name="Total 2 10" xfId="3381" xr:uid="{00000000-0005-0000-0000-0000640D0000}"/>
    <cellStyle name="Total 2 10 2" xfId="3382" xr:uid="{00000000-0005-0000-0000-0000650D0000}"/>
    <cellStyle name="Total 2 10 3" xfId="3383" xr:uid="{00000000-0005-0000-0000-0000660D0000}"/>
    <cellStyle name="Total 2 10 4" xfId="3384" xr:uid="{00000000-0005-0000-0000-0000670D0000}"/>
    <cellStyle name="Total 2 10 5" xfId="3385" xr:uid="{00000000-0005-0000-0000-0000680D0000}"/>
    <cellStyle name="Total 2 11" xfId="3386" xr:uid="{00000000-0005-0000-0000-0000690D0000}"/>
    <cellStyle name="Total 2 11 2" xfId="3387" xr:uid="{00000000-0005-0000-0000-00006A0D0000}"/>
    <cellStyle name="Total 2 11 3" xfId="3388" xr:uid="{00000000-0005-0000-0000-00006B0D0000}"/>
    <cellStyle name="Total 2 11 4" xfId="3389" xr:uid="{00000000-0005-0000-0000-00006C0D0000}"/>
    <cellStyle name="Total 2 11 5" xfId="3390" xr:uid="{00000000-0005-0000-0000-00006D0D0000}"/>
    <cellStyle name="Total 2 12" xfId="3391" xr:uid="{00000000-0005-0000-0000-00006E0D0000}"/>
    <cellStyle name="Total 2 12 2" xfId="3392" xr:uid="{00000000-0005-0000-0000-00006F0D0000}"/>
    <cellStyle name="Total 2 12 3" xfId="3393" xr:uid="{00000000-0005-0000-0000-0000700D0000}"/>
    <cellStyle name="Total 2 12 4" xfId="3394" xr:uid="{00000000-0005-0000-0000-0000710D0000}"/>
    <cellStyle name="Total 2 12 5" xfId="3395" xr:uid="{00000000-0005-0000-0000-0000720D0000}"/>
    <cellStyle name="Total 2 13" xfId="3396" xr:uid="{00000000-0005-0000-0000-0000730D0000}"/>
    <cellStyle name="Total 2 13 2" xfId="3397" xr:uid="{00000000-0005-0000-0000-0000740D0000}"/>
    <cellStyle name="Total 2 13 3" xfId="3398" xr:uid="{00000000-0005-0000-0000-0000750D0000}"/>
    <cellStyle name="Total 2 13 4" xfId="3399" xr:uid="{00000000-0005-0000-0000-0000760D0000}"/>
    <cellStyle name="Total 2 14" xfId="3400" xr:uid="{00000000-0005-0000-0000-0000770D0000}"/>
    <cellStyle name="Total 2 14 2" xfId="3401" xr:uid="{00000000-0005-0000-0000-0000780D0000}"/>
    <cellStyle name="Total 2 14 3" xfId="3402" xr:uid="{00000000-0005-0000-0000-0000790D0000}"/>
    <cellStyle name="Total 2 14 4" xfId="3403" xr:uid="{00000000-0005-0000-0000-00007A0D0000}"/>
    <cellStyle name="Total 2 15" xfId="3404" xr:uid="{00000000-0005-0000-0000-00007B0D0000}"/>
    <cellStyle name="Total 2 15 2" xfId="3405" xr:uid="{00000000-0005-0000-0000-00007C0D0000}"/>
    <cellStyle name="Total 2 15 3" xfId="3406" xr:uid="{00000000-0005-0000-0000-00007D0D0000}"/>
    <cellStyle name="Total 2 15 4" xfId="3407" xr:uid="{00000000-0005-0000-0000-00007E0D0000}"/>
    <cellStyle name="Total 2 16" xfId="3408" xr:uid="{00000000-0005-0000-0000-00007F0D0000}"/>
    <cellStyle name="Total 2 2" xfId="3409" xr:uid="{00000000-0005-0000-0000-0000800D0000}"/>
    <cellStyle name="Total 2 2 10" xfId="3410" xr:uid="{00000000-0005-0000-0000-0000810D0000}"/>
    <cellStyle name="Total 2 2 10 2" xfId="3411" xr:uid="{00000000-0005-0000-0000-0000820D0000}"/>
    <cellStyle name="Total 2 2 10 3" xfId="3412" xr:uid="{00000000-0005-0000-0000-0000830D0000}"/>
    <cellStyle name="Total 2 2 10 4" xfId="3413" xr:uid="{00000000-0005-0000-0000-0000840D0000}"/>
    <cellStyle name="Total 2 2 10 5" xfId="3414" xr:uid="{00000000-0005-0000-0000-0000850D0000}"/>
    <cellStyle name="Total 2 2 11" xfId="3415" xr:uid="{00000000-0005-0000-0000-0000860D0000}"/>
    <cellStyle name="Total 2 2 11 2" xfId="3416" xr:uid="{00000000-0005-0000-0000-0000870D0000}"/>
    <cellStyle name="Total 2 2 11 3" xfId="3417" xr:uid="{00000000-0005-0000-0000-0000880D0000}"/>
    <cellStyle name="Total 2 2 11 4" xfId="3418" xr:uid="{00000000-0005-0000-0000-0000890D0000}"/>
    <cellStyle name="Total 2 2 11 5" xfId="3419" xr:uid="{00000000-0005-0000-0000-00008A0D0000}"/>
    <cellStyle name="Total 2 2 12" xfId="3420" xr:uid="{00000000-0005-0000-0000-00008B0D0000}"/>
    <cellStyle name="Total 2 2 12 2" xfId="3421" xr:uid="{00000000-0005-0000-0000-00008C0D0000}"/>
    <cellStyle name="Total 2 2 12 3" xfId="3422" xr:uid="{00000000-0005-0000-0000-00008D0D0000}"/>
    <cellStyle name="Total 2 2 12 4" xfId="3423" xr:uid="{00000000-0005-0000-0000-00008E0D0000}"/>
    <cellStyle name="Total 2 2 12 5" xfId="3424" xr:uid="{00000000-0005-0000-0000-00008F0D0000}"/>
    <cellStyle name="Total 2 2 13" xfId="3425" xr:uid="{00000000-0005-0000-0000-0000900D0000}"/>
    <cellStyle name="Total 2 2 13 2" xfId="3426" xr:uid="{00000000-0005-0000-0000-0000910D0000}"/>
    <cellStyle name="Total 2 2 13 3" xfId="3427" xr:uid="{00000000-0005-0000-0000-0000920D0000}"/>
    <cellStyle name="Total 2 2 13 4" xfId="3428" xr:uid="{00000000-0005-0000-0000-0000930D0000}"/>
    <cellStyle name="Total 2 2 13 5" xfId="3429" xr:uid="{00000000-0005-0000-0000-0000940D0000}"/>
    <cellStyle name="Total 2 2 14" xfId="3430" xr:uid="{00000000-0005-0000-0000-0000950D0000}"/>
    <cellStyle name="Total 2 2 14 2" xfId="3431" xr:uid="{00000000-0005-0000-0000-0000960D0000}"/>
    <cellStyle name="Total 2 2 14 3" xfId="3432" xr:uid="{00000000-0005-0000-0000-0000970D0000}"/>
    <cellStyle name="Total 2 2 14 4" xfId="3433" xr:uid="{00000000-0005-0000-0000-0000980D0000}"/>
    <cellStyle name="Total 2 2 14 5" xfId="3434" xr:uid="{00000000-0005-0000-0000-0000990D0000}"/>
    <cellStyle name="Total 2 2 15" xfId="3435" xr:uid="{00000000-0005-0000-0000-00009A0D0000}"/>
    <cellStyle name="Total 2 2 15 2" xfId="3436" xr:uid="{00000000-0005-0000-0000-00009B0D0000}"/>
    <cellStyle name="Total 2 2 15 3" xfId="3437" xr:uid="{00000000-0005-0000-0000-00009C0D0000}"/>
    <cellStyle name="Total 2 2 15 4" xfId="3438" xr:uid="{00000000-0005-0000-0000-00009D0D0000}"/>
    <cellStyle name="Total 2 2 15 5" xfId="3439" xr:uid="{00000000-0005-0000-0000-00009E0D0000}"/>
    <cellStyle name="Total 2 2 16" xfId="3440" xr:uid="{00000000-0005-0000-0000-00009F0D0000}"/>
    <cellStyle name="Total 2 2 16 2" xfId="3441" xr:uid="{00000000-0005-0000-0000-0000A00D0000}"/>
    <cellStyle name="Total 2 2 16 3" xfId="3442" xr:uid="{00000000-0005-0000-0000-0000A10D0000}"/>
    <cellStyle name="Total 2 2 16 4" xfId="3443" xr:uid="{00000000-0005-0000-0000-0000A20D0000}"/>
    <cellStyle name="Total 2 2 16 5" xfId="3444" xr:uid="{00000000-0005-0000-0000-0000A30D0000}"/>
    <cellStyle name="Total 2 2 17" xfId="3445" xr:uid="{00000000-0005-0000-0000-0000A40D0000}"/>
    <cellStyle name="Total 2 2 17 2" xfId="3446" xr:uid="{00000000-0005-0000-0000-0000A50D0000}"/>
    <cellStyle name="Total 2 2 17 3" xfId="3447" xr:uid="{00000000-0005-0000-0000-0000A60D0000}"/>
    <cellStyle name="Total 2 2 17 4" xfId="3448" xr:uid="{00000000-0005-0000-0000-0000A70D0000}"/>
    <cellStyle name="Total 2 2 18" xfId="3449" xr:uid="{00000000-0005-0000-0000-0000A80D0000}"/>
    <cellStyle name="Total 2 2 18 2" xfId="3450" xr:uid="{00000000-0005-0000-0000-0000A90D0000}"/>
    <cellStyle name="Total 2 2 18 3" xfId="3451" xr:uid="{00000000-0005-0000-0000-0000AA0D0000}"/>
    <cellStyle name="Total 2 2 18 4" xfId="3452" xr:uid="{00000000-0005-0000-0000-0000AB0D0000}"/>
    <cellStyle name="Total 2 2 19" xfId="3453" xr:uid="{00000000-0005-0000-0000-0000AC0D0000}"/>
    <cellStyle name="Total 2 2 19 2" xfId="3454" xr:uid="{00000000-0005-0000-0000-0000AD0D0000}"/>
    <cellStyle name="Total 2 2 19 3" xfId="3455" xr:uid="{00000000-0005-0000-0000-0000AE0D0000}"/>
    <cellStyle name="Total 2 2 19 4" xfId="3456" xr:uid="{00000000-0005-0000-0000-0000AF0D0000}"/>
    <cellStyle name="Total 2 2 2" xfId="3457" xr:uid="{00000000-0005-0000-0000-0000B00D0000}"/>
    <cellStyle name="Total 2 2 2 2" xfId="3458" xr:uid="{00000000-0005-0000-0000-0000B10D0000}"/>
    <cellStyle name="Total 2 2 2 3" xfId="3459" xr:uid="{00000000-0005-0000-0000-0000B20D0000}"/>
    <cellStyle name="Total 2 2 2 4" xfId="3460" xr:uid="{00000000-0005-0000-0000-0000B30D0000}"/>
    <cellStyle name="Total 2 2 2 5" xfId="3461" xr:uid="{00000000-0005-0000-0000-0000B40D0000}"/>
    <cellStyle name="Total 2 2 20" xfId="3462" xr:uid="{00000000-0005-0000-0000-0000B50D0000}"/>
    <cellStyle name="Total 2 2 20 2" xfId="3463" xr:uid="{00000000-0005-0000-0000-0000B60D0000}"/>
    <cellStyle name="Total 2 2 20 3" xfId="3464" xr:uid="{00000000-0005-0000-0000-0000B70D0000}"/>
    <cellStyle name="Total 2 2 20 4" xfId="3465" xr:uid="{00000000-0005-0000-0000-0000B80D0000}"/>
    <cellStyle name="Total 2 2 21" xfId="3466" xr:uid="{00000000-0005-0000-0000-0000B90D0000}"/>
    <cellStyle name="Total 2 2 3" xfId="3467" xr:uid="{00000000-0005-0000-0000-0000BA0D0000}"/>
    <cellStyle name="Total 2 2 3 2" xfId="3468" xr:uid="{00000000-0005-0000-0000-0000BB0D0000}"/>
    <cellStyle name="Total 2 2 3 3" xfId="3469" xr:uid="{00000000-0005-0000-0000-0000BC0D0000}"/>
    <cellStyle name="Total 2 2 3 4" xfId="3470" xr:uid="{00000000-0005-0000-0000-0000BD0D0000}"/>
    <cellStyle name="Total 2 2 3 5" xfId="3471" xr:uid="{00000000-0005-0000-0000-0000BE0D0000}"/>
    <cellStyle name="Total 2 2 4" xfId="3472" xr:uid="{00000000-0005-0000-0000-0000BF0D0000}"/>
    <cellStyle name="Total 2 2 4 2" xfId="3473" xr:uid="{00000000-0005-0000-0000-0000C00D0000}"/>
    <cellStyle name="Total 2 2 4 3" xfId="3474" xr:uid="{00000000-0005-0000-0000-0000C10D0000}"/>
    <cellStyle name="Total 2 2 4 4" xfId="3475" xr:uid="{00000000-0005-0000-0000-0000C20D0000}"/>
    <cellStyle name="Total 2 2 4 5" xfId="3476" xr:uid="{00000000-0005-0000-0000-0000C30D0000}"/>
    <cellStyle name="Total 2 2 5" xfId="3477" xr:uid="{00000000-0005-0000-0000-0000C40D0000}"/>
    <cellStyle name="Total 2 2 5 2" xfId="3478" xr:uid="{00000000-0005-0000-0000-0000C50D0000}"/>
    <cellStyle name="Total 2 2 5 3" xfId="3479" xr:uid="{00000000-0005-0000-0000-0000C60D0000}"/>
    <cellStyle name="Total 2 2 5 4" xfId="3480" xr:uid="{00000000-0005-0000-0000-0000C70D0000}"/>
    <cellStyle name="Total 2 2 5 5" xfId="3481" xr:uid="{00000000-0005-0000-0000-0000C80D0000}"/>
    <cellStyle name="Total 2 2 6" xfId="3482" xr:uid="{00000000-0005-0000-0000-0000C90D0000}"/>
    <cellStyle name="Total 2 2 6 2" xfId="3483" xr:uid="{00000000-0005-0000-0000-0000CA0D0000}"/>
    <cellStyle name="Total 2 2 6 3" xfId="3484" xr:uid="{00000000-0005-0000-0000-0000CB0D0000}"/>
    <cellStyle name="Total 2 2 6 4" xfId="3485" xr:uid="{00000000-0005-0000-0000-0000CC0D0000}"/>
    <cellStyle name="Total 2 2 6 5" xfId="3486" xr:uid="{00000000-0005-0000-0000-0000CD0D0000}"/>
    <cellStyle name="Total 2 2 7" xfId="3487" xr:uid="{00000000-0005-0000-0000-0000CE0D0000}"/>
    <cellStyle name="Total 2 2 7 2" xfId="3488" xr:uid="{00000000-0005-0000-0000-0000CF0D0000}"/>
    <cellStyle name="Total 2 2 7 3" xfId="3489" xr:uid="{00000000-0005-0000-0000-0000D00D0000}"/>
    <cellStyle name="Total 2 2 7 4" xfId="3490" xr:uid="{00000000-0005-0000-0000-0000D10D0000}"/>
    <cellStyle name="Total 2 2 7 5" xfId="3491" xr:uid="{00000000-0005-0000-0000-0000D20D0000}"/>
    <cellStyle name="Total 2 2 8" xfId="3492" xr:uid="{00000000-0005-0000-0000-0000D30D0000}"/>
    <cellStyle name="Total 2 2 8 2" xfId="3493" xr:uid="{00000000-0005-0000-0000-0000D40D0000}"/>
    <cellStyle name="Total 2 2 8 3" xfId="3494" xr:uid="{00000000-0005-0000-0000-0000D50D0000}"/>
    <cellStyle name="Total 2 2 8 4" xfId="3495" xr:uid="{00000000-0005-0000-0000-0000D60D0000}"/>
    <cellStyle name="Total 2 2 8 5" xfId="3496" xr:uid="{00000000-0005-0000-0000-0000D70D0000}"/>
    <cellStyle name="Total 2 2 9" xfId="3497" xr:uid="{00000000-0005-0000-0000-0000D80D0000}"/>
    <cellStyle name="Total 2 2 9 2" xfId="3498" xr:uid="{00000000-0005-0000-0000-0000D90D0000}"/>
    <cellStyle name="Total 2 2 9 3" xfId="3499" xr:uid="{00000000-0005-0000-0000-0000DA0D0000}"/>
    <cellStyle name="Total 2 2 9 4" xfId="3500" xr:uid="{00000000-0005-0000-0000-0000DB0D0000}"/>
    <cellStyle name="Total 2 2 9 5" xfId="3501" xr:uid="{00000000-0005-0000-0000-0000DC0D0000}"/>
    <cellStyle name="Total 2 3" xfId="3502" xr:uid="{00000000-0005-0000-0000-0000DD0D0000}"/>
    <cellStyle name="Total 2 3 10" xfId="3503" xr:uid="{00000000-0005-0000-0000-0000DE0D0000}"/>
    <cellStyle name="Total 2 3 10 2" xfId="3504" xr:uid="{00000000-0005-0000-0000-0000DF0D0000}"/>
    <cellStyle name="Total 2 3 10 3" xfId="3505" xr:uid="{00000000-0005-0000-0000-0000E00D0000}"/>
    <cellStyle name="Total 2 3 10 4" xfId="3506" xr:uid="{00000000-0005-0000-0000-0000E10D0000}"/>
    <cellStyle name="Total 2 3 10 5" xfId="3507" xr:uid="{00000000-0005-0000-0000-0000E20D0000}"/>
    <cellStyle name="Total 2 3 11" xfId="3508" xr:uid="{00000000-0005-0000-0000-0000E30D0000}"/>
    <cellStyle name="Total 2 3 11 2" xfId="3509" xr:uid="{00000000-0005-0000-0000-0000E40D0000}"/>
    <cellStyle name="Total 2 3 11 3" xfId="3510" xr:uid="{00000000-0005-0000-0000-0000E50D0000}"/>
    <cellStyle name="Total 2 3 11 4" xfId="3511" xr:uid="{00000000-0005-0000-0000-0000E60D0000}"/>
    <cellStyle name="Total 2 3 11 5" xfId="3512" xr:uid="{00000000-0005-0000-0000-0000E70D0000}"/>
    <cellStyle name="Total 2 3 12" xfId="3513" xr:uid="{00000000-0005-0000-0000-0000E80D0000}"/>
    <cellStyle name="Total 2 3 12 2" xfId="3514" xr:uid="{00000000-0005-0000-0000-0000E90D0000}"/>
    <cellStyle name="Total 2 3 12 3" xfId="3515" xr:uid="{00000000-0005-0000-0000-0000EA0D0000}"/>
    <cellStyle name="Total 2 3 12 4" xfId="3516" xr:uid="{00000000-0005-0000-0000-0000EB0D0000}"/>
    <cellStyle name="Total 2 3 12 5" xfId="3517" xr:uid="{00000000-0005-0000-0000-0000EC0D0000}"/>
    <cellStyle name="Total 2 3 13" xfId="3518" xr:uid="{00000000-0005-0000-0000-0000ED0D0000}"/>
    <cellStyle name="Total 2 3 13 2" xfId="3519" xr:uid="{00000000-0005-0000-0000-0000EE0D0000}"/>
    <cellStyle name="Total 2 3 13 3" xfId="3520" xr:uid="{00000000-0005-0000-0000-0000EF0D0000}"/>
    <cellStyle name="Total 2 3 13 4" xfId="3521" xr:uid="{00000000-0005-0000-0000-0000F00D0000}"/>
    <cellStyle name="Total 2 3 13 5" xfId="3522" xr:uid="{00000000-0005-0000-0000-0000F10D0000}"/>
    <cellStyle name="Total 2 3 14" xfId="3523" xr:uid="{00000000-0005-0000-0000-0000F20D0000}"/>
    <cellStyle name="Total 2 3 14 2" xfId="3524" xr:uid="{00000000-0005-0000-0000-0000F30D0000}"/>
    <cellStyle name="Total 2 3 14 3" xfId="3525" xr:uid="{00000000-0005-0000-0000-0000F40D0000}"/>
    <cellStyle name="Total 2 3 14 4" xfId="3526" xr:uid="{00000000-0005-0000-0000-0000F50D0000}"/>
    <cellStyle name="Total 2 3 14 5" xfId="3527" xr:uid="{00000000-0005-0000-0000-0000F60D0000}"/>
    <cellStyle name="Total 2 3 15" xfId="3528" xr:uid="{00000000-0005-0000-0000-0000F70D0000}"/>
    <cellStyle name="Total 2 3 15 2" xfId="3529" xr:uid="{00000000-0005-0000-0000-0000F80D0000}"/>
    <cellStyle name="Total 2 3 15 3" xfId="3530" xr:uid="{00000000-0005-0000-0000-0000F90D0000}"/>
    <cellStyle name="Total 2 3 15 4" xfId="3531" xr:uid="{00000000-0005-0000-0000-0000FA0D0000}"/>
    <cellStyle name="Total 2 3 15 5" xfId="3532" xr:uid="{00000000-0005-0000-0000-0000FB0D0000}"/>
    <cellStyle name="Total 2 3 16" xfId="3533" xr:uid="{00000000-0005-0000-0000-0000FC0D0000}"/>
    <cellStyle name="Total 2 3 16 2" xfId="3534" xr:uid="{00000000-0005-0000-0000-0000FD0D0000}"/>
    <cellStyle name="Total 2 3 16 3" xfId="3535" xr:uid="{00000000-0005-0000-0000-0000FE0D0000}"/>
    <cellStyle name="Total 2 3 16 4" xfId="3536" xr:uid="{00000000-0005-0000-0000-0000FF0D0000}"/>
    <cellStyle name="Total 2 3 16 5" xfId="3537" xr:uid="{00000000-0005-0000-0000-0000000E0000}"/>
    <cellStyle name="Total 2 3 17" xfId="3538" xr:uid="{00000000-0005-0000-0000-0000010E0000}"/>
    <cellStyle name="Total 2 3 17 2" xfId="3539" xr:uid="{00000000-0005-0000-0000-0000020E0000}"/>
    <cellStyle name="Total 2 3 17 3" xfId="3540" xr:uid="{00000000-0005-0000-0000-0000030E0000}"/>
    <cellStyle name="Total 2 3 17 4" xfId="3541" xr:uid="{00000000-0005-0000-0000-0000040E0000}"/>
    <cellStyle name="Total 2 3 18" xfId="3542" xr:uid="{00000000-0005-0000-0000-0000050E0000}"/>
    <cellStyle name="Total 2 3 18 2" xfId="3543" xr:uid="{00000000-0005-0000-0000-0000060E0000}"/>
    <cellStyle name="Total 2 3 18 3" xfId="3544" xr:uid="{00000000-0005-0000-0000-0000070E0000}"/>
    <cellStyle name="Total 2 3 18 4" xfId="3545" xr:uid="{00000000-0005-0000-0000-0000080E0000}"/>
    <cellStyle name="Total 2 3 19" xfId="3546" xr:uid="{00000000-0005-0000-0000-0000090E0000}"/>
    <cellStyle name="Total 2 3 19 2" xfId="3547" xr:uid="{00000000-0005-0000-0000-00000A0E0000}"/>
    <cellStyle name="Total 2 3 19 3" xfId="3548" xr:uid="{00000000-0005-0000-0000-00000B0E0000}"/>
    <cellStyle name="Total 2 3 19 4" xfId="3549" xr:uid="{00000000-0005-0000-0000-00000C0E0000}"/>
    <cellStyle name="Total 2 3 2" xfId="3550" xr:uid="{00000000-0005-0000-0000-00000D0E0000}"/>
    <cellStyle name="Total 2 3 2 2" xfId="3551" xr:uid="{00000000-0005-0000-0000-00000E0E0000}"/>
    <cellStyle name="Total 2 3 2 3" xfId="3552" xr:uid="{00000000-0005-0000-0000-00000F0E0000}"/>
    <cellStyle name="Total 2 3 2 4" xfId="3553" xr:uid="{00000000-0005-0000-0000-0000100E0000}"/>
    <cellStyle name="Total 2 3 2 5" xfId="3554" xr:uid="{00000000-0005-0000-0000-0000110E0000}"/>
    <cellStyle name="Total 2 3 20" xfId="3555" xr:uid="{00000000-0005-0000-0000-0000120E0000}"/>
    <cellStyle name="Total 2 3 20 2" xfId="3556" xr:uid="{00000000-0005-0000-0000-0000130E0000}"/>
    <cellStyle name="Total 2 3 20 3" xfId="3557" xr:uid="{00000000-0005-0000-0000-0000140E0000}"/>
    <cellStyle name="Total 2 3 20 4" xfId="3558" xr:uid="{00000000-0005-0000-0000-0000150E0000}"/>
    <cellStyle name="Total 2 3 21" xfId="3559" xr:uid="{00000000-0005-0000-0000-0000160E0000}"/>
    <cellStyle name="Total 2 3 3" xfId="3560" xr:uid="{00000000-0005-0000-0000-0000170E0000}"/>
    <cellStyle name="Total 2 3 3 2" xfId="3561" xr:uid="{00000000-0005-0000-0000-0000180E0000}"/>
    <cellStyle name="Total 2 3 3 3" xfId="3562" xr:uid="{00000000-0005-0000-0000-0000190E0000}"/>
    <cellStyle name="Total 2 3 3 4" xfId="3563" xr:uid="{00000000-0005-0000-0000-00001A0E0000}"/>
    <cellStyle name="Total 2 3 3 5" xfId="3564" xr:uid="{00000000-0005-0000-0000-00001B0E0000}"/>
    <cellStyle name="Total 2 3 4" xfId="3565" xr:uid="{00000000-0005-0000-0000-00001C0E0000}"/>
    <cellStyle name="Total 2 3 4 2" xfId="3566" xr:uid="{00000000-0005-0000-0000-00001D0E0000}"/>
    <cellStyle name="Total 2 3 4 3" xfId="3567" xr:uid="{00000000-0005-0000-0000-00001E0E0000}"/>
    <cellStyle name="Total 2 3 4 4" xfId="3568" xr:uid="{00000000-0005-0000-0000-00001F0E0000}"/>
    <cellStyle name="Total 2 3 4 5" xfId="3569" xr:uid="{00000000-0005-0000-0000-0000200E0000}"/>
    <cellStyle name="Total 2 3 5" xfId="3570" xr:uid="{00000000-0005-0000-0000-0000210E0000}"/>
    <cellStyle name="Total 2 3 5 2" xfId="3571" xr:uid="{00000000-0005-0000-0000-0000220E0000}"/>
    <cellStyle name="Total 2 3 5 3" xfId="3572" xr:uid="{00000000-0005-0000-0000-0000230E0000}"/>
    <cellStyle name="Total 2 3 5 4" xfId="3573" xr:uid="{00000000-0005-0000-0000-0000240E0000}"/>
    <cellStyle name="Total 2 3 5 5" xfId="3574" xr:uid="{00000000-0005-0000-0000-0000250E0000}"/>
    <cellStyle name="Total 2 3 6" xfId="3575" xr:uid="{00000000-0005-0000-0000-0000260E0000}"/>
    <cellStyle name="Total 2 3 6 2" xfId="3576" xr:uid="{00000000-0005-0000-0000-0000270E0000}"/>
    <cellStyle name="Total 2 3 6 3" xfId="3577" xr:uid="{00000000-0005-0000-0000-0000280E0000}"/>
    <cellStyle name="Total 2 3 6 4" xfId="3578" xr:uid="{00000000-0005-0000-0000-0000290E0000}"/>
    <cellStyle name="Total 2 3 6 5" xfId="3579" xr:uid="{00000000-0005-0000-0000-00002A0E0000}"/>
    <cellStyle name="Total 2 3 7" xfId="3580" xr:uid="{00000000-0005-0000-0000-00002B0E0000}"/>
    <cellStyle name="Total 2 3 7 2" xfId="3581" xr:uid="{00000000-0005-0000-0000-00002C0E0000}"/>
    <cellStyle name="Total 2 3 7 3" xfId="3582" xr:uid="{00000000-0005-0000-0000-00002D0E0000}"/>
    <cellStyle name="Total 2 3 7 4" xfId="3583" xr:uid="{00000000-0005-0000-0000-00002E0E0000}"/>
    <cellStyle name="Total 2 3 7 5" xfId="3584" xr:uid="{00000000-0005-0000-0000-00002F0E0000}"/>
    <cellStyle name="Total 2 3 8" xfId="3585" xr:uid="{00000000-0005-0000-0000-0000300E0000}"/>
    <cellStyle name="Total 2 3 8 2" xfId="3586" xr:uid="{00000000-0005-0000-0000-0000310E0000}"/>
    <cellStyle name="Total 2 3 8 3" xfId="3587" xr:uid="{00000000-0005-0000-0000-0000320E0000}"/>
    <cellStyle name="Total 2 3 8 4" xfId="3588" xr:uid="{00000000-0005-0000-0000-0000330E0000}"/>
    <cellStyle name="Total 2 3 8 5" xfId="3589" xr:uid="{00000000-0005-0000-0000-0000340E0000}"/>
    <cellStyle name="Total 2 3 9" xfId="3590" xr:uid="{00000000-0005-0000-0000-0000350E0000}"/>
    <cellStyle name="Total 2 3 9 2" xfId="3591" xr:uid="{00000000-0005-0000-0000-0000360E0000}"/>
    <cellStyle name="Total 2 3 9 3" xfId="3592" xr:uid="{00000000-0005-0000-0000-0000370E0000}"/>
    <cellStyle name="Total 2 3 9 4" xfId="3593" xr:uid="{00000000-0005-0000-0000-0000380E0000}"/>
    <cellStyle name="Total 2 3 9 5" xfId="3594" xr:uid="{00000000-0005-0000-0000-0000390E0000}"/>
    <cellStyle name="Total 2 4" xfId="3595" xr:uid="{00000000-0005-0000-0000-00003A0E0000}"/>
    <cellStyle name="Total 2 4 10" xfId="3596" xr:uid="{00000000-0005-0000-0000-00003B0E0000}"/>
    <cellStyle name="Total 2 4 10 2" xfId="3597" xr:uid="{00000000-0005-0000-0000-00003C0E0000}"/>
    <cellStyle name="Total 2 4 10 3" xfId="3598" xr:uid="{00000000-0005-0000-0000-00003D0E0000}"/>
    <cellStyle name="Total 2 4 10 4" xfId="3599" xr:uid="{00000000-0005-0000-0000-00003E0E0000}"/>
    <cellStyle name="Total 2 4 10 5" xfId="3600" xr:uid="{00000000-0005-0000-0000-00003F0E0000}"/>
    <cellStyle name="Total 2 4 11" xfId="3601" xr:uid="{00000000-0005-0000-0000-0000400E0000}"/>
    <cellStyle name="Total 2 4 11 2" xfId="3602" xr:uid="{00000000-0005-0000-0000-0000410E0000}"/>
    <cellStyle name="Total 2 4 11 3" xfId="3603" xr:uid="{00000000-0005-0000-0000-0000420E0000}"/>
    <cellStyle name="Total 2 4 11 4" xfId="3604" xr:uid="{00000000-0005-0000-0000-0000430E0000}"/>
    <cellStyle name="Total 2 4 11 5" xfId="3605" xr:uid="{00000000-0005-0000-0000-0000440E0000}"/>
    <cellStyle name="Total 2 4 12" xfId="3606" xr:uid="{00000000-0005-0000-0000-0000450E0000}"/>
    <cellStyle name="Total 2 4 12 2" xfId="3607" xr:uid="{00000000-0005-0000-0000-0000460E0000}"/>
    <cellStyle name="Total 2 4 12 3" xfId="3608" xr:uid="{00000000-0005-0000-0000-0000470E0000}"/>
    <cellStyle name="Total 2 4 12 4" xfId="3609" xr:uid="{00000000-0005-0000-0000-0000480E0000}"/>
    <cellStyle name="Total 2 4 12 5" xfId="3610" xr:uid="{00000000-0005-0000-0000-0000490E0000}"/>
    <cellStyle name="Total 2 4 13" xfId="3611" xr:uid="{00000000-0005-0000-0000-00004A0E0000}"/>
    <cellStyle name="Total 2 4 13 2" xfId="3612" xr:uid="{00000000-0005-0000-0000-00004B0E0000}"/>
    <cellStyle name="Total 2 4 13 3" xfId="3613" xr:uid="{00000000-0005-0000-0000-00004C0E0000}"/>
    <cellStyle name="Total 2 4 13 4" xfId="3614" xr:uid="{00000000-0005-0000-0000-00004D0E0000}"/>
    <cellStyle name="Total 2 4 13 5" xfId="3615" xr:uid="{00000000-0005-0000-0000-00004E0E0000}"/>
    <cellStyle name="Total 2 4 14" xfId="3616" xr:uid="{00000000-0005-0000-0000-00004F0E0000}"/>
    <cellStyle name="Total 2 4 14 2" xfId="3617" xr:uid="{00000000-0005-0000-0000-0000500E0000}"/>
    <cellStyle name="Total 2 4 14 3" xfId="3618" xr:uid="{00000000-0005-0000-0000-0000510E0000}"/>
    <cellStyle name="Total 2 4 14 4" xfId="3619" xr:uid="{00000000-0005-0000-0000-0000520E0000}"/>
    <cellStyle name="Total 2 4 14 5" xfId="3620" xr:uid="{00000000-0005-0000-0000-0000530E0000}"/>
    <cellStyle name="Total 2 4 15" xfId="3621" xr:uid="{00000000-0005-0000-0000-0000540E0000}"/>
    <cellStyle name="Total 2 4 15 2" xfId="3622" xr:uid="{00000000-0005-0000-0000-0000550E0000}"/>
    <cellStyle name="Total 2 4 15 3" xfId="3623" xr:uid="{00000000-0005-0000-0000-0000560E0000}"/>
    <cellStyle name="Total 2 4 15 4" xfId="3624" xr:uid="{00000000-0005-0000-0000-0000570E0000}"/>
    <cellStyle name="Total 2 4 15 5" xfId="3625" xr:uid="{00000000-0005-0000-0000-0000580E0000}"/>
    <cellStyle name="Total 2 4 16" xfId="3626" xr:uid="{00000000-0005-0000-0000-0000590E0000}"/>
    <cellStyle name="Total 2 4 16 2" xfId="3627" xr:uid="{00000000-0005-0000-0000-00005A0E0000}"/>
    <cellStyle name="Total 2 4 16 3" xfId="3628" xr:uid="{00000000-0005-0000-0000-00005B0E0000}"/>
    <cellStyle name="Total 2 4 16 4" xfId="3629" xr:uid="{00000000-0005-0000-0000-00005C0E0000}"/>
    <cellStyle name="Total 2 4 16 5" xfId="3630" xr:uid="{00000000-0005-0000-0000-00005D0E0000}"/>
    <cellStyle name="Total 2 4 17" xfId="3631" xr:uid="{00000000-0005-0000-0000-00005E0E0000}"/>
    <cellStyle name="Total 2 4 17 2" xfId="3632" xr:uid="{00000000-0005-0000-0000-00005F0E0000}"/>
    <cellStyle name="Total 2 4 17 3" xfId="3633" xr:uid="{00000000-0005-0000-0000-0000600E0000}"/>
    <cellStyle name="Total 2 4 17 4" xfId="3634" xr:uid="{00000000-0005-0000-0000-0000610E0000}"/>
    <cellStyle name="Total 2 4 18" xfId="3635" xr:uid="{00000000-0005-0000-0000-0000620E0000}"/>
    <cellStyle name="Total 2 4 18 2" xfId="3636" xr:uid="{00000000-0005-0000-0000-0000630E0000}"/>
    <cellStyle name="Total 2 4 18 3" xfId="3637" xr:uid="{00000000-0005-0000-0000-0000640E0000}"/>
    <cellStyle name="Total 2 4 18 4" xfId="3638" xr:uid="{00000000-0005-0000-0000-0000650E0000}"/>
    <cellStyle name="Total 2 4 19" xfId="3639" xr:uid="{00000000-0005-0000-0000-0000660E0000}"/>
    <cellStyle name="Total 2 4 19 2" xfId="3640" xr:uid="{00000000-0005-0000-0000-0000670E0000}"/>
    <cellStyle name="Total 2 4 19 3" xfId="3641" xr:uid="{00000000-0005-0000-0000-0000680E0000}"/>
    <cellStyle name="Total 2 4 19 4" xfId="3642" xr:uid="{00000000-0005-0000-0000-0000690E0000}"/>
    <cellStyle name="Total 2 4 2" xfId="3643" xr:uid="{00000000-0005-0000-0000-00006A0E0000}"/>
    <cellStyle name="Total 2 4 2 2" xfId="3644" xr:uid="{00000000-0005-0000-0000-00006B0E0000}"/>
    <cellStyle name="Total 2 4 2 3" xfId="3645" xr:uid="{00000000-0005-0000-0000-00006C0E0000}"/>
    <cellStyle name="Total 2 4 2 4" xfId="3646" xr:uid="{00000000-0005-0000-0000-00006D0E0000}"/>
    <cellStyle name="Total 2 4 2 5" xfId="3647" xr:uid="{00000000-0005-0000-0000-00006E0E0000}"/>
    <cellStyle name="Total 2 4 20" xfId="3648" xr:uid="{00000000-0005-0000-0000-00006F0E0000}"/>
    <cellStyle name="Total 2 4 20 2" xfId="3649" xr:uid="{00000000-0005-0000-0000-0000700E0000}"/>
    <cellStyle name="Total 2 4 20 3" xfId="3650" xr:uid="{00000000-0005-0000-0000-0000710E0000}"/>
    <cellStyle name="Total 2 4 20 4" xfId="3651" xr:uid="{00000000-0005-0000-0000-0000720E0000}"/>
    <cellStyle name="Total 2 4 21" xfId="3652" xr:uid="{00000000-0005-0000-0000-0000730E0000}"/>
    <cellStyle name="Total 2 4 3" xfId="3653" xr:uid="{00000000-0005-0000-0000-0000740E0000}"/>
    <cellStyle name="Total 2 4 3 2" xfId="3654" xr:uid="{00000000-0005-0000-0000-0000750E0000}"/>
    <cellStyle name="Total 2 4 3 3" xfId="3655" xr:uid="{00000000-0005-0000-0000-0000760E0000}"/>
    <cellStyle name="Total 2 4 3 4" xfId="3656" xr:uid="{00000000-0005-0000-0000-0000770E0000}"/>
    <cellStyle name="Total 2 4 3 5" xfId="3657" xr:uid="{00000000-0005-0000-0000-0000780E0000}"/>
    <cellStyle name="Total 2 4 4" xfId="3658" xr:uid="{00000000-0005-0000-0000-0000790E0000}"/>
    <cellStyle name="Total 2 4 4 2" xfId="3659" xr:uid="{00000000-0005-0000-0000-00007A0E0000}"/>
    <cellStyle name="Total 2 4 4 3" xfId="3660" xr:uid="{00000000-0005-0000-0000-00007B0E0000}"/>
    <cellStyle name="Total 2 4 4 4" xfId="3661" xr:uid="{00000000-0005-0000-0000-00007C0E0000}"/>
    <cellStyle name="Total 2 4 4 5" xfId="3662" xr:uid="{00000000-0005-0000-0000-00007D0E0000}"/>
    <cellStyle name="Total 2 4 5" xfId="3663" xr:uid="{00000000-0005-0000-0000-00007E0E0000}"/>
    <cellStyle name="Total 2 4 5 2" xfId="3664" xr:uid="{00000000-0005-0000-0000-00007F0E0000}"/>
    <cellStyle name="Total 2 4 5 3" xfId="3665" xr:uid="{00000000-0005-0000-0000-0000800E0000}"/>
    <cellStyle name="Total 2 4 5 4" xfId="3666" xr:uid="{00000000-0005-0000-0000-0000810E0000}"/>
    <cellStyle name="Total 2 4 5 5" xfId="3667" xr:uid="{00000000-0005-0000-0000-0000820E0000}"/>
    <cellStyle name="Total 2 4 6" xfId="3668" xr:uid="{00000000-0005-0000-0000-0000830E0000}"/>
    <cellStyle name="Total 2 4 6 2" xfId="3669" xr:uid="{00000000-0005-0000-0000-0000840E0000}"/>
    <cellStyle name="Total 2 4 6 3" xfId="3670" xr:uid="{00000000-0005-0000-0000-0000850E0000}"/>
    <cellStyle name="Total 2 4 6 4" xfId="3671" xr:uid="{00000000-0005-0000-0000-0000860E0000}"/>
    <cellStyle name="Total 2 4 6 5" xfId="3672" xr:uid="{00000000-0005-0000-0000-0000870E0000}"/>
    <cellStyle name="Total 2 4 7" xfId="3673" xr:uid="{00000000-0005-0000-0000-0000880E0000}"/>
    <cellStyle name="Total 2 4 7 2" xfId="3674" xr:uid="{00000000-0005-0000-0000-0000890E0000}"/>
    <cellStyle name="Total 2 4 7 3" xfId="3675" xr:uid="{00000000-0005-0000-0000-00008A0E0000}"/>
    <cellStyle name="Total 2 4 7 4" xfId="3676" xr:uid="{00000000-0005-0000-0000-00008B0E0000}"/>
    <cellStyle name="Total 2 4 7 5" xfId="3677" xr:uid="{00000000-0005-0000-0000-00008C0E0000}"/>
    <cellStyle name="Total 2 4 8" xfId="3678" xr:uid="{00000000-0005-0000-0000-00008D0E0000}"/>
    <cellStyle name="Total 2 4 8 2" xfId="3679" xr:uid="{00000000-0005-0000-0000-00008E0E0000}"/>
    <cellStyle name="Total 2 4 8 3" xfId="3680" xr:uid="{00000000-0005-0000-0000-00008F0E0000}"/>
    <cellStyle name="Total 2 4 8 4" xfId="3681" xr:uid="{00000000-0005-0000-0000-0000900E0000}"/>
    <cellStyle name="Total 2 4 8 5" xfId="3682" xr:uid="{00000000-0005-0000-0000-0000910E0000}"/>
    <cellStyle name="Total 2 4 9" xfId="3683" xr:uid="{00000000-0005-0000-0000-0000920E0000}"/>
    <cellStyle name="Total 2 4 9 2" xfId="3684" xr:uid="{00000000-0005-0000-0000-0000930E0000}"/>
    <cellStyle name="Total 2 4 9 3" xfId="3685" xr:uid="{00000000-0005-0000-0000-0000940E0000}"/>
    <cellStyle name="Total 2 4 9 4" xfId="3686" xr:uid="{00000000-0005-0000-0000-0000950E0000}"/>
    <cellStyle name="Total 2 4 9 5" xfId="3687" xr:uid="{00000000-0005-0000-0000-0000960E0000}"/>
    <cellStyle name="Total 2 5" xfId="3688" xr:uid="{00000000-0005-0000-0000-0000970E0000}"/>
    <cellStyle name="Total 2 5 10" xfId="3689" xr:uid="{00000000-0005-0000-0000-0000980E0000}"/>
    <cellStyle name="Total 2 5 10 2" xfId="3690" xr:uid="{00000000-0005-0000-0000-0000990E0000}"/>
    <cellStyle name="Total 2 5 10 3" xfId="3691" xr:uid="{00000000-0005-0000-0000-00009A0E0000}"/>
    <cellStyle name="Total 2 5 10 4" xfId="3692" xr:uid="{00000000-0005-0000-0000-00009B0E0000}"/>
    <cellStyle name="Total 2 5 10 5" xfId="3693" xr:uid="{00000000-0005-0000-0000-00009C0E0000}"/>
    <cellStyle name="Total 2 5 11" xfId="3694" xr:uid="{00000000-0005-0000-0000-00009D0E0000}"/>
    <cellStyle name="Total 2 5 11 2" xfId="3695" xr:uid="{00000000-0005-0000-0000-00009E0E0000}"/>
    <cellStyle name="Total 2 5 11 3" xfId="3696" xr:uid="{00000000-0005-0000-0000-00009F0E0000}"/>
    <cellStyle name="Total 2 5 11 4" xfId="3697" xr:uid="{00000000-0005-0000-0000-0000A00E0000}"/>
    <cellStyle name="Total 2 5 11 5" xfId="3698" xr:uid="{00000000-0005-0000-0000-0000A10E0000}"/>
    <cellStyle name="Total 2 5 12" xfId="3699" xr:uid="{00000000-0005-0000-0000-0000A20E0000}"/>
    <cellStyle name="Total 2 5 12 2" xfId="3700" xr:uid="{00000000-0005-0000-0000-0000A30E0000}"/>
    <cellStyle name="Total 2 5 12 3" xfId="3701" xr:uid="{00000000-0005-0000-0000-0000A40E0000}"/>
    <cellStyle name="Total 2 5 12 4" xfId="3702" xr:uid="{00000000-0005-0000-0000-0000A50E0000}"/>
    <cellStyle name="Total 2 5 12 5" xfId="3703" xr:uid="{00000000-0005-0000-0000-0000A60E0000}"/>
    <cellStyle name="Total 2 5 13" xfId="3704" xr:uid="{00000000-0005-0000-0000-0000A70E0000}"/>
    <cellStyle name="Total 2 5 13 2" xfId="3705" xr:uid="{00000000-0005-0000-0000-0000A80E0000}"/>
    <cellStyle name="Total 2 5 13 3" xfId="3706" xr:uid="{00000000-0005-0000-0000-0000A90E0000}"/>
    <cellStyle name="Total 2 5 13 4" xfId="3707" xr:uid="{00000000-0005-0000-0000-0000AA0E0000}"/>
    <cellStyle name="Total 2 5 13 5" xfId="3708" xr:uid="{00000000-0005-0000-0000-0000AB0E0000}"/>
    <cellStyle name="Total 2 5 14" xfId="3709" xr:uid="{00000000-0005-0000-0000-0000AC0E0000}"/>
    <cellStyle name="Total 2 5 14 2" xfId="3710" xr:uid="{00000000-0005-0000-0000-0000AD0E0000}"/>
    <cellStyle name="Total 2 5 14 3" xfId="3711" xr:uid="{00000000-0005-0000-0000-0000AE0E0000}"/>
    <cellStyle name="Total 2 5 14 4" xfId="3712" xr:uid="{00000000-0005-0000-0000-0000AF0E0000}"/>
    <cellStyle name="Total 2 5 14 5" xfId="3713" xr:uid="{00000000-0005-0000-0000-0000B00E0000}"/>
    <cellStyle name="Total 2 5 15" xfId="3714" xr:uid="{00000000-0005-0000-0000-0000B10E0000}"/>
    <cellStyle name="Total 2 5 15 2" xfId="3715" xr:uid="{00000000-0005-0000-0000-0000B20E0000}"/>
    <cellStyle name="Total 2 5 15 3" xfId="3716" xr:uid="{00000000-0005-0000-0000-0000B30E0000}"/>
    <cellStyle name="Total 2 5 15 4" xfId="3717" xr:uid="{00000000-0005-0000-0000-0000B40E0000}"/>
    <cellStyle name="Total 2 5 15 5" xfId="3718" xr:uid="{00000000-0005-0000-0000-0000B50E0000}"/>
    <cellStyle name="Total 2 5 16" xfId="3719" xr:uid="{00000000-0005-0000-0000-0000B60E0000}"/>
    <cellStyle name="Total 2 5 16 2" xfId="3720" xr:uid="{00000000-0005-0000-0000-0000B70E0000}"/>
    <cellStyle name="Total 2 5 16 3" xfId="3721" xr:uid="{00000000-0005-0000-0000-0000B80E0000}"/>
    <cellStyle name="Total 2 5 16 4" xfId="3722" xr:uid="{00000000-0005-0000-0000-0000B90E0000}"/>
    <cellStyle name="Total 2 5 16 5" xfId="3723" xr:uid="{00000000-0005-0000-0000-0000BA0E0000}"/>
    <cellStyle name="Total 2 5 17" xfId="3724" xr:uid="{00000000-0005-0000-0000-0000BB0E0000}"/>
    <cellStyle name="Total 2 5 17 2" xfId="3725" xr:uid="{00000000-0005-0000-0000-0000BC0E0000}"/>
    <cellStyle name="Total 2 5 17 3" xfId="3726" xr:uid="{00000000-0005-0000-0000-0000BD0E0000}"/>
    <cellStyle name="Total 2 5 17 4" xfId="3727" xr:uid="{00000000-0005-0000-0000-0000BE0E0000}"/>
    <cellStyle name="Total 2 5 18" xfId="3728" xr:uid="{00000000-0005-0000-0000-0000BF0E0000}"/>
    <cellStyle name="Total 2 5 18 2" xfId="3729" xr:uid="{00000000-0005-0000-0000-0000C00E0000}"/>
    <cellStyle name="Total 2 5 18 3" xfId="3730" xr:uid="{00000000-0005-0000-0000-0000C10E0000}"/>
    <cellStyle name="Total 2 5 18 4" xfId="3731" xr:uid="{00000000-0005-0000-0000-0000C20E0000}"/>
    <cellStyle name="Total 2 5 19" xfId="3732" xr:uid="{00000000-0005-0000-0000-0000C30E0000}"/>
    <cellStyle name="Total 2 5 19 2" xfId="3733" xr:uid="{00000000-0005-0000-0000-0000C40E0000}"/>
    <cellStyle name="Total 2 5 19 3" xfId="3734" xr:uid="{00000000-0005-0000-0000-0000C50E0000}"/>
    <cellStyle name="Total 2 5 19 4" xfId="3735" xr:uid="{00000000-0005-0000-0000-0000C60E0000}"/>
    <cellStyle name="Total 2 5 2" xfId="3736" xr:uid="{00000000-0005-0000-0000-0000C70E0000}"/>
    <cellStyle name="Total 2 5 2 2" xfId="3737" xr:uid="{00000000-0005-0000-0000-0000C80E0000}"/>
    <cellStyle name="Total 2 5 2 3" xfId="3738" xr:uid="{00000000-0005-0000-0000-0000C90E0000}"/>
    <cellStyle name="Total 2 5 2 4" xfId="3739" xr:uid="{00000000-0005-0000-0000-0000CA0E0000}"/>
    <cellStyle name="Total 2 5 2 5" xfId="3740" xr:uid="{00000000-0005-0000-0000-0000CB0E0000}"/>
    <cellStyle name="Total 2 5 20" xfId="3741" xr:uid="{00000000-0005-0000-0000-0000CC0E0000}"/>
    <cellStyle name="Total 2 5 20 2" xfId="3742" xr:uid="{00000000-0005-0000-0000-0000CD0E0000}"/>
    <cellStyle name="Total 2 5 20 3" xfId="3743" xr:uid="{00000000-0005-0000-0000-0000CE0E0000}"/>
    <cellStyle name="Total 2 5 20 4" xfId="3744" xr:uid="{00000000-0005-0000-0000-0000CF0E0000}"/>
    <cellStyle name="Total 2 5 21" xfId="3745" xr:uid="{00000000-0005-0000-0000-0000D00E0000}"/>
    <cellStyle name="Total 2 5 3" xfId="3746" xr:uid="{00000000-0005-0000-0000-0000D10E0000}"/>
    <cellStyle name="Total 2 5 3 2" xfId="3747" xr:uid="{00000000-0005-0000-0000-0000D20E0000}"/>
    <cellStyle name="Total 2 5 3 3" xfId="3748" xr:uid="{00000000-0005-0000-0000-0000D30E0000}"/>
    <cellStyle name="Total 2 5 3 4" xfId="3749" xr:uid="{00000000-0005-0000-0000-0000D40E0000}"/>
    <cellStyle name="Total 2 5 3 5" xfId="3750" xr:uid="{00000000-0005-0000-0000-0000D50E0000}"/>
    <cellStyle name="Total 2 5 4" xfId="3751" xr:uid="{00000000-0005-0000-0000-0000D60E0000}"/>
    <cellStyle name="Total 2 5 4 2" xfId="3752" xr:uid="{00000000-0005-0000-0000-0000D70E0000}"/>
    <cellStyle name="Total 2 5 4 3" xfId="3753" xr:uid="{00000000-0005-0000-0000-0000D80E0000}"/>
    <cellStyle name="Total 2 5 4 4" xfId="3754" xr:uid="{00000000-0005-0000-0000-0000D90E0000}"/>
    <cellStyle name="Total 2 5 4 5" xfId="3755" xr:uid="{00000000-0005-0000-0000-0000DA0E0000}"/>
    <cellStyle name="Total 2 5 5" xfId="3756" xr:uid="{00000000-0005-0000-0000-0000DB0E0000}"/>
    <cellStyle name="Total 2 5 5 2" xfId="3757" xr:uid="{00000000-0005-0000-0000-0000DC0E0000}"/>
    <cellStyle name="Total 2 5 5 3" xfId="3758" xr:uid="{00000000-0005-0000-0000-0000DD0E0000}"/>
    <cellStyle name="Total 2 5 5 4" xfId="3759" xr:uid="{00000000-0005-0000-0000-0000DE0E0000}"/>
    <cellStyle name="Total 2 5 5 5" xfId="3760" xr:uid="{00000000-0005-0000-0000-0000DF0E0000}"/>
    <cellStyle name="Total 2 5 6" xfId="3761" xr:uid="{00000000-0005-0000-0000-0000E00E0000}"/>
    <cellStyle name="Total 2 5 6 2" xfId="3762" xr:uid="{00000000-0005-0000-0000-0000E10E0000}"/>
    <cellStyle name="Total 2 5 6 3" xfId="3763" xr:uid="{00000000-0005-0000-0000-0000E20E0000}"/>
    <cellStyle name="Total 2 5 6 4" xfId="3764" xr:uid="{00000000-0005-0000-0000-0000E30E0000}"/>
    <cellStyle name="Total 2 5 6 5" xfId="3765" xr:uid="{00000000-0005-0000-0000-0000E40E0000}"/>
    <cellStyle name="Total 2 5 7" xfId="3766" xr:uid="{00000000-0005-0000-0000-0000E50E0000}"/>
    <cellStyle name="Total 2 5 7 2" xfId="3767" xr:uid="{00000000-0005-0000-0000-0000E60E0000}"/>
    <cellStyle name="Total 2 5 7 3" xfId="3768" xr:uid="{00000000-0005-0000-0000-0000E70E0000}"/>
    <cellStyle name="Total 2 5 7 4" xfId="3769" xr:uid="{00000000-0005-0000-0000-0000E80E0000}"/>
    <cellStyle name="Total 2 5 7 5" xfId="3770" xr:uid="{00000000-0005-0000-0000-0000E90E0000}"/>
    <cellStyle name="Total 2 5 8" xfId="3771" xr:uid="{00000000-0005-0000-0000-0000EA0E0000}"/>
    <cellStyle name="Total 2 5 8 2" xfId="3772" xr:uid="{00000000-0005-0000-0000-0000EB0E0000}"/>
    <cellStyle name="Total 2 5 8 3" xfId="3773" xr:uid="{00000000-0005-0000-0000-0000EC0E0000}"/>
    <cellStyle name="Total 2 5 8 4" xfId="3774" xr:uid="{00000000-0005-0000-0000-0000ED0E0000}"/>
    <cellStyle name="Total 2 5 8 5" xfId="3775" xr:uid="{00000000-0005-0000-0000-0000EE0E0000}"/>
    <cellStyle name="Total 2 5 9" xfId="3776" xr:uid="{00000000-0005-0000-0000-0000EF0E0000}"/>
    <cellStyle name="Total 2 5 9 2" xfId="3777" xr:uid="{00000000-0005-0000-0000-0000F00E0000}"/>
    <cellStyle name="Total 2 5 9 3" xfId="3778" xr:uid="{00000000-0005-0000-0000-0000F10E0000}"/>
    <cellStyle name="Total 2 5 9 4" xfId="3779" xr:uid="{00000000-0005-0000-0000-0000F20E0000}"/>
    <cellStyle name="Total 2 5 9 5" xfId="3780" xr:uid="{00000000-0005-0000-0000-0000F30E0000}"/>
    <cellStyle name="Total 2 6" xfId="3781" xr:uid="{00000000-0005-0000-0000-0000F40E0000}"/>
    <cellStyle name="Total 2 6 10" xfId="3782" xr:uid="{00000000-0005-0000-0000-0000F50E0000}"/>
    <cellStyle name="Total 2 6 10 2" xfId="3783" xr:uid="{00000000-0005-0000-0000-0000F60E0000}"/>
    <cellStyle name="Total 2 6 10 3" xfId="3784" xr:uid="{00000000-0005-0000-0000-0000F70E0000}"/>
    <cellStyle name="Total 2 6 10 4" xfId="3785" xr:uid="{00000000-0005-0000-0000-0000F80E0000}"/>
    <cellStyle name="Total 2 6 10 5" xfId="3786" xr:uid="{00000000-0005-0000-0000-0000F90E0000}"/>
    <cellStyle name="Total 2 6 11" xfId="3787" xr:uid="{00000000-0005-0000-0000-0000FA0E0000}"/>
    <cellStyle name="Total 2 6 11 2" xfId="3788" xr:uid="{00000000-0005-0000-0000-0000FB0E0000}"/>
    <cellStyle name="Total 2 6 11 3" xfId="3789" xr:uid="{00000000-0005-0000-0000-0000FC0E0000}"/>
    <cellStyle name="Total 2 6 11 4" xfId="3790" xr:uid="{00000000-0005-0000-0000-0000FD0E0000}"/>
    <cellStyle name="Total 2 6 11 5" xfId="3791" xr:uid="{00000000-0005-0000-0000-0000FE0E0000}"/>
    <cellStyle name="Total 2 6 12" xfId="3792" xr:uid="{00000000-0005-0000-0000-0000FF0E0000}"/>
    <cellStyle name="Total 2 6 12 2" xfId="3793" xr:uid="{00000000-0005-0000-0000-0000000F0000}"/>
    <cellStyle name="Total 2 6 12 3" xfId="3794" xr:uid="{00000000-0005-0000-0000-0000010F0000}"/>
    <cellStyle name="Total 2 6 12 4" xfId="3795" xr:uid="{00000000-0005-0000-0000-0000020F0000}"/>
    <cellStyle name="Total 2 6 12 5" xfId="3796" xr:uid="{00000000-0005-0000-0000-0000030F0000}"/>
    <cellStyle name="Total 2 6 13" xfId="3797" xr:uid="{00000000-0005-0000-0000-0000040F0000}"/>
    <cellStyle name="Total 2 6 13 2" xfId="3798" xr:uid="{00000000-0005-0000-0000-0000050F0000}"/>
    <cellStyle name="Total 2 6 13 3" xfId="3799" xr:uid="{00000000-0005-0000-0000-0000060F0000}"/>
    <cellStyle name="Total 2 6 13 4" xfId="3800" xr:uid="{00000000-0005-0000-0000-0000070F0000}"/>
    <cellStyle name="Total 2 6 13 5" xfId="3801" xr:uid="{00000000-0005-0000-0000-0000080F0000}"/>
    <cellStyle name="Total 2 6 14" xfId="3802" xr:uid="{00000000-0005-0000-0000-0000090F0000}"/>
    <cellStyle name="Total 2 6 14 2" xfId="3803" xr:uid="{00000000-0005-0000-0000-00000A0F0000}"/>
    <cellStyle name="Total 2 6 14 3" xfId="3804" xr:uid="{00000000-0005-0000-0000-00000B0F0000}"/>
    <cellStyle name="Total 2 6 14 4" xfId="3805" xr:uid="{00000000-0005-0000-0000-00000C0F0000}"/>
    <cellStyle name="Total 2 6 14 5" xfId="3806" xr:uid="{00000000-0005-0000-0000-00000D0F0000}"/>
    <cellStyle name="Total 2 6 15" xfId="3807" xr:uid="{00000000-0005-0000-0000-00000E0F0000}"/>
    <cellStyle name="Total 2 6 15 2" xfId="3808" xr:uid="{00000000-0005-0000-0000-00000F0F0000}"/>
    <cellStyle name="Total 2 6 15 3" xfId="3809" xr:uid="{00000000-0005-0000-0000-0000100F0000}"/>
    <cellStyle name="Total 2 6 15 4" xfId="3810" xr:uid="{00000000-0005-0000-0000-0000110F0000}"/>
    <cellStyle name="Total 2 6 15 5" xfId="3811" xr:uid="{00000000-0005-0000-0000-0000120F0000}"/>
    <cellStyle name="Total 2 6 16" xfId="3812" xr:uid="{00000000-0005-0000-0000-0000130F0000}"/>
    <cellStyle name="Total 2 6 16 2" xfId="3813" xr:uid="{00000000-0005-0000-0000-0000140F0000}"/>
    <cellStyle name="Total 2 6 16 3" xfId="3814" xr:uid="{00000000-0005-0000-0000-0000150F0000}"/>
    <cellStyle name="Total 2 6 16 4" xfId="3815" xr:uid="{00000000-0005-0000-0000-0000160F0000}"/>
    <cellStyle name="Total 2 6 16 5" xfId="3816" xr:uid="{00000000-0005-0000-0000-0000170F0000}"/>
    <cellStyle name="Total 2 6 17" xfId="3817" xr:uid="{00000000-0005-0000-0000-0000180F0000}"/>
    <cellStyle name="Total 2 6 17 2" xfId="3818" xr:uid="{00000000-0005-0000-0000-0000190F0000}"/>
    <cellStyle name="Total 2 6 17 3" xfId="3819" xr:uid="{00000000-0005-0000-0000-00001A0F0000}"/>
    <cellStyle name="Total 2 6 17 4" xfId="3820" xr:uid="{00000000-0005-0000-0000-00001B0F0000}"/>
    <cellStyle name="Total 2 6 17 5" xfId="3821" xr:uid="{00000000-0005-0000-0000-00001C0F0000}"/>
    <cellStyle name="Total 2 6 18" xfId="3822" xr:uid="{00000000-0005-0000-0000-00001D0F0000}"/>
    <cellStyle name="Total 2 6 18 2" xfId="3823" xr:uid="{00000000-0005-0000-0000-00001E0F0000}"/>
    <cellStyle name="Total 2 6 18 3" xfId="3824" xr:uid="{00000000-0005-0000-0000-00001F0F0000}"/>
    <cellStyle name="Total 2 6 18 4" xfId="3825" xr:uid="{00000000-0005-0000-0000-0000200F0000}"/>
    <cellStyle name="Total 2 6 18 5" xfId="3826" xr:uid="{00000000-0005-0000-0000-0000210F0000}"/>
    <cellStyle name="Total 2 6 19" xfId="3827" xr:uid="{00000000-0005-0000-0000-0000220F0000}"/>
    <cellStyle name="Total 2 6 19 2" xfId="3828" xr:uid="{00000000-0005-0000-0000-0000230F0000}"/>
    <cellStyle name="Total 2 6 19 3" xfId="3829" xr:uid="{00000000-0005-0000-0000-0000240F0000}"/>
    <cellStyle name="Total 2 6 19 4" xfId="3830" xr:uid="{00000000-0005-0000-0000-0000250F0000}"/>
    <cellStyle name="Total 2 6 19 5" xfId="3831" xr:uid="{00000000-0005-0000-0000-0000260F0000}"/>
    <cellStyle name="Total 2 6 2" xfId="3832" xr:uid="{00000000-0005-0000-0000-0000270F0000}"/>
    <cellStyle name="Total 2 6 2 2" xfId="3833" xr:uid="{00000000-0005-0000-0000-0000280F0000}"/>
    <cellStyle name="Total 2 6 2 3" xfId="3834" xr:uid="{00000000-0005-0000-0000-0000290F0000}"/>
    <cellStyle name="Total 2 6 2 4" xfId="3835" xr:uid="{00000000-0005-0000-0000-00002A0F0000}"/>
    <cellStyle name="Total 2 6 2 5" xfId="3836" xr:uid="{00000000-0005-0000-0000-00002B0F0000}"/>
    <cellStyle name="Total 2 6 20" xfId="3837" xr:uid="{00000000-0005-0000-0000-00002C0F0000}"/>
    <cellStyle name="Total 2 6 20 2" xfId="3838" xr:uid="{00000000-0005-0000-0000-00002D0F0000}"/>
    <cellStyle name="Total 2 6 20 3" xfId="3839" xr:uid="{00000000-0005-0000-0000-00002E0F0000}"/>
    <cellStyle name="Total 2 6 20 4" xfId="3840" xr:uid="{00000000-0005-0000-0000-00002F0F0000}"/>
    <cellStyle name="Total 2 6 20 5" xfId="3841" xr:uid="{00000000-0005-0000-0000-0000300F0000}"/>
    <cellStyle name="Total 2 6 21" xfId="3842" xr:uid="{00000000-0005-0000-0000-0000310F0000}"/>
    <cellStyle name="Total 2 6 21 2" xfId="3843" xr:uid="{00000000-0005-0000-0000-0000320F0000}"/>
    <cellStyle name="Total 2 6 21 3" xfId="3844" xr:uid="{00000000-0005-0000-0000-0000330F0000}"/>
    <cellStyle name="Total 2 6 21 4" xfId="3845" xr:uid="{00000000-0005-0000-0000-0000340F0000}"/>
    <cellStyle name="Total 2 6 21 5" xfId="3846" xr:uid="{00000000-0005-0000-0000-0000350F0000}"/>
    <cellStyle name="Total 2 6 22" xfId="3847" xr:uid="{00000000-0005-0000-0000-0000360F0000}"/>
    <cellStyle name="Total 2 6 22 2" xfId="3848" xr:uid="{00000000-0005-0000-0000-0000370F0000}"/>
    <cellStyle name="Total 2 6 22 3" xfId="3849" xr:uid="{00000000-0005-0000-0000-0000380F0000}"/>
    <cellStyle name="Total 2 6 22 4" xfId="3850" xr:uid="{00000000-0005-0000-0000-0000390F0000}"/>
    <cellStyle name="Total 2 6 23" xfId="3851" xr:uid="{00000000-0005-0000-0000-00003A0F0000}"/>
    <cellStyle name="Total 2 6 23 2" xfId="3852" xr:uid="{00000000-0005-0000-0000-00003B0F0000}"/>
    <cellStyle name="Total 2 6 23 3" xfId="3853" xr:uid="{00000000-0005-0000-0000-00003C0F0000}"/>
    <cellStyle name="Total 2 6 23 4" xfId="3854" xr:uid="{00000000-0005-0000-0000-00003D0F0000}"/>
    <cellStyle name="Total 2 6 24" xfId="3855" xr:uid="{00000000-0005-0000-0000-00003E0F0000}"/>
    <cellStyle name="Total 2 6 24 2" xfId="3856" xr:uid="{00000000-0005-0000-0000-00003F0F0000}"/>
    <cellStyle name="Total 2 6 24 3" xfId="3857" xr:uid="{00000000-0005-0000-0000-0000400F0000}"/>
    <cellStyle name="Total 2 6 24 4" xfId="3858" xr:uid="{00000000-0005-0000-0000-0000410F0000}"/>
    <cellStyle name="Total 2 6 25" xfId="3859" xr:uid="{00000000-0005-0000-0000-0000420F0000}"/>
    <cellStyle name="Total 2 6 25 2" xfId="3860" xr:uid="{00000000-0005-0000-0000-0000430F0000}"/>
    <cellStyle name="Total 2 6 25 3" xfId="3861" xr:uid="{00000000-0005-0000-0000-0000440F0000}"/>
    <cellStyle name="Total 2 6 25 4" xfId="3862" xr:uid="{00000000-0005-0000-0000-0000450F0000}"/>
    <cellStyle name="Total 2 6 3" xfId="3863" xr:uid="{00000000-0005-0000-0000-0000460F0000}"/>
    <cellStyle name="Total 2 6 3 2" xfId="3864" xr:uid="{00000000-0005-0000-0000-0000470F0000}"/>
    <cellStyle name="Total 2 6 3 3" xfId="3865" xr:uid="{00000000-0005-0000-0000-0000480F0000}"/>
    <cellStyle name="Total 2 6 3 4" xfId="3866" xr:uid="{00000000-0005-0000-0000-0000490F0000}"/>
    <cellStyle name="Total 2 6 3 5" xfId="3867" xr:uid="{00000000-0005-0000-0000-00004A0F0000}"/>
    <cellStyle name="Total 2 6 4" xfId="3868" xr:uid="{00000000-0005-0000-0000-00004B0F0000}"/>
    <cellStyle name="Total 2 6 4 2" xfId="3869" xr:uid="{00000000-0005-0000-0000-00004C0F0000}"/>
    <cellStyle name="Total 2 6 4 3" xfId="3870" xr:uid="{00000000-0005-0000-0000-00004D0F0000}"/>
    <cellStyle name="Total 2 6 4 4" xfId="3871" xr:uid="{00000000-0005-0000-0000-00004E0F0000}"/>
    <cellStyle name="Total 2 6 4 5" xfId="3872" xr:uid="{00000000-0005-0000-0000-00004F0F0000}"/>
    <cellStyle name="Total 2 6 5" xfId="3873" xr:uid="{00000000-0005-0000-0000-0000500F0000}"/>
    <cellStyle name="Total 2 6 5 2" xfId="3874" xr:uid="{00000000-0005-0000-0000-0000510F0000}"/>
    <cellStyle name="Total 2 6 5 3" xfId="3875" xr:uid="{00000000-0005-0000-0000-0000520F0000}"/>
    <cellStyle name="Total 2 6 5 4" xfId="3876" xr:uid="{00000000-0005-0000-0000-0000530F0000}"/>
    <cellStyle name="Total 2 6 5 5" xfId="3877" xr:uid="{00000000-0005-0000-0000-0000540F0000}"/>
    <cellStyle name="Total 2 6 6" xfId="3878" xr:uid="{00000000-0005-0000-0000-0000550F0000}"/>
    <cellStyle name="Total 2 6 6 2" xfId="3879" xr:uid="{00000000-0005-0000-0000-0000560F0000}"/>
    <cellStyle name="Total 2 6 6 3" xfId="3880" xr:uid="{00000000-0005-0000-0000-0000570F0000}"/>
    <cellStyle name="Total 2 6 6 4" xfId="3881" xr:uid="{00000000-0005-0000-0000-0000580F0000}"/>
    <cellStyle name="Total 2 6 6 5" xfId="3882" xr:uid="{00000000-0005-0000-0000-0000590F0000}"/>
    <cellStyle name="Total 2 6 7" xfId="3883" xr:uid="{00000000-0005-0000-0000-00005A0F0000}"/>
    <cellStyle name="Total 2 6 7 2" xfId="3884" xr:uid="{00000000-0005-0000-0000-00005B0F0000}"/>
    <cellStyle name="Total 2 6 7 3" xfId="3885" xr:uid="{00000000-0005-0000-0000-00005C0F0000}"/>
    <cellStyle name="Total 2 6 7 4" xfId="3886" xr:uid="{00000000-0005-0000-0000-00005D0F0000}"/>
    <cellStyle name="Total 2 6 7 5" xfId="3887" xr:uid="{00000000-0005-0000-0000-00005E0F0000}"/>
    <cellStyle name="Total 2 6 8" xfId="3888" xr:uid="{00000000-0005-0000-0000-00005F0F0000}"/>
    <cellStyle name="Total 2 6 8 2" xfId="3889" xr:uid="{00000000-0005-0000-0000-0000600F0000}"/>
    <cellStyle name="Total 2 6 8 3" xfId="3890" xr:uid="{00000000-0005-0000-0000-0000610F0000}"/>
    <cellStyle name="Total 2 6 8 4" xfId="3891" xr:uid="{00000000-0005-0000-0000-0000620F0000}"/>
    <cellStyle name="Total 2 6 8 5" xfId="3892" xr:uid="{00000000-0005-0000-0000-0000630F0000}"/>
    <cellStyle name="Total 2 6 9" xfId="3893" xr:uid="{00000000-0005-0000-0000-0000640F0000}"/>
    <cellStyle name="Total 2 6 9 2" xfId="3894" xr:uid="{00000000-0005-0000-0000-0000650F0000}"/>
    <cellStyle name="Total 2 6 9 3" xfId="3895" xr:uid="{00000000-0005-0000-0000-0000660F0000}"/>
    <cellStyle name="Total 2 6 9 4" xfId="3896" xr:uid="{00000000-0005-0000-0000-0000670F0000}"/>
    <cellStyle name="Total 2 6 9 5" xfId="3897" xr:uid="{00000000-0005-0000-0000-0000680F0000}"/>
    <cellStyle name="Total 2 7" xfId="3898" xr:uid="{00000000-0005-0000-0000-0000690F0000}"/>
    <cellStyle name="Total 2 7 2" xfId="3899" xr:uid="{00000000-0005-0000-0000-00006A0F0000}"/>
    <cellStyle name="Total 2 7 3" xfId="3900" xr:uid="{00000000-0005-0000-0000-00006B0F0000}"/>
    <cellStyle name="Total 2 7 4" xfId="3901" xr:uid="{00000000-0005-0000-0000-00006C0F0000}"/>
    <cellStyle name="Total 2 7 5" xfId="3902" xr:uid="{00000000-0005-0000-0000-00006D0F0000}"/>
    <cellStyle name="Total 2 8" xfId="3903" xr:uid="{00000000-0005-0000-0000-00006E0F0000}"/>
    <cellStyle name="Total 2 8 2" xfId="3904" xr:uid="{00000000-0005-0000-0000-00006F0F0000}"/>
    <cellStyle name="Total 2 8 3" xfId="3905" xr:uid="{00000000-0005-0000-0000-0000700F0000}"/>
    <cellStyle name="Total 2 8 4" xfId="3906" xr:uid="{00000000-0005-0000-0000-0000710F0000}"/>
    <cellStyle name="Total 2 8 5" xfId="3907" xr:uid="{00000000-0005-0000-0000-0000720F0000}"/>
    <cellStyle name="Total 2 9" xfId="3908" xr:uid="{00000000-0005-0000-0000-0000730F0000}"/>
    <cellStyle name="Total 2 9 2" xfId="3909" xr:uid="{00000000-0005-0000-0000-0000740F0000}"/>
    <cellStyle name="Total 2 9 3" xfId="3910" xr:uid="{00000000-0005-0000-0000-0000750F0000}"/>
    <cellStyle name="Total 2 9 4" xfId="3911" xr:uid="{00000000-0005-0000-0000-0000760F0000}"/>
    <cellStyle name="Total 2 9 5" xfId="3912" xr:uid="{00000000-0005-0000-0000-0000770F0000}"/>
    <cellStyle name="TotalStyleCurrency" xfId="3913" xr:uid="{00000000-0005-0000-0000-0000780F0000}"/>
    <cellStyle name="TotalStyleText" xfId="3914" xr:uid="{00000000-0005-0000-0000-0000790F0000}"/>
    <cellStyle name="u5shares" xfId="179" xr:uid="{00000000-0005-0000-0000-00007A0F0000}"/>
    <cellStyle name="Variable assumptions" xfId="180" xr:uid="{00000000-0005-0000-0000-00007B0F0000}"/>
    <cellStyle name="Warning Text 2" xfId="181" xr:uid="{00000000-0005-0000-0000-00007C0F0000}"/>
    <cellStyle name="Warning Text 2 2" xfId="3915" xr:uid="{00000000-0005-0000-0000-00007D0F0000}"/>
  </cellStyles>
  <dxfs count="101"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B05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85" formatCode="&quot;-&quot;"/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numFmt numFmtId="185" formatCode="&quot;-&quot;"/>
    </dxf>
    <dxf>
      <font>
        <color rgb="FFFF0000"/>
      </font>
    </dxf>
    <dxf>
      <numFmt numFmtId="185" formatCode="&quot;-&quot;"/>
    </dxf>
    <dxf>
      <font>
        <b/>
        <i/>
        <color rgb="FFFF0000"/>
      </font>
      <fill>
        <patternFill>
          <bgColor theme="8" tint="0.79998168889431442"/>
        </patternFill>
      </fill>
    </dxf>
    <dxf>
      <font>
        <color rgb="FFFF0000"/>
      </font>
    </dxf>
    <dxf>
      <font>
        <color rgb="FFFF0000"/>
      </font>
    </dxf>
  </dxfs>
  <tableStyles count="1" defaultTableStyle="TableStyleMedium2" defaultPivotStyle="PivotStyleLight16">
    <tableStyle name="Invisible" pivot="0" table="0" count="0" xr9:uid="{FAC27B28-4E9A-44CE-BEF3-A1600659FB25}"/>
  </tableStyles>
  <colors>
    <mruColors>
      <color rgb="FFFFFFCC"/>
      <color rgb="FFFDE8B3"/>
      <color rgb="FFD00070"/>
      <color rgb="FFCCCCFF"/>
      <color rgb="FF3C3C3B"/>
      <color rgb="FF84329B"/>
      <color rgb="FF99FFCC"/>
      <color rgb="FFFF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135991</xdr:colOff>
      <xdr:row>3</xdr:row>
      <xdr:rowOff>212000</xdr:rowOff>
    </xdr:to>
    <xdr:pic>
      <xdr:nvPicPr>
        <xdr:cNvPr id="5" name="Picture 4" descr="Birmingham City Council">
          <a:extLst>
            <a:ext uri="{FF2B5EF4-FFF2-40B4-BE49-F238E27FC236}">
              <a16:creationId xmlns:a16="http://schemas.microsoft.com/office/drawing/2014/main" id="{92F6C8E5-89AD-DAB4-20F7-17CDDA0E79B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10283" y="176894"/>
          <a:ext cx="4310744" cy="973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108777</xdr:colOff>
      <xdr:row>3</xdr:row>
      <xdr:rowOff>220890</xdr:rowOff>
    </xdr:to>
    <xdr:pic>
      <xdr:nvPicPr>
        <xdr:cNvPr id="2" name="Picture 1" descr="BCC LOGO" title="BCC LOGO">
          <a:extLst>
            <a:ext uri="{FF2B5EF4-FFF2-40B4-BE49-F238E27FC236}">
              <a16:creationId xmlns:a16="http://schemas.microsoft.com/office/drawing/2014/main" id="{E7F92C89-FAE3-4066-BF50-91E5AA2165B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5315" y="176894"/>
          <a:ext cx="4305301" cy="9869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652197</xdr:colOff>
      <xdr:row>0</xdr:row>
      <xdr:rowOff>174626</xdr:rowOff>
    </xdr:from>
    <xdr:to>
      <xdr:col>23</xdr:col>
      <xdr:colOff>3992079</xdr:colOff>
      <xdr:row>3</xdr:row>
      <xdr:rowOff>215810</xdr:rowOff>
    </xdr:to>
    <xdr:pic>
      <xdr:nvPicPr>
        <xdr:cNvPr id="3" name="Picture 2" descr="BCC LOGO" title="BCC LOGO">
          <a:extLst>
            <a:ext uri="{FF2B5EF4-FFF2-40B4-BE49-F238E27FC236}">
              <a16:creationId xmlns:a16="http://schemas.microsoft.com/office/drawing/2014/main" id="{A5DE5EEA-BE64-4BD6-B1EC-A7781ED8A267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8166" y="174626"/>
          <a:ext cx="4304288" cy="96987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ameron Birkett" id="{6976757E-C441-48A1-8570-B569C0B2CAC7}" userId="S::Cameron.Birkett@birmingham.gov.uk::92177288-7bf8-432f-b8e4-24cf83a0a80d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 Birkett" refreshedDate="46055.447846643518" createdVersion="8" refreshedVersion="8" minRefreshableVersion="3" recordCount="186" xr:uid="{56708540-6599-47B4-9DBF-8037F46B0613}">
  <cacheSource type="worksheet">
    <worksheetSource ref="A34:P220" sheet="PIVOT Summary Mar 2026"/>
  </cacheSource>
  <cacheFields count="16">
    <cacheField name="DfE #" numFmtId="0">
      <sharedItems containsSemiMixedTypes="0" containsString="0" containsNumber="1" containsInteger="1" minValue="1000" maxValue="7062"/>
    </cacheField>
    <cacheField name="URN" numFmtId="0">
      <sharedItems containsSemiMixedTypes="0" containsString="0" containsNumber="1" containsInteger="1" minValue="103120" maxValue="137796"/>
    </cacheField>
    <cacheField name="Cost centre" numFmtId="0">
      <sharedItems/>
    </cacheField>
    <cacheField name="School" numFmtId="0">
      <sharedItems/>
    </cacheField>
    <cacheField name="Phase" numFmtId="0">
      <sharedItems count="5">
        <s v="Nursery"/>
        <s v="Primary"/>
        <s v="Special"/>
        <s v="Secondary"/>
        <s v="Pupil referral unit"/>
      </sharedItems>
    </cacheField>
    <cacheField name="School Type" numFmtId="0">
      <sharedItems count="1">
        <s v="Chq Bk"/>
      </sharedItems>
    </cacheField>
    <cacheField name="Schools block budget share (before de-delegation &amp; NNDR)" numFmtId="43">
      <sharedItems containsSemiMixedTypes="0" containsString="0" containsNumber="1" minValue="0" maxValue="867811.99049153959"/>
    </cacheField>
    <cacheField name="High Needs Place Funding" numFmtId="43">
      <sharedItems containsSemiMixedTypes="0" containsString="0" containsNumber="1" minValue="0" maxValue="550000"/>
    </cacheField>
    <cacheField name="Resource Base Place Funding" numFmtId="43">
      <sharedItems containsSemiMixedTypes="0" containsString="0" containsNumber="1" minValue="0" maxValue="22666.666666666668"/>
    </cacheField>
    <cacheField name="Sixth Form Funding" numFmtId="43">
      <sharedItems containsSemiMixedTypes="0" containsString="0" containsNumber="1" minValue="0" maxValue="197073.33333333331"/>
    </cacheField>
    <cacheField name="High Needs Top up Funding*&amp; High Needs - special/units Top-up" numFmtId="43">
      <sharedItems containsSemiMixedTypes="0" containsString="0" containsNumber="1" minValue="0" maxValue="486215.63999999996"/>
    </cacheField>
    <cacheField name="Resource Base Top up Funding" numFmtId="43">
      <sharedItems containsSemiMixedTypes="0" containsString="0" containsNumber="1" minValue="-3970.375" maxValue="37206.120833333334"/>
    </cacheField>
    <cacheField name="De-delegation" numFmtId="43">
      <sharedItems containsSemiMixedTypes="0" containsString="0" containsNumber="1" minValue="-2122.0374999999999" maxValue="0"/>
    </cacheField>
    <cacheField name="NNDR" numFmtId="43">
      <sharedItems containsSemiMixedTypes="0" containsString="0" containsNumber="1" minValue="-15669.894999999999" maxValue="0"/>
    </cacheField>
    <cacheField name="Other Adjustments" numFmtId="43">
      <sharedItems containsSemiMixedTypes="0" containsString="0" containsNumber="1" minValue="0" maxValue="3150.8"/>
    </cacheField>
    <cacheField name="Total February Instalment" numFmtId="43">
      <sharedItems containsSemiMixedTypes="0" containsString="0" containsNumber="1" minValue="0" maxValue="1036215.63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">
  <r>
    <n v="1027"/>
    <n v="103140"/>
    <s v="AX001"/>
    <s v="Adderley Nursery School"/>
    <x v="0"/>
    <x v="0"/>
    <n v="0"/>
    <n v="0"/>
    <n v="0"/>
    <n v="0"/>
    <n v="0"/>
    <n v="0"/>
    <n v="0"/>
    <n v="0"/>
    <n v="0"/>
    <n v="0"/>
  </r>
  <r>
    <n v="2010"/>
    <n v="103159"/>
    <s v="AX085"/>
    <s v="Adderley Primary School"/>
    <x v="1"/>
    <x v="0"/>
    <n v="219581.35606729952"/>
    <n v="0"/>
    <n v="0"/>
    <n v="0"/>
    <n v="0"/>
    <n v="0"/>
    <n v="-910.62666666666655"/>
    <n v="-3930.81"/>
    <n v="0"/>
    <n v="214739.91940063285"/>
  </r>
  <r>
    <n v="5949"/>
    <n v="131465"/>
    <s v="AX002"/>
    <s v="Al-Furqan Primary School"/>
    <x v="1"/>
    <x v="0"/>
    <n v="303025.269104212"/>
    <n v="0"/>
    <n v="0"/>
    <n v="0"/>
    <n v="0"/>
    <n v="0"/>
    <n v="-1371.3733333333332"/>
    <n v="-6153.3675000000003"/>
    <n v="0"/>
    <n v="295500.52827087865"/>
  </r>
  <r>
    <n v="1017"/>
    <n v="103130"/>
    <s v="AX087"/>
    <s v="Allens Croft Nursery School"/>
    <x v="0"/>
    <x v="0"/>
    <n v="0"/>
    <n v="0"/>
    <n v="4000"/>
    <n v="0"/>
    <n v="0"/>
    <n v="9462.0116666666672"/>
    <n v="0"/>
    <n v="0"/>
    <n v="0"/>
    <n v="13462.011666666667"/>
  </r>
  <r>
    <n v="2153"/>
    <n v="103243"/>
    <s v="AX004"/>
    <s v="Allens Croft Primary School"/>
    <x v="1"/>
    <x v="0"/>
    <n v="206966.2751977072"/>
    <n v="0"/>
    <n v="22666.666666666668"/>
    <n v="0"/>
    <n v="0"/>
    <n v="15942.940000000002"/>
    <n v="-867.16"/>
    <n v="-2059.0374999999999"/>
    <n v="0"/>
    <n v="242649.68436437385"/>
  </r>
  <r>
    <n v="2062"/>
    <n v="103192"/>
    <s v="AX006"/>
    <s v="Anderton Park Primary School"/>
    <x v="1"/>
    <x v="0"/>
    <n v="210272.83492670828"/>
    <n v="0"/>
    <n v="0"/>
    <n v="0"/>
    <n v="0"/>
    <n v="0"/>
    <n v="-854.11999999999989"/>
    <n v="-4054.6608333333334"/>
    <n v="0"/>
    <n v="205364.05409337496"/>
  </r>
  <r>
    <n v="2479"/>
    <n v="132074"/>
    <s v="AX007"/>
    <s v="Anglesey Primary School"/>
    <x v="1"/>
    <x v="0"/>
    <n v="321388.17469997873"/>
    <n v="0"/>
    <n v="5000"/>
    <n v="0"/>
    <n v="0"/>
    <n v="7242.8808333333336"/>
    <n v="-1360.5066666666664"/>
    <n v="-2605.8175000000001"/>
    <n v="0"/>
    <n v="329664.73136664543"/>
  </r>
  <r>
    <n v="2300"/>
    <n v="103324"/>
    <s v="AX008"/>
    <s v="Arden Primary School"/>
    <x v="1"/>
    <x v="0"/>
    <n v="317456.45563230768"/>
    <n v="0"/>
    <n v="0"/>
    <n v="0"/>
    <n v="0"/>
    <n v="0"/>
    <n v="-1388.76"/>
    <n v="-6741.0908333333327"/>
    <n v="0"/>
    <n v="309326.60479897435"/>
  </r>
  <r>
    <n v="7016"/>
    <n v="103606"/>
    <s v="AX00E"/>
    <s v="Baskerville School"/>
    <x v="2"/>
    <x v="0"/>
    <n v="0"/>
    <n v="173195"/>
    <n v="0"/>
    <n v="0"/>
    <n v="243250.88710517736"/>
    <n v="0"/>
    <n v="0"/>
    <n v="0"/>
    <n v="0"/>
    <n v="416445.88710517739"/>
  </r>
  <r>
    <n v="2017"/>
    <n v="103164"/>
    <s v="AX04L"/>
    <s v="Beeches Infant School"/>
    <x v="1"/>
    <x v="0"/>
    <n v="148652.69704209597"/>
    <n v="0"/>
    <n v="0"/>
    <n v="0"/>
    <n v="0"/>
    <n v="0"/>
    <n v="-575.93333333333328"/>
    <n v="-2367.3191666666667"/>
    <n v="0"/>
    <n v="145709.444542096"/>
  </r>
  <r>
    <n v="2016"/>
    <n v="103163"/>
    <s v="AX04M"/>
    <s v="Beeches Junior School"/>
    <x v="1"/>
    <x v="0"/>
    <n v="190506.38868066322"/>
    <n v="0"/>
    <n v="0"/>
    <n v="0"/>
    <n v="0"/>
    <n v="0"/>
    <n v="-780.22666666666657"/>
    <n v="-3550.978333333333"/>
    <n v="0"/>
    <n v="186175.18368066323"/>
  </r>
  <r>
    <n v="2239"/>
    <n v="103289"/>
    <s v="AX00G"/>
    <s v="Bellfield Infant School (NC)"/>
    <x v="1"/>
    <x v="0"/>
    <n v="81101.380064877696"/>
    <n v="0"/>
    <n v="0"/>
    <n v="0"/>
    <n v="0"/>
    <n v="0"/>
    <n v="-319.47999999999996"/>
    <n v="-925.4666666666667"/>
    <n v="0"/>
    <n v="79856.43339821104"/>
  </r>
  <r>
    <n v="2241"/>
    <n v="103291"/>
    <s v="AX00H"/>
    <s v="Bellfield Junior School"/>
    <x v="1"/>
    <x v="0"/>
    <n v="128307.30481873961"/>
    <n v="0"/>
    <n v="5000"/>
    <n v="0"/>
    <n v="0"/>
    <n v="0"/>
    <n v="-530.29333333333329"/>
    <n v="-1226.7825"/>
    <n v="0"/>
    <n v="131550.22898540625"/>
  </r>
  <r>
    <n v="5413"/>
    <n v="103560"/>
    <s v="AX08C"/>
    <s v="Bishop Challoner Catholic College"/>
    <x v="3"/>
    <x v="0"/>
    <n v="614733.84409639623"/>
    <n v="0"/>
    <n v="0"/>
    <n v="132581.83333333334"/>
    <n v="0"/>
    <n v="0"/>
    <n v="-1665.7574999999999"/>
    <n v="-7300.3525"/>
    <n v="0"/>
    <n v="738349.56742972962"/>
  </r>
  <r>
    <n v="1025"/>
    <n v="103138"/>
    <s v="AX00R"/>
    <s v="Bloomsbury Nursery School"/>
    <x v="0"/>
    <x v="0"/>
    <n v="0"/>
    <n v="0"/>
    <n v="0"/>
    <n v="0"/>
    <n v="0"/>
    <n v="0"/>
    <n v="0"/>
    <n v="0"/>
    <n v="0"/>
    <n v="0"/>
  </r>
  <r>
    <n v="2402"/>
    <n v="103342"/>
    <s v="AX08G"/>
    <s v="Boldmere Infant School and Nursery"/>
    <x v="1"/>
    <x v="0"/>
    <n v="116366.29212458333"/>
    <n v="0"/>
    <n v="11000"/>
    <n v="0"/>
    <n v="0"/>
    <n v="19980.493333333332"/>
    <n v="-593.31999999999994"/>
    <n v="-1506.575"/>
    <n v="0"/>
    <n v="145246.89045791666"/>
  </r>
  <r>
    <n v="2401"/>
    <n v="103341"/>
    <s v="AX00T"/>
    <s v="Boldmere Junior School"/>
    <x v="1"/>
    <x v="0"/>
    <n v="159075.33333333334"/>
    <n v="0"/>
    <n v="0"/>
    <n v="0"/>
    <n v="0"/>
    <n v="0"/>
    <n v="-828.04"/>
    <n v="-1754.0833333333333"/>
    <n v="0"/>
    <n v="156493.21"/>
  </r>
  <r>
    <n v="4115"/>
    <n v="103493"/>
    <s v="AX08J"/>
    <s v="Bordesley Green Girls' School &amp; Sixth Form"/>
    <x v="3"/>
    <x v="0"/>
    <n v="440089.33827634115"/>
    <n v="0"/>
    <n v="6000"/>
    <n v="197073.33333333331"/>
    <n v="0"/>
    <n v="31213.860833333332"/>
    <n v="-1058.5024999999998"/>
    <n v="-7134.8258333333333"/>
    <n v="0"/>
    <n v="666183.20410967455"/>
  </r>
  <r>
    <n v="2030"/>
    <n v="103172"/>
    <s v="AX08H"/>
    <s v="Bordesley Green Primary School"/>
    <x v="1"/>
    <x v="0"/>
    <n v="308029.62634481379"/>
    <n v="0"/>
    <n v="0"/>
    <n v="0"/>
    <n v="0"/>
    <n v="0"/>
    <n v="-1345.2933333333333"/>
    <n v="-2782.4833333333336"/>
    <n v="0"/>
    <n v="303901.84967814712"/>
  </r>
  <r>
    <n v="3353"/>
    <n v="103445"/>
    <s v="AX00X"/>
    <s v="Bournville Village Primary"/>
    <x v="1"/>
    <x v="0"/>
    <n v="269330.6816666667"/>
    <n v="0"/>
    <n v="0"/>
    <n v="0"/>
    <n v="0"/>
    <n v="0"/>
    <n v="-1412.6666666666667"/>
    <n v="-934.84833333333336"/>
    <n v="0"/>
    <n v="266983.16666666669"/>
  </r>
  <r>
    <n v="7030"/>
    <n v="103611"/>
    <s v="AX00Y"/>
    <s v="Braidwood School for the Deaf"/>
    <x v="2"/>
    <x v="0"/>
    <n v="0"/>
    <n v="70015"/>
    <n v="0"/>
    <n v="0"/>
    <n v="45499.229498080982"/>
    <n v="0"/>
    <n v="0"/>
    <n v="0"/>
    <n v="0"/>
    <n v="115514.22949808098"/>
  </r>
  <r>
    <n v="1002"/>
    <n v="103121"/>
    <s v="AX00Z"/>
    <s v="Brearley Nursery School"/>
    <x v="0"/>
    <x v="0"/>
    <n v="0"/>
    <n v="0"/>
    <n v="0"/>
    <n v="0"/>
    <n v="0"/>
    <n v="0"/>
    <n v="0"/>
    <n v="0"/>
    <n v="0"/>
    <n v="0"/>
  </r>
  <r>
    <n v="2465"/>
    <n v="103391"/>
    <s v="AX013"/>
    <s v="Calshot Primary School"/>
    <x v="1"/>
    <x v="0"/>
    <n v="226888.66764768012"/>
    <n v="0"/>
    <n v="0"/>
    <n v="0"/>
    <n v="0"/>
    <n v="0"/>
    <n v="-908.45333333333326"/>
    <n v="-3836.0974999999999"/>
    <n v="0"/>
    <n v="222144.11681434678"/>
  </r>
  <r>
    <n v="4801"/>
    <n v="103539"/>
    <s v="AX08U"/>
    <s v="Cardinal Wiseman Catholic School"/>
    <x v="3"/>
    <x v="0"/>
    <n v="519255.28118677606"/>
    <n v="0"/>
    <n v="0"/>
    <n v="0"/>
    <n v="0"/>
    <n v="0"/>
    <n v="-1316.8374999999999"/>
    <n v="-2058.1550000000002"/>
    <n v="0"/>
    <n v="515880.28868677601"/>
  </r>
  <r>
    <n v="1048"/>
    <n v="103144"/>
    <s v="AX014"/>
    <s v="Castle Vale Nursery School"/>
    <x v="0"/>
    <x v="0"/>
    <n v="0"/>
    <n v="0"/>
    <n v="0"/>
    <n v="0"/>
    <n v="0"/>
    <n v="0"/>
    <n v="0"/>
    <n v="0"/>
    <n v="0"/>
    <n v="0"/>
  </r>
  <r>
    <n v="2312"/>
    <n v="103332"/>
    <s v="AX015"/>
    <s v="Chad Vale Primary School"/>
    <x v="1"/>
    <x v="0"/>
    <n v="180860.55892499999"/>
    <n v="0"/>
    <n v="0"/>
    <n v="0"/>
    <n v="0"/>
    <n v="0"/>
    <n v="-914.97333333333324"/>
    <n v="-2517.4850000000001"/>
    <n v="0"/>
    <n v="177428.10059166668"/>
  </r>
  <r>
    <n v="7051"/>
    <n v="103626"/>
    <s v="AX017"/>
    <s v="Cherry Oak School"/>
    <x v="2"/>
    <x v="0"/>
    <n v="0"/>
    <n v="102258.75"/>
    <n v="0"/>
    <n v="0"/>
    <n v="85514.142729049374"/>
    <n v="0"/>
    <n v="0"/>
    <n v="0"/>
    <n v="0"/>
    <n v="187772.89272904937"/>
  </r>
  <r>
    <n v="2040"/>
    <n v="103178"/>
    <s v="AX018"/>
    <s v="Cherry Orchard Primary School"/>
    <x v="1"/>
    <x v="0"/>
    <n v="195983.63540148296"/>
    <n v="0"/>
    <n v="8000"/>
    <n v="0"/>
    <n v="0"/>
    <n v="24638.947500000002"/>
    <n v="-923.66666666666663"/>
    <n v="-2539.5683333333332"/>
    <n v="0"/>
    <n v="225159.34790148298"/>
  </r>
  <r>
    <n v="2251"/>
    <n v="103298"/>
    <s v="AX08W"/>
    <s v="Chilcote Primary School"/>
    <x v="1"/>
    <x v="0"/>
    <n v="174497.13583333333"/>
    <n v="0"/>
    <n v="0"/>
    <n v="0"/>
    <n v="0"/>
    <n v="0"/>
    <n v="-910.62666666666655"/>
    <n v="-1485.0525"/>
    <n v="0"/>
    <n v="172101.45666666667"/>
  </r>
  <r>
    <n v="3002"/>
    <n v="103397"/>
    <s v="AX01A"/>
    <s v="Christ Church CofE Controlled Primary School and Nursery"/>
    <x v="1"/>
    <x v="0"/>
    <n v="110958.47222853037"/>
    <n v="0"/>
    <n v="0"/>
    <n v="0"/>
    <n v="0"/>
    <n v="0"/>
    <n v="-432.49333333333334"/>
    <n v="-1667.9933333333331"/>
    <n v="0"/>
    <n v="108857.98556186371"/>
  </r>
  <r>
    <n v="3319"/>
    <n v="103423"/>
    <s v="AX019"/>
    <s v="Christ The King Catholic Primary School"/>
    <x v="1"/>
    <x v="0"/>
    <n v="175586.93448027145"/>
    <n v="0"/>
    <n v="0"/>
    <n v="0"/>
    <n v="0"/>
    <n v="0"/>
    <n v="-786.74666666666656"/>
    <n v="-439.45583333333337"/>
    <n v="0"/>
    <n v="174360.73198027143"/>
  </r>
  <r>
    <n v="1100"/>
    <n v="103146"/>
    <s v="AX073"/>
    <s v="City of Birmingham School"/>
    <x v="4"/>
    <x v="0"/>
    <n v="0"/>
    <n v="550000"/>
    <n v="0"/>
    <n v="0"/>
    <n v="486215.63999999996"/>
    <n v="0"/>
    <n v="0"/>
    <n v="0"/>
    <n v="0"/>
    <n v="1036215.6399999999"/>
  </r>
  <r>
    <n v="3432"/>
    <n v="134840"/>
    <s v="AX01B"/>
    <s v="Clifton Primary School"/>
    <x v="1"/>
    <x v="0"/>
    <n v="464893.11371790385"/>
    <n v="0"/>
    <n v="0"/>
    <n v="0"/>
    <n v="0"/>
    <n v="0"/>
    <n v="-1762.573333333333"/>
    <n v="-2694.15"/>
    <n v="0"/>
    <n v="460436.39038457052"/>
  </r>
  <r>
    <n v="2289"/>
    <n v="103315"/>
    <s v="AX01D"/>
    <s v="Cofton Primary School"/>
    <x v="1"/>
    <x v="0"/>
    <n v="187778.70523830093"/>
    <n v="0"/>
    <n v="0"/>
    <n v="0"/>
    <n v="0"/>
    <n v="0"/>
    <n v="-897.58666666666659"/>
    <n v="-1581.9033333333334"/>
    <n v="0"/>
    <n v="185299.21523830094"/>
  </r>
  <r>
    <n v="2185"/>
    <n v="103263"/>
    <s v="AX01E"/>
    <s v="Colebourne Primary School"/>
    <x v="1"/>
    <x v="0"/>
    <n v="195734.42785472222"/>
    <n v="0"/>
    <n v="0"/>
    <n v="0"/>
    <n v="0"/>
    <n v="0"/>
    <n v="-917.14666666666653"/>
    <n v="-1980.0691666666669"/>
    <n v="0"/>
    <n v="192837.2120213889"/>
  </r>
  <r>
    <n v="5416"/>
    <n v="103563"/>
    <s v="AX091"/>
    <s v="Colmers School and Sixth Form College"/>
    <x v="3"/>
    <x v="0"/>
    <n v="767998.45123890892"/>
    <n v="0"/>
    <n v="0"/>
    <n v="28396.166666666664"/>
    <n v="0"/>
    <n v="0"/>
    <n v="-1934.1575"/>
    <n v="-724.32833333333338"/>
    <n v="0"/>
    <n v="793736.13207224221"/>
  </r>
  <r>
    <n v="2054"/>
    <n v="103189"/>
    <s v="AX092"/>
    <s v="Colmore Infant and Nursery School"/>
    <x v="1"/>
    <x v="0"/>
    <n v="157839.06983147634"/>
    <n v="0"/>
    <n v="0"/>
    <n v="0"/>
    <n v="0"/>
    <n v="0"/>
    <n v="-782.4"/>
    <n v="-1186.0891666666666"/>
    <n v="0"/>
    <n v="155870.58066480968"/>
  </r>
  <r>
    <n v="2053"/>
    <n v="103188"/>
    <s v="AX093"/>
    <s v="Colmore Junior School"/>
    <x v="1"/>
    <x v="0"/>
    <n v="205003.82008999688"/>
    <n v="0"/>
    <n v="0"/>
    <n v="0"/>
    <n v="0"/>
    <n v="0"/>
    <n v="-1043.2"/>
    <n v="-1706.8108333333332"/>
    <n v="0"/>
    <n v="202253.80925666355"/>
  </r>
  <r>
    <n v="3320"/>
    <n v="103424"/>
    <s v="AX01H"/>
    <s v="Corpus Christi Catholic Primary School"/>
    <x v="1"/>
    <x v="0"/>
    <n v="201694.05008951365"/>
    <n v="0"/>
    <n v="0"/>
    <n v="0"/>
    <n v="0"/>
    <n v="0"/>
    <n v="-873.68"/>
    <n v="-322.41500000000002"/>
    <n v="0"/>
    <n v="200497.95508951365"/>
  </r>
  <r>
    <n v="2055"/>
    <n v="103190"/>
    <s v="AX01J"/>
    <s v="Cotteridge Primary School"/>
    <x v="1"/>
    <x v="0"/>
    <n v="184627.03890210821"/>
    <n v="0"/>
    <n v="0"/>
    <n v="0"/>
    <n v="0"/>
    <n v="0"/>
    <n v="-899.75999999999988"/>
    <n v="-2318.7358333333336"/>
    <n v="0"/>
    <n v="181408.54306877486"/>
  </r>
  <r>
    <n v="2454"/>
    <n v="103381"/>
    <s v="AX01R"/>
    <s v="Elms Farm Community Primary School"/>
    <x v="1"/>
    <x v="0"/>
    <n v="198411.75385491803"/>
    <n v="0"/>
    <n v="0"/>
    <n v="0"/>
    <n v="0"/>
    <n v="0"/>
    <n v="-808.48"/>
    <n v="-2539.6550000000002"/>
    <n v="0"/>
    <n v="195063.61885491802"/>
  </r>
  <r>
    <n v="3321"/>
    <n v="103425"/>
    <s v="AX01T"/>
    <s v="English Martyrs' Catholic Primary School"/>
    <x v="1"/>
    <x v="0"/>
    <n v="170375.04965177723"/>
    <n v="0"/>
    <n v="0"/>
    <n v="0"/>
    <n v="0"/>
    <n v="0"/>
    <n v="-756.32"/>
    <n v="-317.9975"/>
    <n v="0"/>
    <n v="169300.73215177722"/>
  </r>
  <r>
    <n v="1026"/>
    <n v="103139"/>
    <s v="AX01X"/>
    <s v="Featherstone Nursery School"/>
    <x v="0"/>
    <x v="0"/>
    <n v="0"/>
    <n v="0"/>
    <n v="0"/>
    <n v="0"/>
    <n v="0"/>
    <n v="0"/>
    <n v="0"/>
    <n v="0"/>
    <n v="0"/>
    <n v="0"/>
  </r>
  <r>
    <n v="2294"/>
    <n v="103318"/>
    <s v="AX01W"/>
    <s v="Featherstone Primary School"/>
    <x v="1"/>
    <x v="0"/>
    <n v="207787.0494166667"/>
    <n v="0"/>
    <n v="0"/>
    <n v="0"/>
    <n v="0"/>
    <n v="0"/>
    <n v="-912.79999999999984"/>
    <n v="-2340.8191666666667"/>
    <n v="0"/>
    <n v="204533.43025000006"/>
  </r>
  <r>
    <n v="2486"/>
    <n v="133759"/>
    <s v="AX01Z"/>
    <s v="Forestdale Primary School"/>
    <x v="1"/>
    <x v="0"/>
    <n v="111926.24999716581"/>
    <n v="0"/>
    <n v="0"/>
    <n v="0"/>
    <n v="0"/>
    <n v="0"/>
    <n v="-406.41333333333336"/>
    <n v="-1248.3050000000001"/>
    <n v="0"/>
    <n v="110271.53166383249"/>
  </r>
  <r>
    <n v="3435"/>
    <n v="131920"/>
    <s v="AX020"/>
    <s v="Four Oaks Primary School"/>
    <x v="1"/>
    <x v="0"/>
    <n v="173857.83083333334"/>
    <n v="0"/>
    <n v="0"/>
    <n v="0"/>
    <n v="0"/>
    <n v="0"/>
    <n v="-912.79999999999984"/>
    <n v="-432.83083333333337"/>
    <n v="0"/>
    <n v="172512.2"/>
  </r>
  <r>
    <n v="7050"/>
    <n v="103625"/>
    <s v="AX021"/>
    <s v="Fox Hollies School"/>
    <x v="2"/>
    <x v="0"/>
    <n v="0"/>
    <n v="102258.75000000003"/>
    <n v="0"/>
    <n v="0"/>
    <n v="97419.241111077848"/>
    <n v="0"/>
    <n v="0"/>
    <n v="0"/>
    <n v="0"/>
    <n v="199677.99111107789"/>
  </r>
  <r>
    <n v="1006"/>
    <n v="103122"/>
    <s v="AX023"/>
    <s v="Garretts Green Nursery School"/>
    <x v="0"/>
    <x v="0"/>
    <n v="0"/>
    <n v="0"/>
    <n v="3333.3333333333335"/>
    <n v="0"/>
    <n v="0"/>
    <n v="6690.6016666666665"/>
    <n v="0"/>
    <n v="0"/>
    <n v="0"/>
    <n v="10023.934999999999"/>
  </r>
  <r>
    <n v="2081"/>
    <n v="103201"/>
    <s v="AX026"/>
    <s v="Gilbertstone Primary School"/>
    <x v="1"/>
    <x v="0"/>
    <n v="183146.88286120619"/>
    <n v="0"/>
    <n v="0"/>
    <n v="0"/>
    <n v="0"/>
    <n v="0"/>
    <n v="-906.27999999999986"/>
    <n v="-3444.9791666666665"/>
    <n v="0"/>
    <n v="178795.62369453954"/>
  </r>
  <r>
    <n v="2296"/>
    <n v="103320"/>
    <s v="AX027"/>
    <s v="Glenmead Primary School"/>
    <x v="1"/>
    <x v="0"/>
    <n v="125253.68895100117"/>
    <n v="0"/>
    <n v="0"/>
    <n v="0"/>
    <n v="0"/>
    <n v="0"/>
    <n v="-562.89333333333332"/>
    <n v="-2605.8175000000001"/>
    <n v="0"/>
    <n v="122084.97811766784"/>
  </r>
  <r>
    <n v="1015"/>
    <n v="103128"/>
    <s v="AX028"/>
    <s v="Goodway Nursery School"/>
    <x v="0"/>
    <x v="0"/>
    <n v="0"/>
    <n v="0"/>
    <n v="0"/>
    <n v="0"/>
    <n v="0"/>
    <n v="0"/>
    <n v="0"/>
    <n v="0"/>
    <n v="0"/>
    <n v="0"/>
  </r>
  <r>
    <n v="1022"/>
    <n v="103135"/>
    <s v="AX029"/>
    <s v="Gracelands Nursery School"/>
    <x v="0"/>
    <x v="0"/>
    <n v="0"/>
    <n v="0"/>
    <n v="0"/>
    <n v="0"/>
    <n v="0"/>
    <n v="0"/>
    <n v="0"/>
    <n v="0"/>
    <n v="0"/>
    <n v="0"/>
  </r>
  <r>
    <n v="2087"/>
    <n v="103205"/>
    <s v="AX02C"/>
    <s v="Grendon Primary School"/>
    <x v="1"/>
    <x v="0"/>
    <n v="176796.35403427979"/>
    <n v="0"/>
    <n v="0"/>
    <n v="0"/>
    <n v="0"/>
    <n v="0"/>
    <n v="-736.75999999999988"/>
    <n v="-2152.249166666667"/>
    <n v="0"/>
    <n v="173907.34486761311"/>
  </r>
  <r>
    <n v="2466"/>
    <n v="103392"/>
    <s v="AX02D"/>
    <s v="Grove School"/>
    <x v="1"/>
    <x v="0"/>
    <n v="305210.63441122224"/>
    <n v="0"/>
    <n v="0"/>
    <n v="0"/>
    <n v="0"/>
    <n v="0"/>
    <n v="-1312.6933333333334"/>
    <n v="-2561.6508333333336"/>
    <n v="0"/>
    <n v="301336.29024455557"/>
  </r>
  <r>
    <n v="2093"/>
    <n v="103210"/>
    <s v="AX02G"/>
    <s v="Hall Green Infant School"/>
    <x v="1"/>
    <x v="0"/>
    <n v="161213.66351814711"/>
    <n v="0"/>
    <n v="0"/>
    <n v="0"/>
    <n v="0"/>
    <n v="0"/>
    <n v="-782.4"/>
    <n v="-1657.2325000000001"/>
    <n v="0"/>
    <n v="158774.0310181471"/>
  </r>
  <r>
    <n v="2092"/>
    <n v="103209"/>
    <s v="AX02H"/>
    <s v="Hall Green Junior School"/>
    <x v="1"/>
    <x v="0"/>
    <n v="206547.19999451339"/>
    <n v="0"/>
    <n v="0"/>
    <n v="0"/>
    <n v="0"/>
    <n v="0"/>
    <n v="-1051.8933333333332"/>
    <n v="-2312.8858333333333"/>
    <n v="0"/>
    <n v="203182.42082784671"/>
  </r>
  <r>
    <n v="7006"/>
    <n v="103600"/>
    <s v="AX02K"/>
    <s v="Hamilton School"/>
    <x v="2"/>
    <x v="0"/>
    <n v="0"/>
    <n v="183328.75"/>
    <n v="0"/>
    <n v="0"/>
    <n v="213492.3826896346"/>
    <n v="0"/>
    <n v="0"/>
    <n v="0"/>
    <n v="0"/>
    <n v="396821.13268963457"/>
  </r>
  <r>
    <n v="2099"/>
    <n v="103214"/>
    <s v="AX02M"/>
    <s v="Hawthorn Primary School"/>
    <x v="1"/>
    <x v="0"/>
    <n v="118426.91642741015"/>
    <n v="0"/>
    <n v="5333.333333333333"/>
    <n v="0"/>
    <n v="0"/>
    <n v="15772.381666666664"/>
    <n v="-454.22666666666663"/>
    <n v="-1323.6333333333334"/>
    <n v="0"/>
    <n v="137754.77142741016"/>
  </r>
  <r>
    <n v="1010"/>
    <n v="103125"/>
    <s v="AX02P"/>
    <s v="Highfield Nursery School"/>
    <x v="0"/>
    <x v="0"/>
    <n v="0"/>
    <n v="0"/>
    <n v="0"/>
    <n v="0"/>
    <n v="0"/>
    <n v="0"/>
    <n v="0"/>
    <n v="0"/>
    <n v="0"/>
    <n v="0"/>
  </r>
  <r>
    <n v="1021"/>
    <n v="103134"/>
    <s v="AX02R"/>
    <s v="Highters Heath Nursery School"/>
    <x v="0"/>
    <x v="0"/>
    <n v="0"/>
    <n v="0"/>
    <n v="0"/>
    <n v="0"/>
    <n v="0"/>
    <n v="0"/>
    <n v="0"/>
    <n v="0"/>
    <n v="0"/>
    <n v="0"/>
  </r>
  <r>
    <n v="4201"/>
    <n v="103503"/>
    <s v="AX0A1"/>
    <s v="Hodge Hill College"/>
    <x v="3"/>
    <x v="0"/>
    <n v="805280.44425538322"/>
    <n v="0"/>
    <n v="0"/>
    <n v="0"/>
    <n v="0"/>
    <n v="0"/>
    <n v="-2019.71"/>
    <n v="-15669.894999999999"/>
    <n v="0"/>
    <n v="787590.83925538324"/>
  </r>
  <r>
    <n v="4015"/>
    <n v="103483"/>
    <s v="AX0A2"/>
    <s v="Hodge Hill Girls' School"/>
    <x v="3"/>
    <x v="0"/>
    <n v="492532.43308832427"/>
    <n v="0"/>
    <n v="0"/>
    <n v="0"/>
    <n v="0"/>
    <n v="0"/>
    <n v="-1263.1575"/>
    <n v="-6507.6741666666667"/>
    <n v="0"/>
    <n v="484761.6014216576"/>
  </r>
  <r>
    <n v="3411"/>
    <n v="103479"/>
    <s v="AX02U"/>
    <s v="Holly Hill Methodist CofE Infant School"/>
    <x v="1"/>
    <x v="0"/>
    <n v="88921.046441176484"/>
    <n v="0"/>
    <n v="0"/>
    <n v="0"/>
    <n v="0"/>
    <n v="0"/>
    <n v="-308.61333333333329"/>
    <n v="-2804.5666666666671"/>
    <n v="0"/>
    <n v="85807.866441176491"/>
  </r>
  <r>
    <n v="4223"/>
    <n v="103509"/>
    <s v="AX0A4"/>
    <s v="Holte School"/>
    <x v="3"/>
    <x v="0"/>
    <n v="704997.52521904919"/>
    <n v="0"/>
    <n v="0"/>
    <n v="105956.08333333334"/>
    <n v="0"/>
    <n v="0"/>
    <n v="-1672.4675"/>
    <n v="-15542.685833333335"/>
    <n v="0"/>
    <n v="793738.45521904924"/>
  </r>
  <r>
    <n v="3317"/>
    <n v="103421"/>
    <s v="AX02Y"/>
    <s v="Holy Family Catholic Primary School"/>
    <x v="1"/>
    <x v="0"/>
    <n v="112161.39957188589"/>
    <n v="0"/>
    <n v="0"/>
    <n v="0"/>
    <n v="0"/>
    <n v="0"/>
    <n v="-449.87999999999994"/>
    <n v="-437.24666666666667"/>
    <n v="0"/>
    <n v="111274.27290521922"/>
  </r>
  <r>
    <n v="1023"/>
    <n v="103136"/>
    <s v="AX0A7"/>
    <s v="Jakeman Nursery School"/>
    <x v="0"/>
    <x v="0"/>
    <n v="0"/>
    <n v="0"/>
    <n v="0"/>
    <n v="0"/>
    <n v="0"/>
    <n v="0"/>
    <n v="0"/>
    <n v="0"/>
    <n v="0"/>
    <n v="0"/>
  </r>
  <r>
    <n v="2015"/>
    <n v="134102"/>
    <s v="AX032"/>
    <s v="James Watt Primary School"/>
    <x v="1"/>
    <x v="0"/>
    <n v="207102.55030048778"/>
    <n v="0"/>
    <n v="0"/>
    <n v="0"/>
    <n v="0"/>
    <n v="0"/>
    <n v="-851.9466666666666"/>
    <n v="-3444.3416666666667"/>
    <n v="0"/>
    <n v="202806.26196715445"/>
  </r>
  <r>
    <n v="4063"/>
    <n v="103486"/>
    <s v="AX036"/>
    <s v="Kings Heath Secondary School"/>
    <x v="3"/>
    <x v="0"/>
    <n v="557806.13681036769"/>
    <n v="0"/>
    <n v="0"/>
    <n v="0"/>
    <n v="0"/>
    <n v="0"/>
    <n v="-1320.1924999999999"/>
    <n v="-10079.196666666667"/>
    <n v="0"/>
    <n v="546406.74764370103"/>
  </r>
  <r>
    <n v="1016"/>
    <n v="103129"/>
    <s v="AX03A"/>
    <s v="Kings Norton Nursery School"/>
    <x v="0"/>
    <x v="0"/>
    <n v="0"/>
    <n v="0"/>
    <n v="0"/>
    <n v="0"/>
    <n v="0"/>
    <n v="0"/>
    <n v="0"/>
    <n v="0"/>
    <n v="0"/>
    <n v="0"/>
  </r>
  <r>
    <n v="2115"/>
    <n v="103221"/>
    <s v="AX03B"/>
    <s v="Kingsland Primary School (NC)"/>
    <x v="1"/>
    <x v="0"/>
    <n v="141501.59487211352"/>
    <n v="0"/>
    <n v="0"/>
    <n v="0"/>
    <n v="0"/>
    <n v="0"/>
    <n v="-606.36"/>
    <n v="-3489.1458333333335"/>
    <n v="0"/>
    <n v="137406.08903878019"/>
  </r>
  <r>
    <n v="2441"/>
    <n v="103368"/>
    <s v="AX03C"/>
    <s v="Kingsthorne Primary School"/>
    <x v="1"/>
    <x v="0"/>
    <n v="179718.18395777454"/>
    <n v="0"/>
    <n v="0"/>
    <n v="0"/>
    <n v="0"/>
    <n v="0"/>
    <n v="-743.27999999999986"/>
    <n v="-1194.4983333333332"/>
    <n v="0"/>
    <n v="177780.40562444122"/>
  </r>
  <r>
    <n v="2321"/>
    <n v="103339"/>
    <s v="AX03D"/>
    <s v="Kitwell Primary School"/>
    <x v="1"/>
    <x v="0"/>
    <n v="101701.63364909157"/>
    <n v="0"/>
    <n v="0"/>
    <n v="0"/>
    <n v="0"/>
    <n v="0"/>
    <n v="-389.02666666666664"/>
    <n v="-1312.8724999999999"/>
    <n v="0"/>
    <n v="99999.734482424901"/>
  </r>
  <r>
    <n v="7062"/>
    <n v="103632"/>
    <s v="AX03K"/>
    <s v="Lindsworth School"/>
    <x v="2"/>
    <x v="0"/>
    <n v="0"/>
    <n v="130817.49999999997"/>
    <n v="0"/>
    <n v="0"/>
    <n v="213283.7598226004"/>
    <n v="0"/>
    <n v="0"/>
    <n v="0"/>
    <n v="0"/>
    <n v="344101.2598226004"/>
  </r>
  <r>
    <n v="2462"/>
    <n v="103388"/>
    <s v="AX03L"/>
    <s v="Little Sutton Primary School"/>
    <x v="1"/>
    <x v="0"/>
    <n v="179102.035"/>
    <n v="0"/>
    <n v="0"/>
    <n v="0"/>
    <n v="0"/>
    <n v="0"/>
    <n v="-917.14666666666653"/>
    <n v="-4851.2016666666668"/>
    <n v="0"/>
    <n v="173333.68666666668"/>
  </r>
  <r>
    <n v="7012"/>
    <n v="103603"/>
    <s v="AX03M"/>
    <s v="Longwill Primary School for Deaf Children"/>
    <x v="2"/>
    <x v="0"/>
    <n v="0"/>
    <n v="59881.25"/>
    <n v="0"/>
    <n v="0"/>
    <n v="14656.003322436092"/>
    <n v="0"/>
    <n v="0"/>
    <n v="0"/>
    <n v="0"/>
    <n v="74537.253322436096"/>
  </r>
  <r>
    <n v="2127"/>
    <n v="103227"/>
    <s v="AX0AN"/>
    <s v="Lozells Junior and Infant School and Nursery"/>
    <x v="1"/>
    <x v="0"/>
    <n v="221074.48282842504"/>
    <n v="0"/>
    <n v="0"/>
    <n v="0"/>
    <n v="0"/>
    <n v="0"/>
    <n v="-912.79999999999984"/>
    <n v="-5180.8949999999995"/>
    <n v="0"/>
    <n v="214980.78782842506"/>
  </r>
  <r>
    <n v="2129"/>
    <n v="103229"/>
    <s v="AX03N"/>
    <s v="Lyndon Green Infant School"/>
    <x v="1"/>
    <x v="0"/>
    <n v="120440.98821474276"/>
    <n v="0"/>
    <n v="6000"/>
    <n v="0"/>
    <n v="0"/>
    <n v="13424.404999999999"/>
    <n v="-573.76"/>
    <n v="-1462.7916666666667"/>
    <n v="0"/>
    <n v="137828.8415480761"/>
  </r>
  <r>
    <n v="2128"/>
    <n v="103228"/>
    <s v="AX03P"/>
    <s v="Lyndon Green Junior School"/>
    <x v="1"/>
    <x v="0"/>
    <n v="166742.18271349205"/>
    <n v="0"/>
    <n v="6000"/>
    <n v="0"/>
    <n v="0"/>
    <n v="-2023.2958333333336"/>
    <n v="-801.95999999999992"/>
    <n v="-1584.6899999999998"/>
    <n v="0"/>
    <n v="168332.23688015871"/>
  </r>
  <r>
    <n v="2420"/>
    <n v="103353"/>
    <s v="AX03Q"/>
    <s v="Maney Hill Primary School"/>
    <x v="1"/>
    <x v="0"/>
    <n v="176295.47"/>
    <n v="0"/>
    <n v="0"/>
    <n v="0"/>
    <n v="0"/>
    <n v="0"/>
    <n v="-917.14666666666653"/>
    <n v="-2044.6366666666665"/>
    <n v="0"/>
    <n v="173333.68666666668"/>
  </r>
  <r>
    <n v="1012"/>
    <n v="103126"/>
    <s v="AX03W"/>
    <s v="Marsh Hill Nursery School"/>
    <x v="0"/>
    <x v="0"/>
    <n v="0"/>
    <n v="0"/>
    <n v="0"/>
    <n v="0"/>
    <n v="0"/>
    <n v="0"/>
    <n v="0"/>
    <n v="0"/>
    <n v="0"/>
    <n v="0"/>
  </r>
  <r>
    <n v="2133"/>
    <n v="103233"/>
    <s v="AX03V"/>
    <s v="Marsh Hill Primary School"/>
    <x v="1"/>
    <x v="0"/>
    <n v="227005.63401081041"/>
    <n v="0"/>
    <n v="0"/>
    <n v="0"/>
    <n v="0"/>
    <n v="0"/>
    <n v="-910.62666666666655"/>
    <n v="-3864.56"/>
    <n v="0"/>
    <n v="222230.44734414373"/>
  </r>
  <r>
    <n v="2406"/>
    <n v="103345"/>
    <s v="AX040"/>
    <s v="Minworth Junior and Infant School"/>
    <x v="1"/>
    <x v="0"/>
    <n v="105642.93893333334"/>
    <n v="0"/>
    <n v="0"/>
    <n v="0"/>
    <n v="0"/>
    <n v="0"/>
    <n v="-439.01333333333332"/>
    <n v="-1029.9541666666667"/>
    <n v="0"/>
    <n v="104173.97143333334"/>
  </r>
  <r>
    <n v="2416"/>
    <n v="103351"/>
    <s v="AX041"/>
    <s v="Moor Hall Primary School"/>
    <x v="1"/>
    <x v="0"/>
    <n v="177792.9"/>
    <n v="0"/>
    <n v="0"/>
    <n v="0"/>
    <n v="0"/>
    <n v="0"/>
    <n v="-921.49333333333334"/>
    <n v="-2716.2333333333331"/>
    <n v="0"/>
    <n v="174155.17333333331"/>
  </r>
  <r>
    <n v="3003"/>
    <n v="103398"/>
    <s v="AX042"/>
    <s v="Moseley Church of England Primary School"/>
    <x v="1"/>
    <x v="0"/>
    <n v="93639.917706539083"/>
    <n v="0"/>
    <n v="0"/>
    <n v="0"/>
    <n v="0"/>
    <n v="0"/>
    <n v="-456.39999999999992"/>
    <n v="-4107.4749999999995"/>
    <n v="0"/>
    <n v="89076.042706539083"/>
  </r>
  <r>
    <n v="4245"/>
    <n v="103519"/>
    <s v="AX0AW"/>
    <s v="Moseley School and Sixth Form"/>
    <x v="3"/>
    <x v="0"/>
    <n v="867811.99049153959"/>
    <n v="0"/>
    <n v="0"/>
    <n v="117252.25"/>
    <n v="0"/>
    <n v="0"/>
    <n v="-2122.0374999999999"/>
    <n v="-1907.9883333333335"/>
    <n v="0"/>
    <n v="981034.21465820633"/>
  </r>
  <r>
    <n v="2457"/>
    <n v="103384"/>
    <s v="AX044"/>
    <s v="Nelson Mandela School"/>
    <x v="1"/>
    <x v="0"/>
    <n v="209840.99375245965"/>
    <n v="0"/>
    <n v="486.11111111111114"/>
    <n v="0"/>
    <n v="0"/>
    <n v="-3970.375"/>
    <n v="-904.10666666666657"/>
    <n v="-2649.9841666666666"/>
    <n v="0"/>
    <n v="202802.63903023745"/>
  </r>
  <r>
    <n v="2142"/>
    <n v="103237"/>
    <s v="AX043"/>
    <s v="Nelson Primary School"/>
    <x v="1"/>
    <x v="0"/>
    <n v="221130.64092242206"/>
    <n v="0"/>
    <n v="0"/>
    <n v="0"/>
    <n v="0"/>
    <n v="0"/>
    <n v="-899.75999999999988"/>
    <n v="-1926.2633333333333"/>
    <n v="0"/>
    <n v="218304.61758908871"/>
  </r>
  <r>
    <n v="2469"/>
    <n v="103395"/>
    <s v="AX045"/>
    <s v="New Hall Primary School"/>
    <x v="1"/>
    <x v="0"/>
    <n v="155733.99456925088"/>
    <n v="0"/>
    <n v="0"/>
    <n v="0"/>
    <n v="0"/>
    <n v="0"/>
    <n v="-688.9466666666666"/>
    <n v="-2087.6824999999999"/>
    <n v="0"/>
    <n v="152957.36540258423"/>
  </r>
  <r>
    <n v="1049"/>
    <n v="103145"/>
    <s v="AX04B"/>
    <s v="Osborne Nursery School"/>
    <x v="0"/>
    <x v="0"/>
    <n v="0"/>
    <n v="0"/>
    <n v="0"/>
    <n v="0"/>
    <n v="0"/>
    <n v="0"/>
    <n v="0"/>
    <n v="0"/>
    <n v="0"/>
    <n v="0"/>
  </r>
  <r>
    <n v="3351"/>
    <n v="103443"/>
    <s v="AX04D"/>
    <s v="Our Lady and St Rose of Lima Catholic Primary School"/>
    <x v="1"/>
    <x v="0"/>
    <n v="109810.31332559243"/>
    <n v="0"/>
    <n v="0"/>
    <n v="0"/>
    <n v="0"/>
    <n v="0"/>
    <n v="-452.05333333333328"/>
    <n v="-1800.9108333333334"/>
    <n v="0"/>
    <n v="107557.34915892578"/>
  </r>
  <r>
    <n v="3328"/>
    <n v="103430"/>
    <s v="AX04E"/>
    <s v="Our Lady of Lourdes Catholic Primary School"/>
    <x v="1"/>
    <x v="0"/>
    <n v="98763.24098850158"/>
    <n v="0"/>
    <n v="0"/>
    <n v="0"/>
    <n v="0"/>
    <n v="0"/>
    <n v="-454.22666666666663"/>
    <n v="-289.29000000000002"/>
    <n v="0"/>
    <n v="98019.724321834918"/>
  </r>
  <r>
    <n v="1008"/>
    <n v="103123"/>
    <s v="AX04N"/>
    <s v="Perry Beeches Nursery School"/>
    <x v="0"/>
    <x v="0"/>
    <n v="0"/>
    <n v="0"/>
    <n v="0"/>
    <n v="0"/>
    <n v="0"/>
    <n v="0"/>
    <n v="0"/>
    <n v="0"/>
    <n v="0"/>
    <n v="0"/>
  </r>
  <r>
    <n v="4173"/>
    <n v="103497"/>
    <s v="AX0BD"/>
    <s v="Queensbridge School"/>
    <x v="3"/>
    <x v="0"/>
    <n v="576674.70757043536"/>
    <n v="0"/>
    <n v="0"/>
    <n v="0"/>
    <n v="0"/>
    <n v="0"/>
    <n v="-1523.17"/>
    <n v="-6782.2633333333333"/>
    <n v="0"/>
    <n v="568369.27423710201"/>
  </r>
  <r>
    <n v="2159"/>
    <n v="103247"/>
    <s v="AX04W"/>
    <s v="Redhill Primary School"/>
    <x v="1"/>
    <x v="0"/>
    <n v="111933.20718056239"/>
    <n v="0"/>
    <n v="0"/>
    <n v="0"/>
    <n v="0"/>
    <n v="0"/>
    <n v="-452.05333333333328"/>
    <n v="-1388.2008333333333"/>
    <n v="0"/>
    <n v="110092.95301389572"/>
  </r>
  <r>
    <n v="2161"/>
    <n v="103249"/>
    <s v="AX04X"/>
    <s v="Rednal Hill Infant School"/>
    <x v="1"/>
    <x v="0"/>
    <n v="120643.22114117646"/>
    <n v="0"/>
    <n v="0"/>
    <n v="0"/>
    <n v="0"/>
    <n v="0"/>
    <n v="-521.6"/>
    <n v="-1182.5550000000001"/>
    <n v="0"/>
    <n v="118939.06614117646"/>
  </r>
  <r>
    <n v="2160"/>
    <n v="103248"/>
    <s v="AX04Y"/>
    <s v="Rednal Hill Junior School"/>
    <x v="1"/>
    <x v="0"/>
    <n v="169918.09528819649"/>
    <n v="0"/>
    <n v="0"/>
    <n v="0"/>
    <n v="0"/>
    <n v="0"/>
    <n v="-745.45333333333326"/>
    <n v="-2196.1749999999997"/>
    <n v="0"/>
    <n v="166976.46695486316"/>
  </r>
  <r>
    <n v="2063"/>
    <n v="103193"/>
    <s v="AX04Z"/>
    <s v="Regents Park Community Primary School"/>
    <x v="1"/>
    <x v="0"/>
    <n v="206415.28848924456"/>
    <n v="0"/>
    <n v="0"/>
    <n v="0"/>
    <n v="0"/>
    <n v="0"/>
    <n v="-823.69333333333327"/>
    <n v="-5039.5983333333334"/>
    <n v="0"/>
    <n v="200551.9968225779"/>
  </r>
  <r>
    <n v="1018"/>
    <n v="103131"/>
    <s v="AX052"/>
    <s v="Rubery Nursery School"/>
    <x v="0"/>
    <x v="0"/>
    <n v="0"/>
    <n v="0"/>
    <n v="0"/>
    <n v="0"/>
    <n v="0"/>
    <n v="0"/>
    <n v="0"/>
    <n v="0"/>
    <n v="0"/>
    <n v="0"/>
  </r>
  <r>
    <n v="7033"/>
    <n v="103613"/>
    <s v="AX0BK"/>
    <s v="Selly Oak Trust School"/>
    <x v="2"/>
    <x v="0"/>
    <n v="0"/>
    <n v="363893.75"/>
    <n v="0"/>
    <n v="0"/>
    <n v="225704.02897913684"/>
    <n v="0"/>
    <n v="0"/>
    <n v="0"/>
    <n v="0"/>
    <n v="589597.77897913684"/>
  </r>
  <r>
    <n v="4177"/>
    <n v="103498"/>
    <s v="AX0BL"/>
    <s v="Selly Park Girls' School"/>
    <x v="3"/>
    <x v="0"/>
    <n v="558895.44298088772"/>
    <n v="0"/>
    <n v="0"/>
    <n v="0"/>
    <n v="0"/>
    <n v="0"/>
    <n v="-1383.9375"/>
    <n v="-9325.6116666666658"/>
    <n v="0"/>
    <n v="548185.89381422102"/>
  </r>
  <r>
    <n v="2169"/>
    <n v="103252"/>
    <s v="AX054"/>
    <s v="Severne Junior Infant and Nursery School"/>
    <x v="1"/>
    <x v="0"/>
    <n v="195478.76442353948"/>
    <n v="0"/>
    <n v="0"/>
    <n v="0"/>
    <n v="0"/>
    <n v="0"/>
    <n v="-791.09333333333325"/>
    <n v="-2473.3183333333332"/>
    <n v="0"/>
    <n v="192214.35275687283"/>
  </r>
  <r>
    <n v="2008"/>
    <n v="103157"/>
    <s v="AX055"/>
    <s v="Shaw Hill Primary School"/>
    <x v="1"/>
    <x v="0"/>
    <n v="211254.96402570754"/>
    <n v="0"/>
    <n v="0"/>
    <n v="0"/>
    <n v="0"/>
    <n v="0"/>
    <n v="-925.84"/>
    <n v="-2407.0691666666667"/>
    <n v="0"/>
    <n v="207922.05485904089"/>
  </r>
  <r>
    <n v="1038"/>
    <n v="103142"/>
    <s v="AX056"/>
    <s v="Shenley Fields Nursery School"/>
    <x v="0"/>
    <x v="0"/>
    <n v="0"/>
    <n v="0"/>
    <n v="0"/>
    <n v="0"/>
    <n v="0"/>
    <n v="0"/>
    <n v="0"/>
    <n v="0"/>
    <n v="0"/>
    <n v="0"/>
  </r>
  <r>
    <n v="2174"/>
    <n v="103255"/>
    <s v="AX0BR"/>
    <s v="Sladefield Infant School"/>
    <x v="1"/>
    <x v="0"/>
    <n v="148907.44275853413"/>
    <n v="0"/>
    <n v="0"/>
    <n v="0"/>
    <n v="0"/>
    <n v="0"/>
    <n v="-651.99999999999989"/>
    <n v="-1711.0383333333332"/>
    <n v="0"/>
    <n v="146544.4044252008"/>
  </r>
  <r>
    <n v="2176"/>
    <n v="103256"/>
    <s v="AX059"/>
    <s v="Somerville Primary (NC) School"/>
    <x v="1"/>
    <x v="0"/>
    <n v="330700.92181069055"/>
    <n v="0"/>
    <n v="0"/>
    <n v="0"/>
    <n v="0"/>
    <n v="0"/>
    <n v="-1412.6666666666667"/>
    <n v="-5510.5883333333331"/>
    <n v="0"/>
    <n v="323777.66681069054"/>
  </r>
  <r>
    <n v="7047"/>
    <n v="103623"/>
    <s v="AX05A"/>
    <s v="Springfield House Community Special School"/>
    <x v="2"/>
    <x v="0"/>
    <n v="0"/>
    <n v="105943.75"/>
    <n v="0"/>
    <n v="0"/>
    <n v="128475.60797799386"/>
    <n v="0"/>
    <n v="0"/>
    <n v="0"/>
    <n v="0"/>
    <n v="234419.35797799384"/>
  </r>
  <r>
    <n v="3410"/>
    <n v="103478"/>
    <s v="AX061"/>
    <s v="SS John &amp; Monica Catholic Primary School"/>
    <x v="1"/>
    <x v="0"/>
    <n v="102174.13112361789"/>
    <n v="0"/>
    <n v="0"/>
    <n v="0"/>
    <n v="0"/>
    <n v="0"/>
    <n v="-449.87999999999994"/>
    <n v="-326.83083333333332"/>
    <n v="0"/>
    <n v="101397.42029028456"/>
  </r>
  <r>
    <n v="3381"/>
    <n v="103466"/>
    <s v="AX05C"/>
    <s v="St Alban's Catholic Primary School"/>
    <x v="1"/>
    <x v="0"/>
    <n v="97776.446306832542"/>
    <n v="0"/>
    <n v="0"/>
    <n v="0"/>
    <n v="0"/>
    <n v="0"/>
    <n v="-449.87999999999994"/>
    <n v="-331.24833333333333"/>
    <n v="0"/>
    <n v="96995.317973499201"/>
  </r>
  <r>
    <n v="3335"/>
    <n v="103434"/>
    <s v="AX05E"/>
    <s v="St Anne's Catholic Primary School"/>
    <x v="1"/>
    <x v="0"/>
    <n v="114490.23761317074"/>
    <n v="0"/>
    <n v="0"/>
    <n v="0"/>
    <n v="0"/>
    <n v="0"/>
    <n v="-443.35999999999996"/>
    <n v="-437.24666666666667"/>
    <n v="0"/>
    <n v="113609.63094650407"/>
  </r>
  <r>
    <n v="2183"/>
    <n v="103261"/>
    <s v="AX05H"/>
    <s v="St Benedict's Primary School"/>
    <x v="1"/>
    <x v="0"/>
    <n v="185305.4480464606"/>
    <n v="0"/>
    <n v="14666.666666666666"/>
    <n v="0"/>
    <n v="0"/>
    <n v="37206.120833333334"/>
    <n v="-743.27999999999986"/>
    <n v="-3116.1725000000001"/>
    <n v="0"/>
    <n v="233318.78304646062"/>
  </r>
  <r>
    <n v="3372"/>
    <n v="103460"/>
    <s v="AX05J"/>
    <s v="St Bernadette's Catholic Primary School"/>
    <x v="1"/>
    <x v="0"/>
    <n v="260411.62739799288"/>
    <n v="0"/>
    <n v="0"/>
    <n v="0"/>
    <n v="0"/>
    <n v="0"/>
    <n v="-1180.1199999999999"/>
    <n v="-481.41333333333336"/>
    <n v="0"/>
    <n v="258750.09406465956"/>
  </r>
  <r>
    <n v="3375"/>
    <n v="103462"/>
    <s v="AX05K"/>
    <s v="St Bernard's Catholic Primary School"/>
    <x v="1"/>
    <x v="0"/>
    <n v="188126.02876249808"/>
    <n v="0"/>
    <n v="0"/>
    <n v="0"/>
    <n v="0"/>
    <n v="0"/>
    <n v="-888.89333333333332"/>
    <n v="-315.78916666666663"/>
    <n v="0"/>
    <n v="186921.34626249809"/>
  </r>
  <r>
    <n v="3331"/>
    <n v="103433"/>
    <s v="AX05L"/>
    <s v="St Catherine of Siena Catholic Primary School"/>
    <x v="1"/>
    <x v="0"/>
    <n v="109565.63502102987"/>
    <n v="0"/>
    <n v="0"/>
    <n v="0"/>
    <n v="0"/>
    <n v="0"/>
    <n v="-458.57333333333327"/>
    <n v="-684.46333333333325"/>
    <n v="0"/>
    <n v="108422.5983543632"/>
  </r>
  <r>
    <n v="3386"/>
    <n v="103470"/>
    <s v="AX05P"/>
    <s v="St Cuthbert's Catholic Primary School"/>
    <x v="1"/>
    <x v="0"/>
    <n v="116200.14712701859"/>
    <n v="0"/>
    <n v="0"/>
    <n v="0"/>
    <n v="0"/>
    <n v="0"/>
    <n v="-460.74666666666667"/>
    <n v="-459.33"/>
    <n v="0"/>
    <n v="115280.07046035191"/>
  </r>
  <r>
    <n v="3363"/>
    <n v="103455"/>
    <s v="AX05Q"/>
    <s v="St Dunstan's Catholic Primary School"/>
    <x v="1"/>
    <x v="0"/>
    <n v="134087.48559622155"/>
    <n v="0"/>
    <n v="0"/>
    <n v="0"/>
    <n v="0"/>
    <n v="0"/>
    <n v="-632.43999999999994"/>
    <n v="-256.16500000000002"/>
    <n v="0"/>
    <n v="133198.88059622154"/>
  </r>
  <r>
    <n v="3355"/>
    <n v="103447"/>
    <s v="AX05U"/>
    <s v="St Edward's Catholic Primary School"/>
    <x v="1"/>
    <x v="0"/>
    <n v="173091.22167560973"/>
    <n v="0"/>
    <n v="0"/>
    <n v="0"/>
    <n v="0"/>
    <n v="0"/>
    <n v="-847.59999999999991"/>
    <n v="-516.74666666666667"/>
    <n v="0"/>
    <n v="171726.87500894305"/>
  </r>
  <r>
    <n v="3367"/>
    <n v="103458"/>
    <s v="AX05Y"/>
    <s v="St Gerard's Catholic Primary School"/>
    <x v="1"/>
    <x v="0"/>
    <n v="104333.57142815646"/>
    <n v="0"/>
    <n v="0"/>
    <n v="0"/>
    <n v="0"/>
    <n v="0"/>
    <n v="-449.87999999999994"/>
    <n v="-261.81833333333333"/>
    <n v="0"/>
    <n v="103621.87309482312"/>
  </r>
  <r>
    <n v="3010"/>
    <n v="103401"/>
    <s v="AX05Z"/>
    <s v="St James Church of England Primary School, Handsworth"/>
    <x v="1"/>
    <x v="0"/>
    <n v="215440.08588623707"/>
    <n v="0"/>
    <n v="0"/>
    <n v="0"/>
    <n v="0"/>
    <n v="0"/>
    <n v="-912.79999999999984"/>
    <n v="-1280.5883333333334"/>
    <n v="0"/>
    <n v="213246.69755290373"/>
  </r>
  <r>
    <n v="4625"/>
    <n v="103534"/>
    <s v="AX063"/>
    <s v="St John Wall Catholic School"/>
    <x v="3"/>
    <x v="0"/>
    <n v="434502.23169069208"/>
    <n v="0"/>
    <n v="0"/>
    <n v="0"/>
    <n v="0"/>
    <n v="0"/>
    <n v="-1050.115"/>
    <n v="-1157.1591666666666"/>
    <n v="0"/>
    <n v="432294.95752402541"/>
  </r>
  <r>
    <n v="3377"/>
    <n v="103463"/>
    <s v="AX066"/>
    <s v="St Jude's Catholic Primary School"/>
    <x v="1"/>
    <x v="0"/>
    <n v="108861.07280471781"/>
    <n v="0"/>
    <n v="0"/>
    <n v="0"/>
    <n v="0"/>
    <n v="0"/>
    <n v="-428.14666666666659"/>
    <n v="-340.08083333333332"/>
    <n v="0"/>
    <n v="108092.84530471782"/>
  </r>
  <r>
    <n v="3371"/>
    <n v="103459"/>
    <s v="AX067"/>
    <s v="St Laurence Church Infant School"/>
    <x v="1"/>
    <x v="0"/>
    <n v="124839.01862301887"/>
    <n v="0"/>
    <n v="0"/>
    <n v="0"/>
    <n v="0"/>
    <n v="0"/>
    <n v="-582.45333333333326"/>
    <n v="-1563.49"/>
    <n v="0"/>
    <n v="122693.07528968553"/>
  </r>
  <r>
    <n v="3307"/>
    <n v="103416"/>
    <s v="AX068"/>
    <s v="St Laurence Church Junior School"/>
    <x v="1"/>
    <x v="0"/>
    <n v="156826.14104027508"/>
    <n v="0"/>
    <n v="0"/>
    <n v="0"/>
    <n v="0"/>
    <n v="0"/>
    <n v="-778.05333333333328"/>
    <n v="-366.58166666666665"/>
    <n v="0"/>
    <n v="155681.50604027507"/>
  </r>
  <r>
    <n v="3361"/>
    <n v="103453"/>
    <s v="AX069"/>
    <s v="St Margaret Mary Catholic Primary School"/>
    <x v="1"/>
    <x v="0"/>
    <n v="160124.49475807211"/>
    <n v="0"/>
    <n v="0"/>
    <n v="0"/>
    <n v="0"/>
    <n v="0"/>
    <n v="-715.02666666666664"/>
    <n v="-578.58000000000004"/>
    <n v="0"/>
    <n v="158830.88809140545"/>
  </r>
  <r>
    <n v="3344"/>
    <n v="103438"/>
    <s v="AX06E"/>
    <s v="St Mary's Catholic Primary School"/>
    <x v="1"/>
    <x v="0"/>
    <n v="179318.41108022342"/>
    <n v="0"/>
    <n v="0"/>
    <n v="0"/>
    <n v="0"/>
    <n v="0"/>
    <n v="-912.79999999999984"/>
    <n v="-253.95666666666668"/>
    <n v="0"/>
    <n v="178151.65441355677"/>
  </r>
  <r>
    <n v="3025"/>
    <n v="103410"/>
    <s v="AX06D"/>
    <s v="St Mary's Church of England Primary School"/>
    <x v="1"/>
    <x v="0"/>
    <n v="184482.90249827644"/>
    <n v="0"/>
    <n v="0"/>
    <n v="0"/>
    <n v="0"/>
    <n v="0"/>
    <n v="-893.2399999999999"/>
    <n v="-427.17666666666668"/>
    <n v="0"/>
    <n v="183162.48583160978"/>
  </r>
  <r>
    <n v="3016"/>
    <n v="103404"/>
    <s v="AX06F"/>
    <s v="St Matthew's CofE Primary School"/>
    <x v="1"/>
    <x v="0"/>
    <n v="119821.98354523809"/>
    <n v="0"/>
    <n v="0"/>
    <n v="0"/>
    <n v="0"/>
    <n v="0"/>
    <n v="-443.35999999999996"/>
    <n v="-1302.1108333333334"/>
    <n v="0"/>
    <n v="118076.51271190475"/>
  </r>
  <r>
    <n v="4606"/>
    <n v="103531"/>
    <s v="AX0C4"/>
    <s v="St Paul's School for Girls"/>
    <x v="3"/>
    <x v="0"/>
    <n v="507535.86006059707"/>
    <n v="0"/>
    <n v="0"/>
    <n v="106607.83333333334"/>
    <n v="0"/>
    <n v="0"/>
    <n v="-1419.165"/>
    <n v="-1245.4925000000001"/>
    <n v="0"/>
    <n v="611479.03589393036"/>
  </r>
  <r>
    <n v="3428"/>
    <n v="134476"/>
    <s v="AX06L"/>
    <s v="St Peters CofE Primary School"/>
    <x v="1"/>
    <x v="0"/>
    <n v="184698.48630326742"/>
    <n v="0"/>
    <n v="0"/>
    <n v="0"/>
    <n v="0"/>
    <n v="0"/>
    <n v="-895.4133333333333"/>
    <n v="-3732.0608333333334"/>
    <n v="0"/>
    <n v="180071.01213660077"/>
  </r>
  <r>
    <n v="3019"/>
    <n v="103406"/>
    <s v="AX06N"/>
    <s v="St Saviour's C of E Primary School"/>
    <x v="1"/>
    <x v="0"/>
    <n v="209969.45721645703"/>
    <n v="0"/>
    <n v="0"/>
    <n v="0"/>
    <n v="0"/>
    <n v="0"/>
    <n v="-884.54666666666662"/>
    <n v="-2318.7358333333336"/>
    <n v="0"/>
    <n v="206766.17471645703"/>
  </r>
  <r>
    <n v="2178"/>
    <n v="103257"/>
    <s v="AX06W"/>
    <s v="Stanville Primary School"/>
    <x v="1"/>
    <x v="0"/>
    <n v="111206.30901642743"/>
    <n v="0"/>
    <n v="0"/>
    <n v="0"/>
    <n v="0"/>
    <n v="0"/>
    <n v="-447.70666666666665"/>
    <n v="-1366.6783333333333"/>
    <n v="0"/>
    <n v="109391.92401642744"/>
  </r>
  <r>
    <n v="2184"/>
    <n v="103262"/>
    <s v="AX06Y"/>
    <s v="Stechford Primary School"/>
    <x v="1"/>
    <x v="0"/>
    <n v="199834.64029712215"/>
    <n v="0"/>
    <n v="0"/>
    <n v="0"/>
    <n v="0"/>
    <n v="0"/>
    <n v="-899.75999999999988"/>
    <n v="-2561.6508333333336"/>
    <n v="0"/>
    <n v="196373.2294637888"/>
  </r>
  <r>
    <n v="2190"/>
    <n v="103266"/>
    <s v="AX072"/>
    <s v="Sundridge Primary School"/>
    <x v="1"/>
    <x v="0"/>
    <n v="86195.145566228079"/>
    <n v="0"/>
    <n v="0"/>
    <n v="0"/>
    <n v="0"/>
    <n v="0"/>
    <n v="-339.03999999999996"/>
    <n v="-1807.8891666666666"/>
    <n v="0"/>
    <n v="84048.216399561425"/>
  </r>
  <r>
    <n v="7035"/>
    <n v="103615"/>
    <s v="AX01M"/>
    <s v="The Dame Ellen Pinsent School"/>
    <x v="2"/>
    <x v="0"/>
    <n v="0"/>
    <n v="138187.5"/>
    <n v="0"/>
    <n v="0"/>
    <n v="181321.02791089873"/>
    <n v="0"/>
    <n v="0"/>
    <n v="0"/>
    <n v="0"/>
    <n v="319508.52791089873"/>
  </r>
  <r>
    <n v="7045"/>
    <n v="103622"/>
    <s v="AX04P"/>
    <s v="The Pines School"/>
    <x v="2"/>
    <x v="0"/>
    <n v="0"/>
    <n v="248737.5"/>
    <n v="0"/>
    <n v="0"/>
    <n v="309917.90595781128"/>
    <n v="0"/>
    <n v="0"/>
    <n v="0"/>
    <n v="0"/>
    <n v="558655.40595781128"/>
  </r>
  <r>
    <n v="2192"/>
    <n v="103268"/>
    <s v="AX075"/>
    <s v="Thornton Primary School"/>
    <x v="1"/>
    <x v="0"/>
    <n v="234163.32243650718"/>
    <n v="0"/>
    <n v="0"/>
    <n v="0"/>
    <n v="0"/>
    <n v="0"/>
    <n v="-1043.2"/>
    <n v="-2804.5666666666671"/>
    <n v="0"/>
    <n v="230315.55576984049"/>
  </r>
  <r>
    <n v="7014"/>
    <n v="103605"/>
    <s v="AX07A"/>
    <s v="Uffculme School"/>
    <x v="2"/>
    <x v="0"/>
    <n v="0"/>
    <n v="267162.5"/>
    <n v="0"/>
    <n v="0"/>
    <n v="354079.36264428654"/>
    <n v="0"/>
    <n v="0"/>
    <n v="0"/>
    <n v="0"/>
    <n v="621241.86264428659"/>
  </r>
  <r>
    <n v="7009"/>
    <n v="103601"/>
    <s v="AX0CG"/>
    <s v="Victoria School"/>
    <x v="2"/>
    <x v="0"/>
    <n v="0"/>
    <n v="210045"/>
    <n v="0"/>
    <n v="0"/>
    <n v="167466.35021710375"/>
    <n v="0"/>
    <n v="0"/>
    <n v="0"/>
    <n v="0"/>
    <n v="377511.35021710373"/>
  </r>
  <r>
    <n v="5203"/>
    <n v="103544"/>
    <s v="AX0CH"/>
    <s v="Walmley Infant School"/>
    <x v="1"/>
    <x v="0"/>
    <n v="111904.82059710675"/>
    <n v="0"/>
    <n v="0"/>
    <n v="0"/>
    <n v="0"/>
    <n v="0"/>
    <n v="-573.76"/>
    <n v="-522.59749999999997"/>
    <n v="0"/>
    <n v="110808.46309710675"/>
  </r>
  <r>
    <n v="5202"/>
    <n v="103543"/>
    <s v="AX0CJ"/>
    <s v="Walmley Junior School"/>
    <x v="1"/>
    <x v="0"/>
    <n v="149001.1225"/>
    <n v="0"/>
    <n v="0"/>
    <n v="0"/>
    <n v="0"/>
    <n v="0"/>
    <n v="-782.4"/>
    <n v="-351.1225"/>
    <n v="0"/>
    <n v="147867.6"/>
  </r>
  <r>
    <n v="2108"/>
    <n v="103217"/>
    <s v="AX07B"/>
    <s v="Ward End Primary School"/>
    <x v="1"/>
    <x v="0"/>
    <n v="402818.52180575248"/>
    <n v="0"/>
    <n v="9000"/>
    <n v="0"/>
    <n v="0"/>
    <n v="12585.225833333334"/>
    <n v="-1816.9066666666665"/>
    <n v="-6264.1733333333332"/>
    <n v="0"/>
    <n v="416322.66763908579"/>
  </r>
  <r>
    <n v="2306"/>
    <n v="103326"/>
    <s v="AX07E"/>
    <s v="Water Mill Primary School"/>
    <x v="1"/>
    <x v="0"/>
    <n v="109012.3701523752"/>
    <n v="0"/>
    <n v="0"/>
    <n v="0"/>
    <n v="0"/>
    <n v="0"/>
    <n v="-458.57333333333327"/>
    <n v="-1657.2325000000001"/>
    <n v="0"/>
    <n v="106896.56431904186"/>
  </r>
  <r>
    <n v="2308"/>
    <n v="103328"/>
    <s v="AX0CL"/>
    <s v="Welford Primary School"/>
    <x v="1"/>
    <x v="0"/>
    <n v="209081.37805270834"/>
    <n v="0"/>
    <n v="0"/>
    <n v="0"/>
    <n v="0"/>
    <n v="0"/>
    <n v="-847.59999999999991"/>
    <n v="-3003.3150000000001"/>
    <n v="0"/>
    <n v="205230.46305270834"/>
  </r>
  <r>
    <n v="2245"/>
    <n v="103295"/>
    <s v="AX07H"/>
    <s v="Welsh House Farm Community School and Special Needs Resources Base"/>
    <x v="1"/>
    <x v="0"/>
    <n v="127425.41398333333"/>
    <n v="0"/>
    <n v="6000"/>
    <n v="0"/>
    <n v="0"/>
    <n v="565.84333333333052"/>
    <n v="-458.57333333333327"/>
    <n v="-1549.6191666666666"/>
    <n v="0"/>
    <n v="131983.06481666665"/>
  </r>
  <r>
    <n v="1014"/>
    <n v="103127"/>
    <s v="AX07K"/>
    <s v="West Heath Nursery School"/>
    <x v="0"/>
    <x v="0"/>
    <n v="0"/>
    <n v="0"/>
    <n v="0"/>
    <n v="0"/>
    <n v="0"/>
    <n v="0"/>
    <n v="0"/>
    <n v="0"/>
    <n v="0"/>
    <n v="0"/>
  </r>
  <r>
    <n v="2011"/>
    <n v="134099"/>
    <s v="AX07P"/>
    <s v="Wheelers Lane Primary School"/>
    <x v="1"/>
    <x v="0"/>
    <n v="283292.82346017752"/>
    <n v="0"/>
    <n v="0"/>
    <n v="0"/>
    <n v="0"/>
    <n v="0"/>
    <n v="-1325.7333333333333"/>
    <n v="-7754.1725000000006"/>
    <n v="0"/>
    <n v="274212.9176268442"/>
  </r>
  <r>
    <n v="4193"/>
    <n v="103501"/>
    <s v="AX07N"/>
    <s v="Wheelers Lane Technology College"/>
    <x v="3"/>
    <x v="0"/>
    <n v="434180.79455509712"/>
    <n v="0"/>
    <n v="0"/>
    <n v="0"/>
    <n v="0"/>
    <n v="0"/>
    <n v="-1132.3125"/>
    <n v="-10503.088333333333"/>
    <n v="0"/>
    <n v="422545.3937217638"/>
  </r>
  <r>
    <n v="2478"/>
    <n v="132007"/>
    <s v="AX07Q"/>
    <s v="Whitehouse Common Primary School"/>
    <x v="1"/>
    <x v="0"/>
    <n v="179001.63166666668"/>
    <n v="0"/>
    <n v="0"/>
    <n v="0"/>
    <n v="0"/>
    <n v="0"/>
    <n v="-921.49333333333334"/>
    <n v="-3924.9650000000001"/>
    <n v="0"/>
    <n v="174155.17333333334"/>
  </r>
  <r>
    <n v="2293"/>
    <n v="103317"/>
    <s v="AX07T"/>
    <s v="William Murdoch Primary School"/>
    <x v="1"/>
    <x v="0"/>
    <n v="280337.50123075425"/>
    <n v="0"/>
    <n v="0"/>
    <n v="0"/>
    <n v="0"/>
    <n v="0"/>
    <n v="-1243.1466666666665"/>
    <n v="-3422.8958333333335"/>
    <n v="0"/>
    <n v="275671.45873075427"/>
  </r>
  <r>
    <n v="2278"/>
    <n v="103310"/>
    <s v="AX07V"/>
    <s v="Woodgate Primary School"/>
    <x v="1"/>
    <x v="0"/>
    <n v="207812.10193569949"/>
    <n v="0"/>
    <n v="0"/>
    <n v="0"/>
    <n v="0"/>
    <n v="0"/>
    <n v="-871.50666666666666"/>
    <n v="-2044.6366666666665"/>
    <n v="0"/>
    <n v="204895.95860236618"/>
  </r>
  <r>
    <n v="2317"/>
    <n v="103337"/>
    <s v="AX07X"/>
    <s v="World's End Infant and Nursery School"/>
    <x v="1"/>
    <x v="0"/>
    <n v="127259.80075558827"/>
    <n v="0"/>
    <n v="1833.3333333333333"/>
    <n v="0"/>
    <n v="0"/>
    <n v="2650.07"/>
    <n v="-545.50666666666666"/>
    <n v="-1281.9291666666666"/>
    <n v="0"/>
    <n v="129915.76825558828"/>
  </r>
  <r>
    <n v="2225"/>
    <n v="103279"/>
    <s v="AX0CQ"/>
    <s v="World's End Junior School"/>
    <x v="1"/>
    <x v="0"/>
    <n v="181021.37439856867"/>
    <n v="0"/>
    <n v="4000"/>
    <n v="0"/>
    <n v="0"/>
    <n v="736.53333333333467"/>
    <n v="-784.57333333333327"/>
    <n v="-1699.3025"/>
    <n v="0"/>
    <n v="183274.03189856868"/>
  </r>
  <r>
    <n v="2412"/>
    <n v="103349"/>
    <s v="AX07Y"/>
    <s v="Wylde Green Primary School"/>
    <x v="1"/>
    <x v="0"/>
    <n v="179346.94703330073"/>
    <n v="0"/>
    <n v="0"/>
    <n v="0"/>
    <n v="0"/>
    <n v="0"/>
    <n v="-891.06666666666661"/>
    <n v="-2672.0675000000001"/>
    <n v="0"/>
    <n v="175783.81286663405"/>
  </r>
  <r>
    <n v="3421"/>
    <n v="133996"/>
    <s v="AX080"/>
    <s v="Yardley Primary School"/>
    <x v="1"/>
    <x v="0"/>
    <n v="368904.04081865092"/>
    <n v="0"/>
    <n v="0"/>
    <n v="0"/>
    <n v="0"/>
    <n v="0"/>
    <n v="-1819.08"/>
    <n v="-2711.835"/>
    <n v="0"/>
    <n v="364373.12581865088"/>
  </r>
  <r>
    <n v="2227"/>
    <n v="103281"/>
    <s v="AX081"/>
    <s v="Yardley Wood Community Primary School"/>
    <x v="1"/>
    <x v="0"/>
    <n v="216480.87903687943"/>
    <n v="0"/>
    <n v="0"/>
    <n v="0"/>
    <n v="0"/>
    <n v="0"/>
    <n v="-882.37333333333333"/>
    <n v="-1743.3225"/>
    <n v="0"/>
    <n v="213855.1832035461"/>
  </r>
  <r>
    <n v="2231"/>
    <n v="103284"/>
    <s v="AX083"/>
    <s v="Yorkmead Junior and Infant School"/>
    <x v="1"/>
    <x v="0"/>
    <n v="206050.91922991283"/>
    <n v="0"/>
    <n v="0"/>
    <n v="0"/>
    <n v="0"/>
    <n v="0"/>
    <n v="-932.36"/>
    <n v="-2141.4883333333332"/>
    <n v="0"/>
    <n v="202977.07089657951"/>
  </r>
  <r>
    <n v="2014"/>
    <n v="103162"/>
    <s v="AX00C"/>
    <s v="Barford Primary School"/>
    <x v="1"/>
    <x v="0"/>
    <n v="195444.71590678542"/>
    <n v="0"/>
    <n v="0"/>
    <n v="0"/>
    <n v="0"/>
    <n v="0"/>
    <n v="-851.9466666666666"/>
    <n v="-2848.7325000000001"/>
    <n v="0"/>
    <n v="191744.03674011875"/>
  </r>
  <r>
    <n v="2456"/>
    <n v="103383"/>
    <s v="AX00J"/>
    <s v="Bells Farm Primary School"/>
    <x v="1"/>
    <x v="0"/>
    <n v="111643.72535166668"/>
    <n v="0"/>
    <n v="0"/>
    <n v="0"/>
    <n v="0"/>
    <n v="0"/>
    <n v="-436.84"/>
    <n v="-3643.728333333333"/>
    <n v="0"/>
    <n v="107563.15701833335"/>
  </r>
  <r>
    <n v="2254"/>
    <n v="103300"/>
    <s v="AX00Q"/>
    <s v="Blakesley Hall Primary School"/>
    <x v="1"/>
    <x v="0"/>
    <n v="270380.63894008211"/>
    <n v="0"/>
    <n v="7500"/>
    <n v="0"/>
    <n v="0"/>
    <n v="2690.0158333333311"/>
    <n v="-1134.4799999999998"/>
    <n v="-6452.57"/>
    <n v="0"/>
    <n v="272983.60477341543"/>
  </r>
  <r>
    <n v="1001"/>
    <n v="103120"/>
    <s v="AX00U"/>
    <s v="Bordesley Green East Nursery School"/>
    <x v="0"/>
    <x v="0"/>
    <n v="0"/>
    <n v="0"/>
    <n v="0"/>
    <n v="0"/>
    <n v="0"/>
    <n v="0"/>
    <n v="0"/>
    <n v="0"/>
    <n v="0"/>
    <n v="0"/>
  </r>
  <r>
    <n v="2464"/>
    <n v="103390"/>
    <s v="AX01G"/>
    <s v="Coppice Primary School"/>
    <x v="1"/>
    <x v="0"/>
    <n v="172380.8175"/>
    <n v="0"/>
    <n v="0"/>
    <n v="0"/>
    <n v="0"/>
    <n v="0"/>
    <n v="-893.2399999999999"/>
    <n v="-2672.0675000000001"/>
    <n v="0"/>
    <n v="168815.51"/>
  </r>
  <r>
    <n v="1802"/>
    <n v="103150"/>
    <s v="AX01Q"/>
    <s v="Edith Cadbury Nursery School"/>
    <x v="0"/>
    <x v="0"/>
    <n v="0"/>
    <n v="0"/>
    <n v="0"/>
    <n v="0"/>
    <n v="0"/>
    <n v="0"/>
    <n v="0"/>
    <n v="0"/>
    <n v="0"/>
    <n v="0"/>
  </r>
  <r>
    <n v="2091"/>
    <n v="103208"/>
    <s v="AX02F"/>
    <s v="Gunter Primary School"/>
    <x v="1"/>
    <x v="0"/>
    <n v="99890.018714409074"/>
    <n v="0"/>
    <n v="0"/>
    <n v="0"/>
    <n v="0"/>
    <n v="0"/>
    <n v="-404.24"/>
    <n v="-1409.7233333333334"/>
    <n v="0"/>
    <n v="98076.055381075741"/>
  </r>
  <r>
    <n v="2477"/>
    <n v="132261"/>
    <s v="AX02L"/>
    <s v="Harborne Primary School"/>
    <x v="1"/>
    <x v="0"/>
    <n v="353346.48249999998"/>
    <n v="0"/>
    <n v="0"/>
    <n v="0"/>
    <n v="0"/>
    <n v="0"/>
    <n v="-1810.3866666666665"/>
    <n v="-2782.4833333333336"/>
    <n v="0"/>
    <n v="348753.61249999999"/>
  </r>
  <r>
    <n v="3436"/>
    <n v="136440"/>
    <s v="AX09P"/>
    <s v="Harper Bell Seventh-Day Adventist School"/>
    <x v="1"/>
    <x v="0"/>
    <n v="91146.908286837119"/>
    <n v="0"/>
    <n v="0"/>
    <n v="0"/>
    <n v="0"/>
    <n v="0"/>
    <n v="-367.29333333333329"/>
    <n v="-556.49666666666667"/>
    <n v="0"/>
    <n v="90223.118286837111"/>
  </r>
  <r>
    <n v="2474"/>
    <n v="131672"/>
    <s v="AX02V"/>
    <s v="Hollyfield Primary School"/>
    <x v="1"/>
    <x v="0"/>
    <n v="183454.00588020586"/>
    <n v="0"/>
    <n v="0"/>
    <n v="0"/>
    <n v="0"/>
    <n v="0"/>
    <n v="-897.58666666666659"/>
    <n v="-2821.4583333333335"/>
    <n v="0"/>
    <n v="179734.96088020585"/>
  </r>
  <r>
    <n v="3352"/>
    <n v="103444"/>
    <s v="AX035"/>
    <s v="King David Junior and Infant School"/>
    <x v="1"/>
    <x v="0"/>
    <n v="76805.297614874551"/>
    <n v="0"/>
    <n v="0"/>
    <n v="0"/>
    <n v="0"/>
    <n v="0"/>
    <n v="-328.17333333333335"/>
    <n v="-600.6633333333333"/>
    <n v="0"/>
    <n v="75876.460948207881"/>
  </r>
  <r>
    <n v="2005"/>
    <n v="134098"/>
    <s v="AX037"/>
    <s v="Kings Heath Primary School"/>
    <x v="1"/>
    <x v="0"/>
    <n v="263431.23333333334"/>
    <n v="0"/>
    <n v="500"/>
    <n v="0"/>
    <n v="0"/>
    <n v="-2066.8825000000002"/>
    <n v="-1360.5066666666664"/>
    <n v="-4945.4000000000005"/>
    <n v="0"/>
    <n v="255558.44416666668"/>
  </r>
  <r>
    <n v="2189"/>
    <n v="103265"/>
    <s v="AX03E"/>
    <s v="Ladypool Primary School"/>
    <x v="1"/>
    <x v="0"/>
    <n v="121979.45641379313"/>
    <n v="0"/>
    <n v="0"/>
    <n v="0"/>
    <n v="0"/>
    <n v="0"/>
    <n v="-478.13333333333327"/>
    <n v="-2627.9008333333336"/>
    <n v="0"/>
    <n v="118873.42224712647"/>
  </r>
  <r>
    <n v="7060"/>
    <n v="103630"/>
    <s v="AX03G"/>
    <s v="Langley School"/>
    <x v="2"/>
    <x v="0"/>
    <n v="0"/>
    <n v="115156.25"/>
    <n v="0"/>
    <n v="0"/>
    <n v="138852.09162604512"/>
    <n v="0"/>
    <n v="0"/>
    <n v="0"/>
    <n v="0"/>
    <n v="254008.34162604512"/>
  </r>
  <r>
    <n v="1024"/>
    <n v="103137"/>
    <s v="AX03J"/>
    <s v="Lillian de Lissa Nursery School"/>
    <x v="0"/>
    <x v="0"/>
    <n v="0"/>
    <n v="0"/>
    <n v="0"/>
    <n v="0"/>
    <n v="0"/>
    <n v="0"/>
    <n v="0"/>
    <n v="0"/>
    <n v="3150.8"/>
    <n v="3150.8"/>
  </r>
  <r>
    <n v="2004"/>
    <n v="134094"/>
    <s v="AX03R"/>
    <s v="Mapledene Primary School"/>
    <x v="1"/>
    <x v="0"/>
    <n v="145439.36751215276"/>
    <n v="0"/>
    <n v="0"/>
    <n v="0"/>
    <n v="0"/>
    <n v="0"/>
    <n v="-649.8266666666666"/>
    <n v="-1969.3083333333334"/>
    <n v="0"/>
    <n v="142820.23251215278"/>
  </r>
  <r>
    <n v="1028"/>
    <n v="103141"/>
    <s v="AX047"/>
    <s v="Newtown Nursery School"/>
    <x v="0"/>
    <x v="0"/>
    <n v="0"/>
    <n v="0"/>
    <n v="0"/>
    <n v="0"/>
    <n v="0"/>
    <n v="0"/>
    <n v="0"/>
    <n v="0"/>
    <n v="0"/>
    <n v="0"/>
  </r>
  <r>
    <n v="2150"/>
    <n v="103241"/>
    <s v="AX04J"/>
    <s v="Park Hill Primary School"/>
    <x v="1"/>
    <x v="0"/>
    <n v="131594.02875637254"/>
    <n v="0"/>
    <n v="0"/>
    <n v="0"/>
    <n v="0"/>
    <n v="0"/>
    <n v="-560.71999999999991"/>
    <n v="-2937.0658333333336"/>
    <n v="0"/>
    <n v="128096.24292303922"/>
  </r>
  <r>
    <n v="2425"/>
    <n v="103356"/>
    <s v="AX04K"/>
    <s v="Penns Primary School"/>
    <x v="1"/>
    <x v="0"/>
    <n v="92425.095737717216"/>
    <n v="0"/>
    <n v="0"/>
    <n v="0"/>
    <n v="0"/>
    <n v="0"/>
    <n v="-454.22666666666663"/>
    <n v="-1302.1108333333334"/>
    <n v="0"/>
    <n v="90668.758237717208"/>
  </r>
  <r>
    <n v="7034"/>
    <n v="103614"/>
    <s v="AX04Q"/>
    <s v="Priestley Smith School"/>
    <x v="2"/>
    <x v="0"/>
    <n v="0"/>
    <n v="82912.5"/>
    <n v="0"/>
    <n v="0"/>
    <n v="19429.592106613258"/>
    <n v="0"/>
    <n v="0"/>
    <n v="0"/>
    <n v="0"/>
    <n v="102342.09210661326"/>
  </r>
  <r>
    <n v="1000"/>
    <n v="137796"/>
    <s v="AX053"/>
    <s v="Selly Oak Nursery School"/>
    <x v="0"/>
    <x v="0"/>
    <n v="0"/>
    <n v="0"/>
    <n v="0"/>
    <n v="0"/>
    <n v="0"/>
    <n v="0"/>
    <n v="0"/>
    <n v="0"/>
    <n v="0"/>
    <n v="0"/>
  </r>
  <r>
    <n v="3382"/>
    <n v="103467"/>
    <s v="AX06B"/>
    <s v="St Martin de Porres Catholic Primary School"/>
    <x v="1"/>
    <x v="0"/>
    <n v="103984.99057956651"/>
    <n v="0"/>
    <n v="0"/>
    <n v="0"/>
    <n v="0"/>
    <n v="0"/>
    <n v="-456.39999999999992"/>
    <n v="-379.83166666666665"/>
    <n v="0"/>
    <n v="103148.75891289985"/>
  </r>
  <r>
    <n v="3346"/>
    <n v="103439"/>
    <s v="AX06H"/>
    <s v="St Patrick and St Edmund's Catholic Primary School"/>
    <x v="1"/>
    <x v="0"/>
    <n v="192477.81855907085"/>
    <n v="0"/>
    <n v="0"/>
    <n v="0"/>
    <n v="0"/>
    <n v="0"/>
    <n v="-773.70666666666659"/>
    <n v="-594.03750000000002"/>
    <n v="0"/>
    <n v="191110.07439240417"/>
  </r>
  <r>
    <n v="1009"/>
    <n v="103124"/>
    <s v="AX06R"/>
    <s v="St Thomas Centre Nursery School"/>
    <x v="0"/>
    <x v="0"/>
    <n v="0"/>
    <n v="0"/>
    <n v="0"/>
    <n v="0"/>
    <n v="0"/>
    <n v="0"/>
    <n v="0"/>
    <n v="0"/>
    <n v="0"/>
    <n v="0"/>
  </r>
  <r>
    <n v="1019"/>
    <n v="103132"/>
    <s v="AX07D"/>
    <s v="Washwood Heath Nursery School"/>
    <x v="0"/>
    <x v="0"/>
    <n v="0"/>
    <n v="0"/>
    <n v="0"/>
    <n v="0"/>
    <n v="0"/>
    <n v="0"/>
    <n v="0"/>
    <n v="0"/>
    <n v="0"/>
    <n v="0"/>
  </r>
  <r>
    <n v="1020"/>
    <n v="103133"/>
    <s v="AX07J"/>
    <s v="Weoley Castle Nursery School"/>
    <x v="0"/>
    <x v="0"/>
    <n v="0"/>
    <n v="0"/>
    <n v="0"/>
    <n v="0"/>
    <n v="0"/>
    <n v="0"/>
    <n v="0"/>
    <n v="0"/>
    <n v="0"/>
    <n v="0"/>
  </r>
  <r>
    <n v="2019"/>
    <n v="134279"/>
    <s v="AX07L"/>
    <s v="West Heath Primary School"/>
    <x v="1"/>
    <x v="0"/>
    <n v="198358.81435833327"/>
    <n v="0"/>
    <n v="0"/>
    <n v="0"/>
    <n v="0"/>
    <n v="0"/>
    <n v="-880.19999999999993"/>
    <n v="-5117.1883333333335"/>
    <n v="0"/>
    <n v="192361.42602499994"/>
  </r>
  <r>
    <n v="2445"/>
    <n v="103372"/>
    <s v="AX07U"/>
    <s v="Woodcock Hill Primary School"/>
    <x v="1"/>
    <x v="0"/>
    <n v="116794.462059799"/>
    <n v="0"/>
    <n v="0"/>
    <n v="0"/>
    <n v="0"/>
    <n v="0"/>
    <n v="-443.35999999999996"/>
    <n v="-2044.6366666666665"/>
    <n v="0"/>
    <n v="114306.46539313233"/>
  </r>
  <r>
    <n v="7052"/>
    <n v="103627"/>
    <s v="AX00F"/>
    <s v="Beaufort School"/>
    <x v="2"/>
    <x v="0"/>
    <n v="0"/>
    <n v="86597.5"/>
    <n v="0"/>
    <n v="0"/>
    <n v="121208.4916932779"/>
    <n v="0"/>
    <n v="0"/>
    <n v="0"/>
    <n v="0"/>
    <n v="207805.9916932779"/>
  </r>
  <r>
    <n v="2079"/>
    <n v="103200"/>
    <s v="AX025"/>
    <s v="George Dixon Primary School"/>
    <x v="1"/>
    <x v="0"/>
    <n v="162404.90503088661"/>
    <n v="0"/>
    <n v="0"/>
    <n v="0"/>
    <n v="0"/>
    <n v="0"/>
    <n v="-706.33333333333337"/>
    <n v="-1926.2633333333333"/>
    <n v="0"/>
    <n v="159772.30836421993"/>
  </r>
  <r>
    <n v="2157"/>
    <n v="103246"/>
    <s v="AX04V"/>
    <s v="Raddlebarn Primary School"/>
    <x v="1"/>
    <x v="0"/>
    <n v="168520.44138995119"/>
    <n v="0"/>
    <n v="0"/>
    <n v="0"/>
    <n v="0"/>
    <n v="0"/>
    <n v="-836.73333333333323"/>
    <n v="-2296.6525000000001"/>
    <n v="0"/>
    <n v="165387.0555566178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C271E0-982E-484D-8D5A-C4753E07A74D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3" firstHeaderRow="1" firstDataRow="1" firstDataCol="1"/>
  <pivotFields count="16">
    <pivotField showAll="0"/>
    <pivotField showAll="0"/>
    <pivotField showAll="0"/>
    <pivotField showAll="0"/>
    <pivotField showAll="0">
      <items count="6">
        <item x="0"/>
        <item x="1"/>
        <item x="4"/>
        <item x="3"/>
        <item x="2"/>
        <item t="default"/>
      </items>
    </pivotField>
    <pivotField axis="axisRow" showAll="0">
      <items count="2">
        <item x="0"/>
        <item t="default"/>
      </items>
    </pivotField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</pivotFields>
  <rowFields count="1">
    <field x="5"/>
  </rowFields>
  <rowItems count="2">
    <i>
      <x/>
    </i>
    <i t="grand">
      <x/>
    </i>
  </rowItems>
  <colItems count="1">
    <i/>
  </colItems>
  <dataFields count="1">
    <dataField name="Sum of Total February Instalment" fld="15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89" dT="2024-10-29T08:50:07.08" personId="{6976757E-C441-48A1-8570-B569C0B2CAC7}" id="{075B6038-B23D-483A-8475-1BE460B0FC36}">
    <text>Paid to Academy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159" dT="2025-09-17T10:37:11.27" personId="{6976757E-C441-48A1-8570-B569C0B2CAC7}" id="{6E4B683B-7730-4597-9ECE-856420DB06DA}">
    <text xml:space="preserve">Do not raise invoice - school has converted to academy. Needs to be included in final balance calculation. </text>
  </threadedComment>
  <threadedComment ref="M187" dT="2025-09-17T10:37:21.68" personId="{6976757E-C441-48A1-8570-B569C0B2CAC7}" id="{29C5C67B-F2C1-4A7F-8C65-0F6253739000}">
    <text xml:space="preserve">Do not raise invoice - school has converted to academy. Needs to be included in final balance calculation. 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C153" dT="2024-10-17T13:30:58.54" personId="{6976757E-C441-48A1-8570-B569C0B2CAC7}" id="{5D546243-3F4B-4EE7-826C-933D75525B08}">
    <text>Paid direct to academy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H6" dT="2025-09-30T09:15:09.35" personId="{6976757E-C441-48A1-8570-B569C0B2CAC7}" id="{46B81910-8C1F-48AE-9E86-7C7F2EDC8A14}">
    <text>Spring Term Exclusions</text>
  </threadedComment>
  <threadedComment ref="Z61" dT="2025-09-29T08:23:27.66" personId="{6976757E-C441-48A1-8570-B569C0B2CAC7}" id="{619E54DE-CAA8-417C-A6F8-136704DB38BB}">
    <text>Reimbursement of Redundancy Costs</text>
  </threadedComment>
  <threadedComment ref="Z96" dT="2025-09-29T08:19:04.27" personId="{6976757E-C441-48A1-8570-B569C0B2CAC7}" id="{B40ED99A-303D-497F-84B6-D58176A6F6F1}">
    <text>Court Injunction</text>
  </threadedComment>
  <threadedComment ref="Y111" dT="2025-08-24T13:04:45.26" personId="{6976757E-C441-48A1-8570-B569C0B2CAC7}" id="{4BA1BC9C-7AD3-44ED-9220-739F7A5BD03A}">
    <text>Remaining 3/12 to be added in 26/27 cash sheet</text>
  </threadedComment>
  <threadedComment ref="Y111" dT="2025-09-30T09:13:22.58" personId="{6976757E-C441-48A1-8570-B569C0B2CAC7}" id="{05A111E6-84D7-42F1-A8E3-8B5D65514D4C}" parentId="{4BA1BC9C-7AD3-44ED-9220-739F7A5BD03A}">
    <text>Energy costs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universal-infant-free-school-meals-uifsm-2024-to-2025" TargetMode="External"/><Relationship Id="rId13" Type="http://schemas.openxmlformats.org/officeDocument/2006/relationships/hyperlink" Target="https://www.gov.uk/government/publications/teachers-pay-additional-grant-2024-to-2025" TargetMode="External"/><Relationship Id="rId18" Type="http://schemas.openxmlformats.org/officeDocument/2006/relationships/hyperlink" Target="https://www.gov.uk/government/publications/post-16-national-insurance-contributions-nics-grant" TargetMode="External"/><Relationship Id="rId3" Type="http://schemas.openxmlformats.org/officeDocument/2006/relationships/hyperlink" Target="https://www.gov.uk/government/publications/senior-mental-health-lead-training-grant-funding" TargetMode="External"/><Relationship Id="rId21" Type="http://schemas.openxmlformats.org/officeDocument/2006/relationships/hyperlink" Target="https://www.gov.uk/government/publications/early-years-national-insurance-contributions-and-teachers-pay-grant-ey-ntpg-for-2025-to-2026/early-years-national-insurance-contributions-and-teachers-pay-grant-conditions-of-grant-for-the-2025-to-2026-financial-year" TargetMode="External"/><Relationship Id="rId7" Type="http://schemas.openxmlformats.org/officeDocument/2006/relationships/hyperlink" Target="https://www.gov.uk/government/publications/coronavirus-covid-19-recovery-premium-funding-allocations-and-conditions-of-grant-2023-to-2024" TargetMode="External"/><Relationship Id="rId12" Type="http://schemas.openxmlformats.org/officeDocument/2006/relationships/hyperlink" Target="https://www.gov.uk/government/publications/teachers-pension-employer-contribution-grant-2024-for-schools-high-needs-settings-and-local-authorities-2024-to-2025" TargetMode="External"/><Relationship Id="rId17" Type="http://schemas.openxmlformats.org/officeDocument/2006/relationships/hyperlink" Target="https://www.gov.uk/government/publications/early-years-expansion-grant-2025-to-2026" TargetMode="External"/><Relationship Id="rId2" Type="http://schemas.openxmlformats.org/officeDocument/2006/relationships/hyperlink" Target="https://www.gov.uk/government/publications/teachers-pay-additional-grant-2024-to-2025" TargetMode="External"/><Relationship Id="rId16" Type="http://schemas.openxmlformats.org/officeDocument/2006/relationships/hyperlink" Target="https://www.gov.uk/government/publications/breakfast-club-early-adopters-grant-2024-to-2025-academic-year" TargetMode="External"/><Relationship Id="rId20" Type="http://schemas.openxmlformats.org/officeDocument/2006/relationships/hyperlink" Target="https://www.gov.uk/government/publications/national-insurance-contributions-nics-grant-for-2025-to-2026" TargetMode="External"/><Relationship Id="rId1" Type="http://schemas.openxmlformats.org/officeDocument/2006/relationships/hyperlink" Target="https://www.gov.uk/government/publications/schools-budget-support-grant-sbsg" TargetMode="External"/><Relationship Id="rId6" Type="http://schemas.openxmlformats.org/officeDocument/2006/relationships/hyperlink" Target="https://www.gov.uk/government/publications/pupil-premium-allocations-and-conditions-of-grant-2025-to-2026" TargetMode="External"/><Relationship Id="rId11" Type="http://schemas.openxmlformats.org/officeDocument/2006/relationships/hyperlink" Target="https://www.gov.uk/government/publications/teachers-pension-scheme-employer-contribution-grant-for-maintained-schools-and-academies-with-16-to-19-provision-2024-to-2025" TargetMode="External"/><Relationship Id="rId5" Type="http://schemas.openxmlformats.org/officeDocument/2006/relationships/hyperlink" Target="https://www.gov.uk/government/publications/pe-and-sport-premium-conditions-of-grant-2023-to-2024" TargetMode="External"/><Relationship Id="rId15" Type="http://schemas.openxmlformats.org/officeDocument/2006/relationships/hyperlink" Target="https://www.gov.uk/government/publications/core-schools-budget-grant-csbg-2025-to-2026-for-special-schools-and-alternative-provision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s://www.gov.uk/government/publications/targeted-support-funding-for-national-professional-qualifications" TargetMode="External"/><Relationship Id="rId19" Type="http://schemas.openxmlformats.org/officeDocument/2006/relationships/hyperlink" Target="https://www.gov.uk/government/publications/initial-teacher-training-reform-funding-guidance-2025-to-2026" TargetMode="External"/><Relationship Id="rId4" Type="http://schemas.openxmlformats.org/officeDocument/2006/relationships/hyperlink" Target="https://www.gov.uk/government/publications/national-tutoring-programme-ntp-allocations-for-2023-to-2024-academic-year" TargetMode="External"/><Relationship Id="rId9" Type="http://schemas.openxmlformats.org/officeDocument/2006/relationships/hyperlink" Target="https://www.gov.uk/government/publications/universal-infant-free-school-meals-uifsm-2025-to-2026" TargetMode="External"/><Relationship Id="rId14" Type="http://schemas.openxmlformats.org/officeDocument/2006/relationships/hyperlink" Target="https://www.gov.uk/government/publications/post-16-schools-budget-grant/post-16-schools-budget-grant-conditions-of-grant-for-the-2024-to-2025-financial-year" TargetMode="External"/><Relationship Id="rId22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B475-0956-493C-9DBB-AC3F3E5C747E}">
  <sheetPr codeName="Sheet11">
    <tabColor rgb="FFFF0000"/>
  </sheetPr>
  <dimension ref="A1:AP208"/>
  <sheetViews>
    <sheetView topLeftCell="P160" zoomScale="70" zoomScaleNormal="70" workbookViewId="0">
      <selection activeCell="AD8" sqref="AD8:AP207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2.26953125" style="280" bestFit="1" customWidth="1"/>
    <col min="8" max="9" width="16.1796875" customWidth="1"/>
    <col min="10" max="10" width="15" customWidth="1"/>
    <col min="11" max="11" width="13.7265625" bestFit="1" customWidth="1"/>
    <col min="12" max="12" width="3.453125" style="280" customWidth="1"/>
    <col min="13" max="13" width="14.26953125" bestFit="1" customWidth="1"/>
    <col min="14" max="14" width="11.453125" bestFit="1" customWidth="1"/>
    <col min="15" max="15" width="3.453125" style="280" customWidth="1"/>
    <col min="16" max="17" width="14.26953125" bestFit="1" customWidth="1"/>
    <col min="18" max="18" width="3.453125" style="280" customWidth="1"/>
    <col min="19" max="19" width="13" bestFit="1" customWidth="1"/>
    <col min="20" max="20" width="3.453125" style="280" customWidth="1"/>
    <col min="21" max="21" width="13.7265625" bestFit="1" customWidth="1"/>
    <col min="22" max="22" width="3.453125" style="280" customWidth="1"/>
    <col min="23" max="23" width="15" bestFit="1" customWidth="1"/>
    <col min="24" max="24" width="14.26953125" bestFit="1" customWidth="1"/>
    <col min="25" max="25" width="15" bestFit="1" customWidth="1"/>
    <col min="26" max="27" width="10" bestFit="1" customWidth="1"/>
    <col min="28" max="28" width="12.1796875" customWidth="1"/>
    <col min="30" max="30" width="16.81640625" bestFit="1" customWidth="1"/>
    <col min="31" max="31" width="14" bestFit="1" customWidth="1"/>
    <col min="32" max="33" width="15.453125" bestFit="1" customWidth="1"/>
    <col min="34" max="34" width="13.453125" bestFit="1" customWidth="1"/>
    <col min="35" max="35" width="5.7265625" bestFit="1" customWidth="1"/>
    <col min="36" max="36" width="13.453125" bestFit="1" customWidth="1"/>
    <col min="37" max="37" width="15.453125" bestFit="1" customWidth="1"/>
    <col min="38" max="38" width="10.26953125" bestFit="1" customWidth="1"/>
    <col min="39" max="39" width="14.54296875" bestFit="1" customWidth="1"/>
    <col min="40" max="40" width="15" bestFit="1" customWidth="1"/>
    <col min="41" max="41" width="13" bestFit="1" customWidth="1"/>
    <col min="42" max="42" width="15.81640625" bestFit="1" customWidth="1"/>
  </cols>
  <sheetData>
    <row r="1" spans="1:42">
      <c r="A1" s="1" t="s">
        <v>0</v>
      </c>
      <c r="B1" s="1"/>
    </row>
    <row r="2" spans="1:4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 s="280">
        <v>7</v>
      </c>
    </row>
    <row r="3" spans="1:42" ht="15" thickBot="1">
      <c r="D3" s="66"/>
    </row>
    <row r="4" spans="1:42" ht="19" thickBot="1">
      <c r="D4" s="66"/>
      <c r="W4" s="429" t="s">
        <v>1</v>
      </c>
      <c r="X4" s="430"/>
      <c r="Y4" s="430"/>
      <c r="Z4" s="430"/>
      <c r="AA4" s="430"/>
      <c r="AB4" s="431"/>
    </row>
    <row r="5" spans="1:42" ht="19" thickBot="1">
      <c r="D5" s="66"/>
      <c r="H5" s="350" t="s">
        <v>2</v>
      </c>
      <c r="I5" s="862"/>
      <c r="J5" s="862"/>
      <c r="K5" s="351"/>
      <c r="M5" s="350" t="s">
        <v>3</v>
      </c>
      <c r="N5" s="351"/>
      <c r="P5" s="350" t="s">
        <v>4</v>
      </c>
      <c r="Q5" s="351"/>
      <c r="S5" s="359" t="s">
        <v>5</v>
      </c>
      <c r="U5" s="426" t="s">
        <v>6</v>
      </c>
      <c r="W5" s="432" t="s">
        <v>7</v>
      </c>
      <c r="X5" s="433"/>
      <c r="Y5" s="433"/>
      <c r="Z5" s="433"/>
      <c r="AA5" s="433"/>
      <c r="AB5" s="434"/>
    </row>
    <row r="6" spans="1:42" ht="58.5" thickBot="1">
      <c r="H6" s="347" t="s">
        <v>8</v>
      </c>
      <c r="I6" s="859" t="s">
        <v>1177</v>
      </c>
      <c r="J6" s="348" t="s">
        <v>9</v>
      </c>
      <c r="K6" s="349" t="s">
        <v>10</v>
      </c>
      <c r="M6" s="347" t="s">
        <v>11</v>
      </c>
      <c r="N6" s="349" t="s">
        <v>12</v>
      </c>
      <c r="P6" s="347"/>
      <c r="Q6" s="349"/>
      <c r="S6" s="360" t="s">
        <v>13</v>
      </c>
      <c r="U6" s="427" t="s">
        <v>14</v>
      </c>
      <c r="AD6" s="871" t="s">
        <v>925</v>
      </c>
      <c r="AE6" s="871"/>
      <c r="AF6" s="871"/>
      <c r="AG6" s="871"/>
      <c r="AH6" s="871"/>
      <c r="AI6" s="871"/>
      <c r="AJ6" s="871"/>
      <c r="AK6" s="871"/>
      <c r="AL6" s="871"/>
      <c r="AM6" s="871"/>
      <c r="AN6" s="871"/>
      <c r="AO6" s="871"/>
      <c r="AP6" s="871"/>
    </row>
    <row r="7" spans="1:42" ht="1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H7" s="346" t="s">
        <v>21</v>
      </c>
      <c r="I7" s="860" t="s">
        <v>21</v>
      </c>
      <c r="J7" s="218" t="s">
        <v>22</v>
      </c>
      <c r="K7" s="230" t="s">
        <v>23</v>
      </c>
      <c r="M7" s="227" t="s">
        <v>21</v>
      </c>
      <c r="N7" s="230" t="s">
        <v>24</v>
      </c>
      <c r="P7" s="227" t="s">
        <v>21</v>
      </c>
      <c r="Q7" s="230" t="s">
        <v>24</v>
      </c>
      <c r="S7" s="361" t="s">
        <v>25</v>
      </c>
      <c r="U7" s="427" t="s">
        <v>26</v>
      </c>
      <c r="W7" t="s">
        <v>21</v>
      </c>
      <c r="X7" t="s">
        <v>25</v>
      </c>
      <c r="Y7" t="s">
        <v>24</v>
      </c>
      <c r="Z7" t="s">
        <v>22</v>
      </c>
      <c r="AA7" t="s">
        <v>23</v>
      </c>
      <c r="AB7" t="s">
        <v>26</v>
      </c>
      <c r="AD7" t="s">
        <v>21</v>
      </c>
      <c r="AE7" t="s">
        <v>25</v>
      </c>
      <c r="AF7" t="s">
        <v>24</v>
      </c>
      <c r="AG7" t="s">
        <v>512</v>
      </c>
      <c r="AH7" t="s">
        <v>515</v>
      </c>
      <c r="AI7" t="s">
        <v>634</v>
      </c>
      <c r="AJ7" t="s">
        <v>492</v>
      </c>
      <c r="AK7" t="s">
        <v>23</v>
      </c>
      <c r="AL7" t="s">
        <v>495</v>
      </c>
      <c r="AM7" t="s">
        <v>26</v>
      </c>
      <c r="AN7" t="s">
        <v>22</v>
      </c>
      <c r="AO7" t="s">
        <v>1208</v>
      </c>
      <c r="AP7" t="s">
        <v>479</v>
      </c>
    </row>
    <row r="8" spans="1:42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0" t="str">
        <f>VLOOKUP(A8,'Summary Mar 2026'!$A$8:$F$206,6,FALSE)</f>
        <v>Chq Bk</v>
      </c>
      <c r="H8" s="288">
        <f>_xlfn.IFNA(VLOOKUP($A8,ISB!$A:$BY,67,FALSE),0)</f>
        <v>0</v>
      </c>
      <c r="I8" s="861">
        <f>_xlfn.IFNA(VLOOKUP(A8,'LA Deductions'!A:AN,40,FALSE),0)</f>
        <v>0</v>
      </c>
      <c r="J8" s="221">
        <f>_xlfn.IFNA(VLOOKUP($A8,ISB!$A:$BY,72,FALSE),0)</f>
        <v>0</v>
      </c>
      <c r="K8" s="289">
        <f>-_xlfn.IFNA(VLOOKUP($A8,ISB!$A:$BY,76,FALSE),0)</f>
        <v>0</v>
      </c>
      <c r="M8" s="288">
        <f>VLOOKUP($A8,EY!$A:$AAK,132,FALSE)</f>
        <v>654466.83125012927</v>
      </c>
      <c r="N8" s="288">
        <f>VLOOKUP($A8,EY!$A:$AAD,133,FALSE)</f>
        <v>11929.489196675901</v>
      </c>
      <c r="P8" s="288">
        <f>VLOOKUP($A8,HN!$A:$AM,38,FALSE)</f>
        <v>0</v>
      </c>
      <c r="Q8" s="288">
        <f>VLOOKUP($A8,HN!$A:$AM,39,FALSE)</f>
        <v>0</v>
      </c>
      <c r="S8" s="362">
        <f>_xlfn.IFNA(VLOOKUP(A8,'Post 16'!A:AR,44,FALSE),0)</f>
        <v>0</v>
      </c>
      <c r="U8" s="362">
        <f>VLOOKUP(A8,'LA Deductions'!A:W,23,FALSE)</f>
        <v>-3291.75</v>
      </c>
      <c r="W8" s="289">
        <f>VLOOKUP($A8,'Summary Mar 2026'!$A:$AAG,189,FALSE)-SUMIFS($H8:$U8,$H$7:$U$7,W$7)</f>
        <v>0</v>
      </c>
      <c r="X8" s="289">
        <f>VLOOKUP($A8,'Summary Mar 2026'!$A:$GL,190,FALSE)-SUMIFS($H8:$U8,$H$7:$U$7,X$7)</f>
        <v>0</v>
      </c>
      <c r="Y8" s="289">
        <f>VLOOKUP($A8,'Summary Mar 2026'!$A:$GL,191,FALSE)-SUMIFS($H8:$U8,$H$7:$U$7,Y$7)</f>
        <v>0</v>
      </c>
      <c r="Z8" s="289">
        <f>VLOOKUP($A8,'Summary Mar 2026'!$A:$GL,192,FALSE)-SUMIFS($H8:$U8,$H$7:$U$7,Z$7)</f>
        <v>0</v>
      </c>
      <c r="AA8" s="289">
        <f>VLOOKUP($A8,'Summary Mar 2026'!$A:$GL,193,FALSE)-SUMIFS($H8:$U8,$H$7:$U$7,AA$7)</f>
        <v>0</v>
      </c>
      <c r="AB8" s="289">
        <f>VLOOKUP($A8,'Summary Mar 2026'!$A:$GL,194,FALSE)-SUMIFS($H8:$U8,$H$7:$U$7,AB$7)</f>
        <v>0</v>
      </c>
      <c r="AD8" s="146">
        <f>_xlfn.IFNA(VLOOKUP($A8,'Summary Mar 2026'!$A:$GS,196,FALSE)+VLOOKUP($A8,OtherDSG!$A:$AI,34,FALSE)+VLOOKUP($A8,Grants!$A:$BE,50,FALSE),0)</f>
        <v>671352.63125012931</v>
      </c>
      <c r="AE8" s="146">
        <f>_xlfn.IFNA(VLOOKUP($A8,'Summary Mar 2026'!$A:$GS,197,FALSE)+VLOOKUP($A8,Grants!$A:$BE,51,FALSE),0)</f>
        <v>0</v>
      </c>
      <c r="AF8" s="146">
        <f>_xlfn.IFNA(VLOOKUP($A8,'Summary Mar 2026'!$A:$GS,198,FALSE)+VLOOKUP($A8,OtherDSG!$A:$AI,35,FALSE)+VLOOKUP($A8,Grants!$A:$BE,52,FALSE),0)</f>
        <v>73130.844063342593</v>
      </c>
      <c r="AG8" s="146">
        <f>_xlfn.IFNA(VLOOKUP($A8,Grants!$A:$BE,53,FALSE),0)</f>
        <v>0</v>
      </c>
      <c r="AH8" s="146">
        <f>_xlfn.IFNA(VLOOKUP($A8,Grants!$A:$BE,54,FALSE),0)</f>
        <v>0</v>
      </c>
      <c r="AI8" s="146">
        <f>_xlfn.IFNA(VLOOKUP($A8,Grants!$A:$BE,55,FALSE),0)</f>
        <v>0</v>
      </c>
      <c r="AJ8" s="146">
        <f>_xlfn.IFNA(VLOOKUP($A8,Barclays!$A:$T,18,FALSE),0)</f>
        <v>0</v>
      </c>
      <c r="AK8" s="146">
        <f>_xlfn.IFNA(VLOOKUP($A8,'Summary Mar 2026'!$A:$GS,200,FALSE),0)</f>
        <v>0</v>
      </c>
      <c r="AL8" s="146">
        <f>_xlfn.IFNA(VLOOKUP($A8,Barclays!$A:$T,19,FALSE),0)</f>
        <v>0</v>
      </c>
      <c r="AM8" s="146">
        <f>_xlfn.IFNA(VLOOKUP($A8,'Summary Mar 2026'!$A:$GS,201,FALSE),0)</f>
        <v>-3291.75</v>
      </c>
      <c r="AN8" s="146">
        <f>_xlfn.IFNA(VLOOKUP($A8,'Summary Mar 2026'!$A:$GS,199,FALSE),0)</f>
        <v>0</v>
      </c>
      <c r="AO8" s="146">
        <f>_xlfn.IFNA(VLOOKUP($A8,Grants!$A:$BE,56,FALSE),0)</f>
        <v>4897.75</v>
      </c>
      <c r="AP8" s="65">
        <f>SUM(AD8:AO8)</f>
        <v>746089.47531347186</v>
      </c>
    </row>
    <row r="9" spans="1:42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0" t="str">
        <f>VLOOKUP(A9,'Summary Mar 2026'!$A$8:$F$206,6,FALSE)</f>
        <v>Chq Bk</v>
      </c>
      <c r="H9" s="288">
        <f>_xlfn.IFNA(VLOOKUP($A9,ISB!$A:$BY,67,FALSE),0)</f>
        <v>2634976.2728075944</v>
      </c>
      <c r="I9" s="861">
        <f>_xlfn.IFNA(VLOOKUP(A9,'LA Deductions'!A:AN,40,FALSE),0)</f>
        <v>0</v>
      </c>
      <c r="J9" s="221">
        <f>_xlfn.IFNA(VLOOKUP($A9,ISB!$A:$BY,72,FALSE),0)</f>
        <v>-10927.519999999999</v>
      </c>
      <c r="K9" s="289">
        <f>-_xlfn.IFNA(VLOOKUP($A9,ISB!$A:$BY,76,FALSE),0)</f>
        <v>-47169.72</v>
      </c>
      <c r="M9" s="288">
        <f>VLOOKUP($A9,EY!$A:$AAK,132,FALSE)</f>
        <v>0</v>
      </c>
      <c r="N9" s="288">
        <f>VLOOKUP($A9,EY!$A:$AAD,133,FALSE)</f>
        <v>0</v>
      </c>
      <c r="P9" s="288">
        <f>VLOOKUP($A9,HN!$A:$AM,38,FALSE)</f>
        <v>0</v>
      </c>
      <c r="Q9" s="288">
        <f>VLOOKUP($A9,HN!$A:$AM,39,FALSE)</f>
        <v>0</v>
      </c>
      <c r="S9" s="362">
        <f>_xlfn.IFNA(VLOOKUP(A9,'Post 16'!A:AR,44,FALSE),0)</f>
        <v>0</v>
      </c>
      <c r="U9" s="362">
        <f>VLOOKUP(A9,'LA Deductions'!A:W,23,FALSE)</f>
        <v>-11313</v>
      </c>
      <c r="W9" s="289">
        <f>VLOOKUP($A9,'Summary Mar 2026'!$A:$AAG,189,FALSE)-SUMIFS($H9:$U9,$H$7:$U$7,W$7)</f>
        <v>0</v>
      </c>
      <c r="X9" s="289">
        <f>VLOOKUP($A9,'Summary Mar 2026'!$A:$GL,190,FALSE)-SUMIFS($H9:$U9,$H$7:$U$7,X$7)</f>
        <v>0</v>
      </c>
      <c r="Y9" s="289">
        <f>VLOOKUP($A9,'Summary Mar 2026'!$A:$GL,191,FALSE)-SUMIFS($H9:$U9,$H$7:$U$7,Y$7)</f>
        <v>0</v>
      </c>
      <c r="Z9" s="289">
        <f>VLOOKUP($A9,'Summary Mar 2026'!$A:$GL,192,FALSE)-SUMIFS($H9:$U9,$H$7:$U$7,Z$7)</f>
        <v>0</v>
      </c>
      <c r="AA9" s="289">
        <f>VLOOKUP($A9,'Summary Mar 2026'!$A:$GL,193,FALSE)-SUMIFS($H9:$U9,$H$7:$U$7,AA$7)</f>
        <v>0</v>
      </c>
      <c r="AB9" s="289">
        <f>VLOOKUP($A9,'Summary Mar 2026'!$A:$GL,194,FALSE)-SUMIFS($H9:$U9,$H$7:$U$7,AB$7)</f>
        <v>0</v>
      </c>
      <c r="AD9" s="146">
        <f>_xlfn.IFNA(VLOOKUP($A9,'Summary Mar 2026'!$A:$GS,196,FALSE)+VLOOKUP($A9,OtherDSG!$A:$AI,34,FALSE)+VLOOKUP($A9,Grants!$A:$BE,50,FALSE),0)</f>
        <v>2714185.2728075944</v>
      </c>
      <c r="AE9" s="146">
        <f>_xlfn.IFNA(VLOOKUP($A9,'Summary Mar 2026'!$A:$GS,197,FALSE)+VLOOKUP($A9,Grants!$A:$BE,51,FALSE),0)</f>
        <v>0</v>
      </c>
      <c r="AF9" s="146">
        <f>_xlfn.IFNA(VLOOKUP($A9,'Summary Mar 2026'!$A:$GS,198,FALSE)+VLOOKUP($A9,OtherDSG!$A:$AI,35,FALSE)+VLOOKUP($A9,Grants!$A:$BE,52,FALSE),0)</f>
        <v>18596.333333333332</v>
      </c>
      <c r="AG9" s="146">
        <f>_xlfn.IFNA(VLOOKUP($A9,Grants!$A:$BE,53,FALSE),0)</f>
        <v>371175</v>
      </c>
      <c r="AH9" s="146">
        <f>_xlfn.IFNA(VLOOKUP($A9,Grants!$A:$BE,54,FALSE),0)</f>
        <v>59494.86</v>
      </c>
      <c r="AI9" s="146">
        <f>_xlfn.IFNA(VLOOKUP($A9,Grants!$A:$BE,55,FALSE),0)</f>
        <v>0</v>
      </c>
      <c r="AJ9" s="146">
        <f>_xlfn.IFNA(VLOOKUP($A9,Barclays!$A:$T,18,FALSE),0)</f>
        <v>0</v>
      </c>
      <c r="AK9" s="146">
        <f>_xlfn.IFNA(VLOOKUP($A9,'Summary Mar 2026'!$A:$GS,200,FALSE),0)</f>
        <v>-47169.719999999994</v>
      </c>
      <c r="AL9" s="146">
        <f>_xlfn.IFNA(VLOOKUP($A9,Barclays!$A:$T,19,FALSE),0)</f>
        <v>0</v>
      </c>
      <c r="AM9" s="146">
        <f>_xlfn.IFNA(VLOOKUP($A9,'Summary Mar 2026'!$A:$GS,201,FALSE),0)</f>
        <v>-11313</v>
      </c>
      <c r="AN9" s="146">
        <f>_xlfn.IFNA(VLOOKUP($A9,'Summary Mar 2026'!$A:$GS,199,FALSE),0)</f>
        <v>-10927.520000000002</v>
      </c>
      <c r="AO9" s="146">
        <f>_xlfn.IFNA(VLOOKUP($A9,Grants!$A:$BE,56,FALSE),0)</f>
        <v>8736.25</v>
      </c>
      <c r="AP9" s="65">
        <f t="shared" ref="AP9:AP72" si="0">SUM(AD9:AO9)</f>
        <v>3102777.4761409275</v>
      </c>
    </row>
    <row r="10" spans="1:42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0" t="str">
        <f>VLOOKUP(A10,'Summary Mar 2026'!$A$8:$F$206,6,FALSE)</f>
        <v>Chq Bk</v>
      </c>
      <c r="H10" s="288">
        <f>_xlfn.IFNA(VLOOKUP($A10,ISB!$A:$BY,67,FALSE),0)</f>
        <v>3636303.2292505438</v>
      </c>
      <c r="I10" s="861">
        <f>_xlfn.IFNA(VLOOKUP(A10,'LA Deductions'!A:AN,40,FALSE),0)</f>
        <v>0</v>
      </c>
      <c r="J10" s="221">
        <f>_xlfn.IFNA(VLOOKUP($A10,ISB!$A:$BY,72,FALSE),0)</f>
        <v>-16456.48</v>
      </c>
      <c r="K10" s="289">
        <f>-_xlfn.IFNA(VLOOKUP($A10,ISB!$A:$BY,76,FALSE),0)</f>
        <v>-73840.41</v>
      </c>
      <c r="M10" s="288">
        <f>VLOOKUP($A10,EY!$A:$AAK,132,FALSE)</f>
        <v>0</v>
      </c>
      <c r="N10" s="288">
        <f>VLOOKUP($A10,EY!$A:$AAD,133,FALSE)</f>
        <v>0</v>
      </c>
      <c r="P10" s="288">
        <f>VLOOKUP($A10,HN!$A:$AM,38,FALSE)</f>
        <v>0</v>
      </c>
      <c r="Q10" s="288">
        <f>VLOOKUP($A10,HN!$A:$AM,39,FALSE)</f>
        <v>0</v>
      </c>
      <c r="S10" s="362">
        <f>_xlfn.IFNA(VLOOKUP(A10,'Post 16'!A:AR,44,FALSE),0)</f>
        <v>0</v>
      </c>
      <c r="U10" s="362">
        <f>VLOOKUP(A10,'LA Deductions'!A:W,23,FALSE)</f>
        <v>-18745.650000000001</v>
      </c>
      <c r="W10" s="289">
        <f>VLOOKUP($A10,'Summary Mar 2026'!$A:$AAG,189,FALSE)-SUMIFS($H10:$U10,$H$7:$U$7,W$7)</f>
        <v>0</v>
      </c>
      <c r="X10" s="289">
        <f>VLOOKUP($A10,'Summary Mar 2026'!$A:$GL,190,FALSE)-SUMIFS($H10:$U10,$H$7:$U$7,X$7)</f>
        <v>0</v>
      </c>
      <c r="Y10" s="289">
        <f>VLOOKUP($A10,'Summary Mar 2026'!$A:$GL,191,FALSE)-SUMIFS($H10:$U10,$H$7:$U$7,Y$7)</f>
        <v>0</v>
      </c>
      <c r="Z10" s="289">
        <f>VLOOKUP($A10,'Summary Mar 2026'!$A:$GL,192,FALSE)-SUMIFS($H10:$U10,$H$7:$U$7,Z$7)</f>
        <v>0</v>
      </c>
      <c r="AA10" s="289">
        <f>VLOOKUP($A10,'Summary Mar 2026'!$A:$GL,193,FALSE)-SUMIFS($H10:$U10,$H$7:$U$7,AA$7)</f>
        <v>0</v>
      </c>
      <c r="AB10" s="289">
        <f>VLOOKUP($A10,'Summary Mar 2026'!$A:$GL,194,FALSE)-SUMIFS($H10:$U10,$H$7:$U$7,AB$7)</f>
        <v>0</v>
      </c>
      <c r="AD10" s="146">
        <f>_xlfn.IFNA(VLOOKUP($A10,'Summary Mar 2026'!$A:$GS,196,FALSE)+VLOOKUP($A10,OtherDSG!$A:$AI,34,FALSE)+VLOOKUP($A10,Grants!$A:$BE,50,FALSE),0)</f>
        <v>3745275.2292505442</v>
      </c>
      <c r="AE10" s="146">
        <f>_xlfn.IFNA(VLOOKUP($A10,'Summary Mar 2026'!$A:$GS,197,FALSE)+VLOOKUP($A10,Grants!$A:$BE,51,FALSE),0)</f>
        <v>0</v>
      </c>
      <c r="AF10" s="146">
        <f>_xlfn.IFNA(VLOOKUP($A10,'Summary Mar 2026'!$A:$GS,198,FALSE)+VLOOKUP($A10,OtherDSG!$A:$AI,35,FALSE)+VLOOKUP($A10,Grants!$A:$BE,52,FALSE),0)</f>
        <v>94084.33666666667</v>
      </c>
      <c r="AG10" s="146">
        <f>_xlfn.IFNA(VLOOKUP($A10,Grants!$A:$BE,53,FALSE),0)</f>
        <v>446525</v>
      </c>
      <c r="AH10" s="146">
        <f>_xlfn.IFNA(VLOOKUP($A10,Grants!$A:$BE,54,FALSE),0)</f>
        <v>105796.64</v>
      </c>
      <c r="AI10" s="146">
        <f>_xlfn.IFNA(VLOOKUP($A10,Grants!$A:$BE,55,FALSE),0)</f>
        <v>0</v>
      </c>
      <c r="AJ10" s="146">
        <f>_xlfn.IFNA(VLOOKUP($A10,Barclays!$A:$T,18,FALSE),0)</f>
        <v>45092.075990000129</v>
      </c>
      <c r="AK10" s="146">
        <f>_xlfn.IFNA(VLOOKUP($A10,'Summary Mar 2026'!$A:$GS,200,FALSE),0)</f>
        <v>-73840.41</v>
      </c>
      <c r="AL10" s="146">
        <f>_xlfn.IFNA(VLOOKUP($A10,Barclays!$A:$T,19,FALSE),0)</f>
        <v>-22.740000000000002</v>
      </c>
      <c r="AM10" s="146">
        <f>_xlfn.IFNA(VLOOKUP($A10,'Summary Mar 2026'!$A:$GS,201,FALSE),0)</f>
        <v>-18745.650000000001</v>
      </c>
      <c r="AN10" s="146">
        <f>_xlfn.IFNA(VLOOKUP($A10,'Summary Mar 2026'!$A:$GS,199,FALSE),0)</f>
        <v>-16456.48</v>
      </c>
      <c r="AO10" s="146">
        <f>_xlfn.IFNA(VLOOKUP($A10,Grants!$A:$BE,56,FALSE),0)</f>
        <v>11065</v>
      </c>
      <c r="AP10" s="65">
        <f t="shared" si="0"/>
        <v>4338773.0019072089</v>
      </c>
    </row>
    <row r="11" spans="1:42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0" t="str">
        <f>VLOOKUP(A11,'Summary Mar 2026'!$A$8:$F$206,6,FALSE)</f>
        <v>Chq Bk</v>
      </c>
      <c r="H11" s="288">
        <f>_xlfn.IFNA(VLOOKUP($A11,ISB!$A:$BY,67,FALSE),0)</f>
        <v>0</v>
      </c>
      <c r="I11" s="861">
        <f>_xlfn.IFNA(VLOOKUP(A11,'LA Deductions'!A:AN,40,FALSE),0)</f>
        <v>0</v>
      </c>
      <c r="J11" s="221">
        <f>_xlfn.IFNA(VLOOKUP($A11,ISB!$A:$BY,72,FALSE),0)</f>
        <v>0</v>
      </c>
      <c r="K11" s="289">
        <f>-_xlfn.IFNA(VLOOKUP($A11,ISB!$A:$BY,76,FALSE),0)</f>
        <v>0</v>
      </c>
      <c r="M11" s="288">
        <f>VLOOKUP($A11,EY!$A:$AAK,132,FALSE)</f>
        <v>966054.06115222897</v>
      </c>
      <c r="N11" s="288">
        <f>VLOOKUP($A11,EY!$A:$AAD,133,FALSE)</f>
        <v>17442.64265927978</v>
      </c>
      <c r="P11" s="288">
        <f>VLOOKUP($A11,HN!$A:$AM,38,FALSE)</f>
        <v>48000</v>
      </c>
      <c r="Q11" s="288">
        <f>VLOOKUP($A11,HN!$A:$AM,39,FALSE)</f>
        <v>42030.69</v>
      </c>
      <c r="S11" s="362">
        <f>_xlfn.IFNA(VLOOKUP(A11,'Post 16'!A:AR,44,FALSE),0)</f>
        <v>0</v>
      </c>
      <c r="U11" s="362">
        <f>VLOOKUP(A11,'LA Deductions'!A:W,23,FALSE)</f>
        <v>-3291.75</v>
      </c>
      <c r="W11" s="289">
        <f>VLOOKUP($A11,'Summary Mar 2026'!$A:$AAG,189,FALSE)-SUMIFS($H11:$U11,$H$7:$U$7,W$7)</f>
        <v>0</v>
      </c>
      <c r="X11" s="289">
        <f>VLOOKUP($A11,'Summary Mar 2026'!$A:$GL,190,FALSE)-SUMIFS($H11:$U11,$H$7:$U$7,X$7)</f>
        <v>0</v>
      </c>
      <c r="Y11" s="289">
        <f>VLOOKUP($A11,'Summary Mar 2026'!$A:$GL,191,FALSE)-SUMIFS($H11:$U11,$H$7:$U$7,Y$7)</f>
        <v>0</v>
      </c>
      <c r="Z11" s="289">
        <f>VLOOKUP($A11,'Summary Mar 2026'!$A:$GL,192,FALSE)-SUMIFS($H11:$U11,$H$7:$U$7,Z$7)</f>
        <v>0</v>
      </c>
      <c r="AA11" s="289">
        <f>VLOOKUP($A11,'Summary Mar 2026'!$A:$GL,193,FALSE)-SUMIFS($H11:$U11,$H$7:$U$7,AA$7)</f>
        <v>0</v>
      </c>
      <c r="AB11" s="289">
        <f>VLOOKUP($A11,'Summary Mar 2026'!$A:$GL,194,FALSE)-SUMIFS($H11:$U11,$H$7:$U$7,AB$7)</f>
        <v>0</v>
      </c>
      <c r="AD11" s="146">
        <f>_xlfn.IFNA(VLOOKUP($A11,'Summary Mar 2026'!$A:$GS,196,FALSE)+VLOOKUP($A11,OtherDSG!$A:$AI,34,FALSE)+VLOOKUP($A11,Grants!$A:$BE,50,FALSE),0)</f>
        <v>1038359.061152229</v>
      </c>
      <c r="AE11" s="146">
        <f>_xlfn.IFNA(VLOOKUP($A11,'Summary Mar 2026'!$A:$GS,197,FALSE)+VLOOKUP($A11,Grants!$A:$BE,51,FALSE),0)</f>
        <v>0</v>
      </c>
      <c r="AF11" s="146">
        <f>_xlfn.IFNA(VLOOKUP($A11,'Summary Mar 2026'!$A:$GS,198,FALSE)+VLOOKUP($A11,OtherDSG!$A:$AI,35,FALSE)+VLOOKUP($A11,Grants!$A:$BE,52,FALSE),0)</f>
        <v>82733.382459279776</v>
      </c>
      <c r="AG11" s="146">
        <f>_xlfn.IFNA(VLOOKUP($A11,Grants!$A:$BE,53,FALSE),0)</f>
        <v>0</v>
      </c>
      <c r="AH11" s="146">
        <f>_xlfn.IFNA(VLOOKUP($A11,Grants!$A:$BE,54,FALSE),0)</f>
        <v>0</v>
      </c>
      <c r="AI11" s="146">
        <f>_xlfn.IFNA(VLOOKUP($A11,Grants!$A:$BE,55,FALSE),0)</f>
        <v>0</v>
      </c>
      <c r="AJ11" s="146">
        <f>_xlfn.IFNA(VLOOKUP($A11,Barclays!$A:$T,18,FALSE),0)</f>
        <v>0</v>
      </c>
      <c r="AK11" s="146">
        <f>_xlfn.IFNA(VLOOKUP($A11,'Summary Mar 2026'!$A:$GS,200,FALSE),0)</f>
        <v>0</v>
      </c>
      <c r="AL11" s="146">
        <f>_xlfn.IFNA(VLOOKUP($A11,Barclays!$A:$T,19,FALSE),0)</f>
        <v>0</v>
      </c>
      <c r="AM11" s="146">
        <f>_xlfn.IFNA(VLOOKUP($A11,'Summary Mar 2026'!$A:$GS,201,FALSE),0)</f>
        <v>-3291.75</v>
      </c>
      <c r="AN11" s="146">
        <f>_xlfn.IFNA(VLOOKUP($A11,'Summary Mar 2026'!$A:$GS,199,FALSE),0)</f>
        <v>0</v>
      </c>
      <c r="AO11" s="146">
        <f>_xlfn.IFNA(VLOOKUP($A11,Grants!$A:$BE,56,FALSE),0)</f>
        <v>5174.5</v>
      </c>
      <c r="AP11" s="65">
        <f t="shared" si="0"/>
        <v>1122975.1936115087</v>
      </c>
    </row>
    <row r="12" spans="1:42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0" t="str">
        <f>VLOOKUP(A12,'Summary Mar 2026'!$A$8:$F$206,6,FALSE)</f>
        <v>Chq Bk</v>
      </c>
      <c r="H12" s="288">
        <f>_xlfn.IFNA(VLOOKUP($A12,ISB!$A:$BY,67,FALSE),0)</f>
        <v>2483595.3023724863</v>
      </c>
      <c r="I12" s="861">
        <f>_xlfn.IFNA(VLOOKUP(A12,'LA Deductions'!A:AN,40,FALSE),0)</f>
        <v>-3969.5414000000001</v>
      </c>
      <c r="J12" s="221">
        <f>_xlfn.IFNA(VLOOKUP($A12,ISB!$A:$BY,72,FALSE),0)</f>
        <v>-10405.92</v>
      </c>
      <c r="K12" s="289">
        <f>-_xlfn.IFNA(VLOOKUP($A12,ISB!$A:$BY,76,FALSE),0)</f>
        <v>-24708.45</v>
      </c>
      <c r="M12" s="288">
        <f>VLOOKUP($A12,EY!$A:$AAK,132,FALSE)</f>
        <v>0</v>
      </c>
      <c r="N12" s="288">
        <f>VLOOKUP($A12,EY!$A:$AAD,133,FALSE)</f>
        <v>0</v>
      </c>
      <c r="P12" s="288">
        <f>VLOOKUP($A12,HN!$A:$AM,38,FALSE)</f>
        <v>272000</v>
      </c>
      <c r="Q12" s="288">
        <f>VLOOKUP($A12,HN!$A:$AM,39,FALSE)</f>
        <v>376315.28</v>
      </c>
      <c r="S12" s="362">
        <f>_xlfn.IFNA(VLOOKUP(A12,'Post 16'!A:AR,44,FALSE),0)</f>
        <v>0</v>
      </c>
      <c r="U12" s="362">
        <f>VLOOKUP(A12,'LA Deductions'!A:W,23,FALSE)</f>
        <v>-9471</v>
      </c>
      <c r="W12" s="289">
        <f>VLOOKUP($A12,'Summary Mar 2026'!$A:$AAG,189,FALSE)-SUMIFS($H12:$U12,$H$7:$U$7,W$7)</f>
        <v>0</v>
      </c>
      <c r="X12" s="289">
        <f>VLOOKUP($A12,'Summary Mar 2026'!$A:$GL,190,FALSE)-SUMIFS($H12:$U12,$H$7:$U$7,X$7)</f>
        <v>0</v>
      </c>
      <c r="Y12" s="289">
        <f>VLOOKUP($A12,'Summary Mar 2026'!$A:$GL,191,FALSE)-SUMIFS($H12:$U12,$H$7:$U$7,Y$7)</f>
        <v>0</v>
      </c>
      <c r="Z12" s="289">
        <f>VLOOKUP($A12,'Summary Mar 2026'!$A:$GL,192,FALSE)-SUMIFS($H12:$U12,$H$7:$U$7,Z$7)</f>
        <v>0</v>
      </c>
      <c r="AA12" s="289">
        <f>VLOOKUP($A12,'Summary Mar 2026'!$A:$GL,193,FALSE)-SUMIFS($H12:$U12,$H$7:$U$7,AA$7)</f>
        <v>0</v>
      </c>
      <c r="AB12" s="289">
        <f>VLOOKUP($A12,'Summary Mar 2026'!$A:$GL,194,FALSE)-SUMIFS($H12:$U12,$H$7:$U$7,AB$7)</f>
        <v>0</v>
      </c>
      <c r="AD12" s="146">
        <f>_xlfn.IFNA(VLOOKUP($A12,'Summary Mar 2026'!$A:$GS,196,FALSE)+VLOOKUP($A12,OtherDSG!$A:$AI,34,FALSE)+VLOOKUP($A12,Grants!$A:$BE,50,FALSE),0)</f>
        <v>2833309.7609724859</v>
      </c>
      <c r="AE12" s="146">
        <f>_xlfn.IFNA(VLOOKUP($A12,'Summary Mar 2026'!$A:$GS,197,FALSE)+VLOOKUP($A12,Grants!$A:$BE,51,FALSE),0)</f>
        <v>0</v>
      </c>
      <c r="AF12" s="146">
        <f>_xlfn.IFNA(VLOOKUP($A12,'Summary Mar 2026'!$A:$GS,198,FALSE)+VLOOKUP($A12,OtherDSG!$A:$AI,35,FALSE)+VLOOKUP($A12,Grants!$A:$BE,52,FALSE),0)</f>
        <v>597518.82133333338</v>
      </c>
      <c r="AG12" s="146">
        <f>_xlfn.IFNA(VLOOKUP($A12,Grants!$A:$BE,53,FALSE),0)</f>
        <v>373320</v>
      </c>
      <c r="AH12" s="146">
        <f>_xlfn.IFNA(VLOOKUP($A12,Grants!$A:$BE,54,FALSE),0)</f>
        <v>48289</v>
      </c>
      <c r="AI12" s="146">
        <f>_xlfn.IFNA(VLOOKUP($A12,Grants!$A:$BE,55,FALSE),0)</f>
        <v>0</v>
      </c>
      <c r="AJ12" s="146">
        <f>_xlfn.IFNA(VLOOKUP($A12,Barclays!$A:$T,18,FALSE),0)</f>
        <v>26979.793029999968</v>
      </c>
      <c r="AK12" s="146">
        <f>_xlfn.IFNA(VLOOKUP($A12,'Summary Mar 2026'!$A:$GS,200,FALSE),0)</f>
        <v>-24708.449999999993</v>
      </c>
      <c r="AL12" s="146">
        <f>_xlfn.IFNA(VLOOKUP($A12,Barclays!$A:$T,19,FALSE),0)</f>
        <v>-64.490000000000009</v>
      </c>
      <c r="AM12" s="146">
        <f>_xlfn.IFNA(VLOOKUP($A12,'Summary Mar 2026'!$A:$GS,201,FALSE),0)</f>
        <v>-9471</v>
      </c>
      <c r="AN12" s="146">
        <f>_xlfn.IFNA(VLOOKUP($A12,'Summary Mar 2026'!$A:$GS,199,FALSE),0)</f>
        <v>-10405.92</v>
      </c>
      <c r="AO12" s="146">
        <f>_xlfn.IFNA(VLOOKUP($A12,Grants!$A:$BE,56,FALSE),0)</f>
        <v>8668.75</v>
      </c>
      <c r="AP12" s="65">
        <f t="shared" si="0"/>
        <v>3843436.2653358188</v>
      </c>
    </row>
    <row r="13" spans="1:42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0" t="str">
        <f>VLOOKUP(A13,'Summary Mar 2026'!$A$8:$F$206,6,FALSE)</f>
        <v>Chq Bk</v>
      </c>
      <c r="H13" s="288">
        <f>_xlfn.IFNA(VLOOKUP($A13,ISB!$A:$BY,67,FALSE),0)</f>
        <v>2523274.0191204995</v>
      </c>
      <c r="I13" s="861">
        <f>_xlfn.IFNA(VLOOKUP(A13,'LA Deductions'!A:AN,40,FALSE),0)</f>
        <v>0</v>
      </c>
      <c r="J13" s="221">
        <f>_xlfn.IFNA(VLOOKUP($A13,ISB!$A:$BY,72,FALSE),0)</f>
        <v>-10249.439999999999</v>
      </c>
      <c r="K13" s="289">
        <f>-_xlfn.IFNA(VLOOKUP($A13,ISB!$A:$BY,76,FALSE),0)</f>
        <v>-48655.93</v>
      </c>
      <c r="M13" s="288">
        <f>VLOOKUP($A13,EY!$A:$AAK,132,FALSE)</f>
        <v>127358.10157894739</v>
      </c>
      <c r="N13" s="288">
        <f>VLOOKUP($A13,EY!$A:$AAD,133,FALSE)</f>
        <v>0</v>
      </c>
      <c r="P13" s="288">
        <f>VLOOKUP($A13,HN!$A:$AM,38,FALSE)</f>
        <v>0</v>
      </c>
      <c r="Q13" s="288">
        <f>VLOOKUP($A13,HN!$A:$AM,39,FALSE)</f>
        <v>0</v>
      </c>
      <c r="S13" s="362">
        <f>_xlfn.IFNA(VLOOKUP(A13,'Post 16'!A:AR,44,FALSE),0)</f>
        <v>0</v>
      </c>
      <c r="U13" s="362">
        <f>VLOOKUP(A13,'LA Deductions'!A:W,23,FALSE)</f>
        <v>-9471</v>
      </c>
      <c r="W13" s="289">
        <f>VLOOKUP($A13,'Summary Mar 2026'!$A:$AAG,189,FALSE)-SUMIFS($H13:$U13,$H$7:$U$7,W$7)</f>
        <v>0</v>
      </c>
      <c r="X13" s="289">
        <f>VLOOKUP($A13,'Summary Mar 2026'!$A:$GL,190,FALSE)-SUMIFS($H13:$U13,$H$7:$U$7,X$7)</f>
        <v>0</v>
      </c>
      <c r="Y13" s="289">
        <f>VLOOKUP($A13,'Summary Mar 2026'!$A:$GL,191,FALSE)-SUMIFS($H13:$U13,$H$7:$U$7,Y$7)</f>
        <v>0</v>
      </c>
      <c r="Z13" s="289">
        <f>VLOOKUP($A13,'Summary Mar 2026'!$A:$GL,192,FALSE)-SUMIFS($H13:$U13,$H$7:$U$7,Z$7)</f>
        <v>0</v>
      </c>
      <c r="AA13" s="289">
        <f>VLOOKUP($A13,'Summary Mar 2026'!$A:$GL,193,FALSE)-SUMIFS($H13:$U13,$H$7:$U$7,AA$7)</f>
        <v>0</v>
      </c>
      <c r="AB13" s="289">
        <f>VLOOKUP($A13,'Summary Mar 2026'!$A:$GL,194,FALSE)-SUMIFS($H13:$U13,$H$7:$U$7,AB$7)</f>
        <v>0</v>
      </c>
      <c r="AD13" s="146">
        <f>_xlfn.IFNA(VLOOKUP($A13,'Summary Mar 2026'!$A:$GS,196,FALSE)+VLOOKUP($A13,OtherDSG!$A:$AI,34,FALSE)+VLOOKUP($A13,Grants!$A:$BE,50,FALSE),0)</f>
        <v>2727379.1206994471</v>
      </c>
      <c r="AE13" s="146">
        <f>_xlfn.IFNA(VLOOKUP($A13,'Summary Mar 2026'!$A:$GS,197,FALSE)+VLOOKUP($A13,Grants!$A:$BE,51,FALSE),0)</f>
        <v>0</v>
      </c>
      <c r="AF13" s="146">
        <f>_xlfn.IFNA(VLOOKUP($A13,'Summary Mar 2026'!$A:$GS,198,FALSE)+VLOOKUP($A13,OtherDSG!$A:$AI,35,FALSE)+VLOOKUP($A13,Grants!$A:$BE,52,FALSE),0)</f>
        <v>266163.52</v>
      </c>
      <c r="AG13" s="146">
        <f>_xlfn.IFNA(VLOOKUP($A13,Grants!$A:$BE,53,FALSE),0)</f>
        <v>319980</v>
      </c>
      <c r="AH13" s="146">
        <f>_xlfn.IFNA(VLOOKUP($A13,Grants!$A:$BE,54,FALSE),0)</f>
        <v>65329.86</v>
      </c>
      <c r="AI13" s="146">
        <f>_xlfn.IFNA(VLOOKUP($A13,Grants!$A:$BE,55,FALSE),0)</f>
        <v>0</v>
      </c>
      <c r="AJ13" s="146">
        <f>_xlfn.IFNA(VLOOKUP($A13,Barclays!$A:$T,18,FALSE),0)</f>
        <v>24736.613090000024</v>
      </c>
      <c r="AK13" s="146">
        <f>_xlfn.IFNA(VLOOKUP($A13,'Summary Mar 2026'!$A:$GS,200,FALSE),0)</f>
        <v>-48655.930000000015</v>
      </c>
      <c r="AL13" s="146">
        <f>_xlfn.IFNA(VLOOKUP($A13,Barclays!$A:$T,19,FALSE),0)</f>
        <v>-99.51</v>
      </c>
      <c r="AM13" s="146">
        <f>_xlfn.IFNA(VLOOKUP($A13,'Summary Mar 2026'!$A:$GS,201,FALSE),0)</f>
        <v>-9471</v>
      </c>
      <c r="AN13" s="146">
        <f>_xlfn.IFNA(VLOOKUP($A13,'Summary Mar 2026'!$A:$GS,199,FALSE),0)</f>
        <v>-10249.439999999999</v>
      </c>
      <c r="AO13" s="146">
        <f>_xlfn.IFNA(VLOOKUP($A13,Grants!$A:$BE,56,FALSE),0)</f>
        <v>8835.25</v>
      </c>
      <c r="AP13" s="65">
        <f t="shared" si="0"/>
        <v>3343948.4837894472</v>
      </c>
    </row>
    <row r="14" spans="1:42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0" t="str">
        <f>VLOOKUP(A14,'Summary Mar 2026'!$A$8:$F$206,6,FALSE)</f>
        <v>Chq Bk</v>
      </c>
      <c r="H14" s="288">
        <f>_xlfn.IFNA(VLOOKUP($A14,ISB!$A:$BY,67,FALSE),0)</f>
        <v>3856658.096399745</v>
      </c>
      <c r="I14" s="861">
        <f>_xlfn.IFNA(VLOOKUP(A14,'LA Deductions'!A:AN,40,FALSE),0)</f>
        <v>0</v>
      </c>
      <c r="J14" s="221">
        <f>_xlfn.IFNA(VLOOKUP($A14,ISB!$A:$BY,72,FALSE),0)</f>
        <v>-16326.079999999998</v>
      </c>
      <c r="K14" s="289">
        <f>-_xlfn.IFNA(VLOOKUP($A14,ISB!$A:$BY,76,FALSE),0)</f>
        <v>-31269.81</v>
      </c>
      <c r="M14" s="288">
        <f>VLOOKUP($A14,EY!$A:$AAK,132,FALSE)</f>
        <v>233429.14842105267</v>
      </c>
      <c r="N14" s="288">
        <f>VLOOKUP($A14,EY!$A:$AAD,133,FALSE)</f>
        <v>0</v>
      </c>
      <c r="P14" s="288">
        <f>VLOOKUP($A14,HN!$A:$AM,38,FALSE)</f>
        <v>60000</v>
      </c>
      <c r="Q14" s="288">
        <f>VLOOKUP($A14,HN!$A:$AM,39,FALSE)</f>
        <v>119717.47</v>
      </c>
      <c r="S14" s="362">
        <f>_xlfn.IFNA(VLOOKUP(A14,'Post 16'!A:AR,44,FALSE),0)</f>
        <v>0</v>
      </c>
      <c r="U14" s="362">
        <f>VLOOKUP(A14,'LA Deductions'!A:W,23,FALSE)</f>
        <v>-18745.650000000001</v>
      </c>
      <c r="W14" s="289">
        <f>VLOOKUP($A14,'Summary Mar 2026'!$A:$AAG,189,FALSE)-SUMIFS($H14:$U14,$H$7:$U$7,W$7)</f>
        <v>0</v>
      </c>
      <c r="X14" s="289">
        <f>VLOOKUP($A14,'Summary Mar 2026'!$A:$GL,190,FALSE)-SUMIFS($H14:$U14,$H$7:$U$7,X$7)</f>
        <v>0</v>
      </c>
      <c r="Y14" s="289">
        <f>VLOOKUP($A14,'Summary Mar 2026'!$A:$GL,191,FALSE)-SUMIFS($H14:$U14,$H$7:$U$7,Y$7)</f>
        <v>0</v>
      </c>
      <c r="Z14" s="289">
        <f>VLOOKUP($A14,'Summary Mar 2026'!$A:$GL,192,FALSE)-SUMIFS($H14:$U14,$H$7:$U$7,Z$7)</f>
        <v>0</v>
      </c>
      <c r="AA14" s="289">
        <f>VLOOKUP($A14,'Summary Mar 2026'!$A:$GL,193,FALSE)-SUMIFS($H14:$U14,$H$7:$U$7,AA$7)</f>
        <v>0</v>
      </c>
      <c r="AB14" s="289">
        <f>VLOOKUP($A14,'Summary Mar 2026'!$A:$GL,194,FALSE)-SUMIFS($H14:$U14,$H$7:$U$7,AB$7)</f>
        <v>0</v>
      </c>
      <c r="AD14" s="146">
        <f>_xlfn.IFNA(VLOOKUP($A14,'Summary Mar 2026'!$A:$GS,196,FALSE)+VLOOKUP($A14,OtherDSG!$A:$AI,34,FALSE)+VLOOKUP($A14,Grants!$A:$BE,50,FALSE),0)</f>
        <v>4277352.2448207978</v>
      </c>
      <c r="AE14" s="146">
        <f>_xlfn.IFNA(VLOOKUP($A14,'Summary Mar 2026'!$A:$GS,197,FALSE)+VLOOKUP($A14,Grants!$A:$BE,51,FALSE),0)</f>
        <v>0</v>
      </c>
      <c r="AF14" s="146">
        <f>_xlfn.IFNA(VLOOKUP($A14,'Summary Mar 2026'!$A:$GS,198,FALSE)+VLOOKUP($A14,OtherDSG!$A:$AI,35,FALSE)+VLOOKUP($A14,Grants!$A:$BE,52,FALSE),0)</f>
        <v>327062.47000000003</v>
      </c>
      <c r="AG14" s="146">
        <f>_xlfn.IFNA(VLOOKUP($A14,Grants!$A:$BE,53,FALSE),0)</f>
        <v>545400</v>
      </c>
      <c r="AH14" s="146">
        <f>_xlfn.IFNA(VLOOKUP($A14,Grants!$A:$BE,54,FALSE),0)</f>
        <v>100029.21999999999</v>
      </c>
      <c r="AI14" s="146">
        <f>_xlfn.IFNA(VLOOKUP($A14,Grants!$A:$BE,55,FALSE),0)</f>
        <v>0</v>
      </c>
      <c r="AJ14" s="146">
        <f>_xlfn.IFNA(VLOOKUP($A14,Barclays!$A:$T,18,FALSE),0)</f>
        <v>17185.875474999844</v>
      </c>
      <c r="AK14" s="146">
        <f>_xlfn.IFNA(VLOOKUP($A14,'Summary Mar 2026'!$A:$GS,200,FALSE),0)</f>
        <v>-31269.810000000009</v>
      </c>
      <c r="AL14" s="146">
        <f>_xlfn.IFNA(VLOOKUP($A14,Barclays!$A:$T,19,FALSE),0)</f>
        <v>-91.38</v>
      </c>
      <c r="AM14" s="146">
        <f>_xlfn.IFNA(VLOOKUP($A14,'Summary Mar 2026'!$A:$GS,201,FALSE),0)</f>
        <v>-18745.650000000001</v>
      </c>
      <c r="AN14" s="146">
        <f>_xlfn.IFNA(VLOOKUP($A14,'Summary Mar 2026'!$A:$GS,199,FALSE),0)</f>
        <v>-16326.079999999996</v>
      </c>
      <c r="AO14" s="146">
        <f>_xlfn.IFNA(VLOOKUP($A14,Grants!$A:$BE,56,FALSE),0)</f>
        <v>11998.75</v>
      </c>
      <c r="AP14" s="65">
        <f t="shared" si="0"/>
        <v>5212595.640295797</v>
      </c>
    </row>
    <row r="15" spans="1:42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0" t="str">
        <f>VLOOKUP(A15,'Summary Mar 2026'!$A$8:$F$206,6,FALSE)</f>
        <v>Chq Bk</v>
      </c>
      <c r="H15" s="288">
        <f>_xlfn.IFNA(VLOOKUP($A15,ISB!$A:$BY,67,FALSE),0)</f>
        <v>3809477.4675876922</v>
      </c>
      <c r="I15" s="861">
        <f>_xlfn.IFNA(VLOOKUP(A15,'LA Deductions'!A:AN,40,FALSE),0)</f>
        <v>0</v>
      </c>
      <c r="J15" s="221">
        <f>_xlfn.IFNA(VLOOKUP($A15,ISB!$A:$BY,72,FALSE),0)</f>
        <v>-16665.12</v>
      </c>
      <c r="K15" s="289">
        <f>-_xlfn.IFNA(VLOOKUP($A15,ISB!$A:$BY,76,FALSE),0)</f>
        <v>-80893.09</v>
      </c>
      <c r="M15" s="288">
        <f>VLOOKUP($A15,EY!$A:$AAK,132,FALSE)</f>
        <v>239253.28204986153</v>
      </c>
      <c r="N15" s="288">
        <f>VLOOKUP($A15,EY!$A:$AAD,133,FALSE)</f>
        <v>0</v>
      </c>
      <c r="P15" s="288">
        <f>VLOOKUP($A15,HN!$A:$AM,38,FALSE)</f>
        <v>0</v>
      </c>
      <c r="Q15" s="288">
        <f>VLOOKUP($A15,HN!$A:$AM,39,FALSE)</f>
        <v>0</v>
      </c>
      <c r="S15" s="362">
        <f>_xlfn.IFNA(VLOOKUP(A15,'Post 16'!A:AR,44,FALSE),0)</f>
        <v>0</v>
      </c>
      <c r="U15" s="362">
        <f>VLOOKUP(A15,'LA Deductions'!A:W,23,FALSE)</f>
        <v>-18745.650000000001</v>
      </c>
      <c r="W15" s="289">
        <f>VLOOKUP($A15,'Summary Mar 2026'!$A:$AAG,189,FALSE)-SUMIFS($H15:$U15,$H$7:$U$7,W$7)</f>
        <v>0</v>
      </c>
      <c r="X15" s="289">
        <f>VLOOKUP($A15,'Summary Mar 2026'!$A:$GL,190,FALSE)-SUMIFS($H15:$U15,$H$7:$U$7,X$7)</f>
        <v>0</v>
      </c>
      <c r="Y15" s="289">
        <f>VLOOKUP($A15,'Summary Mar 2026'!$A:$GL,191,FALSE)-SUMIFS($H15:$U15,$H$7:$U$7,Y$7)</f>
        <v>0</v>
      </c>
      <c r="Z15" s="289">
        <f>VLOOKUP($A15,'Summary Mar 2026'!$A:$GL,192,FALSE)-SUMIFS($H15:$U15,$H$7:$U$7,Z$7)</f>
        <v>0</v>
      </c>
      <c r="AA15" s="289">
        <f>VLOOKUP($A15,'Summary Mar 2026'!$A:$GL,193,FALSE)-SUMIFS($H15:$U15,$H$7:$U$7,AA$7)</f>
        <v>0</v>
      </c>
      <c r="AB15" s="289">
        <f>VLOOKUP($A15,'Summary Mar 2026'!$A:$GL,194,FALSE)-SUMIFS($H15:$U15,$H$7:$U$7,AB$7)</f>
        <v>0</v>
      </c>
      <c r="AD15" s="146">
        <f>_xlfn.IFNA(VLOOKUP($A15,'Summary Mar 2026'!$A:$GS,196,FALSE)+VLOOKUP($A15,OtherDSG!$A:$AI,34,FALSE)+VLOOKUP($A15,Grants!$A:$BE,50,FALSE),0)</f>
        <v>4171934.7496375525</v>
      </c>
      <c r="AE15" s="146">
        <f>_xlfn.IFNA(VLOOKUP($A15,'Summary Mar 2026'!$A:$GS,197,FALSE)+VLOOKUP($A15,Grants!$A:$BE,51,FALSE),0)</f>
        <v>0</v>
      </c>
      <c r="AF15" s="146">
        <f>_xlfn.IFNA(VLOOKUP($A15,'Summary Mar 2026'!$A:$GS,198,FALSE)+VLOOKUP($A15,OtherDSG!$A:$AI,35,FALSE)+VLOOKUP($A15,Grants!$A:$BE,52,FALSE),0)</f>
        <v>303010.18000000005</v>
      </c>
      <c r="AG15" s="146">
        <f>_xlfn.IFNA(VLOOKUP($A15,Grants!$A:$BE,53,FALSE),0)</f>
        <v>527220</v>
      </c>
      <c r="AH15" s="146">
        <f>_xlfn.IFNA(VLOOKUP($A15,Grants!$A:$BE,54,FALSE),0)</f>
        <v>95288.29</v>
      </c>
      <c r="AI15" s="146">
        <f>_xlfn.IFNA(VLOOKUP($A15,Grants!$A:$BE,55,FALSE),0)</f>
        <v>0</v>
      </c>
      <c r="AJ15" s="146">
        <f>_xlfn.IFNA(VLOOKUP($A15,Barclays!$A:$T,18,FALSE),0)</f>
        <v>0</v>
      </c>
      <c r="AK15" s="146">
        <f>_xlfn.IFNA(VLOOKUP($A15,'Summary Mar 2026'!$A:$GS,200,FALSE),0)</f>
        <v>-80893.090000000011</v>
      </c>
      <c r="AL15" s="146">
        <f>_xlfn.IFNA(VLOOKUP($A15,Barclays!$A:$T,19,FALSE),0)</f>
        <v>0</v>
      </c>
      <c r="AM15" s="146">
        <f>_xlfn.IFNA(VLOOKUP($A15,'Summary Mar 2026'!$A:$GS,201,FALSE),0)</f>
        <v>-18745.650000000001</v>
      </c>
      <c r="AN15" s="146">
        <f>_xlfn.IFNA(VLOOKUP($A15,'Summary Mar 2026'!$A:$GS,199,FALSE),0)</f>
        <v>-16665.12</v>
      </c>
      <c r="AO15" s="146">
        <f>_xlfn.IFNA(VLOOKUP($A15,Grants!$A:$BE,56,FALSE),0)</f>
        <v>11686</v>
      </c>
      <c r="AP15" s="65">
        <f t="shared" si="0"/>
        <v>4992835.3596375519</v>
      </c>
    </row>
    <row r="16" spans="1:42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0" t="str">
        <f>VLOOKUP(A16,'Summary Mar 2026'!$A$8:$F$206,6,FALSE)</f>
        <v>Chq Bk</v>
      </c>
      <c r="H16" s="288">
        <f>_xlfn.IFNA(VLOOKUP($A16,ISB!$A:$BY,67,FALSE),0)</f>
        <v>0</v>
      </c>
      <c r="I16" s="861">
        <f>_xlfn.IFNA(VLOOKUP(A16,'LA Deductions'!A:AN,40,FALSE),0)</f>
        <v>0</v>
      </c>
      <c r="J16" s="221">
        <f>_xlfn.IFNA(VLOOKUP($A16,ISB!$A:$BY,72,FALSE),0)</f>
        <v>0</v>
      </c>
      <c r="K16" s="289">
        <f>-_xlfn.IFNA(VLOOKUP($A16,ISB!$A:$BY,76,FALSE),0)</f>
        <v>0</v>
      </c>
      <c r="M16" s="288">
        <f>VLOOKUP($A16,EY!$A:$AAK,132,FALSE)</f>
        <v>0</v>
      </c>
      <c r="N16" s="288">
        <f>VLOOKUP($A16,EY!$A:$AAD,133,FALSE)</f>
        <v>0</v>
      </c>
      <c r="P16" s="288">
        <f>VLOOKUP($A16,HN!$A:$AM,38,FALSE)</f>
        <v>2078340</v>
      </c>
      <c r="Q16" s="288">
        <f>VLOOKUP($A16,HN!$A:$AM,39,FALSE)</f>
        <v>3618922.1837236672</v>
      </c>
      <c r="S16" s="362">
        <f>_xlfn.IFNA(VLOOKUP(A16,'Post 16'!A:AR,44,FALSE),0)</f>
        <v>0</v>
      </c>
      <c r="U16" s="362">
        <f>VLOOKUP(A16,'LA Deductions'!A:W,23,FALSE)</f>
        <v>-5076</v>
      </c>
      <c r="W16" s="289">
        <f>VLOOKUP($A16,'Summary Mar 2026'!$A:$AAG,189,FALSE)-SUMIFS($H16:$U16,$H$7:$U$7,W$7)</f>
        <v>0</v>
      </c>
      <c r="X16" s="289">
        <f>VLOOKUP($A16,'Summary Mar 2026'!$A:$GL,190,FALSE)-SUMIFS($H16:$U16,$H$7:$U$7,X$7)</f>
        <v>0</v>
      </c>
      <c r="Y16" s="289">
        <f>VLOOKUP($A16,'Summary Mar 2026'!$A:$GL,191,FALSE)-SUMIFS($H16:$U16,$H$7:$U$7,Y$7)</f>
        <v>0</v>
      </c>
      <c r="Z16" s="289">
        <f>VLOOKUP($A16,'Summary Mar 2026'!$A:$GL,192,FALSE)-SUMIFS($H16:$U16,$H$7:$U$7,Z$7)</f>
        <v>0</v>
      </c>
      <c r="AA16" s="289">
        <f>VLOOKUP($A16,'Summary Mar 2026'!$A:$GL,193,FALSE)-SUMIFS($H16:$U16,$H$7:$U$7,AA$7)</f>
        <v>0</v>
      </c>
      <c r="AB16" s="289">
        <f>VLOOKUP($A16,'Summary Mar 2026'!$A:$GL,194,FALSE)-SUMIFS($H16:$U16,$H$7:$U$7,AB$7)</f>
        <v>0</v>
      </c>
      <c r="AD16" s="146">
        <f>_xlfn.IFNA(VLOOKUP($A16,'Summary Mar 2026'!$A:$GS,196,FALSE)+VLOOKUP($A16,OtherDSG!$A:$AI,34,FALSE)+VLOOKUP($A16,Grants!$A:$BE,50,FALSE),0)</f>
        <v>2070454.9573913044</v>
      </c>
      <c r="AE16" s="146">
        <f>_xlfn.IFNA(VLOOKUP($A16,'Summary Mar 2026'!$A:$GS,197,FALSE)+VLOOKUP($A16,Grants!$A:$BE,51,FALSE),0)</f>
        <v>60048.577419554851</v>
      </c>
      <c r="AF16" s="146">
        <f>_xlfn.IFNA(VLOOKUP($A16,'Summary Mar 2026'!$A:$GS,198,FALSE)+VLOOKUP($A16,OtherDSG!$A:$AI,35,FALSE)+VLOOKUP($A16,Grants!$A:$BE,52,FALSE),0)</f>
        <v>4205874.2440381898</v>
      </c>
      <c r="AG16" s="146">
        <f>_xlfn.IFNA(VLOOKUP($A16,Grants!$A:$BE,53,FALSE),0)</f>
        <v>73450</v>
      </c>
      <c r="AH16" s="146">
        <f>_xlfn.IFNA(VLOOKUP($A16,Grants!$A:$BE,54,FALSE),0)</f>
        <v>0</v>
      </c>
      <c r="AI16" s="146">
        <f>_xlfn.IFNA(VLOOKUP($A16,Grants!$A:$BE,55,FALSE),0)</f>
        <v>0</v>
      </c>
      <c r="AJ16" s="146">
        <f>_xlfn.IFNA(VLOOKUP($A16,Barclays!$A:$T,18,FALSE),0)</f>
        <v>0</v>
      </c>
      <c r="AK16" s="146">
        <f>_xlfn.IFNA(VLOOKUP($A16,'Summary Mar 2026'!$A:$GS,200,FALSE),0)</f>
        <v>0</v>
      </c>
      <c r="AL16" s="146">
        <f>_xlfn.IFNA(VLOOKUP($A16,Barclays!$A:$T,19,FALSE),0)</f>
        <v>0</v>
      </c>
      <c r="AM16" s="146">
        <f>_xlfn.IFNA(VLOOKUP($A16,'Summary Mar 2026'!$A:$GS,201,FALSE),0)</f>
        <v>-5076</v>
      </c>
      <c r="AN16" s="146">
        <f>_xlfn.IFNA(VLOOKUP($A16,'Summary Mar 2026'!$A:$GS,199,FALSE),0)</f>
        <v>0</v>
      </c>
      <c r="AO16" s="146">
        <f>_xlfn.IFNA(VLOOKUP($A16,Grants!$A:$BE,56,FALSE),0)</f>
        <v>13365.63</v>
      </c>
      <c r="AP16" s="65">
        <f t="shared" si="0"/>
        <v>6418117.4088490484</v>
      </c>
    </row>
    <row r="17" spans="1:42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0" t="str">
        <f>VLOOKUP(A17,'Summary Mar 2026'!$A$8:$F$206,6,FALSE)</f>
        <v>Chq Bk</v>
      </c>
      <c r="H17" s="288">
        <f>_xlfn.IFNA(VLOOKUP($A17,ISB!$A:$BY,67,FALSE),0)</f>
        <v>1783832.3645051515</v>
      </c>
      <c r="I17" s="861">
        <f>_xlfn.IFNA(VLOOKUP(A17,'LA Deductions'!A:AN,40,FALSE),0)</f>
        <v>0</v>
      </c>
      <c r="J17" s="221">
        <f>_xlfn.IFNA(VLOOKUP($A17,ISB!$A:$BY,72,FALSE),0)</f>
        <v>-6911.2</v>
      </c>
      <c r="K17" s="289">
        <f>-_xlfn.IFNA(VLOOKUP($A17,ISB!$A:$BY,76,FALSE),0)</f>
        <v>-28407.83</v>
      </c>
      <c r="M17" s="288">
        <f>VLOOKUP($A17,EY!$A:$AAK,132,FALSE)</f>
        <v>0</v>
      </c>
      <c r="N17" s="288">
        <f>VLOOKUP($A17,EY!$A:$AAD,133,FALSE)</f>
        <v>0</v>
      </c>
      <c r="P17" s="288">
        <f>VLOOKUP($A17,HN!$A:$AM,38,FALSE)</f>
        <v>0</v>
      </c>
      <c r="Q17" s="288">
        <f>VLOOKUP($A17,HN!$A:$AM,39,FALSE)</f>
        <v>0</v>
      </c>
      <c r="S17" s="362">
        <f>_xlfn.IFNA(VLOOKUP(A17,'Post 16'!A:AR,44,FALSE),0)</f>
        <v>0</v>
      </c>
      <c r="U17" s="362">
        <f>VLOOKUP(A17,'LA Deductions'!A:W,23,FALSE)</f>
        <v>-5139.75</v>
      </c>
      <c r="W17" s="289">
        <f>VLOOKUP($A17,'Summary Mar 2026'!$A:$AAG,189,FALSE)-SUMIFS($H17:$U17,$H$7:$U$7,W$7)</f>
        <v>0</v>
      </c>
      <c r="X17" s="289">
        <f>VLOOKUP($A17,'Summary Mar 2026'!$A:$GL,190,FALSE)-SUMIFS($H17:$U17,$H$7:$U$7,X$7)</f>
        <v>0</v>
      </c>
      <c r="Y17" s="289">
        <f>VLOOKUP($A17,'Summary Mar 2026'!$A:$GL,191,FALSE)-SUMIFS($H17:$U17,$H$7:$U$7,Y$7)</f>
        <v>0</v>
      </c>
      <c r="Z17" s="289">
        <f>VLOOKUP($A17,'Summary Mar 2026'!$A:$GL,192,FALSE)-SUMIFS($H17:$U17,$H$7:$U$7,Z$7)</f>
        <v>0</v>
      </c>
      <c r="AA17" s="289">
        <f>VLOOKUP($A17,'Summary Mar 2026'!$A:$GL,193,FALSE)-SUMIFS($H17:$U17,$H$7:$U$7,AA$7)</f>
        <v>0</v>
      </c>
      <c r="AB17" s="289">
        <f>VLOOKUP($A17,'Summary Mar 2026'!$A:$GL,194,FALSE)-SUMIFS($H17:$U17,$H$7:$U$7,AB$7)</f>
        <v>0</v>
      </c>
      <c r="AD17" s="146">
        <f>_xlfn.IFNA(VLOOKUP($A17,'Summary Mar 2026'!$A:$GS,196,FALSE)+VLOOKUP($A17,OtherDSG!$A:$AI,34,FALSE)+VLOOKUP($A17,Grants!$A:$BE,50,FALSE),0)</f>
        <v>1829264.3645051515</v>
      </c>
      <c r="AE17" s="146">
        <f>_xlfn.IFNA(VLOOKUP($A17,'Summary Mar 2026'!$A:$GS,197,FALSE)+VLOOKUP($A17,Grants!$A:$BE,51,FALSE),0)</f>
        <v>0</v>
      </c>
      <c r="AF17" s="146">
        <f>_xlfn.IFNA(VLOOKUP($A17,'Summary Mar 2026'!$A:$GS,198,FALSE)+VLOOKUP($A17,OtherDSG!$A:$AI,35,FALSE)+VLOOKUP($A17,Grants!$A:$BE,52,FALSE),0)</f>
        <v>219412.995</v>
      </c>
      <c r="AG17" s="146">
        <f>_xlfn.IFNA(VLOOKUP($A17,Grants!$A:$BE,53,FALSE),0)</f>
        <v>142410</v>
      </c>
      <c r="AH17" s="146">
        <f>_xlfn.IFNA(VLOOKUP($A17,Grants!$A:$BE,54,FALSE),0)</f>
        <v>76573.600000000006</v>
      </c>
      <c r="AI17" s="146">
        <f>_xlfn.IFNA(VLOOKUP($A17,Grants!$A:$BE,55,FALSE),0)</f>
        <v>0</v>
      </c>
      <c r="AJ17" s="146">
        <f>_xlfn.IFNA(VLOOKUP($A17,Barclays!$A:$T,18,FALSE),0)</f>
        <v>2715.6799999999994</v>
      </c>
      <c r="AK17" s="146">
        <f>_xlfn.IFNA(VLOOKUP($A17,'Summary Mar 2026'!$A:$GS,200,FALSE),0)</f>
        <v>-28407.830000000005</v>
      </c>
      <c r="AL17" s="146">
        <f>_xlfn.IFNA(VLOOKUP($A17,Barclays!$A:$T,19,FALSE),0)</f>
        <v>-35.700000000000003</v>
      </c>
      <c r="AM17" s="146">
        <f>_xlfn.IFNA(VLOOKUP($A17,'Summary Mar 2026'!$A:$GS,201,FALSE),0)</f>
        <v>-5139.75</v>
      </c>
      <c r="AN17" s="146">
        <f>_xlfn.IFNA(VLOOKUP($A17,'Summary Mar 2026'!$A:$GS,199,FALSE),0)</f>
        <v>-6911.2</v>
      </c>
      <c r="AO17" s="146">
        <f>_xlfn.IFNA(VLOOKUP($A17,Grants!$A:$BE,56,FALSE),0)</f>
        <v>7026.25</v>
      </c>
      <c r="AP17" s="65">
        <f t="shared" si="0"/>
        <v>2236908.4095051512</v>
      </c>
    </row>
    <row r="18" spans="1:42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0" t="str">
        <f>VLOOKUP(A18,'Summary Mar 2026'!$A$8:$F$206,6,FALSE)</f>
        <v>Chq Bk</v>
      </c>
      <c r="H18" s="288">
        <f>_xlfn.IFNA(VLOOKUP($A18,ISB!$A:$BY,67,FALSE),0)</f>
        <v>2286076.6641679588</v>
      </c>
      <c r="I18" s="861">
        <f>_xlfn.IFNA(VLOOKUP(A18,'LA Deductions'!A:AN,40,FALSE),0)</f>
        <v>0</v>
      </c>
      <c r="J18" s="221">
        <f>_xlfn.IFNA(VLOOKUP($A18,ISB!$A:$BY,72,FALSE),0)</f>
        <v>-9362.7199999999993</v>
      </c>
      <c r="K18" s="289">
        <f>-_xlfn.IFNA(VLOOKUP($A18,ISB!$A:$BY,76,FALSE),0)</f>
        <v>-42611.74</v>
      </c>
      <c r="M18" s="288">
        <f>VLOOKUP($A18,EY!$A:$AAK,132,FALSE)</f>
        <v>0</v>
      </c>
      <c r="N18" s="288">
        <f>VLOOKUP($A18,EY!$A:$AAD,133,FALSE)</f>
        <v>0</v>
      </c>
      <c r="P18" s="288">
        <f>VLOOKUP($A18,HN!$A:$AM,38,FALSE)</f>
        <v>0</v>
      </c>
      <c r="Q18" s="288">
        <f>VLOOKUP($A18,HN!$A:$AM,39,FALSE)</f>
        <v>0</v>
      </c>
      <c r="S18" s="362">
        <f>_xlfn.IFNA(VLOOKUP(A18,'Post 16'!A:AR,44,FALSE),0)</f>
        <v>0</v>
      </c>
      <c r="U18" s="362">
        <f>VLOOKUP(A18,'LA Deductions'!A:W,23,FALSE)</f>
        <v>-9471</v>
      </c>
      <c r="W18" s="289">
        <f>VLOOKUP($A18,'Summary Mar 2026'!$A:$AAG,189,FALSE)-SUMIFS($H18:$U18,$H$7:$U$7,W$7)</f>
        <v>0</v>
      </c>
      <c r="X18" s="289">
        <f>VLOOKUP($A18,'Summary Mar 2026'!$A:$GL,190,FALSE)-SUMIFS($H18:$U18,$H$7:$U$7,X$7)</f>
        <v>0</v>
      </c>
      <c r="Y18" s="289">
        <f>VLOOKUP($A18,'Summary Mar 2026'!$A:$GL,191,FALSE)-SUMIFS($H18:$U18,$H$7:$U$7,Y$7)</f>
        <v>0</v>
      </c>
      <c r="Z18" s="289">
        <f>VLOOKUP($A18,'Summary Mar 2026'!$A:$GL,192,FALSE)-SUMIFS($H18:$U18,$H$7:$U$7,Z$7)</f>
        <v>0</v>
      </c>
      <c r="AA18" s="289">
        <f>VLOOKUP($A18,'Summary Mar 2026'!$A:$GL,193,FALSE)-SUMIFS($H18:$U18,$H$7:$U$7,AA$7)</f>
        <v>0</v>
      </c>
      <c r="AB18" s="289">
        <f>VLOOKUP($A18,'Summary Mar 2026'!$A:$GL,194,FALSE)-SUMIFS($H18:$U18,$H$7:$U$7,AB$7)</f>
        <v>0</v>
      </c>
      <c r="AD18" s="146">
        <f>_xlfn.IFNA(VLOOKUP($A18,'Summary Mar 2026'!$A:$GS,196,FALSE)+VLOOKUP($A18,OtherDSG!$A:$AI,34,FALSE)+VLOOKUP($A18,Grants!$A:$BE,50,FALSE),0)</f>
        <v>2349642.6641679588</v>
      </c>
      <c r="AE18" s="146">
        <f>_xlfn.IFNA(VLOOKUP($A18,'Summary Mar 2026'!$A:$GS,197,FALSE)+VLOOKUP($A18,Grants!$A:$BE,51,FALSE),0)</f>
        <v>0</v>
      </c>
      <c r="AF18" s="146">
        <f>_xlfn.IFNA(VLOOKUP($A18,'Summary Mar 2026'!$A:$GS,198,FALSE)+VLOOKUP($A18,OtherDSG!$A:$AI,35,FALSE)+VLOOKUP($A18,Grants!$A:$BE,52,FALSE),0)</f>
        <v>144585.34</v>
      </c>
      <c r="AG18" s="146">
        <f>_xlfn.IFNA(VLOOKUP($A18,Grants!$A:$BE,53,FALSE),0)</f>
        <v>247660</v>
      </c>
      <c r="AH18" s="146">
        <f>_xlfn.IFNA(VLOOKUP($A18,Grants!$A:$BE,54,FALSE),0)</f>
        <v>26232.86</v>
      </c>
      <c r="AI18" s="146">
        <f>_xlfn.IFNA(VLOOKUP($A18,Grants!$A:$BE,55,FALSE),0)</f>
        <v>0</v>
      </c>
      <c r="AJ18" s="146">
        <f>_xlfn.IFNA(VLOOKUP($A18,Barclays!$A:$T,18,FALSE),0)</f>
        <v>9906.8040000000001</v>
      </c>
      <c r="AK18" s="146">
        <f>_xlfn.IFNA(VLOOKUP($A18,'Summary Mar 2026'!$A:$GS,200,FALSE),0)</f>
        <v>-42611.74</v>
      </c>
      <c r="AL18" s="146">
        <f>_xlfn.IFNA(VLOOKUP($A18,Barclays!$A:$T,19,FALSE),0)</f>
        <v>-14.01</v>
      </c>
      <c r="AM18" s="146">
        <f>_xlfn.IFNA(VLOOKUP($A18,'Summary Mar 2026'!$A:$GS,201,FALSE),0)</f>
        <v>-9471</v>
      </c>
      <c r="AN18" s="146">
        <f>_xlfn.IFNA(VLOOKUP($A18,'Summary Mar 2026'!$A:$GS,199,FALSE),0)</f>
        <v>-9362.7199999999993</v>
      </c>
      <c r="AO18" s="146">
        <f>_xlfn.IFNA(VLOOKUP($A18,Grants!$A:$BE,56,FALSE),0)</f>
        <v>8044.38</v>
      </c>
      <c r="AP18" s="65">
        <f t="shared" si="0"/>
        <v>2724612.5781679582</v>
      </c>
    </row>
    <row r="19" spans="1:42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0" t="str">
        <f>VLOOKUP(A19,'Summary Mar 2026'!$A$8:$F$206,6,FALSE)</f>
        <v>Chq Bk</v>
      </c>
      <c r="H19" s="288">
        <f>_xlfn.IFNA(VLOOKUP($A19,ISB!$A:$BY,67,FALSE),0)</f>
        <v>973216.56077853241</v>
      </c>
      <c r="I19" s="861">
        <f>_xlfn.IFNA(VLOOKUP(A19,'LA Deductions'!A:AN,40,FALSE),0)</f>
        <v>0</v>
      </c>
      <c r="J19" s="221">
        <f>_xlfn.IFNA(VLOOKUP($A19,ISB!$A:$BY,72,FALSE),0)</f>
        <v>-3833.7599999999998</v>
      </c>
      <c r="K19" s="289">
        <f>-_xlfn.IFNA(VLOOKUP($A19,ISB!$A:$BY,76,FALSE),0)</f>
        <v>-11105.6</v>
      </c>
      <c r="M19" s="288">
        <f>VLOOKUP($A19,EY!$A:$AAK,132,FALSE)</f>
        <v>169655.30371191137</v>
      </c>
      <c r="N19" s="288">
        <f>VLOOKUP($A19,EY!$A:$AAD,133,FALSE)</f>
        <v>3976.4963988919667</v>
      </c>
      <c r="P19" s="288">
        <f>VLOOKUP($A19,HN!$A:$AM,38,FALSE)</f>
        <v>0</v>
      </c>
      <c r="Q19" s="288">
        <f>VLOOKUP($A19,HN!$A:$AM,39,FALSE)</f>
        <v>0</v>
      </c>
      <c r="S19" s="362">
        <f>_xlfn.IFNA(VLOOKUP(A19,'Post 16'!A:AR,44,FALSE),0)</f>
        <v>0</v>
      </c>
      <c r="U19" s="362">
        <f>VLOOKUP(A19,'LA Deductions'!A:W,23,FALSE)</f>
        <v>-3291.75</v>
      </c>
      <c r="W19" s="289">
        <f>VLOOKUP($A19,'Summary Mar 2026'!$A:$AAG,189,FALSE)-SUMIFS($H19:$U19,$H$7:$U$7,W$7)</f>
        <v>0</v>
      </c>
      <c r="X19" s="289">
        <f>VLOOKUP($A19,'Summary Mar 2026'!$A:$GL,190,FALSE)-SUMIFS($H19:$U19,$H$7:$U$7,X$7)</f>
        <v>0</v>
      </c>
      <c r="Y19" s="289">
        <f>VLOOKUP($A19,'Summary Mar 2026'!$A:$GL,191,FALSE)-SUMIFS($H19:$U19,$H$7:$U$7,Y$7)</f>
        <v>0</v>
      </c>
      <c r="Z19" s="289">
        <f>VLOOKUP($A19,'Summary Mar 2026'!$A:$GL,192,FALSE)-SUMIFS($H19:$U19,$H$7:$U$7,Z$7)</f>
        <v>0</v>
      </c>
      <c r="AA19" s="289">
        <f>VLOOKUP($A19,'Summary Mar 2026'!$A:$GL,193,FALSE)-SUMIFS($H19:$U19,$H$7:$U$7,AA$7)</f>
        <v>0</v>
      </c>
      <c r="AB19" s="289">
        <f>VLOOKUP($A19,'Summary Mar 2026'!$A:$GL,194,FALSE)-SUMIFS($H19:$U19,$H$7:$U$7,AB$7)</f>
        <v>0</v>
      </c>
      <c r="AD19" s="146">
        <f>_xlfn.IFNA(VLOOKUP($A19,'Summary Mar 2026'!$A:$GS,196,FALSE)+VLOOKUP($A19,OtherDSG!$A:$AI,34,FALSE)+VLOOKUP($A19,Grants!$A:$BE,50,FALSE),0)</f>
        <v>1215961.9894904436</v>
      </c>
      <c r="AE19" s="146">
        <f>_xlfn.IFNA(VLOOKUP($A19,'Summary Mar 2026'!$A:$GS,197,FALSE)+VLOOKUP($A19,Grants!$A:$BE,51,FALSE),0)</f>
        <v>0</v>
      </c>
      <c r="AF19" s="146">
        <f>_xlfn.IFNA(VLOOKUP($A19,'Summary Mar 2026'!$A:$GS,198,FALSE)+VLOOKUP($A19,OtherDSG!$A:$AI,35,FALSE)+VLOOKUP($A19,Grants!$A:$BE,52,FALSE),0)</f>
        <v>123705.01973222529</v>
      </c>
      <c r="AG19" s="146">
        <f>_xlfn.IFNA(VLOOKUP($A19,Grants!$A:$BE,53,FALSE),0)</f>
        <v>110945</v>
      </c>
      <c r="AH19" s="146">
        <f>_xlfn.IFNA(VLOOKUP($A19,Grants!$A:$BE,54,FALSE),0)</f>
        <v>44967.57</v>
      </c>
      <c r="AI19" s="146">
        <f>_xlfn.IFNA(VLOOKUP($A19,Grants!$A:$BE,55,FALSE),0)</f>
        <v>0</v>
      </c>
      <c r="AJ19" s="146">
        <f>_xlfn.IFNA(VLOOKUP($A19,Barclays!$A:$T,18,FALSE),0)</f>
        <v>1771.0242600000015</v>
      </c>
      <c r="AK19" s="146">
        <f>_xlfn.IFNA(VLOOKUP($A19,'Summary Mar 2026'!$A:$GS,200,FALSE),0)</f>
        <v>-11105.600000000004</v>
      </c>
      <c r="AL19" s="146">
        <f>_xlfn.IFNA(VLOOKUP($A19,Barclays!$A:$T,19,FALSE),0)</f>
        <v>-54.83</v>
      </c>
      <c r="AM19" s="146">
        <f>_xlfn.IFNA(VLOOKUP($A19,'Summary Mar 2026'!$A:$GS,201,FALSE),0)</f>
        <v>-3291.75</v>
      </c>
      <c r="AN19" s="146">
        <f>_xlfn.IFNA(VLOOKUP($A19,'Summary Mar 2026'!$A:$GS,199,FALSE),0)</f>
        <v>-3833.7599999999998</v>
      </c>
      <c r="AO19" s="146">
        <f>_xlfn.IFNA(VLOOKUP($A19,Grants!$A:$BE,56,FALSE),0)</f>
        <v>6191.5</v>
      </c>
      <c r="AP19" s="65">
        <f t="shared" si="0"/>
        <v>1485256.1634826688</v>
      </c>
    </row>
    <row r="20" spans="1:42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0" t="str">
        <f>VLOOKUP(A20,'Summary Mar 2026'!$A$8:$F$206,6,FALSE)</f>
        <v>Chq Bk</v>
      </c>
      <c r="H20" s="288">
        <f>_xlfn.IFNA(VLOOKUP($A20,ISB!$A:$BY,67,FALSE),0)</f>
        <v>1539687.6578248753</v>
      </c>
      <c r="I20" s="861">
        <f>_xlfn.IFNA(VLOOKUP(A20,'LA Deductions'!A:AN,40,FALSE),0)</f>
        <v>0</v>
      </c>
      <c r="J20" s="221">
        <f>_xlfn.IFNA(VLOOKUP($A20,ISB!$A:$BY,72,FALSE),0)</f>
        <v>-6363.5199999999995</v>
      </c>
      <c r="K20" s="289">
        <f>-_xlfn.IFNA(VLOOKUP($A20,ISB!$A:$BY,76,FALSE),0)</f>
        <v>-14721.39</v>
      </c>
      <c r="M20" s="288">
        <f>VLOOKUP($A20,EY!$A:$AAK,132,FALSE)</f>
        <v>0</v>
      </c>
      <c r="N20" s="288">
        <f>VLOOKUP($A20,EY!$A:$AAD,133,FALSE)</f>
        <v>0</v>
      </c>
      <c r="P20" s="288">
        <f>VLOOKUP($A20,HN!$A:$AM,38,FALSE)</f>
        <v>15000</v>
      </c>
      <c r="Q20" s="288">
        <f>VLOOKUP($A20,HN!$A:$AM,39,FALSE)</f>
        <v>0</v>
      </c>
      <c r="S20" s="362">
        <f>_xlfn.IFNA(VLOOKUP(A20,'Post 16'!A:AR,44,FALSE),0)</f>
        <v>0</v>
      </c>
      <c r="U20" s="362">
        <f>VLOOKUP(A20,'LA Deductions'!A:W,23,FALSE)</f>
        <v>-5139.75</v>
      </c>
      <c r="W20" s="289">
        <f>VLOOKUP($A20,'Summary Mar 2026'!$A:$AAG,189,FALSE)-SUMIFS($H20:$U20,$H$7:$U$7,W$7)</f>
        <v>0</v>
      </c>
      <c r="X20" s="289">
        <f>VLOOKUP($A20,'Summary Mar 2026'!$A:$GL,190,FALSE)-SUMIFS($H20:$U20,$H$7:$U$7,X$7)</f>
        <v>0</v>
      </c>
      <c r="Y20" s="289">
        <f>VLOOKUP($A20,'Summary Mar 2026'!$A:$GL,191,FALSE)-SUMIFS($H20:$U20,$H$7:$U$7,Y$7)</f>
        <v>0</v>
      </c>
      <c r="Z20" s="289">
        <f>VLOOKUP($A20,'Summary Mar 2026'!$A:$GL,192,FALSE)-SUMIFS($H20:$U20,$H$7:$U$7,Z$7)</f>
        <v>0</v>
      </c>
      <c r="AA20" s="289">
        <f>VLOOKUP($A20,'Summary Mar 2026'!$A:$GL,193,FALSE)-SUMIFS($H20:$U20,$H$7:$U$7,AA$7)</f>
        <v>0</v>
      </c>
      <c r="AB20" s="289">
        <f>VLOOKUP($A20,'Summary Mar 2026'!$A:$GL,194,FALSE)-SUMIFS($H20:$U20,$H$7:$U$7,AB$7)</f>
        <v>0</v>
      </c>
      <c r="AD20" s="146">
        <f>_xlfn.IFNA(VLOOKUP($A20,'Summary Mar 2026'!$A:$GS,196,FALSE)+VLOOKUP($A20,OtherDSG!$A:$AI,34,FALSE)+VLOOKUP($A20,Grants!$A:$BE,50,FALSE),0)</f>
        <v>1602553.6578248756</v>
      </c>
      <c r="AE20" s="146">
        <f>_xlfn.IFNA(VLOOKUP($A20,'Summary Mar 2026'!$A:$GS,197,FALSE)+VLOOKUP($A20,Grants!$A:$BE,51,FALSE),0)</f>
        <v>0</v>
      </c>
      <c r="AF20" s="146">
        <f>_xlfn.IFNA(VLOOKUP($A20,'Summary Mar 2026'!$A:$GS,198,FALSE)+VLOOKUP($A20,OtherDSG!$A:$AI,35,FALSE)+VLOOKUP($A20,Grants!$A:$BE,52,FALSE),0)</f>
        <v>109328.55666666667</v>
      </c>
      <c r="AG20" s="146">
        <f>_xlfn.IFNA(VLOOKUP($A20,Grants!$A:$BE,53,FALSE),0)</f>
        <v>220675</v>
      </c>
      <c r="AH20" s="146">
        <f>_xlfn.IFNA(VLOOKUP($A20,Grants!$A:$BE,54,FALSE),0)</f>
        <v>33446.259999999995</v>
      </c>
      <c r="AI20" s="146">
        <f>_xlfn.IFNA(VLOOKUP($A20,Grants!$A:$BE,55,FALSE),0)</f>
        <v>0</v>
      </c>
      <c r="AJ20" s="146">
        <f>_xlfn.IFNA(VLOOKUP($A20,Barclays!$A:$T,18,FALSE),0)</f>
        <v>0</v>
      </c>
      <c r="AK20" s="146">
        <f>_xlfn.IFNA(VLOOKUP($A20,'Summary Mar 2026'!$A:$GS,200,FALSE),0)</f>
        <v>-14721.389999999998</v>
      </c>
      <c r="AL20" s="146">
        <f>_xlfn.IFNA(VLOOKUP($A20,Barclays!$A:$T,19,FALSE),0)</f>
        <v>0</v>
      </c>
      <c r="AM20" s="146">
        <f>_xlfn.IFNA(VLOOKUP($A20,'Summary Mar 2026'!$A:$GS,201,FALSE),0)</f>
        <v>-5139.75</v>
      </c>
      <c r="AN20" s="146">
        <f>_xlfn.IFNA(VLOOKUP($A20,'Summary Mar 2026'!$A:$GS,199,FALSE),0)</f>
        <v>-6363.5199999999977</v>
      </c>
      <c r="AO20" s="146">
        <f>_xlfn.IFNA(VLOOKUP($A20,Grants!$A:$BE,56,FALSE),0)</f>
        <v>6756.25</v>
      </c>
      <c r="AP20" s="65">
        <f t="shared" si="0"/>
        <v>1946535.0644915423</v>
      </c>
    </row>
    <row r="21" spans="1:42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0" t="str">
        <f>VLOOKUP(A21,'Summary Mar 2026'!$A$8:$F$206,6,FALSE)</f>
        <v>Chq Bk</v>
      </c>
      <c r="H21" s="288">
        <f>_xlfn.IFNA(VLOOKUP($A21,ISB!$A:$BY,67,FALSE),0)</f>
        <v>7376806.1291567544</v>
      </c>
      <c r="I21" s="861">
        <f>_xlfn.IFNA(VLOOKUP(A21,'LA Deductions'!A:AN,40,FALSE),0)</f>
        <v>0</v>
      </c>
      <c r="J21" s="221">
        <f>_xlfn.IFNA(VLOOKUP($A21,ISB!$A:$BY,72,FALSE),0)</f>
        <v>-19989.09</v>
      </c>
      <c r="K21" s="289">
        <f>-_xlfn.IFNA(VLOOKUP($A21,ISB!$A:$BY,76,FALSE),0)</f>
        <v>-87604.23</v>
      </c>
      <c r="M21" s="288">
        <f>VLOOKUP($A21,EY!$A:$AAK,132,FALSE)</f>
        <v>0</v>
      </c>
      <c r="N21" s="288">
        <f>VLOOKUP($A21,EY!$A:$AAD,133,FALSE)</f>
        <v>0</v>
      </c>
      <c r="P21" s="288">
        <f>VLOOKUP($A21,HN!$A:$AM,38,FALSE)</f>
        <v>0</v>
      </c>
      <c r="Q21" s="288">
        <f>VLOOKUP($A21,HN!$A:$AM,39,FALSE)</f>
        <v>0</v>
      </c>
      <c r="S21" s="362">
        <f>_xlfn.IFNA(VLOOKUP(A21,'Post 16'!A:AR,44,FALSE),0)</f>
        <v>1520292.6666666663</v>
      </c>
      <c r="U21" s="362">
        <f>VLOOKUP(A21,'LA Deductions'!A:W,23,FALSE)</f>
        <v>0</v>
      </c>
      <c r="W21" s="289">
        <f>VLOOKUP($A21,'Summary Mar 2026'!$A:$AAG,189,FALSE)-SUMIFS($H21:$U21,$H$7:$U$7,W$7)</f>
        <v>0</v>
      </c>
      <c r="X21" s="289">
        <f>VLOOKUP($A21,'Summary Mar 2026'!$A:$GL,190,FALSE)-SUMIFS($H21:$U21,$H$7:$U$7,X$7)</f>
        <v>0</v>
      </c>
      <c r="Y21" s="289">
        <f>VLOOKUP($A21,'Summary Mar 2026'!$A:$GL,191,FALSE)-SUMIFS($H21:$U21,$H$7:$U$7,Y$7)</f>
        <v>0</v>
      </c>
      <c r="Z21" s="289">
        <f>VLOOKUP($A21,'Summary Mar 2026'!$A:$GL,192,FALSE)-SUMIFS($H21:$U21,$H$7:$U$7,Z$7)</f>
        <v>0</v>
      </c>
      <c r="AA21" s="289">
        <f>VLOOKUP($A21,'Summary Mar 2026'!$A:$GL,193,FALSE)-SUMIFS($H21:$U21,$H$7:$U$7,AA$7)</f>
        <v>0</v>
      </c>
      <c r="AB21" s="289">
        <f>VLOOKUP($A21,'Summary Mar 2026'!$A:$GL,194,FALSE)-SUMIFS($H21:$U21,$H$7:$U$7,AB$7)</f>
        <v>0</v>
      </c>
      <c r="AD21" s="146">
        <f>_xlfn.IFNA(VLOOKUP($A21,'Summary Mar 2026'!$A:$GS,196,FALSE)+VLOOKUP($A21,OtherDSG!$A:$AI,34,FALSE)+VLOOKUP($A21,Grants!$A:$BE,50,FALSE),0)</f>
        <v>7581383.8208234208</v>
      </c>
      <c r="AE21" s="146">
        <f>_xlfn.IFNA(VLOOKUP($A21,'Summary Mar 2026'!$A:$GS,197,FALSE)+VLOOKUP($A21,Grants!$A:$BE,51,FALSE),0)</f>
        <v>1640937.4366666661</v>
      </c>
      <c r="AF21" s="146">
        <f>_xlfn.IFNA(VLOOKUP($A21,'Summary Mar 2026'!$A:$GS,198,FALSE)+VLOOKUP($A21,OtherDSG!$A:$AI,35,FALSE)+VLOOKUP($A21,Grants!$A:$BE,52,FALSE),0)</f>
        <v>130252.50333333331</v>
      </c>
      <c r="AG21" s="146">
        <f>_xlfn.IFNA(VLOOKUP($A21,Grants!$A:$BE,53,FALSE),0)</f>
        <v>420215</v>
      </c>
      <c r="AH21" s="146">
        <f>_xlfn.IFNA(VLOOKUP($A21,Grants!$A:$BE,54,FALSE),0)</f>
        <v>25785.48</v>
      </c>
      <c r="AI21" s="146">
        <f>_xlfn.IFNA(VLOOKUP($A21,Grants!$A:$BE,55,FALSE),0)</f>
        <v>0</v>
      </c>
      <c r="AJ21" s="146">
        <f>_xlfn.IFNA(VLOOKUP($A21,Barclays!$A:$T,18,FALSE),0)</f>
        <v>0</v>
      </c>
      <c r="AK21" s="146">
        <f>_xlfn.IFNA(VLOOKUP($A21,'Summary Mar 2026'!$A:$GS,200,FALSE),0)</f>
        <v>-87604.229999999981</v>
      </c>
      <c r="AL21" s="146">
        <f>_xlfn.IFNA(VLOOKUP($A21,Barclays!$A:$T,19,FALSE),0)</f>
        <v>0</v>
      </c>
      <c r="AM21" s="146">
        <f>_xlfn.IFNA(VLOOKUP($A21,'Summary Mar 2026'!$A:$GS,201,FALSE),0)</f>
        <v>0</v>
      </c>
      <c r="AN21" s="146">
        <f>_xlfn.IFNA(VLOOKUP($A21,'Summary Mar 2026'!$A:$GS,199,FALSE),0)</f>
        <v>-19989.09</v>
      </c>
      <c r="AO21" s="146">
        <f>_xlfn.IFNA(VLOOKUP($A21,Grants!$A:$BE,56,FALSE),0)</f>
        <v>0</v>
      </c>
      <c r="AP21" s="65">
        <f t="shared" si="0"/>
        <v>9690980.9208234213</v>
      </c>
    </row>
    <row r="22" spans="1:42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0" t="str">
        <f>VLOOKUP(A22,'Summary Mar 2026'!$A$8:$F$206,6,FALSE)</f>
        <v>Chq Bk</v>
      </c>
      <c r="H22" s="288">
        <f>_xlfn.IFNA(VLOOKUP($A22,ISB!$A:$BY,67,FALSE),0)</f>
        <v>0</v>
      </c>
      <c r="I22" s="861">
        <f>_xlfn.IFNA(VLOOKUP(A22,'LA Deductions'!A:AN,40,FALSE),0)</f>
        <v>0</v>
      </c>
      <c r="J22" s="221">
        <f>_xlfn.IFNA(VLOOKUP($A22,ISB!$A:$BY,72,FALSE),0)</f>
        <v>0</v>
      </c>
      <c r="K22" s="289">
        <f>-_xlfn.IFNA(VLOOKUP($A22,ISB!$A:$BY,76,FALSE),0)</f>
        <v>0</v>
      </c>
      <c r="M22" s="288">
        <f>VLOOKUP($A22,EY!$A:$AAK,132,FALSE)</f>
        <v>853165.20387678547</v>
      </c>
      <c r="N22" s="288">
        <f>VLOOKUP($A22,EY!$A:$AAD,133,FALSE)</f>
        <v>13880.32132963989</v>
      </c>
      <c r="P22" s="288">
        <f>VLOOKUP($A22,HN!$A:$AM,38,FALSE)</f>
        <v>0</v>
      </c>
      <c r="Q22" s="288">
        <f>VLOOKUP($A22,HN!$A:$AM,39,FALSE)</f>
        <v>0</v>
      </c>
      <c r="S22" s="362">
        <f>_xlfn.IFNA(VLOOKUP(A22,'Post 16'!A:AR,44,FALSE),0)</f>
        <v>0</v>
      </c>
      <c r="U22" s="362">
        <f>VLOOKUP(A22,'LA Deductions'!A:W,23,FALSE)</f>
        <v>-3291.75</v>
      </c>
      <c r="W22" s="289">
        <f>VLOOKUP($A22,'Summary Mar 2026'!$A:$AAG,189,FALSE)-SUMIFS($H22:$U22,$H$7:$U$7,W$7)</f>
        <v>0</v>
      </c>
      <c r="X22" s="289">
        <f>VLOOKUP($A22,'Summary Mar 2026'!$A:$GL,190,FALSE)-SUMIFS($H22:$U22,$H$7:$U$7,X$7)</f>
        <v>0</v>
      </c>
      <c r="Y22" s="289">
        <f>VLOOKUP($A22,'Summary Mar 2026'!$A:$GL,191,FALSE)-SUMIFS($H22:$U22,$H$7:$U$7,Y$7)</f>
        <v>0</v>
      </c>
      <c r="Z22" s="289">
        <f>VLOOKUP($A22,'Summary Mar 2026'!$A:$GL,192,FALSE)-SUMIFS($H22:$U22,$H$7:$U$7,Z$7)</f>
        <v>0</v>
      </c>
      <c r="AA22" s="289">
        <f>VLOOKUP($A22,'Summary Mar 2026'!$A:$GL,193,FALSE)-SUMIFS($H22:$U22,$H$7:$U$7,AA$7)</f>
        <v>0</v>
      </c>
      <c r="AB22" s="289">
        <f>VLOOKUP($A22,'Summary Mar 2026'!$A:$GL,194,FALSE)-SUMIFS($H22:$U22,$H$7:$U$7,AB$7)</f>
        <v>0</v>
      </c>
      <c r="AD22" s="146">
        <f>_xlfn.IFNA(VLOOKUP($A22,'Summary Mar 2026'!$A:$GS,196,FALSE)+VLOOKUP($A22,OtherDSG!$A:$AI,34,FALSE)+VLOOKUP($A22,Grants!$A:$BE,50,FALSE),0)</f>
        <v>873006.20387678547</v>
      </c>
      <c r="AE22" s="146">
        <f>_xlfn.IFNA(VLOOKUP($A22,'Summary Mar 2026'!$A:$GS,197,FALSE)+VLOOKUP($A22,Grants!$A:$BE,51,FALSE),0)</f>
        <v>0</v>
      </c>
      <c r="AF22" s="146">
        <f>_xlfn.IFNA(VLOOKUP($A22,'Summary Mar 2026'!$A:$GS,198,FALSE)+VLOOKUP($A22,OtherDSG!$A:$AI,35,FALSE)+VLOOKUP($A22,Grants!$A:$BE,52,FALSE),0)</f>
        <v>52628.741129639886</v>
      </c>
      <c r="AG22" s="146">
        <f>_xlfn.IFNA(VLOOKUP($A22,Grants!$A:$BE,53,FALSE),0)</f>
        <v>0</v>
      </c>
      <c r="AH22" s="146">
        <f>_xlfn.IFNA(VLOOKUP($A22,Grants!$A:$BE,54,FALSE),0)</f>
        <v>0</v>
      </c>
      <c r="AI22" s="146">
        <f>_xlfn.IFNA(VLOOKUP($A22,Grants!$A:$BE,55,FALSE),0)</f>
        <v>0</v>
      </c>
      <c r="AJ22" s="146">
        <f>_xlfn.IFNA(VLOOKUP($A22,Barclays!$A:$T,18,FALSE),0)</f>
        <v>27582.810720000009</v>
      </c>
      <c r="AK22" s="146">
        <f>_xlfn.IFNA(VLOOKUP($A22,'Summary Mar 2026'!$A:$GS,200,FALSE),0)</f>
        <v>0</v>
      </c>
      <c r="AL22" s="146">
        <f>_xlfn.IFNA(VLOOKUP($A22,Barclays!$A:$T,19,FALSE),0)</f>
        <v>-92.97</v>
      </c>
      <c r="AM22" s="146">
        <f>_xlfn.IFNA(VLOOKUP($A22,'Summary Mar 2026'!$A:$GS,201,FALSE),0)</f>
        <v>-3291.75</v>
      </c>
      <c r="AN22" s="146">
        <f>_xlfn.IFNA(VLOOKUP($A22,'Summary Mar 2026'!$A:$GS,199,FALSE),0)</f>
        <v>0</v>
      </c>
      <c r="AO22" s="146">
        <f>_xlfn.IFNA(VLOOKUP($A22,Grants!$A:$BE,56,FALSE),0)</f>
        <v>4924.75</v>
      </c>
      <c r="AP22" s="65">
        <f t="shared" si="0"/>
        <v>954757.78572642547</v>
      </c>
    </row>
    <row r="23" spans="1:42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0" t="str">
        <f>VLOOKUP(A23,'Summary Mar 2026'!$A$8:$F$206,6,FALSE)</f>
        <v>Chq Bk</v>
      </c>
      <c r="H23" s="288">
        <f>_xlfn.IFNA(VLOOKUP($A23,ISB!$A:$BY,67,FALSE),0)</f>
        <v>1396395.5054949999</v>
      </c>
      <c r="I23" s="861">
        <f>_xlfn.IFNA(VLOOKUP(A23,'LA Deductions'!A:AN,40,FALSE),0)</f>
        <v>0</v>
      </c>
      <c r="J23" s="221">
        <f>_xlfn.IFNA(VLOOKUP($A23,ISB!$A:$BY,72,FALSE),0)</f>
        <v>-7119.8399999999992</v>
      </c>
      <c r="K23" s="289">
        <f>-_xlfn.IFNA(VLOOKUP($A23,ISB!$A:$BY,76,FALSE),0)</f>
        <v>-18078.900000000001</v>
      </c>
      <c r="M23" s="288">
        <f>VLOOKUP($A23,EY!$A:$AAK,132,FALSE)</f>
        <v>149849.82684210528</v>
      </c>
      <c r="N23" s="288">
        <f>VLOOKUP($A23,EY!$A:$AAD,133,FALSE)</f>
        <v>0</v>
      </c>
      <c r="P23" s="288">
        <f>VLOOKUP($A23,HN!$A:$AM,38,FALSE)</f>
        <v>132000</v>
      </c>
      <c r="Q23" s="288">
        <f>VLOOKUP($A23,HN!$A:$AM,39,FALSE)</f>
        <v>294636.06999999995</v>
      </c>
      <c r="S23" s="362">
        <f>_xlfn.IFNA(VLOOKUP(A23,'Post 16'!A:AR,44,FALSE),0)</f>
        <v>0</v>
      </c>
      <c r="U23" s="362">
        <f>VLOOKUP(A23,'LA Deductions'!A:W,23,FALSE)</f>
        <v>-5139.75</v>
      </c>
      <c r="W23" s="289">
        <f>VLOOKUP($A23,'Summary Mar 2026'!$A:$AAG,189,FALSE)-SUMIFS($H23:$U23,$H$7:$U$7,W$7)</f>
        <v>0</v>
      </c>
      <c r="X23" s="289">
        <f>VLOOKUP($A23,'Summary Mar 2026'!$A:$GL,190,FALSE)-SUMIFS($H23:$U23,$H$7:$U$7,X$7)</f>
        <v>0</v>
      </c>
      <c r="Y23" s="289">
        <f>VLOOKUP($A23,'Summary Mar 2026'!$A:$GL,191,FALSE)-SUMIFS($H23:$U23,$H$7:$U$7,Y$7)</f>
        <v>0</v>
      </c>
      <c r="Z23" s="289">
        <f>VLOOKUP($A23,'Summary Mar 2026'!$A:$GL,192,FALSE)-SUMIFS($H23:$U23,$H$7:$U$7,Z$7)</f>
        <v>0</v>
      </c>
      <c r="AA23" s="289">
        <f>VLOOKUP($A23,'Summary Mar 2026'!$A:$GL,193,FALSE)-SUMIFS($H23:$U23,$H$7:$U$7,AA$7)</f>
        <v>0</v>
      </c>
      <c r="AB23" s="289">
        <f>VLOOKUP($A23,'Summary Mar 2026'!$A:$GL,194,FALSE)-SUMIFS($H23:$U23,$H$7:$U$7,AB$7)</f>
        <v>0</v>
      </c>
      <c r="AD23" s="146">
        <f>_xlfn.IFNA(VLOOKUP($A23,'Summary Mar 2026'!$A:$GS,196,FALSE)+VLOOKUP($A23,OtherDSG!$A:$AI,34,FALSE)+VLOOKUP($A23,Grants!$A:$BE,50,FALSE),0)</f>
        <v>1728849.3323371056</v>
      </c>
      <c r="AE23" s="146">
        <f>_xlfn.IFNA(VLOOKUP($A23,'Summary Mar 2026'!$A:$GS,197,FALSE)+VLOOKUP($A23,Grants!$A:$BE,51,FALSE),0)</f>
        <v>0</v>
      </c>
      <c r="AF23" s="146">
        <f>_xlfn.IFNA(VLOOKUP($A23,'Summary Mar 2026'!$A:$GS,198,FALSE)+VLOOKUP($A23,OtherDSG!$A:$AI,35,FALSE)+VLOOKUP($A23,Grants!$A:$BE,52,FALSE),0)</f>
        <v>365512.45333333337</v>
      </c>
      <c r="AG23" s="146">
        <f>_xlfn.IFNA(VLOOKUP($A23,Grants!$A:$BE,53,FALSE),0)</f>
        <v>81555</v>
      </c>
      <c r="AH23" s="146">
        <f>_xlfn.IFNA(VLOOKUP($A23,Grants!$A:$BE,54,FALSE),0)</f>
        <v>124879</v>
      </c>
      <c r="AI23" s="146">
        <f>_xlfn.IFNA(VLOOKUP($A23,Grants!$A:$BE,55,FALSE),0)</f>
        <v>0</v>
      </c>
      <c r="AJ23" s="146">
        <f>_xlfn.IFNA(VLOOKUP($A23,Barclays!$A:$T,18,FALSE),0)</f>
        <v>0</v>
      </c>
      <c r="AK23" s="146">
        <f>_xlfn.IFNA(VLOOKUP($A23,'Summary Mar 2026'!$A:$GS,200,FALSE),0)</f>
        <v>-18078.900000000005</v>
      </c>
      <c r="AL23" s="146">
        <f>_xlfn.IFNA(VLOOKUP($A23,Barclays!$A:$T,19,FALSE),0)</f>
        <v>0</v>
      </c>
      <c r="AM23" s="146">
        <f>_xlfn.IFNA(VLOOKUP($A23,'Summary Mar 2026'!$A:$GS,201,FALSE),0)</f>
        <v>-5139.75</v>
      </c>
      <c r="AN23" s="146">
        <f>_xlfn.IFNA(VLOOKUP($A23,'Summary Mar 2026'!$A:$GS,199,FALSE),0)</f>
        <v>-7119.8399999999974</v>
      </c>
      <c r="AO23" s="146">
        <f>_xlfn.IFNA(VLOOKUP($A23,Grants!$A:$BE,56,FALSE),0)</f>
        <v>7497.63</v>
      </c>
      <c r="AP23" s="65">
        <f t="shared" si="0"/>
        <v>2277954.9256704389</v>
      </c>
    </row>
    <row r="24" spans="1:42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0" t="str">
        <f>VLOOKUP(A24,'Summary Mar 2026'!$A$8:$F$206,6,FALSE)</f>
        <v>Chq Bk</v>
      </c>
      <c r="H24" s="288">
        <f>_xlfn.IFNA(VLOOKUP($A24,ISB!$A:$BY,67,FALSE),0)</f>
        <v>1908904</v>
      </c>
      <c r="I24" s="861">
        <f>_xlfn.IFNA(VLOOKUP(A24,'LA Deductions'!A:AN,40,FALSE),0)</f>
        <v>0</v>
      </c>
      <c r="J24" s="221">
        <f>_xlfn.IFNA(VLOOKUP($A24,ISB!$A:$BY,72,FALSE),0)</f>
        <v>-9936.48</v>
      </c>
      <c r="K24" s="289">
        <f>-_xlfn.IFNA(VLOOKUP($A24,ISB!$A:$BY,76,FALSE),0)</f>
        <v>-21049</v>
      </c>
      <c r="M24" s="288">
        <f>VLOOKUP($A24,EY!$A:$AAK,132,FALSE)</f>
        <v>0</v>
      </c>
      <c r="N24" s="288">
        <f>VLOOKUP($A24,EY!$A:$AAD,133,FALSE)</f>
        <v>0</v>
      </c>
      <c r="P24" s="288">
        <f>VLOOKUP($A24,HN!$A:$AM,38,FALSE)</f>
        <v>0</v>
      </c>
      <c r="Q24" s="288">
        <f>VLOOKUP($A24,HN!$A:$AM,39,FALSE)</f>
        <v>0</v>
      </c>
      <c r="S24" s="362">
        <f>_xlfn.IFNA(VLOOKUP(A24,'Post 16'!A:AR,44,FALSE),0)</f>
        <v>0</v>
      </c>
      <c r="U24" s="362">
        <f>VLOOKUP(A24,'LA Deductions'!A:W,23,FALSE)</f>
        <v>-9471</v>
      </c>
      <c r="W24" s="289">
        <f>VLOOKUP($A24,'Summary Mar 2026'!$A:$AAG,189,FALSE)-SUMIFS($H24:$U24,$H$7:$U$7,W$7)</f>
        <v>0</v>
      </c>
      <c r="X24" s="289">
        <f>VLOOKUP($A24,'Summary Mar 2026'!$A:$GL,190,FALSE)-SUMIFS($H24:$U24,$H$7:$U$7,X$7)</f>
        <v>0</v>
      </c>
      <c r="Y24" s="289">
        <f>VLOOKUP($A24,'Summary Mar 2026'!$A:$GL,191,FALSE)-SUMIFS($H24:$U24,$H$7:$U$7,Y$7)</f>
        <v>0</v>
      </c>
      <c r="Z24" s="289">
        <f>VLOOKUP($A24,'Summary Mar 2026'!$A:$GL,192,FALSE)-SUMIFS($H24:$U24,$H$7:$U$7,Z$7)</f>
        <v>0</v>
      </c>
      <c r="AA24" s="289">
        <f>VLOOKUP($A24,'Summary Mar 2026'!$A:$GL,193,FALSE)-SUMIFS($H24:$U24,$H$7:$U$7,AA$7)</f>
        <v>0</v>
      </c>
      <c r="AB24" s="289">
        <f>VLOOKUP($A24,'Summary Mar 2026'!$A:$GL,194,FALSE)-SUMIFS($H24:$U24,$H$7:$U$7,AB$7)</f>
        <v>0</v>
      </c>
      <c r="AD24" s="146">
        <f>_xlfn.IFNA(VLOOKUP($A24,'Summary Mar 2026'!$A:$GS,196,FALSE)+VLOOKUP($A24,OtherDSG!$A:$AI,34,FALSE)+VLOOKUP($A24,Grants!$A:$BE,50,FALSE),0)</f>
        <v>1963417.9999999998</v>
      </c>
      <c r="AE24" s="146">
        <f>_xlfn.IFNA(VLOOKUP($A24,'Summary Mar 2026'!$A:$GS,197,FALSE)+VLOOKUP($A24,Grants!$A:$BE,51,FALSE),0)</f>
        <v>0</v>
      </c>
      <c r="AF24" s="146">
        <f>_xlfn.IFNA(VLOOKUP($A24,'Summary Mar 2026'!$A:$GS,198,FALSE)+VLOOKUP($A24,OtherDSG!$A:$AI,35,FALSE)+VLOOKUP($A24,Grants!$A:$BE,52,FALSE),0)</f>
        <v>126227.20000000001</v>
      </c>
      <c r="AG24" s="146">
        <f>_xlfn.IFNA(VLOOKUP($A24,Grants!$A:$BE,53,FALSE),0)</f>
        <v>113355</v>
      </c>
      <c r="AH24" s="146">
        <f>_xlfn.IFNA(VLOOKUP($A24,Grants!$A:$BE,54,FALSE),0)</f>
        <v>19015.93</v>
      </c>
      <c r="AI24" s="146">
        <f>_xlfn.IFNA(VLOOKUP($A24,Grants!$A:$BE,55,FALSE),0)</f>
        <v>0</v>
      </c>
      <c r="AJ24" s="146">
        <f>_xlfn.IFNA(VLOOKUP($A24,Barclays!$A:$T,18,FALSE),0)</f>
        <v>0</v>
      </c>
      <c r="AK24" s="146">
        <f>_xlfn.IFNA(VLOOKUP($A24,'Summary Mar 2026'!$A:$GS,200,FALSE),0)</f>
        <v>-21049</v>
      </c>
      <c r="AL24" s="146">
        <f>_xlfn.IFNA(VLOOKUP($A24,Barclays!$A:$T,19,FALSE),0)</f>
        <v>0</v>
      </c>
      <c r="AM24" s="146">
        <f>_xlfn.IFNA(VLOOKUP($A24,'Summary Mar 2026'!$A:$GS,201,FALSE),0)</f>
        <v>-9471</v>
      </c>
      <c r="AN24" s="146">
        <f>_xlfn.IFNA(VLOOKUP($A24,'Summary Mar 2026'!$A:$GS,199,FALSE),0)</f>
        <v>-9936.48</v>
      </c>
      <c r="AO24" s="146">
        <f>_xlfn.IFNA(VLOOKUP($A24,Grants!$A:$BE,56,FALSE),0)</f>
        <v>8286.25</v>
      </c>
      <c r="AP24" s="65">
        <f t="shared" si="0"/>
        <v>2189845.9</v>
      </c>
    </row>
    <row r="25" spans="1:42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0" t="str">
        <f>VLOOKUP(A25,'Summary Mar 2026'!$A$8:$F$206,6,FALSE)</f>
        <v>Chq Bk</v>
      </c>
      <c r="H25" s="288">
        <f>_xlfn.IFNA(VLOOKUP($A25,ISB!$A:$BY,67,FALSE),0)</f>
        <v>5281072.059316094</v>
      </c>
      <c r="I25" s="861">
        <f>_xlfn.IFNA(VLOOKUP(A25,'LA Deductions'!A:AN,40,FALSE),0)</f>
        <v>-6237.0853999999999</v>
      </c>
      <c r="J25" s="221">
        <f>_xlfn.IFNA(VLOOKUP($A25,ISB!$A:$BY,72,FALSE),0)</f>
        <v>-12702.029999999999</v>
      </c>
      <c r="K25" s="289">
        <f>-_xlfn.IFNA(VLOOKUP($A25,ISB!$A:$BY,76,FALSE),0)</f>
        <v>-85617.91</v>
      </c>
      <c r="M25" s="288">
        <f>VLOOKUP($A25,EY!$A:$AAK,132,FALSE)</f>
        <v>0</v>
      </c>
      <c r="N25" s="288">
        <f>VLOOKUP($A25,EY!$A:$AAD,133,FALSE)</f>
        <v>0</v>
      </c>
      <c r="P25" s="288">
        <f>VLOOKUP($A25,HN!$A:$AM,38,FALSE)</f>
        <v>72000</v>
      </c>
      <c r="Q25" s="288">
        <f>VLOOKUP($A25,HN!$A:$AM,39,FALSE)</f>
        <v>236300.28</v>
      </c>
      <c r="S25" s="362">
        <f>_xlfn.IFNA(VLOOKUP(A25,'Post 16'!A:AR,44,FALSE),0)</f>
        <v>2304210.6666666665</v>
      </c>
      <c r="U25" s="362">
        <f>VLOOKUP(A25,'LA Deductions'!A:W,23,FALSE)</f>
        <v>-18745.650000000001</v>
      </c>
      <c r="W25" s="289">
        <f>VLOOKUP($A25,'Summary Mar 2026'!$A:$AAG,189,FALSE)-SUMIFS($H25:$U25,$H$7:$U$7,W$7)</f>
        <v>0</v>
      </c>
      <c r="X25" s="289">
        <f>VLOOKUP($A25,'Summary Mar 2026'!$A:$GL,190,FALSE)-SUMIFS($H25:$U25,$H$7:$U$7,X$7)</f>
        <v>0</v>
      </c>
      <c r="Y25" s="289">
        <f>VLOOKUP($A25,'Summary Mar 2026'!$A:$GL,191,FALSE)-SUMIFS($H25:$U25,$H$7:$U$7,Y$7)</f>
        <v>0</v>
      </c>
      <c r="Z25" s="289">
        <f>VLOOKUP($A25,'Summary Mar 2026'!$A:$GL,192,FALSE)-SUMIFS($H25:$U25,$H$7:$U$7,Z$7)</f>
        <v>0</v>
      </c>
      <c r="AA25" s="289">
        <f>VLOOKUP($A25,'Summary Mar 2026'!$A:$GL,193,FALSE)-SUMIFS($H25:$U25,$H$7:$U$7,AA$7)</f>
        <v>0</v>
      </c>
      <c r="AB25" s="289">
        <f>VLOOKUP($A25,'Summary Mar 2026'!$A:$GL,194,FALSE)-SUMIFS($H25:$U25,$H$7:$U$7,AB$7)</f>
        <v>0</v>
      </c>
      <c r="AD25" s="146">
        <f>_xlfn.IFNA(VLOOKUP($A25,'Summary Mar 2026'!$A:$GS,196,FALSE)+VLOOKUP($A25,OtherDSG!$A:$AI,34,FALSE)+VLOOKUP($A25,Grants!$A:$BE,50,FALSE),0)</f>
        <v>5474577.9739160948</v>
      </c>
      <c r="AE25" s="146">
        <f>_xlfn.IFNA(VLOOKUP($A25,'Summary Mar 2026'!$A:$GS,197,FALSE)+VLOOKUP($A25,Grants!$A:$BE,51,FALSE),0)</f>
        <v>2471040.1566666663</v>
      </c>
      <c r="AF25" s="146">
        <f>_xlfn.IFNA(VLOOKUP($A25,'Summary Mar 2026'!$A:$GS,198,FALSE)+VLOOKUP($A25,OtherDSG!$A:$AI,35,FALSE)+VLOOKUP($A25,Grants!$A:$BE,52,FALSE),0)</f>
        <v>334860.17666666664</v>
      </c>
      <c r="AG25" s="146">
        <f>_xlfn.IFNA(VLOOKUP($A25,Grants!$A:$BE,53,FALSE),0)</f>
        <v>384850</v>
      </c>
      <c r="AH25" s="146">
        <f>_xlfn.IFNA(VLOOKUP($A25,Grants!$A:$BE,54,FALSE),0)</f>
        <v>16352.75</v>
      </c>
      <c r="AI25" s="146">
        <f>_xlfn.IFNA(VLOOKUP($A25,Grants!$A:$BE,55,FALSE),0)</f>
        <v>0</v>
      </c>
      <c r="AJ25" s="146">
        <f>_xlfn.IFNA(VLOOKUP($A25,Barclays!$A:$T,18,FALSE),0)</f>
        <v>0</v>
      </c>
      <c r="AK25" s="146">
        <f>_xlfn.IFNA(VLOOKUP($A25,'Summary Mar 2026'!$A:$GS,200,FALSE),0)</f>
        <v>-85617.910000000018</v>
      </c>
      <c r="AL25" s="146">
        <f>_xlfn.IFNA(VLOOKUP($A25,Barclays!$A:$T,19,FALSE),0)</f>
        <v>0</v>
      </c>
      <c r="AM25" s="146">
        <f>_xlfn.IFNA(VLOOKUP($A25,'Summary Mar 2026'!$A:$GS,201,FALSE),0)</f>
        <v>-18745.650000000001</v>
      </c>
      <c r="AN25" s="146">
        <f>_xlfn.IFNA(VLOOKUP($A25,'Summary Mar 2026'!$A:$GS,199,FALSE),0)</f>
        <v>-12702.03</v>
      </c>
      <c r="AO25" s="146">
        <f>_xlfn.IFNA(VLOOKUP($A25,Grants!$A:$BE,56,FALSE),0)</f>
        <v>22126.560000000001</v>
      </c>
      <c r="AP25" s="65">
        <f t="shared" si="0"/>
        <v>8586742.0272494275</v>
      </c>
    </row>
    <row r="26" spans="1:42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0" t="str">
        <f>VLOOKUP(A26,'Summary Mar 2026'!$A$8:$F$206,6,FALSE)</f>
        <v>Chq Bk</v>
      </c>
      <c r="H26" s="288">
        <f>_xlfn.IFNA(VLOOKUP($A26,ISB!$A:$BY,67,FALSE),0)</f>
        <v>3696355.5161377657</v>
      </c>
      <c r="I26" s="861">
        <f>_xlfn.IFNA(VLOOKUP(A26,'LA Deductions'!A:AN,40,FALSE),0)</f>
        <v>0</v>
      </c>
      <c r="J26" s="221">
        <f>_xlfn.IFNA(VLOOKUP($A26,ISB!$A:$BY,72,FALSE),0)</f>
        <v>-16143.519999999999</v>
      </c>
      <c r="K26" s="289">
        <f>-_xlfn.IFNA(VLOOKUP($A26,ISB!$A:$BY,76,FALSE),0)</f>
        <v>-33389.800000000003</v>
      </c>
      <c r="M26" s="288">
        <f>VLOOKUP($A26,EY!$A:$AAK,132,FALSE)</f>
        <v>145292.9147368421</v>
      </c>
      <c r="N26" s="288">
        <f>VLOOKUP($A26,EY!$A:$AAD,133,FALSE)</f>
        <v>0</v>
      </c>
      <c r="P26" s="288">
        <f>VLOOKUP($A26,HN!$A:$AM,38,FALSE)</f>
        <v>0</v>
      </c>
      <c r="Q26" s="288">
        <f>VLOOKUP($A26,HN!$A:$AM,39,FALSE)</f>
        <v>0</v>
      </c>
      <c r="S26" s="362">
        <f>_xlfn.IFNA(VLOOKUP(A26,'Post 16'!A:AR,44,FALSE),0)</f>
        <v>0</v>
      </c>
      <c r="U26" s="362">
        <f>VLOOKUP(A26,'LA Deductions'!A:W,23,FALSE)</f>
        <v>-17415</v>
      </c>
      <c r="W26" s="289">
        <f>VLOOKUP($A26,'Summary Mar 2026'!$A:$AAG,189,FALSE)-SUMIFS($H26:$U26,$H$7:$U$7,W$7)</f>
        <v>0</v>
      </c>
      <c r="X26" s="289">
        <f>VLOOKUP($A26,'Summary Mar 2026'!$A:$GL,190,FALSE)-SUMIFS($H26:$U26,$H$7:$U$7,X$7)</f>
        <v>0</v>
      </c>
      <c r="Y26" s="289">
        <f>VLOOKUP($A26,'Summary Mar 2026'!$A:$GL,191,FALSE)-SUMIFS($H26:$U26,$H$7:$U$7,Y$7)</f>
        <v>0</v>
      </c>
      <c r="Z26" s="289">
        <f>VLOOKUP($A26,'Summary Mar 2026'!$A:$GL,192,FALSE)-SUMIFS($H26:$U26,$H$7:$U$7,Z$7)</f>
        <v>0</v>
      </c>
      <c r="AA26" s="289">
        <f>VLOOKUP($A26,'Summary Mar 2026'!$A:$GL,193,FALSE)-SUMIFS($H26:$U26,$H$7:$U$7,AA$7)</f>
        <v>0</v>
      </c>
      <c r="AB26" s="289">
        <f>VLOOKUP($A26,'Summary Mar 2026'!$A:$GL,194,FALSE)-SUMIFS($H26:$U26,$H$7:$U$7,AB$7)</f>
        <v>0</v>
      </c>
      <c r="AD26" s="146">
        <f>_xlfn.IFNA(VLOOKUP($A26,'Summary Mar 2026'!$A:$GS,196,FALSE)+VLOOKUP($A26,OtherDSG!$A:$AI,34,FALSE)+VLOOKUP($A26,Grants!$A:$BE,50,FALSE),0)</f>
        <v>3954785.4308746085</v>
      </c>
      <c r="AE26" s="146">
        <f>_xlfn.IFNA(VLOOKUP($A26,'Summary Mar 2026'!$A:$GS,197,FALSE)+VLOOKUP($A26,Grants!$A:$BE,51,FALSE),0)</f>
        <v>0</v>
      </c>
      <c r="AF26" s="146">
        <f>_xlfn.IFNA(VLOOKUP($A26,'Summary Mar 2026'!$A:$GS,198,FALSE)+VLOOKUP($A26,OtherDSG!$A:$AI,35,FALSE)+VLOOKUP($A26,Grants!$A:$BE,52,FALSE),0)</f>
        <v>102229.49333333333</v>
      </c>
      <c r="AG26" s="146">
        <f>_xlfn.IFNA(VLOOKUP($A26,Grants!$A:$BE,53,FALSE),0)</f>
        <v>449955</v>
      </c>
      <c r="AH26" s="146">
        <f>_xlfn.IFNA(VLOOKUP($A26,Grants!$A:$BE,54,FALSE),0)</f>
        <v>77997</v>
      </c>
      <c r="AI26" s="146">
        <f>_xlfn.IFNA(VLOOKUP($A26,Grants!$A:$BE,55,FALSE),0)</f>
        <v>0</v>
      </c>
      <c r="AJ26" s="146">
        <f>_xlfn.IFNA(VLOOKUP($A26,Barclays!$A:$T,18,FALSE),0)</f>
        <v>0</v>
      </c>
      <c r="AK26" s="146">
        <f>_xlfn.IFNA(VLOOKUP($A26,'Summary Mar 2026'!$A:$GS,200,FALSE),0)</f>
        <v>-33389.800000000003</v>
      </c>
      <c r="AL26" s="146">
        <f>_xlfn.IFNA(VLOOKUP($A26,Barclays!$A:$T,19,FALSE),0)</f>
        <v>0</v>
      </c>
      <c r="AM26" s="146">
        <f>_xlfn.IFNA(VLOOKUP($A26,'Summary Mar 2026'!$A:$GS,201,FALSE),0)</f>
        <v>-17415</v>
      </c>
      <c r="AN26" s="146">
        <f>_xlfn.IFNA(VLOOKUP($A26,'Summary Mar 2026'!$A:$GS,199,FALSE),0)</f>
        <v>-16143.519999999999</v>
      </c>
      <c r="AO26" s="146">
        <f>_xlfn.IFNA(VLOOKUP($A26,Grants!$A:$BE,56,FALSE),0)</f>
        <v>11416</v>
      </c>
      <c r="AP26" s="65">
        <f t="shared" si="0"/>
        <v>4529434.6042079423</v>
      </c>
    </row>
    <row r="27" spans="1:42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0" t="str">
        <f>VLOOKUP(A27,'Summary Mar 2026'!$A$8:$F$206,6,FALSE)</f>
        <v>Chq Bk</v>
      </c>
      <c r="H27" s="288">
        <f>_xlfn.IFNA(VLOOKUP($A27,ISB!$A:$BY,67,FALSE),0)</f>
        <v>3231968.18</v>
      </c>
      <c r="I27" s="861">
        <f>_xlfn.IFNA(VLOOKUP(A27,'LA Deductions'!A:AN,40,FALSE),0)</f>
        <v>-4209.5414000000001</v>
      </c>
      <c r="J27" s="221">
        <f>_xlfn.IFNA(VLOOKUP($A27,ISB!$A:$BY,72,FALSE),0)</f>
        <v>-16952</v>
      </c>
      <c r="K27" s="289">
        <f>-_xlfn.IFNA(VLOOKUP($A27,ISB!$A:$BY,76,FALSE),0)</f>
        <v>-11218.18</v>
      </c>
      <c r="M27" s="288">
        <f>VLOOKUP($A27,EY!$A:$AAK,132,FALSE)</f>
        <v>0</v>
      </c>
      <c r="N27" s="288">
        <f>VLOOKUP($A27,EY!$A:$AAD,133,FALSE)</f>
        <v>0</v>
      </c>
      <c r="P27" s="288">
        <f>VLOOKUP($A27,HN!$A:$AM,38,FALSE)</f>
        <v>0</v>
      </c>
      <c r="Q27" s="288">
        <f>VLOOKUP($A27,HN!$A:$AM,39,FALSE)</f>
        <v>0</v>
      </c>
      <c r="S27" s="362">
        <f>_xlfn.IFNA(VLOOKUP(A27,'Post 16'!A:AR,44,FALSE),0)</f>
        <v>0</v>
      </c>
      <c r="U27" s="362">
        <f>VLOOKUP(A27,'LA Deductions'!A:W,23,FALSE)</f>
        <v>-18745.650000000001</v>
      </c>
      <c r="W27" s="289">
        <f>VLOOKUP($A27,'Summary Mar 2026'!$A:$AAG,189,FALSE)-SUMIFS($H27:$U27,$H$7:$U$7,W$7)</f>
        <v>0</v>
      </c>
      <c r="X27" s="289">
        <f>VLOOKUP($A27,'Summary Mar 2026'!$A:$GL,190,FALSE)-SUMIFS($H27:$U27,$H$7:$U$7,X$7)</f>
        <v>0</v>
      </c>
      <c r="Y27" s="289">
        <f>VLOOKUP($A27,'Summary Mar 2026'!$A:$GL,191,FALSE)-SUMIFS($H27:$U27,$H$7:$U$7,Y$7)</f>
        <v>0</v>
      </c>
      <c r="Z27" s="289">
        <f>VLOOKUP($A27,'Summary Mar 2026'!$A:$GL,192,FALSE)-SUMIFS($H27:$U27,$H$7:$U$7,Z$7)</f>
        <v>0</v>
      </c>
      <c r="AA27" s="289">
        <f>VLOOKUP($A27,'Summary Mar 2026'!$A:$GL,193,FALSE)-SUMIFS($H27:$U27,$H$7:$U$7,AA$7)</f>
        <v>0</v>
      </c>
      <c r="AB27" s="289">
        <f>VLOOKUP($A27,'Summary Mar 2026'!$A:$GL,194,FALSE)-SUMIFS($H27:$U27,$H$7:$U$7,AB$7)</f>
        <v>0</v>
      </c>
      <c r="AD27" s="146">
        <f>_xlfn.IFNA(VLOOKUP($A27,'Summary Mar 2026'!$A:$GS,196,FALSE)+VLOOKUP($A27,OtherDSG!$A:$AI,34,FALSE)+VLOOKUP($A27,Grants!$A:$BE,50,FALSE),0)</f>
        <v>3316626.6386000002</v>
      </c>
      <c r="AE27" s="146">
        <f>_xlfn.IFNA(VLOOKUP($A27,'Summary Mar 2026'!$A:$GS,197,FALSE)+VLOOKUP($A27,Grants!$A:$BE,51,FALSE),0)</f>
        <v>0</v>
      </c>
      <c r="AF27" s="146">
        <f>_xlfn.IFNA(VLOOKUP($A27,'Summary Mar 2026'!$A:$GS,198,FALSE)+VLOOKUP($A27,OtherDSG!$A:$AI,35,FALSE)+VLOOKUP($A27,Grants!$A:$BE,52,FALSE),0)</f>
        <v>130469.10666666666</v>
      </c>
      <c r="AG27" s="146">
        <f>_xlfn.IFNA(VLOOKUP($A27,Grants!$A:$BE,53,FALSE),0)</f>
        <v>183990</v>
      </c>
      <c r="AH27" s="146">
        <f>_xlfn.IFNA(VLOOKUP($A27,Grants!$A:$BE,54,FALSE),0)</f>
        <v>147629.93</v>
      </c>
      <c r="AI27" s="146">
        <f>_xlfn.IFNA(VLOOKUP($A27,Grants!$A:$BE,55,FALSE),0)</f>
        <v>0</v>
      </c>
      <c r="AJ27" s="146">
        <f>_xlfn.IFNA(VLOOKUP($A27,Barclays!$A:$T,18,FALSE),0)</f>
        <v>0</v>
      </c>
      <c r="AK27" s="146">
        <f>_xlfn.IFNA(VLOOKUP($A27,'Summary Mar 2026'!$A:$GS,200,FALSE),0)</f>
        <v>-11218.18</v>
      </c>
      <c r="AL27" s="146">
        <f>_xlfn.IFNA(VLOOKUP($A27,Barclays!$A:$T,19,FALSE),0)</f>
        <v>0</v>
      </c>
      <c r="AM27" s="146">
        <f>_xlfn.IFNA(VLOOKUP($A27,'Summary Mar 2026'!$A:$GS,201,FALSE),0)</f>
        <v>-18745.650000000001</v>
      </c>
      <c r="AN27" s="146">
        <f>_xlfn.IFNA(VLOOKUP($A27,'Summary Mar 2026'!$A:$GS,199,FALSE),0)</f>
        <v>-16951.999999999996</v>
      </c>
      <c r="AO27" s="146">
        <f>_xlfn.IFNA(VLOOKUP($A27,Grants!$A:$BE,56,FALSE),0)</f>
        <v>0</v>
      </c>
      <c r="AP27" s="65">
        <f t="shared" si="0"/>
        <v>3731799.8452666667</v>
      </c>
    </row>
    <row r="28" spans="1:42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0" t="str">
        <f>VLOOKUP(A28,'Summary Mar 2026'!$A$8:$F$206,6,FALSE)</f>
        <v>Chq Bk</v>
      </c>
      <c r="H28" s="288">
        <f>_xlfn.IFNA(VLOOKUP($A28,ISB!$A:$BY,67,FALSE),0)</f>
        <v>0</v>
      </c>
      <c r="I28" s="861">
        <f>_xlfn.IFNA(VLOOKUP(A28,'LA Deductions'!A:AN,40,FALSE),0)</f>
        <v>-6285.0853999999999</v>
      </c>
      <c r="J28" s="221">
        <f>_xlfn.IFNA(VLOOKUP($A28,ISB!$A:$BY,72,FALSE),0)</f>
        <v>0</v>
      </c>
      <c r="K28" s="289">
        <f>-_xlfn.IFNA(VLOOKUP($A28,ISB!$A:$BY,76,FALSE),0)</f>
        <v>0</v>
      </c>
      <c r="M28" s="288">
        <f>VLOOKUP($A28,EY!$A:$AAK,132,FALSE)</f>
        <v>0</v>
      </c>
      <c r="N28" s="288">
        <f>VLOOKUP($A28,EY!$A:$AAD,133,FALSE)</f>
        <v>0</v>
      </c>
      <c r="P28" s="288">
        <f>VLOOKUP($A28,HN!$A:$AM,38,FALSE)</f>
        <v>840180</v>
      </c>
      <c r="Q28" s="288">
        <f>VLOOKUP($A28,HN!$A:$AM,39,FALSE)</f>
        <v>819808.62705389503</v>
      </c>
      <c r="S28" s="362">
        <f>_xlfn.IFNA(VLOOKUP(A28,'Post 16'!A:AR,44,FALSE),0)</f>
        <v>0</v>
      </c>
      <c r="U28" s="362">
        <f>VLOOKUP(A28,'LA Deductions'!A:W,23,FALSE)</f>
        <v>-3291.75</v>
      </c>
      <c r="W28" s="289">
        <f>VLOOKUP($A28,'Summary Mar 2026'!$A:$AAG,189,FALSE)-SUMIFS($H28:$U28,$H$7:$U$7,W$7)</f>
        <v>0</v>
      </c>
      <c r="X28" s="289">
        <f>VLOOKUP($A28,'Summary Mar 2026'!$A:$GL,190,FALSE)-SUMIFS($H28:$U28,$H$7:$U$7,X$7)</f>
        <v>0</v>
      </c>
      <c r="Y28" s="289">
        <f>VLOOKUP($A28,'Summary Mar 2026'!$A:$GL,191,FALSE)-SUMIFS($H28:$U28,$H$7:$U$7,Y$7)</f>
        <v>0</v>
      </c>
      <c r="Z28" s="289">
        <f>VLOOKUP($A28,'Summary Mar 2026'!$A:$GL,192,FALSE)-SUMIFS($H28:$U28,$H$7:$U$7,Z$7)</f>
        <v>0</v>
      </c>
      <c r="AA28" s="289">
        <f>VLOOKUP($A28,'Summary Mar 2026'!$A:$GL,193,FALSE)-SUMIFS($H28:$U28,$H$7:$U$7,AA$7)</f>
        <v>0</v>
      </c>
      <c r="AB28" s="289">
        <f>VLOOKUP($A28,'Summary Mar 2026'!$A:$GL,194,FALSE)-SUMIFS($H28:$U28,$H$7:$U$7,AB$7)</f>
        <v>0</v>
      </c>
      <c r="AD28" s="146">
        <f>_xlfn.IFNA(VLOOKUP($A28,'Summary Mar 2026'!$A:$GS,196,FALSE)+VLOOKUP($A28,OtherDSG!$A:$AI,34,FALSE)+VLOOKUP($A28,Grants!$A:$BE,50,FALSE),0)</f>
        <v>830707.34503478266</v>
      </c>
      <c r="AE28" s="146">
        <f>_xlfn.IFNA(VLOOKUP($A28,'Summary Mar 2026'!$A:$GS,197,FALSE)+VLOOKUP($A28,Grants!$A:$BE,51,FALSE),0)</f>
        <v>13358.369663282592</v>
      </c>
      <c r="AF28" s="146">
        <f>_xlfn.IFNA(VLOOKUP($A28,'Summary Mar 2026'!$A:$GS,198,FALSE)+VLOOKUP($A28,OtherDSG!$A:$AI,35,FALSE)+VLOOKUP($A28,Grants!$A:$BE,52,FALSE),0)</f>
        <v>1040532.8631384897</v>
      </c>
      <c r="AG28" s="146">
        <f>_xlfn.IFNA(VLOOKUP($A28,Grants!$A:$BE,53,FALSE),0)</f>
        <v>52080</v>
      </c>
      <c r="AH28" s="146">
        <f>_xlfn.IFNA(VLOOKUP($A28,Grants!$A:$BE,54,FALSE),0)</f>
        <v>856.93</v>
      </c>
      <c r="AI28" s="146">
        <f>_xlfn.IFNA(VLOOKUP($A28,Grants!$A:$BE,55,FALSE),0)</f>
        <v>0</v>
      </c>
      <c r="AJ28" s="146">
        <f>_xlfn.IFNA(VLOOKUP($A28,Barclays!$A:$T,18,FALSE),0)</f>
        <v>27341.189725000055</v>
      </c>
      <c r="AK28" s="146">
        <f>_xlfn.IFNA(VLOOKUP($A28,'Summary Mar 2026'!$A:$GS,200,FALSE),0)</f>
        <v>0</v>
      </c>
      <c r="AL28" s="146">
        <f>_xlfn.IFNA(VLOOKUP($A28,Barclays!$A:$T,19,FALSE),0)</f>
        <v>-89.029999999999987</v>
      </c>
      <c r="AM28" s="146">
        <f>_xlfn.IFNA(VLOOKUP($A28,'Summary Mar 2026'!$A:$GS,201,FALSE),0)</f>
        <v>-3291.75</v>
      </c>
      <c r="AN28" s="146">
        <f>_xlfn.IFNA(VLOOKUP($A28,'Summary Mar 2026'!$A:$GS,199,FALSE),0)</f>
        <v>0</v>
      </c>
      <c r="AO28" s="146">
        <f>_xlfn.IFNA(VLOOKUP($A28,Grants!$A:$BE,56,FALSE),0)</f>
        <v>8201.8799999999992</v>
      </c>
      <c r="AP28" s="65">
        <f t="shared" si="0"/>
        <v>1969697.7975615547</v>
      </c>
    </row>
    <row r="29" spans="1:42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0" t="str">
        <f>VLOOKUP(A29,'Summary Mar 2026'!$A$8:$F$206,6,FALSE)</f>
        <v>Chq Bk</v>
      </c>
      <c r="H29" s="288">
        <f>_xlfn.IFNA(VLOOKUP($A29,ISB!$A:$BY,67,FALSE),0)</f>
        <v>0</v>
      </c>
      <c r="I29" s="861">
        <f>_xlfn.IFNA(VLOOKUP(A29,'LA Deductions'!A:AN,40,FALSE),0)</f>
        <v>0</v>
      </c>
      <c r="J29" s="221">
        <f>_xlfn.IFNA(VLOOKUP($A29,ISB!$A:$BY,72,FALSE),0)</f>
        <v>0</v>
      </c>
      <c r="K29" s="289">
        <f>-_xlfn.IFNA(VLOOKUP($A29,ISB!$A:$BY,76,FALSE),0)</f>
        <v>0</v>
      </c>
      <c r="M29" s="288">
        <f>VLOOKUP($A29,EY!$A:$AAK,132,FALSE)</f>
        <v>725603.99472093489</v>
      </c>
      <c r="N29" s="288">
        <f>VLOOKUP($A29,EY!$A:$AAD,133,FALSE)</f>
        <v>1386.9927977839334</v>
      </c>
      <c r="P29" s="288">
        <f>VLOOKUP($A29,HN!$A:$AM,38,FALSE)</f>
        <v>0</v>
      </c>
      <c r="Q29" s="288">
        <f>VLOOKUP($A29,HN!$A:$AM,39,FALSE)</f>
        <v>0</v>
      </c>
      <c r="S29" s="362">
        <f>_xlfn.IFNA(VLOOKUP(A29,'Post 16'!A:AR,44,FALSE),0)</f>
        <v>0</v>
      </c>
      <c r="U29" s="362">
        <f>VLOOKUP(A29,'LA Deductions'!A:W,23,FALSE)</f>
        <v>-3291.75</v>
      </c>
      <c r="W29" s="289">
        <f>VLOOKUP($A29,'Summary Mar 2026'!$A:$AAG,189,FALSE)-SUMIFS($H29:$U29,$H$7:$U$7,W$7)</f>
        <v>0</v>
      </c>
      <c r="X29" s="289">
        <f>VLOOKUP($A29,'Summary Mar 2026'!$A:$GL,190,FALSE)-SUMIFS($H29:$U29,$H$7:$U$7,X$7)</f>
        <v>0</v>
      </c>
      <c r="Y29" s="289">
        <f>VLOOKUP($A29,'Summary Mar 2026'!$A:$GL,191,FALSE)-SUMIFS($H29:$U29,$H$7:$U$7,Y$7)</f>
        <v>0</v>
      </c>
      <c r="Z29" s="289">
        <f>VLOOKUP($A29,'Summary Mar 2026'!$A:$GL,192,FALSE)-SUMIFS($H29:$U29,$H$7:$U$7,Z$7)</f>
        <v>0</v>
      </c>
      <c r="AA29" s="289">
        <f>VLOOKUP($A29,'Summary Mar 2026'!$A:$GL,193,FALSE)-SUMIFS($H29:$U29,$H$7:$U$7,AA$7)</f>
        <v>0</v>
      </c>
      <c r="AB29" s="289">
        <f>VLOOKUP($A29,'Summary Mar 2026'!$A:$GL,194,FALSE)-SUMIFS($H29:$U29,$H$7:$U$7,AB$7)</f>
        <v>0</v>
      </c>
      <c r="AD29" s="146">
        <f>_xlfn.IFNA(VLOOKUP($A29,'Summary Mar 2026'!$A:$GS,196,FALSE)+VLOOKUP($A29,OtherDSG!$A:$AI,34,FALSE)+VLOOKUP($A29,Grants!$A:$BE,50,FALSE),0)</f>
        <v>742919.99472093489</v>
      </c>
      <c r="AE29" s="146">
        <f>_xlfn.IFNA(VLOOKUP($A29,'Summary Mar 2026'!$A:$GS,197,FALSE)+VLOOKUP($A29,Grants!$A:$BE,51,FALSE),0)</f>
        <v>0</v>
      </c>
      <c r="AF29" s="146">
        <f>_xlfn.IFNA(VLOOKUP($A29,'Summary Mar 2026'!$A:$GS,198,FALSE)+VLOOKUP($A29,OtherDSG!$A:$AI,35,FALSE)+VLOOKUP($A29,Grants!$A:$BE,52,FALSE),0)</f>
        <v>19085.426131117267</v>
      </c>
      <c r="AG29" s="146">
        <f>_xlfn.IFNA(VLOOKUP($A29,Grants!$A:$BE,53,FALSE),0)</f>
        <v>0</v>
      </c>
      <c r="AH29" s="146">
        <f>_xlfn.IFNA(VLOOKUP($A29,Grants!$A:$BE,54,FALSE),0)</f>
        <v>0</v>
      </c>
      <c r="AI29" s="146">
        <f>_xlfn.IFNA(VLOOKUP($A29,Grants!$A:$BE,55,FALSE),0)</f>
        <v>0</v>
      </c>
      <c r="AJ29" s="146">
        <f>_xlfn.IFNA(VLOOKUP($A29,Barclays!$A:$T,18,FALSE),0)</f>
        <v>15832.640465000017</v>
      </c>
      <c r="AK29" s="146">
        <f>_xlfn.IFNA(VLOOKUP($A29,'Summary Mar 2026'!$A:$GS,200,FALSE),0)</f>
        <v>0</v>
      </c>
      <c r="AL29" s="146">
        <f>_xlfn.IFNA(VLOOKUP($A29,Barclays!$A:$T,19,FALSE),0)</f>
        <v>-137.42000000000002</v>
      </c>
      <c r="AM29" s="146">
        <f>_xlfn.IFNA(VLOOKUP($A29,'Summary Mar 2026'!$A:$GS,201,FALSE),0)</f>
        <v>-3291.75</v>
      </c>
      <c r="AN29" s="146">
        <f>_xlfn.IFNA(VLOOKUP($A29,'Summary Mar 2026'!$A:$GS,199,FALSE),0)</f>
        <v>0</v>
      </c>
      <c r="AO29" s="146">
        <f>_xlfn.IFNA(VLOOKUP($A29,Grants!$A:$BE,56,FALSE),0)</f>
        <v>4850.5</v>
      </c>
      <c r="AP29" s="65">
        <f t="shared" si="0"/>
        <v>779259.39131705218</v>
      </c>
    </row>
    <row r="30" spans="1:42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0" t="str">
        <f>VLOOKUP(A30,'Summary Mar 2026'!$A$8:$F$206,6,FALSE)</f>
        <v>Academy</v>
      </c>
      <c r="H30" s="288">
        <f>_xlfn.IFNA(VLOOKUP($A30,ISB!$A:$BY,67,FALSE),0)-651340.34</f>
        <v>230752.87200000009</v>
      </c>
      <c r="I30" s="861">
        <f>_xlfn.IFNA(VLOOKUP(A30,'LA Deductions'!A:AN,40,FALSE),0)</f>
        <v>0</v>
      </c>
      <c r="J30" s="221">
        <f>_xlfn.IFNA(VLOOKUP($A30,ISB!$A:$BY,72,FALSE),0)+2038.58666666667</f>
        <v>-1456.1333333333298</v>
      </c>
      <c r="K30" s="289">
        <f>-_xlfn.IFNA(VLOOKUP($A30,ISB!$A:$BY,76,FALSE),0)</f>
        <v>-13652.72</v>
      </c>
      <c r="M30" s="288">
        <f>VLOOKUP($A30,EY!$A:$AAK,132,FALSE)</f>
        <v>45661.200000000012</v>
      </c>
      <c r="N30" s="288">
        <f>VLOOKUP($A30,EY!$A:$AAD,133,FALSE)</f>
        <v>0</v>
      </c>
      <c r="P30" s="288">
        <f>VLOOKUP($A30,HN!$A:$AM,38,FALSE)</f>
        <v>0</v>
      </c>
      <c r="Q30" s="288">
        <f>VLOOKUP($A30,HN!$A:$AM,39,FALSE)</f>
        <v>0</v>
      </c>
      <c r="S30" s="362">
        <f>_xlfn.IFNA(VLOOKUP(A30,'Post 16'!A:AR,44,FALSE),0)</f>
        <v>0</v>
      </c>
      <c r="U30" s="362">
        <f>VLOOKUP(A30,'LA Deductions'!A:W,23,FALSE)</f>
        <v>-822.94</v>
      </c>
      <c r="W30" s="289">
        <f>VLOOKUP($A30,'Summary Mar 2026'!$A:$AAG,189,FALSE)-SUMIFS($H30:$U30,$H$7:$U$7,W$7)</f>
        <v>0</v>
      </c>
      <c r="X30" s="289">
        <f>VLOOKUP($A30,'Summary Mar 2026'!$A:$GL,190,FALSE)-SUMIFS($H30:$U30,$H$7:$U$7,X$7)</f>
        <v>0</v>
      </c>
      <c r="Y30" s="289">
        <f>VLOOKUP($A30,'Summary Mar 2026'!$A:$GL,191,FALSE)-SUMIFS($H30:$U30,$H$7:$U$7,Y$7)</f>
        <v>0</v>
      </c>
      <c r="Z30" s="289">
        <f>VLOOKUP($A30,'Summary Mar 2026'!$A:$GL,192,FALSE)-SUMIFS($H30:$U30,$H$7:$U$7,Z$7)</f>
        <v>0</v>
      </c>
      <c r="AA30" s="289">
        <f>VLOOKUP($A30,'Summary Mar 2026'!$A:$GL,193,FALSE)-SUMIFS($H30:$U30,$H$7:$U$7,AA$7)</f>
        <v>0</v>
      </c>
      <c r="AB30" s="289">
        <f>VLOOKUP($A30,'Summary Mar 2026'!$A:$GL,194,FALSE)-SUMIFS($H30:$U30,$H$7:$U$7,AB$7)</f>
        <v>0</v>
      </c>
      <c r="AD30" s="146">
        <f>_xlfn.IFNA(VLOOKUP($A30,'Summary Mar 2026'!$A:$GS,196,FALSE)+VLOOKUP($A30,OtherDSG!$A:$AI,34,FALSE)+VLOOKUP($A30,Grants!$A:$BE,50,FALSE),0)</f>
        <v>348797.69700000016</v>
      </c>
      <c r="AE30" s="146">
        <f>_xlfn.IFNA(VLOOKUP($A30,'Summary Mar 2026'!$A:$GS,197,FALSE)+VLOOKUP($A30,Grants!$A:$BE,51,FALSE),0)</f>
        <v>0</v>
      </c>
      <c r="AF30" s="146">
        <f>_xlfn.IFNA(VLOOKUP($A30,'Summary Mar 2026'!$A:$GS,198,FALSE)+VLOOKUP($A30,OtherDSG!$A:$AI,35,FALSE)+VLOOKUP($A30,Grants!$A:$BE,52,FALSE),0)</f>
        <v>0</v>
      </c>
      <c r="AG30" s="146">
        <f>_xlfn.IFNA(VLOOKUP($A30,Grants!$A:$BE,53,FALSE),0)</f>
        <v>38166.67</v>
      </c>
      <c r="AH30" s="146">
        <f>_xlfn.IFNA(VLOOKUP($A30,Grants!$A:$BE,54,FALSE),0)</f>
        <v>38428</v>
      </c>
      <c r="AI30" s="146">
        <f>_xlfn.IFNA(VLOOKUP($A30,Grants!$A:$BE,55,FALSE),0)</f>
        <v>0</v>
      </c>
      <c r="AJ30" s="146">
        <f>_xlfn.IFNA(VLOOKUP($A30,Barclays!$A:$T,18,FALSE),0)</f>
        <v>0</v>
      </c>
      <c r="AK30" s="146">
        <f>_xlfn.IFNA(VLOOKUP($A30,'Summary Mar 2026'!$A:$GS,200,FALSE),0)</f>
        <v>-13652.719999999998</v>
      </c>
      <c r="AL30" s="146">
        <f>_xlfn.IFNA(VLOOKUP($A30,Barclays!$A:$T,19,FALSE),0)</f>
        <v>0</v>
      </c>
      <c r="AM30" s="146">
        <f>_xlfn.IFNA(VLOOKUP($A30,'Summary Mar 2026'!$A:$GS,201,FALSE),0)</f>
        <v>-822.94</v>
      </c>
      <c r="AN30" s="146">
        <f>_xlfn.IFNA(VLOOKUP($A30,'Summary Mar 2026'!$A:$GS,199,FALSE),0)</f>
        <v>-1456.1333333333296</v>
      </c>
      <c r="AO30" s="146">
        <f>_xlfn.IFNA(VLOOKUP($A30,Grants!$A:$BE,56,FALSE),0)</f>
        <v>6099.25</v>
      </c>
      <c r="AP30" s="65">
        <f t="shared" si="0"/>
        <v>415559.82366666687</v>
      </c>
    </row>
    <row r="31" spans="1:42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0" t="str">
        <f>VLOOKUP(A31,'Summary Mar 2026'!$A$8:$F$206,6,FALSE)</f>
        <v>Academy</v>
      </c>
      <c r="H31" s="288">
        <f>_xlfn.IFNA(VLOOKUP($A31,ISB!$A:$BY,67,FALSE),0)-1026589.48</f>
        <v>358253.79645248898</v>
      </c>
      <c r="I31" s="861">
        <f>_xlfn.IFNA(VLOOKUP(A31,'LA Deductions'!A:AN,40,FALSE),0)</f>
        <v>-4313.5414000000001</v>
      </c>
      <c r="J31" s="221">
        <f>_xlfn.IFNA(VLOOKUP($A31,ISB!$A:$BY,72,FALSE),0)+3346.93333333333</f>
        <v>-2390.6666666666692</v>
      </c>
      <c r="K31" s="289">
        <f>-_xlfn.IFNA(VLOOKUP($A31,ISB!$A:$BY,76,FALSE),0)</f>
        <v>-16027.1</v>
      </c>
      <c r="M31" s="288">
        <f>VLOOKUP($A31,EY!$A:$AAK,132,FALSE)</f>
        <v>0</v>
      </c>
      <c r="N31" s="288">
        <f>VLOOKUP($A31,EY!$A:$AAD,133,FALSE)</f>
        <v>0</v>
      </c>
      <c r="P31" s="288">
        <f>VLOOKUP($A31,HN!$A:$AM,38,FALSE)</f>
        <v>0</v>
      </c>
      <c r="Q31" s="288">
        <f>VLOOKUP($A31,HN!$A:$AM,39,FALSE)</f>
        <v>0</v>
      </c>
      <c r="S31" s="362">
        <f>_xlfn.IFNA(VLOOKUP(A31,'Post 16'!A:AR,44,FALSE),0)</f>
        <v>0</v>
      </c>
      <c r="U31" s="362">
        <f>VLOOKUP(A31,'LA Deductions'!A:W,23,FALSE)</f>
        <v>-1284.94</v>
      </c>
      <c r="W31" s="289">
        <f>VLOOKUP($A31,'Summary Mar 2026'!$A:$AAG,189,FALSE)-SUMIFS($H31:$U31,$H$7:$U$7,W$7)</f>
        <v>0</v>
      </c>
      <c r="X31" s="289">
        <f>VLOOKUP($A31,'Summary Mar 2026'!$A:$GL,190,FALSE)-SUMIFS($H31:$U31,$H$7:$U$7,X$7)</f>
        <v>0</v>
      </c>
      <c r="Y31" s="289">
        <f>VLOOKUP($A31,'Summary Mar 2026'!$A:$GL,191,FALSE)-SUMIFS($H31:$U31,$H$7:$U$7,Y$7)</f>
        <v>0</v>
      </c>
      <c r="Z31" s="289">
        <f>VLOOKUP($A31,'Summary Mar 2026'!$A:$GL,192,FALSE)-SUMIFS($H31:$U31,$H$7:$U$7,Z$7)</f>
        <v>0</v>
      </c>
      <c r="AA31" s="289">
        <f>VLOOKUP($A31,'Summary Mar 2026'!$A:$GL,193,FALSE)-SUMIFS($H31:$U31,$H$7:$U$7,AA$7)</f>
        <v>0</v>
      </c>
      <c r="AB31" s="289">
        <f>VLOOKUP($A31,'Summary Mar 2026'!$A:$GL,194,FALSE)-SUMIFS($H31:$U31,$H$7:$U$7,AB$7)</f>
        <v>0</v>
      </c>
      <c r="AD31" s="146">
        <f>_xlfn.IFNA(VLOOKUP($A31,'Summary Mar 2026'!$A:$GS,196,FALSE)+VLOOKUP($A31,OtherDSG!$A:$AI,34,FALSE)+VLOOKUP($A31,Grants!$A:$BE,50,FALSE),0)</f>
        <v>353940.255052489</v>
      </c>
      <c r="AE31" s="146">
        <f>_xlfn.IFNA(VLOOKUP($A31,'Summary Mar 2026'!$A:$GS,197,FALSE)+VLOOKUP($A31,Grants!$A:$BE,51,FALSE),0)</f>
        <v>0</v>
      </c>
      <c r="AF31" s="146">
        <f>_xlfn.IFNA(VLOOKUP($A31,'Summary Mar 2026'!$A:$GS,198,FALSE)+VLOOKUP($A31,OtherDSG!$A:$AI,35,FALSE)+VLOOKUP($A31,Grants!$A:$BE,52,FALSE),0)</f>
        <v>0</v>
      </c>
      <c r="AG31" s="146">
        <f>_xlfn.IFNA(VLOOKUP($A31,Grants!$A:$BE,53,FALSE),0)</f>
        <v>76818.75</v>
      </c>
      <c r="AH31" s="146">
        <f>_xlfn.IFNA(VLOOKUP($A31,Grants!$A:$BE,54,FALSE),0)</f>
        <v>7587</v>
      </c>
      <c r="AI31" s="146">
        <f>_xlfn.IFNA(VLOOKUP($A31,Grants!$A:$BE,55,FALSE),0)</f>
        <v>0</v>
      </c>
      <c r="AJ31" s="146">
        <f>_xlfn.IFNA(VLOOKUP($A31,Barclays!$A:$T,18,FALSE),0)</f>
        <v>0</v>
      </c>
      <c r="AK31" s="146">
        <f>_xlfn.IFNA(VLOOKUP($A31,'Summary Mar 2026'!$A:$GS,200,FALSE),0)</f>
        <v>-16027.099999999999</v>
      </c>
      <c r="AL31" s="146">
        <f>_xlfn.IFNA(VLOOKUP($A31,Barclays!$A:$T,19,FALSE),0)</f>
        <v>0</v>
      </c>
      <c r="AM31" s="146">
        <f>_xlfn.IFNA(VLOOKUP($A31,'Summary Mar 2026'!$A:$GS,201,FALSE),0)</f>
        <v>-1284.94</v>
      </c>
      <c r="AN31" s="146">
        <f>_xlfn.IFNA(VLOOKUP($A31,'Summary Mar 2026'!$A:$GS,199,FALSE),0)</f>
        <v>-2390.6666666666697</v>
      </c>
      <c r="AO31" s="146">
        <f>_xlfn.IFNA(VLOOKUP($A31,Grants!$A:$BE,56,FALSE),0)</f>
        <v>6486.25</v>
      </c>
      <c r="AP31" s="65">
        <f t="shared" si="0"/>
        <v>425129.54838582233</v>
      </c>
    </row>
    <row r="32" spans="1:42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0" t="str">
        <f>VLOOKUP(A32,'Summary Mar 2026'!$A$8:$F$206,6,FALSE)</f>
        <v>Chq Bk</v>
      </c>
      <c r="H32" s="288">
        <f>_xlfn.IFNA(VLOOKUP($A32,ISB!$A:$BY,67,FALSE),0)</f>
        <v>2722664.0117721613</v>
      </c>
      <c r="I32" s="861">
        <f>_xlfn.IFNA(VLOOKUP(A32,'LA Deductions'!A:AN,40,FALSE),0)</f>
        <v>0</v>
      </c>
      <c r="J32" s="221">
        <f>_xlfn.IFNA(VLOOKUP($A32,ISB!$A:$BY,72,FALSE),0)</f>
        <v>-10901.439999999999</v>
      </c>
      <c r="K32" s="289">
        <f>-_xlfn.IFNA(VLOOKUP($A32,ISB!$A:$BY,76,FALSE),0)</f>
        <v>-46033.17</v>
      </c>
      <c r="M32" s="288">
        <f>VLOOKUP($A32,EY!$A:$AAK,132,FALSE)</f>
        <v>88975.43526315791</v>
      </c>
      <c r="N32" s="288">
        <f>VLOOKUP($A32,EY!$A:$AAD,133,FALSE)</f>
        <v>0</v>
      </c>
      <c r="P32" s="288">
        <f>VLOOKUP($A32,HN!$A:$AM,38,FALSE)</f>
        <v>0</v>
      </c>
      <c r="Q32" s="288">
        <f>VLOOKUP($A32,HN!$A:$AM,39,FALSE)</f>
        <v>0</v>
      </c>
      <c r="S32" s="362">
        <f>_xlfn.IFNA(VLOOKUP(A32,'Post 16'!A:AR,44,FALSE),0)</f>
        <v>0</v>
      </c>
      <c r="U32" s="362">
        <f>VLOOKUP(A32,'LA Deductions'!A:W,23,FALSE)</f>
        <v>-9471</v>
      </c>
      <c r="W32" s="289">
        <f>VLOOKUP($A32,'Summary Mar 2026'!$A:$AAG,189,FALSE)-SUMIFS($H32:$U32,$H$7:$U$7,W$7)</f>
        <v>0</v>
      </c>
      <c r="X32" s="289">
        <f>VLOOKUP($A32,'Summary Mar 2026'!$A:$GL,190,FALSE)-SUMIFS($H32:$U32,$H$7:$U$7,X$7)</f>
        <v>0</v>
      </c>
      <c r="Y32" s="289">
        <f>VLOOKUP($A32,'Summary Mar 2026'!$A:$GL,191,FALSE)-SUMIFS($H32:$U32,$H$7:$U$7,Y$7)</f>
        <v>0</v>
      </c>
      <c r="Z32" s="289">
        <f>VLOOKUP($A32,'Summary Mar 2026'!$A:$GL,192,FALSE)-SUMIFS($H32:$U32,$H$7:$U$7,Z$7)</f>
        <v>0</v>
      </c>
      <c r="AA32" s="289">
        <f>VLOOKUP($A32,'Summary Mar 2026'!$A:$GL,193,FALSE)-SUMIFS($H32:$U32,$H$7:$U$7,AA$7)</f>
        <v>0</v>
      </c>
      <c r="AB32" s="289">
        <f>VLOOKUP($A32,'Summary Mar 2026'!$A:$GL,194,FALSE)-SUMIFS($H32:$U32,$H$7:$U$7,AB$7)</f>
        <v>0</v>
      </c>
      <c r="AD32" s="146">
        <f>_xlfn.IFNA(VLOOKUP($A32,'Summary Mar 2026'!$A:$GS,196,FALSE)+VLOOKUP($A32,OtherDSG!$A:$AI,34,FALSE)+VLOOKUP($A32,Grants!$A:$BE,50,FALSE),0)</f>
        <v>2883361.4470353196</v>
      </c>
      <c r="AE32" s="146">
        <f>_xlfn.IFNA(VLOOKUP($A32,'Summary Mar 2026'!$A:$GS,197,FALSE)+VLOOKUP($A32,Grants!$A:$BE,51,FALSE),0)</f>
        <v>0</v>
      </c>
      <c r="AF32" s="146">
        <f>_xlfn.IFNA(VLOOKUP($A32,'Summary Mar 2026'!$A:$GS,198,FALSE)+VLOOKUP($A32,OtherDSG!$A:$AI,35,FALSE)+VLOOKUP($A32,Grants!$A:$BE,52,FALSE),0)</f>
        <v>140332.23766666665</v>
      </c>
      <c r="AG32" s="146">
        <f>_xlfn.IFNA(VLOOKUP($A32,Grants!$A:$BE,53,FALSE),0)</f>
        <v>216960</v>
      </c>
      <c r="AH32" s="146">
        <f>_xlfn.IFNA(VLOOKUP($A32,Grants!$A:$BE,54,FALSE),0)</f>
        <v>82998</v>
      </c>
      <c r="AI32" s="146">
        <f>_xlfn.IFNA(VLOOKUP($A32,Grants!$A:$BE,55,FALSE),0)</f>
        <v>0</v>
      </c>
      <c r="AJ32" s="146">
        <f>_xlfn.IFNA(VLOOKUP($A32,Barclays!$A:$T,18,FALSE),0)</f>
        <v>9828.5495649999921</v>
      </c>
      <c r="AK32" s="146">
        <f>_xlfn.IFNA(VLOOKUP($A32,'Summary Mar 2026'!$A:$GS,200,FALSE),0)</f>
        <v>-46033.170000000013</v>
      </c>
      <c r="AL32" s="146">
        <f>_xlfn.IFNA(VLOOKUP($A32,Barclays!$A:$T,19,FALSE),0)</f>
        <v>-62.15</v>
      </c>
      <c r="AM32" s="146">
        <f>_xlfn.IFNA(VLOOKUP($A32,'Summary Mar 2026'!$A:$GS,201,FALSE),0)</f>
        <v>-9471</v>
      </c>
      <c r="AN32" s="146">
        <f>_xlfn.IFNA(VLOOKUP($A32,'Summary Mar 2026'!$A:$GS,199,FALSE),0)</f>
        <v>-10901.439999999997</v>
      </c>
      <c r="AO32" s="146">
        <f>_xlfn.IFNA(VLOOKUP($A32,Grants!$A:$BE,56,FALSE),0)</f>
        <v>8977</v>
      </c>
      <c r="AP32" s="65">
        <f t="shared" si="0"/>
        <v>3275989.4742669864</v>
      </c>
    </row>
    <row r="33" spans="1:42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0" t="str">
        <f>VLOOKUP(A33,'Summary Mar 2026'!$A$8:$F$206,6,FALSE)</f>
        <v>Chq Bk</v>
      </c>
      <c r="H33" s="288">
        <f>_xlfn.IFNA(VLOOKUP($A33,ISB!$A:$BY,67,FALSE),0)</f>
        <v>6231063.374241313</v>
      </c>
      <c r="I33" s="861">
        <f>_xlfn.IFNA(VLOOKUP(A33,'LA Deductions'!A:AN,40,FALSE),0)</f>
        <v>0</v>
      </c>
      <c r="J33" s="221">
        <f>_xlfn.IFNA(VLOOKUP($A33,ISB!$A:$BY,72,FALSE),0)</f>
        <v>-15802.05</v>
      </c>
      <c r="K33" s="289">
        <f>-_xlfn.IFNA(VLOOKUP($A33,ISB!$A:$BY,76,FALSE),0)</f>
        <v>-24697.86</v>
      </c>
      <c r="M33" s="288">
        <f>VLOOKUP($A33,EY!$A:$AAK,132,FALSE)</f>
        <v>0</v>
      </c>
      <c r="N33" s="288">
        <f>VLOOKUP($A33,EY!$A:$AAD,133,FALSE)</f>
        <v>0</v>
      </c>
      <c r="P33" s="288">
        <f>VLOOKUP($A33,HN!$A:$AM,38,FALSE)</f>
        <v>0</v>
      </c>
      <c r="Q33" s="288">
        <f>VLOOKUP($A33,HN!$A:$AM,39,FALSE)</f>
        <v>0</v>
      </c>
      <c r="S33" s="362">
        <f>_xlfn.IFNA(VLOOKUP(A33,'Post 16'!A:AR,44,FALSE),0)</f>
        <v>0</v>
      </c>
      <c r="U33" s="362">
        <f>VLOOKUP(A33,'LA Deductions'!A:W,23,FALSE)</f>
        <v>-24312.75</v>
      </c>
      <c r="W33" s="289">
        <f>VLOOKUP($A33,'Summary Mar 2026'!$A:$AAG,189,FALSE)-SUMIFS($H33:$U33,$H$7:$U$7,W$7)</f>
        <v>0</v>
      </c>
      <c r="X33" s="289">
        <f>VLOOKUP($A33,'Summary Mar 2026'!$A:$GL,190,FALSE)-SUMIFS($H33:$U33,$H$7:$U$7,X$7)</f>
        <v>0</v>
      </c>
      <c r="Y33" s="289">
        <f>VLOOKUP($A33,'Summary Mar 2026'!$A:$GL,191,FALSE)-SUMIFS($H33:$U33,$H$7:$U$7,Y$7)</f>
        <v>0</v>
      </c>
      <c r="Z33" s="289">
        <f>VLOOKUP($A33,'Summary Mar 2026'!$A:$GL,192,FALSE)-SUMIFS($H33:$U33,$H$7:$U$7,Z$7)</f>
        <v>0</v>
      </c>
      <c r="AA33" s="289">
        <f>VLOOKUP($A33,'Summary Mar 2026'!$A:$GL,193,FALSE)-SUMIFS($H33:$U33,$H$7:$U$7,AA$7)</f>
        <v>0</v>
      </c>
      <c r="AB33" s="289">
        <f>VLOOKUP($A33,'Summary Mar 2026'!$A:$GL,194,FALSE)-SUMIFS($H33:$U33,$H$7:$U$7,AB$7)</f>
        <v>0</v>
      </c>
      <c r="AD33" s="146">
        <f>_xlfn.IFNA(VLOOKUP($A33,'Summary Mar 2026'!$A:$GS,196,FALSE)+VLOOKUP($A33,OtherDSG!$A:$AI,34,FALSE)+VLOOKUP($A33,Grants!$A:$BE,50,FALSE),0)</f>
        <v>6411356.0659079803</v>
      </c>
      <c r="AE33" s="146">
        <f>_xlfn.IFNA(VLOOKUP($A33,'Summary Mar 2026'!$A:$GS,197,FALSE)+VLOOKUP($A33,Grants!$A:$BE,51,FALSE),0)</f>
        <v>0</v>
      </c>
      <c r="AF33" s="146">
        <f>_xlfn.IFNA(VLOOKUP($A33,'Summary Mar 2026'!$A:$GS,198,FALSE)+VLOOKUP($A33,OtherDSG!$A:$AI,35,FALSE)+VLOOKUP($A33,Grants!$A:$BE,52,FALSE),0)</f>
        <v>111283.46666666667</v>
      </c>
      <c r="AG33" s="146">
        <f>_xlfn.IFNA(VLOOKUP($A33,Grants!$A:$BE,53,FALSE),0)</f>
        <v>432450</v>
      </c>
      <c r="AH33" s="146">
        <f>_xlfn.IFNA(VLOOKUP($A33,Grants!$A:$BE,54,FALSE),0)</f>
        <v>12768.26</v>
      </c>
      <c r="AI33" s="146">
        <f>_xlfn.IFNA(VLOOKUP($A33,Grants!$A:$BE,55,FALSE),0)</f>
        <v>0</v>
      </c>
      <c r="AJ33" s="146">
        <f>_xlfn.IFNA(VLOOKUP($A33,Barclays!$A:$T,18,FALSE),0)</f>
        <v>0</v>
      </c>
      <c r="AK33" s="146">
        <f>_xlfn.IFNA(VLOOKUP($A33,'Summary Mar 2026'!$A:$GS,200,FALSE),0)</f>
        <v>-24697.859999999997</v>
      </c>
      <c r="AL33" s="146">
        <f>_xlfn.IFNA(VLOOKUP($A33,Barclays!$A:$T,19,FALSE),0)</f>
        <v>0</v>
      </c>
      <c r="AM33" s="146">
        <f>_xlfn.IFNA(VLOOKUP($A33,'Summary Mar 2026'!$A:$GS,201,FALSE),0)</f>
        <v>-24312.75</v>
      </c>
      <c r="AN33" s="146">
        <f>_xlfn.IFNA(VLOOKUP($A33,'Summary Mar 2026'!$A:$GS,199,FALSE),0)</f>
        <v>-15802.049999999997</v>
      </c>
      <c r="AO33" s="146">
        <f>_xlfn.IFNA(VLOOKUP($A33,Grants!$A:$BE,56,FALSE),0)</f>
        <v>0</v>
      </c>
      <c r="AP33" s="65">
        <f t="shared" si="0"/>
        <v>6903045.1325746467</v>
      </c>
    </row>
    <row r="34" spans="1:42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0" t="str">
        <f>VLOOKUP(A34,'Summary Mar 2026'!$A$8:$F$206,6,FALSE)</f>
        <v>Chq Bk</v>
      </c>
      <c r="H34" s="288">
        <f>_xlfn.IFNA(VLOOKUP($A34,ISB!$A:$BY,67,FALSE),0)</f>
        <v>0</v>
      </c>
      <c r="I34" s="861">
        <f>_xlfn.IFNA(VLOOKUP(A34,'LA Deductions'!A:AN,40,FALSE),0)</f>
        <v>0</v>
      </c>
      <c r="J34" s="221">
        <f>_xlfn.IFNA(VLOOKUP($A34,ISB!$A:$BY,72,FALSE),0)</f>
        <v>0</v>
      </c>
      <c r="K34" s="289">
        <f>-_xlfn.IFNA(VLOOKUP($A34,ISB!$A:$BY,76,FALSE),0)</f>
        <v>0</v>
      </c>
      <c r="M34" s="288">
        <f>VLOOKUP($A34,EY!$A:$AAK,132,FALSE)</f>
        <v>990442.08056006115</v>
      </c>
      <c r="N34" s="288">
        <f>VLOOKUP($A34,EY!$A:$AAD,133,FALSE)</f>
        <v>11814.642659279778</v>
      </c>
      <c r="P34" s="288">
        <f>VLOOKUP($A34,HN!$A:$AM,38,FALSE)</f>
        <v>0</v>
      </c>
      <c r="Q34" s="288">
        <f>VLOOKUP($A34,HN!$A:$AM,39,FALSE)</f>
        <v>0</v>
      </c>
      <c r="S34" s="362">
        <f>_xlfn.IFNA(VLOOKUP(A34,'Post 16'!A:AR,44,FALSE),0)</f>
        <v>0</v>
      </c>
      <c r="U34" s="362">
        <f>VLOOKUP(A34,'LA Deductions'!A:W,23,FALSE)</f>
        <v>-3291.75</v>
      </c>
      <c r="W34" s="289">
        <f>VLOOKUP($A34,'Summary Mar 2026'!$A:$AAG,189,FALSE)-SUMIFS($H34:$U34,$H$7:$U$7,W$7)</f>
        <v>0</v>
      </c>
      <c r="X34" s="289">
        <f>VLOOKUP($A34,'Summary Mar 2026'!$A:$GL,190,FALSE)-SUMIFS($H34:$U34,$H$7:$U$7,X$7)</f>
        <v>0</v>
      </c>
      <c r="Y34" s="289">
        <f>VLOOKUP($A34,'Summary Mar 2026'!$A:$GL,191,FALSE)-SUMIFS($H34:$U34,$H$7:$U$7,Y$7)</f>
        <v>0</v>
      </c>
      <c r="Z34" s="289">
        <f>VLOOKUP($A34,'Summary Mar 2026'!$A:$GL,192,FALSE)-SUMIFS($H34:$U34,$H$7:$U$7,Z$7)</f>
        <v>0</v>
      </c>
      <c r="AA34" s="289">
        <f>VLOOKUP($A34,'Summary Mar 2026'!$A:$GL,193,FALSE)-SUMIFS($H34:$U34,$H$7:$U$7,AA$7)</f>
        <v>0</v>
      </c>
      <c r="AB34" s="289">
        <f>VLOOKUP($A34,'Summary Mar 2026'!$A:$GL,194,FALSE)-SUMIFS($H34:$U34,$H$7:$U$7,AB$7)</f>
        <v>0</v>
      </c>
      <c r="AD34" s="146">
        <f>_xlfn.IFNA(VLOOKUP($A34,'Summary Mar 2026'!$A:$GS,196,FALSE)+VLOOKUP($A34,OtherDSG!$A:$AI,34,FALSE)+VLOOKUP($A34,Grants!$A:$BE,50,FALSE),0)</f>
        <v>1015663.080560061</v>
      </c>
      <c r="AE34" s="146">
        <f>_xlfn.IFNA(VLOOKUP($A34,'Summary Mar 2026'!$A:$GS,197,FALSE)+VLOOKUP($A34,Grants!$A:$BE,51,FALSE),0)</f>
        <v>0</v>
      </c>
      <c r="AF34" s="146">
        <f>_xlfn.IFNA(VLOOKUP($A34,'Summary Mar 2026'!$A:$GS,198,FALSE)+VLOOKUP($A34,OtherDSG!$A:$AI,35,FALSE)+VLOOKUP($A34,Grants!$A:$BE,52,FALSE),0)</f>
        <v>79162.899192613113</v>
      </c>
      <c r="AG34" s="146">
        <f>_xlfn.IFNA(VLOOKUP($A34,Grants!$A:$BE,53,FALSE),0)</f>
        <v>0</v>
      </c>
      <c r="AH34" s="146">
        <f>_xlfn.IFNA(VLOOKUP($A34,Grants!$A:$BE,54,FALSE),0)</f>
        <v>0</v>
      </c>
      <c r="AI34" s="146">
        <f>_xlfn.IFNA(VLOOKUP($A34,Grants!$A:$BE,55,FALSE),0)</f>
        <v>0</v>
      </c>
      <c r="AJ34" s="146">
        <f>_xlfn.IFNA(VLOOKUP($A34,Barclays!$A:$T,18,FALSE),0)</f>
        <v>14668.340380000014</v>
      </c>
      <c r="AK34" s="146">
        <f>_xlfn.IFNA(VLOOKUP($A34,'Summary Mar 2026'!$A:$GS,200,FALSE),0)</f>
        <v>0</v>
      </c>
      <c r="AL34" s="146">
        <f>_xlfn.IFNA(VLOOKUP($A34,Barclays!$A:$T,19,FALSE),0)</f>
        <v>-73.73</v>
      </c>
      <c r="AM34" s="146">
        <f>_xlfn.IFNA(VLOOKUP($A34,'Summary Mar 2026'!$A:$GS,201,FALSE),0)</f>
        <v>-3291.75</v>
      </c>
      <c r="AN34" s="146">
        <f>_xlfn.IFNA(VLOOKUP($A34,'Summary Mar 2026'!$A:$GS,199,FALSE),0)</f>
        <v>0</v>
      </c>
      <c r="AO34" s="146">
        <f>_xlfn.IFNA(VLOOKUP($A34,Grants!$A:$BE,56,FALSE),0)</f>
        <v>5228.5</v>
      </c>
      <c r="AP34" s="65">
        <f t="shared" si="0"/>
        <v>1111357.3401326742</v>
      </c>
    </row>
    <row r="35" spans="1:42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0" t="str">
        <f>VLOOKUP(A35,'Summary Mar 2026'!$A$8:$F$206,6,FALSE)</f>
        <v>Chq Bk</v>
      </c>
      <c r="H35" s="288">
        <f>_xlfn.IFNA(VLOOKUP($A35,ISB!$A:$BY,67,FALSE),0)</f>
        <v>2170326.7070999998</v>
      </c>
      <c r="I35" s="861">
        <f>_xlfn.IFNA(VLOOKUP(A35,'LA Deductions'!A:AN,40,FALSE),0)</f>
        <v>0</v>
      </c>
      <c r="J35" s="221">
        <f>_xlfn.IFNA(VLOOKUP($A35,ISB!$A:$BY,72,FALSE),0)</f>
        <v>-10979.679999999998</v>
      </c>
      <c r="K35" s="289">
        <f>-_xlfn.IFNA(VLOOKUP($A35,ISB!$A:$BY,76,FALSE),0)</f>
        <v>-30209.82</v>
      </c>
      <c r="M35" s="288">
        <f>VLOOKUP($A35,EY!$A:$AAK,132,FALSE)</f>
        <v>0</v>
      </c>
      <c r="N35" s="288">
        <f>VLOOKUP($A35,EY!$A:$AAD,133,FALSE)</f>
        <v>0</v>
      </c>
      <c r="P35" s="288">
        <f>VLOOKUP($A35,HN!$A:$AM,38,FALSE)</f>
        <v>0</v>
      </c>
      <c r="Q35" s="288">
        <f>VLOOKUP($A35,HN!$A:$AM,39,FALSE)</f>
        <v>0</v>
      </c>
      <c r="S35" s="362">
        <f>_xlfn.IFNA(VLOOKUP(A35,'Post 16'!A:AR,44,FALSE),0)</f>
        <v>0</v>
      </c>
      <c r="U35" s="362">
        <f>VLOOKUP(A35,'LA Deductions'!A:W,23,FALSE)</f>
        <v>-9471</v>
      </c>
      <c r="W35" s="289">
        <f>VLOOKUP($A35,'Summary Mar 2026'!$A:$AAG,189,FALSE)-SUMIFS($H35:$U35,$H$7:$U$7,W$7)</f>
        <v>0</v>
      </c>
      <c r="X35" s="289">
        <f>VLOOKUP($A35,'Summary Mar 2026'!$A:$GL,190,FALSE)-SUMIFS($H35:$U35,$H$7:$U$7,X$7)</f>
        <v>0</v>
      </c>
      <c r="Y35" s="289">
        <f>VLOOKUP($A35,'Summary Mar 2026'!$A:$GL,191,FALSE)-SUMIFS($H35:$U35,$H$7:$U$7,Y$7)</f>
        <v>0</v>
      </c>
      <c r="Z35" s="289">
        <f>VLOOKUP($A35,'Summary Mar 2026'!$A:$GL,192,FALSE)-SUMIFS($H35:$U35,$H$7:$U$7,Z$7)</f>
        <v>0</v>
      </c>
      <c r="AA35" s="289">
        <f>VLOOKUP($A35,'Summary Mar 2026'!$A:$GL,193,FALSE)-SUMIFS($H35:$U35,$H$7:$U$7,AA$7)</f>
        <v>0</v>
      </c>
      <c r="AB35" s="289">
        <f>VLOOKUP($A35,'Summary Mar 2026'!$A:$GL,194,FALSE)-SUMIFS($H35:$U35,$H$7:$U$7,AB$7)</f>
        <v>0</v>
      </c>
      <c r="AD35" s="146">
        <f>_xlfn.IFNA(VLOOKUP($A35,'Summary Mar 2026'!$A:$GS,196,FALSE)+VLOOKUP($A35,OtherDSG!$A:$AI,34,FALSE)+VLOOKUP($A35,Grants!$A:$BE,50,FALSE),0)</f>
        <v>2231663.7070999998</v>
      </c>
      <c r="AE35" s="146">
        <f>_xlfn.IFNA(VLOOKUP($A35,'Summary Mar 2026'!$A:$GS,197,FALSE)+VLOOKUP($A35,Grants!$A:$BE,51,FALSE),0)</f>
        <v>0</v>
      </c>
      <c r="AF35" s="146">
        <f>_xlfn.IFNA(VLOOKUP($A35,'Summary Mar 2026'!$A:$GS,198,FALSE)+VLOOKUP($A35,OtherDSG!$A:$AI,35,FALSE)+VLOOKUP($A35,Grants!$A:$BE,52,FALSE),0)</f>
        <v>278465.00066666666</v>
      </c>
      <c r="AG35" s="146">
        <f>_xlfn.IFNA(VLOOKUP($A35,Grants!$A:$BE,53,FALSE),0)</f>
        <v>127875</v>
      </c>
      <c r="AH35" s="146">
        <f>_xlfn.IFNA(VLOOKUP($A35,Grants!$A:$BE,54,FALSE),0)</f>
        <v>84600</v>
      </c>
      <c r="AI35" s="146">
        <f>_xlfn.IFNA(VLOOKUP($A35,Grants!$A:$BE,55,FALSE),0)</f>
        <v>0</v>
      </c>
      <c r="AJ35" s="146">
        <f>_xlfn.IFNA(VLOOKUP($A35,Barclays!$A:$T,18,FALSE),0)</f>
        <v>0</v>
      </c>
      <c r="AK35" s="146">
        <f>_xlfn.IFNA(VLOOKUP($A35,'Summary Mar 2026'!$A:$GS,200,FALSE),0)</f>
        <v>-30209.820000000003</v>
      </c>
      <c r="AL35" s="146">
        <f>_xlfn.IFNA(VLOOKUP($A35,Barclays!$A:$T,19,FALSE),0)</f>
        <v>0</v>
      </c>
      <c r="AM35" s="146">
        <f>_xlfn.IFNA(VLOOKUP($A35,'Summary Mar 2026'!$A:$GS,201,FALSE),0)</f>
        <v>-9471</v>
      </c>
      <c r="AN35" s="146">
        <f>_xlfn.IFNA(VLOOKUP($A35,'Summary Mar 2026'!$A:$GS,199,FALSE),0)</f>
        <v>-10979.679999999998</v>
      </c>
      <c r="AO35" s="146">
        <f>_xlfn.IFNA(VLOOKUP($A35,Grants!$A:$BE,56,FALSE),0)</f>
        <v>8725</v>
      </c>
      <c r="AP35" s="65">
        <f t="shared" si="0"/>
        <v>2680668.2077666665</v>
      </c>
    </row>
    <row r="36" spans="1:42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0" t="str">
        <f>VLOOKUP(A36,'Summary Mar 2026'!$A$8:$F$206,6,FALSE)</f>
        <v>Chq Bk</v>
      </c>
      <c r="H36" s="288">
        <f>_xlfn.IFNA(VLOOKUP($A36,ISB!$A:$BY,67,FALSE),0)</f>
        <v>0</v>
      </c>
      <c r="I36" s="861">
        <f>_xlfn.IFNA(VLOOKUP(A36,'LA Deductions'!A:AN,40,FALSE),0)</f>
        <v>0</v>
      </c>
      <c r="J36" s="221">
        <f>_xlfn.IFNA(VLOOKUP($A36,ISB!$A:$BY,72,FALSE),0)</f>
        <v>0</v>
      </c>
      <c r="K36" s="289">
        <f>-_xlfn.IFNA(VLOOKUP($A36,ISB!$A:$BY,76,FALSE),0)</f>
        <v>0</v>
      </c>
      <c r="M36" s="288">
        <f>VLOOKUP($A36,EY!$A:$AAK,132,FALSE)</f>
        <v>0</v>
      </c>
      <c r="N36" s="288">
        <f>VLOOKUP($A36,EY!$A:$AAD,133,FALSE)</f>
        <v>0</v>
      </c>
      <c r="P36" s="288">
        <f>VLOOKUP($A36,HN!$A:$AM,38,FALSE)</f>
        <v>1227105</v>
      </c>
      <c r="Q36" s="288">
        <f>VLOOKUP($A36,HN!$A:$AM,39,FALSE)</f>
        <v>1388460.5512101313</v>
      </c>
      <c r="S36" s="362">
        <f>_xlfn.IFNA(VLOOKUP(A36,'Post 16'!A:AR,44,FALSE),0)</f>
        <v>0</v>
      </c>
      <c r="U36" s="362">
        <f>VLOOKUP(A36,'LA Deductions'!A:W,23,FALSE)</f>
        <v>-2997</v>
      </c>
      <c r="W36" s="289">
        <f>VLOOKUP($A36,'Summary Mar 2026'!$A:$AAG,189,FALSE)-SUMIFS($H36:$U36,$H$7:$U$7,W$7)</f>
        <v>0</v>
      </c>
      <c r="X36" s="289">
        <f>VLOOKUP($A36,'Summary Mar 2026'!$A:$GL,190,FALSE)-SUMIFS($H36:$U36,$H$7:$U$7,X$7)</f>
        <v>0</v>
      </c>
      <c r="Y36" s="289">
        <f>VLOOKUP($A36,'Summary Mar 2026'!$A:$GL,191,FALSE)-SUMIFS($H36:$U36,$H$7:$U$7,Y$7)</f>
        <v>0</v>
      </c>
      <c r="Z36" s="289">
        <f>VLOOKUP($A36,'Summary Mar 2026'!$A:$GL,192,FALSE)-SUMIFS($H36:$U36,$H$7:$U$7,Z$7)</f>
        <v>0</v>
      </c>
      <c r="AA36" s="289">
        <f>VLOOKUP($A36,'Summary Mar 2026'!$A:$GL,193,FALSE)-SUMIFS($H36:$U36,$H$7:$U$7,AA$7)</f>
        <v>0</v>
      </c>
      <c r="AB36" s="289">
        <f>VLOOKUP($A36,'Summary Mar 2026'!$A:$GL,194,FALSE)-SUMIFS($H36:$U36,$H$7:$U$7,AB$7)</f>
        <v>0</v>
      </c>
      <c r="AD36" s="146">
        <f>_xlfn.IFNA(VLOOKUP($A36,'Summary Mar 2026'!$A:$GS,196,FALSE)+VLOOKUP($A36,OtherDSG!$A:$AI,34,FALSE)+VLOOKUP($A36,Grants!$A:$BE,50,FALSE),0)</f>
        <v>1222449.4776086956</v>
      </c>
      <c r="AE36" s="146">
        <f>_xlfn.IFNA(VLOOKUP($A36,'Summary Mar 2026'!$A:$GS,197,FALSE)+VLOOKUP($A36,Grants!$A:$BE,51,FALSE),0)</f>
        <v>0</v>
      </c>
      <c r="AF36" s="146">
        <f>_xlfn.IFNA(VLOOKUP($A36,'Summary Mar 2026'!$A:$GS,198,FALSE)+VLOOKUP($A36,OtherDSG!$A:$AI,35,FALSE)+VLOOKUP($A36,Grants!$A:$BE,52,FALSE),0)</f>
        <v>1908100.110491578</v>
      </c>
      <c r="AG36" s="146">
        <f>_xlfn.IFNA(VLOOKUP($A36,Grants!$A:$BE,53,FALSE),0)</f>
        <v>109080</v>
      </c>
      <c r="AH36" s="146">
        <f>_xlfn.IFNA(VLOOKUP($A36,Grants!$A:$BE,54,FALSE),0)</f>
        <v>24124.86</v>
      </c>
      <c r="AI36" s="146">
        <f>_xlfn.IFNA(VLOOKUP($A36,Grants!$A:$BE,55,FALSE),0)</f>
        <v>0</v>
      </c>
      <c r="AJ36" s="146">
        <f>_xlfn.IFNA(VLOOKUP($A36,Barclays!$A:$T,18,FALSE),0)</f>
        <v>0</v>
      </c>
      <c r="AK36" s="146">
        <f>_xlfn.IFNA(VLOOKUP($A36,'Summary Mar 2026'!$A:$GS,200,FALSE),0)</f>
        <v>0</v>
      </c>
      <c r="AL36" s="146">
        <f>_xlfn.IFNA(VLOOKUP($A36,Barclays!$A:$T,19,FALSE),0)</f>
        <v>0</v>
      </c>
      <c r="AM36" s="146">
        <f>_xlfn.IFNA(VLOOKUP($A36,'Summary Mar 2026'!$A:$GS,201,FALSE),0)</f>
        <v>-2997</v>
      </c>
      <c r="AN36" s="146">
        <f>_xlfn.IFNA(VLOOKUP($A36,'Summary Mar 2026'!$A:$GS,199,FALSE),0)</f>
        <v>0</v>
      </c>
      <c r="AO36" s="146">
        <f>_xlfn.IFNA(VLOOKUP($A36,Grants!$A:$BE,56,FALSE),0)</f>
        <v>9771.25</v>
      </c>
      <c r="AP36" s="65">
        <f t="shared" si="0"/>
        <v>3270528.6981002735</v>
      </c>
    </row>
    <row r="37" spans="1:42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0" t="str">
        <f>VLOOKUP(A37,'Summary Mar 2026'!$A$8:$F$206,6,FALSE)</f>
        <v>Chq Bk</v>
      </c>
      <c r="H37" s="288">
        <f>_xlfn.IFNA(VLOOKUP($A37,ISB!$A:$BY,67,FALSE),0)</f>
        <v>2351803.6248177956</v>
      </c>
      <c r="I37" s="861">
        <f>_xlfn.IFNA(VLOOKUP(A37,'LA Deductions'!A:AN,40,FALSE),0)</f>
        <v>0</v>
      </c>
      <c r="J37" s="221">
        <f>_xlfn.IFNA(VLOOKUP($A37,ISB!$A:$BY,72,FALSE),0)</f>
        <v>-11084</v>
      </c>
      <c r="K37" s="289">
        <f>-_xlfn.IFNA(VLOOKUP($A37,ISB!$A:$BY,76,FALSE),0)</f>
        <v>-30474.82</v>
      </c>
      <c r="M37" s="288">
        <f>VLOOKUP($A37,EY!$A:$AAK,132,FALSE)</f>
        <v>73349.238005540174</v>
      </c>
      <c r="N37" s="288">
        <f>VLOOKUP($A37,EY!$A:$AAD,133,FALSE)</f>
        <v>0</v>
      </c>
      <c r="P37" s="288">
        <f>VLOOKUP($A37,HN!$A:$AM,38,FALSE)</f>
        <v>96000</v>
      </c>
      <c r="Q37" s="288">
        <f>VLOOKUP($A37,HN!$A:$AM,39,FALSE)</f>
        <v>199650.02</v>
      </c>
      <c r="S37" s="362">
        <f>_xlfn.IFNA(VLOOKUP(A37,'Post 16'!A:AR,44,FALSE),0)</f>
        <v>0</v>
      </c>
      <c r="U37" s="362">
        <f>VLOOKUP(A37,'LA Deductions'!A:W,23,FALSE)</f>
        <v>-9471</v>
      </c>
      <c r="W37" s="289">
        <f>VLOOKUP($A37,'Summary Mar 2026'!$A:$AAG,189,FALSE)-SUMIFS($H37:$U37,$H$7:$U$7,W$7)</f>
        <v>0</v>
      </c>
      <c r="X37" s="289">
        <f>VLOOKUP($A37,'Summary Mar 2026'!$A:$GL,190,FALSE)-SUMIFS($H37:$U37,$H$7:$U$7,X$7)</f>
        <v>0</v>
      </c>
      <c r="Y37" s="289">
        <f>VLOOKUP($A37,'Summary Mar 2026'!$A:$GL,191,FALSE)-SUMIFS($H37:$U37,$H$7:$U$7,Y$7)</f>
        <v>0</v>
      </c>
      <c r="Z37" s="289">
        <f>VLOOKUP($A37,'Summary Mar 2026'!$A:$GL,192,FALSE)-SUMIFS($H37:$U37,$H$7:$U$7,Z$7)</f>
        <v>0</v>
      </c>
      <c r="AA37" s="289">
        <f>VLOOKUP($A37,'Summary Mar 2026'!$A:$GL,193,FALSE)-SUMIFS($H37:$U37,$H$7:$U$7,AA$7)</f>
        <v>0</v>
      </c>
      <c r="AB37" s="289">
        <f>VLOOKUP($A37,'Summary Mar 2026'!$A:$GL,194,FALSE)-SUMIFS($H37:$U37,$H$7:$U$7,AB$7)</f>
        <v>0</v>
      </c>
      <c r="AD37" s="146">
        <f>_xlfn.IFNA(VLOOKUP($A37,'Summary Mar 2026'!$A:$GS,196,FALSE)+VLOOKUP($A37,OtherDSG!$A:$AI,34,FALSE)+VLOOKUP($A37,Grants!$A:$BE,50,FALSE),0)</f>
        <v>2594152.8628233359</v>
      </c>
      <c r="AE37" s="146">
        <f>_xlfn.IFNA(VLOOKUP($A37,'Summary Mar 2026'!$A:$GS,197,FALSE)+VLOOKUP($A37,Grants!$A:$BE,51,FALSE),0)</f>
        <v>0</v>
      </c>
      <c r="AF37" s="146">
        <f>_xlfn.IFNA(VLOOKUP($A37,'Summary Mar 2026'!$A:$GS,198,FALSE)+VLOOKUP($A37,OtherDSG!$A:$AI,35,FALSE)+VLOOKUP($A37,Grants!$A:$BE,52,FALSE),0)</f>
        <v>327502.68333333335</v>
      </c>
      <c r="AG37" s="146">
        <f>_xlfn.IFNA(VLOOKUP($A37,Grants!$A:$BE,53,FALSE),0)</f>
        <v>180915</v>
      </c>
      <c r="AH37" s="146">
        <f>_xlfn.IFNA(VLOOKUP($A37,Grants!$A:$BE,54,FALSE),0)</f>
        <v>79253.289999999994</v>
      </c>
      <c r="AI37" s="146">
        <f>_xlfn.IFNA(VLOOKUP($A37,Grants!$A:$BE,55,FALSE),0)</f>
        <v>0</v>
      </c>
      <c r="AJ37" s="146">
        <f>_xlfn.IFNA(VLOOKUP($A37,Barclays!$A:$T,18,FALSE),0)</f>
        <v>16727.141484999996</v>
      </c>
      <c r="AK37" s="146">
        <f>_xlfn.IFNA(VLOOKUP($A37,'Summary Mar 2026'!$A:$GS,200,FALSE),0)</f>
        <v>-30474.819999999996</v>
      </c>
      <c r="AL37" s="146">
        <f>_xlfn.IFNA(VLOOKUP($A37,Barclays!$A:$T,19,FALSE),0)</f>
        <v>-93.75</v>
      </c>
      <c r="AM37" s="146">
        <f>_xlfn.IFNA(VLOOKUP($A37,'Summary Mar 2026'!$A:$GS,201,FALSE),0)</f>
        <v>-9471</v>
      </c>
      <c r="AN37" s="146">
        <f>_xlfn.IFNA(VLOOKUP($A37,'Summary Mar 2026'!$A:$GS,199,FALSE),0)</f>
        <v>-11083.999999999998</v>
      </c>
      <c r="AO37" s="146">
        <f>_xlfn.IFNA(VLOOKUP($A37,Grants!$A:$BE,56,FALSE),0)</f>
        <v>9024.25</v>
      </c>
      <c r="AP37" s="65">
        <f t="shared" si="0"/>
        <v>3156451.6576416693</v>
      </c>
    </row>
    <row r="38" spans="1:42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0" t="str">
        <f>VLOOKUP(A38,'Summary Mar 2026'!$A$8:$F$206,6,FALSE)</f>
        <v>Chq Bk</v>
      </c>
      <c r="H38" s="288">
        <f>_xlfn.IFNA(VLOOKUP($A38,ISB!$A:$BY,67,FALSE),0)</f>
        <v>2093965.63</v>
      </c>
      <c r="I38" s="861">
        <f>_xlfn.IFNA(VLOOKUP(A38,'LA Deductions'!A:AN,40,FALSE),0)</f>
        <v>0</v>
      </c>
      <c r="J38" s="221">
        <f>_xlfn.IFNA(VLOOKUP($A38,ISB!$A:$BY,72,FALSE),0)</f>
        <v>-10927.519999999999</v>
      </c>
      <c r="K38" s="289">
        <f>-_xlfn.IFNA(VLOOKUP($A38,ISB!$A:$BY,76,FALSE),0)</f>
        <v>-17820.63</v>
      </c>
      <c r="M38" s="288">
        <f>VLOOKUP($A38,EY!$A:$AAK,132,FALSE)</f>
        <v>141742.57265927977</v>
      </c>
      <c r="N38" s="288">
        <f>VLOOKUP($A38,EY!$A:$AAD,133,FALSE)</f>
        <v>74.832132963988926</v>
      </c>
      <c r="P38" s="288">
        <f>VLOOKUP($A38,HN!$A:$AM,38,FALSE)</f>
        <v>0</v>
      </c>
      <c r="Q38" s="288">
        <f>VLOOKUP($A38,HN!$A:$AM,39,FALSE)</f>
        <v>0</v>
      </c>
      <c r="S38" s="362">
        <f>_xlfn.IFNA(VLOOKUP(A38,'Post 16'!A:AR,44,FALSE),0)</f>
        <v>0</v>
      </c>
      <c r="U38" s="362">
        <f>VLOOKUP(A38,'LA Deductions'!A:W,23,FALSE)</f>
        <v>-9471</v>
      </c>
      <c r="W38" s="289">
        <f>VLOOKUP($A38,'Summary Mar 2026'!$A:$AAG,189,FALSE)-SUMIFS($H38:$U38,$H$7:$U$7,W$7)</f>
        <v>0</v>
      </c>
      <c r="X38" s="289">
        <f>VLOOKUP($A38,'Summary Mar 2026'!$A:$GL,190,FALSE)-SUMIFS($H38:$U38,$H$7:$U$7,X$7)</f>
        <v>0</v>
      </c>
      <c r="Y38" s="289">
        <f>VLOOKUP($A38,'Summary Mar 2026'!$A:$GL,191,FALSE)-SUMIFS($H38:$U38,$H$7:$U$7,Y$7)</f>
        <v>0</v>
      </c>
      <c r="Z38" s="289">
        <f>VLOOKUP($A38,'Summary Mar 2026'!$A:$GL,192,FALSE)-SUMIFS($H38:$U38,$H$7:$U$7,Z$7)</f>
        <v>0</v>
      </c>
      <c r="AA38" s="289">
        <f>VLOOKUP($A38,'Summary Mar 2026'!$A:$GL,193,FALSE)-SUMIFS($H38:$U38,$H$7:$U$7,AA$7)</f>
        <v>0</v>
      </c>
      <c r="AB38" s="289">
        <f>VLOOKUP($A38,'Summary Mar 2026'!$A:$GL,194,FALSE)-SUMIFS($H38:$U38,$H$7:$U$7,AB$7)</f>
        <v>0</v>
      </c>
      <c r="AD38" s="146">
        <f>_xlfn.IFNA(VLOOKUP($A38,'Summary Mar 2026'!$A:$GS,196,FALSE)+VLOOKUP($A38,OtherDSG!$A:$AI,34,FALSE)+VLOOKUP($A38,Grants!$A:$BE,50,FALSE),0)</f>
        <v>2301155.2026592796</v>
      </c>
      <c r="AE38" s="146">
        <f>_xlfn.IFNA(VLOOKUP($A38,'Summary Mar 2026'!$A:$GS,197,FALSE)+VLOOKUP($A38,Grants!$A:$BE,51,FALSE),0)</f>
        <v>0</v>
      </c>
      <c r="AF38" s="146">
        <f>_xlfn.IFNA(VLOOKUP($A38,'Summary Mar 2026'!$A:$GS,198,FALSE)+VLOOKUP($A38,OtherDSG!$A:$AI,35,FALSE)+VLOOKUP($A38,Grants!$A:$BE,52,FALSE),0)</f>
        <v>134733.49213296399</v>
      </c>
      <c r="AG38" s="146">
        <f>_xlfn.IFNA(VLOOKUP($A38,Grants!$A:$BE,53,FALSE),0)</f>
        <v>126460</v>
      </c>
      <c r="AH38" s="146">
        <f>_xlfn.IFNA(VLOOKUP($A38,Grants!$A:$BE,54,FALSE),0)</f>
        <v>97449</v>
      </c>
      <c r="AI38" s="146">
        <f>_xlfn.IFNA(VLOOKUP($A38,Grants!$A:$BE,55,FALSE),0)</f>
        <v>0</v>
      </c>
      <c r="AJ38" s="146">
        <f>_xlfn.IFNA(VLOOKUP($A38,Barclays!$A:$T,18,FALSE),0)</f>
        <v>0</v>
      </c>
      <c r="AK38" s="146">
        <f>_xlfn.IFNA(VLOOKUP($A38,'Summary Mar 2026'!$A:$GS,200,FALSE),0)</f>
        <v>-17820.63</v>
      </c>
      <c r="AL38" s="146">
        <f>_xlfn.IFNA(VLOOKUP($A38,Barclays!$A:$T,19,FALSE),0)</f>
        <v>0</v>
      </c>
      <c r="AM38" s="146">
        <f>_xlfn.IFNA(VLOOKUP($A38,'Summary Mar 2026'!$A:$GS,201,FALSE),0)</f>
        <v>-9471</v>
      </c>
      <c r="AN38" s="146">
        <f>_xlfn.IFNA(VLOOKUP($A38,'Summary Mar 2026'!$A:$GS,199,FALSE),0)</f>
        <v>-10927.520000000002</v>
      </c>
      <c r="AO38" s="146">
        <f>_xlfn.IFNA(VLOOKUP($A38,Grants!$A:$BE,56,FALSE),0)</f>
        <v>9006.25</v>
      </c>
      <c r="AP38" s="65">
        <f t="shared" si="0"/>
        <v>2630584.7947922437</v>
      </c>
    </row>
    <row r="39" spans="1:42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0" t="str">
        <f>VLOOKUP(A39,'Summary Mar 2026'!$A$8:$F$206,6,FALSE)</f>
        <v>Chq Bk</v>
      </c>
      <c r="H39" s="288">
        <f>_xlfn.IFNA(VLOOKUP($A39,ISB!$A:$BY,67,FALSE),0)</f>
        <v>1331501.6667423644</v>
      </c>
      <c r="I39" s="861">
        <f>_xlfn.IFNA(VLOOKUP(A39,'LA Deductions'!A:AN,40,FALSE),0)</f>
        <v>0</v>
      </c>
      <c r="J39" s="221">
        <f>_xlfn.IFNA(VLOOKUP($A39,ISB!$A:$BY,72,FALSE),0)</f>
        <v>-5189.92</v>
      </c>
      <c r="K39" s="289">
        <f>-_xlfn.IFNA(VLOOKUP($A39,ISB!$A:$BY,76,FALSE),0)</f>
        <v>-20015.919999999998</v>
      </c>
      <c r="M39" s="288">
        <f>VLOOKUP($A39,EY!$A:$AAK,132,FALSE)</f>
        <v>50760.757318559561</v>
      </c>
      <c r="N39" s="288">
        <f>VLOOKUP($A39,EY!$A:$AAD,133,FALSE)</f>
        <v>0</v>
      </c>
      <c r="P39" s="288">
        <f>VLOOKUP($A39,HN!$A:$AM,38,FALSE)</f>
        <v>0</v>
      </c>
      <c r="Q39" s="288">
        <f>VLOOKUP($A39,HN!$A:$AM,39,FALSE)</f>
        <v>0</v>
      </c>
      <c r="S39" s="362">
        <f>_xlfn.IFNA(VLOOKUP(A39,'Post 16'!A:AR,44,FALSE),0)</f>
        <v>0</v>
      </c>
      <c r="U39" s="362">
        <f>VLOOKUP(A39,'LA Deductions'!A:W,23,FALSE)</f>
        <v>-5139.75</v>
      </c>
      <c r="W39" s="289">
        <f>VLOOKUP($A39,'Summary Mar 2026'!$A:$AAG,189,FALSE)-SUMIFS($H39:$U39,$H$7:$U$7,W$7)</f>
        <v>0</v>
      </c>
      <c r="X39" s="289">
        <f>VLOOKUP($A39,'Summary Mar 2026'!$A:$GL,190,FALSE)-SUMIFS($H39:$U39,$H$7:$U$7,X$7)</f>
        <v>0</v>
      </c>
      <c r="Y39" s="289">
        <f>VLOOKUP($A39,'Summary Mar 2026'!$A:$GL,191,FALSE)-SUMIFS($H39:$U39,$H$7:$U$7,Y$7)</f>
        <v>0</v>
      </c>
      <c r="Z39" s="289">
        <f>VLOOKUP($A39,'Summary Mar 2026'!$A:$GL,192,FALSE)-SUMIFS($H39:$U39,$H$7:$U$7,Z$7)</f>
        <v>0</v>
      </c>
      <c r="AA39" s="289">
        <f>VLOOKUP($A39,'Summary Mar 2026'!$A:$GL,193,FALSE)-SUMIFS($H39:$U39,$H$7:$U$7,AA$7)</f>
        <v>0</v>
      </c>
      <c r="AB39" s="289">
        <f>VLOOKUP($A39,'Summary Mar 2026'!$A:$GL,194,FALSE)-SUMIFS($H39:$U39,$H$7:$U$7,AB$7)</f>
        <v>0</v>
      </c>
      <c r="AD39" s="146">
        <f>_xlfn.IFNA(VLOOKUP($A39,'Summary Mar 2026'!$A:$GS,196,FALSE)+VLOOKUP($A39,OtherDSG!$A:$AI,34,FALSE)+VLOOKUP($A39,Grants!$A:$BE,50,FALSE),0)</f>
        <v>1422881.8240609237</v>
      </c>
      <c r="AE39" s="146">
        <f>_xlfn.IFNA(VLOOKUP($A39,'Summary Mar 2026'!$A:$GS,197,FALSE)+VLOOKUP($A39,Grants!$A:$BE,51,FALSE),0)</f>
        <v>0</v>
      </c>
      <c r="AF39" s="146">
        <f>_xlfn.IFNA(VLOOKUP($A39,'Summary Mar 2026'!$A:$GS,198,FALSE)+VLOOKUP($A39,OtherDSG!$A:$AI,35,FALSE)+VLOOKUP($A39,Grants!$A:$BE,52,FALSE),0)</f>
        <v>69373.003333333327</v>
      </c>
      <c r="AG39" s="146">
        <f>_xlfn.IFNA(VLOOKUP($A39,Grants!$A:$BE,53,FALSE),0)</f>
        <v>162105</v>
      </c>
      <c r="AH39" s="146">
        <f>_xlfn.IFNA(VLOOKUP($A39,Grants!$A:$BE,54,FALSE),0)</f>
        <v>34312.639999999999</v>
      </c>
      <c r="AI39" s="146">
        <f>_xlfn.IFNA(VLOOKUP($A39,Grants!$A:$BE,55,FALSE),0)</f>
        <v>0</v>
      </c>
      <c r="AJ39" s="146">
        <f>_xlfn.IFNA(VLOOKUP($A39,Barclays!$A:$T,18,FALSE),0)</f>
        <v>0</v>
      </c>
      <c r="AK39" s="146">
        <f>_xlfn.IFNA(VLOOKUP($A39,'Summary Mar 2026'!$A:$GS,200,FALSE),0)</f>
        <v>-20015.919999999998</v>
      </c>
      <c r="AL39" s="146">
        <f>_xlfn.IFNA(VLOOKUP($A39,Barclays!$A:$T,19,FALSE),0)</f>
        <v>0</v>
      </c>
      <c r="AM39" s="146">
        <f>_xlfn.IFNA(VLOOKUP($A39,'Summary Mar 2026'!$A:$GS,201,FALSE),0)</f>
        <v>-5139.75</v>
      </c>
      <c r="AN39" s="146">
        <f>_xlfn.IFNA(VLOOKUP($A39,'Summary Mar 2026'!$A:$GS,199,FALSE),0)</f>
        <v>-5189.92</v>
      </c>
      <c r="AO39" s="146">
        <f>_xlfn.IFNA(VLOOKUP($A39,Grants!$A:$BE,56,FALSE),0)</f>
        <v>6440.8</v>
      </c>
      <c r="AP39" s="65">
        <f t="shared" si="0"/>
        <v>1664767.6773942572</v>
      </c>
    </row>
    <row r="40" spans="1:42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0" t="str">
        <f>VLOOKUP(A40,'Summary Mar 2026'!$A$8:$F$206,6,FALSE)</f>
        <v>Chq Bk</v>
      </c>
      <c r="H40" s="288">
        <f>_xlfn.IFNA(VLOOKUP($A40,ISB!$A:$BY,67,FALSE),0)</f>
        <v>2107043.2137632575</v>
      </c>
      <c r="I40" s="861">
        <f>_xlfn.IFNA(VLOOKUP(A40,'LA Deductions'!A:AN,40,FALSE),0)</f>
        <v>0</v>
      </c>
      <c r="J40" s="221">
        <f>_xlfn.IFNA(VLOOKUP($A40,ISB!$A:$BY,72,FALSE),0)</f>
        <v>-9440.9599999999991</v>
      </c>
      <c r="K40" s="289">
        <f>-_xlfn.IFNA(VLOOKUP($A40,ISB!$A:$BY,76,FALSE),0)</f>
        <v>-5273.47</v>
      </c>
      <c r="M40" s="288">
        <f>VLOOKUP($A40,EY!$A:$AAK,132,FALSE)</f>
        <v>156141.48722991691</v>
      </c>
      <c r="N40" s="288">
        <f>VLOOKUP($A40,EY!$A:$AAD,133,FALSE)</f>
        <v>0</v>
      </c>
      <c r="P40" s="288">
        <f>VLOOKUP($A40,HN!$A:$AM,38,FALSE)</f>
        <v>0</v>
      </c>
      <c r="Q40" s="288">
        <f>VLOOKUP($A40,HN!$A:$AM,39,FALSE)</f>
        <v>0</v>
      </c>
      <c r="S40" s="362">
        <f>_xlfn.IFNA(VLOOKUP(A40,'Post 16'!A:AR,44,FALSE),0)</f>
        <v>0</v>
      </c>
      <c r="U40" s="362">
        <f>VLOOKUP(A40,'LA Deductions'!A:W,23,FALSE)</f>
        <v>-9471</v>
      </c>
      <c r="W40" s="289">
        <f>VLOOKUP($A40,'Summary Mar 2026'!$A:$AAG,189,FALSE)-SUMIFS($H40:$U40,$H$7:$U$7,W$7)</f>
        <v>0</v>
      </c>
      <c r="X40" s="289">
        <f>VLOOKUP($A40,'Summary Mar 2026'!$A:$GL,190,FALSE)-SUMIFS($H40:$U40,$H$7:$U$7,X$7)</f>
        <v>0</v>
      </c>
      <c r="Y40" s="289">
        <f>VLOOKUP($A40,'Summary Mar 2026'!$A:$GL,191,FALSE)-SUMIFS($H40:$U40,$H$7:$U$7,Y$7)</f>
        <v>0</v>
      </c>
      <c r="Z40" s="289">
        <f>VLOOKUP($A40,'Summary Mar 2026'!$A:$GL,192,FALSE)-SUMIFS($H40:$U40,$H$7:$U$7,Z$7)</f>
        <v>0</v>
      </c>
      <c r="AA40" s="289">
        <f>VLOOKUP($A40,'Summary Mar 2026'!$A:$GL,193,FALSE)-SUMIFS($H40:$U40,$H$7:$U$7,AA$7)</f>
        <v>0</v>
      </c>
      <c r="AB40" s="289">
        <f>VLOOKUP($A40,'Summary Mar 2026'!$A:$GL,194,FALSE)-SUMIFS($H40:$U40,$H$7:$U$7,AB$7)</f>
        <v>0</v>
      </c>
      <c r="AD40" s="146">
        <f>_xlfn.IFNA(VLOOKUP($A40,'Summary Mar 2026'!$A:$GS,196,FALSE)+VLOOKUP($A40,OtherDSG!$A:$AI,34,FALSE)+VLOOKUP($A40,Grants!$A:$BE,50,FALSE),0)</f>
        <v>2330917.7009931747</v>
      </c>
      <c r="AE40" s="146">
        <f>_xlfn.IFNA(VLOOKUP($A40,'Summary Mar 2026'!$A:$GS,197,FALSE)+VLOOKUP($A40,Grants!$A:$BE,51,FALSE),0)</f>
        <v>0</v>
      </c>
      <c r="AF40" s="146">
        <f>_xlfn.IFNA(VLOOKUP($A40,'Summary Mar 2026'!$A:$GS,198,FALSE)+VLOOKUP($A40,OtherDSG!$A:$AI,35,FALSE)+VLOOKUP($A40,Grants!$A:$BE,52,FALSE),0)</f>
        <v>81165.22</v>
      </c>
      <c r="AG40" s="146">
        <f>_xlfn.IFNA(VLOOKUP($A40,Grants!$A:$BE,53,FALSE),0)</f>
        <v>246945</v>
      </c>
      <c r="AH40" s="146">
        <f>_xlfn.IFNA(VLOOKUP($A40,Grants!$A:$BE,54,FALSE),0)</f>
        <v>59658</v>
      </c>
      <c r="AI40" s="146">
        <f>_xlfn.IFNA(VLOOKUP($A40,Grants!$A:$BE,55,FALSE),0)</f>
        <v>0</v>
      </c>
      <c r="AJ40" s="146">
        <f>_xlfn.IFNA(VLOOKUP($A40,Barclays!$A:$T,18,FALSE),0)</f>
        <v>0</v>
      </c>
      <c r="AK40" s="146">
        <f>_xlfn.IFNA(VLOOKUP($A40,'Summary Mar 2026'!$A:$GS,200,FALSE),0)</f>
        <v>-5273.47</v>
      </c>
      <c r="AL40" s="146">
        <f>_xlfn.IFNA(VLOOKUP($A40,Barclays!$A:$T,19,FALSE),0)</f>
        <v>0</v>
      </c>
      <c r="AM40" s="146">
        <f>_xlfn.IFNA(VLOOKUP($A40,'Summary Mar 2026'!$A:$GS,201,FALSE),0)</f>
        <v>-9471</v>
      </c>
      <c r="AN40" s="146">
        <f>_xlfn.IFNA(VLOOKUP($A40,'Summary Mar 2026'!$A:$GS,199,FALSE),0)</f>
        <v>-9440.9599999999991</v>
      </c>
      <c r="AO40" s="146">
        <f>_xlfn.IFNA(VLOOKUP($A40,Grants!$A:$BE,56,FALSE),0)</f>
        <v>0</v>
      </c>
      <c r="AP40" s="65">
        <f t="shared" si="0"/>
        <v>2694500.4909931747</v>
      </c>
    </row>
    <row r="41" spans="1:42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0" t="str">
        <f>VLOOKUP(A41,'Summary Mar 2026'!$A$8:$F$206,6,FALSE)</f>
        <v>Chq Bk</v>
      </c>
      <c r="H41" s="288">
        <f>_xlfn.IFNA(VLOOKUP($A41,ISB!$A:$BY,67,FALSE),0)</f>
        <v>0</v>
      </c>
      <c r="I41" s="861">
        <f>_xlfn.IFNA(VLOOKUP(A41,'LA Deductions'!A:AN,40,FALSE),0)</f>
        <v>0</v>
      </c>
      <c r="J41" s="221">
        <f>_xlfn.IFNA(VLOOKUP($A41,ISB!$A:$BY,72,FALSE),0)</f>
        <v>0</v>
      </c>
      <c r="K41" s="289">
        <f>-_xlfn.IFNA(VLOOKUP($A41,ISB!$A:$BY,76,FALSE),0)</f>
        <v>0</v>
      </c>
      <c r="M41" s="288">
        <f>VLOOKUP($A41,EY!$A:$AAK,132,FALSE)</f>
        <v>0</v>
      </c>
      <c r="N41" s="288">
        <f>VLOOKUP($A41,EY!$A:$AAD,133,FALSE)</f>
        <v>0</v>
      </c>
      <c r="P41" s="288">
        <f>VLOOKUP($A41,HN!$A:$AM,38,FALSE)</f>
        <v>6600000</v>
      </c>
      <c r="Q41" s="288">
        <f>VLOOKUP($A41,HN!$A:$AM,39,FALSE)</f>
        <v>5834587.6799999997</v>
      </c>
      <c r="S41" s="362">
        <f>_xlfn.IFNA(VLOOKUP(A41,'Post 16'!A:AR,44,FALSE),0)</f>
        <v>0</v>
      </c>
      <c r="U41" s="362">
        <f>VLOOKUP(A41,'LA Deductions'!A:W,23,FALSE)</f>
        <v>-18745.650000000001</v>
      </c>
      <c r="W41" s="289">
        <f>VLOOKUP($A41,'Summary Mar 2026'!$A:$AAG,189,FALSE)-SUMIFS($H41:$U41,$H$7:$U$7,W$7)</f>
        <v>0</v>
      </c>
      <c r="X41" s="289">
        <f>VLOOKUP($A41,'Summary Mar 2026'!$A:$GL,190,FALSE)-SUMIFS($H41:$U41,$H$7:$U$7,X$7)</f>
        <v>0</v>
      </c>
      <c r="Y41" s="289">
        <f>VLOOKUP($A41,'Summary Mar 2026'!$A:$GL,191,FALSE)-SUMIFS($H41:$U41,$H$7:$U$7,Y$7)</f>
        <v>0</v>
      </c>
      <c r="Z41" s="289">
        <f>VLOOKUP($A41,'Summary Mar 2026'!$A:$GL,192,FALSE)-SUMIFS($H41:$U41,$H$7:$U$7,Z$7)</f>
        <v>0</v>
      </c>
      <c r="AA41" s="289">
        <f>VLOOKUP($A41,'Summary Mar 2026'!$A:$GL,193,FALSE)-SUMIFS($H41:$U41,$H$7:$U$7,AA$7)</f>
        <v>0</v>
      </c>
      <c r="AB41" s="289">
        <f>VLOOKUP($A41,'Summary Mar 2026'!$A:$GL,194,FALSE)-SUMIFS($H41:$U41,$H$7:$U$7,AB$7)</f>
        <v>0</v>
      </c>
      <c r="AD41" s="146">
        <f>_xlfn.IFNA(VLOOKUP($A41,'Summary Mar 2026'!$A:$GS,196,FALSE)+VLOOKUP($A41,OtherDSG!$A:$AI,34,FALSE)+VLOOKUP($A41,Grants!$A:$BE,50,FALSE),0)</f>
        <v>6618287.3700000001</v>
      </c>
      <c r="AE41" s="146">
        <f>_xlfn.IFNA(VLOOKUP($A41,'Summary Mar 2026'!$A:$GS,197,FALSE)+VLOOKUP($A41,Grants!$A:$BE,51,FALSE),0)</f>
        <v>0</v>
      </c>
      <c r="AF41" s="146">
        <f>_xlfn.IFNA(VLOOKUP($A41,'Summary Mar 2026'!$A:$GS,198,FALSE)+VLOOKUP($A41,OtherDSG!$A:$AI,35,FALSE)+VLOOKUP($A41,Grants!$A:$BE,52,FALSE),0)</f>
        <v>7668427.9824222354</v>
      </c>
      <c r="AG41" s="146">
        <f>_xlfn.IFNA(VLOOKUP($A41,Grants!$A:$BE,53,FALSE),0)</f>
        <v>453700</v>
      </c>
      <c r="AH41" s="146">
        <f>_xlfn.IFNA(VLOOKUP($A41,Grants!$A:$BE,54,FALSE),0)</f>
        <v>29546.58</v>
      </c>
      <c r="AI41" s="146">
        <f>_xlfn.IFNA(VLOOKUP($A41,Grants!$A:$BE,55,FALSE),0)</f>
        <v>0</v>
      </c>
      <c r="AJ41" s="146">
        <f>_xlfn.IFNA(VLOOKUP($A41,Barclays!$A:$T,18,FALSE),0)</f>
        <v>60522.369134998742</v>
      </c>
      <c r="AK41" s="146">
        <f>_xlfn.IFNA(VLOOKUP($A41,'Summary Mar 2026'!$A:$GS,200,FALSE),0)</f>
        <v>0</v>
      </c>
      <c r="AL41" s="146">
        <f>_xlfn.IFNA(VLOOKUP($A41,Barclays!$A:$T,19,FALSE),0)</f>
        <v>-171.02</v>
      </c>
      <c r="AM41" s="146">
        <f>_xlfn.IFNA(VLOOKUP($A41,'Summary Mar 2026'!$A:$GS,201,FALSE),0)</f>
        <v>-18745.650000000001</v>
      </c>
      <c r="AN41" s="146">
        <f>_xlfn.IFNA(VLOOKUP($A41,'Summary Mar 2026'!$A:$GS,199,FALSE),0)</f>
        <v>0</v>
      </c>
      <c r="AO41" s="146">
        <f>_xlfn.IFNA(VLOOKUP($A41,Grants!$A:$BE,56,FALSE),0)</f>
        <v>22832.5</v>
      </c>
      <c r="AP41" s="65">
        <f t="shared" si="0"/>
        <v>14834400.131557234</v>
      </c>
    </row>
    <row r="42" spans="1:42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0" t="str">
        <f>VLOOKUP(A42,'Summary Mar 2026'!$A$8:$F$206,6,FALSE)</f>
        <v>Chq Bk</v>
      </c>
      <c r="H42" s="288">
        <f>_xlfn.IFNA(VLOOKUP($A42,ISB!$A:$BY,67,FALSE),0)</f>
        <v>5578717.3646148462</v>
      </c>
      <c r="I42" s="861">
        <f>_xlfn.IFNA(VLOOKUP(A42,'LA Deductions'!A:AN,40,FALSE),0)</f>
        <v>0</v>
      </c>
      <c r="J42" s="221">
        <f>_xlfn.IFNA(VLOOKUP($A42,ISB!$A:$BY,72,FALSE),0)</f>
        <v>-21150.879999999997</v>
      </c>
      <c r="K42" s="289">
        <f>-_xlfn.IFNA(VLOOKUP($A42,ISB!$A:$BY,76,FALSE),0)</f>
        <v>-32329.8</v>
      </c>
      <c r="M42" s="288">
        <f>VLOOKUP($A42,EY!$A:$AAK,132,FALSE)</f>
        <v>249215.0169529086</v>
      </c>
      <c r="N42" s="288">
        <f>VLOOKUP($A42,EY!$A:$AAD,133,FALSE)</f>
        <v>4368</v>
      </c>
      <c r="P42" s="288">
        <f>VLOOKUP($A42,HN!$A:$AM,38,FALSE)</f>
        <v>0</v>
      </c>
      <c r="Q42" s="288">
        <f>VLOOKUP($A42,HN!$A:$AM,39,FALSE)</f>
        <v>0</v>
      </c>
      <c r="S42" s="362">
        <f>_xlfn.IFNA(VLOOKUP(A42,'Post 16'!A:AR,44,FALSE),0)</f>
        <v>0</v>
      </c>
      <c r="U42" s="362">
        <f>VLOOKUP(A42,'LA Deductions'!A:W,23,FALSE)</f>
        <v>-22801.5</v>
      </c>
      <c r="W42" s="289">
        <f>VLOOKUP($A42,'Summary Mar 2026'!$A:$AAG,189,FALSE)-SUMIFS($H42:$U42,$H$7:$U$7,W$7)</f>
        <v>0</v>
      </c>
      <c r="X42" s="289">
        <f>VLOOKUP($A42,'Summary Mar 2026'!$A:$GL,190,FALSE)-SUMIFS($H42:$U42,$H$7:$U$7,X$7)</f>
        <v>0</v>
      </c>
      <c r="Y42" s="289">
        <f>VLOOKUP($A42,'Summary Mar 2026'!$A:$GL,191,FALSE)-SUMIFS($H42:$U42,$H$7:$U$7,Y$7)</f>
        <v>0</v>
      </c>
      <c r="Z42" s="289">
        <f>VLOOKUP($A42,'Summary Mar 2026'!$A:$GL,192,FALSE)-SUMIFS($H42:$U42,$H$7:$U$7,Z$7)</f>
        <v>0</v>
      </c>
      <c r="AA42" s="289">
        <f>VLOOKUP($A42,'Summary Mar 2026'!$A:$GL,193,FALSE)-SUMIFS($H42:$U42,$H$7:$U$7,AA$7)</f>
        <v>0</v>
      </c>
      <c r="AB42" s="289">
        <f>VLOOKUP($A42,'Summary Mar 2026'!$A:$GL,194,FALSE)-SUMIFS($H42:$U42,$H$7:$U$7,AB$7)</f>
        <v>0</v>
      </c>
      <c r="AD42" s="146">
        <f>_xlfn.IFNA(VLOOKUP($A42,'Summary Mar 2026'!$A:$GS,196,FALSE)+VLOOKUP($A42,OtherDSG!$A:$AI,34,FALSE)+VLOOKUP($A42,Grants!$A:$BE,50,FALSE),0)</f>
        <v>5982522.3815677557</v>
      </c>
      <c r="AE42" s="146">
        <f>_xlfn.IFNA(VLOOKUP($A42,'Summary Mar 2026'!$A:$GS,197,FALSE)+VLOOKUP($A42,Grants!$A:$BE,51,FALSE),0)</f>
        <v>0</v>
      </c>
      <c r="AF42" s="146">
        <f>_xlfn.IFNA(VLOOKUP($A42,'Summary Mar 2026'!$A:$GS,198,FALSE)+VLOOKUP($A42,OtherDSG!$A:$AI,35,FALSE)+VLOOKUP($A42,Grants!$A:$BE,52,FALSE),0)</f>
        <v>372778.87666666665</v>
      </c>
      <c r="AG42" s="146">
        <f>_xlfn.IFNA(VLOOKUP($A42,Grants!$A:$BE,53,FALSE),0)</f>
        <v>674890</v>
      </c>
      <c r="AH42" s="146">
        <f>_xlfn.IFNA(VLOOKUP($A42,Grants!$A:$BE,54,FALSE),0)</f>
        <v>100836.29</v>
      </c>
      <c r="AI42" s="146">
        <f>_xlfn.IFNA(VLOOKUP($A42,Grants!$A:$BE,55,FALSE),0)</f>
        <v>0</v>
      </c>
      <c r="AJ42" s="146">
        <f>_xlfn.IFNA(VLOOKUP($A42,Barclays!$A:$T,18,FALSE),0)</f>
        <v>35741.657914999923</v>
      </c>
      <c r="AK42" s="146">
        <f>_xlfn.IFNA(VLOOKUP($A42,'Summary Mar 2026'!$A:$GS,200,FALSE),0)</f>
        <v>-32329.800000000007</v>
      </c>
      <c r="AL42" s="146">
        <f>_xlfn.IFNA(VLOOKUP($A42,Barclays!$A:$T,19,FALSE),0)</f>
        <v>-174.08</v>
      </c>
      <c r="AM42" s="146">
        <f>_xlfn.IFNA(VLOOKUP($A42,'Summary Mar 2026'!$A:$GS,201,FALSE),0)</f>
        <v>-22801.5</v>
      </c>
      <c r="AN42" s="146">
        <f>_xlfn.IFNA(VLOOKUP($A42,'Summary Mar 2026'!$A:$GS,199,FALSE),0)</f>
        <v>-21150.880000000001</v>
      </c>
      <c r="AO42" s="146">
        <f>_xlfn.IFNA(VLOOKUP($A42,Grants!$A:$BE,56,FALSE),0)</f>
        <v>13688.5</v>
      </c>
      <c r="AP42" s="65">
        <f t="shared" si="0"/>
        <v>7104001.4461494228</v>
      </c>
    </row>
    <row r="43" spans="1:42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0" t="str">
        <f>VLOOKUP(A43,'Summary Mar 2026'!$A$8:$F$206,6,FALSE)</f>
        <v>Chq Bk</v>
      </c>
      <c r="H43" s="288">
        <f>_xlfn.IFNA(VLOOKUP($A43,ISB!$A:$BY,67,FALSE),0)</f>
        <v>2253344.462859611</v>
      </c>
      <c r="I43" s="861">
        <f>_xlfn.IFNA(VLOOKUP(A43,'LA Deductions'!A:AN,40,FALSE),0)</f>
        <v>0</v>
      </c>
      <c r="J43" s="221">
        <f>_xlfn.IFNA(VLOOKUP($A43,ISB!$A:$BY,72,FALSE),0)</f>
        <v>-10771.039999999999</v>
      </c>
      <c r="K43" s="289">
        <f>-_xlfn.IFNA(VLOOKUP($A43,ISB!$A:$BY,76,FALSE),0)</f>
        <v>-18982.84</v>
      </c>
      <c r="M43" s="288">
        <f>VLOOKUP($A43,EY!$A:$AAK,132,FALSE)</f>
        <v>0</v>
      </c>
      <c r="N43" s="288">
        <f>VLOOKUP($A43,EY!$A:$AAD,133,FALSE)</f>
        <v>0</v>
      </c>
      <c r="P43" s="288">
        <f>VLOOKUP($A43,HN!$A:$AM,38,FALSE)</f>
        <v>0</v>
      </c>
      <c r="Q43" s="288">
        <f>VLOOKUP($A43,HN!$A:$AM,39,FALSE)</f>
        <v>0</v>
      </c>
      <c r="S43" s="362">
        <f>_xlfn.IFNA(VLOOKUP(A43,'Post 16'!A:AR,44,FALSE),0)</f>
        <v>0</v>
      </c>
      <c r="U43" s="362">
        <f>VLOOKUP(A43,'LA Deductions'!A:W,23,FALSE)</f>
        <v>-9471</v>
      </c>
      <c r="W43" s="289">
        <f>VLOOKUP($A43,'Summary Mar 2026'!$A:$AAG,189,FALSE)-SUMIFS($H43:$U43,$H$7:$U$7,W$7)</f>
        <v>0</v>
      </c>
      <c r="X43" s="289">
        <f>VLOOKUP($A43,'Summary Mar 2026'!$A:$GL,190,FALSE)-SUMIFS($H43:$U43,$H$7:$U$7,X$7)</f>
        <v>0</v>
      </c>
      <c r="Y43" s="289">
        <f>VLOOKUP($A43,'Summary Mar 2026'!$A:$GL,191,FALSE)-SUMIFS($H43:$U43,$H$7:$U$7,Y$7)</f>
        <v>0</v>
      </c>
      <c r="Z43" s="289">
        <f>VLOOKUP($A43,'Summary Mar 2026'!$A:$GL,192,FALSE)-SUMIFS($H43:$U43,$H$7:$U$7,Z$7)</f>
        <v>0</v>
      </c>
      <c r="AA43" s="289">
        <f>VLOOKUP($A43,'Summary Mar 2026'!$A:$GL,193,FALSE)-SUMIFS($H43:$U43,$H$7:$U$7,AA$7)</f>
        <v>0</v>
      </c>
      <c r="AB43" s="289">
        <f>VLOOKUP($A43,'Summary Mar 2026'!$A:$GL,194,FALSE)-SUMIFS($H43:$U43,$H$7:$U$7,AB$7)</f>
        <v>0</v>
      </c>
      <c r="AD43" s="146">
        <f>_xlfn.IFNA(VLOOKUP($A43,'Summary Mar 2026'!$A:$GS,196,FALSE)+VLOOKUP($A43,OtherDSG!$A:$AI,34,FALSE)+VLOOKUP($A43,Grants!$A:$BE,50,FALSE),0)</f>
        <v>2319167.4628596106</v>
      </c>
      <c r="AE43" s="146">
        <f>_xlfn.IFNA(VLOOKUP($A43,'Summary Mar 2026'!$A:$GS,197,FALSE)+VLOOKUP($A43,Grants!$A:$BE,51,FALSE),0)</f>
        <v>0</v>
      </c>
      <c r="AF43" s="146">
        <f>_xlfn.IFNA(VLOOKUP($A43,'Summary Mar 2026'!$A:$GS,198,FALSE)+VLOOKUP($A43,OtherDSG!$A:$AI,35,FALSE)+VLOOKUP($A43,Grants!$A:$BE,52,FALSE),0)</f>
        <v>131572.33333333331</v>
      </c>
      <c r="AG43" s="146">
        <f>_xlfn.IFNA(VLOOKUP($A43,Grants!$A:$BE,53,FALSE),0)</f>
        <v>200695</v>
      </c>
      <c r="AH43" s="146">
        <f>_xlfn.IFNA(VLOOKUP($A43,Grants!$A:$BE,54,FALSE),0)</f>
        <v>78717</v>
      </c>
      <c r="AI43" s="146">
        <f>_xlfn.IFNA(VLOOKUP($A43,Grants!$A:$BE,55,FALSE),0)</f>
        <v>0</v>
      </c>
      <c r="AJ43" s="146">
        <f>_xlfn.IFNA(VLOOKUP($A43,Barclays!$A:$T,18,FALSE),0)</f>
        <v>5870.2214049999729</v>
      </c>
      <c r="AK43" s="146">
        <f>_xlfn.IFNA(VLOOKUP($A43,'Summary Mar 2026'!$A:$GS,200,FALSE),0)</f>
        <v>-18982.84</v>
      </c>
      <c r="AL43" s="146">
        <f>_xlfn.IFNA(VLOOKUP($A43,Barclays!$A:$T,19,FALSE),0)</f>
        <v>-63.55</v>
      </c>
      <c r="AM43" s="146">
        <f>_xlfn.IFNA(VLOOKUP($A43,'Summary Mar 2026'!$A:$GS,201,FALSE),0)</f>
        <v>-9471</v>
      </c>
      <c r="AN43" s="146">
        <f>_xlfn.IFNA(VLOOKUP($A43,'Summary Mar 2026'!$A:$GS,199,FALSE),0)</f>
        <v>-10771.039999999995</v>
      </c>
      <c r="AO43" s="146">
        <f>_xlfn.IFNA(VLOOKUP($A43,Grants!$A:$BE,56,FALSE),0)</f>
        <v>8623.75</v>
      </c>
      <c r="AP43" s="65">
        <f t="shared" si="0"/>
        <v>2705357.3375979443</v>
      </c>
    </row>
    <row r="44" spans="1:42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0" t="str">
        <f>VLOOKUP(A44,'Summary Mar 2026'!$A$8:$F$206,6,FALSE)</f>
        <v>Chq Bk</v>
      </c>
      <c r="H44" s="288">
        <f>_xlfn.IFNA(VLOOKUP($A44,ISB!$A:$BY,67,FALSE),0)</f>
        <v>2348813.1342566665</v>
      </c>
      <c r="I44" s="861">
        <f>_xlfn.IFNA(VLOOKUP(A44,'LA Deductions'!A:AN,40,FALSE),0)</f>
        <v>0</v>
      </c>
      <c r="J44" s="221">
        <f>_xlfn.IFNA(VLOOKUP($A44,ISB!$A:$BY,72,FALSE),0)</f>
        <v>-11005.759999999998</v>
      </c>
      <c r="K44" s="289">
        <f>-_xlfn.IFNA(VLOOKUP($A44,ISB!$A:$BY,76,FALSE),0)</f>
        <v>-23760.83</v>
      </c>
      <c r="M44" s="288">
        <f>VLOOKUP($A44,EY!$A:$AAK,132,FALSE)</f>
        <v>141688.72368421053</v>
      </c>
      <c r="N44" s="288">
        <f>VLOOKUP($A44,EY!$A:$AAD,133,FALSE)</f>
        <v>0</v>
      </c>
      <c r="P44" s="288">
        <f>VLOOKUP($A44,HN!$A:$AM,38,FALSE)</f>
        <v>0</v>
      </c>
      <c r="Q44" s="288">
        <f>VLOOKUP($A44,HN!$A:$AM,39,FALSE)</f>
        <v>0</v>
      </c>
      <c r="S44" s="362">
        <f>_xlfn.IFNA(VLOOKUP(A44,'Post 16'!A:AR,44,FALSE),0)</f>
        <v>0</v>
      </c>
      <c r="U44" s="362">
        <f>VLOOKUP(A44,'LA Deductions'!A:W,23,FALSE)</f>
        <v>-9471</v>
      </c>
      <c r="W44" s="289">
        <f>VLOOKUP($A44,'Summary Mar 2026'!$A:$AAG,189,FALSE)-SUMIFS($H44:$U44,$H$7:$U$7,W$7)</f>
        <v>0</v>
      </c>
      <c r="X44" s="289">
        <f>VLOOKUP($A44,'Summary Mar 2026'!$A:$GL,190,FALSE)-SUMIFS($H44:$U44,$H$7:$U$7,X$7)</f>
        <v>0</v>
      </c>
      <c r="Y44" s="289">
        <f>VLOOKUP($A44,'Summary Mar 2026'!$A:$GL,191,FALSE)-SUMIFS($H44:$U44,$H$7:$U$7,Y$7)</f>
        <v>0</v>
      </c>
      <c r="Z44" s="289">
        <f>VLOOKUP($A44,'Summary Mar 2026'!$A:$GL,192,FALSE)-SUMIFS($H44:$U44,$H$7:$U$7,Z$7)</f>
        <v>0</v>
      </c>
      <c r="AA44" s="289">
        <f>VLOOKUP($A44,'Summary Mar 2026'!$A:$GL,193,FALSE)-SUMIFS($H44:$U44,$H$7:$U$7,AA$7)</f>
        <v>0</v>
      </c>
      <c r="AB44" s="289">
        <f>VLOOKUP($A44,'Summary Mar 2026'!$A:$GL,194,FALSE)-SUMIFS($H44:$U44,$H$7:$U$7,AB$7)</f>
        <v>0</v>
      </c>
      <c r="AD44" s="146">
        <f>_xlfn.IFNA(VLOOKUP($A44,'Summary Mar 2026'!$A:$GS,196,FALSE)+VLOOKUP($A44,OtherDSG!$A:$AI,34,FALSE)+VLOOKUP($A44,Grants!$A:$BE,50,FALSE),0)</f>
        <v>2563939.8579408773</v>
      </c>
      <c r="AE44" s="146">
        <f>_xlfn.IFNA(VLOOKUP($A44,'Summary Mar 2026'!$A:$GS,197,FALSE)+VLOOKUP($A44,Grants!$A:$BE,51,FALSE),0)</f>
        <v>0</v>
      </c>
      <c r="AF44" s="146">
        <f>_xlfn.IFNA(VLOOKUP($A44,'Summary Mar 2026'!$A:$GS,198,FALSE)+VLOOKUP($A44,OtherDSG!$A:$AI,35,FALSE)+VLOOKUP($A44,Grants!$A:$BE,52,FALSE),0)</f>
        <v>149680.42333333331</v>
      </c>
      <c r="AG44" s="146">
        <f>_xlfn.IFNA(VLOOKUP($A44,Grants!$A:$BE,53,FALSE),0)</f>
        <v>227565</v>
      </c>
      <c r="AH44" s="146">
        <f>_xlfn.IFNA(VLOOKUP($A44,Grants!$A:$BE,54,FALSE),0)</f>
        <v>85397</v>
      </c>
      <c r="AI44" s="146">
        <f>_xlfn.IFNA(VLOOKUP($A44,Grants!$A:$BE,55,FALSE),0)</f>
        <v>0</v>
      </c>
      <c r="AJ44" s="146">
        <f>_xlfn.IFNA(VLOOKUP($A44,Barclays!$A:$T,18,FALSE),0)</f>
        <v>11531.132719999967</v>
      </c>
      <c r="AK44" s="146">
        <f>_xlfn.IFNA(VLOOKUP($A44,'Summary Mar 2026'!$A:$GS,200,FALSE),0)</f>
        <v>-23760.830000000005</v>
      </c>
      <c r="AL44" s="146">
        <f>_xlfn.IFNA(VLOOKUP($A44,Barclays!$A:$T,19,FALSE),0)</f>
        <v>-131.78</v>
      </c>
      <c r="AM44" s="146">
        <f>_xlfn.IFNA(VLOOKUP($A44,'Summary Mar 2026'!$A:$GS,201,FALSE),0)</f>
        <v>-9471</v>
      </c>
      <c r="AN44" s="146">
        <f>_xlfn.IFNA(VLOOKUP($A44,'Summary Mar 2026'!$A:$GS,199,FALSE),0)</f>
        <v>-11005.760000000002</v>
      </c>
      <c r="AO44" s="146">
        <f>_xlfn.IFNA(VLOOKUP($A44,Grants!$A:$BE,56,FALSE),0)</f>
        <v>9051.25</v>
      </c>
      <c r="AP44" s="65">
        <f t="shared" si="0"/>
        <v>3002795.2939942111</v>
      </c>
    </row>
    <row r="45" spans="1:42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0" t="str">
        <f>VLOOKUP(A45,'Summary Mar 2026'!$A$8:$F$206,6,FALSE)</f>
        <v>Chq Bk</v>
      </c>
      <c r="H45" s="288">
        <f>_xlfn.IFNA(VLOOKUP($A45,ISB!$A:$BY,67,FALSE),0)</f>
        <v>9215981.4148669075</v>
      </c>
      <c r="I45" s="861">
        <f>_xlfn.IFNA(VLOOKUP(A45,'LA Deductions'!A:AN,40,FALSE),0)</f>
        <v>-3746.3824166666664</v>
      </c>
      <c r="J45" s="221">
        <f>_xlfn.IFNA(VLOOKUP($A45,ISB!$A:$BY,72,FALSE),0)</f>
        <v>-23209.89</v>
      </c>
      <c r="K45" s="289">
        <f>-_xlfn.IFNA(VLOOKUP($A45,ISB!$A:$BY,76,FALSE),0)</f>
        <v>-8691.94</v>
      </c>
      <c r="M45" s="288">
        <f>VLOOKUP($A45,EY!$A:$AAK,132,FALSE)</f>
        <v>0</v>
      </c>
      <c r="N45" s="288">
        <f>VLOOKUP($A45,EY!$A:$AAD,133,FALSE)</f>
        <v>0</v>
      </c>
      <c r="P45" s="288">
        <f>VLOOKUP($A45,HN!$A:$AM,38,FALSE)</f>
        <v>0</v>
      </c>
      <c r="Q45" s="288">
        <f>VLOOKUP($A45,HN!$A:$AM,39,FALSE)</f>
        <v>0</v>
      </c>
      <c r="S45" s="362">
        <f>_xlfn.IFNA(VLOOKUP(A45,'Post 16'!A:AR,44,FALSE),0)</f>
        <v>336580.33333333331</v>
      </c>
      <c r="U45" s="362">
        <f>VLOOKUP(A45,'LA Deductions'!A:W,23,FALSE)</f>
        <v>-32697</v>
      </c>
      <c r="W45" s="289">
        <f>VLOOKUP($A45,'Summary Mar 2026'!$A:$AAG,189,FALSE)-SUMIFS($H45:$U45,$H$7:$U$7,W$7)</f>
        <v>0</v>
      </c>
      <c r="X45" s="289">
        <f>VLOOKUP($A45,'Summary Mar 2026'!$A:$GL,190,FALSE)-SUMIFS($H45:$U45,$H$7:$U$7,X$7)</f>
        <v>0</v>
      </c>
      <c r="Y45" s="289">
        <f>VLOOKUP($A45,'Summary Mar 2026'!$A:$GL,191,FALSE)-SUMIFS($H45:$U45,$H$7:$U$7,Y$7)</f>
        <v>0</v>
      </c>
      <c r="Z45" s="289">
        <f>VLOOKUP($A45,'Summary Mar 2026'!$A:$GL,192,FALSE)-SUMIFS($H45:$U45,$H$7:$U$7,Z$7)</f>
        <v>0</v>
      </c>
      <c r="AA45" s="289">
        <f>VLOOKUP($A45,'Summary Mar 2026'!$A:$GL,193,FALSE)-SUMIFS($H45:$U45,$H$7:$U$7,AA$7)</f>
        <v>0</v>
      </c>
      <c r="AB45" s="289">
        <f>VLOOKUP($A45,'Summary Mar 2026'!$A:$GL,194,FALSE)-SUMIFS($H45:$U45,$H$7:$U$7,AB$7)</f>
        <v>0</v>
      </c>
      <c r="AD45" s="146">
        <f>_xlfn.IFNA(VLOOKUP($A45,'Summary Mar 2026'!$A:$GS,196,FALSE)+VLOOKUP($A45,OtherDSG!$A:$AI,34,FALSE)+VLOOKUP($A45,Grants!$A:$BE,50,FALSE),0)</f>
        <v>9432087.032450242</v>
      </c>
      <c r="AE45" s="146">
        <f>_xlfn.IFNA(VLOOKUP($A45,'Summary Mar 2026'!$A:$GS,197,FALSE)+VLOOKUP($A45,Grants!$A:$BE,51,FALSE),0)</f>
        <v>363756.67333333334</v>
      </c>
      <c r="AF45" s="146">
        <f>_xlfn.IFNA(VLOOKUP($A45,'Summary Mar 2026'!$A:$GS,198,FALSE)+VLOOKUP($A45,OtherDSG!$A:$AI,35,FALSE)+VLOOKUP($A45,Grants!$A:$BE,52,FALSE),0)</f>
        <v>110619.99</v>
      </c>
      <c r="AG45" s="146">
        <f>_xlfn.IFNA(VLOOKUP($A45,Grants!$A:$BE,53,FALSE),0)</f>
        <v>672450</v>
      </c>
      <c r="AH45" s="146">
        <f>_xlfn.IFNA(VLOOKUP($A45,Grants!$A:$BE,54,FALSE),0)</f>
        <v>15547.16</v>
      </c>
      <c r="AI45" s="146">
        <f>_xlfn.IFNA(VLOOKUP($A45,Grants!$A:$BE,55,FALSE),0)</f>
        <v>0</v>
      </c>
      <c r="AJ45" s="146">
        <f>_xlfn.IFNA(VLOOKUP($A45,Barclays!$A:$T,18,FALSE),0)</f>
        <v>0</v>
      </c>
      <c r="AK45" s="146">
        <f>_xlfn.IFNA(VLOOKUP($A45,'Summary Mar 2026'!$A:$GS,200,FALSE),0)</f>
        <v>-8691.9399999999987</v>
      </c>
      <c r="AL45" s="146">
        <f>_xlfn.IFNA(VLOOKUP($A45,Barclays!$A:$T,19,FALSE),0)</f>
        <v>0</v>
      </c>
      <c r="AM45" s="146">
        <f>_xlfn.IFNA(VLOOKUP($A45,'Summary Mar 2026'!$A:$GS,201,FALSE),0)</f>
        <v>-32697</v>
      </c>
      <c r="AN45" s="146">
        <f>_xlfn.IFNA(VLOOKUP($A45,'Summary Mar 2026'!$A:$GS,199,FALSE),0)</f>
        <v>-23209.890000000003</v>
      </c>
      <c r="AO45" s="146">
        <f>_xlfn.IFNA(VLOOKUP($A45,Grants!$A:$BE,56,FALSE),0)</f>
        <v>25150</v>
      </c>
      <c r="AP45" s="65">
        <f t="shared" si="0"/>
        <v>10555012.025783576</v>
      </c>
    </row>
    <row r="46" spans="1:42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0" t="str">
        <f>VLOOKUP(A46,'Summary Mar 2026'!$A$8:$F$206,6,FALSE)</f>
        <v>Chq Bk</v>
      </c>
      <c r="H46" s="288">
        <f>_xlfn.IFNA(VLOOKUP($A46,ISB!$A:$BY,67,FALSE),0)</f>
        <v>1894068.837977716</v>
      </c>
      <c r="I46" s="861">
        <f>_xlfn.IFNA(VLOOKUP(A46,'LA Deductions'!A:AN,40,FALSE),0)</f>
        <v>0</v>
      </c>
      <c r="J46" s="221">
        <f>_xlfn.IFNA(VLOOKUP($A46,ISB!$A:$BY,72,FALSE),0)</f>
        <v>-9388.7999999999993</v>
      </c>
      <c r="K46" s="289">
        <f>-_xlfn.IFNA(VLOOKUP($A46,ISB!$A:$BY,76,FALSE),0)</f>
        <v>-14233.07</v>
      </c>
      <c r="M46" s="288">
        <f>VLOOKUP($A46,EY!$A:$AAK,132,FALSE)</f>
        <v>153617.42448753462</v>
      </c>
      <c r="N46" s="288">
        <f>VLOOKUP($A46,EY!$A:$AAD,133,FALSE)</f>
        <v>1012.8321329639889</v>
      </c>
      <c r="P46" s="288">
        <f>VLOOKUP($A46,HN!$A:$AM,38,FALSE)</f>
        <v>0</v>
      </c>
      <c r="Q46" s="288">
        <f>VLOOKUP($A46,HN!$A:$AM,39,FALSE)</f>
        <v>0</v>
      </c>
      <c r="S46" s="362">
        <f>_xlfn.IFNA(VLOOKUP(A46,'Post 16'!A:AR,44,FALSE),0)</f>
        <v>0</v>
      </c>
      <c r="U46" s="362">
        <f>VLOOKUP(A46,'LA Deductions'!A:W,23,FALSE)</f>
        <v>-9471</v>
      </c>
      <c r="W46" s="289">
        <f>VLOOKUP($A46,'Summary Mar 2026'!$A:$AAG,189,FALSE)-SUMIFS($H46:$U46,$H$7:$U$7,W$7)</f>
        <v>0</v>
      </c>
      <c r="X46" s="289">
        <f>VLOOKUP($A46,'Summary Mar 2026'!$A:$GL,190,FALSE)-SUMIFS($H46:$U46,$H$7:$U$7,X$7)</f>
        <v>0</v>
      </c>
      <c r="Y46" s="289">
        <f>VLOOKUP($A46,'Summary Mar 2026'!$A:$GL,191,FALSE)-SUMIFS($H46:$U46,$H$7:$U$7,Y$7)</f>
        <v>0</v>
      </c>
      <c r="Z46" s="289">
        <f>VLOOKUP($A46,'Summary Mar 2026'!$A:$GL,192,FALSE)-SUMIFS($H46:$U46,$H$7:$U$7,Z$7)</f>
        <v>0</v>
      </c>
      <c r="AA46" s="289">
        <f>VLOOKUP($A46,'Summary Mar 2026'!$A:$GL,193,FALSE)-SUMIFS($H46:$U46,$H$7:$U$7,AA$7)</f>
        <v>0</v>
      </c>
      <c r="AB46" s="289">
        <f>VLOOKUP($A46,'Summary Mar 2026'!$A:$GL,194,FALSE)-SUMIFS($H46:$U46,$H$7:$U$7,AB$7)</f>
        <v>0</v>
      </c>
      <c r="AD46" s="146">
        <f>_xlfn.IFNA(VLOOKUP($A46,'Summary Mar 2026'!$A:$GS,196,FALSE)+VLOOKUP($A46,OtherDSG!$A:$AI,34,FALSE)+VLOOKUP($A46,Grants!$A:$BE,50,FALSE),0)</f>
        <v>2105045.2624652507</v>
      </c>
      <c r="AE46" s="146">
        <f>_xlfn.IFNA(VLOOKUP($A46,'Summary Mar 2026'!$A:$GS,197,FALSE)+VLOOKUP($A46,Grants!$A:$BE,51,FALSE),0)</f>
        <v>0</v>
      </c>
      <c r="AF46" s="146">
        <f>_xlfn.IFNA(VLOOKUP($A46,'Summary Mar 2026'!$A:$GS,198,FALSE)+VLOOKUP($A46,OtherDSG!$A:$AI,35,FALSE)+VLOOKUP($A46,Grants!$A:$BE,52,FALSE),0)</f>
        <v>257237.40879963065</v>
      </c>
      <c r="AG46" s="146">
        <f>_xlfn.IFNA(VLOOKUP($A46,Grants!$A:$BE,53,FALSE),0)</f>
        <v>118400</v>
      </c>
      <c r="AH46" s="146">
        <f>_xlfn.IFNA(VLOOKUP($A46,Grants!$A:$BE,54,FALSE),0)</f>
        <v>144010</v>
      </c>
      <c r="AI46" s="146">
        <f>_xlfn.IFNA(VLOOKUP($A46,Grants!$A:$BE,55,FALSE),0)</f>
        <v>0</v>
      </c>
      <c r="AJ46" s="146">
        <f>_xlfn.IFNA(VLOOKUP($A46,Barclays!$A:$T,18,FALSE),0)</f>
        <v>0</v>
      </c>
      <c r="AK46" s="146">
        <f>_xlfn.IFNA(VLOOKUP($A46,'Summary Mar 2026'!$A:$GS,200,FALSE),0)</f>
        <v>-14233.07</v>
      </c>
      <c r="AL46" s="146">
        <f>_xlfn.IFNA(VLOOKUP($A46,Barclays!$A:$T,19,FALSE),0)</f>
        <v>0</v>
      </c>
      <c r="AM46" s="146">
        <f>_xlfn.IFNA(VLOOKUP($A46,'Summary Mar 2026'!$A:$GS,201,FALSE),0)</f>
        <v>-9471</v>
      </c>
      <c r="AN46" s="146">
        <f>_xlfn.IFNA(VLOOKUP($A46,'Summary Mar 2026'!$A:$GS,199,FALSE),0)</f>
        <v>-9388.7999999999975</v>
      </c>
      <c r="AO46" s="146">
        <f>_xlfn.IFNA(VLOOKUP($A46,Grants!$A:$BE,56,FALSE),0)</f>
        <v>8369.5</v>
      </c>
      <c r="AP46" s="65">
        <f t="shared" si="0"/>
        <v>2599969.3012648816</v>
      </c>
    </row>
    <row r="47" spans="1:42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0" t="str">
        <f>VLOOKUP(A47,'Summary Mar 2026'!$A$8:$F$206,6,FALSE)</f>
        <v>Chq Bk</v>
      </c>
      <c r="H47" s="288">
        <f>_xlfn.IFNA(VLOOKUP($A47,ISB!$A:$BY,67,FALSE),0)</f>
        <v>2460045.8410799624</v>
      </c>
      <c r="I47" s="861">
        <f>_xlfn.IFNA(VLOOKUP(A47,'LA Deductions'!A:AN,40,FALSE),0)</f>
        <v>0</v>
      </c>
      <c r="J47" s="221">
        <f>_xlfn.IFNA(VLOOKUP($A47,ISB!$A:$BY,72,FALSE),0)</f>
        <v>-12518.4</v>
      </c>
      <c r="K47" s="289">
        <f>-_xlfn.IFNA(VLOOKUP($A47,ISB!$A:$BY,76,FALSE),0)</f>
        <v>-20481.73</v>
      </c>
      <c r="M47" s="288">
        <f>VLOOKUP($A47,EY!$A:$AAK,132,FALSE)</f>
        <v>0</v>
      </c>
      <c r="N47" s="288">
        <f>VLOOKUP($A47,EY!$A:$AAD,133,FALSE)</f>
        <v>0</v>
      </c>
      <c r="P47" s="288">
        <f>VLOOKUP($A47,HN!$A:$AM,38,FALSE)</f>
        <v>0</v>
      </c>
      <c r="Q47" s="288">
        <f>VLOOKUP($A47,HN!$A:$AM,39,FALSE)</f>
        <v>0</v>
      </c>
      <c r="S47" s="362">
        <f>_xlfn.IFNA(VLOOKUP(A47,'Post 16'!A:AR,44,FALSE),0)</f>
        <v>0</v>
      </c>
      <c r="U47" s="362">
        <f>VLOOKUP(A47,'LA Deductions'!A:W,23,FALSE)</f>
        <v>-12566.4</v>
      </c>
      <c r="W47" s="289">
        <f>VLOOKUP($A47,'Summary Mar 2026'!$A:$AAG,189,FALSE)-SUMIFS($H47:$U47,$H$7:$U$7,W$7)</f>
        <v>0</v>
      </c>
      <c r="X47" s="289">
        <f>VLOOKUP($A47,'Summary Mar 2026'!$A:$GL,190,FALSE)-SUMIFS($H47:$U47,$H$7:$U$7,X$7)</f>
        <v>0</v>
      </c>
      <c r="Y47" s="289">
        <f>VLOOKUP($A47,'Summary Mar 2026'!$A:$GL,191,FALSE)-SUMIFS($H47:$U47,$H$7:$U$7,Y$7)</f>
        <v>0</v>
      </c>
      <c r="Z47" s="289">
        <f>VLOOKUP($A47,'Summary Mar 2026'!$A:$GL,192,FALSE)-SUMIFS($H47:$U47,$H$7:$U$7,Z$7)</f>
        <v>0</v>
      </c>
      <c r="AA47" s="289">
        <f>VLOOKUP($A47,'Summary Mar 2026'!$A:$GL,193,FALSE)-SUMIFS($H47:$U47,$H$7:$U$7,AA$7)</f>
        <v>0</v>
      </c>
      <c r="AB47" s="289">
        <f>VLOOKUP($A47,'Summary Mar 2026'!$A:$GL,194,FALSE)-SUMIFS($H47:$U47,$H$7:$U$7,AB$7)</f>
        <v>0</v>
      </c>
      <c r="AD47" s="146">
        <f>_xlfn.IFNA(VLOOKUP($A47,'Summary Mar 2026'!$A:$GS,196,FALSE)+VLOOKUP($A47,OtherDSG!$A:$AI,34,FALSE)+VLOOKUP($A47,Grants!$A:$BE,50,FALSE),0)</f>
        <v>2533490.841079962</v>
      </c>
      <c r="AE47" s="146">
        <f>_xlfn.IFNA(VLOOKUP($A47,'Summary Mar 2026'!$A:$GS,197,FALSE)+VLOOKUP($A47,Grants!$A:$BE,51,FALSE),0)</f>
        <v>0</v>
      </c>
      <c r="AF47" s="146">
        <f>_xlfn.IFNA(VLOOKUP($A47,'Summary Mar 2026'!$A:$GS,198,FALSE)+VLOOKUP($A47,OtherDSG!$A:$AI,35,FALSE)+VLOOKUP($A47,Grants!$A:$BE,52,FALSE),0)</f>
        <v>185175.33666666667</v>
      </c>
      <c r="AG47" s="146">
        <f>_xlfn.IFNA(VLOOKUP($A47,Grants!$A:$BE,53,FALSE),0)</f>
        <v>222800</v>
      </c>
      <c r="AH47" s="146">
        <f>_xlfn.IFNA(VLOOKUP($A47,Grants!$A:$BE,54,FALSE),0)</f>
        <v>21449</v>
      </c>
      <c r="AI47" s="146">
        <f>_xlfn.IFNA(VLOOKUP($A47,Grants!$A:$BE,55,FALSE),0)</f>
        <v>0</v>
      </c>
      <c r="AJ47" s="146">
        <f>_xlfn.IFNA(VLOOKUP($A47,Barclays!$A:$T,18,FALSE),0)</f>
        <v>0</v>
      </c>
      <c r="AK47" s="146">
        <f>_xlfn.IFNA(VLOOKUP($A47,'Summary Mar 2026'!$A:$GS,200,FALSE),0)</f>
        <v>-20481.73</v>
      </c>
      <c r="AL47" s="146">
        <f>_xlfn.IFNA(VLOOKUP($A47,Barclays!$A:$T,19,FALSE),0)</f>
        <v>0</v>
      </c>
      <c r="AM47" s="146">
        <f>_xlfn.IFNA(VLOOKUP($A47,'Summary Mar 2026'!$A:$GS,201,FALSE),0)</f>
        <v>-12566.4</v>
      </c>
      <c r="AN47" s="146">
        <f>_xlfn.IFNA(VLOOKUP($A47,'Summary Mar 2026'!$A:$GS,199,FALSE),0)</f>
        <v>-12518.400000000003</v>
      </c>
      <c r="AO47" s="146">
        <f>_xlfn.IFNA(VLOOKUP($A47,Grants!$A:$BE,56,FALSE),0)</f>
        <v>9366.25</v>
      </c>
      <c r="AP47" s="65">
        <f t="shared" si="0"/>
        <v>2926714.8977466286</v>
      </c>
    </row>
    <row r="48" spans="1:42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0" t="str">
        <f>VLOOKUP(A48,'Summary Mar 2026'!$A$8:$F$206,6,FALSE)</f>
        <v>Chq Bk</v>
      </c>
      <c r="H48" s="288">
        <f>_xlfn.IFNA(VLOOKUP($A48,ISB!$A:$BY,67,FALSE),0)</f>
        <v>2420328.6010741638</v>
      </c>
      <c r="I48" s="861">
        <f>_xlfn.IFNA(VLOOKUP(A48,'LA Deductions'!A:AN,40,FALSE),0)</f>
        <v>0</v>
      </c>
      <c r="J48" s="221">
        <f>_xlfn.IFNA(VLOOKUP($A48,ISB!$A:$BY,72,FALSE),0)</f>
        <v>-10484.16</v>
      </c>
      <c r="K48" s="289">
        <f>-_xlfn.IFNA(VLOOKUP($A48,ISB!$A:$BY,76,FALSE),0)</f>
        <v>-3868.98</v>
      </c>
      <c r="M48" s="288">
        <f>VLOOKUP($A48,EY!$A:$AAK,132,FALSE)</f>
        <v>0</v>
      </c>
      <c r="N48" s="288">
        <f>VLOOKUP($A48,EY!$A:$AAD,133,FALSE)</f>
        <v>0</v>
      </c>
      <c r="P48" s="288">
        <f>VLOOKUP($A48,HN!$A:$AM,38,FALSE)</f>
        <v>0</v>
      </c>
      <c r="Q48" s="288">
        <f>VLOOKUP($A48,HN!$A:$AM,39,FALSE)</f>
        <v>0</v>
      </c>
      <c r="S48" s="362">
        <f>_xlfn.IFNA(VLOOKUP(A48,'Post 16'!A:AR,44,FALSE),0)</f>
        <v>0</v>
      </c>
      <c r="U48" s="362">
        <f>VLOOKUP(A48,'LA Deductions'!A:W,23,FALSE)</f>
        <v>0</v>
      </c>
      <c r="W48" s="289">
        <f>VLOOKUP($A48,'Summary Mar 2026'!$A:$AAG,189,FALSE)-SUMIFS($H48:$U48,$H$7:$U$7,W$7)</f>
        <v>0</v>
      </c>
      <c r="X48" s="289">
        <f>VLOOKUP($A48,'Summary Mar 2026'!$A:$GL,190,FALSE)-SUMIFS($H48:$U48,$H$7:$U$7,X$7)</f>
        <v>0</v>
      </c>
      <c r="Y48" s="289">
        <f>VLOOKUP($A48,'Summary Mar 2026'!$A:$GL,191,FALSE)-SUMIFS($H48:$U48,$H$7:$U$7,Y$7)</f>
        <v>0</v>
      </c>
      <c r="Z48" s="289">
        <f>VLOOKUP($A48,'Summary Mar 2026'!$A:$GL,192,FALSE)-SUMIFS($H48:$U48,$H$7:$U$7,Z$7)</f>
        <v>0</v>
      </c>
      <c r="AA48" s="289">
        <f>VLOOKUP($A48,'Summary Mar 2026'!$A:$GL,193,FALSE)-SUMIFS($H48:$U48,$H$7:$U$7,AA$7)</f>
        <v>0</v>
      </c>
      <c r="AB48" s="289">
        <f>VLOOKUP($A48,'Summary Mar 2026'!$A:$GL,194,FALSE)-SUMIFS($H48:$U48,$H$7:$U$7,AB$7)</f>
        <v>0</v>
      </c>
      <c r="AD48" s="146">
        <f>_xlfn.IFNA(VLOOKUP($A48,'Summary Mar 2026'!$A:$GS,196,FALSE)+VLOOKUP($A48,OtherDSG!$A:$AI,34,FALSE)+VLOOKUP($A48,Grants!$A:$BE,50,FALSE),0)</f>
        <v>2495810.6010741638</v>
      </c>
      <c r="AE48" s="146">
        <f>_xlfn.IFNA(VLOOKUP($A48,'Summary Mar 2026'!$A:$GS,197,FALSE)+VLOOKUP($A48,Grants!$A:$BE,51,FALSE),0)</f>
        <v>0</v>
      </c>
      <c r="AF48" s="146">
        <f>_xlfn.IFNA(VLOOKUP($A48,'Summary Mar 2026'!$A:$GS,198,FALSE)+VLOOKUP($A48,OtherDSG!$A:$AI,35,FALSE)+VLOOKUP($A48,Grants!$A:$BE,52,FALSE),0)</f>
        <v>139962.58433333333</v>
      </c>
      <c r="AG48" s="146">
        <f>_xlfn.IFNA(VLOOKUP($A48,Grants!$A:$BE,53,FALSE),0)</f>
        <v>337045</v>
      </c>
      <c r="AH48" s="146">
        <f>_xlfn.IFNA(VLOOKUP($A48,Grants!$A:$BE,54,FALSE),0)</f>
        <v>62039</v>
      </c>
      <c r="AI48" s="146">
        <f>_xlfn.IFNA(VLOOKUP($A48,Grants!$A:$BE,55,FALSE),0)</f>
        <v>0</v>
      </c>
      <c r="AJ48" s="146">
        <f>_xlfn.IFNA(VLOOKUP($A48,Barclays!$A:$T,18,FALSE),0)</f>
        <v>48454.728494999974</v>
      </c>
      <c r="AK48" s="146">
        <f>_xlfn.IFNA(VLOOKUP($A48,'Summary Mar 2026'!$A:$GS,200,FALSE),0)</f>
        <v>-3868.98</v>
      </c>
      <c r="AL48" s="146">
        <f>_xlfn.IFNA(VLOOKUP($A48,Barclays!$A:$T,19,FALSE),0)</f>
        <v>-94.469999999999985</v>
      </c>
      <c r="AM48" s="146">
        <f>_xlfn.IFNA(VLOOKUP($A48,'Summary Mar 2026'!$A:$GS,201,FALSE),0)</f>
        <v>0</v>
      </c>
      <c r="AN48" s="146">
        <f>_xlfn.IFNA(VLOOKUP($A48,'Summary Mar 2026'!$A:$GS,199,FALSE),0)</f>
        <v>-10484.160000000002</v>
      </c>
      <c r="AO48" s="146">
        <f>_xlfn.IFNA(VLOOKUP($A48,Grants!$A:$BE,56,FALSE),0)</f>
        <v>0</v>
      </c>
      <c r="AP48" s="65">
        <f t="shared" si="0"/>
        <v>3068864.3039024966</v>
      </c>
    </row>
    <row r="49" spans="1:42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0" t="str">
        <f>VLOOKUP(A49,'Summary Mar 2026'!$A$8:$F$206,6,FALSE)</f>
        <v>Chq Bk</v>
      </c>
      <c r="H49" s="288">
        <f>_xlfn.IFNA(VLOOKUP($A49,ISB!$A:$BY,67,FALSE),0)</f>
        <v>2215524.4668252985</v>
      </c>
      <c r="I49" s="861">
        <f>_xlfn.IFNA(VLOOKUP(A49,'LA Deductions'!A:AN,40,FALSE),0)</f>
        <v>0</v>
      </c>
      <c r="J49" s="221">
        <f>_xlfn.IFNA(VLOOKUP($A49,ISB!$A:$BY,72,FALSE),0)</f>
        <v>-10797.119999999999</v>
      </c>
      <c r="K49" s="289">
        <f>-_xlfn.IFNA(VLOOKUP($A49,ISB!$A:$BY,76,FALSE),0)</f>
        <v>-27824.83</v>
      </c>
      <c r="M49" s="288">
        <f>VLOOKUP($A49,EY!$A:$AAK,132,FALSE)</f>
        <v>140574.92715789474</v>
      </c>
      <c r="N49" s="288">
        <f>VLOOKUP($A49,EY!$A:$AAD,133,FALSE)</f>
        <v>0</v>
      </c>
      <c r="P49" s="288">
        <f>VLOOKUP($A49,HN!$A:$AM,38,FALSE)</f>
        <v>0</v>
      </c>
      <c r="Q49" s="288">
        <f>VLOOKUP($A49,HN!$A:$AM,39,FALSE)</f>
        <v>0</v>
      </c>
      <c r="S49" s="362">
        <f>_xlfn.IFNA(VLOOKUP(A49,'Post 16'!A:AR,44,FALSE),0)</f>
        <v>0</v>
      </c>
      <c r="U49" s="362">
        <f>VLOOKUP(A49,'LA Deductions'!A:W,23,FALSE)</f>
        <v>-11880</v>
      </c>
      <c r="W49" s="289">
        <f>VLOOKUP($A49,'Summary Mar 2026'!$A:$AAG,189,FALSE)-SUMIFS($H49:$U49,$H$7:$U$7,W$7)</f>
        <v>0</v>
      </c>
      <c r="X49" s="289">
        <f>VLOOKUP($A49,'Summary Mar 2026'!$A:$GL,190,FALSE)-SUMIFS($H49:$U49,$H$7:$U$7,X$7)</f>
        <v>0</v>
      </c>
      <c r="Y49" s="289">
        <f>VLOOKUP($A49,'Summary Mar 2026'!$A:$GL,191,FALSE)-SUMIFS($H49:$U49,$H$7:$U$7,Y$7)</f>
        <v>0</v>
      </c>
      <c r="Z49" s="289">
        <f>VLOOKUP($A49,'Summary Mar 2026'!$A:$GL,192,FALSE)-SUMIFS($H49:$U49,$H$7:$U$7,Z$7)</f>
        <v>0</v>
      </c>
      <c r="AA49" s="289">
        <f>VLOOKUP($A49,'Summary Mar 2026'!$A:$GL,193,FALSE)-SUMIFS($H49:$U49,$H$7:$U$7,AA$7)</f>
        <v>0</v>
      </c>
      <c r="AB49" s="289">
        <f>VLOOKUP($A49,'Summary Mar 2026'!$A:$GL,194,FALSE)-SUMIFS($H49:$U49,$H$7:$U$7,AB$7)</f>
        <v>0</v>
      </c>
      <c r="AD49" s="146">
        <f>_xlfn.IFNA(VLOOKUP($A49,'Summary Mar 2026'!$A:$GS,196,FALSE)+VLOOKUP($A49,OtherDSG!$A:$AI,34,FALSE)+VLOOKUP($A49,Grants!$A:$BE,50,FALSE),0)</f>
        <v>2424025.5939831929</v>
      </c>
      <c r="AE49" s="146">
        <f>_xlfn.IFNA(VLOOKUP($A49,'Summary Mar 2026'!$A:$GS,197,FALSE)+VLOOKUP($A49,Grants!$A:$BE,51,FALSE),0)</f>
        <v>0</v>
      </c>
      <c r="AF49" s="146">
        <f>_xlfn.IFNA(VLOOKUP($A49,'Summary Mar 2026'!$A:$GS,198,FALSE)+VLOOKUP($A49,OtherDSG!$A:$AI,35,FALSE)+VLOOKUP($A49,Grants!$A:$BE,52,FALSE),0)</f>
        <v>107751.82333333333</v>
      </c>
      <c r="AG49" s="146">
        <f>_xlfn.IFNA(VLOOKUP($A49,Grants!$A:$BE,53,FALSE),0)</f>
        <v>163570</v>
      </c>
      <c r="AH49" s="146">
        <f>_xlfn.IFNA(VLOOKUP($A49,Grants!$A:$BE,54,FALSE),0)</f>
        <v>91392</v>
      </c>
      <c r="AI49" s="146">
        <f>_xlfn.IFNA(VLOOKUP($A49,Grants!$A:$BE,55,FALSE),0)</f>
        <v>0</v>
      </c>
      <c r="AJ49" s="146">
        <f>_xlfn.IFNA(VLOOKUP($A49,Barclays!$A:$T,18,FALSE),0)</f>
        <v>0</v>
      </c>
      <c r="AK49" s="146">
        <f>_xlfn.IFNA(VLOOKUP($A49,'Summary Mar 2026'!$A:$GS,200,FALSE),0)</f>
        <v>-27824.829999999998</v>
      </c>
      <c r="AL49" s="146">
        <f>_xlfn.IFNA(VLOOKUP($A49,Barclays!$A:$T,19,FALSE),0)</f>
        <v>0</v>
      </c>
      <c r="AM49" s="146">
        <f>_xlfn.IFNA(VLOOKUP($A49,'Summary Mar 2026'!$A:$GS,201,FALSE),0)</f>
        <v>-11880</v>
      </c>
      <c r="AN49" s="146">
        <f>_xlfn.IFNA(VLOOKUP($A49,'Summary Mar 2026'!$A:$GS,199,FALSE),0)</f>
        <v>-10797.12</v>
      </c>
      <c r="AO49" s="146">
        <f>_xlfn.IFNA(VLOOKUP($A49,Grants!$A:$BE,56,FALSE),0)</f>
        <v>8977.9</v>
      </c>
      <c r="AP49" s="65">
        <f t="shared" si="0"/>
        <v>2745215.3673165259</v>
      </c>
    </row>
    <row r="50" spans="1:42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0" t="str">
        <f>VLOOKUP(A50,'Summary Mar 2026'!$A$8:$F$206,6,FALSE)</f>
        <v>Chq Bk</v>
      </c>
      <c r="H50" s="288">
        <f>_xlfn.IFNA(VLOOKUP($A50,ISB!$A:$BY,67,FALSE),0)</f>
        <v>2380941.0462590163</v>
      </c>
      <c r="I50" s="861">
        <f>_xlfn.IFNA(VLOOKUP(A50,'LA Deductions'!A:AN,40,FALSE),0)</f>
        <v>0</v>
      </c>
      <c r="J50" s="221">
        <f>_xlfn.IFNA(VLOOKUP($A50,ISB!$A:$BY,72,FALSE),0)</f>
        <v>-9701.76</v>
      </c>
      <c r="K50" s="289">
        <f>-_xlfn.IFNA(VLOOKUP($A50,ISB!$A:$BY,76,FALSE),0)</f>
        <v>-30475.86</v>
      </c>
      <c r="M50" s="288">
        <f>VLOOKUP($A50,EY!$A:$AAK,132,FALSE)</f>
        <v>147272.76706371192</v>
      </c>
      <c r="N50" s="288">
        <f>VLOOKUP($A50,EY!$A:$AAD,133,FALSE)</f>
        <v>0</v>
      </c>
      <c r="P50" s="288">
        <f>VLOOKUP($A50,HN!$A:$AM,38,FALSE)</f>
        <v>0</v>
      </c>
      <c r="Q50" s="288">
        <f>VLOOKUP($A50,HN!$A:$AM,39,FALSE)</f>
        <v>0</v>
      </c>
      <c r="S50" s="362">
        <f>_xlfn.IFNA(VLOOKUP(A50,'Post 16'!A:AR,44,FALSE),0)</f>
        <v>0</v>
      </c>
      <c r="U50" s="362">
        <f>VLOOKUP(A50,'LA Deductions'!A:W,23,FALSE)</f>
        <v>-9471</v>
      </c>
      <c r="W50" s="289">
        <f>VLOOKUP($A50,'Summary Mar 2026'!$A:$AAG,189,FALSE)-SUMIFS($H50:$U50,$H$7:$U$7,W$7)</f>
        <v>0</v>
      </c>
      <c r="X50" s="289">
        <f>VLOOKUP($A50,'Summary Mar 2026'!$A:$GL,190,FALSE)-SUMIFS($H50:$U50,$H$7:$U$7,X$7)</f>
        <v>0</v>
      </c>
      <c r="Y50" s="289">
        <f>VLOOKUP($A50,'Summary Mar 2026'!$A:$GL,191,FALSE)-SUMIFS($H50:$U50,$H$7:$U$7,Y$7)</f>
        <v>0</v>
      </c>
      <c r="Z50" s="289">
        <f>VLOOKUP($A50,'Summary Mar 2026'!$A:$GL,192,FALSE)-SUMIFS($H50:$U50,$H$7:$U$7,Z$7)</f>
        <v>0</v>
      </c>
      <c r="AA50" s="289">
        <f>VLOOKUP($A50,'Summary Mar 2026'!$A:$GL,193,FALSE)-SUMIFS($H50:$U50,$H$7:$U$7,AA$7)</f>
        <v>0</v>
      </c>
      <c r="AB50" s="289">
        <f>VLOOKUP($A50,'Summary Mar 2026'!$A:$GL,194,FALSE)-SUMIFS($H50:$U50,$H$7:$U$7,AB$7)</f>
        <v>0</v>
      </c>
      <c r="AD50" s="146">
        <f>_xlfn.IFNA(VLOOKUP($A50,'Summary Mar 2026'!$A:$GS,196,FALSE)+VLOOKUP($A50,OtherDSG!$A:$AI,34,FALSE)+VLOOKUP($A50,Grants!$A:$BE,50,FALSE),0)</f>
        <v>2605231.813322728</v>
      </c>
      <c r="AE50" s="146">
        <f>_xlfn.IFNA(VLOOKUP($A50,'Summary Mar 2026'!$A:$GS,197,FALSE)+VLOOKUP($A50,Grants!$A:$BE,51,FALSE),0)</f>
        <v>0</v>
      </c>
      <c r="AF50" s="146">
        <f>_xlfn.IFNA(VLOOKUP($A50,'Summary Mar 2026'!$A:$GS,198,FALSE)+VLOOKUP($A50,OtherDSG!$A:$AI,35,FALSE)+VLOOKUP($A50,Grants!$A:$BE,52,FALSE),0)</f>
        <v>136253.66666666666</v>
      </c>
      <c r="AG50" s="146">
        <f>_xlfn.IFNA(VLOOKUP($A50,Grants!$A:$BE,53,FALSE),0)</f>
        <v>356655</v>
      </c>
      <c r="AH50" s="146">
        <f>_xlfn.IFNA(VLOOKUP($A50,Grants!$A:$BE,54,FALSE),0)</f>
        <v>53698.93</v>
      </c>
      <c r="AI50" s="146">
        <f>_xlfn.IFNA(VLOOKUP($A50,Grants!$A:$BE,55,FALSE),0)</f>
        <v>0</v>
      </c>
      <c r="AJ50" s="146">
        <f>_xlfn.IFNA(VLOOKUP($A50,Barclays!$A:$T,18,FALSE),0)</f>
        <v>22576.021000000008</v>
      </c>
      <c r="AK50" s="146">
        <f>_xlfn.IFNA(VLOOKUP($A50,'Summary Mar 2026'!$A:$GS,200,FALSE),0)</f>
        <v>-30475.859999999997</v>
      </c>
      <c r="AL50" s="146">
        <f>_xlfn.IFNA(VLOOKUP($A50,Barclays!$A:$T,19,FALSE),0)</f>
        <v>-157.85999999999999</v>
      </c>
      <c r="AM50" s="146">
        <f>_xlfn.IFNA(VLOOKUP($A50,'Summary Mar 2026'!$A:$GS,201,FALSE),0)</f>
        <v>-9471</v>
      </c>
      <c r="AN50" s="146">
        <f>_xlfn.IFNA(VLOOKUP($A50,'Summary Mar 2026'!$A:$GS,199,FALSE),0)</f>
        <v>-9701.7599999999984</v>
      </c>
      <c r="AO50" s="146">
        <f>_xlfn.IFNA(VLOOKUP($A50,Grants!$A:$BE,56,FALSE),0)</f>
        <v>8524.75</v>
      </c>
      <c r="AP50" s="65">
        <f t="shared" si="0"/>
        <v>3133133.7009893954</v>
      </c>
    </row>
    <row r="51" spans="1:42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0" t="str">
        <f>VLOOKUP(A51,'Summary Mar 2026'!$A$8:$F$206,6,FALSE)</f>
        <v>Chq Bk</v>
      </c>
      <c r="H51" s="288">
        <f>_xlfn.IFNA(VLOOKUP($A51,ISB!$A:$BY,67,FALSE),0)</f>
        <v>2044500.5958213268</v>
      </c>
      <c r="I51" s="861">
        <f>_xlfn.IFNA(VLOOKUP(A51,'LA Deductions'!A:AN,40,FALSE),0)</f>
        <v>0</v>
      </c>
      <c r="J51" s="221">
        <f>_xlfn.IFNA(VLOOKUP($A51,ISB!$A:$BY,72,FALSE),0)</f>
        <v>-9075.84</v>
      </c>
      <c r="K51" s="289">
        <f>-_xlfn.IFNA(VLOOKUP($A51,ISB!$A:$BY,76,FALSE),0)</f>
        <v>-3815.97</v>
      </c>
      <c r="M51" s="288">
        <f>VLOOKUP($A51,EY!$A:$AAK,132,FALSE)</f>
        <v>0</v>
      </c>
      <c r="N51" s="288">
        <f>VLOOKUP($A51,EY!$A:$AAD,133,FALSE)</f>
        <v>0</v>
      </c>
      <c r="P51" s="288">
        <f>VLOOKUP($A51,HN!$A:$AM,38,FALSE)</f>
        <v>0</v>
      </c>
      <c r="Q51" s="288">
        <f>VLOOKUP($A51,HN!$A:$AM,39,FALSE)</f>
        <v>0</v>
      </c>
      <c r="S51" s="362">
        <f>_xlfn.IFNA(VLOOKUP(A51,'Post 16'!A:AR,44,FALSE),0)</f>
        <v>0</v>
      </c>
      <c r="U51" s="362">
        <f>VLOOKUP(A51,'LA Deductions'!A:W,23,FALSE)</f>
        <v>-9471</v>
      </c>
      <c r="W51" s="289">
        <f>VLOOKUP($A51,'Summary Mar 2026'!$A:$AAG,189,FALSE)-SUMIFS($H51:$U51,$H$7:$U$7,W$7)</f>
        <v>0</v>
      </c>
      <c r="X51" s="289">
        <f>VLOOKUP($A51,'Summary Mar 2026'!$A:$GL,190,FALSE)-SUMIFS($H51:$U51,$H$7:$U$7,X$7)</f>
        <v>0</v>
      </c>
      <c r="Y51" s="289">
        <f>VLOOKUP($A51,'Summary Mar 2026'!$A:$GL,191,FALSE)-SUMIFS($H51:$U51,$H$7:$U$7,Y$7)</f>
        <v>0</v>
      </c>
      <c r="Z51" s="289">
        <f>VLOOKUP($A51,'Summary Mar 2026'!$A:$GL,192,FALSE)-SUMIFS($H51:$U51,$H$7:$U$7,Z$7)</f>
        <v>0</v>
      </c>
      <c r="AA51" s="289">
        <f>VLOOKUP($A51,'Summary Mar 2026'!$A:$GL,193,FALSE)-SUMIFS($H51:$U51,$H$7:$U$7,AA$7)</f>
        <v>0</v>
      </c>
      <c r="AB51" s="289">
        <f>VLOOKUP($A51,'Summary Mar 2026'!$A:$GL,194,FALSE)-SUMIFS($H51:$U51,$H$7:$U$7,AB$7)</f>
        <v>0</v>
      </c>
      <c r="AD51" s="146">
        <f>_xlfn.IFNA(VLOOKUP($A51,'Summary Mar 2026'!$A:$GS,196,FALSE)+VLOOKUP($A51,OtherDSG!$A:$AI,34,FALSE)+VLOOKUP($A51,Grants!$A:$BE,50,FALSE),0)</f>
        <v>2105802.5958213266</v>
      </c>
      <c r="AE51" s="146">
        <f>_xlfn.IFNA(VLOOKUP($A51,'Summary Mar 2026'!$A:$GS,197,FALSE)+VLOOKUP($A51,Grants!$A:$BE,51,FALSE),0)</f>
        <v>0</v>
      </c>
      <c r="AF51" s="146">
        <f>_xlfn.IFNA(VLOOKUP($A51,'Summary Mar 2026'!$A:$GS,198,FALSE)+VLOOKUP($A51,OtherDSG!$A:$AI,35,FALSE)+VLOOKUP($A51,Grants!$A:$BE,52,FALSE),0)</f>
        <v>143445.22222222222</v>
      </c>
      <c r="AG51" s="146">
        <f>_xlfn.IFNA(VLOOKUP($A51,Grants!$A:$BE,53,FALSE),0)</f>
        <v>238970</v>
      </c>
      <c r="AH51" s="146">
        <f>_xlfn.IFNA(VLOOKUP($A51,Grants!$A:$BE,54,FALSE),0)</f>
        <v>54667.93</v>
      </c>
      <c r="AI51" s="146">
        <f>_xlfn.IFNA(VLOOKUP($A51,Grants!$A:$BE,55,FALSE),0)</f>
        <v>0</v>
      </c>
      <c r="AJ51" s="146">
        <f>_xlfn.IFNA(VLOOKUP($A51,Barclays!$A:$T,18,FALSE),0)</f>
        <v>18054.381330999986</v>
      </c>
      <c r="AK51" s="146">
        <f>_xlfn.IFNA(VLOOKUP($A51,'Summary Mar 2026'!$A:$GS,200,FALSE),0)</f>
        <v>-3815.97</v>
      </c>
      <c r="AL51" s="146">
        <f>_xlfn.IFNA(VLOOKUP($A51,Barclays!$A:$T,19,FALSE),0)</f>
        <v>-47.320000000000007</v>
      </c>
      <c r="AM51" s="146">
        <f>_xlfn.IFNA(VLOOKUP($A51,'Summary Mar 2026'!$A:$GS,201,FALSE),0)</f>
        <v>-9471</v>
      </c>
      <c r="AN51" s="146">
        <f>_xlfn.IFNA(VLOOKUP($A51,'Summary Mar 2026'!$A:$GS,199,FALSE),0)</f>
        <v>-9075.8399999999983</v>
      </c>
      <c r="AO51" s="146">
        <f>_xlfn.IFNA(VLOOKUP($A51,Grants!$A:$BE,56,FALSE),0)</f>
        <v>0</v>
      </c>
      <c r="AP51" s="65">
        <f t="shared" si="0"/>
        <v>2538529.9993745489</v>
      </c>
    </row>
    <row r="52" spans="1:42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0" t="str">
        <f>VLOOKUP(A52,'Summary Mar 2026'!$A$8:$F$206,6,FALSE)</f>
        <v>Chq Bk</v>
      </c>
      <c r="H52" s="288">
        <f>_xlfn.IFNA(VLOOKUP($A52,ISB!$A:$BY,67,FALSE),0)</f>
        <v>0</v>
      </c>
      <c r="I52" s="861">
        <f>_xlfn.IFNA(VLOOKUP(A52,'LA Deductions'!A:AN,40,FALSE),0)</f>
        <v>0</v>
      </c>
      <c r="J52" s="221">
        <f>_xlfn.IFNA(VLOOKUP($A52,ISB!$A:$BY,72,FALSE),0)</f>
        <v>0</v>
      </c>
      <c r="K52" s="289">
        <f>-_xlfn.IFNA(VLOOKUP($A52,ISB!$A:$BY,76,FALSE),0)</f>
        <v>0</v>
      </c>
      <c r="M52" s="288">
        <f>VLOOKUP($A52,EY!$A:$AAK,132,FALSE)</f>
        <v>739351.66370620346</v>
      </c>
      <c r="N52" s="288">
        <f>VLOOKUP($A52,EY!$A:$AAD,133,FALSE)</f>
        <v>7314.321329639889</v>
      </c>
      <c r="P52" s="288">
        <f>VLOOKUP($A52,HN!$A:$AM,38,FALSE)</f>
        <v>0</v>
      </c>
      <c r="Q52" s="288">
        <f>VLOOKUP($A52,HN!$A:$AM,39,FALSE)</f>
        <v>0</v>
      </c>
      <c r="S52" s="362">
        <f>_xlfn.IFNA(VLOOKUP(A52,'Post 16'!A:AR,44,FALSE),0)</f>
        <v>0</v>
      </c>
      <c r="U52" s="362">
        <f>VLOOKUP(A52,'LA Deductions'!A:W,23,FALSE)</f>
        <v>-3291.75</v>
      </c>
      <c r="W52" s="289">
        <f>VLOOKUP($A52,'Summary Mar 2026'!$A:$AAG,189,FALSE)-SUMIFS($H52:$U52,$H$7:$U$7,W$7)</f>
        <v>0</v>
      </c>
      <c r="X52" s="289">
        <f>VLOOKUP($A52,'Summary Mar 2026'!$A:$GL,190,FALSE)-SUMIFS($H52:$U52,$H$7:$U$7,X$7)</f>
        <v>0</v>
      </c>
      <c r="Y52" s="289">
        <f>VLOOKUP($A52,'Summary Mar 2026'!$A:$GL,191,FALSE)-SUMIFS($H52:$U52,$H$7:$U$7,Y$7)</f>
        <v>0</v>
      </c>
      <c r="Z52" s="289">
        <f>VLOOKUP($A52,'Summary Mar 2026'!$A:$GL,192,FALSE)-SUMIFS($H52:$U52,$H$7:$U$7,Z$7)</f>
        <v>0</v>
      </c>
      <c r="AA52" s="289">
        <f>VLOOKUP($A52,'Summary Mar 2026'!$A:$GL,193,FALSE)-SUMIFS($H52:$U52,$H$7:$U$7,AA$7)</f>
        <v>0</v>
      </c>
      <c r="AB52" s="289">
        <f>VLOOKUP($A52,'Summary Mar 2026'!$A:$GL,194,FALSE)-SUMIFS($H52:$U52,$H$7:$U$7,AB$7)</f>
        <v>0</v>
      </c>
      <c r="AD52" s="146">
        <f>_xlfn.IFNA(VLOOKUP($A52,'Summary Mar 2026'!$A:$GS,196,FALSE)+VLOOKUP($A52,OtherDSG!$A:$AI,34,FALSE)+VLOOKUP($A52,Grants!$A:$BE,50,FALSE),0)</f>
        <v>757040.66370620346</v>
      </c>
      <c r="AE52" s="146">
        <f>_xlfn.IFNA(VLOOKUP($A52,'Summary Mar 2026'!$A:$GS,197,FALSE)+VLOOKUP($A52,Grants!$A:$BE,51,FALSE),0)</f>
        <v>0</v>
      </c>
      <c r="AF52" s="146">
        <f>_xlfn.IFNA(VLOOKUP($A52,'Summary Mar 2026'!$A:$GS,198,FALSE)+VLOOKUP($A52,OtherDSG!$A:$AI,35,FALSE)+VLOOKUP($A52,Grants!$A:$BE,52,FALSE),0)</f>
        <v>42340.928129639891</v>
      </c>
      <c r="AG52" s="146">
        <f>_xlfn.IFNA(VLOOKUP($A52,Grants!$A:$BE,53,FALSE),0)</f>
        <v>0</v>
      </c>
      <c r="AH52" s="146">
        <f>_xlfn.IFNA(VLOOKUP($A52,Grants!$A:$BE,54,FALSE),0)</f>
        <v>0</v>
      </c>
      <c r="AI52" s="146">
        <f>_xlfn.IFNA(VLOOKUP($A52,Grants!$A:$BE,55,FALSE),0)</f>
        <v>0</v>
      </c>
      <c r="AJ52" s="146">
        <f>_xlfn.IFNA(VLOOKUP($A52,Barclays!$A:$T,18,FALSE),0)</f>
        <v>0</v>
      </c>
      <c r="AK52" s="146">
        <f>_xlfn.IFNA(VLOOKUP($A52,'Summary Mar 2026'!$A:$GS,200,FALSE),0)</f>
        <v>0</v>
      </c>
      <c r="AL52" s="146">
        <f>_xlfn.IFNA(VLOOKUP($A52,Barclays!$A:$T,19,FALSE),0)</f>
        <v>0</v>
      </c>
      <c r="AM52" s="146">
        <f>_xlfn.IFNA(VLOOKUP($A52,'Summary Mar 2026'!$A:$GS,201,FALSE),0)</f>
        <v>-3291.75</v>
      </c>
      <c r="AN52" s="146">
        <f>_xlfn.IFNA(VLOOKUP($A52,'Summary Mar 2026'!$A:$GS,199,FALSE),0)</f>
        <v>0</v>
      </c>
      <c r="AO52" s="146">
        <f>_xlfn.IFNA(VLOOKUP($A52,Grants!$A:$BE,56,FALSE),0)</f>
        <v>4891</v>
      </c>
      <c r="AP52" s="65">
        <f t="shared" si="0"/>
        <v>800980.8418358434</v>
      </c>
    </row>
    <row r="53" spans="1:42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0" t="str">
        <f>VLOOKUP(A53,'Summary Mar 2026'!$A$8:$F$206,6,FALSE)</f>
        <v>Chq Bk</v>
      </c>
      <c r="H53" s="288">
        <f>_xlfn.IFNA(VLOOKUP($A53,ISB!$A:$BY,67,FALSE),0)</f>
        <v>2493444.5930000003</v>
      </c>
      <c r="I53" s="861">
        <f>_xlfn.IFNA(VLOOKUP(A53,'LA Deductions'!A:AN,40,FALSE),0)</f>
        <v>-11999.6242</v>
      </c>
      <c r="J53" s="221">
        <f>_xlfn.IFNA(VLOOKUP($A53,ISB!$A:$BY,72,FALSE),0)</f>
        <v>-10953.599999999999</v>
      </c>
      <c r="K53" s="289">
        <f>-_xlfn.IFNA(VLOOKUP($A53,ISB!$A:$BY,76,FALSE),0)</f>
        <v>-28089.83</v>
      </c>
      <c r="M53" s="288">
        <f>VLOOKUP($A53,EY!$A:$AAK,132,FALSE)</f>
        <v>0</v>
      </c>
      <c r="N53" s="288">
        <f>VLOOKUP($A53,EY!$A:$AAD,133,FALSE)</f>
        <v>0</v>
      </c>
      <c r="P53" s="288">
        <f>VLOOKUP($A53,HN!$A:$AM,38,FALSE)</f>
        <v>0</v>
      </c>
      <c r="Q53" s="288">
        <f>VLOOKUP($A53,HN!$A:$AM,39,FALSE)</f>
        <v>0</v>
      </c>
      <c r="S53" s="362">
        <f>_xlfn.IFNA(VLOOKUP(A53,'Post 16'!A:AR,44,FALSE),0)</f>
        <v>0</v>
      </c>
      <c r="U53" s="362">
        <f>VLOOKUP(A53,'LA Deductions'!A:W,23,FALSE)</f>
        <v>-9471</v>
      </c>
      <c r="W53" s="289">
        <f>VLOOKUP($A53,'Summary Mar 2026'!$A:$AAG,189,FALSE)-SUMIFS($H53:$U53,$H$7:$U$7,W$7)</f>
        <v>0</v>
      </c>
      <c r="X53" s="289">
        <f>VLOOKUP($A53,'Summary Mar 2026'!$A:$GL,190,FALSE)-SUMIFS($H53:$U53,$H$7:$U$7,X$7)</f>
        <v>0</v>
      </c>
      <c r="Y53" s="289">
        <f>VLOOKUP($A53,'Summary Mar 2026'!$A:$GL,191,FALSE)-SUMIFS($H53:$U53,$H$7:$U$7,Y$7)</f>
        <v>0</v>
      </c>
      <c r="Z53" s="289">
        <f>VLOOKUP($A53,'Summary Mar 2026'!$A:$GL,192,FALSE)-SUMIFS($H53:$U53,$H$7:$U$7,Z$7)</f>
        <v>0</v>
      </c>
      <c r="AA53" s="289">
        <f>VLOOKUP($A53,'Summary Mar 2026'!$A:$GL,193,FALSE)-SUMIFS($H53:$U53,$H$7:$U$7,AA$7)</f>
        <v>0</v>
      </c>
      <c r="AB53" s="289">
        <f>VLOOKUP($A53,'Summary Mar 2026'!$A:$GL,194,FALSE)-SUMIFS($H53:$U53,$H$7:$U$7,AB$7)</f>
        <v>0</v>
      </c>
      <c r="AD53" s="146">
        <f>_xlfn.IFNA(VLOOKUP($A53,'Summary Mar 2026'!$A:$GS,196,FALSE)+VLOOKUP($A53,OtherDSG!$A:$AI,34,FALSE)+VLOOKUP($A53,Grants!$A:$BE,50,FALSE),0)</f>
        <v>2555691.9688000004</v>
      </c>
      <c r="AE53" s="146">
        <f>_xlfn.IFNA(VLOOKUP($A53,'Summary Mar 2026'!$A:$GS,197,FALSE)+VLOOKUP($A53,Grants!$A:$BE,51,FALSE),0)</f>
        <v>0</v>
      </c>
      <c r="AF53" s="146">
        <f>_xlfn.IFNA(VLOOKUP($A53,'Summary Mar 2026'!$A:$GS,198,FALSE)+VLOOKUP($A53,OtherDSG!$A:$AI,35,FALSE)+VLOOKUP($A53,Grants!$A:$BE,52,FALSE),0)</f>
        <v>266982.2433333334</v>
      </c>
      <c r="AG53" s="146">
        <f>_xlfn.IFNA(VLOOKUP($A53,Grants!$A:$BE,53,FALSE),0)</f>
        <v>299970</v>
      </c>
      <c r="AH53" s="146">
        <f>_xlfn.IFNA(VLOOKUP($A53,Grants!$A:$BE,54,FALSE),0)</f>
        <v>69745</v>
      </c>
      <c r="AI53" s="146">
        <f>_xlfn.IFNA(VLOOKUP($A53,Grants!$A:$BE,55,FALSE),0)</f>
        <v>0</v>
      </c>
      <c r="AJ53" s="146">
        <f>_xlfn.IFNA(VLOOKUP($A53,Barclays!$A:$T,18,FALSE),0)</f>
        <v>0</v>
      </c>
      <c r="AK53" s="146">
        <f>_xlfn.IFNA(VLOOKUP($A53,'Summary Mar 2026'!$A:$GS,200,FALSE),0)</f>
        <v>-28089.830000000005</v>
      </c>
      <c r="AL53" s="146">
        <f>_xlfn.IFNA(VLOOKUP($A53,Barclays!$A:$T,19,FALSE),0)</f>
        <v>0</v>
      </c>
      <c r="AM53" s="146">
        <f>_xlfn.IFNA(VLOOKUP($A53,'Summary Mar 2026'!$A:$GS,201,FALSE),0)</f>
        <v>-9471</v>
      </c>
      <c r="AN53" s="146">
        <f>_xlfn.IFNA(VLOOKUP($A53,'Summary Mar 2026'!$A:$GS,199,FALSE),0)</f>
        <v>-10953.599999999997</v>
      </c>
      <c r="AO53" s="146">
        <f>_xlfn.IFNA(VLOOKUP($A53,Grants!$A:$BE,56,FALSE),0)</f>
        <v>8680</v>
      </c>
      <c r="AP53" s="65">
        <f t="shared" si="0"/>
        <v>3152554.7821333339</v>
      </c>
    </row>
    <row r="54" spans="1:42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0" t="str">
        <f>VLOOKUP(A54,'Summary Mar 2026'!$A$8:$F$206,6,FALSE)</f>
        <v>Chq Bk</v>
      </c>
      <c r="H54" s="288">
        <f>_xlfn.IFNA(VLOOKUP($A54,ISB!$A:$BY,67,FALSE),0)</f>
        <v>1343114.9999659897</v>
      </c>
      <c r="I54" s="861">
        <f>_xlfn.IFNA(VLOOKUP(A54,'LA Deductions'!A:AN,40,FALSE),0)</f>
        <v>-8042.0828000000001</v>
      </c>
      <c r="J54" s="221">
        <f>_xlfn.IFNA(VLOOKUP($A54,ISB!$A:$BY,72,FALSE),0)</f>
        <v>-4876.96</v>
      </c>
      <c r="K54" s="289">
        <f>-_xlfn.IFNA(VLOOKUP($A54,ISB!$A:$BY,76,FALSE),0)</f>
        <v>-14979.66</v>
      </c>
      <c r="M54" s="288">
        <f>VLOOKUP($A54,EY!$A:$AAK,132,FALSE)</f>
        <v>56182.917174515234</v>
      </c>
      <c r="N54" s="288">
        <f>VLOOKUP($A54,EY!$A:$AAD,133,FALSE)</f>
        <v>0</v>
      </c>
      <c r="P54" s="288">
        <f>VLOOKUP($A54,HN!$A:$AM,38,FALSE)</f>
        <v>0</v>
      </c>
      <c r="Q54" s="288">
        <f>VLOOKUP($A54,HN!$A:$AM,39,FALSE)</f>
        <v>0</v>
      </c>
      <c r="S54" s="362">
        <f>_xlfn.IFNA(VLOOKUP(A54,'Post 16'!A:AR,44,FALSE),0)</f>
        <v>0</v>
      </c>
      <c r="U54" s="362">
        <f>VLOOKUP(A54,'LA Deductions'!A:W,23,FALSE)</f>
        <v>-5049</v>
      </c>
      <c r="W54" s="289">
        <f>VLOOKUP($A54,'Summary Mar 2026'!$A:$AAG,189,FALSE)-SUMIFS($H54:$U54,$H$7:$U$7,W$7)</f>
        <v>0</v>
      </c>
      <c r="X54" s="289">
        <f>VLOOKUP($A54,'Summary Mar 2026'!$A:$GL,190,FALSE)-SUMIFS($H54:$U54,$H$7:$U$7,X$7)</f>
        <v>0</v>
      </c>
      <c r="Y54" s="289">
        <f>VLOOKUP($A54,'Summary Mar 2026'!$A:$GL,191,FALSE)-SUMIFS($H54:$U54,$H$7:$U$7,Y$7)</f>
        <v>0</v>
      </c>
      <c r="Z54" s="289">
        <f>VLOOKUP($A54,'Summary Mar 2026'!$A:$GL,192,FALSE)-SUMIFS($H54:$U54,$H$7:$U$7,Z$7)</f>
        <v>0</v>
      </c>
      <c r="AA54" s="289">
        <f>VLOOKUP($A54,'Summary Mar 2026'!$A:$GL,193,FALSE)-SUMIFS($H54:$U54,$H$7:$U$7,AA$7)</f>
        <v>0</v>
      </c>
      <c r="AB54" s="289">
        <f>VLOOKUP($A54,'Summary Mar 2026'!$A:$GL,194,FALSE)-SUMIFS($H54:$U54,$H$7:$U$7,AB$7)</f>
        <v>0</v>
      </c>
      <c r="AD54" s="146">
        <f>_xlfn.IFNA(VLOOKUP($A54,'Summary Mar 2026'!$A:$GS,196,FALSE)+VLOOKUP($A54,OtherDSG!$A:$AI,34,FALSE)+VLOOKUP($A54,Grants!$A:$BE,50,FALSE),0)</f>
        <v>1432248.8343405048</v>
      </c>
      <c r="AE54" s="146">
        <f>_xlfn.IFNA(VLOOKUP($A54,'Summary Mar 2026'!$A:$GS,197,FALSE)+VLOOKUP($A54,Grants!$A:$BE,51,FALSE),0)</f>
        <v>0</v>
      </c>
      <c r="AF54" s="146">
        <f>_xlfn.IFNA(VLOOKUP($A54,'Summary Mar 2026'!$A:$GS,198,FALSE)+VLOOKUP($A54,OtherDSG!$A:$AI,35,FALSE)+VLOOKUP($A54,Grants!$A:$BE,52,FALSE),0)</f>
        <v>150819.59333333332</v>
      </c>
      <c r="AG54" s="146">
        <f>_xlfn.IFNA(VLOOKUP($A54,Grants!$A:$BE,53,FALSE),0)</f>
        <v>191075</v>
      </c>
      <c r="AH54" s="146">
        <f>_xlfn.IFNA(VLOOKUP($A54,Grants!$A:$BE,54,FALSE),0)</f>
        <v>36116</v>
      </c>
      <c r="AI54" s="146">
        <f>_xlfn.IFNA(VLOOKUP($A54,Grants!$A:$BE,55,FALSE),0)</f>
        <v>0</v>
      </c>
      <c r="AJ54" s="146">
        <f>_xlfn.IFNA(VLOOKUP($A54,Barclays!$A:$T,18,FALSE),0)</f>
        <v>0</v>
      </c>
      <c r="AK54" s="146">
        <f>_xlfn.IFNA(VLOOKUP($A54,'Summary Mar 2026'!$A:$GS,200,FALSE),0)</f>
        <v>-14979.660000000002</v>
      </c>
      <c r="AL54" s="146">
        <f>_xlfn.IFNA(VLOOKUP($A54,Barclays!$A:$T,19,FALSE),0)</f>
        <v>0</v>
      </c>
      <c r="AM54" s="146">
        <f>_xlfn.IFNA(VLOOKUP($A54,'Summary Mar 2026'!$A:$GS,201,FALSE),0)</f>
        <v>-5049</v>
      </c>
      <c r="AN54" s="146">
        <f>_xlfn.IFNA(VLOOKUP($A54,'Summary Mar 2026'!$A:$GS,199,FALSE),0)</f>
        <v>-4876.96</v>
      </c>
      <c r="AO54" s="146">
        <f>_xlfn.IFNA(VLOOKUP($A54,Grants!$A:$BE,56,FALSE),0)</f>
        <v>6337.75</v>
      </c>
      <c r="AP54" s="65">
        <f t="shared" si="0"/>
        <v>1791691.5576738382</v>
      </c>
    </row>
    <row r="55" spans="1:42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0" t="str">
        <f>VLOOKUP(A55,'Summary Mar 2026'!$A$8:$F$206,6,FALSE)</f>
        <v>Chq Bk</v>
      </c>
      <c r="H55" s="288">
        <f>_xlfn.IFNA(VLOOKUP($A55,ISB!$A:$BY,67,FALSE),0)</f>
        <v>2086293.97</v>
      </c>
      <c r="I55" s="861">
        <f>_xlfn.IFNA(VLOOKUP(A55,'LA Deductions'!A:AN,40,FALSE),0)</f>
        <v>0</v>
      </c>
      <c r="J55" s="221">
        <f>_xlfn.IFNA(VLOOKUP($A55,ISB!$A:$BY,72,FALSE),0)</f>
        <v>-10953.599999999999</v>
      </c>
      <c r="K55" s="289">
        <f>-_xlfn.IFNA(VLOOKUP($A55,ISB!$A:$BY,76,FALSE),0)</f>
        <v>-5193.97</v>
      </c>
      <c r="M55" s="288">
        <f>VLOOKUP($A55,EY!$A:$AAK,132,FALSE)</f>
        <v>0</v>
      </c>
      <c r="N55" s="288">
        <f>VLOOKUP($A55,EY!$A:$AAD,133,FALSE)</f>
        <v>0</v>
      </c>
      <c r="P55" s="288">
        <f>VLOOKUP($A55,HN!$A:$AM,38,FALSE)</f>
        <v>0</v>
      </c>
      <c r="Q55" s="288">
        <f>VLOOKUP($A55,HN!$A:$AM,39,FALSE)</f>
        <v>0</v>
      </c>
      <c r="S55" s="362">
        <f>_xlfn.IFNA(VLOOKUP(A55,'Post 16'!A:AR,44,FALSE),0)</f>
        <v>0</v>
      </c>
      <c r="U55" s="362">
        <f>VLOOKUP(A55,'LA Deductions'!A:W,23,FALSE)</f>
        <v>-11340</v>
      </c>
      <c r="W55" s="289">
        <f>VLOOKUP($A55,'Summary Mar 2026'!$A:$AAG,189,FALSE)-SUMIFS($H55:$U55,$H$7:$U$7,W$7)</f>
        <v>0</v>
      </c>
      <c r="X55" s="289">
        <f>VLOOKUP($A55,'Summary Mar 2026'!$A:$GL,190,FALSE)-SUMIFS($H55:$U55,$H$7:$U$7,X$7)</f>
        <v>0</v>
      </c>
      <c r="Y55" s="289">
        <f>VLOOKUP($A55,'Summary Mar 2026'!$A:$GL,191,FALSE)-SUMIFS($H55:$U55,$H$7:$U$7,Y$7)</f>
        <v>0</v>
      </c>
      <c r="Z55" s="289">
        <f>VLOOKUP($A55,'Summary Mar 2026'!$A:$GL,192,FALSE)-SUMIFS($H55:$U55,$H$7:$U$7,Z$7)</f>
        <v>0</v>
      </c>
      <c r="AA55" s="289">
        <f>VLOOKUP($A55,'Summary Mar 2026'!$A:$GL,193,FALSE)-SUMIFS($H55:$U55,$H$7:$U$7,AA$7)</f>
        <v>0</v>
      </c>
      <c r="AB55" s="289">
        <f>VLOOKUP($A55,'Summary Mar 2026'!$A:$GL,194,FALSE)-SUMIFS($H55:$U55,$H$7:$U$7,AB$7)</f>
        <v>0</v>
      </c>
      <c r="AD55" s="146">
        <f>_xlfn.IFNA(VLOOKUP($A55,'Summary Mar 2026'!$A:$GS,196,FALSE)+VLOOKUP($A55,OtherDSG!$A:$AI,34,FALSE)+VLOOKUP($A55,Grants!$A:$BE,50,FALSE),0)</f>
        <v>2141445.9699999997</v>
      </c>
      <c r="AE55" s="146">
        <f>_xlfn.IFNA(VLOOKUP($A55,'Summary Mar 2026'!$A:$GS,197,FALSE)+VLOOKUP($A55,Grants!$A:$BE,51,FALSE),0)</f>
        <v>0</v>
      </c>
      <c r="AF55" s="146">
        <f>_xlfn.IFNA(VLOOKUP($A55,'Summary Mar 2026'!$A:$GS,198,FALSE)+VLOOKUP($A55,OtherDSG!$A:$AI,35,FALSE)+VLOOKUP($A55,Grants!$A:$BE,52,FALSE),0)</f>
        <v>258099.84666666668</v>
      </c>
      <c r="AG55" s="146">
        <f>_xlfn.IFNA(VLOOKUP($A55,Grants!$A:$BE,53,FALSE),0)</f>
        <v>49910</v>
      </c>
      <c r="AH55" s="146">
        <f>_xlfn.IFNA(VLOOKUP($A55,Grants!$A:$BE,54,FALSE),0)</f>
        <v>103313.93</v>
      </c>
      <c r="AI55" s="146">
        <f>_xlfn.IFNA(VLOOKUP($A55,Grants!$A:$BE,55,FALSE),0)</f>
        <v>0</v>
      </c>
      <c r="AJ55" s="146">
        <f>_xlfn.IFNA(VLOOKUP($A55,Barclays!$A:$T,18,FALSE),0)</f>
        <v>9833.2061600000179</v>
      </c>
      <c r="AK55" s="146">
        <f>_xlfn.IFNA(VLOOKUP($A55,'Summary Mar 2026'!$A:$GS,200,FALSE),0)</f>
        <v>-5193.97</v>
      </c>
      <c r="AL55" s="146">
        <f>_xlfn.IFNA(VLOOKUP($A55,Barclays!$A:$T,19,FALSE),0)</f>
        <v>-91.14</v>
      </c>
      <c r="AM55" s="146">
        <f>_xlfn.IFNA(VLOOKUP($A55,'Summary Mar 2026'!$A:$GS,201,FALSE),0)</f>
        <v>-11340</v>
      </c>
      <c r="AN55" s="146">
        <f>_xlfn.IFNA(VLOOKUP($A55,'Summary Mar 2026'!$A:$GS,199,FALSE),0)</f>
        <v>-10953.599999999997</v>
      </c>
      <c r="AO55" s="146">
        <f>_xlfn.IFNA(VLOOKUP($A55,Grants!$A:$BE,56,FALSE),0)</f>
        <v>8758.75</v>
      </c>
      <c r="AP55" s="65">
        <f t="shared" si="0"/>
        <v>2543782.9928266662</v>
      </c>
    </row>
    <row r="56" spans="1:42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0" t="str">
        <f>VLOOKUP(A56,'Summary Mar 2026'!$A$8:$F$206,6,FALSE)</f>
        <v>Chq Bk</v>
      </c>
      <c r="H56" s="288">
        <f>_xlfn.IFNA(VLOOKUP($A56,ISB!$A:$BY,67,FALSE),0)</f>
        <v>0</v>
      </c>
      <c r="I56" s="861">
        <f>_xlfn.IFNA(VLOOKUP(A56,'LA Deductions'!A:AN,40,FALSE),0)</f>
        <v>0</v>
      </c>
      <c r="J56" s="221">
        <f>_xlfn.IFNA(VLOOKUP($A56,ISB!$A:$BY,72,FALSE),0)</f>
        <v>0</v>
      </c>
      <c r="K56" s="289">
        <f>-_xlfn.IFNA(VLOOKUP($A56,ISB!$A:$BY,76,FALSE),0)</f>
        <v>0</v>
      </c>
      <c r="M56" s="288">
        <f>VLOOKUP($A56,EY!$A:$AAK,132,FALSE)</f>
        <v>0</v>
      </c>
      <c r="N56" s="288">
        <f>VLOOKUP($A56,EY!$A:$AAD,133,FALSE)</f>
        <v>0</v>
      </c>
      <c r="P56" s="288">
        <f>VLOOKUP($A56,HN!$A:$AM,38,FALSE)</f>
        <v>1227105.0000000002</v>
      </c>
      <c r="Q56" s="288">
        <f>VLOOKUP($A56,HN!$A:$AM,39,FALSE)</f>
        <v>1770585.8164098572</v>
      </c>
      <c r="S56" s="362">
        <f>_xlfn.IFNA(VLOOKUP(A56,'Post 16'!A:AR,44,FALSE),0)</f>
        <v>0</v>
      </c>
      <c r="U56" s="362">
        <f>VLOOKUP(A56,'LA Deductions'!A:W,23,FALSE)</f>
        <v>-3291.75</v>
      </c>
      <c r="W56" s="289">
        <f>VLOOKUP($A56,'Summary Mar 2026'!$A:$AAG,189,FALSE)-SUMIFS($H56:$U56,$H$7:$U$7,W$7)</f>
        <v>0</v>
      </c>
      <c r="X56" s="289">
        <f>VLOOKUP($A56,'Summary Mar 2026'!$A:$GL,190,FALSE)-SUMIFS($H56:$U56,$H$7:$U$7,X$7)</f>
        <v>0</v>
      </c>
      <c r="Y56" s="289">
        <f>VLOOKUP($A56,'Summary Mar 2026'!$A:$GL,191,FALSE)-SUMIFS($H56:$U56,$H$7:$U$7,Y$7)</f>
        <v>0</v>
      </c>
      <c r="Z56" s="289">
        <f>VLOOKUP($A56,'Summary Mar 2026'!$A:$GL,192,FALSE)-SUMIFS($H56:$U56,$H$7:$U$7,Z$7)</f>
        <v>0</v>
      </c>
      <c r="AA56" s="289">
        <f>VLOOKUP($A56,'Summary Mar 2026'!$A:$GL,193,FALSE)-SUMIFS($H56:$U56,$H$7:$U$7,AA$7)</f>
        <v>0</v>
      </c>
      <c r="AB56" s="289">
        <f>VLOOKUP($A56,'Summary Mar 2026'!$A:$GL,194,FALSE)-SUMIFS($H56:$U56,$H$7:$U$7,AB$7)</f>
        <v>0</v>
      </c>
      <c r="AD56" s="146">
        <f>_xlfn.IFNA(VLOOKUP($A56,'Summary Mar 2026'!$A:$GS,196,FALSE)+VLOOKUP($A56,OtherDSG!$A:$AI,34,FALSE)+VLOOKUP($A56,Grants!$A:$BE,50,FALSE),0)</f>
        <v>1222491.4182608698</v>
      </c>
      <c r="AE56" s="146">
        <f>_xlfn.IFNA(VLOOKUP($A56,'Summary Mar 2026'!$A:$GS,197,FALSE)+VLOOKUP($A56,Grants!$A:$BE,51,FALSE),0)</f>
        <v>33256.899632097804</v>
      </c>
      <c r="AF56" s="146">
        <f>_xlfn.IFNA(VLOOKUP($A56,'Summary Mar 2026'!$A:$GS,198,FALSE)+VLOOKUP($A56,OtherDSG!$A:$AI,35,FALSE)+VLOOKUP($A56,Grants!$A:$BE,52,FALSE),0)</f>
        <v>2096695.9007428228</v>
      </c>
      <c r="AG56" s="146">
        <f>_xlfn.IFNA(VLOOKUP($A56,Grants!$A:$BE,53,FALSE),0)</f>
        <v>54825</v>
      </c>
      <c r="AH56" s="146">
        <f>_xlfn.IFNA(VLOOKUP($A56,Grants!$A:$BE,54,FALSE),0)</f>
        <v>0</v>
      </c>
      <c r="AI56" s="146">
        <f>_xlfn.IFNA(VLOOKUP($A56,Grants!$A:$BE,55,FALSE),0)</f>
        <v>0</v>
      </c>
      <c r="AJ56" s="146">
        <f>_xlfn.IFNA(VLOOKUP($A56,Barclays!$A:$T,18,FALSE),0)</f>
        <v>0</v>
      </c>
      <c r="AK56" s="146">
        <f>_xlfn.IFNA(VLOOKUP($A56,'Summary Mar 2026'!$A:$GS,200,FALSE),0)</f>
        <v>0</v>
      </c>
      <c r="AL56" s="146">
        <f>_xlfn.IFNA(VLOOKUP($A56,Barclays!$A:$T,19,FALSE),0)</f>
        <v>0</v>
      </c>
      <c r="AM56" s="146">
        <f>_xlfn.IFNA(VLOOKUP($A56,'Summary Mar 2026'!$A:$GS,201,FALSE),0)</f>
        <v>-3291.75</v>
      </c>
      <c r="AN56" s="146">
        <f>_xlfn.IFNA(VLOOKUP($A56,'Summary Mar 2026'!$A:$GS,199,FALSE),0)</f>
        <v>0</v>
      </c>
      <c r="AO56" s="146">
        <f>_xlfn.IFNA(VLOOKUP($A56,Grants!$A:$BE,56,FALSE),0)</f>
        <v>9568.75</v>
      </c>
      <c r="AP56" s="65">
        <f t="shared" si="0"/>
        <v>3413546.2186357905</v>
      </c>
    </row>
    <row r="57" spans="1:42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0" t="str">
        <f>VLOOKUP(A57,'Summary Mar 2026'!$A$8:$F$206,6,FALSE)</f>
        <v>Chq Bk</v>
      </c>
      <c r="H57" s="288">
        <f>_xlfn.IFNA(VLOOKUP($A57,ISB!$A:$BY,67,FALSE),0)</f>
        <v>0</v>
      </c>
      <c r="I57" s="861">
        <f>_xlfn.IFNA(VLOOKUP(A57,'LA Deductions'!A:AN,40,FALSE),0)</f>
        <v>0</v>
      </c>
      <c r="J57" s="221">
        <f>_xlfn.IFNA(VLOOKUP($A57,ISB!$A:$BY,72,FALSE),0)</f>
        <v>0</v>
      </c>
      <c r="K57" s="289">
        <f>-_xlfn.IFNA(VLOOKUP($A57,ISB!$A:$BY,76,FALSE),0)</f>
        <v>0</v>
      </c>
      <c r="M57" s="288">
        <f>VLOOKUP($A57,EY!$A:$AAK,132,FALSE)</f>
        <v>523278.96537724161</v>
      </c>
      <c r="N57" s="288">
        <f>VLOOKUP($A57,EY!$A:$AAD,133,FALSE)</f>
        <v>17367.810526315789</v>
      </c>
      <c r="P57" s="288">
        <f>VLOOKUP($A57,HN!$A:$AM,38,FALSE)</f>
        <v>60000</v>
      </c>
      <c r="Q57" s="288">
        <f>VLOOKUP($A57,HN!$A:$AM,39,FALSE)</f>
        <v>57514.37</v>
      </c>
      <c r="S57" s="362">
        <f>_xlfn.IFNA(VLOOKUP(A57,'Post 16'!A:AR,44,FALSE),0)</f>
        <v>0</v>
      </c>
      <c r="U57" s="362">
        <f>VLOOKUP(A57,'LA Deductions'!A:W,23,FALSE)</f>
        <v>-3291.75</v>
      </c>
      <c r="W57" s="289">
        <f>VLOOKUP($A57,'Summary Mar 2026'!$A:$AAG,189,FALSE)-SUMIFS($H57:$U57,$H$7:$U$7,W$7)</f>
        <v>0</v>
      </c>
      <c r="X57" s="289">
        <f>VLOOKUP($A57,'Summary Mar 2026'!$A:$GL,190,FALSE)-SUMIFS($H57:$U57,$H$7:$U$7,X$7)</f>
        <v>0</v>
      </c>
      <c r="Y57" s="289">
        <f>VLOOKUP($A57,'Summary Mar 2026'!$A:$GL,191,FALSE)-SUMIFS($H57:$U57,$H$7:$U$7,Y$7)</f>
        <v>0</v>
      </c>
      <c r="Z57" s="289">
        <f>VLOOKUP($A57,'Summary Mar 2026'!$A:$GL,192,FALSE)-SUMIFS($H57:$U57,$H$7:$U$7,Z$7)</f>
        <v>0</v>
      </c>
      <c r="AA57" s="289">
        <f>VLOOKUP($A57,'Summary Mar 2026'!$A:$GL,193,FALSE)-SUMIFS($H57:$U57,$H$7:$U$7,AA$7)</f>
        <v>0</v>
      </c>
      <c r="AB57" s="289">
        <f>VLOOKUP($A57,'Summary Mar 2026'!$A:$GL,194,FALSE)-SUMIFS($H57:$U57,$H$7:$U$7,AB$7)</f>
        <v>0</v>
      </c>
      <c r="AD57" s="146">
        <f>_xlfn.IFNA(VLOOKUP($A57,'Summary Mar 2026'!$A:$GS,196,FALSE)+VLOOKUP($A57,OtherDSG!$A:$AI,34,FALSE)+VLOOKUP($A57,Grants!$A:$BE,50,FALSE),0)</f>
        <v>593676.96537724161</v>
      </c>
      <c r="AE57" s="146">
        <f>_xlfn.IFNA(VLOOKUP($A57,'Summary Mar 2026'!$A:$GS,197,FALSE)+VLOOKUP($A57,Grants!$A:$BE,51,FALSE),0)</f>
        <v>0</v>
      </c>
      <c r="AF57" s="146">
        <f>_xlfn.IFNA(VLOOKUP($A57,'Summary Mar 2026'!$A:$GS,198,FALSE)+VLOOKUP($A57,OtherDSG!$A:$AI,35,FALSE)+VLOOKUP($A57,Grants!$A:$BE,52,FALSE),0)</f>
        <v>117487.27052631578</v>
      </c>
      <c r="AG57" s="146">
        <f>_xlfn.IFNA(VLOOKUP($A57,Grants!$A:$BE,53,FALSE),0)</f>
        <v>0</v>
      </c>
      <c r="AH57" s="146">
        <f>_xlfn.IFNA(VLOOKUP($A57,Grants!$A:$BE,54,FALSE),0)</f>
        <v>0</v>
      </c>
      <c r="AI57" s="146">
        <f>_xlfn.IFNA(VLOOKUP($A57,Grants!$A:$BE,55,FALSE),0)</f>
        <v>0</v>
      </c>
      <c r="AJ57" s="146">
        <f>_xlfn.IFNA(VLOOKUP($A57,Barclays!$A:$T,18,FALSE),0)</f>
        <v>8333.5539950000039</v>
      </c>
      <c r="AK57" s="146">
        <f>_xlfn.IFNA(VLOOKUP($A57,'Summary Mar 2026'!$A:$GS,200,FALSE),0)</f>
        <v>0</v>
      </c>
      <c r="AL57" s="146">
        <f>_xlfn.IFNA(VLOOKUP($A57,Barclays!$A:$T,19,FALSE),0)</f>
        <v>-104.22999999999998</v>
      </c>
      <c r="AM57" s="146">
        <f>_xlfn.IFNA(VLOOKUP($A57,'Summary Mar 2026'!$A:$GS,201,FALSE),0)</f>
        <v>-3291.75</v>
      </c>
      <c r="AN57" s="146">
        <f>_xlfn.IFNA(VLOOKUP($A57,'Summary Mar 2026'!$A:$GS,199,FALSE),0)</f>
        <v>0</v>
      </c>
      <c r="AO57" s="146">
        <f>_xlfn.IFNA(VLOOKUP($A57,Grants!$A:$BE,56,FALSE),0)</f>
        <v>4708.75</v>
      </c>
      <c r="AP57" s="65">
        <f t="shared" si="0"/>
        <v>720810.55989855737</v>
      </c>
    </row>
    <row r="58" spans="1:42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0" t="str">
        <f>VLOOKUP(A58,'Summary Mar 2026'!$A$8:$F$206,6,FALSE)</f>
        <v>Chq Bk</v>
      </c>
      <c r="H58" s="288">
        <f>_xlfn.IFNA(VLOOKUP($A58,ISB!$A:$BY,67,FALSE),0)</f>
        <v>2197762.5943344743</v>
      </c>
      <c r="I58" s="861">
        <f>_xlfn.IFNA(VLOOKUP(A58,'LA Deductions'!A:AN,40,FALSE),0)</f>
        <v>0</v>
      </c>
      <c r="J58" s="221">
        <f>_xlfn.IFNA(VLOOKUP($A58,ISB!$A:$BY,72,FALSE),0)</f>
        <v>-10875.359999999999</v>
      </c>
      <c r="K58" s="289">
        <f>-_xlfn.IFNA(VLOOKUP($A58,ISB!$A:$BY,76,FALSE),0)</f>
        <v>-41339.75</v>
      </c>
      <c r="M58" s="288">
        <f>VLOOKUP($A58,EY!$A:$AAK,132,FALSE)</f>
        <v>0</v>
      </c>
      <c r="N58" s="288">
        <f>VLOOKUP($A58,EY!$A:$AAD,133,FALSE)</f>
        <v>0</v>
      </c>
      <c r="P58" s="288">
        <f>VLOOKUP($A58,HN!$A:$AM,38,FALSE)</f>
        <v>0</v>
      </c>
      <c r="Q58" s="288">
        <f>VLOOKUP($A58,HN!$A:$AM,39,FALSE)</f>
        <v>0</v>
      </c>
      <c r="S58" s="362">
        <f>_xlfn.IFNA(VLOOKUP(A58,'Post 16'!A:AR,44,FALSE),0)</f>
        <v>0</v>
      </c>
      <c r="U58" s="362">
        <f>VLOOKUP(A58,'LA Deductions'!A:W,23,FALSE)</f>
        <v>-9471</v>
      </c>
      <c r="W58" s="289">
        <f>VLOOKUP($A58,'Summary Mar 2026'!$A:$AAG,189,FALSE)-SUMIFS($H58:$U58,$H$7:$U$7,W$7)</f>
        <v>0</v>
      </c>
      <c r="X58" s="289">
        <f>VLOOKUP($A58,'Summary Mar 2026'!$A:$GL,190,FALSE)-SUMIFS($H58:$U58,$H$7:$U$7,X$7)</f>
        <v>0</v>
      </c>
      <c r="Y58" s="289">
        <f>VLOOKUP($A58,'Summary Mar 2026'!$A:$GL,191,FALSE)-SUMIFS($H58:$U58,$H$7:$U$7,Y$7)</f>
        <v>0</v>
      </c>
      <c r="Z58" s="289">
        <f>VLOOKUP($A58,'Summary Mar 2026'!$A:$GL,192,FALSE)-SUMIFS($H58:$U58,$H$7:$U$7,Z$7)</f>
        <v>0</v>
      </c>
      <c r="AA58" s="289">
        <f>VLOOKUP($A58,'Summary Mar 2026'!$A:$GL,193,FALSE)-SUMIFS($H58:$U58,$H$7:$U$7,AA$7)</f>
        <v>0</v>
      </c>
      <c r="AB58" s="289">
        <f>VLOOKUP($A58,'Summary Mar 2026'!$A:$GL,194,FALSE)-SUMIFS($H58:$U58,$H$7:$U$7,AB$7)</f>
        <v>0</v>
      </c>
      <c r="AD58" s="146">
        <f>_xlfn.IFNA(VLOOKUP($A58,'Summary Mar 2026'!$A:$GS,196,FALSE)+VLOOKUP($A58,OtherDSG!$A:$AI,34,FALSE)+VLOOKUP($A58,Grants!$A:$BE,50,FALSE),0)</f>
        <v>2266806.5943344748</v>
      </c>
      <c r="AE58" s="146">
        <f>_xlfn.IFNA(VLOOKUP($A58,'Summary Mar 2026'!$A:$GS,197,FALSE)+VLOOKUP($A58,Grants!$A:$BE,51,FALSE),0)</f>
        <v>0</v>
      </c>
      <c r="AF58" s="146">
        <f>_xlfn.IFNA(VLOOKUP($A58,'Summary Mar 2026'!$A:$GS,198,FALSE)+VLOOKUP($A58,OtherDSG!$A:$AI,35,FALSE)+VLOOKUP($A58,Grants!$A:$BE,52,FALSE),0)</f>
        <v>174381.51666666666</v>
      </c>
      <c r="AG58" s="146">
        <f>_xlfn.IFNA(VLOOKUP($A58,Grants!$A:$BE,53,FALSE),0)</f>
        <v>238920</v>
      </c>
      <c r="AH58" s="146">
        <f>_xlfn.IFNA(VLOOKUP($A58,Grants!$A:$BE,54,FALSE),0)</f>
        <v>73063</v>
      </c>
      <c r="AI58" s="146">
        <f>_xlfn.IFNA(VLOOKUP($A58,Grants!$A:$BE,55,FALSE),0)</f>
        <v>0</v>
      </c>
      <c r="AJ58" s="146">
        <f>_xlfn.IFNA(VLOOKUP($A58,Barclays!$A:$T,18,FALSE),0)</f>
        <v>8152.9468550000702</v>
      </c>
      <c r="AK58" s="146">
        <f>_xlfn.IFNA(VLOOKUP($A58,'Summary Mar 2026'!$A:$GS,200,FALSE),0)</f>
        <v>-41339.75</v>
      </c>
      <c r="AL58" s="146">
        <f>_xlfn.IFNA(VLOOKUP($A58,Barclays!$A:$T,19,FALSE),0)</f>
        <v>-118.94</v>
      </c>
      <c r="AM58" s="146">
        <f>_xlfn.IFNA(VLOOKUP($A58,'Summary Mar 2026'!$A:$GS,201,FALSE),0)</f>
        <v>-9471</v>
      </c>
      <c r="AN58" s="146">
        <f>_xlfn.IFNA(VLOOKUP($A58,'Summary Mar 2026'!$A:$GS,199,FALSE),0)</f>
        <v>-10875.36</v>
      </c>
      <c r="AO58" s="146">
        <f>_xlfn.IFNA(VLOOKUP($A58,Grants!$A:$BE,56,FALSE),0)</f>
        <v>8713.75</v>
      </c>
      <c r="AP58" s="65">
        <f t="shared" si="0"/>
        <v>2708232.7578561418</v>
      </c>
    </row>
    <row r="59" spans="1:42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0" t="str">
        <f>VLOOKUP(A59,'Summary Mar 2026'!$A$8:$F$206,6,FALSE)</f>
        <v>Chq bk</v>
      </c>
      <c r="H59" s="288">
        <f>_xlfn.IFNA(VLOOKUP($A59,ISB!$A:$BY,67,FALSE),0)</f>
        <v>1503044.2674120141</v>
      </c>
      <c r="I59" s="861">
        <f>_xlfn.IFNA(VLOOKUP(A59,'LA Deductions'!A:AN,40,FALSE),0)</f>
        <v>0</v>
      </c>
      <c r="J59" s="221">
        <f>_xlfn.IFNA(VLOOKUP($A59,ISB!$A:$BY,72,FALSE),0)</f>
        <v>-6754.7199999999993</v>
      </c>
      <c r="K59" s="289">
        <f>-_xlfn.IFNA(VLOOKUP($A59,ISB!$A:$BY,76,FALSE),0)</f>
        <v>-31269.81</v>
      </c>
      <c r="M59" s="288">
        <f>VLOOKUP($A59,EY!$A:$AAK,132,FALSE)</f>
        <v>0</v>
      </c>
      <c r="N59" s="288">
        <f>VLOOKUP($A59,EY!$A:$AAD,133,FALSE)</f>
        <v>0</v>
      </c>
      <c r="P59" s="288">
        <f>VLOOKUP($A59,HN!$A:$AM,38,FALSE)</f>
        <v>0</v>
      </c>
      <c r="Q59" s="288">
        <f>VLOOKUP($A59,HN!$A:$AM,39,FALSE)</f>
        <v>0</v>
      </c>
      <c r="S59" s="362">
        <f>_xlfn.IFNA(VLOOKUP(A59,'Post 16'!A:AR,44,FALSE),0)</f>
        <v>0</v>
      </c>
      <c r="U59" s="362">
        <f>VLOOKUP(A59,'LA Deductions'!A:W,23,FALSE)</f>
        <v>-5139.75</v>
      </c>
      <c r="W59" s="289">
        <f>VLOOKUP($A59,'Summary Mar 2026'!$A:$AAG,189,FALSE)-SUMIFS($H59:$U59,$H$7:$U$7,W$7)</f>
        <v>0</v>
      </c>
      <c r="X59" s="289">
        <f>VLOOKUP($A59,'Summary Mar 2026'!$A:$GL,190,FALSE)-SUMIFS($H59:$U59,$H$7:$U$7,X$7)</f>
        <v>0</v>
      </c>
      <c r="Y59" s="289">
        <f>VLOOKUP($A59,'Summary Mar 2026'!$A:$GL,191,FALSE)-SUMIFS($H59:$U59,$H$7:$U$7,Y$7)</f>
        <v>0</v>
      </c>
      <c r="Z59" s="289">
        <f>VLOOKUP($A59,'Summary Mar 2026'!$A:$GL,192,FALSE)-SUMIFS($H59:$U59,$H$7:$U$7,Z$7)</f>
        <v>0</v>
      </c>
      <c r="AA59" s="289">
        <f>VLOOKUP($A59,'Summary Mar 2026'!$A:$GL,193,FALSE)-SUMIFS($H59:$U59,$H$7:$U$7,AA$7)</f>
        <v>0</v>
      </c>
      <c r="AB59" s="289">
        <f>VLOOKUP($A59,'Summary Mar 2026'!$A:$GL,194,FALSE)-SUMIFS($H59:$U59,$H$7:$U$7,AB$7)</f>
        <v>0</v>
      </c>
      <c r="AD59" s="146">
        <f>_xlfn.IFNA(VLOOKUP($A59,'Summary Mar 2026'!$A:$GS,196,FALSE)+VLOOKUP($A59,OtherDSG!$A:$AI,34,FALSE)+VLOOKUP($A59,Grants!$A:$BE,50,FALSE),0)</f>
        <v>1547563.2674120143</v>
      </c>
      <c r="AE59" s="146">
        <f>_xlfn.IFNA(VLOOKUP($A59,'Summary Mar 2026'!$A:$GS,197,FALSE)+VLOOKUP($A59,Grants!$A:$BE,51,FALSE),0)</f>
        <v>0</v>
      </c>
      <c r="AF59" s="146">
        <f>_xlfn.IFNA(VLOOKUP($A59,'Summary Mar 2026'!$A:$GS,198,FALSE)+VLOOKUP($A59,OtherDSG!$A:$AI,35,FALSE)+VLOOKUP($A59,Grants!$A:$BE,52,FALSE),0)</f>
        <v>113003.65666666668</v>
      </c>
      <c r="AG59" s="146">
        <f>_xlfn.IFNA(VLOOKUP($A59,Grants!$A:$BE,53,FALSE),0)</f>
        <v>152215</v>
      </c>
      <c r="AH59" s="146">
        <f>_xlfn.IFNA(VLOOKUP($A59,Grants!$A:$BE,54,FALSE),0)</f>
        <v>61419.18</v>
      </c>
      <c r="AI59" s="146">
        <f>_xlfn.IFNA(VLOOKUP($A59,Grants!$A:$BE,55,FALSE),0)</f>
        <v>0</v>
      </c>
      <c r="AJ59" s="146">
        <f>_xlfn.IFNA(VLOOKUP($A59,Barclays!$A:$T,18,FALSE),0)</f>
        <v>0</v>
      </c>
      <c r="AK59" s="146">
        <f>_xlfn.IFNA(VLOOKUP($A59,'Summary Mar 2026'!$A:$GS,200,FALSE),0)</f>
        <v>-31269.810000000009</v>
      </c>
      <c r="AL59" s="146">
        <f>_xlfn.IFNA(VLOOKUP($A59,Barclays!$A:$T,19,FALSE),0)</f>
        <v>0</v>
      </c>
      <c r="AM59" s="146">
        <f>_xlfn.IFNA(VLOOKUP($A59,'Summary Mar 2026'!$A:$GS,201,FALSE),0)</f>
        <v>-5139.75</v>
      </c>
      <c r="AN59" s="146">
        <f>_xlfn.IFNA(VLOOKUP($A59,'Summary Mar 2026'!$A:$GS,199,FALSE),0)</f>
        <v>-6754.72</v>
      </c>
      <c r="AO59" s="146">
        <f>_xlfn.IFNA(VLOOKUP($A59,Grants!$A:$BE,56,FALSE),0)</f>
        <v>7262.5</v>
      </c>
      <c r="AP59" s="65">
        <f t="shared" si="0"/>
        <v>1838299.3240786809</v>
      </c>
    </row>
    <row r="60" spans="1:42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0" t="str">
        <f>VLOOKUP(A60,'Summary Mar 2026'!$A$8:$F$206,6,FALSE)</f>
        <v>Chq Bk</v>
      </c>
      <c r="H60" s="288">
        <f>_xlfn.IFNA(VLOOKUP($A60,ISB!$A:$BY,67,FALSE),0)</f>
        <v>0</v>
      </c>
      <c r="I60" s="861">
        <f>_xlfn.IFNA(VLOOKUP(A60,'LA Deductions'!A:AN,40,FALSE),0)</f>
        <v>0</v>
      </c>
      <c r="J60" s="221">
        <f>_xlfn.IFNA(VLOOKUP($A60,ISB!$A:$BY,72,FALSE),0)</f>
        <v>0</v>
      </c>
      <c r="K60" s="289">
        <f>-_xlfn.IFNA(VLOOKUP($A60,ISB!$A:$BY,76,FALSE),0)</f>
        <v>0</v>
      </c>
      <c r="M60" s="288">
        <f>VLOOKUP($A60,EY!$A:$AAK,132,FALSE)</f>
        <v>738834.78906605917</v>
      </c>
      <c r="N60" s="288">
        <f>VLOOKUP($A60,EY!$A:$AAD,133,FALSE)</f>
        <v>15980.817728531856</v>
      </c>
      <c r="P60" s="288">
        <f>VLOOKUP($A60,HN!$A:$AM,38,FALSE)</f>
        <v>0</v>
      </c>
      <c r="Q60" s="288">
        <f>VLOOKUP($A60,HN!$A:$AM,39,FALSE)</f>
        <v>0</v>
      </c>
      <c r="S60" s="362">
        <f>_xlfn.IFNA(VLOOKUP(A60,'Post 16'!A:AR,44,FALSE),0)</f>
        <v>0</v>
      </c>
      <c r="U60" s="362">
        <f>VLOOKUP(A60,'LA Deductions'!A:W,23,FALSE)</f>
        <v>-3291.75</v>
      </c>
      <c r="W60" s="289">
        <f>VLOOKUP($A60,'Summary Mar 2026'!$A:$AAG,189,FALSE)-SUMIFS($H60:$U60,$H$7:$U$7,W$7)</f>
        <v>0</v>
      </c>
      <c r="X60" s="289">
        <f>VLOOKUP($A60,'Summary Mar 2026'!$A:$GL,190,FALSE)-SUMIFS($H60:$U60,$H$7:$U$7,X$7)</f>
        <v>0</v>
      </c>
      <c r="Y60" s="289">
        <f>VLOOKUP($A60,'Summary Mar 2026'!$A:$GL,191,FALSE)-SUMIFS($H60:$U60,$H$7:$U$7,Y$7)</f>
        <v>0</v>
      </c>
      <c r="Z60" s="289">
        <f>VLOOKUP($A60,'Summary Mar 2026'!$A:$GL,192,FALSE)-SUMIFS($H60:$U60,$H$7:$U$7,Z$7)</f>
        <v>0</v>
      </c>
      <c r="AA60" s="289">
        <f>VLOOKUP($A60,'Summary Mar 2026'!$A:$GL,193,FALSE)-SUMIFS($H60:$U60,$H$7:$U$7,AA$7)</f>
        <v>0</v>
      </c>
      <c r="AB60" s="289">
        <f>VLOOKUP($A60,'Summary Mar 2026'!$A:$GL,194,FALSE)-SUMIFS($H60:$U60,$H$7:$U$7,AB$7)</f>
        <v>0</v>
      </c>
      <c r="AD60" s="146">
        <f>_xlfn.IFNA(VLOOKUP($A60,'Summary Mar 2026'!$A:$GS,196,FALSE)+VLOOKUP($A60,OtherDSG!$A:$AI,34,FALSE)+VLOOKUP($A60,Grants!$A:$BE,50,FALSE),0)</f>
        <v>755584.78906605917</v>
      </c>
      <c r="AE60" s="146">
        <f>_xlfn.IFNA(VLOOKUP($A60,'Summary Mar 2026'!$A:$GS,197,FALSE)+VLOOKUP($A60,Grants!$A:$BE,51,FALSE),0)</f>
        <v>0</v>
      </c>
      <c r="AF60" s="146">
        <f>_xlfn.IFNA(VLOOKUP($A60,'Summary Mar 2026'!$A:$GS,198,FALSE)+VLOOKUP($A60,OtherDSG!$A:$AI,35,FALSE)+VLOOKUP($A60,Grants!$A:$BE,52,FALSE),0)</f>
        <v>56448.539328531857</v>
      </c>
      <c r="AG60" s="146">
        <f>_xlfn.IFNA(VLOOKUP($A60,Grants!$A:$BE,53,FALSE),0)</f>
        <v>0</v>
      </c>
      <c r="AH60" s="146">
        <f>_xlfn.IFNA(VLOOKUP($A60,Grants!$A:$BE,54,FALSE),0)</f>
        <v>0</v>
      </c>
      <c r="AI60" s="146">
        <f>_xlfn.IFNA(VLOOKUP($A60,Grants!$A:$BE,55,FALSE),0)</f>
        <v>0</v>
      </c>
      <c r="AJ60" s="146">
        <f>_xlfn.IFNA(VLOOKUP($A60,Barclays!$A:$T,18,FALSE),0)</f>
        <v>11997.49541999999</v>
      </c>
      <c r="AK60" s="146">
        <f>_xlfn.IFNA(VLOOKUP($A60,'Summary Mar 2026'!$A:$GS,200,FALSE),0)</f>
        <v>0</v>
      </c>
      <c r="AL60" s="146">
        <f>_xlfn.IFNA(VLOOKUP($A60,Barclays!$A:$T,19,FALSE),0)</f>
        <v>-63.539999999999971</v>
      </c>
      <c r="AM60" s="146">
        <f>_xlfn.IFNA(VLOOKUP($A60,'Summary Mar 2026'!$A:$GS,201,FALSE),0)</f>
        <v>-3291.75</v>
      </c>
      <c r="AN60" s="146">
        <f>_xlfn.IFNA(VLOOKUP($A60,'Summary Mar 2026'!$A:$GS,199,FALSE),0)</f>
        <v>0</v>
      </c>
      <c r="AO60" s="146">
        <f>_xlfn.IFNA(VLOOKUP($A60,Grants!$A:$BE,56,FALSE),0)</f>
        <v>4918</v>
      </c>
      <c r="AP60" s="65">
        <f t="shared" si="0"/>
        <v>825593.53381459089</v>
      </c>
    </row>
    <row r="61" spans="1:42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0" t="str">
        <f>VLOOKUP(A61,'Summary Mar 2026'!$A$8:$F$206,6,FALSE)</f>
        <v>Chq Bk</v>
      </c>
      <c r="H61" s="288">
        <f>_xlfn.IFNA(VLOOKUP($A61,ISB!$A:$BY,67,FALSE),0)</f>
        <v>0</v>
      </c>
      <c r="I61" s="861">
        <f>_xlfn.IFNA(VLOOKUP(A61,'LA Deductions'!A:AN,40,FALSE),0)</f>
        <v>0</v>
      </c>
      <c r="J61" s="221">
        <f>_xlfn.IFNA(VLOOKUP($A61,ISB!$A:$BY,72,FALSE),0)</f>
        <v>0</v>
      </c>
      <c r="K61" s="289">
        <f>-_xlfn.IFNA(VLOOKUP($A61,ISB!$A:$BY,76,FALSE),0)</f>
        <v>0</v>
      </c>
      <c r="M61" s="288">
        <f>VLOOKUP($A61,EY!$A:$AAK,132,FALSE)</f>
        <v>635961.36962430645</v>
      </c>
      <c r="N61" s="288">
        <f>VLOOKUP($A61,EY!$A:$AAD,133,FALSE)</f>
        <v>9075.4747922437673</v>
      </c>
      <c r="P61" s="288">
        <f>VLOOKUP($A61,HN!$A:$AM,38,FALSE)</f>
        <v>0</v>
      </c>
      <c r="Q61" s="288">
        <f>VLOOKUP($A61,HN!$A:$AM,39,FALSE)</f>
        <v>0</v>
      </c>
      <c r="S61" s="362">
        <f>_xlfn.IFNA(VLOOKUP(A61,'Post 16'!A:AR,44,FALSE),0)</f>
        <v>0</v>
      </c>
      <c r="U61" s="362">
        <f>VLOOKUP(A61,'LA Deductions'!A:W,23,FALSE)</f>
        <v>-3291.75</v>
      </c>
      <c r="W61" s="289">
        <f>VLOOKUP($A61,'Summary Mar 2026'!$A:$AAG,189,FALSE)-SUMIFS($H61:$U61,$H$7:$U$7,W$7)</f>
        <v>0</v>
      </c>
      <c r="X61" s="289">
        <f>VLOOKUP($A61,'Summary Mar 2026'!$A:$GL,190,FALSE)-SUMIFS($H61:$U61,$H$7:$U$7,X$7)</f>
        <v>0</v>
      </c>
      <c r="Y61" s="289">
        <f>VLOOKUP($A61,'Summary Mar 2026'!$A:$GL,191,FALSE)-SUMIFS($H61:$U61,$H$7:$U$7,Y$7)</f>
        <v>0</v>
      </c>
      <c r="Z61" s="289">
        <f>VLOOKUP($A61,'Summary Mar 2026'!$A:$GL,192,FALSE)-SUMIFS($H61:$U61,$H$7:$U$7,Z$7)</f>
        <v>0</v>
      </c>
      <c r="AA61" s="289">
        <f>VLOOKUP($A61,'Summary Mar 2026'!$A:$GL,193,FALSE)-SUMIFS($H61:$U61,$H$7:$U$7,AA$7)</f>
        <v>0</v>
      </c>
      <c r="AB61" s="289">
        <f>VLOOKUP($A61,'Summary Mar 2026'!$A:$GL,194,FALSE)-SUMIFS($H61:$U61,$H$7:$U$7,AB$7)</f>
        <v>0</v>
      </c>
      <c r="AD61" s="146">
        <f>_xlfn.IFNA(VLOOKUP($A61,'Summary Mar 2026'!$A:$GS,196,FALSE)+VLOOKUP($A61,OtherDSG!$A:$AI,34,FALSE)+VLOOKUP($A61,Grants!$A:$BE,50,FALSE),0)</f>
        <v>651662.36962430645</v>
      </c>
      <c r="AE61" s="146">
        <f>_xlfn.IFNA(VLOOKUP($A61,'Summary Mar 2026'!$A:$GS,197,FALSE)+VLOOKUP($A61,Grants!$A:$BE,51,FALSE),0)</f>
        <v>0</v>
      </c>
      <c r="AF61" s="146">
        <f>_xlfn.IFNA(VLOOKUP($A61,'Summary Mar 2026'!$A:$GS,198,FALSE)+VLOOKUP($A61,OtherDSG!$A:$AI,35,FALSE)+VLOOKUP($A61,Grants!$A:$BE,52,FALSE),0)</f>
        <v>42695.173125577101</v>
      </c>
      <c r="AG61" s="146">
        <f>_xlfn.IFNA(VLOOKUP($A61,Grants!$A:$BE,53,FALSE),0)</f>
        <v>0</v>
      </c>
      <c r="AH61" s="146">
        <f>_xlfn.IFNA(VLOOKUP($A61,Grants!$A:$BE,54,FALSE),0)</f>
        <v>856.93</v>
      </c>
      <c r="AI61" s="146">
        <f>_xlfn.IFNA(VLOOKUP($A61,Grants!$A:$BE,55,FALSE),0)</f>
        <v>0</v>
      </c>
      <c r="AJ61" s="146">
        <f>_xlfn.IFNA(VLOOKUP($A61,Barclays!$A:$T,18,FALSE),0)</f>
        <v>0</v>
      </c>
      <c r="AK61" s="146">
        <f>_xlfn.IFNA(VLOOKUP($A61,'Summary Mar 2026'!$A:$GS,200,FALSE),0)</f>
        <v>0</v>
      </c>
      <c r="AL61" s="146">
        <f>_xlfn.IFNA(VLOOKUP($A61,Barclays!$A:$T,19,FALSE),0)</f>
        <v>0</v>
      </c>
      <c r="AM61" s="146">
        <f>_xlfn.IFNA(VLOOKUP($A61,'Summary Mar 2026'!$A:$GS,201,FALSE),0)</f>
        <v>-3291.75</v>
      </c>
      <c r="AN61" s="146">
        <f>_xlfn.IFNA(VLOOKUP($A61,'Summary Mar 2026'!$A:$GS,199,FALSE),0)</f>
        <v>0</v>
      </c>
      <c r="AO61" s="146">
        <f>_xlfn.IFNA(VLOOKUP($A61,Grants!$A:$BE,56,FALSE),0)</f>
        <v>4708.75</v>
      </c>
      <c r="AP61" s="65">
        <f t="shared" si="0"/>
        <v>696631.47274988366</v>
      </c>
    </row>
    <row r="62" spans="1:42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0" t="str">
        <f>VLOOKUP(A62,'Summary Mar 2026'!$A$8:$F$206,6,FALSE)</f>
        <v>Chq Bk</v>
      </c>
      <c r="H62" s="288">
        <f>_xlfn.IFNA(VLOOKUP($A62,ISB!$A:$BY,67,FALSE),0)</f>
        <v>2121556.2484113574</v>
      </c>
      <c r="I62" s="861">
        <f>_xlfn.IFNA(VLOOKUP(A62,'LA Deductions'!A:AN,40,FALSE),0)</f>
        <v>0</v>
      </c>
      <c r="J62" s="221">
        <f>_xlfn.IFNA(VLOOKUP($A62,ISB!$A:$BY,72,FALSE),0)</f>
        <v>-8841.119999999999</v>
      </c>
      <c r="K62" s="289">
        <f>-_xlfn.IFNA(VLOOKUP($A62,ISB!$A:$BY,76,FALSE),0)</f>
        <v>-25826.99</v>
      </c>
      <c r="M62" s="288">
        <f>VLOOKUP($A62,EY!$A:$AAK,132,FALSE)</f>
        <v>0</v>
      </c>
      <c r="N62" s="288">
        <f>VLOOKUP($A62,EY!$A:$AAD,133,FALSE)</f>
        <v>0</v>
      </c>
      <c r="P62" s="288">
        <f>VLOOKUP($A62,HN!$A:$AM,38,FALSE)</f>
        <v>0</v>
      </c>
      <c r="Q62" s="288">
        <f>VLOOKUP($A62,HN!$A:$AM,39,FALSE)</f>
        <v>0</v>
      </c>
      <c r="S62" s="362">
        <f>_xlfn.IFNA(VLOOKUP(A62,'Post 16'!A:AR,44,FALSE),0)</f>
        <v>0</v>
      </c>
      <c r="U62" s="362">
        <f>VLOOKUP(A62,'LA Deductions'!A:W,23,FALSE)</f>
        <v>-9471</v>
      </c>
      <c r="W62" s="289">
        <f>VLOOKUP($A62,'Summary Mar 2026'!$A:$AAG,189,FALSE)-SUMIFS($H62:$U62,$H$7:$U$7,W$7)</f>
        <v>0</v>
      </c>
      <c r="X62" s="289">
        <f>VLOOKUP($A62,'Summary Mar 2026'!$A:$GL,190,FALSE)-SUMIFS($H62:$U62,$H$7:$U$7,X$7)</f>
        <v>0</v>
      </c>
      <c r="Y62" s="289">
        <f>VLOOKUP($A62,'Summary Mar 2026'!$A:$GL,191,FALSE)-SUMIFS($H62:$U62,$H$7:$U$7,Y$7)</f>
        <v>0</v>
      </c>
      <c r="Z62" s="289">
        <f>VLOOKUP($A62,'Summary Mar 2026'!$A:$GL,192,FALSE)-SUMIFS($H62:$U62,$H$7:$U$7,Z$7)</f>
        <v>0</v>
      </c>
      <c r="AA62" s="289">
        <f>VLOOKUP($A62,'Summary Mar 2026'!$A:$GL,193,FALSE)-SUMIFS($H62:$U62,$H$7:$U$7,AA$7)</f>
        <v>0</v>
      </c>
      <c r="AB62" s="289">
        <f>VLOOKUP($A62,'Summary Mar 2026'!$A:$GL,194,FALSE)-SUMIFS($H62:$U62,$H$7:$U$7,AB$7)</f>
        <v>0</v>
      </c>
      <c r="AD62" s="146">
        <f>_xlfn.IFNA(VLOOKUP($A62,'Summary Mar 2026'!$A:$GS,196,FALSE)+VLOOKUP($A62,OtherDSG!$A:$AI,34,FALSE)+VLOOKUP($A62,Grants!$A:$BE,50,FALSE),0)</f>
        <v>2185131.2484113569</v>
      </c>
      <c r="AE62" s="146">
        <f>_xlfn.IFNA(VLOOKUP($A62,'Summary Mar 2026'!$A:$GS,197,FALSE)+VLOOKUP($A62,Grants!$A:$BE,51,FALSE),0)</f>
        <v>0</v>
      </c>
      <c r="AF62" s="146">
        <f>_xlfn.IFNA(VLOOKUP($A62,'Summary Mar 2026'!$A:$GS,198,FALSE)+VLOOKUP($A62,OtherDSG!$A:$AI,35,FALSE)+VLOOKUP($A62,Grants!$A:$BE,52,FALSE),0)</f>
        <v>161355.87333333332</v>
      </c>
      <c r="AG62" s="146">
        <f>_xlfn.IFNA(VLOOKUP($A62,Grants!$A:$BE,53,FALSE),0)</f>
        <v>283305</v>
      </c>
      <c r="AH62" s="146">
        <f>_xlfn.IFNA(VLOOKUP($A62,Grants!$A:$BE,54,FALSE),0)</f>
        <v>46082</v>
      </c>
      <c r="AI62" s="146">
        <f>_xlfn.IFNA(VLOOKUP($A62,Grants!$A:$BE,55,FALSE),0)</f>
        <v>0</v>
      </c>
      <c r="AJ62" s="146">
        <f>_xlfn.IFNA(VLOOKUP($A62,Barclays!$A:$T,18,FALSE),0)</f>
        <v>16294.458795000057</v>
      </c>
      <c r="AK62" s="146">
        <f>_xlfn.IFNA(VLOOKUP($A62,'Summary Mar 2026'!$A:$GS,200,FALSE),0)</f>
        <v>-25826.990000000009</v>
      </c>
      <c r="AL62" s="146">
        <f>_xlfn.IFNA(VLOOKUP($A62,Barclays!$A:$T,19,FALSE),0)</f>
        <v>-42.77000000000001</v>
      </c>
      <c r="AM62" s="146">
        <f>_xlfn.IFNA(VLOOKUP($A62,'Summary Mar 2026'!$A:$GS,201,FALSE),0)</f>
        <v>-9471</v>
      </c>
      <c r="AN62" s="146">
        <f>_xlfn.IFNA(VLOOKUP($A62,'Summary Mar 2026'!$A:$GS,199,FALSE),0)</f>
        <v>-8841.1200000000008</v>
      </c>
      <c r="AO62" s="146">
        <f>_xlfn.IFNA(VLOOKUP($A62,Grants!$A:$BE,56,FALSE),0)</f>
        <v>8106.25</v>
      </c>
      <c r="AP62" s="65">
        <f t="shared" si="0"/>
        <v>2656092.95053969</v>
      </c>
    </row>
    <row r="63" spans="1:42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0" t="str">
        <f>VLOOKUP(A63,'Summary Mar 2026'!$A$8:$F$206,6,FALSE)</f>
        <v>Chq Bk</v>
      </c>
      <c r="H63" s="288">
        <f>_xlfn.IFNA(VLOOKUP($A63,ISB!$A:$BY,67,FALSE),0)</f>
        <v>3662527.6129346667</v>
      </c>
      <c r="I63" s="861">
        <f>_xlfn.IFNA(VLOOKUP(A63,'LA Deductions'!A:AN,40,FALSE),0)</f>
        <v>0</v>
      </c>
      <c r="J63" s="221">
        <f>_xlfn.IFNA(VLOOKUP($A63,ISB!$A:$BY,72,FALSE),0)</f>
        <v>-15752.32</v>
      </c>
      <c r="K63" s="289">
        <f>-_xlfn.IFNA(VLOOKUP($A63,ISB!$A:$BY,76,FALSE),0)</f>
        <v>-30739.81</v>
      </c>
      <c r="M63" s="288">
        <f>VLOOKUP($A63,EY!$A:$AAK,132,FALSE)</f>
        <v>157312.18199445982</v>
      </c>
      <c r="N63" s="288">
        <f>VLOOKUP($A63,EY!$A:$AAD,133,FALSE)</f>
        <v>0</v>
      </c>
      <c r="P63" s="288">
        <f>VLOOKUP($A63,HN!$A:$AM,38,FALSE)</f>
        <v>0</v>
      </c>
      <c r="Q63" s="288">
        <f>VLOOKUP($A63,HN!$A:$AM,39,FALSE)</f>
        <v>0</v>
      </c>
      <c r="S63" s="362">
        <f>_xlfn.IFNA(VLOOKUP(A63,'Post 16'!A:AR,44,FALSE),0)</f>
        <v>0</v>
      </c>
      <c r="U63" s="362">
        <f>VLOOKUP(A63,'LA Deductions'!A:W,23,FALSE)</f>
        <v>-18745.650000000001</v>
      </c>
      <c r="W63" s="289">
        <f>VLOOKUP($A63,'Summary Mar 2026'!$A:$AAG,189,FALSE)-SUMIFS($H63:$U63,$H$7:$U$7,W$7)</f>
        <v>0</v>
      </c>
      <c r="X63" s="289">
        <f>VLOOKUP($A63,'Summary Mar 2026'!$A:$GL,190,FALSE)-SUMIFS($H63:$U63,$H$7:$U$7,X$7)</f>
        <v>0</v>
      </c>
      <c r="Y63" s="289">
        <f>VLOOKUP($A63,'Summary Mar 2026'!$A:$GL,191,FALSE)-SUMIFS($H63:$U63,$H$7:$U$7,Y$7)</f>
        <v>0</v>
      </c>
      <c r="Z63" s="289">
        <f>VLOOKUP($A63,'Summary Mar 2026'!$A:$GL,192,FALSE)-SUMIFS($H63:$U63,$H$7:$U$7,Z$7)</f>
        <v>0</v>
      </c>
      <c r="AA63" s="289">
        <f>VLOOKUP($A63,'Summary Mar 2026'!$A:$GL,193,FALSE)-SUMIFS($H63:$U63,$H$7:$U$7,AA$7)</f>
        <v>0</v>
      </c>
      <c r="AB63" s="289">
        <f>VLOOKUP($A63,'Summary Mar 2026'!$A:$GL,194,FALSE)-SUMIFS($H63:$U63,$H$7:$U$7,AB$7)</f>
        <v>0</v>
      </c>
      <c r="AD63" s="146">
        <f>_xlfn.IFNA(VLOOKUP($A63,'Summary Mar 2026'!$A:$GS,196,FALSE)+VLOOKUP($A63,OtherDSG!$A:$AI,34,FALSE)+VLOOKUP($A63,Grants!$A:$BE,50,FALSE),0)</f>
        <v>3934757.7949291272</v>
      </c>
      <c r="AE63" s="146">
        <f>_xlfn.IFNA(VLOOKUP($A63,'Summary Mar 2026'!$A:$GS,197,FALSE)+VLOOKUP($A63,Grants!$A:$BE,51,FALSE),0)</f>
        <v>0</v>
      </c>
      <c r="AF63" s="146">
        <f>_xlfn.IFNA(VLOOKUP($A63,'Summary Mar 2026'!$A:$GS,198,FALSE)+VLOOKUP($A63,OtherDSG!$A:$AI,35,FALSE)+VLOOKUP($A63,Grants!$A:$BE,52,FALSE),0)</f>
        <v>148548.47666666665</v>
      </c>
      <c r="AG63" s="146">
        <f>_xlfn.IFNA(VLOOKUP($A63,Grants!$A:$BE,53,FALSE),0)</f>
        <v>489345</v>
      </c>
      <c r="AH63" s="146">
        <f>_xlfn.IFNA(VLOOKUP($A63,Grants!$A:$BE,54,FALSE),0)</f>
        <v>76644.72</v>
      </c>
      <c r="AI63" s="146">
        <f>_xlfn.IFNA(VLOOKUP($A63,Grants!$A:$BE,55,FALSE),0)</f>
        <v>0</v>
      </c>
      <c r="AJ63" s="146">
        <f>_xlfn.IFNA(VLOOKUP($A63,Barclays!$A:$T,18,FALSE),0)</f>
        <v>49716.332849999992</v>
      </c>
      <c r="AK63" s="146">
        <f>_xlfn.IFNA(VLOOKUP($A63,'Summary Mar 2026'!$A:$GS,200,FALSE),0)</f>
        <v>-30739.81</v>
      </c>
      <c r="AL63" s="146">
        <f>_xlfn.IFNA(VLOOKUP($A63,Barclays!$A:$T,19,FALSE),0)</f>
        <v>-39.149999999999991</v>
      </c>
      <c r="AM63" s="146">
        <f>_xlfn.IFNA(VLOOKUP($A63,'Summary Mar 2026'!$A:$GS,201,FALSE),0)</f>
        <v>-18745.650000000001</v>
      </c>
      <c r="AN63" s="146">
        <f>_xlfn.IFNA(VLOOKUP($A63,'Summary Mar 2026'!$A:$GS,199,FALSE),0)</f>
        <v>-15752.319999999998</v>
      </c>
      <c r="AO63" s="146">
        <f>_xlfn.IFNA(VLOOKUP($A63,Grants!$A:$BE,56,FALSE),0)</f>
        <v>11222.5</v>
      </c>
      <c r="AP63" s="65">
        <f t="shared" si="0"/>
        <v>4644957.8944457928</v>
      </c>
    </row>
    <row r="64" spans="1:42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0" t="str">
        <f>VLOOKUP(A64,'Summary Mar 2026'!$A$8:$F$206,6,FALSE)</f>
        <v>Chq Bk</v>
      </c>
      <c r="H64" s="288">
        <f>_xlfn.IFNA(VLOOKUP($A64,ISB!$A:$BY,67,FALSE),0)</f>
        <v>1934563.9622177652</v>
      </c>
      <c r="I64" s="861">
        <f>_xlfn.IFNA(VLOOKUP(A64,'LA Deductions'!A:AN,40,FALSE),0)</f>
        <v>0</v>
      </c>
      <c r="J64" s="221">
        <f>_xlfn.IFNA(VLOOKUP($A64,ISB!$A:$BY,72,FALSE),0)</f>
        <v>-9388.7999999999993</v>
      </c>
      <c r="K64" s="289">
        <f>-_xlfn.IFNA(VLOOKUP($A64,ISB!$A:$BY,76,FALSE),0)</f>
        <v>-19886.79</v>
      </c>
      <c r="M64" s="288">
        <f>VLOOKUP($A64,EY!$A:$AAK,132,FALSE)</f>
        <v>159014.33119113575</v>
      </c>
      <c r="N64" s="288">
        <f>VLOOKUP($A64,EY!$A:$AAD,133,FALSE)</f>
        <v>0</v>
      </c>
      <c r="P64" s="288">
        <f>VLOOKUP($A64,HN!$A:$AM,38,FALSE)</f>
        <v>0</v>
      </c>
      <c r="Q64" s="288">
        <f>VLOOKUP($A64,HN!$A:$AM,39,FALSE)</f>
        <v>0</v>
      </c>
      <c r="S64" s="362">
        <f>_xlfn.IFNA(VLOOKUP(A64,'Post 16'!A:AR,44,FALSE),0)</f>
        <v>0</v>
      </c>
      <c r="U64" s="362">
        <f>VLOOKUP(A64,'LA Deductions'!A:W,23,FALSE)</f>
        <v>0</v>
      </c>
      <c r="W64" s="289">
        <f>VLOOKUP($A64,'Summary Mar 2026'!$A:$AAG,189,FALSE)-SUMIFS($H64:$U64,$H$7:$U$7,W$7)</f>
        <v>0</v>
      </c>
      <c r="X64" s="289">
        <f>VLOOKUP($A64,'Summary Mar 2026'!$A:$GL,190,FALSE)-SUMIFS($H64:$U64,$H$7:$U$7,X$7)</f>
        <v>0</v>
      </c>
      <c r="Y64" s="289">
        <f>VLOOKUP($A64,'Summary Mar 2026'!$A:$GL,191,FALSE)-SUMIFS($H64:$U64,$H$7:$U$7,Y$7)</f>
        <v>0</v>
      </c>
      <c r="Z64" s="289">
        <f>VLOOKUP($A64,'Summary Mar 2026'!$A:$GL,192,FALSE)-SUMIFS($H64:$U64,$H$7:$U$7,Z$7)</f>
        <v>0</v>
      </c>
      <c r="AA64" s="289">
        <f>VLOOKUP($A64,'Summary Mar 2026'!$A:$GL,193,FALSE)-SUMIFS($H64:$U64,$H$7:$U$7,AA$7)</f>
        <v>0</v>
      </c>
      <c r="AB64" s="289">
        <f>VLOOKUP($A64,'Summary Mar 2026'!$A:$GL,194,FALSE)-SUMIFS($H64:$U64,$H$7:$U$7,AB$7)</f>
        <v>0</v>
      </c>
      <c r="AD64" s="146">
        <f>_xlfn.IFNA(VLOOKUP($A64,'Summary Mar 2026'!$A:$GS,196,FALSE)+VLOOKUP($A64,OtherDSG!$A:$AI,34,FALSE)+VLOOKUP($A64,Grants!$A:$BE,50,FALSE),0)</f>
        <v>2151992.2934089005</v>
      </c>
      <c r="AE64" s="146">
        <f>_xlfn.IFNA(VLOOKUP($A64,'Summary Mar 2026'!$A:$GS,197,FALSE)+VLOOKUP($A64,Grants!$A:$BE,51,FALSE),0)</f>
        <v>0</v>
      </c>
      <c r="AF64" s="146">
        <f>_xlfn.IFNA(VLOOKUP($A64,'Summary Mar 2026'!$A:$GS,198,FALSE)+VLOOKUP($A64,OtherDSG!$A:$AI,35,FALSE)+VLOOKUP($A64,Grants!$A:$BE,52,FALSE),0)</f>
        <v>200265.85666666666</v>
      </c>
      <c r="AG64" s="146">
        <f>_xlfn.IFNA(VLOOKUP($A64,Grants!$A:$BE,53,FALSE),0)</f>
        <v>112110</v>
      </c>
      <c r="AH64" s="146">
        <f>_xlfn.IFNA(VLOOKUP($A64,Grants!$A:$BE,54,FALSE),0)</f>
        <v>170057.40000000002</v>
      </c>
      <c r="AI64" s="146">
        <f>_xlfn.IFNA(VLOOKUP($A64,Grants!$A:$BE,55,FALSE),0)</f>
        <v>0</v>
      </c>
      <c r="AJ64" s="146">
        <f>_xlfn.IFNA(VLOOKUP($A64,Barclays!$A:$T,18,FALSE),0)</f>
        <v>25097.728719999985</v>
      </c>
      <c r="AK64" s="146">
        <f>_xlfn.IFNA(VLOOKUP($A64,'Summary Mar 2026'!$A:$GS,200,FALSE),0)</f>
        <v>-19886.79</v>
      </c>
      <c r="AL64" s="146">
        <f>_xlfn.IFNA(VLOOKUP($A64,Barclays!$A:$T,19,FALSE),0)</f>
        <v>-145.57999999999998</v>
      </c>
      <c r="AM64" s="146">
        <f>_xlfn.IFNA(VLOOKUP($A64,'Summary Mar 2026'!$A:$GS,201,FALSE),0)</f>
        <v>0</v>
      </c>
      <c r="AN64" s="146">
        <f>_xlfn.IFNA(VLOOKUP($A64,'Summary Mar 2026'!$A:$GS,199,FALSE),0)</f>
        <v>-9388.7999999999975</v>
      </c>
      <c r="AO64" s="146">
        <f>_xlfn.IFNA(VLOOKUP($A64,Grants!$A:$BE,56,FALSE),0)</f>
        <v>8344.75</v>
      </c>
      <c r="AP64" s="65">
        <f t="shared" si="0"/>
        <v>2638446.8587955669</v>
      </c>
    </row>
    <row r="65" spans="1:42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0" t="str">
        <f>VLOOKUP(A65,'Summary Mar 2026'!$A$8:$F$206,6,FALSE)</f>
        <v>Chq Bk</v>
      </c>
      <c r="H65" s="288">
        <f>_xlfn.IFNA(VLOOKUP($A65,ISB!$A:$BY,67,FALSE),0)</f>
        <v>2478566.3999341605</v>
      </c>
      <c r="I65" s="861">
        <f>_xlfn.IFNA(VLOOKUP(A65,'LA Deductions'!A:AN,40,FALSE),0)</f>
        <v>0</v>
      </c>
      <c r="J65" s="221">
        <f>_xlfn.IFNA(VLOOKUP($A65,ISB!$A:$BY,72,FALSE),0)</f>
        <v>-12622.72</v>
      </c>
      <c r="K65" s="289">
        <f>-_xlfn.IFNA(VLOOKUP($A65,ISB!$A:$BY,76,FALSE),0)</f>
        <v>-27754.63</v>
      </c>
      <c r="M65" s="288">
        <f>VLOOKUP($A65,EY!$A:$AAK,132,FALSE)</f>
        <v>0</v>
      </c>
      <c r="N65" s="288">
        <f>VLOOKUP($A65,EY!$A:$AAD,133,FALSE)</f>
        <v>0</v>
      </c>
      <c r="P65" s="288">
        <f>VLOOKUP($A65,HN!$A:$AM,38,FALSE)</f>
        <v>0</v>
      </c>
      <c r="Q65" s="288">
        <f>VLOOKUP($A65,HN!$A:$AM,39,FALSE)</f>
        <v>0</v>
      </c>
      <c r="S65" s="362">
        <f>_xlfn.IFNA(VLOOKUP(A65,'Post 16'!A:AR,44,FALSE),0)</f>
        <v>0</v>
      </c>
      <c r="U65" s="362">
        <f>VLOOKUP(A65,'LA Deductions'!A:W,23,FALSE)</f>
        <v>-13068</v>
      </c>
      <c r="W65" s="289">
        <f>VLOOKUP($A65,'Summary Mar 2026'!$A:$AAG,189,FALSE)-SUMIFS($H65:$U65,$H$7:$U$7,W$7)</f>
        <v>0</v>
      </c>
      <c r="X65" s="289">
        <f>VLOOKUP($A65,'Summary Mar 2026'!$A:$GL,190,FALSE)-SUMIFS($H65:$U65,$H$7:$U$7,X$7)</f>
        <v>0</v>
      </c>
      <c r="Y65" s="289">
        <f>VLOOKUP($A65,'Summary Mar 2026'!$A:$GL,191,FALSE)-SUMIFS($H65:$U65,$H$7:$U$7,Y$7)</f>
        <v>0</v>
      </c>
      <c r="Z65" s="289">
        <f>VLOOKUP($A65,'Summary Mar 2026'!$A:$GL,192,FALSE)-SUMIFS($H65:$U65,$H$7:$U$7,Z$7)</f>
        <v>0</v>
      </c>
      <c r="AA65" s="289">
        <f>VLOOKUP($A65,'Summary Mar 2026'!$A:$GL,193,FALSE)-SUMIFS($H65:$U65,$H$7:$U$7,AA$7)</f>
        <v>0</v>
      </c>
      <c r="AB65" s="289">
        <f>VLOOKUP($A65,'Summary Mar 2026'!$A:$GL,194,FALSE)-SUMIFS($H65:$U65,$H$7:$U$7,AB$7)</f>
        <v>0</v>
      </c>
      <c r="AD65" s="146">
        <f>_xlfn.IFNA(VLOOKUP($A65,'Summary Mar 2026'!$A:$GS,196,FALSE)+VLOOKUP($A65,OtherDSG!$A:$AI,34,FALSE)+VLOOKUP($A65,Grants!$A:$BE,50,FALSE),0)</f>
        <v>2556997.3999341601</v>
      </c>
      <c r="AE65" s="146">
        <f>_xlfn.IFNA(VLOOKUP($A65,'Summary Mar 2026'!$A:$GS,197,FALSE)+VLOOKUP($A65,Grants!$A:$BE,51,FALSE),0)</f>
        <v>0</v>
      </c>
      <c r="AF65" s="146">
        <f>_xlfn.IFNA(VLOOKUP($A65,'Summary Mar 2026'!$A:$GS,198,FALSE)+VLOOKUP($A65,OtherDSG!$A:$AI,35,FALSE)+VLOOKUP($A65,Grants!$A:$BE,52,FALSE),0)</f>
        <v>97211.6</v>
      </c>
      <c r="AG65" s="146">
        <f>_xlfn.IFNA(VLOOKUP($A65,Grants!$A:$BE,53,FALSE),0)</f>
        <v>261645</v>
      </c>
      <c r="AH65" s="146">
        <f>_xlfn.IFNA(VLOOKUP($A65,Grants!$A:$BE,54,FALSE),0)</f>
        <v>23870</v>
      </c>
      <c r="AI65" s="146">
        <f>_xlfn.IFNA(VLOOKUP($A65,Grants!$A:$BE,55,FALSE),0)</f>
        <v>0</v>
      </c>
      <c r="AJ65" s="146">
        <f>_xlfn.IFNA(VLOOKUP($A65,Barclays!$A:$T,18,FALSE),0)</f>
        <v>0</v>
      </c>
      <c r="AK65" s="146">
        <f>_xlfn.IFNA(VLOOKUP($A65,'Summary Mar 2026'!$A:$GS,200,FALSE),0)</f>
        <v>-27754.63</v>
      </c>
      <c r="AL65" s="146">
        <f>_xlfn.IFNA(VLOOKUP($A65,Barclays!$A:$T,19,FALSE),0)</f>
        <v>0</v>
      </c>
      <c r="AM65" s="146">
        <f>_xlfn.IFNA(VLOOKUP($A65,'Summary Mar 2026'!$A:$GS,201,FALSE),0)</f>
        <v>-13068</v>
      </c>
      <c r="AN65" s="146">
        <f>_xlfn.IFNA(VLOOKUP($A65,'Summary Mar 2026'!$A:$GS,199,FALSE),0)</f>
        <v>-12622.72</v>
      </c>
      <c r="AO65" s="146">
        <f>_xlfn.IFNA(VLOOKUP($A65,Grants!$A:$BE,56,FALSE),0)</f>
        <v>9422.5</v>
      </c>
      <c r="AP65" s="65">
        <f t="shared" si="0"/>
        <v>2895701.1499341601</v>
      </c>
    </row>
    <row r="66" spans="1:42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0" t="str">
        <f>VLOOKUP(A66,'Summary Mar 2026'!$A$8:$F$206,6,FALSE)</f>
        <v>Chq Bk</v>
      </c>
      <c r="H66" s="288">
        <f>_xlfn.IFNA(VLOOKUP($A66,ISB!$A:$BY,67,FALSE),0)</f>
        <v>0</v>
      </c>
      <c r="I66" s="861">
        <f>_xlfn.IFNA(VLOOKUP(A66,'LA Deductions'!A:AN,40,FALSE),0)</f>
        <v>0</v>
      </c>
      <c r="J66" s="221">
        <f>_xlfn.IFNA(VLOOKUP($A66,ISB!$A:$BY,72,FALSE),0)</f>
        <v>0</v>
      </c>
      <c r="K66" s="289">
        <f>-_xlfn.IFNA(VLOOKUP($A66,ISB!$A:$BY,76,FALSE),0)</f>
        <v>0</v>
      </c>
      <c r="M66" s="288">
        <f>VLOOKUP($A66,EY!$A:$AAK,132,FALSE)</f>
        <v>0</v>
      </c>
      <c r="N66" s="288">
        <f>VLOOKUP($A66,EY!$A:$AAD,133,FALSE)</f>
        <v>0</v>
      </c>
      <c r="P66" s="288">
        <f>VLOOKUP($A66,HN!$A:$AM,38,FALSE)</f>
        <v>2199945</v>
      </c>
      <c r="Q66" s="288">
        <f>VLOOKUP($A66,HN!$A:$AM,39,FALSE)</f>
        <v>2596422.0807371535</v>
      </c>
      <c r="S66" s="362">
        <f>_xlfn.IFNA(VLOOKUP(A66,'Post 16'!A:AR,44,FALSE),0)</f>
        <v>0</v>
      </c>
      <c r="U66" s="362">
        <f>VLOOKUP(A66,'LA Deductions'!A:W,23,FALSE)</f>
        <v>-5139.75</v>
      </c>
      <c r="W66" s="289">
        <f>VLOOKUP($A66,'Summary Mar 2026'!$A:$AAG,189,FALSE)-SUMIFS($H66:$U66,$H$7:$U$7,W$7)</f>
        <v>0</v>
      </c>
      <c r="X66" s="289">
        <f>VLOOKUP($A66,'Summary Mar 2026'!$A:$GL,190,FALSE)-SUMIFS($H66:$U66,$H$7:$U$7,X$7)</f>
        <v>0</v>
      </c>
      <c r="Y66" s="289">
        <f>VLOOKUP($A66,'Summary Mar 2026'!$A:$GL,191,FALSE)-SUMIFS($H66:$U66,$H$7:$U$7,Y$7)</f>
        <v>0</v>
      </c>
      <c r="Z66" s="289">
        <f>VLOOKUP($A66,'Summary Mar 2026'!$A:$GL,192,FALSE)-SUMIFS($H66:$U66,$H$7:$U$7,Z$7)</f>
        <v>0</v>
      </c>
      <c r="AA66" s="289">
        <f>VLOOKUP($A66,'Summary Mar 2026'!$A:$GL,193,FALSE)-SUMIFS($H66:$U66,$H$7:$U$7,AA$7)</f>
        <v>0</v>
      </c>
      <c r="AB66" s="289">
        <f>VLOOKUP($A66,'Summary Mar 2026'!$A:$GL,194,FALSE)-SUMIFS($H66:$U66,$H$7:$U$7,AB$7)</f>
        <v>0</v>
      </c>
      <c r="AD66" s="146">
        <f>_xlfn.IFNA(VLOOKUP($A66,'Summary Mar 2026'!$A:$GS,196,FALSE)+VLOOKUP($A66,OtherDSG!$A:$AI,34,FALSE)+VLOOKUP($A66,Grants!$A:$BE,50,FALSE),0)</f>
        <v>2192605.195869565</v>
      </c>
      <c r="AE66" s="146">
        <f>_xlfn.IFNA(VLOOKUP($A66,'Summary Mar 2026'!$A:$GS,197,FALSE)+VLOOKUP($A66,Grants!$A:$BE,51,FALSE),0)</f>
        <v>0</v>
      </c>
      <c r="AF66" s="146">
        <f>_xlfn.IFNA(VLOOKUP($A66,'Summary Mar 2026'!$A:$GS,198,FALSE)+VLOOKUP($A66,OtherDSG!$A:$AI,35,FALSE)+VLOOKUP($A66,Grants!$A:$BE,52,FALSE),0)</f>
        <v>3228347.6767214178</v>
      </c>
      <c r="AG66" s="146">
        <f>_xlfn.IFNA(VLOOKUP($A66,Grants!$A:$BE,53,FALSE),0)</f>
        <v>147235</v>
      </c>
      <c r="AH66" s="146">
        <f>_xlfn.IFNA(VLOOKUP($A66,Grants!$A:$BE,54,FALSE),0)</f>
        <v>27478.22</v>
      </c>
      <c r="AI66" s="146">
        <f>_xlfn.IFNA(VLOOKUP($A66,Grants!$A:$BE,55,FALSE),0)</f>
        <v>0</v>
      </c>
      <c r="AJ66" s="146">
        <f>_xlfn.IFNA(VLOOKUP($A66,Barclays!$A:$T,18,FALSE),0)</f>
        <v>0</v>
      </c>
      <c r="AK66" s="146">
        <f>_xlfn.IFNA(VLOOKUP($A66,'Summary Mar 2026'!$A:$GS,200,FALSE),0)</f>
        <v>0</v>
      </c>
      <c r="AL66" s="146">
        <f>_xlfn.IFNA(VLOOKUP($A66,Barclays!$A:$T,19,FALSE),0)</f>
        <v>0</v>
      </c>
      <c r="AM66" s="146">
        <f>_xlfn.IFNA(VLOOKUP($A66,'Summary Mar 2026'!$A:$GS,201,FALSE),0)</f>
        <v>-5139.75</v>
      </c>
      <c r="AN66" s="146">
        <f>_xlfn.IFNA(VLOOKUP($A66,'Summary Mar 2026'!$A:$GS,199,FALSE),0)</f>
        <v>0</v>
      </c>
      <c r="AO66" s="146">
        <f>_xlfn.IFNA(VLOOKUP($A66,Grants!$A:$BE,56,FALSE),0)</f>
        <v>11796.25</v>
      </c>
      <c r="AP66" s="65">
        <f t="shared" si="0"/>
        <v>5602322.592590983</v>
      </c>
    </row>
    <row r="67" spans="1:42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0" t="str">
        <f>VLOOKUP(A67,'Summary Mar 2026'!$A$8:$F$206,6,FALSE)</f>
        <v>Chq Bk</v>
      </c>
      <c r="H67" s="288">
        <f>_xlfn.IFNA(VLOOKUP($A67,ISB!$A:$BY,67,FALSE),0)</f>
        <v>1421122.9971289218</v>
      </c>
      <c r="I67" s="861">
        <f>_xlfn.IFNA(VLOOKUP(A67,'LA Deductions'!A:AN,40,FALSE),0)</f>
        <v>0</v>
      </c>
      <c r="J67" s="221">
        <f>_xlfn.IFNA(VLOOKUP($A67,ISB!$A:$BY,72,FALSE),0)</f>
        <v>-5450.7199999999993</v>
      </c>
      <c r="K67" s="289">
        <f>-_xlfn.IFNA(VLOOKUP($A67,ISB!$A:$BY,76,FALSE),0)</f>
        <v>-15883.6</v>
      </c>
      <c r="M67" s="288">
        <f>VLOOKUP($A67,EY!$A:$AAK,132,FALSE)</f>
        <v>68253.044847645433</v>
      </c>
      <c r="N67" s="288">
        <f>VLOOKUP($A67,EY!$A:$AAD,133,FALSE)</f>
        <v>0</v>
      </c>
      <c r="P67" s="288">
        <f>VLOOKUP($A67,HN!$A:$AM,38,FALSE)</f>
        <v>64000</v>
      </c>
      <c r="Q67" s="288">
        <f>VLOOKUP($A67,HN!$A:$AM,39,FALSE)</f>
        <v>137125.22999999998</v>
      </c>
      <c r="S67" s="362">
        <f>_xlfn.IFNA(VLOOKUP(A67,'Post 16'!A:AR,44,FALSE),0)</f>
        <v>0</v>
      </c>
      <c r="U67" s="362">
        <f>VLOOKUP(A67,'LA Deductions'!A:W,23,FALSE)</f>
        <v>-5139.75</v>
      </c>
      <c r="W67" s="289">
        <f>VLOOKUP($A67,'Summary Mar 2026'!$A:$AAG,189,FALSE)-SUMIFS($H67:$U67,$H$7:$U$7,W$7)</f>
        <v>0</v>
      </c>
      <c r="X67" s="289">
        <f>VLOOKUP($A67,'Summary Mar 2026'!$A:$GL,190,FALSE)-SUMIFS($H67:$U67,$H$7:$U$7,X$7)</f>
        <v>0</v>
      </c>
      <c r="Y67" s="289">
        <f>VLOOKUP($A67,'Summary Mar 2026'!$A:$GL,191,FALSE)-SUMIFS($H67:$U67,$H$7:$U$7,Y$7)</f>
        <v>0</v>
      </c>
      <c r="Z67" s="289">
        <f>VLOOKUP($A67,'Summary Mar 2026'!$A:$GL,192,FALSE)-SUMIFS($H67:$U67,$H$7:$U$7,Z$7)</f>
        <v>0</v>
      </c>
      <c r="AA67" s="289">
        <f>VLOOKUP($A67,'Summary Mar 2026'!$A:$GL,193,FALSE)-SUMIFS($H67:$U67,$H$7:$U$7,AA$7)</f>
        <v>0</v>
      </c>
      <c r="AB67" s="289">
        <f>VLOOKUP($A67,'Summary Mar 2026'!$A:$GL,194,FALSE)-SUMIFS($H67:$U67,$H$7:$U$7,AB$7)</f>
        <v>0</v>
      </c>
      <c r="AD67" s="146">
        <f>_xlfn.IFNA(VLOOKUP($A67,'Summary Mar 2026'!$A:$GS,196,FALSE)+VLOOKUP($A67,OtherDSG!$A:$AI,34,FALSE)+VLOOKUP($A67,Grants!$A:$BE,50,FALSE),0)</f>
        <v>1600818.0419765671</v>
      </c>
      <c r="AE67" s="146">
        <f>_xlfn.IFNA(VLOOKUP($A67,'Summary Mar 2026'!$A:$GS,197,FALSE)+VLOOKUP($A67,Grants!$A:$BE,51,FALSE),0)</f>
        <v>0</v>
      </c>
      <c r="AF67" s="146">
        <f>_xlfn.IFNA(VLOOKUP($A67,'Summary Mar 2026'!$A:$GS,198,FALSE)+VLOOKUP($A67,OtherDSG!$A:$AI,35,FALSE)+VLOOKUP($A67,Grants!$A:$BE,52,FALSE),0)</f>
        <v>195516.64333333328</v>
      </c>
      <c r="AG67" s="146">
        <f>_xlfn.IFNA(VLOOKUP($A67,Grants!$A:$BE,53,FALSE),0)</f>
        <v>187860</v>
      </c>
      <c r="AH67" s="146">
        <f>_xlfn.IFNA(VLOOKUP($A67,Grants!$A:$BE,54,FALSE),0)</f>
        <v>39904.75</v>
      </c>
      <c r="AI67" s="146">
        <f>_xlfn.IFNA(VLOOKUP($A67,Grants!$A:$BE,55,FALSE),0)</f>
        <v>0</v>
      </c>
      <c r="AJ67" s="146">
        <f>_xlfn.IFNA(VLOOKUP($A67,Barclays!$A:$T,18,FALSE),0)</f>
        <v>9869.4957499999909</v>
      </c>
      <c r="AK67" s="146">
        <f>_xlfn.IFNA(VLOOKUP($A67,'Summary Mar 2026'!$A:$GS,200,FALSE),0)</f>
        <v>-15883.6</v>
      </c>
      <c r="AL67" s="146">
        <f>_xlfn.IFNA(VLOOKUP($A67,Barclays!$A:$T,19,FALSE),0)</f>
        <v>-68.39</v>
      </c>
      <c r="AM67" s="146">
        <f>_xlfn.IFNA(VLOOKUP($A67,'Summary Mar 2026'!$A:$GS,201,FALSE),0)</f>
        <v>-5139.75</v>
      </c>
      <c r="AN67" s="146">
        <f>_xlfn.IFNA(VLOOKUP($A67,'Summary Mar 2026'!$A:$GS,199,FALSE),0)</f>
        <v>-5450.7199999999984</v>
      </c>
      <c r="AO67" s="146">
        <f>_xlfn.IFNA(VLOOKUP($A67,Grants!$A:$BE,56,FALSE),0)</f>
        <v>6486.25</v>
      </c>
      <c r="AP67" s="65">
        <f t="shared" si="0"/>
        <v>2013912.7210599005</v>
      </c>
    </row>
    <row r="68" spans="1:42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0" t="str">
        <f>VLOOKUP(A68,'Summary Mar 2026'!$A$8:$F$206,6,FALSE)</f>
        <v>Chq Bk</v>
      </c>
      <c r="H68" s="288">
        <f>_xlfn.IFNA(VLOOKUP($A68,ISB!$A:$BY,67,FALSE),0)</f>
        <v>0</v>
      </c>
      <c r="I68" s="861">
        <f>_xlfn.IFNA(VLOOKUP(A68,'LA Deductions'!A:AN,40,FALSE),0)</f>
        <v>0</v>
      </c>
      <c r="J68" s="221">
        <f>_xlfn.IFNA(VLOOKUP($A68,ISB!$A:$BY,72,FALSE),0)</f>
        <v>0</v>
      </c>
      <c r="K68" s="289">
        <f>-_xlfn.IFNA(VLOOKUP($A68,ISB!$A:$BY,76,FALSE),0)</f>
        <v>0</v>
      </c>
      <c r="M68" s="288">
        <f>VLOOKUP($A68,EY!$A:$AAK,132,FALSE)</f>
        <v>947540.64994149609</v>
      </c>
      <c r="N68" s="288">
        <f>VLOOKUP($A68,EY!$A:$AAD,133,FALSE)</f>
        <v>15791.139058171746</v>
      </c>
      <c r="P68" s="288">
        <f>VLOOKUP($A68,HN!$A:$AM,38,FALSE)</f>
        <v>0</v>
      </c>
      <c r="Q68" s="288">
        <f>VLOOKUP($A68,HN!$A:$AM,39,FALSE)</f>
        <v>0</v>
      </c>
      <c r="S68" s="362">
        <f>_xlfn.IFNA(VLOOKUP(A68,'Post 16'!A:AR,44,FALSE),0)</f>
        <v>0</v>
      </c>
      <c r="U68" s="362">
        <f>VLOOKUP(A68,'LA Deductions'!A:W,23,FALSE)</f>
        <v>-3291.75</v>
      </c>
      <c r="W68" s="289">
        <f>VLOOKUP($A68,'Summary Mar 2026'!$A:$AAG,189,FALSE)-SUMIFS($H68:$U68,$H$7:$U$7,W$7)</f>
        <v>0</v>
      </c>
      <c r="X68" s="289">
        <f>VLOOKUP($A68,'Summary Mar 2026'!$A:$GL,190,FALSE)-SUMIFS($H68:$U68,$H$7:$U$7,X$7)</f>
        <v>0</v>
      </c>
      <c r="Y68" s="289">
        <f>VLOOKUP($A68,'Summary Mar 2026'!$A:$GL,191,FALSE)-SUMIFS($H68:$U68,$H$7:$U$7,Y$7)</f>
        <v>0</v>
      </c>
      <c r="Z68" s="289">
        <f>VLOOKUP($A68,'Summary Mar 2026'!$A:$GL,192,FALSE)-SUMIFS($H68:$U68,$H$7:$U$7,Z$7)</f>
        <v>0</v>
      </c>
      <c r="AA68" s="289">
        <f>VLOOKUP($A68,'Summary Mar 2026'!$A:$GL,193,FALSE)-SUMIFS($H68:$U68,$H$7:$U$7,AA$7)</f>
        <v>0</v>
      </c>
      <c r="AB68" s="289">
        <f>VLOOKUP($A68,'Summary Mar 2026'!$A:$GL,194,FALSE)-SUMIFS($H68:$U68,$H$7:$U$7,AB$7)</f>
        <v>0</v>
      </c>
      <c r="AD68" s="146">
        <f>_xlfn.IFNA(VLOOKUP($A68,'Summary Mar 2026'!$A:$GS,196,FALSE)+VLOOKUP($A68,OtherDSG!$A:$AI,34,FALSE)+VLOOKUP($A68,Grants!$A:$BE,50,FALSE),0)</f>
        <v>970344.64994149597</v>
      </c>
      <c r="AE68" s="146">
        <f>_xlfn.IFNA(VLOOKUP($A68,'Summary Mar 2026'!$A:$GS,197,FALSE)+VLOOKUP($A68,Grants!$A:$BE,51,FALSE),0)</f>
        <v>0</v>
      </c>
      <c r="AF68" s="146">
        <f>_xlfn.IFNA(VLOOKUP($A68,'Summary Mar 2026'!$A:$GS,198,FALSE)+VLOOKUP($A68,OtherDSG!$A:$AI,35,FALSE)+VLOOKUP($A68,Grants!$A:$BE,52,FALSE),0)</f>
        <v>62448.54059150508</v>
      </c>
      <c r="AG68" s="146">
        <f>_xlfn.IFNA(VLOOKUP($A68,Grants!$A:$BE,53,FALSE),0)</f>
        <v>0</v>
      </c>
      <c r="AH68" s="146">
        <f>_xlfn.IFNA(VLOOKUP($A68,Grants!$A:$BE,54,FALSE),0)</f>
        <v>0</v>
      </c>
      <c r="AI68" s="146">
        <f>_xlfn.IFNA(VLOOKUP($A68,Grants!$A:$BE,55,FALSE),0)</f>
        <v>0</v>
      </c>
      <c r="AJ68" s="146">
        <f>_xlfn.IFNA(VLOOKUP($A68,Barclays!$A:$T,18,FALSE),0)</f>
        <v>0</v>
      </c>
      <c r="AK68" s="146">
        <f>_xlfn.IFNA(VLOOKUP($A68,'Summary Mar 2026'!$A:$GS,200,FALSE),0)</f>
        <v>0</v>
      </c>
      <c r="AL68" s="146">
        <f>_xlfn.IFNA(VLOOKUP($A68,Barclays!$A:$T,19,FALSE),0)</f>
        <v>0</v>
      </c>
      <c r="AM68" s="146">
        <f>_xlfn.IFNA(VLOOKUP($A68,'Summary Mar 2026'!$A:$GS,201,FALSE),0)</f>
        <v>-3291.75</v>
      </c>
      <c r="AN68" s="146">
        <f>_xlfn.IFNA(VLOOKUP($A68,'Summary Mar 2026'!$A:$GS,199,FALSE),0)</f>
        <v>0</v>
      </c>
      <c r="AO68" s="146">
        <f>_xlfn.IFNA(VLOOKUP($A68,Grants!$A:$BE,56,FALSE),0)</f>
        <v>5120.5</v>
      </c>
      <c r="AP68" s="65">
        <f t="shared" si="0"/>
        <v>1034621.9405330011</v>
      </c>
    </row>
    <row r="69" spans="1:42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0" t="str">
        <f>VLOOKUP(A69,'Summary Mar 2026'!$A$8:$F$206,6,FALSE)</f>
        <v>Chq Bk</v>
      </c>
      <c r="H69" s="288">
        <f>_xlfn.IFNA(VLOOKUP($A69,ISB!$A:$BY,67,FALSE),0)</f>
        <v>0</v>
      </c>
      <c r="I69" s="861">
        <f>_xlfn.IFNA(VLOOKUP(A69,'LA Deductions'!A:AN,40,FALSE),0)</f>
        <v>0</v>
      </c>
      <c r="J69" s="221">
        <f>_xlfn.IFNA(VLOOKUP($A69,ISB!$A:$BY,72,FALSE),0)</f>
        <v>0</v>
      </c>
      <c r="K69" s="289">
        <f>-_xlfn.IFNA(VLOOKUP($A69,ISB!$A:$BY,76,FALSE),0)</f>
        <v>0</v>
      </c>
      <c r="M69" s="288">
        <f>VLOOKUP($A69,EY!$A:$AAK,132,FALSE)</f>
        <v>460808.07778308482</v>
      </c>
      <c r="N69" s="288">
        <f>VLOOKUP($A69,EY!$A:$AAD,133,FALSE)</f>
        <v>938</v>
      </c>
      <c r="P69" s="288">
        <f>VLOOKUP($A69,HN!$A:$AM,38,FALSE)</f>
        <v>0</v>
      </c>
      <c r="Q69" s="288">
        <f>VLOOKUP($A69,HN!$A:$AM,39,FALSE)</f>
        <v>0</v>
      </c>
      <c r="S69" s="362">
        <f>_xlfn.IFNA(VLOOKUP(A69,'Post 16'!A:AR,44,FALSE),0)</f>
        <v>0</v>
      </c>
      <c r="U69" s="362">
        <f>VLOOKUP(A69,'LA Deductions'!A:W,23,FALSE)</f>
        <v>-3291.75</v>
      </c>
      <c r="W69" s="289">
        <f>VLOOKUP($A69,'Summary Mar 2026'!$A:$AAG,189,FALSE)-SUMIFS($H69:$U69,$H$7:$U$7,W$7)</f>
        <v>0</v>
      </c>
      <c r="X69" s="289">
        <f>VLOOKUP($A69,'Summary Mar 2026'!$A:$GL,190,FALSE)-SUMIFS($H69:$U69,$H$7:$U$7,X$7)</f>
        <v>0</v>
      </c>
      <c r="Y69" s="289">
        <f>VLOOKUP($A69,'Summary Mar 2026'!$A:$GL,191,FALSE)-SUMIFS($H69:$U69,$H$7:$U$7,Y$7)</f>
        <v>0</v>
      </c>
      <c r="Z69" s="289">
        <f>VLOOKUP($A69,'Summary Mar 2026'!$A:$GL,192,FALSE)-SUMIFS($H69:$U69,$H$7:$U$7,Z$7)</f>
        <v>0</v>
      </c>
      <c r="AA69" s="289">
        <f>VLOOKUP($A69,'Summary Mar 2026'!$A:$GL,193,FALSE)-SUMIFS($H69:$U69,$H$7:$U$7,AA$7)</f>
        <v>0</v>
      </c>
      <c r="AB69" s="289">
        <f>VLOOKUP($A69,'Summary Mar 2026'!$A:$GL,194,FALSE)-SUMIFS($H69:$U69,$H$7:$U$7,AB$7)</f>
        <v>0</v>
      </c>
      <c r="AD69" s="146">
        <f>_xlfn.IFNA(VLOOKUP($A69,'Summary Mar 2026'!$A:$GS,196,FALSE)+VLOOKUP($A69,OtherDSG!$A:$AI,34,FALSE)+VLOOKUP($A69,Grants!$A:$BE,50,FALSE),0)</f>
        <v>470255.07778308482</v>
      </c>
      <c r="AE69" s="146">
        <f>_xlfn.IFNA(VLOOKUP($A69,'Summary Mar 2026'!$A:$GS,197,FALSE)+VLOOKUP($A69,Grants!$A:$BE,51,FALSE),0)</f>
        <v>0</v>
      </c>
      <c r="AF69" s="146">
        <f>_xlfn.IFNA(VLOOKUP($A69,'Summary Mar 2026'!$A:$GS,198,FALSE)+VLOOKUP($A69,OtherDSG!$A:$AI,35,FALSE)+VLOOKUP($A69,Grants!$A:$BE,52,FALSE),0)</f>
        <v>13938</v>
      </c>
      <c r="AG69" s="146">
        <f>_xlfn.IFNA(VLOOKUP($A69,Grants!$A:$BE,53,FALSE),0)</f>
        <v>0</v>
      </c>
      <c r="AH69" s="146">
        <f>_xlfn.IFNA(VLOOKUP($A69,Grants!$A:$BE,54,FALSE),0)</f>
        <v>0</v>
      </c>
      <c r="AI69" s="146">
        <f>_xlfn.IFNA(VLOOKUP($A69,Grants!$A:$BE,55,FALSE),0)</f>
        <v>0</v>
      </c>
      <c r="AJ69" s="146">
        <f>_xlfn.IFNA(VLOOKUP($A69,Barclays!$A:$T,18,FALSE),0)</f>
        <v>6492.4080500000064</v>
      </c>
      <c r="AK69" s="146">
        <f>_xlfn.IFNA(VLOOKUP($A69,'Summary Mar 2026'!$A:$GS,200,FALSE),0)</f>
        <v>0</v>
      </c>
      <c r="AL69" s="146">
        <f>_xlfn.IFNA(VLOOKUP($A69,Barclays!$A:$T,19,FALSE),0)</f>
        <v>-13.820000000000002</v>
      </c>
      <c r="AM69" s="146">
        <f>_xlfn.IFNA(VLOOKUP($A69,'Summary Mar 2026'!$A:$GS,201,FALSE),0)</f>
        <v>-3291.75</v>
      </c>
      <c r="AN69" s="146">
        <f>_xlfn.IFNA(VLOOKUP($A69,'Summary Mar 2026'!$A:$GS,199,FALSE),0)</f>
        <v>0</v>
      </c>
      <c r="AO69" s="146">
        <f>_xlfn.IFNA(VLOOKUP($A69,Grants!$A:$BE,56,FALSE),0)</f>
        <v>4465.75</v>
      </c>
      <c r="AP69" s="65">
        <f t="shared" si="0"/>
        <v>491845.66583308484</v>
      </c>
    </row>
    <row r="70" spans="1:42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0" t="str">
        <f>VLOOKUP(A70,'Summary Mar 2026'!$A$8:$F$206,6,FALSE)</f>
        <v>Chq Bk</v>
      </c>
      <c r="H70" s="288">
        <f>_xlfn.IFNA(VLOOKUP($A70,ISB!$A:$BY,67,FALSE),0)</f>
        <v>9663365.3310645986</v>
      </c>
      <c r="I70" s="861">
        <f>_xlfn.IFNA(VLOOKUP(A70,'LA Deductions'!A:AN,40,FALSE),0)</f>
        <v>-44806.327400000002</v>
      </c>
      <c r="J70" s="221">
        <f>_xlfn.IFNA(VLOOKUP($A70,ISB!$A:$BY,72,FALSE),0)</f>
        <v>-24236.52</v>
      </c>
      <c r="K70" s="289">
        <f>-_xlfn.IFNA(VLOOKUP($A70,ISB!$A:$BY,76,FALSE),0)</f>
        <v>-188038.74</v>
      </c>
      <c r="M70" s="288">
        <f>VLOOKUP($A70,EY!$A:$AAK,132,FALSE)</f>
        <v>0</v>
      </c>
      <c r="N70" s="288">
        <f>VLOOKUP($A70,EY!$A:$AAD,133,FALSE)</f>
        <v>0</v>
      </c>
      <c r="P70" s="288">
        <f>VLOOKUP($A70,HN!$A:$AM,38,FALSE)</f>
        <v>0</v>
      </c>
      <c r="Q70" s="288">
        <f>VLOOKUP($A70,HN!$A:$AM,39,FALSE)</f>
        <v>0</v>
      </c>
      <c r="S70" s="362">
        <f>_xlfn.IFNA(VLOOKUP(A70,'Post 16'!A:AR,44,FALSE),0)</f>
        <v>0</v>
      </c>
      <c r="U70" s="362">
        <f>VLOOKUP(A70,'LA Deductions'!A:W,23,FALSE)</f>
        <v>-32508.000000000004</v>
      </c>
      <c r="W70" s="289">
        <f>VLOOKUP($A70,'Summary Mar 2026'!$A:$AAG,189,FALSE)-SUMIFS($H70:$U70,$H$7:$U$7,W$7)</f>
        <v>0</v>
      </c>
      <c r="X70" s="289">
        <f>VLOOKUP($A70,'Summary Mar 2026'!$A:$GL,190,FALSE)-SUMIFS($H70:$U70,$H$7:$U$7,X$7)</f>
        <v>0</v>
      </c>
      <c r="Y70" s="289">
        <f>VLOOKUP($A70,'Summary Mar 2026'!$A:$GL,191,FALSE)-SUMIFS($H70:$U70,$H$7:$U$7,Y$7)</f>
        <v>0</v>
      </c>
      <c r="Z70" s="289">
        <f>VLOOKUP($A70,'Summary Mar 2026'!$A:$GL,192,FALSE)-SUMIFS($H70:$U70,$H$7:$U$7,Z$7)</f>
        <v>0</v>
      </c>
      <c r="AA70" s="289">
        <f>VLOOKUP($A70,'Summary Mar 2026'!$A:$GL,193,FALSE)-SUMIFS($H70:$U70,$H$7:$U$7,AA$7)</f>
        <v>0</v>
      </c>
      <c r="AB70" s="289">
        <f>VLOOKUP($A70,'Summary Mar 2026'!$A:$GL,194,FALSE)-SUMIFS($H70:$U70,$H$7:$U$7,AB$7)</f>
        <v>0</v>
      </c>
      <c r="AD70" s="146">
        <f>_xlfn.IFNA(VLOOKUP($A70,'Summary Mar 2026'!$A:$GS,196,FALSE)+VLOOKUP($A70,OtherDSG!$A:$AI,34,FALSE)+VLOOKUP($A70,Grants!$A:$BE,50,FALSE),0)</f>
        <v>9846675.0036645997</v>
      </c>
      <c r="AE70" s="146">
        <f>_xlfn.IFNA(VLOOKUP($A70,'Summary Mar 2026'!$A:$GS,197,FALSE)+VLOOKUP($A70,Grants!$A:$BE,51,FALSE),0)</f>
        <v>0</v>
      </c>
      <c r="AF70" s="146">
        <f>_xlfn.IFNA(VLOOKUP($A70,'Summary Mar 2026'!$A:$GS,198,FALSE)+VLOOKUP($A70,OtherDSG!$A:$AI,35,FALSE)+VLOOKUP($A70,Grants!$A:$BE,52,FALSE),0)</f>
        <v>92186.66333333333</v>
      </c>
      <c r="AG70" s="146">
        <f>_xlfn.IFNA(VLOOKUP($A70,Grants!$A:$BE,53,FALSE),0)</f>
        <v>683700</v>
      </c>
      <c r="AH70" s="146">
        <f>_xlfn.IFNA(VLOOKUP($A70,Grants!$A:$BE,54,FALSE),0)</f>
        <v>18672.060000000001</v>
      </c>
      <c r="AI70" s="146">
        <f>_xlfn.IFNA(VLOOKUP($A70,Grants!$A:$BE,55,FALSE),0)</f>
        <v>0</v>
      </c>
      <c r="AJ70" s="146">
        <f>_xlfn.IFNA(VLOOKUP($A70,Barclays!$A:$T,18,FALSE),0)</f>
        <v>0</v>
      </c>
      <c r="AK70" s="146">
        <f>_xlfn.IFNA(VLOOKUP($A70,'Summary Mar 2026'!$A:$GS,200,FALSE),0)</f>
        <v>-188038.73999999996</v>
      </c>
      <c r="AL70" s="146">
        <f>_xlfn.IFNA(VLOOKUP($A70,Barclays!$A:$T,19,FALSE),0)</f>
        <v>0</v>
      </c>
      <c r="AM70" s="146">
        <f>_xlfn.IFNA(VLOOKUP($A70,'Summary Mar 2026'!$A:$GS,201,FALSE),0)</f>
        <v>-32508.000000000004</v>
      </c>
      <c r="AN70" s="146">
        <f>_xlfn.IFNA(VLOOKUP($A70,'Summary Mar 2026'!$A:$GS,199,FALSE),0)</f>
        <v>-24236.519999999993</v>
      </c>
      <c r="AO70" s="146">
        <f>_xlfn.IFNA(VLOOKUP($A70,Grants!$A:$BE,56,FALSE),0)</f>
        <v>24503.13</v>
      </c>
      <c r="AP70" s="65">
        <f t="shared" si="0"/>
        <v>10420953.596997935</v>
      </c>
    </row>
    <row r="71" spans="1:42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0" t="str">
        <f>VLOOKUP(A71,'Summary Mar 2026'!$A$8:$F$206,6,FALSE)</f>
        <v>Chq Bk</v>
      </c>
      <c r="H71" s="288">
        <f>_xlfn.IFNA(VLOOKUP($A71,ISB!$A:$BY,67,FALSE),0)</f>
        <v>5910389.1970598912</v>
      </c>
      <c r="I71" s="861">
        <f>_xlfn.IFNA(VLOOKUP(A71,'LA Deductions'!A:AN,40,FALSE),0)</f>
        <v>0</v>
      </c>
      <c r="J71" s="221">
        <f>_xlfn.IFNA(VLOOKUP($A71,ISB!$A:$BY,72,FALSE),0)</f>
        <v>-15157.89</v>
      </c>
      <c r="K71" s="289">
        <f>-_xlfn.IFNA(VLOOKUP($A71,ISB!$A:$BY,76,FALSE),0)</f>
        <v>-78092.09</v>
      </c>
      <c r="M71" s="288">
        <f>VLOOKUP($A71,EY!$A:$AAK,132,FALSE)</f>
        <v>0</v>
      </c>
      <c r="N71" s="288">
        <f>VLOOKUP($A71,EY!$A:$AAD,133,FALSE)</f>
        <v>0</v>
      </c>
      <c r="P71" s="288">
        <f>VLOOKUP($A71,HN!$A:$AM,38,FALSE)</f>
        <v>0</v>
      </c>
      <c r="Q71" s="288">
        <f>VLOOKUP($A71,HN!$A:$AM,39,FALSE)</f>
        <v>0</v>
      </c>
      <c r="S71" s="362">
        <f>_xlfn.IFNA(VLOOKUP(A71,'Post 16'!A:AR,44,FALSE),0)</f>
        <v>0</v>
      </c>
      <c r="U71" s="362">
        <f>VLOOKUP(A71,'LA Deductions'!A:W,23,FALSE)</f>
        <v>-20331</v>
      </c>
      <c r="W71" s="289">
        <f>VLOOKUP($A71,'Summary Mar 2026'!$A:$AAG,189,FALSE)-SUMIFS($H71:$U71,$H$7:$U$7,W$7)</f>
        <v>0</v>
      </c>
      <c r="X71" s="289">
        <f>VLOOKUP($A71,'Summary Mar 2026'!$A:$GL,190,FALSE)-SUMIFS($H71:$U71,$H$7:$U$7,X$7)</f>
        <v>0</v>
      </c>
      <c r="Y71" s="289">
        <f>VLOOKUP($A71,'Summary Mar 2026'!$A:$GL,191,FALSE)-SUMIFS($H71:$U71,$H$7:$U$7,Y$7)</f>
        <v>0</v>
      </c>
      <c r="Z71" s="289">
        <f>VLOOKUP($A71,'Summary Mar 2026'!$A:$GL,192,FALSE)-SUMIFS($H71:$U71,$H$7:$U$7,Z$7)</f>
        <v>0</v>
      </c>
      <c r="AA71" s="289">
        <f>VLOOKUP($A71,'Summary Mar 2026'!$A:$GL,193,FALSE)-SUMIFS($H71:$U71,$H$7:$U$7,AA$7)</f>
        <v>0</v>
      </c>
      <c r="AB71" s="289">
        <f>VLOOKUP($A71,'Summary Mar 2026'!$A:$GL,194,FALSE)-SUMIFS($H71:$U71,$H$7:$U$7,AB$7)</f>
        <v>0</v>
      </c>
      <c r="AD71" s="146">
        <f>_xlfn.IFNA(VLOOKUP($A71,'Summary Mar 2026'!$A:$GS,196,FALSE)+VLOOKUP($A71,OtherDSG!$A:$AI,34,FALSE)+VLOOKUP($A71,Grants!$A:$BE,50,FALSE),0)</f>
        <v>6052734.1970598893</v>
      </c>
      <c r="AE71" s="146">
        <f>_xlfn.IFNA(VLOOKUP($A71,'Summary Mar 2026'!$A:$GS,197,FALSE)+VLOOKUP($A71,Grants!$A:$BE,51,FALSE),0)</f>
        <v>0</v>
      </c>
      <c r="AF71" s="146">
        <f>_xlfn.IFNA(VLOOKUP($A71,'Summary Mar 2026'!$A:$GS,198,FALSE)+VLOOKUP($A71,OtherDSG!$A:$AI,35,FALSE)+VLOOKUP($A71,Grants!$A:$BE,52,FALSE),0)</f>
        <v>46419.05</v>
      </c>
      <c r="AG71" s="146">
        <f>_xlfn.IFNA(VLOOKUP($A71,Grants!$A:$BE,53,FALSE),0)</f>
        <v>413760</v>
      </c>
      <c r="AH71" s="146">
        <f>_xlfn.IFNA(VLOOKUP($A71,Grants!$A:$BE,54,FALSE),0)</f>
        <v>3256.93</v>
      </c>
      <c r="AI71" s="146">
        <f>_xlfn.IFNA(VLOOKUP($A71,Grants!$A:$BE,55,FALSE),0)</f>
        <v>0</v>
      </c>
      <c r="AJ71" s="146">
        <f>_xlfn.IFNA(VLOOKUP($A71,Barclays!$A:$T,18,FALSE),0)</f>
        <v>0</v>
      </c>
      <c r="AK71" s="146">
        <f>_xlfn.IFNA(VLOOKUP($A71,'Summary Mar 2026'!$A:$GS,200,FALSE),0)</f>
        <v>-78092.089999999982</v>
      </c>
      <c r="AL71" s="146">
        <f>_xlfn.IFNA(VLOOKUP($A71,Barclays!$A:$T,19,FALSE),0)</f>
        <v>0</v>
      </c>
      <c r="AM71" s="146">
        <f>_xlfn.IFNA(VLOOKUP($A71,'Summary Mar 2026'!$A:$GS,201,FALSE),0)</f>
        <v>-20331</v>
      </c>
      <c r="AN71" s="146">
        <f>_xlfn.IFNA(VLOOKUP($A71,'Summary Mar 2026'!$A:$GS,199,FALSE),0)</f>
        <v>-15157.889999999998</v>
      </c>
      <c r="AO71" s="146">
        <f>_xlfn.IFNA(VLOOKUP($A71,Grants!$A:$BE,56,FALSE),0)</f>
        <v>16571.88</v>
      </c>
      <c r="AP71" s="65">
        <f t="shared" si="0"/>
        <v>6419161.0770598892</v>
      </c>
    </row>
    <row r="72" spans="1:42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0" t="str">
        <f>VLOOKUP(A72,'Summary Mar 2026'!$A$8:$F$206,6,FALSE)</f>
        <v>Chq Bk</v>
      </c>
      <c r="H72" s="288">
        <f>_xlfn.IFNA(VLOOKUP($A72,ISB!$A:$BY,67,FALSE),0)</f>
        <v>1067052.5572941178</v>
      </c>
      <c r="I72" s="861">
        <f>_xlfn.IFNA(VLOOKUP(A72,'LA Deductions'!A:AN,40,FALSE),0)</f>
        <v>0</v>
      </c>
      <c r="J72" s="221">
        <f>_xlfn.IFNA(VLOOKUP($A72,ISB!$A:$BY,72,FALSE),0)</f>
        <v>-3703.3599999999997</v>
      </c>
      <c r="K72" s="289">
        <f>-_xlfn.IFNA(VLOOKUP($A72,ISB!$A:$BY,76,FALSE),0)</f>
        <v>-33654.800000000003</v>
      </c>
      <c r="M72" s="288">
        <f>VLOOKUP($A72,EY!$A:$AAK,132,FALSE)</f>
        <v>165484.01196675902</v>
      </c>
      <c r="N72" s="288">
        <f>VLOOKUP($A72,EY!$A:$AAD,133,FALSE)</f>
        <v>0</v>
      </c>
      <c r="P72" s="288">
        <f>VLOOKUP($A72,HN!$A:$AM,38,FALSE)</f>
        <v>0</v>
      </c>
      <c r="Q72" s="288">
        <f>VLOOKUP($A72,HN!$A:$AM,39,FALSE)</f>
        <v>0</v>
      </c>
      <c r="S72" s="362">
        <f>_xlfn.IFNA(VLOOKUP(A72,'Post 16'!A:AR,44,FALSE),0)</f>
        <v>0</v>
      </c>
      <c r="U72" s="362">
        <f>VLOOKUP(A72,'LA Deductions'!A:W,23,FALSE)</f>
        <v>-4347</v>
      </c>
      <c r="W72" s="289">
        <f>VLOOKUP($A72,'Summary Mar 2026'!$A:$AAG,189,FALSE)-SUMIFS($H72:$U72,$H$7:$U$7,W$7)</f>
        <v>0</v>
      </c>
      <c r="X72" s="289">
        <f>VLOOKUP($A72,'Summary Mar 2026'!$A:$GL,190,FALSE)-SUMIFS($H72:$U72,$H$7:$U$7,X$7)</f>
        <v>0</v>
      </c>
      <c r="Y72" s="289">
        <f>VLOOKUP($A72,'Summary Mar 2026'!$A:$GL,191,FALSE)-SUMIFS($H72:$U72,$H$7:$U$7,Y$7)</f>
        <v>0</v>
      </c>
      <c r="Z72" s="289">
        <f>VLOOKUP($A72,'Summary Mar 2026'!$A:$GL,192,FALSE)-SUMIFS($H72:$U72,$H$7:$U$7,Z$7)</f>
        <v>0</v>
      </c>
      <c r="AA72" s="289">
        <f>VLOOKUP($A72,'Summary Mar 2026'!$A:$GL,193,FALSE)-SUMIFS($H72:$U72,$H$7:$U$7,AA$7)</f>
        <v>0</v>
      </c>
      <c r="AB72" s="289">
        <f>VLOOKUP($A72,'Summary Mar 2026'!$A:$GL,194,FALSE)-SUMIFS($H72:$U72,$H$7:$U$7,AB$7)</f>
        <v>0</v>
      </c>
      <c r="AD72" s="146">
        <f>_xlfn.IFNA(VLOOKUP($A72,'Summary Mar 2026'!$A:$GS,196,FALSE)+VLOOKUP($A72,OtherDSG!$A:$AI,34,FALSE)+VLOOKUP($A72,Grants!$A:$BE,50,FALSE),0)</f>
        <v>1266749.5692608766</v>
      </c>
      <c r="AE72" s="146">
        <f>_xlfn.IFNA(VLOOKUP($A72,'Summary Mar 2026'!$A:$GS,197,FALSE)+VLOOKUP($A72,Grants!$A:$BE,51,FALSE),0)</f>
        <v>0</v>
      </c>
      <c r="AF72" s="146">
        <f>_xlfn.IFNA(VLOOKUP($A72,'Summary Mar 2026'!$A:$GS,198,FALSE)+VLOOKUP($A72,OtherDSG!$A:$AI,35,FALSE)+VLOOKUP($A72,Grants!$A:$BE,52,FALSE),0)</f>
        <v>444870.02333333332</v>
      </c>
      <c r="AG72" s="146">
        <f>_xlfn.IFNA(VLOOKUP($A72,Grants!$A:$BE,53,FALSE),0)</f>
        <v>145740</v>
      </c>
      <c r="AH72" s="146">
        <f>_xlfn.IFNA(VLOOKUP($A72,Grants!$A:$BE,54,FALSE),0)</f>
        <v>37171</v>
      </c>
      <c r="AI72" s="146">
        <f>_xlfn.IFNA(VLOOKUP($A72,Grants!$A:$BE,55,FALSE),0)</f>
        <v>0</v>
      </c>
      <c r="AJ72" s="146">
        <f>_xlfn.IFNA(VLOOKUP($A72,Barclays!$A:$T,18,FALSE),0)</f>
        <v>0</v>
      </c>
      <c r="AK72" s="146">
        <f>_xlfn.IFNA(VLOOKUP($A72,'Summary Mar 2026'!$A:$GS,200,FALSE),0)</f>
        <v>-33654.799999999996</v>
      </c>
      <c r="AL72" s="146">
        <f>_xlfn.IFNA(VLOOKUP($A72,Barclays!$A:$T,19,FALSE),0)</f>
        <v>0</v>
      </c>
      <c r="AM72" s="146">
        <f>_xlfn.IFNA(VLOOKUP($A72,'Summary Mar 2026'!$A:$GS,201,FALSE),0)</f>
        <v>-4347</v>
      </c>
      <c r="AN72" s="146">
        <f>_xlfn.IFNA(VLOOKUP($A72,'Summary Mar 2026'!$A:$GS,199,FALSE),0)</f>
        <v>-3703.3599999999992</v>
      </c>
      <c r="AO72" s="146">
        <f>_xlfn.IFNA(VLOOKUP($A72,Grants!$A:$BE,56,FALSE),0)</f>
        <v>0</v>
      </c>
      <c r="AP72" s="65">
        <f t="shared" si="0"/>
        <v>1852825.4325942099</v>
      </c>
    </row>
    <row r="73" spans="1:42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0" t="str">
        <f>VLOOKUP(A73,'Summary Mar 2026'!$A$8:$F$206,6,FALSE)</f>
        <v>Chq Bk</v>
      </c>
      <c r="H73" s="288">
        <f>_xlfn.IFNA(VLOOKUP($A73,ISB!$A:$BY,67,FALSE),0)</f>
        <v>8459970.3026285898</v>
      </c>
      <c r="I73" s="861">
        <f>_xlfn.IFNA(VLOOKUP(A73,'LA Deductions'!A:AN,40,FALSE),0)</f>
        <v>0</v>
      </c>
      <c r="J73" s="221">
        <f>_xlfn.IFNA(VLOOKUP($A73,ISB!$A:$BY,72,FALSE),0)</f>
        <v>-20069.61</v>
      </c>
      <c r="K73" s="289">
        <f>-_xlfn.IFNA(VLOOKUP($A73,ISB!$A:$BY,76,FALSE),0)</f>
        <v>-186512.23</v>
      </c>
      <c r="M73" s="288">
        <f>VLOOKUP($A73,EY!$A:$AAK,132,FALSE)</f>
        <v>0</v>
      </c>
      <c r="N73" s="288">
        <f>VLOOKUP($A73,EY!$A:$AAD,133,FALSE)</f>
        <v>0</v>
      </c>
      <c r="P73" s="288">
        <f>VLOOKUP($A73,HN!$A:$AM,38,FALSE)</f>
        <v>0</v>
      </c>
      <c r="Q73" s="288">
        <f>VLOOKUP($A73,HN!$A:$AM,39,FALSE)</f>
        <v>0</v>
      </c>
      <c r="S73" s="362">
        <f>_xlfn.IFNA(VLOOKUP(A73,'Post 16'!A:AR,44,FALSE),0)</f>
        <v>1167000.3333333335</v>
      </c>
      <c r="U73" s="362">
        <f>VLOOKUP(A73,'LA Deductions'!A:W,23,FALSE)</f>
        <v>0</v>
      </c>
      <c r="W73" s="289">
        <f>VLOOKUP($A73,'Summary Mar 2026'!$A:$AAG,189,FALSE)-SUMIFS($H73:$U73,$H$7:$U$7,W$7)</f>
        <v>0</v>
      </c>
      <c r="X73" s="289">
        <f>VLOOKUP($A73,'Summary Mar 2026'!$A:$GL,190,FALSE)-SUMIFS($H73:$U73,$H$7:$U$7,X$7)</f>
        <v>0</v>
      </c>
      <c r="Y73" s="289">
        <f>VLOOKUP($A73,'Summary Mar 2026'!$A:$GL,191,FALSE)-SUMIFS($H73:$U73,$H$7:$U$7,Y$7)</f>
        <v>0</v>
      </c>
      <c r="Z73" s="289">
        <f>VLOOKUP($A73,'Summary Mar 2026'!$A:$GL,192,FALSE)-SUMIFS($H73:$U73,$H$7:$U$7,Z$7)</f>
        <v>0</v>
      </c>
      <c r="AA73" s="289">
        <f>VLOOKUP($A73,'Summary Mar 2026'!$A:$GL,193,FALSE)-SUMIFS($H73:$U73,$H$7:$U$7,AA$7)</f>
        <v>0</v>
      </c>
      <c r="AB73" s="289">
        <f>VLOOKUP($A73,'Summary Mar 2026'!$A:$GL,194,FALSE)-SUMIFS($H73:$U73,$H$7:$U$7,AB$7)</f>
        <v>0</v>
      </c>
      <c r="AD73" s="146">
        <f>_xlfn.IFNA(VLOOKUP($A73,'Summary Mar 2026'!$A:$GS,196,FALSE)+VLOOKUP($A73,OtherDSG!$A:$AI,34,FALSE)+VLOOKUP($A73,Grants!$A:$BE,50,FALSE),0)</f>
        <v>8658203.3026285898</v>
      </c>
      <c r="AE73" s="146">
        <f>_xlfn.IFNA(VLOOKUP($A73,'Summary Mar 2026'!$A:$GS,197,FALSE)+VLOOKUP($A73,Grants!$A:$BE,51,FALSE),0)</f>
        <v>1244904.2933333335</v>
      </c>
      <c r="AF73" s="146">
        <f>_xlfn.IFNA(VLOOKUP($A73,'Summary Mar 2026'!$A:$GS,198,FALSE)+VLOOKUP($A73,OtherDSG!$A:$AI,35,FALSE)+VLOOKUP($A73,Grants!$A:$BE,52,FALSE),0)</f>
        <v>101653.00000000001</v>
      </c>
      <c r="AG73" s="146">
        <f>_xlfn.IFNA(VLOOKUP($A73,Grants!$A:$BE,53,FALSE),0)</f>
        <v>648200</v>
      </c>
      <c r="AH73" s="146">
        <f>_xlfn.IFNA(VLOOKUP($A73,Grants!$A:$BE,54,FALSE),0)</f>
        <v>39055.86</v>
      </c>
      <c r="AI73" s="146">
        <f>_xlfn.IFNA(VLOOKUP($A73,Grants!$A:$BE,55,FALSE),0)</f>
        <v>0</v>
      </c>
      <c r="AJ73" s="146">
        <f>_xlfn.IFNA(VLOOKUP($A73,Barclays!$A:$T,18,FALSE),0)</f>
        <v>0</v>
      </c>
      <c r="AK73" s="146">
        <f>_xlfn.IFNA(VLOOKUP($A73,'Summary Mar 2026'!$A:$GS,200,FALSE),0)</f>
        <v>-186512.22999999998</v>
      </c>
      <c r="AL73" s="146">
        <f>_xlfn.IFNA(VLOOKUP($A73,Barclays!$A:$T,19,FALSE),0)</f>
        <v>0</v>
      </c>
      <c r="AM73" s="146">
        <f>_xlfn.IFNA(VLOOKUP($A73,'Summary Mar 2026'!$A:$GS,201,FALSE),0)</f>
        <v>0</v>
      </c>
      <c r="AN73" s="146">
        <f>_xlfn.IFNA(VLOOKUP($A73,'Summary Mar 2026'!$A:$GS,199,FALSE),0)</f>
        <v>-20069.61</v>
      </c>
      <c r="AO73" s="146">
        <f>_xlfn.IFNA(VLOOKUP($A73,Grants!$A:$BE,56,FALSE),0)</f>
        <v>24410.31</v>
      </c>
      <c r="AP73" s="65">
        <f t="shared" ref="AP73:AP136" si="1">SUM(AD73:AO73)</f>
        <v>10509844.925961923</v>
      </c>
    </row>
    <row r="74" spans="1:42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0" t="str">
        <f>VLOOKUP(A74,'Summary Mar 2026'!$A$8:$F$206,6,FALSE)</f>
        <v>Chq Bk</v>
      </c>
      <c r="H74" s="288">
        <f>_xlfn.IFNA(VLOOKUP($A74,ISB!$A:$BY,67,FALSE),0)</f>
        <v>1345936.7948626308</v>
      </c>
      <c r="I74" s="861">
        <f>_xlfn.IFNA(VLOOKUP(A74,'LA Deductions'!A:AN,40,FALSE),0)</f>
        <v>0</v>
      </c>
      <c r="J74" s="221">
        <f>_xlfn.IFNA(VLOOKUP($A74,ISB!$A:$BY,72,FALSE),0)</f>
        <v>-5398.5599999999995</v>
      </c>
      <c r="K74" s="289">
        <f>-_xlfn.IFNA(VLOOKUP($A74,ISB!$A:$BY,76,FALSE),0)</f>
        <v>-5246.96</v>
      </c>
      <c r="M74" s="288">
        <f>VLOOKUP($A74,EY!$A:$AAK,132,FALSE)</f>
        <v>88936.961883656521</v>
      </c>
      <c r="N74" s="288">
        <f>VLOOKUP($A74,EY!$A:$AAD,133,FALSE)</f>
        <v>0</v>
      </c>
      <c r="P74" s="288">
        <f>VLOOKUP($A74,HN!$A:$AM,38,FALSE)</f>
        <v>0</v>
      </c>
      <c r="Q74" s="288">
        <f>VLOOKUP($A74,HN!$A:$AM,39,FALSE)</f>
        <v>0</v>
      </c>
      <c r="S74" s="362">
        <f>_xlfn.IFNA(VLOOKUP(A74,'Post 16'!A:AR,44,FALSE),0)</f>
        <v>0</v>
      </c>
      <c r="U74" s="362">
        <f>VLOOKUP(A74,'LA Deductions'!A:W,23,FALSE)</f>
        <v>0</v>
      </c>
      <c r="W74" s="289">
        <f>VLOOKUP($A74,'Summary Mar 2026'!$A:$AAG,189,FALSE)-SUMIFS($H74:$U74,$H$7:$U$7,W$7)</f>
        <v>0</v>
      </c>
      <c r="X74" s="289">
        <f>VLOOKUP($A74,'Summary Mar 2026'!$A:$GL,190,FALSE)-SUMIFS($H74:$U74,$H$7:$U$7,X$7)</f>
        <v>0</v>
      </c>
      <c r="Y74" s="289">
        <f>VLOOKUP($A74,'Summary Mar 2026'!$A:$GL,191,FALSE)-SUMIFS($H74:$U74,$H$7:$U$7,Y$7)</f>
        <v>0</v>
      </c>
      <c r="Z74" s="289">
        <f>VLOOKUP($A74,'Summary Mar 2026'!$A:$GL,192,FALSE)-SUMIFS($H74:$U74,$H$7:$U$7,Z$7)</f>
        <v>0</v>
      </c>
      <c r="AA74" s="289">
        <f>VLOOKUP($A74,'Summary Mar 2026'!$A:$GL,193,FALSE)-SUMIFS($H74:$U74,$H$7:$U$7,AA$7)</f>
        <v>0</v>
      </c>
      <c r="AB74" s="289">
        <f>VLOOKUP($A74,'Summary Mar 2026'!$A:$GL,194,FALSE)-SUMIFS($H74:$U74,$H$7:$U$7,AB$7)</f>
        <v>0</v>
      </c>
      <c r="AD74" s="146">
        <f>_xlfn.IFNA(VLOOKUP($A74,'Summary Mar 2026'!$A:$GS,196,FALSE)+VLOOKUP($A74,OtherDSG!$A:$AI,34,FALSE)+VLOOKUP($A74,Grants!$A:$BE,50,FALSE),0)</f>
        <v>1477111.756746287</v>
      </c>
      <c r="AE74" s="146">
        <f>_xlfn.IFNA(VLOOKUP($A74,'Summary Mar 2026'!$A:$GS,197,FALSE)+VLOOKUP($A74,Grants!$A:$BE,51,FALSE),0)</f>
        <v>0</v>
      </c>
      <c r="AF74" s="146">
        <f>_xlfn.IFNA(VLOOKUP($A74,'Summary Mar 2026'!$A:$GS,198,FALSE)+VLOOKUP($A74,OtherDSG!$A:$AI,35,FALSE)+VLOOKUP($A74,Grants!$A:$BE,52,FALSE),0)</f>
        <v>71910.346666666665</v>
      </c>
      <c r="AG74" s="146">
        <f>_xlfn.IFNA(VLOOKUP($A74,Grants!$A:$BE,53,FALSE),0)</f>
        <v>165850</v>
      </c>
      <c r="AH74" s="146">
        <f>_xlfn.IFNA(VLOOKUP($A74,Grants!$A:$BE,54,FALSE),0)</f>
        <v>42647.5</v>
      </c>
      <c r="AI74" s="146">
        <f>_xlfn.IFNA(VLOOKUP($A74,Grants!$A:$BE,55,FALSE),0)</f>
        <v>0</v>
      </c>
      <c r="AJ74" s="146">
        <f>_xlfn.IFNA(VLOOKUP($A74,Barclays!$A:$T,18,FALSE),0)</f>
        <v>4190.0715200000159</v>
      </c>
      <c r="AK74" s="146">
        <f>_xlfn.IFNA(VLOOKUP($A74,'Summary Mar 2026'!$A:$GS,200,FALSE),0)</f>
        <v>-5246.9600000000019</v>
      </c>
      <c r="AL74" s="146">
        <f>_xlfn.IFNA(VLOOKUP($A74,Barclays!$A:$T,19,FALSE),0)</f>
        <v>-83.97</v>
      </c>
      <c r="AM74" s="146">
        <f>_xlfn.IFNA(VLOOKUP($A74,'Summary Mar 2026'!$A:$GS,201,FALSE),0)</f>
        <v>0</v>
      </c>
      <c r="AN74" s="146">
        <f>_xlfn.IFNA(VLOOKUP($A74,'Summary Mar 2026'!$A:$GS,199,FALSE),0)</f>
        <v>-5398.56</v>
      </c>
      <c r="AO74" s="146">
        <f>_xlfn.IFNA(VLOOKUP($A74,Grants!$A:$BE,56,FALSE),0)</f>
        <v>0</v>
      </c>
      <c r="AP74" s="65">
        <f t="shared" si="1"/>
        <v>1750980.1849329537</v>
      </c>
    </row>
    <row r="75" spans="1:42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0" t="str">
        <f>VLOOKUP(A75,'Summary Mar 2026'!$A$8:$F$206,6,FALSE)</f>
        <v>Chq Bk</v>
      </c>
      <c r="H75" s="288">
        <f>_xlfn.IFNA(VLOOKUP($A75,ISB!$A:$BY,67,FALSE),0)</f>
        <v>0</v>
      </c>
      <c r="I75" s="861">
        <f>_xlfn.IFNA(VLOOKUP(A75,'LA Deductions'!A:AN,40,FALSE),0)</f>
        <v>0</v>
      </c>
      <c r="J75" s="221">
        <f>_xlfn.IFNA(VLOOKUP($A75,ISB!$A:$BY,72,FALSE),0)</f>
        <v>0</v>
      </c>
      <c r="K75" s="289">
        <f>-_xlfn.IFNA(VLOOKUP($A75,ISB!$A:$BY,76,FALSE),0)</f>
        <v>0</v>
      </c>
      <c r="M75" s="288">
        <f>VLOOKUP($A75,EY!$A:$AAK,132,FALSE)</f>
        <v>580640.18235693523</v>
      </c>
      <c r="N75" s="288">
        <f>VLOOKUP($A75,EY!$A:$AAD,133,FALSE)</f>
        <v>10726.978393351801</v>
      </c>
      <c r="P75" s="288">
        <f>VLOOKUP($A75,HN!$A:$AM,38,FALSE)</f>
        <v>0</v>
      </c>
      <c r="Q75" s="288">
        <f>VLOOKUP($A75,HN!$A:$AM,39,FALSE)</f>
        <v>0</v>
      </c>
      <c r="S75" s="362">
        <f>_xlfn.IFNA(VLOOKUP(A75,'Post 16'!A:AR,44,FALSE),0)</f>
        <v>0</v>
      </c>
      <c r="U75" s="362">
        <f>VLOOKUP(A75,'LA Deductions'!A:W,23,FALSE)</f>
        <v>-3291.75</v>
      </c>
      <c r="W75" s="289">
        <f>VLOOKUP($A75,'Summary Mar 2026'!$A:$AAG,189,FALSE)-SUMIFS($H75:$U75,$H$7:$U$7,W$7)</f>
        <v>0</v>
      </c>
      <c r="X75" s="289">
        <f>VLOOKUP($A75,'Summary Mar 2026'!$A:$GL,190,FALSE)-SUMIFS($H75:$U75,$H$7:$U$7,X$7)</f>
        <v>0</v>
      </c>
      <c r="Y75" s="289">
        <f>VLOOKUP($A75,'Summary Mar 2026'!$A:$GL,191,FALSE)-SUMIFS($H75:$U75,$H$7:$U$7,Y$7)</f>
        <v>0</v>
      </c>
      <c r="Z75" s="289">
        <f>VLOOKUP($A75,'Summary Mar 2026'!$A:$GL,192,FALSE)-SUMIFS($H75:$U75,$H$7:$U$7,Z$7)</f>
        <v>0</v>
      </c>
      <c r="AA75" s="289">
        <f>VLOOKUP($A75,'Summary Mar 2026'!$A:$GL,193,FALSE)-SUMIFS($H75:$U75,$H$7:$U$7,AA$7)</f>
        <v>0</v>
      </c>
      <c r="AB75" s="289">
        <f>VLOOKUP($A75,'Summary Mar 2026'!$A:$GL,194,FALSE)-SUMIFS($H75:$U75,$H$7:$U$7,AB$7)</f>
        <v>0</v>
      </c>
      <c r="AD75" s="146">
        <f>_xlfn.IFNA(VLOOKUP($A75,'Summary Mar 2026'!$A:$GS,196,FALSE)+VLOOKUP($A75,OtherDSG!$A:$AI,34,FALSE)+VLOOKUP($A75,Grants!$A:$BE,50,FALSE),0)</f>
        <v>592295.18235693534</v>
      </c>
      <c r="AE75" s="146">
        <f>_xlfn.IFNA(VLOOKUP($A75,'Summary Mar 2026'!$A:$GS,197,FALSE)+VLOOKUP($A75,Grants!$A:$BE,51,FALSE),0)</f>
        <v>0</v>
      </c>
      <c r="AF75" s="146">
        <f>_xlfn.IFNA(VLOOKUP($A75,'Summary Mar 2026'!$A:$GS,198,FALSE)+VLOOKUP($A75,OtherDSG!$A:$AI,35,FALSE)+VLOOKUP($A75,Grants!$A:$BE,52,FALSE),0)</f>
        <v>46242.095060018473</v>
      </c>
      <c r="AG75" s="146">
        <f>_xlfn.IFNA(VLOOKUP($A75,Grants!$A:$BE,53,FALSE),0)</f>
        <v>0</v>
      </c>
      <c r="AH75" s="146">
        <f>_xlfn.IFNA(VLOOKUP($A75,Grants!$A:$BE,54,FALSE),0)</f>
        <v>0</v>
      </c>
      <c r="AI75" s="146">
        <f>_xlfn.IFNA(VLOOKUP($A75,Grants!$A:$BE,55,FALSE),0)</f>
        <v>0</v>
      </c>
      <c r="AJ75" s="146">
        <f>_xlfn.IFNA(VLOOKUP($A75,Barclays!$A:$T,18,FALSE),0)</f>
        <v>0</v>
      </c>
      <c r="AK75" s="146">
        <f>_xlfn.IFNA(VLOOKUP($A75,'Summary Mar 2026'!$A:$GS,200,FALSE),0)</f>
        <v>0</v>
      </c>
      <c r="AL75" s="146">
        <f>_xlfn.IFNA(VLOOKUP($A75,Barclays!$A:$T,19,FALSE),0)</f>
        <v>0</v>
      </c>
      <c r="AM75" s="146">
        <f>_xlfn.IFNA(VLOOKUP($A75,'Summary Mar 2026'!$A:$GS,201,FALSE),0)</f>
        <v>-3291.75</v>
      </c>
      <c r="AN75" s="146">
        <f>_xlfn.IFNA(VLOOKUP($A75,'Summary Mar 2026'!$A:$GS,199,FALSE),0)</f>
        <v>0</v>
      </c>
      <c r="AO75" s="146">
        <f>_xlfn.IFNA(VLOOKUP($A75,Grants!$A:$BE,56,FALSE),0)</f>
        <v>4540</v>
      </c>
      <c r="AP75" s="65">
        <f t="shared" si="1"/>
        <v>639785.52741695382</v>
      </c>
    </row>
    <row r="76" spans="1:42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0" t="str">
        <f>VLOOKUP(A76,'Summary Mar 2026'!$A$8:$F$206,6,FALSE)</f>
        <v>Chq Bk</v>
      </c>
      <c r="H76" s="288">
        <f>_xlfn.IFNA(VLOOKUP($A76,ISB!$A:$BY,67,FALSE),0)</f>
        <v>2485230.6036058534</v>
      </c>
      <c r="I76" s="861">
        <f>_xlfn.IFNA(VLOOKUP(A76,'LA Deductions'!A:AN,40,FALSE),0)</f>
        <v>0</v>
      </c>
      <c r="J76" s="221">
        <f>_xlfn.IFNA(VLOOKUP($A76,ISB!$A:$BY,72,FALSE),0)</f>
        <v>-10223.359999999999</v>
      </c>
      <c r="K76" s="289">
        <f>-_xlfn.IFNA(VLOOKUP($A76,ISB!$A:$BY,76,FALSE),0)</f>
        <v>-41332.1</v>
      </c>
      <c r="M76" s="288">
        <f>VLOOKUP($A76,EY!$A:$AAK,132,FALSE)</f>
        <v>120253.18861495845</v>
      </c>
      <c r="N76" s="288">
        <f>VLOOKUP($A76,EY!$A:$AAD,133,FALSE)</f>
        <v>0</v>
      </c>
      <c r="P76" s="288">
        <f>VLOOKUP($A76,HN!$A:$AM,38,FALSE)</f>
        <v>0</v>
      </c>
      <c r="Q76" s="288">
        <f>VLOOKUP($A76,HN!$A:$AM,39,FALSE)</f>
        <v>0</v>
      </c>
      <c r="S76" s="362">
        <f>_xlfn.IFNA(VLOOKUP(A76,'Post 16'!A:AR,44,FALSE),0)</f>
        <v>0</v>
      </c>
      <c r="U76" s="362">
        <f>VLOOKUP(A76,'LA Deductions'!A:W,23,FALSE)</f>
        <v>-9471</v>
      </c>
      <c r="W76" s="289">
        <f>VLOOKUP($A76,'Summary Mar 2026'!$A:$AAG,189,FALSE)-SUMIFS($H76:$U76,$H$7:$U$7,W$7)</f>
        <v>0</v>
      </c>
      <c r="X76" s="289">
        <f>VLOOKUP($A76,'Summary Mar 2026'!$A:$GL,190,FALSE)-SUMIFS($H76:$U76,$H$7:$U$7,X$7)</f>
        <v>0</v>
      </c>
      <c r="Y76" s="289">
        <f>VLOOKUP($A76,'Summary Mar 2026'!$A:$GL,191,FALSE)-SUMIFS($H76:$U76,$H$7:$U$7,Y$7)</f>
        <v>0</v>
      </c>
      <c r="Z76" s="289">
        <f>VLOOKUP($A76,'Summary Mar 2026'!$A:$GL,192,FALSE)-SUMIFS($H76:$U76,$H$7:$U$7,Z$7)</f>
        <v>0</v>
      </c>
      <c r="AA76" s="289">
        <f>VLOOKUP($A76,'Summary Mar 2026'!$A:$GL,193,FALSE)-SUMIFS($H76:$U76,$H$7:$U$7,AA$7)</f>
        <v>0</v>
      </c>
      <c r="AB76" s="289">
        <f>VLOOKUP($A76,'Summary Mar 2026'!$A:$GL,194,FALSE)-SUMIFS($H76:$U76,$H$7:$U$7,AB$7)</f>
        <v>0</v>
      </c>
      <c r="AD76" s="146">
        <f>_xlfn.IFNA(VLOOKUP($A76,'Summary Mar 2026'!$A:$GS,196,FALSE)+VLOOKUP($A76,OtherDSG!$A:$AI,34,FALSE)+VLOOKUP($A76,Grants!$A:$BE,50,FALSE),0)</f>
        <v>2679507.7922208118</v>
      </c>
      <c r="AE76" s="146">
        <f>_xlfn.IFNA(VLOOKUP($A76,'Summary Mar 2026'!$A:$GS,197,FALSE)+VLOOKUP($A76,Grants!$A:$BE,51,FALSE),0)</f>
        <v>0</v>
      </c>
      <c r="AF76" s="146">
        <f>_xlfn.IFNA(VLOOKUP($A76,'Summary Mar 2026'!$A:$GS,198,FALSE)+VLOOKUP($A76,OtherDSG!$A:$AI,35,FALSE)+VLOOKUP($A76,Grants!$A:$BE,52,FALSE),0)</f>
        <v>124291.6204</v>
      </c>
      <c r="AG76" s="146">
        <f>_xlfn.IFNA(VLOOKUP($A76,Grants!$A:$BE,53,FALSE),0)</f>
        <v>299970</v>
      </c>
      <c r="AH76" s="146">
        <f>_xlfn.IFNA(VLOOKUP($A76,Grants!$A:$BE,54,FALSE),0)</f>
        <v>61173</v>
      </c>
      <c r="AI76" s="146">
        <f>_xlfn.IFNA(VLOOKUP($A76,Grants!$A:$BE,55,FALSE),0)</f>
        <v>0</v>
      </c>
      <c r="AJ76" s="146">
        <f>_xlfn.IFNA(VLOOKUP($A76,Barclays!$A:$T,18,FALSE),0)</f>
        <v>0</v>
      </c>
      <c r="AK76" s="146">
        <f>_xlfn.IFNA(VLOOKUP($A76,'Summary Mar 2026'!$A:$GS,200,FALSE),0)</f>
        <v>-41332.1</v>
      </c>
      <c r="AL76" s="146">
        <f>_xlfn.IFNA(VLOOKUP($A76,Barclays!$A:$T,19,FALSE),0)</f>
        <v>0</v>
      </c>
      <c r="AM76" s="146">
        <f>_xlfn.IFNA(VLOOKUP($A76,'Summary Mar 2026'!$A:$GS,201,FALSE),0)</f>
        <v>-9471</v>
      </c>
      <c r="AN76" s="146">
        <f>_xlfn.IFNA(VLOOKUP($A76,'Summary Mar 2026'!$A:$GS,199,FALSE),0)</f>
        <v>-10223.359999999999</v>
      </c>
      <c r="AO76" s="146">
        <f>_xlfn.IFNA(VLOOKUP($A76,Grants!$A:$BE,56,FALSE),0)</f>
        <v>8845.3799999999992</v>
      </c>
      <c r="AP76" s="65">
        <f t="shared" si="1"/>
        <v>3112761.3326208116</v>
      </c>
    </row>
    <row r="77" spans="1:42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0" t="str">
        <f>VLOOKUP(A77,'Summary Mar 2026'!$A$8:$F$206,6,FALSE)</f>
        <v>Chq Bk</v>
      </c>
      <c r="H77" s="288">
        <f>_xlfn.IFNA(VLOOKUP($A77,ISB!$A:$BY,67,FALSE),0)</f>
        <v>6693673.6417244123</v>
      </c>
      <c r="I77" s="861">
        <f>_xlfn.IFNA(VLOOKUP(A77,'LA Deductions'!A:AN,40,FALSE),0)</f>
        <v>0</v>
      </c>
      <c r="J77" s="221">
        <f>_xlfn.IFNA(VLOOKUP($A77,ISB!$A:$BY,72,FALSE),0)</f>
        <v>-15842.31</v>
      </c>
      <c r="K77" s="289">
        <f>-_xlfn.IFNA(VLOOKUP($A77,ISB!$A:$BY,76,FALSE),0)</f>
        <v>-120950.36</v>
      </c>
      <c r="M77" s="288">
        <f>VLOOKUP($A77,EY!$A:$AAK,132,FALSE)</f>
        <v>0</v>
      </c>
      <c r="N77" s="288">
        <f>VLOOKUP($A77,EY!$A:$AAD,133,FALSE)</f>
        <v>0</v>
      </c>
      <c r="P77" s="288">
        <f>VLOOKUP($A77,HN!$A:$AM,38,FALSE)</f>
        <v>0</v>
      </c>
      <c r="Q77" s="288">
        <f>VLOOKUP($A77,HN!$A:$AM,39,FALSE)</f>
        <v>0</v>
      </c>
      <c r="S77" s="362">
        <f>_xlfn.IFNA(VLOOKUP(A77,'Post 16'!A:AR,44,FALSE),0)</f>
        <v>0</v>
      </c>
      <c r="U77" s="362">
        <f>VLOOKUP(A77,'LA Deductions'!A:W,23,FALSE)</f>
        <v>-24312.75</v>
      </c>
      <c r="W77" s="289">
        <f>VLOOKUP($A77,'Summary Mar 2026'!$A:$AAG,189,FALSE)-SUMIFS($H77:$U77,$H$7:$U$7,W$7)</f>
        <v>0</v>
      </c>
      <c r="X77" s="289">
        <f>VLOOKUP($A77,'Summary Mar 2026'!$A:$GL,190,FALSE)-SUMIFS($H77:$U77,$H$7:$U$7,X$7)</f>
        <v>0</v>
      </c>
      <c r="Y77" s="289">
        <f>VLOOKUP($A77,'Summary Mar 2026'!$A:$GL,191,FALSE)-SUMIFS($H77:$U77,$H$7:$U$7,Y$7)</f>
        <v>0</v>
      </c>
      <c r="Z77" s="289">
        <f>VLOOKUP($A77,'Summary Mar 2026'!$A:$GL,192,FALSE)-SUMIFS($H77:$U77,$H$7:$U$7,Z$7)</f>
        <v>0</v>
      </c>
      <c r="AA77" s="289">
        <f>VLOOKUP($A77,'Summary Mar 2026'!$A:$GL,193,FALSE)-SUMIFS($H77:$U77,$H$7:$U$7,AA$7)</f>
        <v>0</v>
      </c>
      <c r="AB77" s="289">
        <f>VLOOKUP($A77,'Summary Mar 2026'!$A:$GL,194,FALSE)-SUMIFS($H77:$U77,$H$7:$U$7,AB$7)</f>
        <v>0</v>
      </c>
      <c r="AD77" s="146">
        <f>_xlfn.IFNA(VLOOKUP($A77,'Summary Mar 2026'!$A:$GS,196,FALSE)+VLOOKUP($A77,OtherDSG!$A:$AI,34,FALSE)+VLOOKUP($A77,Grants!$A:$BE,50,FALSE),0)</f>
        <v>6872294.3300577477</v>
      </c>
      <c r="AE77" s="146">
        <f>_xlfn.IFNA(VLOOKUP($A77,'Summary Mar 2026'!$A:$GS,197,FALSE)+VLOOKUP($A77,Grants!$A:$BE,51,FALSE),0)</f>
        <v>0</v>
      </c>
      <c r="AF77" s="146">
        <f>_xlfn.IFNA(VLOOKUP($A77,'Summary Mar 2026'!$A:$GS,198,FALSE)+VLOOKUP($A77,OtherDSG!$A:$AI,35,FALSE)+VLOOKUP($A77,Grants!$A:$BE,52,FALSE),0)</f>
        <v>204722.33666666664</v>
      </c>
      <c r="AG77" s="146">
        <f>_xlfn.IFNA(VLOOKUP($A77,Grants!$A:$BE,53,FALSE),0)</f>
        <v>418175</v>
      </c>
      <c r="AH77" s="146">
        <f>_xlfn.IFNA(VLOOKUP($A77,Grants!$A:$BE,54,FALSE),0)</f>
        <v>9199.5</v>
      </c>
      <c r="AI77" s="146">
        <f>_xlfn.IFNA(VLOOKUP($A77,Grants!$A:$BE,55,FALSE),0)</f>
        <v>0</v>
      </c>
      <c r="AJ77" s="146">
        <f>_xlfn.IFNA(VLOOKUP($A77,Barclays!$A:$T,18,FALSE),0)</f>
        <v>0</v>
      </c>
      <c r="AK77" s="146">
        <f>_xlfn.IFNA(VLOOKUP($A77,'Summary Mar 2026'!$A:$GS,200,FALSE),0)</f>
        <v>-120950.36000000003</v>
      </c>
      <c r="AL77" s="146">
        <f>_xlfn.IFNA(VLOOKUP($A77,Barclays!$A:$T,19,FALSE),0)</f>
        <v>0</v>
      </c>
      <c r="AM77" s="146">
        <f>_xlfn.IFNA(VLOOKUP($A77,'Summary Mar 2026'!$A:$GS,201,FALSE),0)</f>
        <v>-24312.75</v>
      </c>
      <c r="AN77" s="146">
        <f>_xlfn.IFNA(VLOOKUP($A77,'Summary Mar 2026'!$A:$GS,199,FALSE),0)</f>
        <v>-15842.309999999996</v>
      </c>
      <c r="AO77" s="146">
        <f>_xlfn.IFNA(VLOOKUP($A77,Grants!$A:$BE,56,FALSE),0)</f>
        <v>17066.87</v>
      </c>
      <c r="AP77" s="65">
        <f t="shared" si="1"/>
        <v>7360352.6167244148</v>
      </c>
    </row>
    <row r="78" spans="1:42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0" t="str">
        <f>VLOOKUP(A78,'Summary Mar 2026'!$A$8:$F$206,6,FALSE)</f>
        <v>Chq Bk</v>
      </c>
      <c r="H78" s="288">
        <f>_xlfn.IFNA(VLOOKUP($A78,ISB!$A:$BY,67,FALSE),0)</f>
        <v>0</v>
      </c>
      <c r="I78" s="861">
        <f>_xlfn.IFNA(VLOOKUP(A78,'LA Deductions'!A:AN,40,FALSE),0)</f>
        <v>0</v>
      </c>
      <c r="J78" s="221">
        <f>_xlfn.IFNA(VLOOKUP($A78,ISB!$A:$BY,72,FALSE),0)</f>
        <v>0</v>
      </c>
      <c r="K78" s="289">
        <f>-_xlfn.IFNA(VLOOKUP($A78,ISB!$A:$BY,76,FALSE),0)</f>
        <v>0</v>
      </c>
      <c r="M78" s="288">
        <f>VLOOKUP($A78,EY!$A:$AAK,132,FALSE)</f>
        <v>611960.30279732822</v>
      </c>
      <c r="N78" s="288">
        <f>VLOOKUP($A78,EY!$A:$AAD,133,FALSE)</f>
        <v>0</v>
      </c>
      <c r="P78" s="288">
        <f>VLOOKUP($A78,HN!$A:$AM,38,FALSE)</f>
        <v>0</v>
      </c>
      <c r="Q78" s="288">
        <f>VLOOKUP($A78,HN!$A:$AM,39,FALSE)</f>
        <v>0</v>
      </c>
      <c r="S78" s="362">
        <f>_xlfn.IFNA(VLOOKUP(A78,'Post 16'!A:AR,44,FALSE),0)</f>
        <v>0</v>
      </c>
      <c r="U78" s="362">
        <f>VLOOKUP(A78,'LA Deductions'!A:W,23,FALSE)</f>
        <v>-3291.75</v>
      </c>
      <c r="W78" s="289">
        <f>VLOOKUP($A78,'Summary Mar 2026'!$A:$AAG,189,FALSE)-SUMIFS($H78:$U78,$H$7:$U$7,W$7)</f>
        <v>0</v>
      </c>
      <c r="X78" s="289">
        <f>VLOOKUP($A78,'Summary Mar 2026'!$A:$GL,190,FALSE)-SUMIFS($H78:$U78,$H$7:$U$7,X$7)</f>
        <v>0</v>
      </c>
      <c r="Y78" s="289">
        <f>VLOOKUP($A78,'Summary Mar 2026'!$A:$GL,191,FALSE)-SUMIFS($H78:$U78,$H$7:$U$7,Y$7)</f>
        <v>0</v>
      </c>
      <c r="Z78" s="289">
        <f>VLOOKUP($A78,'Summary Mar 2026'!$A:$GL,192,FALSE)-SUMIFS($H78:$U78,$H$7:$U$7,Z$7)</f>
        <v>0</v>
      </c>
      <c r="AA78" s="289">
        <f>VLOOKUP($A78,'Summary Mar 2026'!$A:$GL,193,FALSE)-SUMIFS($H78:$U78,$H$7:$U$7,AA$7)</f>
        <v>0</v>
      </c>
      <c r="AB78" s="289">
        <f>VLOOKUP($A78,'Summary Mar 2026'!$A:$GL,194,FALSE)-SUMIFS($H78:$U78,$H$7:$U$7,AB$7)</f>
        <v>0</v>
      </c>
      <c r="AD78" s="146">
        <f>_xlfn.IFNA(VLOOKUP($A78,'Summary Mar 2026'!$A:$GS,196,FALSE)+VLOOKUP($A78,OtherDSG!$A:$AI,34,FALSE)+VLOOKUP($A78,Grants!$A:$BE,50,FALSE),0)</f>
        <v>626841.30279732822</v>
      </c>
      <c r="AE78" s="146">
        <f>_xlfn.IFNA(VLOOKUP($A78,'Summary Mar 2026'!$A:$GS,197,FALSE)+VLOOKUP($A78,Grants!$A:$BE,51,FALSE),0)</f>
        <v>0</v>
      </c>
      <c r="AF78" s="146">
        <f>_xlfn.IFNA(VLOOKUP($A78,'Summary Mar 2026'!$A:$GS,198,FALSE)+VLOOKUP($A78,OtherDSG!$A:$AI,35,FALSE)+VLOOKUP($A78,Grants!$A:$BE,52,FALSE),0)</f>
        <v>40242.73333333333</v>
      </c>
      <c r="AG78" s="146">
        <f>_xlfn.IFNA(VLOOKUP($A78,Grants!$A:$BE,53,FALSE),0)</f>
        <v>0</v>
      </c>
      <c r="AH78" s="146">
        <f>_xlfn.IFNA(VLOOKUP($A78,Grants!$A:$BE,54,FALSE),0)</f>
        <v>0</v>
      </c>
      <c r="AI78" s="146">
        <f>_xlfn.IFNA(VLOOKUP($A78,Grants!$A:$BE,55,FALSE),0)</f>
        <v>0</v>
      </c>
      <c r="AJ78" s="146">
        <f>_xlfn.IFNA(VLOOKUP($A78,Barclays!$A:$T,18,FALSE),0)</f>
        <v>8514.5544750000263</v>
      </c>
      <c r="AK78" s="146">
        <f>_xlfn.IFNA(VLOOKUP($A78,'Summary Mar 2026'!$A:$GS,200,FALSE),0)</f>
        <v>0</v>
      </c>
      <c r="AL78" s="146">
        <f>_xlfn.IFNA(VLOOKUP($A78,Barclays!$A:$T,19,FALSE),0)</f>
        <v>-12.280000000000001</v>
      </c>
      <c r="AM78" s="146">
        <f>_xlfn.IFNA(VLOOKUP($A78,'Summary Mar 2026'!$A:$GS,201,FALSE),0)</f>
        <v>-3291.75</v>
      </c>
      <c r="AN78" s="146">
        <f>_xlfn.IFNA(VLOOKUP($A78,'Summary Mar 2026'!$A:$GS,199,FALSE),0)</f>
        <v>0</v>
      </c>
      <c r="AO78" s="146">
        <f>_xlfn.IFNA(VLOOKUP($A78,Grants!$A:$BE,56,FALSE),0)</f>
        <v>4810</v>
      </c>
      <c r="AP78" s="65">
        <f t="shared" si="1"/>
        <v>677104.56060566148</v>
      </c>
    </row>
    <row r="79" spans="1:42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0" t="str">
        <f>VLOOKUP(A79,'Summary Mar 2026'!$A$8:$F$206,6,FALSE)</f>
        <v>Chq Bk</v>
      </c>
      <c r="H79" s="288">
        <f>_xlfn.IFNA(VLOOKUP($A79,ISB!$A:$BY,67,FALSE),0)</f>
        <v>1698019.1384653624</v>
      </c>
      <c r="I79" s="861">
        <f>_xlfn.IFNA(VLOOKUP(A79,'LA Deductions'!A:AN,40,FALSE),0)</f>
        <v>0</v>
      </c>
      <c r="J79" s="221">
        <f>_xlfn.IFNA(VLOOKUP($A79,ISB!$A:$BY,72,FALSE),0)</f>
        <v>-7276.32</v>
      </c>
      <c r="K79" s="289">
        <f>-_xlfn.IFNA(VLOOKUP($A79,ISB!$A:$BY,76,FALSE),0)</f>
        <v>-41869.75</v>
      </c>
      <c r="M79" s="288">
        <f>VLOOKUP($A79,EY!$A:$AAK,132,FALSE)</f>
        <v>123183.79736842106</v>
      </c>
      <c r="N79" s="288">
        <f>VLOOKUP($A79,EY!$A:$AAD,133,FALSE)</f>
        <v>0</v>
      </c>
      <c r="P79" s="288">
        <f>VLOOKUP($A79,HN!$A:$AM,38,FALSE)</f>
        <v>0</v>
      </c>
      <c r="Q79" s="288">
        <f>VLOOKUP($A79,HN!$A:$AM,39,FALSE)</f>
        <v>0</v>
      </c>
      <c r="S79" s="362">
        <f>_xlfn.IFNA(VLOOKUP(A79,'Post 16'!A:AR,44,FALSE),0)</f>
        <v>0</v>
      </c>
      <c r="U79" s="362">
        <f>VLOOKUP(A79,'LA Deductions'!A:W,23,FALSE)</f>
        <v>-5139.75</v>
      </c>
      <c r="W79" s="289">
        <f>VLOOKUP($A79,'Summary Mar 2026'!$A:$AAG,189,FALSE)-SUMIFS($H79:$U79,$H$7:$U$7,W$7)</f>
        <v>0</v>
      </c>
      <c r="X79" s="289">
        <f>VLOOKUP($A79,'Summary Mar 2026'!$A:$GL,190,FALSE)-SUMIFS($H79:$U79,$H$7:$U$7,X$7)</f>
        <v>0</v>
      </c>
      <c r="Y79" s="289">
        <f>VLOOKUP($A79,'Summary Mar 2026'!$A:$GL,191,FALSE)-SUMIFS($H79:$U79,$H$7:$U$7,Y$7)</f>
        <v>0</v>
      </c>
      <c r="Z79" s="289">
        <f>VLOOKUP($A79,'Summary Mar 2026'!$A:$GL,192,FALSE)-SUMIFS($H79:$U79,$H$7:$U$7,Z$7)</f>
        <v>0</v>
      </c>
      <c r="AA79" s="289">
        <f>VLOOKUP($A79,'Summary Mar 2026'!$A:$GL,193,FALSE)-SUMIFS($H79:$U79,$H$7:$U$7,AA$7)</f>
        <v>0</v>
      </c>
      <c r="AB79" s="289">
        <f>VLOOKUP($A79,'Summary Mar 2026'!$A:$GL,194,FALSE)-SUMIFS($H79:$U79,$H$7:$U$7,AB$7)</f>
        <v>0</v>
      </c>
      <c r="AD79" s="146">
        <f>_xlfn.IFNA(VLOOKUP($A79,'Summary Mar 2026'!$A:$GS,196,FALSE)+VLOOKUP($A79,OtherDSG!$A:$AI,34,FALSE)+VLOOKUP($A79,Grants!$A:$BE,50,FALSE),0)</f>
        <v>1877937.9358337836</v>
      </c>
      <c r="AE79" s="146">
        <f>_xlfn.IFNA(VLOOKUP($A79,'Summary Mar 2026'!$A:$GS,197,FALSE)+VLOOKUP($A79,Grants!$A:$BE,51,FALSE),0)</f>
        <v>0</v>
      </c>
      <c r="AF79" s="146">
        <f>_xlfn.IFNA(VLOOKUP($A79,'Summary Mar 2026'!$A:$GS,198,FALSE)+VLOOKUP($A79,OtherDSG!$A:$AI,35,FALSE)+VLOOKUP($A79,Grants!$A:$BE,52,FALSE),0)</f>
        <v>110817.78333333333</v>
      </c>
      <c r="AG79" s="146">
        <f>_xlfn.IFNA(VLOOKUP($A79,Grants!$A:$BE,53,FALSE),0)</f>
        <v>233975</v>
      </c>
      <c r="AH79" s="146">
        <f>_xlfn.IFNA(VLOOKUP($A79,Grants!$A:$BE,54,FALSE),0)</f>
        <v>41031.64</v>
      </c>
      <c r="AI79" s="146">
        <f>_xlfn.IFNA(VLOOKUP($A79,Grants!$A:$BE,55,FALSE),0)</f>
        <v>0</v>
      </c>
      <c r="AJ79" s="146">
        <f>_xlfn.IFNA(VLOOKUP($A79,Barclays!$A:$T,18,FALSE),0)</f>
        <v>13310.374070000005</v>
      </c>
      <c r="AK79" s="146">
        <f>_xlfn.IFNA(VLOOKUP($A79,'Summary Mar 2026'!$A:$GS,200,FALSE),0)</f>
        <v>-41869.75</v>
      </c>
      <c r="AL79" s="146">
        <f>_xlfn.IFNA(VLOOKUP($A79,Barclays!$A:$T,19,FALSE),0)</f>
        <v>-10.31</v>
      </c>
      <c r="AM79" s="146">
        <f>_xlfn.IFNA(VLOOKUP($A79,'Summary Mar 2026'!$A:$GS,201,FALSE),0)</f>
        <v>-5139.75</v>
      </c>
      <c r="AN79" s="146">
        <f>_xlfn.IFNA(VLOOKUP($A79,'Summary Mar 2026'!$A:$GS,199,FALSE),0)</f>
        <v>-7276.3199999999988</v>
      </c>
      <c r="AO79" s="146">
        <f>_xlfn.IFNA(VLOOKUP($A79,Grants!$A:$BE,56,FALSE),0)</f>
        <v>7737.25</v>
      </c>
      <c r="AP79" s="65">
        <f t="shared" si="1"/>
        <v>2230513.8532371172</v>
      </c>
    </row>
    <row r="80" spans="1:42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0" t="str">
        <f>VLOOKUP(A80,'Summary Mar 2026'!$A$8:$F$206,6,FALSE)</f>
        <v>Chq Bk</v>
      </c>
      <c r="H80" s="288">
        <f>_xlfn.IFNA(VLOOKUP($A80,ISB!$A:$BY,67,FALSE),0)</f>
        <v>2156618.2074932945</v>
      </c>
      <c r="I80" s="861">
        <f>_xlfn.IFNA(VLOOKUP(A80,'LA Deductions'!A:AN,40,FALSE),0)</f>
        <v>-3832.5414000000001</v>
      </c>
      <c r="J80" s="221">
        <f>_xlfn.IFNA(VLOOKUP($A80,ISB!$A:$BY,72,FALSE),0)</f>
        <v>-8919.3599999999988</v>
      </c>
      <c r="K80" s="289">
        <f>-_xlfn.IFNA(VLOOKUP($A80,ISB!$A:$BY,76,FALSE),0)</f>
        <v>-14333.98</v>
      </c>
      <c r="M80" s="288">
        <f>VLOOKUP($A80,EY!$A:$AAK,132,FALSE)</f>
        <v>65409.806121883666</v>
      </c>
      <c r="N80" s="288">
        <f>VLOOKUP($A80,EY!$A:$AAD,133,FALSE)</f>
        <v>0</v>
      </c>
      <c r="P80" s="288">
        <f>VLOOKUP($A80,HN!$A:$AM,38,FALSE)</f>
        <v>0</v>
      </c>
      <c r="Q80" s="288">
        <f>VLOOKUP($A80,HN!$A:$AM,39,FALSE)</f>
        <v>0</v>
      </c>
      <c r="S80" s="362">
        <f>_xlfn.IFNA(VLOOKUP(A80,'Post 16'!A:AR,44,FALSE),0)</f>
        <v>0</v>
      </c>
      <c r="U80" s="362">
        <f>VLOOKUP(A80,'LA Deductions'!A:W,23,FALSE)</f>
        <v>-9471</v>
      </c>
      <c r="W80" s="289">
        <f>VLOOKUP($A80,'Summary Mar 2026'!$A:$AAG,189,FALSE)-SUMIFS($H80:$U80,$H$7:$U$7,W$7)</f>
        <v>0</v>
      </c>
      <c r="X80" s="289">
        <f>VLOOKUP($A80,'Summary Mar 2026'!$A:$GL,190,FALSE)-SUMIFS($H80:$U80,$H$7:$U$7,X$7)</f>
        <v>0</v>
      </c>
      <c r="Y80" s="289">
        <f>VLOOKUP($A80,'Summary Mar 2026'!$A:$GL,191,FALSE)-SUMIFS($H80:$U80,$H$7:$U$7,Y$7)</f>
        <v>0</v>
      </c>
      <c r="Z80" s="289">
        <f>VLOOKUP($A80,'Summary Mar 2026'!$A:$GL,192,FALSE)-SUMIFS($H80:$U80,$H$7:$U$7,Z$7)</f>
        <v>0</v>
      </c>
      <c r="AA80" s="289">
        <f>VLOOKUP($A80,'Summary Mar 2026'!$A:$GL,193,FALSE)-SUMIFS($H80:$U80,$H$7:$U$7,AA$7)</f>
        <v>0</v>
      </c>
      <c r="AB80" s="289">
        <f>VLOOKUP($A80,'Summary Mar 2026'!$A:$GL,194,FALSE)-SUMIFS($H80:$U80,$H$7:$U$7,AB$7)</f>
        <v>0</v>
      </c>
      <c r="AD80" s="146">
        <f>_xlfn.IFNA(VLOOKUP($A80,'Summary Mar 2026'!$A:$GS,196,FALSE)+VLOOKUP($A80,OtherDSG!$A:$AI,34,FALSE)+VLOOKUP($A80,Grants!$A:$BE,50,FALSE),0)</f>
        <v>2286612.4722151789</v>
      </c>
      <c r="AE80" s="146">
        <f>_xlfn.IFNA(VLOOKUP($A80,'Summary Mar 2026'!$A:$GS,197,FALSE)+VLOOKUP($A80,Grants!$A:$BE,51,FALSE),0)</f>
        <v>0</v>
      </c>
      <c r="AF80" s="146">
        <f>_xlfn.IFNA(VLOOKUP($A80,'Summary Mar 2026'!$A:$GS,198,FALSE)+VLOOKUP($A80,OtherDSG!$A:$AI,35,FALSE)+VLOOKUP($A80,Grants!$A:$BE,52,FALSE),0)</f>
        <v>126557.89000000001</v>
      </c>
      <c r="AG80" s="146">
        <f>_xlfn.IFNA(VLOOKUP($A80,Grants!$A:$BE,53,FALSE),0)</f>
        <v>308660</v>
      </c>
      <c r="AH80" s="146">
        <f>_xlfn.IFNA(VLOOKUP($A80,Grants!$A:$BE,54,FALSE),0)</f>
        <v>42054.93</v>
      </c>
      <c r="AI80" s="146">
        <f>_xlfn.IFNA(VLOOKUP($A80,Grants!$A:$BE,55,FALSE),0)</f>
        <v>0</v>
      </c>
      <c r="AJ80" s="146">
        <f>_xlfn.IFNA(VLOOKUP($A80,Barclays!$A:$T,18,FALSE),0)</f>
        <v>14545.497580000072</v>
      </c>
      <c r="AK80" s="146">
        <f>_xlfn.IFNA(VLOOKUP($A80,'Summary Mar 2026'!$A:$GS,200,FALSE),0)</f>
        <v>-14333.979999999998</v>
      </c>
      <c r="AL80" s="146">
        <f>_xlfn.IFNA(VLOOKUP($A80,Barclays!$A:$T,19,FALSE),0)</f>
        <v>-17.12</v>
      </c>
      <c r="AM80" s="146">
        <f>_xlfn.IFNA(VLOOKUP($A80,'Summary Mar 2026'!$A:$GS,201,FALSE),0)</f>
        <v>-9471</v>
      </c>
      <c r="AN80" s="146">
        <f>_xlfn.IFNA(VLOOKUP($A80,'Summary Mar 2026'!$A:$GS,199,FALSE),0)</f>
        <v>-8919.3599999999988</v>
      </c>
      <c r="AO80" s="146">
        <f>_xlfn.IFNA(VLOOKUP($A80,Grants!$A:$BE,56,FALSE),0)</f>
        <v>8136.63</v>
      </c>
      <c r="AP80" s="65">
        <f t="shared" si="1"/>
        <v>2753825.9597951793</v>
      </c>
    </row>
    <row r="81" spans="1:42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0" t="str">
        <f>VLOOKUP(A81,'Summary Mar 2026'!$A$8:$F$206,6,FALSE)</f>
        <v>Chq Bk</v>
      </c>
      <c r="H81" s="288">
        <f>_xlfn.IFNA(VLOOKUP($A81,ISB!$A:$BY,67,FALSE),0)</f>
        <v>1220419.6037890988</v>
      </c>
      <c r="I81" s="861">
        <f>_xlfn.IFNA(VLOOKUP(A81,'LA Deductions'!A:AN,40,FALSE),0)</f>
        <v>-5216.5414000000001</v>
      </c>
      <c r="J81" s="221">
        <f>_xlfn.IFNA(VLOOKUP($A81,ISB!$A:$BY,72,FALSE),0)</f>
        <v>-4668.32</v>
      </c>
      <c r="K81" s="289">
        <f>-_xlfn.IFNA(VLOOKUP($A81,ISB!$A:$BY,76,FALSE),0)</f>
        <v>-15754.47</v>
      </c>
      <c r="M81" s="288">
        <f>VLOOKUP($A81,EY!$A:$AAK,132,FALSE)</f>
        <v>0</v>
      </c>
      <c r="N81" s="288">
        <f>VLOOKUP($A81,EY!$A:$AAD,133,FALSE)</f>
        <v>0</v>
      </c>
      <c r="P81" s="288">
        <f>VLOOKUP($A81,HN!$A:$AM,38,FALSE)</f>
        <v>0</v>
      </c>
      <c r="Q81" s="288">
        <f>VLOOKUP($A81,HN!$A:$AM,39,FALSE)</f>
        <v>0</v>
      </c>
      <c r="S81" s="362">
        <f>_xlfn.IFNA(VLOOKUP(A81,'Post 16'!A:AR,44,FALSE),0)</f>
        <v>0</v>
      </c>
      <c r="U81" s="362">
        <f>VLOOKUP(A81,'LA Deductions'!A:W,23,FALSE)</f>
        <v>-5139.75</v>
      </c>
      <c r="W81" s="289">
        <f>VLOOKUP($A81,'Summary Mar 2026'!$A:$AAG,189,FALSE)-SUMIFS($H81:$U81,$H$7:$U$7,W$7)</f>
        <v>0</v>
      </c>
      <c r="X81" s="289">
        <f>VLOOKUP($A81,'Summary Mar 2026'!$A:$GL,190,FALSE)-SUMIFS($H81:$U81,$H$7:$U$7,X$7)</f>
        <v>0</v>
      </c>
      <c r="Y81" s="289">
        <f>VLOOKUP($A81,'Summary Mar 2026'!$A:$GL,191,FALSE)-SUMIFS($H81:$U81,$H$7:$U$7,Y$7)</f>
        <v>0</v>
      </c>
      <c r="Z81" s="289">
        <f>VLOOKUP($A81,'Summary Mar 2026'!$A:$GL,192,FALSE)-SUMIFS($H81:$U81,$H$7:$U$7,Z$7)</f>
        <v>0</v>
      </c>
      <c r="AA81" s="289">
        <f>VLOOKUP($A81,'Summary Mar 2026'!$A:$GL,193,FALSE)-SUMIFS($H81:$U81,$H$7:$U$7,AA$7)</f>
        <v>0</v>
      </c>
      <c r="AB81" s="289">
        <f>VLOOKUP($A81,'Summary Mar 2026'!$A:$GL,194,FALSE)-SUMIFS($H81:$U81,$H$7:$U$7,AB$7)</f>
        <v>0</v>
      </c>
      <c r="AD81" s="146">
        <f>_xlfn.IFNA(VLOOKUP($A81,'Summary Mar 2026'!$A:$GS,196,FALSE)+VLOOKUP($A81,OtherDSG!$A:$AI,34,FALSE)+VLOOKUP($A81,Grants!$A:$BE,50,FALSE),0)</f>
        <v>1253029.0623890988</v>
      </c>
      <c r="AE81" s="146">
        <f>_xlfn.IFNA(VLOOKUP($A81,'Summary Mar 2026'!$A:$GS,197,FALSE)+VLOOKUP($A81,Grants!$A:$BE,51,FALSE),0)</f>
        <v>0</v>
      </c>
      <c r="AF81" s="146">
        <f>_xlfn.IFNA(VLOOKUP($A81,'Summary Mar 2026'!$A:$GS,198,FALSE)+VLOOKUP($A81,OtherDSG!$A:$AI,35,FALSE)+VLOOKUP($A81,Grants!$A:$BE,52,FALSE),0)</f>
        <v>173754.75666666665</v>
      </c>
      <c r="AG81" s="146">
        <f>_xlfn.IFNA(VLOOKUP($A81,Grants!$A:$BE,53,FALSE),0)</f>
        <v>176855</v>
      </c>
      <c r="AH81" s="146">
        <f>_xlfn.IFNA(VLOOKUP($A81,Grants!$A:$BE,54,FALSE),0)</f>
        <v>22644.29</v>
      </c>
      <c r="AI81" s="146">
        <f>_xlfn.IFNA(VLOOKUP($A81,Grants!$A:$BE,55,FALSE),0)</f>
        <v>0</v>
      </c>
      <c r="AJ81" s="146">
        <f>_xlfn.IFNA(VLOOKUP($A81,Barclays!$A:$T,18,FALSE),0)</f>
        <v>16456.226979999981</v>
      </c>
      <c r="AK81" s="146">
        <f>_xlfn.IFNA(VLOOKUP($A81,'Summary Mar 2026'!$A:$GS,200,FALSE),0)</f>
        <v>-15754.469999999996</v>
      </c>
      <c r="AL81" s="146">
        <f>_xlfn.IFNA(VLOOKUP($A81,Barclays!$A:$T,19,FALSE),0)</f>
        <v>-27.68</v>
      </c>
      <c r="AM81" s="146">
        <f>_xlfn.IFNA(VLOOKUP($A81,'Summary Mar 2026'!$A:$GS,201,FALSE),0)</f>
        <v>-5139.75</v>
      </c>
      <c r="AN81" s="146">
        <f>_xlfn.IFNA(VLOOKUP($A81,'Summary Mar 2026'!$A:$GS,199,FALSE),0)</f>
        <v>-4668.32</v>
      </c>
      <c r="AO81" s="146">
        <f>_xlfn.IFNA(VLOOKUP($A81,Grants!$A:$BE,56,FALSE),0)</f>
        <v>6047.5</v>
      </c>
      <c r="AP81" s="65">
        <f t="shared" si="1"/>
        <v>1623196.6160357655</v>
      </c>
    </row>
    <row r="82" spans="1:42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0" t="str">
        <f>VLOOKUP(A82,'Summary Mar 2026'!$A$8:$F$206,6,FALSE)</f>
        <v>Chq Bk</v>
      </c>
      <c r="H82" s="288">
        <f>_xlfn.IFNA(VLOOKUP($A82,ISB!$A:$BY,67,FALSE),0)</f>
        <v>0</v>
      </c>
      <c r="I82" s="861">
        <f>_xlfn.IFNA(VLOOKUP(A82,'LA Deductions'!A:AN,40,FALSE),0)</f>
        <v>0</v>
      </c>
      <c r="J82" s="221">
        <f>_xlfn.IFNA(VLOOKUP($A82,ISB!$A:$BY,72,FALSE),0)</f>
        <v>0</v>
      </c>
      <c r="K82" s="289">
        <f>-_xlfn.IFNA(VLOOKUP($A82,ISB!$A:$BY,76,FALSE),0)</f>
        <v>0</v>
      </c>
      <c r="M82" s="288">
        <f>VLOOKUP($A82,EY!$A:$AAK,132,FALSE)</f>
        <v>0</v>
      </c>
      <c r="N82" s="288">
        <f>VLOOKUP($A82,EY!$A:$AAD,133,FALSE)</f>
        <v>0</v>
      </c>
      <c r="P82" s="288">
        <f>VLOOKUP($A82,HN!$A:$AM,38,FALSE)</f>
        <v>1569809.9999999998</v>
      </c>
      <c r="Q82" s="288">
        <f>VLOOKUP($A82,HN!$A:$AM,39,FALSE)</f>
        <v>2914060.6909481282</v>
      </c>
      <c r="S82" s="362">
        <f>_xlfn.IFNA(VLOOKUP(A82,'Post 16'!A:AR,44,FALSE),0)</f>
        <v>0</v>
      </c>
      <c r="U82" s="362">
        <f>VLOOKUP(A82,'LA Deductions'!A:W,23,FALSE)</f>
        <v>-3291.75</v>
      </c>
      <c r="W82" s="289">
        <f>VLOOKUP($A82,'Summary Mar 2026'!$A:$AAG,189,FALSE)-SUMIFS($H82:$U82,$H$7:$U$7,W$7)</f>
        <v>0</v>
      </c>
      <c r="X82" s="289">
        <f>VLOOKUP($A82,'Summary Mar 2026'!$A:$GL,190,FALSE)-SUMIFS($H82:$U82,$H$7:$U$7,X$7)</f>
        <v>0</v>
      </c>
      <c r="Y82" s="289">
        <f>VLOOKUP($A82,'Summary Mar 2026'!$A:$GL,191,FALSE)-SUMIFS($H82:$U82,$H$7:$U$7,Y$7)</f>
        <v>0</v>
      </c>
      <c r="Z82" s="289">
        <f>VLOOKUP($A82,'Summary Mar 2026'!$A:$GL,192,FALSE)-SUMIFS($H82:$U82,$H$7:$U$7,Z$7)</f>
        <v>0</v>
      </c>
      <c r="AA82" s="289">
        <f>VLOOKUP($A82,'Summary Mar 2026'!$A:$GL,193,FALSE)-SUMIFS($H82:$U82,$H$7:$U$7,AA$7)</f>
        <v>0</v>
      </c>
      <c r="AB82" s="289">
        <f>VLOOKUP($A82,'Summary Mar 2026'!$A:$GL,194,FALSE)-SUMIFS($H82:$U82,$H$7:$U$7,AB$7)</f>
        <v>0</v>
      </c>
      <c r="AD82" s="146">
        <f>_xlfn.IFNA(VLOOKUP($A82,'Summary Mar 2026'!$A:$GS,196,FALSE)+VLOOKUP($A82,OtherDSG!$A:$AI,34,FALSE)+VLOOKUP($A82,Grants!$A:$BE,50,FALSE),0)</f>
        <v>1563938.1586956519</v>
      </c>
      <c r="AE82" s="146">
        <f>_xlfn.IFNA(VLOOKUP($A82,'Summary Mar 2026'!$A:$GS,197,FALSE)+VLOOKUP($A82,Grants!$A:$BE,51,FALSE),0)</f>
        <v>0</v>
      </c>
      <c r="AF82" s="146">
        <f>_xlfn.IFNA(VLOOKUP($A82,'Summary Mar 2026'!$A:$GS,198,FALSE)+VLOOKUP($A82,OtherDSG!$A:$AI,35,FALSE)+VLOOKUP($A82,Grants!$A:$BE,52,FALSE),0)</f>
        <v>3715089.5537355398</v>
      </c>
      <c r="AG82" s="146">
        <f>_xlfn.IFNA(VLOOKUP($A82,Grants!$A:$BE,53,FALSE),0)</f>
        <v>126125</v>
      </c>
      <c r="AH82" s="146">
        <f>_xlfn.IFNA(VLOOKUP($A82,Grants!$A:$BE,54,FALSE),0)</f>
        <v>14849</v>
      </c>
      <c r="AI82" s="146">
        <f>_xlfn.IFNA(VLOOKUP($A82,Grants!$A:$BE,55,FALSE),0)</f>
        <v>0</v>
      </c>
      <c r="AJ82" s="146">
        <f>_xlfn.IFNA(VLOOKUP($A82,Barclays!$A:$T,18,FALSE),0)</f>
        <v>40965.284489999969</v>
      </c>
      <c r="AK82" s="146">
        <f>_xlfn.IFNA(VLOOKUP($A82,'Summary Mar 2026'!$A:$GS,200,FALSE),0)</f>
        <v>0</v>
      </c>
      <c r="AL82" s="146">
        <f>_xlfn.IFNA(VLOOKUP($A82,Barclays!$A:$T,19,FALSE),0)</f>
        <v>-151.66000000000003</v>
      </c>
      <c r="AM82" s="146">
        <f>_xlfn.IFNA(VLOOKUP($A82,'Summary Mar 2026'!$A:$GS,201,FALSE),0)</f>
        <v>-3291.75</v>
      </c>
      <c r="AN82" s="146">
        <f>_xlfn.IFNA(VLOOKUP($A82,'Summary Mar 2026'!$A:$GS,199,FALSE),0)</f>
        <v>0</v>
      </c>
      <c r="AO82" s="146">
        <f>_xlfn.IFNA(VLOOKUP($A82,Grants!$A:$BE,56,FALSE),0)</f>
        <v>10935.63</v>
      </c>
      <c r="AP82" s="65">
        <f t="shared" si="1"/>
        <v>5468459.2169211907</v>
      </c>
    </row>
    <row r="83" spans="1:42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0" t="str">
        <f>VLOOKUP(A83,'Summary Mar 2026'!$A$8:$F$206,6,FALSE)</f>
        <v>Chq Bk</v>
      </c>
      <c r="H83" s="288">
        <f>_xlfn.IFNA(VLOOKUP($A83,ISB!$A:$BY,67,FALSE),0)</f>
        <v>2149224.42</v>
      </c>
      <c r="I83" s="861">
        <f>_xlfn.IFNA(VLOOKUP(A83,'LA Deductions'!A:AN,40,FALSE),0)</f>
        <v>0</v>
      </c>
      <c r="J83" s="221">
        <f>_xlfn.IFNA(VLOOKUP($A83,ISB!$A:$BY,72,FALSE),0)</f>
        <v>-11005.759999999998</v>
      </c>
      <c r="K83" s="289">
        <f>-_xlfn.IFNA(VLOOKUP($A83,ISB!$A:$BY,76,FALSE),0)</f>
        <v>-58214.42</v>
      </c>
      <c r="M83" s="288">
        <f>VLOOKUP($A83,EY!$A:$AAK,132,FALSE)</f>
        <v>0</v>
      </c>
      <c r="N83" s="288">
        <f>VLOOKUP($A83,EY!$A:$AAD,133,FALSE)</f>
        <v>0</v>
      </c>
      <c r="P83" s="288">
        <f>VLOOKUP($A83,HN!$A:$AM,38,FALSE)</f>
        <v>0</v>
      </c>
      <c r="Q83" s="288">
        <f>VLOOKUP($A83,HN!$A:$AM,39,FALSE)</f>
        <v>0</v>
      </c>
      <c r="S83" s="362">
        <f>_xlfn.IFNA(VLOOKUP(A83,'Post 16'!A:AR,44,FALSE),0)</f>
        <v>0</v>
      </c>
      <c r="U83" s="362">
        <f>VLOOKUP(A83,'LA Deductions'!A:W,23,FALSE)</f>
        <v>-11394</v>
      </c>
      <c r="W83" s="289">
        <f>VLOOKUP($A83,'Summary Mar 2026'!$A:$AAG,189,FALSE)-SUMIFS($H83:$U83,$H$7:$U$7,W$7)</f>
        <v>0</v>
      </c>
      <c r="X83" s="289">
        <f>VLOOKUP($A83,'Summary Mar 2026'!$A:$GL,190,FALSE)-SUMIFS($H83:$U83,$H$7:$U$7,X$7)</f>
        <v>0</v>
      </c>
      <c r="Y83" s="289">
        <f>VLOOKUP($A83,'Summary Mar 2026'!$A:$GL,191,FALSE)-SUMIFS($H83:$U83,$H$7:$U$7,Y$7)</f>
        <v>0</v>
      </c>
      <c r="Z83" s="289">
        <f>VLOOKUP($A83,'Summary Mar 2026'!$A:$GL,192,FALSE)-SUMIFS($H83:$U83,$H$7:$U$7,Z$7)</f>
        <v>0</v>
      </c>
      <c r="AA83" s="289">
        <f>VLOOKUP($A83,'Summary Mar 2026'!$A:$GL,193,FALSE)-SUMIFS($H83:$U83,$H$7:$U$7,AA$7)</f>
        <v>0</v>
      </c>
      <c r="AB83" s="289">
        <f>VLOOKUP($A83,'Summary Mar 2026'!$A:$GL,194,FALSE)-SUMIFS($H83:$U83,$H$7:$U$7,AB$7)</f>
        <v>0</v>
      </c>
      <c r="AD83" s="146">
        <f>_xlfn.IFNA(VLOOKUP($A83,'Summary Mar 2026'!$A:$GS,196,FALSE)+VLOOKUP($A83,OtherDSG!$A:$AI,34,FALSE)+VLOOKUP($A83,Grants!$A:$BE,50,FALSE),0)</f>
        <v>2204716.4199999995</v>
      </c>
      <c r="AE83" s="146">
        <f>_xlfn.IFNA(VLOOKUP($A83,'Summary Mar 2026'!$A:$GS,197,FALSE)+VLOOKUP($A83,Grants!$A:$BE,51,FALSE),0)</f>
        <v>0</v>
      </c>
      <c r="AF83" s="146">
        <f>_xlfn.IFNA(VLOOKUP($A83,'Summary Mar 2026'!$A:$GS,198,FALSE)+VLOOKUP($A83,OtherDSG!$A:$AI,35,FALSE)+VLOOKUP($A83,Grants!$A:$BE,52,FALSE),0)</f>
        <v>60872.800000000003</v>
      </c>
      <c r="AG83" s="146">
        <f>_xlfn.IFNA(VLOOKUP($A83,Grants!$A:$BE,53,FALSE),0)</f>
        <v>49445</v>
      </c>
      <c r="AH83" s="146">
        <f>_xlfn.IFNA(VLOOKUP($A83,Grants!$A:$BE,54,FALSE),0)</f>
        <v>106872</v>
      </c>
      <c r="AI83" s="146">
        <f>_xlfn.IFNA(VLOOKUP($A83,Grants!$A:$BE,55,FALSE),0)</f>
        <v>0</v>
      </c>
      <c r="AJ83" s="146">
        <f>_xlfn.IFNA(VLOOKUP($A83,Barclays!$A:$T,18,FALSE),0)</f>
        <v>0</v>
      </c>
      <c r="AK83" s="146">
        <f>_xlfn.IFNA(VLOOKUP($A83,'Summary Mar 2026'!$A:$GS,200,FALSE),0)</f>
        <v>-58214.420000000006</v>
      </c>
      <c r="AL83" s="146">
        <f>_xlfn.IFNA(VLOOKUP($A83,Barclays!$A:$T,19,FALSE),0)</f>
        <v>0</v>
      </c>
      <c r="AM83" s="146">
        <f>_xlfn.IFNA(VLOOKUP($A83,'Summary Mar 2026'!$A:$GS,201,FALSE),0)</f>
        <v>-11394</v>
      </c>
      <c r="AN83" s="146">
        <f>_xlfn.IFNA(VLOOKUP($A83,'Summary Mar 2026'!$A:$GS,199,FALSE),0)</f>
        <v>-11005.760000000002</v>
      </c>
      <c r="AO83" s="146">
        <f>_xlfn.IFNA(VLOOKUP($A83,Grants!$A:$BE,56,FALSE),0)</f>
        <v>8770</v>
      </c>
      <c r="AP83" s="65">
        <f t="shared" si="1"/>
        <v>2350062.0399999996</v>
      </c>
    </row>
    <row r="84" spans="1:42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0" t="str">
        <f>VLOOKUP(A84,'Summary Mar 2026'!$A$8:$F$206,6,FALSE)</f>
        <v>Chq Bk</v>
      </c>
      <c r="H84" s="288">
        <f>_xlfn.IFNA(VLOOKUP($A84,ISB!$A:$BY,67,FALSE),0)</f>
        <v>0</v>
      </c>
      <c r="I84" s="861">
        <f>_xlfn.IFNA(VLOOKUP(A84,'LA Deductions'!A:AN,40,FALSE),0)</f>
        <v>0</v>
      </c>
      <c r="J84" s="221">
        <f>_xlfn.IFNA(VLOOKUP($A84,ISB!$A:$BY,72,FALSE),0)</f>
        <v>0</v>
      </c>
      <c r="K84" s="289">
        <f>-_xlfn.IFNA(VLOOKUP($A84,ISB!$A:$BY,76,FALSE),0)</f>
        <v>0</v>
      </c>
      <c r="M84" s="288">
        <f>VLOOKUP($A84,EY!$A:$AAK,132,FALSE)</f>
        <v>0</v>
      </c>
      <c r="N84" s="288">
        <f>VLOOKUP($A84,EY!$A:$AAD,133,FALSE)</f>
        <v>0</v>
      </c>
      <c r="P84" s="288">
        <f>VLOOKUP($A84,HN!$A:$AM,38,FALSE)</f>
        <v>718575</v>
      </c>
      <c r="Q84" s="288">
        <f>VLOOKUP($A84,HN!$A:$AM,39,FALSE)</f>
        <v>616338.76294615644</v>
      </c>
      <c r="S84" s="362">
        <f>_xlfn.IFNA(VLOOKUP(A84,'Post 16'!A:AR,44,FALSE),0)</f>
        <v>0</v>
      </c>
      <c r="U84" s="362">
        <f>VLOOKUP(A84,'LA Deductions'!A:W,23,FALSE)</f>
        <v>-3291.75</v>
      </c>
      <c r="W84" s="289">
        <f>VLOOKUP($A84,'Summary Mar 2026'!$A:$AAG,189,FALSE)-SUMIFS($H84:$U84,$H$7:$U$7,W$7)</f>
        <v>0</v>
      </c>
      <c r="X84" s="289">
        <f>VLOOKUP($A84,'Summary Mar 2026'!$A:$GL,190,FALSE)-SUMIFS($H84:$U84,$H$7:$U$7,X$7)</f>
        <v>0</v>
      </c>
      <c r="Y84" s="289">
        <f>VLOOKUP($A84,'Summary Mar 2026'!$A:$GL,191,FALSE)-SUMIFS($H84:$U84,$H$7:$U$7,Y$7)</f>
        <v>0</v>
      </c>
      <c r="Z84" s="289">
        <f>VLOOKUP($A84,'Summary Mar 2026'!$A:$GL,192,FALSE)-SUMIFS($H84:$U84,$H$7:$U$7,Z$7)</f>
        <v>0</v>
      </c>
      <c r="AA84" s="289">
        <f>VLOOKUP($A84,'Summary Mar 2026'!$A:$GL,193,FALSE)-SUMIFS($H84:$U84,$H$7:$U$7,AA$7)</f>
        <v>0</v>
      </c>
      <c r="AB84" s="289">
        <f>VLOOKUP($A84,'Summary Mar 2026'!$A:$GL,194,FALSE)-SUMIFS($H84:$U84,$H$7:$U$7,AB$7)</f>
        <v>0</v>
      </c>
      <c r="AD84" s="146">
        <f>_xlfn.IFNA(VLOOKUP($A84,'Summary Mar 2026'!$A:$GS,196,FALSE)+VLOOKUP($A84,OtherDSG!$A:$AI,34,FALSE)+VLOOKUP($A84,Grants!$A:$BE,50,FALSE),0)</f>
        <v>716036.79760869569</v>
      </c>
      <c r="AE84" s="146">
        <f>_xlfn.IFNA(VLOOKUP($A84,'Summary Mar 2026'!$A:$GS,197,FALSE)+VLOOKUP($A84,Grants!$A:$BE,51,FALSE),0)</f>
        <v>0</v>
      </c>
      <c r="AF84" s="146">
        <f>_xlfn.IFNA(VLOOKUP($A84,'Summary Mar 2026'!$A:$GS,198,FALSE)+VLOOKUP($A84,OtherDSG!$A:$AI,35,FALSE)+VLOOKUP($A84,Grants!$A:$BE,52,FALSE),0)</f>
        <v>842916.07459745416</v>
      </c>
      <c r="AG84" s="146">
        <f>_xlfn.IFNA(VLOOKUP($A84,Grants!$A:$BE,53,FALSE),0)</f>
        <v>51510</v>
      </c>
      <c r="AH84" s="146">
        <f>_xlfn.IFNA(VLOOKUP($A84,Grants!$A:$BE,54,FALSE),0)</f>
        <v>18532</v>
      </c>
      <c r="AI84" s="146">
        <f>_xlfn.IFNA(VLOOKUP($A84,Grants!$A:$BE,55,FALSE),0)</f>
        <v>0</v>
      </c>
      <c r="AJ84" s="146">
        <f>_xlfn.IFNA(VLOOKUP($A84,Barclays!$A:$T,18,FALSE),0)</f>
        <v>4386.9400000000005</v>
      </c>
      <c r="AK84" s="146">
        <f>_xlfn.IFNA(VLOOKUP($A84,'Summary Mar 2026'!$A:$GS,200,FALSE),0)</f>
        <v>0</v>
      </c>
      <c r="AL84" s="146">
        <f>_xlfn.IFNA(VLOOKUP($A84,Barclays!$A:$T,19,FALSE),0)</f>
        <v>-115.61000000000001</v>
      </c>
      <c r="AM84" s="146">
        <f>_xlfn.IFNA(VLOOKUP($A84,'Summary Mar 2026'!$A:$GS,201,FALSE),0)</f>
        <v>-3291.75</v>
      </c>
      <c r="AN84" s="146">
        <f>_xlfn.IFNA(VLOOKUP($A84,'Summary Mar 2026'!$A:$GS,199,FALSE),0)</f>
        <v>0</v>
      </c>
      <c r="AO84" s="146">
        <f>_xlfn.IFNA(VLOOKUP($A84,Grants!$A:$BE,56,FALSE),0)</f>
        <v>7098.25</v>
      </c>
      <c r="AP84" s="65">
        <f t="shared" si="1"/>
        <v>1637072.7022061497</v>
      </c>
    </row>
    <row r="85" spans="1:42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0" t="str">
        <f>VLOOKUP(A85,'Summary Mar 2026'!$A$8:$F$206,6,FALSE)</f>
        <v>Chq Bk</v>
      </c>
      <c r="H85" s="288">
        <f>_xlfn.IFNA(VLOOKUP($A85,ISB!$A:$BY,67,FALSE),0)</f>
        <v>2652893.7939411006</v>
      </c>
      <c r="I85" s="861">
        <f>_xlfn.IFNA(VLOOKUP(A85,'LA Deductions'!A:AN,40,FALSE),0)</f>
        <v>0</v>
      </c>
      <c r="J85" s="221">
        <f>_xlfn.IFNA(VLOOKUP($A85,ISB!$A:$BY,72,FALSE),0)</f>
        <v>-10953.599999999999</v>
      </c>
      <c r="K85" s="289">
        <f>-_xlfn.IFNA(VLOOKUP($A85,ISB!$A:$BY,76,FALSE),0)</f>
        <v>-62170.74</v>
      </c>
      <c r="M85" s="288">
        <f>VLOOKUP($A85,EY!$A:$AAK,132,FALSE)</f>
        <v>149952.12127423822</v>
      </c>
      <c r="N85" s="288">
        <f>VLOOKUP($A85,EY!$A:$AAD,133,FALSE)</f>
        <v>1012.8321329639889</v>
      </c>
      <c r="P85" s="288">
        <f>VLOOKUP($A85,HN!$A:$AM,38,FALSE)</f>
        <v>0</v>
      </c>
      <c r="Q85" s="288">
        <f>VLOOKUP($A85,HN!$A:$AM,39,FALSE)</f>
        <v>0</v>
      </c>
      <c r="S85" s="362">
        <f>_xlfn.IFNA(VLOOKUP(A85,'Post 16'!A:AR,44,FALSE),0)</f>
        <v>0</v>
      </c>
      <c r="U85" s="362">
        <f>VLOOKUP(A85,'LA Deductions'!A:W,23,FALSE)</f>
        <v>0</v>
      </c>
      <c r="W85" s="289">
        <f>VLOOKUP($A85,'Summary Mar 2026'!$A:$AAG,189,FALSE)-SUMIFS($H85:$U85,$H$7:$U$7,W$7)</f>
        <v>0</v>
      </c>
      <c r="X85" s="289">
        <f>VLOOKUP($A85,'Summary Mar 2026'!$A:$GL,190,FALSE)-SUMIFS($H85:$U85,$H$7:$U$7,X$7)</f>
        <v>0</v>
      </c>
      <c r="Y85" s="289">
        <f>VLOOKUP($A85,'Summary Mar 2026'!$A:$GL,191,FALSE)-SUMIFS($H85:$U85,$H$7:$U$7,Y$7)</f>
        <v>0</v>
      </c>
      <c r="Z85" s="289">
        <f>VLOOKUP($A85,'Summary Mar 2026'!$A:$GL,192,FALSE)-SUMIFS($H85:$U85,$H$7:$U$7,Z$7)</f>
        <v>0</v>
      </c>
      <c r="AA85" s="289">
        <f>VLOOKUP($A85,'Summary Mar 2026'!$A:$GL,193,FALSE)-SUMIFS($H85:$U85,$H$7:$U$7,AA$7)</f>
        <v>0</v>
      </c>
      <c r="AB85" s="289">
        <f>VLOOKUP($A85,'Summary Mar 2026'!$A:$GL,194,FALSE)-SUMIFS($H85:$U85,$H$7:$U$7,AB$7)</f>
        <v>0</v>
      </c>
      <c r="AD85" s="146">
        <f>_xlfn.IFNA(VLOOKUP($A85,'Summary Mar 2026'!$A:$GS,196,FALSE)+VLOOKUP($A85,OtherDSG!$A:$AI,34,FALSE)+VLOOKUP($A85,Grants!$A:$BE,50,FALSE),0)</f>
        <v>2889375.915215339</v>
      </c>
      <c r="AE85" s="146">
        <f>_xlfn.IFNA(VLOOKUP($A85,'Summary Mar 2026'!$A:$GS,197,FALSE)+VLOOKUP($A85,Grants!$A:$BE,51,FALSE),0)</f>
        <v>0</v>
      </c>
      <c r="AF85" s="146">
        <f>_xlfn.IFNA(VLOOKUP($A85,'Summary Mar 2026'!$A:$GS,198,FALSE)+VLOOKUP($A85,OtherDSG!$A:$AI,35,FALSE)+VLOOKUP($A85,Grants!$A:$BE,52,FALSE),0)</f>
        <v>274963.11213296402</v>
      </c>
      <c r="AG85" s="146">
        <f>_xlfn.IFNA(VLOOKUP($A85,Grants!$A:$BE,53,FALSE),0)</f>
        <v>406735</v>
      </c>
      <c r="AH85" s="146">
        <f>_xlfn.IFNA(VLOOKUP($A85,Grants!$A:$BE,54,FALSE),0)</f>
        <v>82239.820000000007</v>
      </c>
      <c r="AI85" s="146">
        <f>_xlfn.IFNA(VLOOKUP($A85,Grants!$A:$BE,55,FALSE),0)</f>
        <v>0</v>
      </c>
      <c r="AJ85" s="146">
        <f>_xlfn.IFNA(VLOOKUP($A85,Barclays!$A:$T,18,FALSE),0)</f>
        <v>0</v>
      </c>
      <c r="AK85" s="146">
        <f>_xlfn.IFNA(VLOOKUP($A85,'Summary Mar 2026'!$A:$GS,200,FALSE),0)</f>
        <v>-62170.739999999983</v>
      </c>
      <c r="AL85" s="146">
        <f>_xlfn.IFNA(VLOOKUP($A85,Barclays!$A:$T,19,FALSE),0)</f>
        <v>0</v>
      </c>
      <c r="AM85" s="146">
        <f>_xlfn.IFNA(VLOOKUP($A85,'Summary Mar 2026'!$A:$GS,201,FALSE),0)</f>
        <v>0</v>
      </c>
      <c r="AN85" s="146">
        <f>_xlfn.IFNA(VLOOKUP($A85,'Summary Mar 2026'!$A:$GS,199,FALSE),0)</f>
        <v>-10953.599999999997</v>
      </c>
      <c r="AO85" s="146">
        <f>_xlfn.IFNA(VLOOKUP($A85,Grants!$A:$BE,56,FALSE),0)</f>
        <v>9059.1299999999992</v>
      </c>
      <c r="AP85" s="65">
        <f t="shared" si="1"/>
        <v>3589248.6373483031</v>
      </c>
    </row>
    <row r="86" spans="1:42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0" t="str">
        <f>VLOOKUP(A86,'Summary Mar 2026'!$A$8:$F$206,6,FALSE)</f>
        <v>Chq Bk</v>
      </c>
      <c r="H86" s="288">
        <f>_xlfn.IFNA(VLOOKUP($A86,ISB!$A:$BY,67,FALSE),0)</f>
        <v>1445291.8585769131</v>
      </c>
      <c r="I86" s="861">
        <f>_xlfn.IFNA(VLOOKUP(A86,'LA Deductions'!A:AN,40,FALSE),0)</f>
        <v>0</v>
      </c>
      <c r="J86" s="221">
        <f>_xlfn.IFNA(VLOOKUP($A86,ISB!$A:$BY,72,FALSE),0)</f>
        <v>-6885.12</v>
      </c>
      <c r="K86" s="289">
        <f>-_xlfn.IFNA(VLOOKUP($A86,ISB!$A:$BY,76,FALSE),0)</f>
        <v>-17553.5</v>
      </c>
      <c r="M86" s="288">
        <f>VLOOKUP($A86,EY!$A:$AAK,132,FALSE)</f>
        <v>0</v>
      </c>
      <c r="N86" s="288">
        <f>VLOOKUP($A86,EY!$A:$AAD,133,FALSE)</f>
        <v>0</v>
      </c>
      <c r="P86" s="288">
        <f>VLOOKUP($A86,HN!$A:$AM,38,FALSE)</f>
        <v>72000</v>
      </c>
      <c r="Q86" s="288">
        <f>VLOOKUP($A86,HN!$A:$AM,39,FALSE)</f>
        <v>118213.55999999998</v>
      </c>
      <c r="S86" s="362">
        <f>_xlfn.IFNA(VLOOKUP(A86,'Post 16'!A:AR,44,FALSE),0)</f>
        <v>0</v>
      </c>
      <c r="U86" s="362">
        <f>VLOOKUP(A86,'LA Deductions'!A:W,23,FALSE)</f>
        <v>-7128</v>
      </c>
      <c r="W86" s="289">
        <f>VLOOKUP($A86,'Summary Mar 2026'!$A:$AAG,189,FALSE)-SUMIFS($H86:$U86,$H$7:$U$7,W$7)</f>
        <v>0</v>
      </c>
      <c r="X86" s="289">
        <f>VLOOKUP($A86,'Summary Mar 2026'!$A:$GL,190,FALSE)-SUMIFS($H86:$U86,$H$7:$U$7,X$7)</f>
        <v>0</v>
      </c>
      <c r="Y86" s="289">
        <f>VLOOKUP($A86,'Summary Mar 2026'!$A:$GL,191,FALSE)-SUMIFS($H86:$U86,$H$7:$U$7,Y$7)</f>
        <v>0</v>
      </c>
      <c r="Z86" s="289">
        <f>VLOOKUP($A86,'Summary Mar 2026'!$A:$GL,192,FALSE)-SUMIFS($H86:$U86,$H$7:$U$7,Z$7)</f>
        <v>0</v>
      </c>
      <c r="AA86" s="289">
        <f>VLOOKUP($A86,'Summary Mar 2026'!$A:$GL,193,FALSE)-SUMIFS($H86:$U86,$H$7:$U$7,AA$7)</f>
        <v>0</v>
      </c>
      <c r="AB86" s="289">
        <f>VLOOKUP($A86,'Summary Mar 2026'!$A:$GL,194,FALSE)-SUMIFS($H86:$U86,$H$7:$U$7,AB$7)</f>
        <v>0</v>
      </c>
      <c r="AD86" s="146">
        <f>_xlfn.IFNA(VLOOKUP($A86,'Summary Mar 2026'!$A:$GS,196,FALSE)+VLOOKUP($A86,OtherDSG!$A:$AI,34,FALSE)+VLOOKUP($A86,Grants!$A:$BE,50,FALSE),0)</f>
        <v>1563132.8585769134</v>
      </c>
      <c r="AE86" s="146">
        <f>_xlfn.IFNA(VLOOKUP($A86,'Summary Mar 2026'!$A:$GS,197,FALSE)+VLOOKUP($A86,Grants!$A:$BE,51,FALSE),0)</f>
        <v>0</v>
      </c>
      <c r="AF86" s="146">
        <f>_xlfn.IFNA(VLOOKUP($A86,'Summary Mar 2026'!$A:$GS,198,FALSE)+VLOOKUP($A86,OtherDSG!$A:$AI,35,FALSE)+VLOOKUP($A86,Grants!$A:$BE,52,FALSE),0)</f>
        <v>216098.36</v>
      </c>
      <c r="AG86" s="146">
        <f>_xlfn.IFNA(VLOOKUP($A86,Grants!$A:$BE,53,FALSE),0)</f>
        <v>112060</v>
      </c>
      <c r="AH86" s="146">
        <f>_xlfn.IFNA(VLOOKUP($A86,Grants!$A:$BE,54,FALSE),0)</f>
        <v>105749.86</v>
      </c>
      <c r="AI86" s="146">
        <f>_xlfn.IFNA(VLOOKUP($A86,Grants!$A:$BE,55,FALSE),0)</f>
        <v>0</v>
      </c>
      <c r="AJ86" s="146">
        <f>_xlfn.IFNA(VLOOKUP($A86,Barclays!$A:$T,18,FALSE),0)</f>
        <v>0</v>
      </c>
      <c r="AK86" s="146">
        <f>_xlfn.IFNA(VLOOKUP($A86,'Summary Mar 2026'!$A:$GS,200,FALSE),0)</f>
        <v>-17553.499999999996</v>
      </c>
      <c r="AL86" s="146">
        <f>_xlfn.IFNA(VLOOKUP($A86,Barclays!$A:$T,19,FALSE),0)</f>
        <v>0</v>
      </c>
      <c r="AM86" s="146">
        <f>_xlfn.IFNA(VLOOKUP($A86,'Summary Mar 2026'!$A:$GS,201,FALSE),0)</f>
        <v>-7128</v>
      </c>
      <c r="AN86" s="146">
        <f>_xlfn.IFNA(VLOOKUP($A86,'Summary Mar 2026'!$A:$GS,199,FALSE),0)</f>
        <v>-6885.1200000000017</v>
      </c>
      <c r="AO86" s="146">
        <f>_xlfn.IFNA(VLOOKUP($A86,Grants!$A:$BE,56,FALSE),0)</f>
        <v>6970</v>
      </c>
      <c r="AP86" s="65">
        <f t="shared" si="1"/>
        <v>1972444.4585769132</v>
      </c>
    </row>
    <row r="87" spans="1:42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0" t="str">
        <f>VLOOKUP(A87,'Summary Mar 2026'!$A$8:$F$206,6,FALSE)</f>
        <v>Chq Bk</v>
      </c>
      <c r="H87" s="288">
        <f>_xlfn.IFNA(VLOOKUP($A87,ISB!$A:$BY,67,FALSE),0)</f>
        <v>2000906.1925619047</v>
      </c>
      <c r="I87" s="861">
        <f>_xlfn.IFNA(VLOOKUP(A87,'LA Deductions'!A:AN,40,FALSE),0)</f>
        <v>0</v>
      </c>
      <c r="J87" s="221">
        <f>_xlfn.IFNA(VLOOKUP($A87,ISB!$A:$BY,72,FALSE),0)</f>
        <v>-9623.5199999999986</v>
      </c>
      <c r="K87" s="289">
        <f>-_xlfn.IFNA(VLOOKUP($A87,ISB!$A:$BY,76,FALSE),0)</f>
        <v>-19016.28</v>
      </c>
      <c r="M87" s="288">
        <f>VLOOKUP($A87,EY!$A:$AAK,132,FALSE)</f>
        <v>0</v>
      </c>
      <c r="N87" s="288">
        <f>VLOOKUP($A87,EY!$A:$AAD,133,FALSE)</f>
        <v>0</v>
      </c>
      <c r="P87" s="288">
        <f>VLOOKUP($A87,HN!$A:$AM,38,FALSE)</f>
        <v>72000</v>
      </c>
      <c r="Q87" s="288">
        <f>VLOOKUP($A87,HN!$A:$AM,39,FALSE)</f>
        <v>127120.94999999998</v>
      </c>
      <c r="S87" s="362">
        <f>_xlfn.IFNA(VLOOKUP(A87,'Post 16'!A:AR,44,FALSE),0)</f>
        <v>0</v>
      </c>
      <c r="U87" s="362">
        <f>VLOOKUP(A87,'LA Deductions'!A:W,23,FALSE)</f>
        <v>-9471</v>
      </c>
      <c r="W87" s="289">
        <f>VLOOKUP($A87,'Summary Mar 2026'!$A:$AAG,189,FALSE)-SUMIFS($H87:$U87,$H$7:$U$7,W$7)</f>
        <v>0</v>
      </c>
      <c r="X87" s="289">
        <f>VLOOKUP($A87,'Summary Mar 2026'!$A:$GL,190,FALSE)-SUMIFS($H87:$U87,$H$7:$U$7,X$7)</f>
        <v>0</v>
      </c>
      <c r="Y87" s="289">
        <f>VLOOKUP($A87,'Summary Mar 2026'!$A:$GL,191,FALSE)-SUMIFS($H87:$U87,$H$7:$U$7,Y$7)</f>
        <v>0</v>
      </c>
      <c r="Z87" s="289">
        <f>VLOOKUP($A87,'Summary Mar 2026'!$A:$GL,192,FALSE)-SUMIFS($H87:$U87,$H$7:$U$7,Z$7)</f>
        <v>0</v>
      </c>
      <c r="AA87" s="289">
        <f>VLOOKUP($A87,'Summary Mar 2026'!$A:$GL,193,FALSE)-SUMIFS($H87:$U87,$H$7:$U$7,AA$7)</f>
        <v>0</v>
      </c>
      <c r="AB87" s="289">
        <f>VLOOKUP($A87,'Summary Mar 2026'!$A:$GL,194,FALSE)-SUMIFS($H87:$U87,$H$7:$U$7,AB$7)</f>
        <v>0</v>
      </c>
      <c r="AD87" s="146">
        <f>_xlfn.IFNA(VLOOKUP($A87,'Summary Mar 2026'!$A:$GS,196,FALSE)+VLOOKUP($A87,OtherDSG!$A:$AI,34,FALSE)+VLOOKUP($A87,Grants!$A:$BE,50,FALSE),0)</f>
        <v>2138370.1925619049</v>
      </c>
      <c r="AE87" s="146">
        <f>_xlfn.IFNA(VLOOKUP($A87,'Summary Mar 2026'!$A:$GS,197,FALSE)+VLOOKUP($A87,Grants!$A:$BE,51,FALSE),0)</f>
        <v>0</v>
      </c>
      <c r="AF87" s="146">
        <f>_xlfn.IFNA(VLOOKUP($A87,'Summary Mar 2026'!$A:$GS,198,FALSE)+VLOOKUP($A87,OtherDSG!$A:$AI,35,FALSE)+VLOOKUP($A87,Grants!$A:$BE,52,FALSE),0)</f>
        <v>156791.47999999998</v>
      </c>
      <c r="AG87" s="146">
        <f>_xlfn.IFNA(VLOOKUP($A87,Grants!$A:$BE,53,FALSE),0)</f>
        <v>217710</v>
      </c>
      <c r="AH87" s="146">
        <f>_xlfn.IFNA(VLOOKUP($A87,Grants!$A:$BE,54,FALSE),0)</f>
        <v>18882.93</v>
      </c>
      <c r="AI87" s="146">
        <f>_xlfn.IFNA(VLOOKUP($A87,Grants!$A:$BE,55,FALSE),0)</f>
        <v>0</v>
      </c>
      <c r="AJ87" s="146">
        <f>_xlfn.IFNA(VLOOKUP($A87,Barclays!$A:$T,18,FALSE),0)</f>
        <v>0</v>
      </c>
      <c r="AK87" s="146">
        <f>_xlfn.IFNA(VLOOKUP($A87,'Summary Mar 2026'!$A:$GS,200,FALSE),0)</f>
        <v>-19016.28</v>
      </c>
      <c r="AL87" s="146">
        <f>_xlfn.IFNA(VLOOKUP($A87,Barclays!$A:$T,19,FALSE),0)</f>
        <v>0</v>
      </c>
      <c r="AM87" s="146">
        <f>_xlfn.IFNA(VLOOKUP($A87,'Summary Mar 2026'!$A:$GS,201,FALSE),0)</f>
        <v>-9471</v>
      </c>
      <c r="AN87" s="146">
        <f>_xlfn.IFNA(VLOOKUP($A87,'Summary Mar 2026'!$A:$GS,199,FALSE),0)</f>
        <v>-9623.5199999999986</v>
      </c>
      <c r="AO87" s="146">
        <f>_xlfn.IFNA(VLOOKUP($A87,Grants!$A:$BE,56,FALSE),0)</f>
        <v>8128.75</v>
      </c>
      <c r="AP87" s="65">
        <f t="shared" si="1"/>
        <v>2501772.5525619052</v>
      </c>
    </row>
    <row r="88" spans="1:42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0" t="str">
        <f>VLOOKUP(A88,'Summary Mar 2026'!$A$8:$F$206,6,FALSE)</f>
        <v>Chq Bk</v>
      </c>
      <c r="H88" s="288">
        <f>_xlfn.IFNA(VLOOKUP($A88,ISB!$A:$BY,67,FALSE),0)</f>
        <v>2115545.64</v>
      </c>
      <c r="I88" s="861">
        <f>_xlfn.IFNA(VLOOKUP(A88,'LA Deductions'!A:AN,40,FALSE),0)</f>
        <v>0</v>
      </c>
      <c r="J88" s="221">
        <f>_xlfn.IFNA(VLOOKUP($A88,ISB!$A:$BY,72,FALSE),0)</f>
        <v>-11005.759999999998</v>
      </c>
      <c r="K88" s="289">
        <f>-_xlfn.IFNA(VLOOKUP($A88,ISB!$A:$BY,76,FALSE),0)</f>
        <v>-24535.64</v>
      </c>
      <c r="M88" s="288">
        <f>VLOOKUP($A88,EY!$A:$AAK,132,FALSE)</f>
        <v>0</v>
      </c>
      <c r="N88" s="288">
        <f>VLOOKUP($A88,EY!$A:$AAD,133,FALSE)</f>
        <v>0</v>
      </c>
      <c r="P88" s="288">
        <f>VLOOKUP($A88,HN!$A:$AM,38,FALSE)</f>
        <v>0</v>
      </c>
      <c r="Q88" s="288">
        <f>VLOOKUP($A88,HN!$A:$AM,39,FALSE)</f>
        <v>0</v>
      </c>
      <c r="S88" s="362">
        <f>_xlfn.IFNA(VLOOKUP(A88,'Post 16'!A:AR,44,FALSE),0)</f>
        <v>0</v>
      </c>
      <c r="U88" s="362">
        <f>VLOOKUP(A88,'LA Deductions'!A:W,23,FALSE)</f>
        <v>-9471</v>
      </c>
      <c r="W88" s="289">
        <f>VLOOKUP($A88,'Summary Mar 2026'!$A:$AAG,189,FALSE)-SUMIFS($H88:$U88,$H$7:$U$7,W$7)</f>
        <v>0</v>
      </c>
      <c r="X88" s="289">
        <f>VLOOKUP($A88,'Summary Mar 2026'!$A:$GL,190,FALSE)-SUMIFS($H88:$U88,$H$7:$U$7,X$7)</f>
        <v>0</v>
      </c>
      <c r="Y88" s="289">
        <f>VLOOKUP($A88,'Summary Mar 2026'!$A:$GL,191,FALSE)-SUMIFS($H88:$U88,$H$7:$U$7,Y$7)</f>
        <v>0</v>
      </c>
      <c r="Z88" s="289">
        <f>VLOOKUP($A88,'Summary Mar 2026'!$A:$GL,192,FALSE)-SUMIFS($H88:$U88,$H$7:$U$7,Z$7)</f>
        <v>0</v>
      </c>
      <c r="AA88" s="289">
        <f>VLOOKUP($A88,'Summary Mar 2026'!$A:$GL,193,FALSE)-SUMIFS($H88:$U88,$H$7:$U$7,AA$7)</f>
        <v>0</v>
      </c>
      <c r="AB88" s="289">
        <f>VLOOKUP($A88,'Summary Mar 2026'!$A:$GL,194,FALSE)-SUMIFS($H88:$U88,$H$7:$U$7,AB$7)</f>
        <v>0</v>
      </c>
      <c r="AD88" s="146">
        <f>_xlfn.IFNA(VLOOKUP($A88,'Summary Mar 2026'!$A:$GS,196,FALSE)+VLOOKUP($A88,OtherDSG!$A:$AI,34,FALSE)+VLOOKUP($A88,Grants!$A:$BE,50,FALSE),0)</f>
        <v>2171148.64</v>
      </c>
      <c r="AE88" s="146">
        <f>_xlfn.IFNA(VLOOKUP($A88,'Summary Mar 2026'!$A:$GS,197,FALSE)+VLOOKUP($A88,Grants!$A:$BE,51,FALSE),0)</f>
        <v>0</v>
      </c>
      <c r="AF88" s="146">
        <f>_xlfn.IFNA(VLOOKUP($A88,'Summary Mar 2026'!$A:$GS,198,FALSE)+VLOOKUP($A88,OtherDSG!$A:$AI,35,FALSE)+VLOOKUP($A88,Grants!$A:$BE,52,FALSE),0)</f>
        <v>155172.65666666668</v>
      </c>
      <c r="AG88" s="146">
        <f>_xlfn.IFNA(VLOOKUP($A88,Grants!$A:$BE,53,FALSE),0)</f>
        <v>38225</v>
      </c>
      <c r="AH88" s="146">
        <f>_xlfn.IFNA(VLOOKUP($A88,Grants!$A:$BE,54,FALSE),0)</f>
        <v>104152.37000000001</v>
      </c>
      <c r="AI88" s="146">
        <f>_xlfn.IFNA(VLOOKUP($A88,Grants!$A:$BE,55,FALSE),0)</f>
        <v>0</v>
      </c>
      <c r="AJ88" s="146">
        <f>_xlfn.IFNA(VLOOKUP($A88,Barclays!$A:$T,18,FALSE),0)</f>
        <v>15647.36</v>
      </c>
      <c r="AK88" s="146">
        <f>_xlfn.IFNA(VLOOKUP($A88,'Summary Mar 2026'!$A:$GS,200,FALSE),0)</f>
        <v>-24535.639999999996</v>
      </c>
      <c r="AL88" s="146">
        <f>_xlfn.IFNA(VLOOKUP($A88,Barclays!$A:$T,19,FALSE),0)</f>
        <v>-73.52</v>
      </c>
      <c r="AM88" s="146">
        <f>_xlfn.IFNA(VLOOKUP($A88,'Summary Mar 2026'!$A:$GS,201,FALSE),0)</f>
        <v>-9471</v>
      </c>
      <c r="AN88" s="146">
        <f>_xlfn.IFNA(VLOOKUP($A88,'Summary Mar 2026'!$A:$GS,199,FALSE),0)</f>
        <v>-11005.760000000002</v>
      </c>
      <c r="AO88" s="146">
        <f>_xlfn.IFNA(VLOOKUP($A88,Grants!$A:$BE,56,FALSE),0)</f>
        <v>8736.25</v>
      </c>
      <c r="AP88" s="65">
        <f t="shared" si="1"/>
        <v>2447996.3566666669</v>
      </c>
    </row>
    <row r="89" spans="1:42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0" t="str">
        <f>VLOOKUP(A89,'Summary Mar 2026'!$A$8:$F$206,6,FALSE)</f>
        <v>Chq Bk</v>
      </c>
      <c r="H89" s="288">
        <f>_xlfn.IFNA(VLOOKUP($A89,ISB!$A:$BY,67,FALSE),0)</f>
        <v>0</v>
      </c>
      <c r="I89" s="861">
        <f>_xlfn.IFNA(VLOOKUP(A89,'LA Deductions'!A:AN,40,FALSE),0)</f>
        <v>0</v>
      </c>
      <c r="J89" s="221">
        <f>_xlfn.IFNA(VLOOKUP($A89,ISB!$A:$BY,72,FALSE),0)</f>
        <v>0</v>
      </c>
      <c r="K89" s="289">
        <f>-_xlfn.IFNA(VLOOKUP($A89,ISB!$A:$BY,76,FALSE),0)</f>
        <v>0</v>
      </c>
      <c r="M89" s="288">
        <f>VLOOKUP($A89,EY!$A:$AAK,132,FALSE)</f>
        <v>731280.42409708689</v>
      </c>
      <c r="N89" s="288">
        <f>VLOOKUP($A89,EY!$A:$AAD,133,FALSE)</f>
        <v>3262.9927977839334</v>
      </c>
      <c r="P89" s="288">
        <f>VLOOKUP($A89,HN!$A:$AM,38,FALSE)</f>
        <v>0</v>
      </c>
      <c r="Q89" s="288">
        <f>VLOOKUP($A89,HN!$A:$AM,39,FALSE)</f>
        <v>0</v>
      </c>
      <c r="S89" s="362">
        <f>_xlfn.IFNA(VLOOKUP(A89,'Post 16'!A:AR,44,FALSE),0)</f>
        <v>0</v>
      </c>
      <c r="U89" s="362">
        <f>VLOOKUP(A89,'LA Deductions'!A:W,23,FALSE)</f>
        <v>-3291.75</v>
      </c>
      <c r="W89" s="289">
        <f>VLOOKUP($A89,'Summary Mar 2026'!$A:$AAG,189,FALSE)-SUMIFS($H89:$U89,$H$7:$U$7,W$7)</f>
        <v>0</v>
      </c>
      <c r="X89" s="289">
        <f>VLOOKUP($A89,'Summary Mar 2026'!$A:$GL,190,FALSE)-SUMIFS($H89:$U89,$H$7:$U$7,X$7)</f>
        <v>0</v>
      </c>
      <c r="Y89" s="289">
        <f>VLOOKUP($A89,'Summary Mar 2026'!$A:$GL,191,FALSE)-SUMIFS($H89:$U89,$H$7:$U$7,Y$7)</f>
        <v>0</v>
      </c>
      <c r="Z89" s="289">
        <f>VLOOKUP($A89,'Summary Mar 2026'!$A:$GL,192,FALSE)-SUMIFS($H89:$U89,$H$7:$U$7,Z$7)</f>
        <v>0</v>
      </c>
      <c r="AA89" s="289">
        <f>VLOOKUP($A89,'Summary Mar 2026'!$A:$GL,193,FALSE)-SUMIFS($H89:$U89,$H$7:$U$7,AA$7)</f>
        <v>0</v>
      </c>
      <c r="AB89" s="289">
        <f>VLOOKUP($A89,'Summary Mar 2026'!$A:$GL,194,FALSE)-SUMIFS($H89:$U89,$H$7:$U$7,AB$7)</f>
        <v>0</v>
      </c>
      <c r="AD89" s="146">
        <f>_xlfn.IFNA(VLOOKUP($A89,'Summary Mar 2026'!$A:$GS,196,FALSE)+VLOOKUP($A89,OtherDSG!$A:$AI,34,FALSE)+VLOOKUP($A89,Grants!$A:$BE,50,FALSE),0)</f>
        <v>750279.424097087</v>
      </c>
      <c r="AE89" s="146">
        <f>_xlfn.IFNA(VLOOKUP($A89,'Summary Mar 2026'!$A:$GS,197,FALSE)+VLOOKUP($A89,Grants!$A:$BE,51,FALSE),0)</f>
        <v>0</v>
      </c>
      <c r="AF89" s="146">
        <f>_xlfn.IFNA(VLOOKUP($A89,'Summary Mar 2026'!$A:$GS,198,FALSE)+VLOOKUP($A89,OtherDSG!$A:$AI,35,FALSE)+VLOOKUP($A89,Grants!$A:$BE,52,FALSE),0)</f>
        <v>7573.3291977839335</v>
      </c>
      <c r="AG89" s="146">
        <f>_xlfn.IFNA(VLOOKUP($A89,Grants!$A:$BE,53,FALSE),0)</f>
        <v>0</v>
      </c>
      <c r="AH89" s="146">
        <f>_xlfn.IFNA(VLOOKUP($A89,Grants!$A:$BE,54,FALSE),0)</f>
        <v>0</v>
      </c>
      <c r="AI89" s="146">
        <f>_xlfn.IFNA(VLOOKUP($A89,Grants!$A:$BE,55,FALSE),0)</f>
        <v>0</v>
      </c>
      <c r="AJ89" s="146">
        <f>_xlfn.IFNA(VLOOKUP($A89,Barclays!$A:$T,18,FALSE),0)</f>
        <v>22607.702829999995</v>
      </c>
      <c r="AK89" s="146">
        <f>_xlfn.IFNA(VLOOKUP($A89,'Summary Mar 2026'!$A:$GS,200,FALSE),0)</f>
        <v>0</v>
      </c>
      <c r="AL89" s="146">
        <f>_xlfn.IFNA(VLOOKUP($A89,Barclays!$A:$T,19,FALSE),0)</f>
        <v>-118.14999999999998</v>
      </c>
      <c r="AM89" s="146">
        <f>_xlfn.IFNA(VLOOKUP($A89,'Summary Mar 2026'!$A:$GS,201,FALSE),0)</f>
        <v>-3291.75</v>
      </c>
      <c r="AN89" s="146">
        <f>_xlfn.IFNA(VLOOKUP($A89,'Summary Mar 2026'!$A:$GS,199,FALSE),0)</f>
        <v>0</v>
      </c>
      <c r="AO89" s="146">
        <f>_xlfn.IFNA(VLOOKUP($A89,Grants!$A:$BE,56,FALSE),0)</f>
        <v>4938.25</v>
      </c>
      <c r="AP89" s="65">
        <f t="shared" si="1"/>
        <v>781988.8061248709</v>
      </c>
    </row>
    <row r="90" spans="1:42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0" t="str">
        <f>VLOOKUP(A90,'Summary Mar 2026'!$A$8:$F$206,6,FALSE)</f>
        <v>Chq Bk</v>
      </c>
      <c r="H90" s="288">
        <f>_xlfn.IFNA(VLOOKUP($A90,ISB!$A:$BY,67,FALSE),0)</f>
        <v>2724067.6081297249</v>
      </c>
      <c r="I90" s="861">
        <f>_xlfn.IFNA(VLOOKUP(A90,'LA Deductions'!A:AN,40,FALSE),0)</f>
        <v>-4336.5414000000001</v>
      </c>
      <c r="J90" s="221">
        <f>_xlfn.IFNA(VLOOKUP($A90,ISB!$A:$BY,72,FALSE),0)</f>
        <v>-10927.519999999999</v>
      </c>
      <c r="K90" s="289">
        <f>-_xlfn.IFNA(VLOOKUP($A90,ISB!$A:$BY,76,FALSE),0)</f>
        <v>-46374.720000000001</v>
      </c>
      <c r="M90" s="288">
        <f>VLOOKUP($A90,EY!$A:$AAK,132,FALSE)</f>
        <v>0</v>
      </c>
      <c r="N90" s="288">
        <f>VLOOKUP($A90,EY!$A:$AAD,133,FALSE)</f>
        <v>0</v>
      </c>
      <c r="P90" s="288">
        <f>VLOOKUP($A90,HN!$A:$AM,38,FALSE)</f>
        <v>0</v>
      </c>
      <c r="Q90" s="288">
        <f>VLOOKUP($A90,HN!$A:$AM,39,FALSE)</f>
        <v>0</v>
      </c>
      <c r="S90" s="362">
        <f>_xlfn.IFNA(VLOOKUP(A90,'Post 16'!A:AR,44,FALSE),0)</f>
        <v>0</v>
      </c>
      <c r="U90" s="362">
        <f>VLOOKUP(A90,'LA Deductions'!A:W,23,FALSE)</f>
        <v>-9471</v>
      </c>
      <c r="W90" s="289">
        <f>VLOOKUP($A90,'Summary Mar 2026'!$A:$AAG,189,FALSE)-SUMIFS($H90:$U90,$H$7:$U$7,W$7)</f>
        <v>0</v>
      </c>
      <c r="X90" s="289">
        <f>VLOOKUP($A90,'Summary Mar 2026'!$A:$GL,190,FALSE)-SUMIFS($H90:$U90,$H$7:$U$7,X$7)</f>
        <v>0</v>
      </c>
      <c r="Y90" s="289">
        <f>VLOOKUP($A90,'Summary Mar 2026'!$A:$GL,191,FALSE)-SUMIFS($H90:$U90,$H$7:$U$7,Y$7)</f>
        <v>0</v>
      </c>
      <c r="Z90" s="289">
        <f>VLOOKUP($A90,'Summary Mar 2026'!$A:$GL,192,FALSE)-SUMIFS($H90:$U90,$H$7:$U$7,Z$7)</f>
        <v>0</v>
      </c>
      <c r="AA90" s="289">
        <f>VLOOKUP($A90,'Summary Mar 2026'!$A:$GL,193,FALSE)-SUMIFS($H90:$U90,$H$7:$U$7,AA$7)</f>
        <v>0</v>
      </c>
      <c r="AB90" s="289">
        <f>VLOOKUP($A90,'Summary Mar 2026'!$A:$GL,194,FALSE)-SUMIFS($H90:$U90,$H$7:$U$7,AB$7)</f>
        <v>0</v>
      </c>
      <c r="AD90" s="146">
        <f>_xlfn.IFNA(VLOOKUP($A90,'Summary Mar 2026'!$A:$GS,196,FALSE)+VLOOKUP($A90,OtherDSG!$A:$AI,34,FALSE)+VLOOKUP($A90,Grants!$A:$BE,50,FALSE),0)</f>
        <v>2794745.0667297249</v>
      </c>
      <c r="AE90" s="146">
        <f>_xlfn.IFNA(VLOOKUP($A90,'Summary Mar 2026'!$A:$GS,197,FALSE)+VLOOKUP($A90,Grants!$A:$BE,51,FALSE),0)</f>
        <v>0</v>
      </c>
      <c r="AF90" s="146">
        <f>_xlfn.IFNA(VLOOKUP($A90,'Summary Mar 2026'!$A:$GS,198,FALSE)+VLOOKUP($A90,OtherDSG!$A:$AI,35,FALSE)+VLOOKUP($A90,Grants!$A:$BE,52,FALSE),0)</f>
        <v>135211.31666666665</v>
      </c>
      <c r="AG90" s="146">
        <f>_xlfn.IFNA(VLOOKUP($A90,Grants!$A:$BE,53,FALSE),0)</f>
        <v>318780</v>
      </c>
      <c r="AH90" s="146">
        <f>_xlfn.IFNA(VLOOKUP($A90,Grants!$A:$BE,54,FALSE),0)</f>
        <v>76762.789999999994</v>
      </c>
      <c r="AI90" s="146">
        <f>_xlfn.IFNA(VLOOKUP($A90,Grants!$A:$BE,55,FALSE),0)</f>
        <v>0</v>
      </c>
      <c r="AJ90" s="146">
        <f>_xlfn.IFNA(VLOOKUP($A90,Barclays!$A:$T,18,FALSE),0)</f>
        <v>0</v>
      </c>
      <c r="AK90" s="146">
        <f>_xlfn.IFNA(VLOOKUP($A90,'Summary Mar 2026'!$A:$GS,200,FALSE),0)</f>
        <v>-46374.719999999994</v>
      </c>
      <c r="AL90" s="146">
        <f>_xlfn.IFNA(VLOOKUP($A90,Barclays!$A:$T,19,FALSE),0)</f>
        <v>0</v>
      </c>
      <c r="AM90" s="146">
        <f>_xlfn.IFNA(VLOOKUP($A90,'Summary Mar 2026'!$A:$GS,201,FALSE),0)</f>
        <v>-9471</v>
      </c>
      <c r="AN90" s="146">
        <f>_xlfn.IFNA(VLOOKUP($A90,'Summary Mar 2026'!$A:$GS,199,FALSE),0)</f>
        <v>-10927.520000000002</v>
      </c>
      <c r="AO90" s="146">
        <f>_xlfn.IFNA(VLOOKUP($A90,Grants!$A:$BE,56,FALSE),0)</f>
        <v>8601.25</v>
      </c>
      <c r="AP90" s="65">
        <f t="shared" si="1"/>
        <v>3267327.1833963916</v>
      </c>
    </row>
    <row r="91" spans="1:42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0" t="e">
        <f>VLOOKUP(A91,'Summary Mar 2026'!$A$8:$F$206,6,FALSE)</f>
        <v>#N/A</v>
      </c>
      <c r="H91" s="288">
        <f>_xlfn.IFNA(VLOOKUP($A91,ISB!$A:$BY,67,FALSE),0)-1063733.66</f>
        <v>101381.55228837207</v>
      </c>
      <c r="I91" s="861">
        <f>_xlfn.IFNA(VLOOKUP(A91,'LA Deductions'!A:AN,40,FALSE),0)</f>
        <v>0</v>
      </c>
      <c r="J91" s="221">
        <f>_xlfn.IFNA(VLOOKUP($A91,ISB!$A:$BY,72,FALSE),0)+3012.24</f>
        <v>-2151.5999999999995</v>
      </c>
      <c r="K91" s="289">
        <f>-_xlfn.IFNA(VLOOKUP($A91,ISB!$A:$BY,76,FALSE),0)</f>
        <v>-4239.97</v>
      </c>
      <c r="M91" s="288">
        <f>VLOOKUP($A91,EY!$A:$AAK,132,FALSE)</f>
        <v>32836.44</v>
      </c>
      <c r="N91" s="288">
        <f>VLOOKUP($A91,EY!$A:$AAD,133,FALSE)</f>
        <v>0</v>
      </c>
      <c r="P91" s="288">
        <f>VLOOKUP($A91,HN!$A:$AM,38,FALSE)</f>
        <v>0</v>
      </c>
      <c r="Q91" s="288">
        <f>VLOOKUP($A91,HN!$A:$AM,39,FALSE)</f>
        <v>0</v>
      </c>
      <c r="S91" s="362">
        <f>_xlfn.IFNA(VLOOKUP(A91,'Post 16'!A:AR,44,FALSE),0)</f>
        <v>0</v>
      </c>
      <c r="U91" s="362">
        <f>VLOOKUP(A91,'LA Deductions'!A:W,23,FALSE)</f>
        <v>-428.31</v>
      </c>
      <c r="W91" s="289">
        <f>VLOOKUP($A91,'Summary Mar 2026'!$A:$AAG,189,FALSE)-SUMIFS($H91:$U91,$H$7:$U$7,W$7)</f>
        <v>0</v>
      </c>
      <c r="X91" s="289">
        <f>VLOOKUP($A91,'Summary Mar 2026'!$A:$GL,190,FALSE)-SUMIFS($H91:$U91,$H$7:$U$7,X$7)</f>
        <v>0</v>
      </c>
      <c r="Y91" s="289">
        <f>VLOOKUP($A91,'Summary Mar 2026'!$A:$GL,191,FALSE)-SUMIFS($H91:$U91,$H$7:$U$7,Y$7)</f>
        <v>0</v>
      </c>
      <c r="Z91" s="289">
        <f>VLOOKUP($A91,'Summary Mar 2026'!$A:$GL,192,FALSE)-SUMIFS($H91:$U91,$H$7:$U$7,Z$7)</f>
        <v>0</v>
      </c>
      <c r="AA91" s="289">
        <f>VLOOKUP($A91,'Summary Mar 2026'!$A:$GL,193,FALSE)-SUMIFS($H91:$U91,$H$7:$U$7,AA$7)</f>
        <v>0</v>
      </c>
      <c r="AB91" s="289">
        <f>VLOOKUP($A91,'Summary Mar 2026'!$A:$GL,194,FALSE)-SUMIFS($H91:$U91,$H$7:$U$7,AB$7)</f>
        <v>0</v>
      </c>
      <c r="AD91" s="146">
        <f>_xlfn.IFNA(VLOOKUP($A91,'Summary Mar 2026'!$A:$GS,196,FALSE)+VLOOKUP($A91,OtherDSG!$A:$AI,34,FALSE)+VLOOKUP($A91,Grants!$A:$BE,50,FALSE),0)</f>
        <v>134217.99228837207</v>
      </c>
      <c r="AE91" s="146">
        <f>_xlfn.IFNA(VLOOKUP($A91,'Summary Mar 2026'!$A:$GS,197,FALSE)+VLOOKUP($A91,Grants!$A:$BE,51,FALSE),0)</f>
        <v>0</v>
      </c>
      <c r="AF91" s="146">
        <f>_xlfn.IFNA(VLOOKUP($A91,'Summary Mar 2026'!$A:$GS,198,FALSE)+VLOOKUP($A91,OtherDSG!$A:$AI,35,FALSE)+VLOOKUP($A91,Grants!$A:$BE,52,FALSE),0)</f>
        <v>0</v>
      </c>
      <c r="AG91" s="146">
        <f>_xlfn.IFNA(VLOOKUP($A91,Grants!$A:$BE,53,FALSE),0)</f>
        <v>24850</v>
      </c>
      <c r="AH91" s="146">
        <f>_xlfn.IFNA(VLOOKUP($A91,Grants!$A:$BE,54,FALSE),0)</f>
        <v>0</v>
      </c>
      <c r="AI91" s="146">
        <f>_xlfn.IFNA(VLOOKUP($A91,Grants!$A:$BE,55,FALSE),0)</f>
        <v>0</v>
      </c>
      <c r="AJ91" s="146">
        <f>_xlfn.IFNA(VLOOKUP($A91,Barclays!$A:$T,18,FALSE),0)</f>
        <v>0</v>
      </c>
      <c r="AK91" s="146">
        <f>_xlfn.IFNA(VLOOKUP($A91,'Summary Mar 2026'!$A:$GS,200,FALSE),0)</f>
        <v>-4239.97</v>
      </c>
      <c r="AL91" s="146">
        <f>_xlfn.IFNA(VLOOKUP($A91,Barclays!$A:$T,19,FALSE),0)</f>
        <v>0</v>
      </c>
      <c r="AM91" s="146">
        <f>_xlfn.IFNA(VLOOKUP($A91,'Summary Mar 2026'!$A:$GS,201,FALSE),0)</f>
        <v>-428.31</v>
      </c>
      <c r="AN91" s="146">
        <f>_xlfn.IFNA(VLOOKUP($A91,'Summary Mar 2026'!$A:$GS,199,FALSE),0)</f>
        <v>-2151.5999999999995</v>
      </c>
      <c r="AO91" s="146">
        <f>_xlfn.IFNA(VLOOKUP($A91,Grants!$A:$BE,56,FALSE),0)</f>
        <v>0</v>
      </c>
      <c r="AP91" s="65">
        <f t="shared" si="1"/>
        <v>152248.11228837207</v>
      </c>
    </row>
    <row r="92" spans="1:42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0" t="str">
        <f>VLOOKUP(A92,'Summary Mar 2026'!$A$8:$F$206,6,FALSE)</f>
        <v>Chq Bk</v>
      </c>
      <c r="H92" s="288">
        <f>_xlfn.IFNA(VLOOKUP($A92,ISB!$A:$BY,67,FALSE),0)</f>
        <v>1267715.2672000001</v>
      </c>
      <c r="I92" s="861">
        <f>_xlfn.IFNA(VLOOKUP(A92,'LA Deductions'!A:AN,40,FALSE),0)</f>
        <v>0</v>
      </c>
      <c r="J92" s="221">
        <f>_xlfn.IFNA(VLOOKUP($A92,ISB!$A:$BY,72,FALSE),0)</f>
        <v>-5268.16</v>
      </c>
      <c r="K92" s="289">
        <f>-_xlfn.IFNA(VLOOKUP($A92,ISB!$A:$BY,76,FALSE),0)</f>
        <v>-12359.45</v>
      </c>
      <c r="M92" s="288">
        <f>VLOOKUP($A92,EY!$A:$AAK,132,FALSE)</f>
        <v>0</v>
      </c>
      <c r="N92" s="288">
        <f>VLOOKUP($A92,EY!$A:$AAD,133,FALSE)</f>
        <v>0</v>
      </c>
      <c r="P92" s="288">
        <f>VLOOKUP($A92,HN!$A:$AM,38,FALSE)</f>
        <v>0</v>
      </c>
      <c r="Q92" s="288">
        <f>VLOOKUP($A92,HN!$A:$AM,39,FALSE)</f>
        <v>0</v>
      </c>
      <c r="S92" s="362">
        <f>_xlfn.IFNA(VLOOKUP(A92,'Post 16'!A:AR,44,FALSE),0)</f>
        <v>0</v>
      </c>
      <c r="U92" s="362">
        <f>VLOOKUP(A92,'LA Deductions'!A:W,23,FALSE)</f>
        <v>-5139.75</v>
      </c>
      <c r="W92" s="289">
        <f>VLOOKUP($A92,'Summary Mar 2026'!$A:$AAG,189,FALSE)-SUMIFS($H92:$U92,$H$7:$U$7,W$7)</f>
        <v>0</v>
      </c>
      <c r="X92" s="289">
        <f>VLOOKUP($A92,'Summary Mar 2026'!$A:$GL,190,FALSE)-SUMIFS($H92:$U92,$H$7:$U$7,X$7)</f>
        <v>0</v>
      </c>
      <c r="Y92" s="289">
        <f>VLOOKUP($A92,'Summary Mar 2026'!$A:$GL,191,FALSE)-SUMIFS($H92:$U92,$H$7:$U$7,Y$7)</f>
        <v>0</v>
      </c>
      <c r="Z92" s="289">
        <f>VLOOKUP($A92,'Summary Mar 2026'!$A:$GL,192,FALSE)-SUMIFS($H92:$U92,$H$7:$U$7,Z$7)</f>
        <v>0</v>
      </c>
      <c r="AA92" s="289">
        <f>VLOOKUP($A92,'Summary Mar 2026'!$A:$GL,193,FALSE)-SUMIFS($H92:$U92,$H$7:$U$7,AA$7)</f>
        <v>0</v>
      </c>
      <c r="AB92" s="289">
        <f>VLOOKUP($A92,'Summary Mar 2026'!$A:$GL,194,FALSE)-SUMIFS($H92:$U92,$H$7:$U$7,AB$7)</f>
        <v>0</v>
      </c>
      <c r="AD92" s="146">
        <f>_xlfn.IFNA(VLOOKUP($A92,'Summary Mar 2026'!$A:$GS,196,FALSE)+VLOOKUP($A92,OtherDSG!$A:$AI,34,FALSE)+VLOOKUP($A92,Grants!$A:$BE,50,FALSE),0)</f>
        <v>1305436.2672000004</v>
      </c>
      <c r="AE92" s="146">
        <f>_xlfn.IFNA(VLOOKUP($A92,'Summary Mar 2026'!$A:$GS,197,FALSE)+VLOOKUP($A92,Grants!$A:$BE,51,FALSE),0)</f>
        <v>0</v>
      </c>
      <c r="AF92" s="146">
        <f>_xlfn.IFNA(VLOOKUP($A92,'Summary Mar 2026'!$A:$GS,198,FALSE)+VLOOKUP($A92,OtherDSG!$A:$AI,35,FALSE)+VLOOKUP($A92,Grants!$A:$BE,52,FALSE),0)</f>
        <v>74463.003333333327</v>
      </c>
      <c r="AG92" s="146">
        <f>_xlfn.IFNA(VLOOKUP($A92,Grants!$A:$BE,53,FALSE),0)</f>
        <v>150700</v>
      </c>
      <c r="AH92" s="146">
        <f>_xlfn.IFNA(VLOOKUP($A92,Grants!$A:$BE,54,FALSE),0)</f>
        <v>40729.93</v>
      </c>
      <c r="AI92" s="146">
        <f>_xlfn.IFNA(VLOOKUP($A92,Grants!$A:$BE,55,FALSE),0)</f>
        <v>0</v>
      </c>
      <c r="AJ92" s="146">
        <f>_xlfn.IFNA(VLOOKUP($A92,Barclays!$A:$T,18,FALSE),0)</f>
        <v>8507.5464299999985</v>
      </c>
      <c r="AK92" s="146">
        <f>_xlfn.IFNA(VLOOKUP($A92,'Summary Mar 2026'!$A:$GS,200,FALSE),0)</f>
        <v>-12359.449999999999</v>
      </c>
      <c r="AL92" s="146">
        <f>_xlfn.IFNA(VLOOKUP($A92,Barclays!$A:$T,19,FALSE),0)</f>
        <v>-111.12999999999997</v>
      </c>
      <c r="AM92" s="146">
        <f>_xlfn.IFNA(VLOOKUP($A92,'Summary Mar 2026'!$A:$GS,201,FALSE),0)</f>
        <v>-5139.75</v>
      </c>
      <c r="AN92" s="146">
        <f>_xlfn.IFNA(VLOOKUP($A92,'Summary Mar 2026'!$A:$GS,199,FALSE),0)</f>
        <v>-5268.16</v>
      </c>
      <c r="AO92" s="146">
        <f>_xlfn.IFNA(VLOOKUP($A92,Grants!$A:$BE,56,FALSE),0)</f>
        <v>6283.75</v>
      </c>
      <c r="AP92" s="65">
        <f t="shared" si="1"/>
        <v>1563242.006963334</v>
      </c>
    </row>
    <row r="93" spans="1:42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0" t="str">
        <f>VLOOKUP(A93,'Summary Mar 2026'!$A$8:$F$206,6,FALSE)</f>
        <v>Chq Bk</v>
      </c>
      <c r="H93" s="288">
        <f>_xlfn.IFNA(VLOOKUP($A93,ISB!$A:$BY,67,FALSE),0)</f>
        <v>2133514.7999999998</v>
      </c>
      <c r="I93" s="861">
        <f>_xlfn.IFNA(VLOOKUP(A93,'LA Deductions'!A:AN,40,FALSE),0)</f>
        <v>0</v>
      </c>
      <c r="J93" s="221">
        <f>_xlfn.IFNA(VLOOKUP($A93,ISB!$A:$BY,72,FALSE),0)</f>
        <v>-11057.92</v>
      </c>
      <c r="K93" s="289">
        <f>-_xlfn.IFNA(VLOOKUP($A93,ISB!$A:$BY,76,FALSE),0)</f>
        <v>-32594.799999999999</v>
      </c>
      <c r="M93" s="288">
        <f>VLOOKUP($A93,EY!$A:$AAK,132,FALSE)</f>
        <v>0</v>
      </c>
      <c r="N93" s="288">
        <f>VLOOKUP($A93,EY!$A:$AAD,133,FALSE)</f>
        <v>0</v>
      </c>
      <c r="P93" s="288">
        <f>VLOOKUP($A93,HN!$A:$AM,38,FALSE)</f>
        <v>0</v>
      </c>
      <c r="Q93" s="288">
        <f>VLOOKUP($A93,HN!$A:$AM,39,FALSE)</f>
        <v>0</v>
      </c>
      <c r="S93" s="362">
        <f>_xlfn.IFNA(VLOOKUP(A93,'Post 16'!A:AR,44,FALSE),0)</f>
        <v>0</v>
      </c>
      <c r="U93" s="362">
        <f>VLOOKUP(A93,'LA Deductions'!A:W,23,FALSE)</f>
        <v>-11448</v>
      </c>
      <c r="W93" s="289">
        <f>VLOOKUP($A93,'Summary Mar 2026'!$A:$AAG,189,FALSE)-SUMIFS($H93:$U93,$H$7:$U$7,W$7)</f>
        <v>0</v>
      </c>
      <c r="X93" s="289">
        <f>VLOOKUP($A93,'Summary Mar 2026'!$A:$GL,190,FALSE)-SUMIFS($H93:$U93,$H$7:$U$7,X$7)</f>
        <v>0</v>
      </c>
      <c r="Y93" s="289">
        <f>VLOOKUP($A93,'Summary Mar 2026'!$A:$GL,191,FALSE)-SUMIFS($H93:$U93,$H$7:$U$7,Y$7)</f>
        <v>0</v>
      </c>
      <c r="Z93" s="289">
        <f>VLOOKUP($A93,'Summary Mar 2026'!$A:$GL,192,FALSE)-SUMIFS($H93:$U93,$H$7:$U$7,Z$7)</f>
        <v>0</v>
      </c>
      <c r="AA93" s="289">
        <f>VLOOKUP($A93,'Summary Mar 2026'!$A:$GL,193,FALSE)-SUMIFS($H93:$U93,$H$7:$U$7,AA$7)</f>
        <v>0</v>
      </c>
      <c r="AB93" s="289">
        <f>VLOOKUP($A93,'Summary Mar 2026'!$A:$GL,194,FALSE)-SUMIFS($H93:$U93,$H$7:$U$7,AB$7)</f>
        <v>0</v>
      </c>
      <c r="AD93" s="146">
        <f>_xlfn.IFNA(VLOOKUP($A93,'Summary Mar 2026'!$A:$GS,196,FALSE)+VLOOKUP($A93,OtherDSG!$A:$AI,34,FALSE)+VLOOKUP($A93,Grants!$A:$BE,50,FALSE),0)</f>
        <v>2190120.7999999993</v>
      </c>
      <c r="AE93" s="146">
        <f>_xlfn.IFNA(VLOOKUP($A93,'Summary Mar 2026'!$A:$GS,197,FALSE)+VLOOKUP($A93,Grants!$A:$BE,51,FALSE),0)</f>
        <v>0</v>
      </c>
      <c r="AF93" s="146">
        <f>_xlfn.IFNA(VLOOKUP($A93,'Summary Mar 2026'!$A:$GS,198,FALSE)+VLOOKUP($A93,OtherDSG!$A:$AI,35,FALSE)+VLOOKUP($A93,Grants!$A:$BE,52,FALSE),0)</f>
        <v>95159.333333333328</v>
      </c>
      <c r="AG93" s="146">
        <f>_xlfn.IFNA(VLOOKUP($A93,Grants!$A:$BE,53,FALSE),0)</f>
        <v>66525</v>
      </c>
      <c r="AH93" s="146">
        <f>_xlfn.IFNA(VLOOKUP($A93,Grants!$A:$BE,54,FALSE),0)</f>
        <v>96225</v>
      </c>
      <c r="AI93" s="146">
        <f>_xlfn.IFNA(VLOOKUP($A93,Grants!$A:$BE,55,FALSE),0)</f>
        <v>0</v>
      </c>
      <c r="AJ93" s="146">
        <f>_xlfn.IFNA(VLOOKUP($A93,Barclays!$A:$T,18,FALSE),0)</f>
        <v>0</v>
      </c>
      <c r="AK93" s="146">
        <f>_xlfn.IFNA(VLOOKUP($A93,'Summary Mar 2026'!$A:$GS,200,FALSE),0)</f>
        <v>-32594.799999999999</v>
      </c>
      <c r="AL93" s="146">
        <f>_xlfn.IFNA(VLOOKUP($A93,Barclays!$A:$T,19,FALSE),0)</f>
        <v>0</v>
      </c>
      <c r="AM93" s="146">
        <f>_xlfn.IFNA(VLOOKUP($A93,'Summary Mar 2026'!$A:$GS,201,FALSE),0)</f>
        <v>-11448</v>
      </c>
      <c r="AN93" s="146">
        <f>_xlfn.IFNA(VLOOKUP($A93,'Summary Mar 2026'!$A:$GS,199,FALSE),0)</f>
        <v>-11057.920000000004</v>
      </c>
      <c r="AO93" s="146">
        <f>_xlfn.IFNA(VLOOKUP($A93,Grants!$A:$BE,56,FALSE),0)</f>
        <v>8466.25</v>
      </c>
      <c r="AP93" s="65">
        <f t="shared" si="1"/>
        <v>2401395.6633333331</v>
      </c>
    </row>
    <row r="94" spans="1:42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0" t="str">
        <f>VLOOKUP(A94,'Summary Mar 2026'!$A$8:$F$206,6,FALSE)</f>
        <v>Chq Bk</v>
      </c>
      <c r="H94" s="288">
        <f>_xlfn.IFNA(VLOOKUP($A94,ISB!$A:$BY,67,FALSE),0)</f>
        <v>1123679.0124784689</v>
      </c>
      <c r="I94" s="861">
        <f>_xlfn.IFNA(VLOOKUP(A94,'LA Deductions'!A:AN,40,FALSE),0)</f>
        <v>0</v>
      </c>
      <c r="J94" s="221">
        <f>_xlfn.IFNA(VLOOKUP($A94,ISB!$A:$BY,72,FALSE),0)</f>
        <v>-5476.7999999999993</v>
      </c>
      <c r="K94" s="289">
        <f>-_xlfn.IFNA(VLOOKUP($A94,ISB!$A:$BY,76,FALSE),0)</f>
        <v>-49289.7</v>
      </c>
      <c r="M94" s="288">
        <f>VLOOKUP($A94,EY!$A:$AAK,132,FALSE)</f>
        <v>0</v>
      </c>
      <c r="N94" s="288">
        <f>VLOOKUP($A94,EY!$A:$AAD,133,FALSE)</f>
        <v>0</v>
      </c>
      <c r="P94" s="288">
        <f>VLOOKUP($A94,HN!$A:$AM,38,FALSE)</f>
        <v>0</v>
      </c>
      <c r="Q94" s="288">
        <f>VLOOKUP($A94,HN!$A:$AM,39,FALSE)</f>
        <v>0</v>
      </c>
      <c r="S94" s="362">
        <f>_xlfn.IFNA(VLOOKUP(A94,'Post 16'!A:AR,44,FALSE),0)</f>
        <v>0</v>
      </c>
      <c r="U94" s="362">
        <f>VLOOKUP(A94,'LA Deductions'!A:W,23,FALSE)</f>
        <v>-5139.75</v>
      </c>
      <c r="W94" s="289">
        <f>VLOOKUP($A94,'Summary Mar 2026'!$A:$AAG,189,FALSE)-SUMIFS($H94:$U94,$H$7:$U$7,W$7)</f>
        <v>0</v>
      </c>
      <c r="X94" s="289">
        <f>VLOOKUP($A94,'Summary Mar 2026'!$A:$GL,190,FALSE)-SUMIFS($H94:$U94,$H$7:$U$7,X$7)</f>
        <v>0</v>
      </c>
      <c r="Y94" s="289">
        <f>VLOOKUP($A94,'Summary Mar 2026'!$A:$GL,191,FALSE)-SUMIFS($H94:$U94,$H$7:$U$7,Y$7)</f>
        <v>0</v>
      </c>
      <c r="Z94" s="289">
        <f>VLOOKUP($A94,'Summary Mar 2026'!$A:$GL,192,FALSE)-SUMIFS($H94:$U94,$H$7:$U$7,Z$7)</f>
        <v>0</v>
      </c>
      <c r="AA94" s="289">
        <f>VLOOKUP($A94,'Summary Mar 2026'!$A:$GL,193,FALSE)-SUMIFS($H94:$U94,$H$7:$U$7,AA$7)</f>
        <v>0</v>
      </c>
      <c r="AB94" s="289">
        <f>VLOOKUP($A94,'Summary Mar 2026'!$A:$GL,194,FALSE)-SUMIFS($H94:$U94,$H$7:$U$7,AB$7)</f>
        <v>0</v>
      </c>
      <c r="AD94" s="146">
        <f>_xlfn.IFNA(VLOOKUP($A94,'Summary Mar 2026'!$A:$GS,196,FALSE)+VLOOKUP($A94,OtherDSG!$A:$AI,34,FALSE)+VLOOKUP($A94,Grants!$A:$BE,50,FALSE),0)</f>
        <v>1155479.0124784687</v>
      </c>
      <c r="AE94" s="146">
        <f>_xlfn.IFNA(VLOOKUP($A94,'Summary Mar 2026'!$A:$GS,197,FALSE)+VLOOKUP($A94,Grants!$A:$BE,51,FALSE),0)</f>
        <v>0</v>
      </c>
      <c r="AF94" s="146">
        <f>_xlfn.IFNA(VLOOKUP($A94,'Summary Mar 2026'!$A:$GS,198,FALSE)+VLOOKUP($A94,OtherDSG!$A:$AI,35,FALSE)+VLOOKUP($A94,Grants!$A:$BE,52,FALSE),0)</f>
        <v>71780.801666666666</v>
      </c>
      <c r="AG94" s="146">
        <f>_xlfn.IFNA(VLOOKUP($A94,Grants!$A:$BE,53,FALSE),0)</f>
        <v>57420</v>
      </c>
      <c r="AH94" s="146">
        <f>_xlfn.IFNA(VLOOKUP($A94,Grants!$A:$BE,54,FALSE),0)</f>
        <v>54302</v>
      </c>
      <c r="AI94" s="146">
        <f>_xlfn.IFNA(VLOOKUP($A94,Grants!$A:$BE,55,FALSE),0)</f>
        <v>0</v>
      </c>
      <c r="AJ94" s="146">
        <f>_xlfn.IFNA(VLOOKUP($A94,Barclays!$A:$T,18,FALSE),0)</f>
        <v>2376.73</v>
      </c>
      <c r="AK94" s="146">
        <f>_xlfn.IFNA(VLOOKUP($A94,'Summary Mar 2026'!$A:$GS,200,FALSE),0)</f>
        <v>-49289.69999999999</v>
      </c>
      <c r="AL94" s="146">
        <f>_xlfn.IFNA(VLOOKUP($A94,Barclays!$A:$T,19,FALSE),0)</f>
        <v>-12.750000000000002</v>
      </c>
      <c r="AM94" s="146">
        <f>_xlfn.IFNA(VLOOKUP($A94,'Summary Mar 2026'!$A:$GS,201,FALSE),0)</f>
        <v>-5139.75</v>
      </c>
      <c r="AN94" s="146">
        <f>_xlfn.IFNA(VLOOKUP($A94,'Summary Mar 2026'!$A:$GS,199,FALSE),0)</f>
        <v>-5476.7999999999984</v>
      </c>
      <c r="AO94" s="146">
        <f>_xlfn.IFNA(VLOOKUP($A94,Grants!$A:$BE,56,FALSE),0)</f>
        <v>0</v>
      </c>
      <c r="AP94" s="65">
        <f t="shared" si="1"/>
        <v>1281439.5441451354</v>
      </c>
    </row>
    <row r="95" spans="1:42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0" t="str">
        <f>VLOOKUP(A95,'Summary Mar 2026'!$A$8:$F$206,6,FALSE)</f>
        <v>Chq Bk</v>
      </c>
      <c r="H95" s="288">
        <f>_xlfn.IFNA(VLOOKUP($A95,ISB!$A:$BY,67,FALSE),0)</f>
        <v>10413743.885898475</v>
      </c>
      <c r="I95" s="861">
        <f>_xlfn.IFNA(VLOOKUP(A95,'LA Deductions'!A:AN,40,FALSE),0)</f>
        <v>-8868.9002166666651</v>
      </c>
      <c r="J95" s="221">
        <f>_xlfn.IFNA(VLOOKUP($A95,ISB!$A:$BY,72,FALSE),0)</f>
        <v>-25464.449999999997</v>
      </c>
      <c r="K95" s="289">
        <f>-_xlfn.IFNA(VLOOKUP($A95,ISB!$A:$BY,76,FALSE),0)</f>
        <v>-22895.86</v>
      </c>
      <c r="M95" s="288">
        <f>VLOOKUP($A95,EY!$A:$AAK,132,FALSE)</f>
        <v>0</v>
      </c>
      <c r="N95" s="288">
        <f>VLOOKUP($A95,EY!$A:$AAD,133,FALSE)</f>
        <v>0</v>
      </c>
      <c r="P95" s="288">
        <f>VLOOKUP($A95,HN!$A:$AM,38,FALSE)</f>
        <v>0</v>
      </c>
      <c r="Q95" s="288">
        <f>VLOOKUP($A95,HN!$A:$AM,39,FALSE)</f>
        <v>0</v>
      </c>
      <c r="S95" s="362">
        <f>_xlfn.IFNA(VLOOKUP(A95,'Post 16'!A:AR,44,FALSE),0)</f>
        <v>1384995</v>
      </c>
      <c r="U95" s="362">
        <f>VLOOKUP(A95,'LA Deductions'!A:W,23,FALSE)</f>
        <v>-39285</v>
      </c>
      <c r="W95" s="289">
        <f>VLOOKUP($A95,'Summary Mar 2026'!$A:$AAG,189,FALSE)-SUMIFS($H95:$U95,$H$7:$U$7,W$7)</f>
        <v>0</v>
      </c>
      <c r="X95" s="289">
        <f>VLOOKUP($A95,'Summary Mar 2026'!$A:$GL,190,FALSE)-SUMIFS($H95:$U95,$H$7:$U$7,X$7)</f>
        <v>0</v>
      </c>
      <c r="Y95" s="289">
        <f>VLOOKUP($A95,'Summary Mar 2026'!$A:$GL,191,FALSE)-SUMIFS($H95:$U95,$H$7:$U$7,Y$7)</f>
        <v>0</v>
      </c>
      <c r="Z95" s="289">
        <f>VLOOKUP($A95,'Summary Mar 2026'!$A:$GL,192,FALSE)-SUMIFS($H95:$U95,$H$7:$U$7,Z$7)</f>
        <v>0</v>
      </c>
      <c r="AA95" s="289">
        <f>VLOOKUP($A95,'Summary Mar 2026'!$A:$GL,193,FALSE)-SUMIFS($H95:$U95,$H$7:$U$7,AA$7)</f>
        <v>0</v>
      </c>
      <c r="AB95" s="289">
        <f>VLOOKUP($A95,'Summary Mar 2026'!$A:$GL,194,FALSE)-SUMIFS($H95:$U95,$H$7:$U$7,AB$7)</f>
        <v>0</v>
      </c>
      <c r="AD95" s="146">
        <f>_xlfn.IFNA(VLOOKUP($A95,'Summary Mar 2026'!$A:$GS,196,FALSE)+VLOOKUP($A95,OtherDSG!$A:$AI,34,FALSE)+VLOOKUP($A95,Grants!$A:$BE,50,FALSE),0)</f>
        <v>10655812.985681806</v>
      </c>
      <c r="AE95" s="146">
        <f>_xlfn.IFNA(VLOOKUP($A95,'Summary Mar 2026'!$A:$GS,197,FALSE)+VLOOKUP($A95,Grants!$A:$BE,51,FALSE),0)</f>
        <v>1482588.29</v>
      </c>
      <c r="AF95" s="146">
        <f>_xlfn.IFNA(VLOOKUP($A95,'Summary Mar 2026'!$A:$GS,198,FALSE)+VLOOKUP($A95,OtherDSG!$A:$AI,35,FALSE)+VLOOKUP($A95,Grants!$A:$BE,52,FALSE),0)</f>
        <v>187623.58333333334</v>
      </c>
      <c r="AG95" s="146">
        <f>_xlfn.IFNA(VLOOKUP($A95,Grants!$A:$BE,53,FALSE),0)</f>
        <v>825600</v>
      </c>
      <c r="AH95" s="146">
        <f>_xlfn.IFNA(VLOOKUP($A95,Grants!$A:$BE,54,FALSE),0)</f>
        <v>12226.289999999999</v>
      </c>
      <c r="AI95" s="146">
        <f>_xlfn.IFNA(VLOOKUP($A95,Grants!$A:$BE,55,FALSE),0)</f>
        <v>0</v>
      </c>
      <c r="AJ95" s="146">
        <f>_xlfn.IFNA(VLOOKUP($A95,Barclays!$A:$T,18,FALSE),0)</f>
        <v>0</v>
      </c>
      <c r="AK95" s="146">
        <f>_xlfn.IFNA(VLOOKUP($A95,'Summary Mar 2026'!$A:$GS,200,FALSE),0)</f>
        <v>-22895.860000000004</v>
      </c>
      <c r="AL95" s="146">
        <f>_xlfn.IFNA(VLOOKUP($A95,Barclays!$A:$T,19,FALSE),0)</f>
        <v>0</v>
      </c>
      <c r="AM95" s="146">
        <f>_xlfn.IFNA(VLOOKUP($A95,'Summary Mar 2026'!$A:$GS,201,FALSE),0)</f>
        <v>-39285</v>
      </c>
      <c r="AN95" s="146">
        <f>_xlfn.IFNA(VLOOKUP($A95,'Summary Mar 2026'!$A:$GS,199,FALSE),0)</f>
        <v>-25464.449999999993</v>
      </c>
      <c r="AO95" s="146">
        <f>_xlfn.IFNA(VLOOKUP($A95,Grants!$A:$BE,56,FALSE),0)</f>
        <v>29633.13</v>
      </c>
      <c r="AP95" s="65">
        <f t="shared" si="1"/>
        <v>13105838.96901514</v>
      </c>
    </row>
    <row r="96" spans="1:42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0" t="str">
        <f>VLOOKUP(A96,'Summary Mar 2026'!$A$8:$F$206,6,FALSE)</f>
        <v>Chq Bk</v>
      </c>
      <c r="H96" s="288">
        <f>_xlfn.IFNA(VLOOKUP($A96,ISB!$A:$BY,67,FALSE),0)</f>
        <v>2518091.9250295158</v>
      </c>
      <c r="I96" s="861">
        <f>_xlfn.IFNA(VLOOKUP(A96,'LA Deductions'!A:AN,40,FALSE),0)</f>
        <v>-3832.5414000000001</v>
      </c>
      <c r="J96" s="221">
        <f>_xlfn.IFNA(VLOOKUP($A96,ISB!$A:$BY,72,FALSE),0)</f>
        <v>-10849.279999999999</v>
      </c>
      <c r="K96" s="289">
        <f>-_xlfn.IFNA(VLOOKUP($A96,ISB!$A:$BY,76,FALSE),0)</f>
        <v>-31799.81</v>
      </c>
      <c r="M96" s="288">
        <f>VLOOKUP($A96,EY!$A:$AAK,132,FALSE)</f>
        <v>100818.34155124656</v>
      </c>
      <c r="N96" s="288">
        <f>VLOOKUP($A96,EY!$A:$AAD,133,FALSE)</f>
        <v>0</v>
      </c>
      <c r="P96" s="288">
        <f>VLOOKUP($A96,HN!$A:$AM,38,FALSE)</f>
        <v>5833.3333333333339</v>
      </c>
      <c r="Q96" s="288">
        <f>VLOOKUP($A96,HN!$A:$AM,39,FALSE)</f>
        <v>8188.9000000000015</v>
      </c>
      <c r="S96" s="362">
        <f>_xlfn.IFNA(VLOOKUP(A96,'Post 16'!A:AR,44,FALSE),0)</f>
        <v>0</v>
      </c>
      <c r="U96" s="362">
        <f>VLOOKUP(A96,'LA Deductions'!A:W,23,FALSE)</f>
        <v>-9471</v>
      </c>
      <c r="W96" s="289">
        <f>VLOOKUP($A96,'Summary Mar 2026'!$A:$AAG,189,FALSE)-SUMIFS($H96:$U96,$H$7:$U$7,W$7)</f>
        <v>0</v>
      </c>
      <c r="X96" s="289">
        <f>VLOOKUP($A96,'Summary Mar 2026'!$A:$GL,190,FALSE)-SUMIFS($H96:$U96,$H$7:$U$7,X$7)</f>
        <v>0</v>
      </c>
      <c r="Y96" s="289">
        <f>VLOOKUP($A96,'Summary Mar 2026'!$A:$GL,191,FALSE)-SUMIFS($H96:$U96,$H$7:$U$7,Y$7)</f>
        <v>0</v>
      </c>
      <c r="Z96" s="289">
        <f>VLOOKUP($A96,'Summary Mar 2026'!$A:$GL,192,FALSE)-SUMIFS($H96:$U96,$H$7:$U$7,Z$7)</f>
        <v>0</v>
      </c>
      <c r="AA96" s="289">
        <f>VLOOKUP($A96,'Summary Mar 2026'!$A:$GL,193,FALSE)-SUMIFS($H96:$U96,$H$7:$U$7,AA$7)</f>
        <v>0</v>
      </c>
      <c r="AB96" s="289">
        <f>VLOOKUP($A96,'Summary Mar 2026'!$A:$GL,194,FALSE)-SUMIFS($H96:$U96,$H$7:$U$7,AB$7)</f>
        <v>0</v>
      </c>
      <c r="AD96" s="146">
        <f>_xlfn.IFNA(VLOOKUP($A96,'Summary Mar 2026'!$A:$GS,196,FALSE)+VLOOKUP($A96,OtherDSG!$A:$AI,34,FALSE)+VLOOKUP($A96,Grants!$A:$BE,50,FALSE),0)</f>
        <v>2699046.058514094</v>
      </c>
      <c r="AE96" s="146">
        <f>_xlfn.IFNA(VLOOKUP($A96,'Summary Mar 2026'!$A:$GS,197,FALSE)+VLOOKUP($A96,Grants!$A:$BE,51,FALSE),0)</f>
        <v>0</v>
      </c>
      <c r="AF96" s="146">
        <f>_xlfn.IFNA(VLOOKUP($A96,'Summary Mar 2026'!$A:$GS,198,FALSE)+VLOOKUP($A96,OtherDSG!$A:$AI,35,FALSE)+VLOOKUP($A96,Grants!$A:$BE,52,FALSE),0)</f>
        <v>280484.20240000007</v>
      </c>
      <c r="AG96" s="146">
        <f>_xlfn.IFNA(VLOOKUP($A96,Grants!$A:$BE,53,FALSE),0)</f>
        <v>299970</v>
      </c>
      <c r="AH96" s="146">
        <f>_xlfn.IFNA(VLOOKUP($A96,Grants!$A:$BE,54,FALSE),0)</f>
        <v>73306.86</v>
      </c>
      <c r="AI96" s="146">
        <f>_xlfn.IFNA(VLOOKUP($A96,Grants!$A:$BE,55,FALSE),0)</f>
        <v>0</v>
      </c>
      <c r="AJ96" s="146">
        <f>_xlfn.IFNA(VLOOKUP($A96,Barclays!$A:$T,18,FALSE),0)</f>
        <v>39123.15490000006</v>
      </c>
      <c r="AK96" s="146">
        <f>_xlfn.IFNA(VLOOKUP($A96,'Summary Mar 2026'!$A:$GS,200,FALSE),0)</f>
        <v>-31799.809999999994</v>
      </c>
      <c r="AL96" s="146">
        <f>_xlfn.IFNA(VLOOKUP($A96,Barclays!$A:$T,19,FALSE),0)</f>
        <v>-26.82</v>
      </c>
      <c r="AM96" s="146">
        <f>_xlfn.IFNA(VLOOKUP($A96,'Summary Mar 2026'!$A:$GS,201,FALSE),0)</f>
        <v>-9471</v>
      </c>
      <c r="AN96" s="146">
        <f>_xlfn.IFNA(VLOOKUP($A96,'Summary Mar 2026'!$A:$GS,199,FALSE),0)</f>
        <v>-10849.279999999999</v>
      </c>
      <c r="AO96" s="146">
        <f>_xlfn.IFNA(VLOOKUP($A96,Grants!$A:$BE,56,FALSE),0)</f>
        <v>8938.75</v>
      </c>
      <c r="AP96" s="65">
        <f t="shared" si="1"/>
        <v>3348722.115814094</v>
      </c>
    </row>
    <row r="97" spans="1:42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0" t="str">
        <f>VLOOKUP(A97,'Summary Mar 2026'!$A$8:$F$206,6,FALSE)</f>
        <v>Chq Bk</v>
      </c>
      <c r="H97" s="288">
        <f>_xlfn.IFNA(VLOOKUP($A97,ISB!$A:$BY,67,FALSE),0)</f>
        <v>2653567.6910690647</v>
      </c>
      <c r="I97" s="861">
        <f>_xlfn.IFNA(VLOOKUP(A97,'LA Deductions'!A:AN,40,FALSE),0)</f>
        <v>0</v>
      </c>
      <c r="J97" s="221">
        <f>_xlfn.IFNA(VLOOKUP($A97,ISB!$A:$BY,72,FALSE),0)</f>
        <v>-10797.119999999999</v>
      </c>
      <c r="K97" s="289">
        <f>-_xlfn.IFNA(VLOOKUP($A97,ISB!$A:$BY,76,FALSE),0)</f>
        <v>-23115.16</v>
      </c>
      <c r="M97" s="288">
        <f>VLOOKUP($A97,EY!$A:$AAK,132,FALSE)</f>
        <v>88941.153102493059</v>
      </c>
      <c r="N97" s="288">
        <f>VLOOKUP($A97,EY!$A:$AAD,133,FALSE)</f>
        <v>0</v>
      </c>
      <c r="P97" s="288">
        <f>VLOOKUP($A97,HN!$A:$AM,38,FALSE)</f>
        <v>0</v>
      </c>
      <c r="Q97" s="288">
        <f>VLOOKUP($A97,HN!$A:$AM,39,FALSE)</f>
        <v>0</v>
      </c>
      <c r="S97" s="362">
        <f>_xlfn.IFNA(VLOOKUP(A97,'Post 16'!A:AR,44,FALSE),0)</f>
        <v>0</v>
      </c>
      <c r="U97" s="362">
        <f>VLOOKUP(A97,'LA Deductions'!A:W,23,FALSE)</f>
        <v>-9471</v>
      </c>
      <c r="W97" s="289">
        <f>VLOOKUP($A97,'Summary Mar 2026'!$A:$AAG,189,FALSE)-SUMIFS($H97:$U97,$H$7:$U$7,W$7)</f>
        <v>0</v>
      </c>
      <c r="X97" s="289">
        <f>VLOOKUP($A97,'Summary Mar 2026'!$A:$GL,190,FALSE)-SUMIFS($H97:$U97,$H$7:$U$7,X$7)</f>
        <v>0</v>
      </c>
      <c r="Y97" s="289">
        <f>VLOOKUP($A97,'Summary Mar 2026'!$A:$GL,191,FALSE)-SUMIFS($H97:$U97,$H$7:$U$7,Y$7)</f>
        <v>0</v>
      </c>
      <c r="Z97" s="289">
        <f>VLOOKUP($A97,'Summary Mar 2026'!$A:$GL,192,FALSE)-SUMIFS($H97:$U97,$H$7:$U$7,Z$7)</f>
        <v>0</v>
      </c>
      <c r="AA97" s="289">
        <f>VLOOKUP($A97,'Summary Mar 2026'!$A:$GL,193,FALSE)-SUMIFS($H97:$U97,$H$7:$U$7,AA$7)</f>
        <v>0</v>
      </c>
      <c r="AB97" s="289">
        <f>VLOOKUP($A97,'Summary Mar 2026'!$A:$GL,194,FALSE)-SUMIFS($H97:$U97,$H$7:$U$7,AB$7)</f>
        <v>0</v>
      </c>
      <c r="AD97" s="146">
        <f>_xlfn.IFNA(VLOOKUP($A97,'Summary Mar 2026'!$A:$GS,196,FALSE)+VLOOKUP($A97,OtherDSG!$A:$AI,34,FALSE)+VLOOKUP($A97,Grants!$A:$BE,50,FALSE),0)</f>
        <v>2817514.8441715576</v>
      </c>
      <c r="AE97" s="146">
        <f>_xlfn.IFNA(VLOOKUP($A97,'Summary Mar 2026'!$A:$GS,197,FALSE)+VLOOKUP($A97,Grants!$A:$BE,51,FALSE),0)</f>
        <v>0</v>
      </c>
      <c r="AF97" s="146">
        <f>_xlfn.IFNA(VLOOKUP($A97,'Summary Mar 2026'!$A:$GS,198,FALSE)+VLOOKUP($A97,OtherDSG!$A:$AI,35,FALSE)+VLOOKUP($A97,Grants!$A:$BE,52,FALSE),0)</f>
        <v>277363.15666666668</v>
      </c>
      <c r="AG97" s="146">
        <f>_xlfn.IFNA(VLOOKUP($A97,Grants!$A:$BE,53,FALSE),0)</f>
        <v>287850</v>
      </c>
      <c r="AH97" s="146">
        <f>_xlfn.IFNA(VLOOKUP($A97,Grants!$A:$BE,54,FALSE),0)</f>
        <v>79962.64</v>
      </c>
      <c r="AI97" s="146">
        <f>_xlfn.IFNA(VLOOKUP($A97,Grants!$A:$BE,55,FALSE),0)</f>
        <v>0</v>
      </c>
      <c r="AJ97" s="146">
        <f>_xlfn.IFNA(VLOOKUP($A97,Barclays!$A:$T,18,FALSE),0)</f>
        <v>43717.561409999973</v>
      </c>
      <c r="AK97" s="146">
        <f>_xlfn.IFNA(VLOOKUP($A97,'Summary Mar 2026'!$A:$GS,200,FALSE),0)</f>
        <v>-23115.159999999993</v>
      </c>
      <c r="AL97" s="146">
        <f>_xlfn.IFNA(VLOOKUP($A97,Barclays!$A:$T,19,FALSE),0)</f>
        <v>-325.08999999999997</v>
      </c>
      <c r="AM97" s="146">
        <f>_xlfn.IFNA(VLOOKUP($A97,'Summary Mar 2026'!$A:$GS,201,FALSE),0)</f>
        <v>-9471</v>
      </c>
      <c r="AN97" s="146">
        <f>_xlfn.IFNA(VLOOKUP($A97,'Summary Mar 2026'!$A:$GS,199,FALSE),0)</f>
        <v>-10797.12</v>
      </c>
      <c r="AO97" s="146">
        <f>_xlfn.IFNA(VLOOKUP($A97,Grants!$A:$BE,56,FALSE),0)</f>
        <v>8866.75</v>
      </c>
      <c r="AP97" s="65">
        <f t="shared" si="1"/>
        <v>3471566.5822482244</v>
      </c>
    </row>
    <row r="98" spans="1:42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0" t="str">
        <f>VLOOKUP(A98,'Summary Mar 2026'!$A$8:$F$206,6,FALSE)</f>
        <v>Chq Bk</v>
      </c>
      <c r="H98" s="288">
        <f>_xlfn.IFNA(VLOOKUP($A98,ISB!$A:$BY,67,FALSE),0)</f>
        <v>1868807.9348310106</v>
      </c>
      <c r="I98" s="861">
        <f>_xlfn.IFNA(VLOOKUP(A98,'LA Deductions'!A:AN,40,FALSE),0)</f>
        <v>0</v>
      </c>
      <c r="J98" s="221">
        <f>_xlfn.IFNA(VLOOKUP($A98,ISB!$A:$BY,72,FALSE),0)</f>
        <v>-8267.3599999999988</v>
      </c>
      <c r="K98" s="289">
        <f>-_xlfn.IFNA(VLOOKUP($A98,ISB!$A:$BY,76,FALSE),0)</f>
        <v>-25052.19</v>
      </c>
      <c r="M98" s="288">
        <f>VLOOKUP($A98,EY!$A:$AAK,132,FALSE)</f>
        <v>0</v>
      </c>
      <c r="N98" s="288">
        <f>VLOOKUP($A98,EY!$A:$AAD,133,FALSE)</f>
        <v>0</v>
      </c>
      <c r="P98" s="288">
        <f>VLOOKUP($A98,HN!$A:$AM,38,FALSE)</f>
        <v>0</v>
      </c>
      <c r="Q98" s="288">
        <f>VLOOKUP($A98,HN!$A:$AM,39,FALSE)</f>
        <v>0</v>
      </c>
      <c r="S98" s="362">
        <f>_xlfn.IFNA(VLOOKUP(A98,'Post 16'!A:AR,44,FALSE),0)</f>
        <v>0</v>
      </c>
      <c r="U98" s="362">
        <f>VLOOKUP(A98,'LA Deductions'!A:W,23,FALSE)</f>
        <v>-8559</v>
      </c>
      <c r="W98" s="289">
        <f>VLOOKUP($A98,'Summary Mar 2026'!$A:$AAG,189,FALSE)-SUMIFS($H98:$U98,$H$7:$U$7,W$7)</f>
        <v>0</v>
      </c>
      <c r="X98" s="289">
        <f>VLOOKUP($A98,'Summary Mar 2026'!$A:$GL,190,FALSE)-SUMIFS($H98:$U98,$H$7:$U$7,X$7)</f>
        <v>0</v>
      </c>
      <c r="Y98" s="289">
        <f>VLOOKUP($A98,'Summary Mar 2026'!$A:$GL,191,FALSE)-SUMIFS($H98:$U98,$H$7:$U$7,Y$7)</f>
        <v>0</v>
      </c>
      <c r="Z98" s="289">
        <f>VLOOKUP($A98,'Summary Mar 2026'!$A:$GL,192,FALSE)-SUMIFS($H98:$U98,$H$7:$U$7,Z$7)</f>
        <v>0</v>
      </c>
      <c r="AA98" s="289">
        <f>VLOOKUP($A98,'Summary Mar 2026'!$A:$GL,193,FALSE)-SUMIFS($H98:$U98,$H$7:$U$7,AA$7)</f>
        <v>0</v>
      </c>
      <c r="AB98" s="289">
        <f>VLOOKUP($A98,'Summary Mar 2026'!$A:$GL,194,FALSE)-SUMIFS($H98:$U98,$H$7:$U$7,AB$7)</f>
        <v>0</v>
      </c>
      <c r="AD98" s="146">
        <f>_xlfn.IFNA(VLOOKUP($A98,'Summary Mar 2026'!$A:$GS,196,FALSE)+VLOOKUP($A98,OtherDSG!$A:$AI,34,FALSE)+VLOOKUP($A98,Grants!$A:$BE,50,FALSE),0)</f>
        <v>2048660.4348310104</v>
      </c>
      <c r="AE98" s="146">
        <f>_xlfn.IFNA(VLOOKUP($A98,'Summary Mar 2026'!$A:$GS,197,FALSE)+VLOOKUP($A98,Grants!$A:$BE,51,FALSE),0)</f>
        <v>0</v>
      </c>
      <c r="AF98" s="146">
        <f>_xlfn.IFNA(VLOOKUP($A98,'Summary Mar 2026'!$A:$GS,198,FALSE)+VLOOKUP($A98,OtherDSG!$A:$AI,35,FALSE)+VLOOKUP($A98,Grants!$A:$BE,52,FALSE),0)</f>
        <v>215694.42333333334</v>
      </c>
      <c r="AG98" s="146">
        <f>_xlfn.IFNA(VLOOKUP($A98,Grants!$A:$BE,53,FALSE),0)</f>
        <v>201345</v>
      </c>
      <c r="AH98" s="146">
        <f>_xlfn.IFNA(VLOOKUP($A98,Grants!$A:$BE,54,FALSE),0)</f>
        <v>44011</v>
      </c>
      <c r="AI98" s="146">
        <f>_xlfn.IFNA(VLOOKUP($A98,Grants!$A:$BE,55,FALSE),0)</f>
        <v>0</v>
      </c>
      <c r="AJ98" s="146">
        <f>_xlfn.IFNA(VLOOKUP($A98,Barclays!$A:$T,18,FALSE),0)</f>
        <v>0</v>
      </c>
      <c r="AK98" s="146">
        <f>_xlfn.IFNA(VLOOKUP($A98,'Summary Mar 2026'!$A:$GS,200,FALSE),0)</f>
        <v>-25052.189999999991</v>
      </c>
      <c r="AL98" s="146">
        <f>_xlfn.IFNA(VLOOKUP($A98,Barclays!$A:$T,19,FALSE),0)</f>
        <v>0</v>
      </c>
      <c r="AM98" s="146">
        <f>_xlfn.IFNA(VLOOKUP($A98,'Summary Mar 2026'!$A:$GS,201,FALSE),0)</f>
        <v>-8559</v>
      </c>
      <c r="AN98" s="146">
        <f>_xlfn.IFNA(VLOOKUP($A98,'Summary Mar 2026'!$A:$GS,199,FALSE),0)</f>
        <v>-8267.3599999999988</v>
      </c>
      <c r="AO98" s="146">
        <f>_xlfn.IFNA(VLOOKUP($A98,Grants!$A:$BE,56,FALSE),0)</f>
        <v>7768.75</v>
      </c>
      <c r="AP98" s="65">
        <f t="shared" si="1"/>
        <v>2475601.0581643442</v>
      </c>
    </row>
    <row r="99" spans="1:42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0" t="str">
        <f>VLOOKUP(A99,'Summary Mar 2026'!$A$8:$F$206,6,FALSE)</f>
        <v>Chq Bk</v>
      </c>
      <c r="H99" s="288">
        <f>_xlfn.IFNA(VLOOKUP($A99,ISB!$A:$BY,67,FALSE),0)</f>
        <v>0</v>
      </c>
      <c r="I99" s="861">
        <f>_xlfn.IFNA(VLOOKUP(A99,'LA Deductions'!A:AN,40,FALSE),0)</f>
        <v>0</v>
      </c>
      <c r="J99" s="221">
        <f>_xlfn.IFNA(VLOOKUP($A99,ISB!$A:$BY,72,FALSE),0)</f>
        <v>0</v>
      </c>
      <c r="K99" s="289">
        <f>-_xlfn.IFNA(VLOOKUP($A99,ISB!$A:$BY,76,FALSE),0)</f>
        <v>0</v>
      </c>
      <c r="M99" s="288">
        <f>VLOOKUP($A99,EY!$A:$AAK,132,FALSE)</f>
        <v>803934.39867693977</v>
      </c>
      <c r="N99" s="288">
        <f>VLOOKUP($A99,EY!$A:$AAD,133,FALSE)</f>
        <v>10652.146260387812</v>
      </c>
      <c r="P99" s="288">
        <f>VLOOKUP($A99,HN!$A:$AM,38,FALSE)</f>
        <v>0</v>
      </c>
      <c r="Q99" s="288">
        <f>VLOOKUP($A99,HN!$A:$AM,39,FALSE)</f>
        <v>0</v>
      </c>
      <c r="S99" s="362">
        <f>_xlfn.IFNA(VLOOKUP(A99,'Post 16'!A:AR,44,FALSE),0)</f>
        <v>0</v>
      </c>
      <c r="U99" s="362">
        <f>VLOOKUP(A99,'LA Deductions'!A:W,23,FALSE)</f>
        <v>-3291.75</v>
      </c>
      <c r="W99" s="289">
        <f>VLOOKUP($A99,'Summary Mar 2026'!$A:$AAG,189,FALSE)-SUMIFS($H99:$U99,$H$7:$U$7,W$7)</f>
        <v>0</v>
      </c>
      <c r="X99" s="289">
        <f>VLOOKUP($A99,'Summary Mar 2026'!$A:$GL,190,FALSE)-SUMIFS($H99:$U99,$H$7:$U$7,X$7)</f>
        <v>0</v>
      </c>
      <c r="Y99" s="289">
        <f>VLOOKUP($A99,'Summary Mar 2026'!$A:$GL,191,FALSE)-SUMIFS($H99:$U99,$H$7:$U$7,Y$7)</f>
        <v>0</v>
      </c>
      <c r="Z99" s="289">
        <f>VLOOKUP($A99,'Summary Mar 2026'!$A:$GL,192,FALSE)-SUMIFS($H99:$U99,$H$7:$U$7,Z$7)</f>
        <v>0</v>
      </c>
      <c r="AA99" s="289">
        <f>VLOOKUP($A99,'Summary Mar 2026'!$A:$GL,193,FALSE)-SUMIFS($H99:$U99,$H$7:$U$7,AA$7)</f>
        <v>0</v>
      </c>
      <c r="AB99" s="289">
        <f>VLOOKUP($A99,'Summary Mar 2026'!$A:$GL,194,FALSE)-SUMIFS($H99:$U99,$H$7:$U$7,AB$7)</f>
        <v>0</v>
      </c>
      <c r="AD99" s="146">
        <f>_xlfn.IFNA(VLOOKUP($A99,'Summary Mar 2026'!$A:$GS,196,FALSE)+VLOOKUP($A99,OtherDSG!$A:$AI,34,FALSE)+VLOOKUP($A99,Grants!$A:$BE,50,FALSE),0)</f>
        <v>824063.39867693977</v>
      </c>
      <c r="AE99" s="146">
        <f>_xlfn.IFNA(VLOOKUP($A99,'Summary Mar 2026'!$A:$GS,197,FALSE)+VLOOKUP($A99,Grants!$A:$BE,51,FALSE),0)</f>
        <v>0</v>
      </c>
      <c r="AF99" s="146">
        <f>_xlfn.IFNA(VLOOKUP($A99,'Summary Mar 2026'!$A:$GS,198,FALSE)+VLOOKUP($A99,OtherDSG!$A:$AI,35,FALSE)+VLOOKUP($A99,Grants!$A:$BE,52,FALSE),0)</f>
        <v>38669.162593721143</v>
      </c>
      <c r="AG99" s="146">
        <f>_xlfn.IFNA(VLOOKUP($A99,Grants!$A:$BE,53,FALSE),0)</f>
        <v>0</v>
      </c>
      <c r="AH99" s="146">
        <f>_xlfn.IFNA(VLOOKUP($A99,Grants!$A:$BE,54,FALSE),0)</f>
        <v>0</v>
      </c>
      <c r="AI99" s="146">
        <f>_xlfn.IFNA(VLOOKUP($A99,Grants!$A:$BE,55,FALSE),0)</f>
        <v>0</v>
      </c>
      <c r="AJ99" s="146">
        <f>_xlfn.IFNA(VLOOKUP($A99,Barclays!$A:$T,18,FALSE),0)</f>
        <v>0</v>
      </c>
      <c r="AK99" s="146">
        <f>_xlfn.IFNA(VLOOKUP($A99,'Summary Mar 2026'!$A:$GS,200,FALSE),0)</f>
        <v>0</v>
      </c>
      <c r="AL99" s="146">
        <f>_xlfn.IFNA(VLOOKUP($A99,Barclays!$A:$T,19,FALSE),0)</f>
        <v>0</v>
      </c>
      <c r="AM99" s="146">
        <f>_xlfn.IFNA(VLOOKUP($A99,'Summary Mar 2026'!$A:$GS,201,FALSE),0)</f>
        <v>-3291.75</v>
      </c>
      <c r="AN99" s="146">
        <f>_xlfn.IFNA(VLOOKUP($A99,'Summary Mar 2026'!$A:$GS,199,FALSE),0)</f>
        <v>0</v>
      </c>
      <c r="AO99" s="146">
        <f>_xlfn.IFNA(VLOOKUP($A99,Grants!$A:$BE,56,FALSE),0)</f>
        <v>5005.75</v>
      </c>
      <c r="AP99" s="65">
        <f t="shared" si="1"/>
        <v>864446.56127066095</v>
      </c>
    </row>
    <row r="100" spans="1:42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0" t="str">
        <f>VLOOKUP(A100,'Summary Mar 2026'!$A$8:$F$206,6,FALSE)</f>
        <v>Academy</v>
      </c>
      <c r="H100" s="288">
        <f>_xlfn.IFNA(VLOOKUP($A100,ISB!$A:$BY,67,FALSE),0)</f>
        <v>0</v>
      </c>
      <c r="I100" s="861">
        <f>_xlfn.IFNA(VLOOKUP(A100,'LA Deductions'!A:AN,40,FALSE),0)</f>
        <v>0</v>
      </c>
      <c r="J100" s="221">
        <f>_xlfn.IFNA(VLOOKUP($A100,ISB!$A:$BY,72,FALSE),0)</f>
        <v>0</v>
      </c>
      <c r="K100" s="289">
        <f>-_xlfn.IFNA(VLOOKUP($A100,ISB!$A:$BY,76,FALSE),0)</f>
        <v>0</v>
      </c>
      <c r="M100" s="288">
        <f>VLOOKUP($A100,EY!$A:$AAK,132,FALSE)</f>
        <v>0</v>
      </c>
      <c r="N100" s="288">
        <f>VLOOKUP($A100,EY!$A:$AAD,133,FALSE)</f>
        <v>0</v>
      </c>
      <c r="P100" s="288">
        <f>VLOOKUP($A100,HN!$A:$AM,38,FALSE)</f>
        <v>994950</v>
      </c>
      <c r="Q100" s="288">
        <f>VLOOKUP($A100,HN!$A:$AM,39,FALSE)</f>
        <v>1315770.8994443226</v>
      </c>
      <c r="S100" s="362">
        <f>_xlfn.IFNA(VLOOKUP(A100,'Post 16'!A:AR,44,FALSE),0)</f>
        <v>0</v>
      </c>
      <c r="U100" s="362">
        <f>VLOOKUP(A100,'LA Deductions'!A:W,23,FALSE)</f>
        <v>-2569.875</v>
      </c>
      <c r="W100" s="289">
        <f>VLOOKUP($A100,'Summary Mar 2026'!$A:$AAG,189,FALSE)-SUMIFS($H100:$U100,$H$7:$U$7,W$7)</f>
        <v>0</v>
      </c>
      <c r="X100" s="289">
        <f>VLOOKUP($A100,'Summary Mar 2026'!$A:$GL,190,FALSE)-SUMIFS($H100:$U100,$H$7:$U$7,X$7)</f>
        <v>0</v>
      </c>
      <c r="Y100" s="289">
        <f>VLOOKUP($A100,'Summary Mar 2026'!$A:$GL,191,FALSE)-SUMIFS($H100:$U100,$H$7:$U$7,Y$7)</f>
        <v>0</v>
      </c>
      <c r="Z100" s="289">
        <f>VLOOKUP($A100,'Summary Mar 2026'!$A:$GL,192,FALSE)-SUMIFS($H100:$U100,$H$7:$U$7,Z$7)</f>
        <v>0</v>
      </c>
      <c r="AA100" s="289">
        <f>VLOOKUP($A100,'Summary Mar 2026'!$A:$GL,193,FALSE)-SUMIFS($H100:$U100,$H$7:$U$7,AA$7)</f>
        <v>0</v>
      </c>
      <c r="AB100" s="289">
        <f>VLOOKUP($A100,'Summary Mar 2026'!$A:$GL,194,FALSE)-SUMIFS($H100:$U100,$H$7:$U$7,AB$7)</f>
        <v>0</v>
      </c>
      <c r="AD100" s="146">
        <f>_xlfn.IFNA(VLOOKUP($A100,'Summary Mar 2026'!$A:$GS,196,FALSE)+VLOOKUP($A100,OtherDSG!$A:$AI,34,FALSE)+VLOOKUP($A100,Grants!$A:$BE,50,FALSE),0)</f>
        <v>994950</v>
      </c>
      <c r="AE100" s="146">
        <f>_xlfn.IFNA(VLOOKUP($A100,'Summary Mar 2026'!$A:$GS,197,FALSE)+VLOOKUP($A100,Grants!$A:$BE,51,FALSE),0)</f>
        <v>32132.671140708415</v>
      </c>
      <c r="AF100" s="146">
        <f>_xlfn.IFNA(VLOOKUP($A100,'Summary Mar 2026'!$A:$GS,198,FALSE)+VLOOKUP($A100,OtherDSG!$A:$AI,35,FALSE)+VLOOKUP($A100,Grants!$A:$BE,52,FALSE),0)</f>
        <v>1797694.6012343005</v>
      </c>
      <c r="AG100" s="146">
        <f>_xlfn.IFNA(VLOOKUP($A100,Grants!$A:$BE,53,FALSE),0)</f>
        <v>46762</v>
      </c>
      <c r="AH100" s="146">
        <f>_xlfn.IFNA(VLOOKUP($A100,Grants!$A:$BE,54,FALSE),0)</f>
        <v>0</v>
      </c>
      <c r="AI100" s="146">
        <f>_xlfn.IFNA(VLOOKUP($A100,Grants!$A:$BE,55,FALSE),0)</f>
        <v>0</v>
      </c>
      <c r="AJ100" s="146">
        <f>_xlfn.IFNA(VLOOKUP($A100,Barclays!$A:$T,18,FALSE),0)</f>
        <v>0</v>
      </c>
      <c r="AK100" s="146">
        <f>_xlfn.IFNA(VLOOKUP($A100,'Summary Mar 2026'!$A:$GS,200,FALSE),0)</f>
        <v>0</v>
      </c>
      <c r="AL100" s="146">
        <f>_xlfn.IFNA(VLOOKUP($A100,Barclays!$A:$T,19,FALSE),0)</f>
        <v>0</v>
      </c>
      <c r="AM100" s="146">
        <f>_xlfn.IFNA(VLOOKUP($A100,'Summary Mar 2026'!$A:$GS,201,FALSE),0)</f>
        <v>-2569.875</v>
      </c>
      <c r="AN100" s="146">
        <f>_xlfn.IFNA(VLOOKUP($A100,'Summary Mar 2026'!$A:$GS,199,FALSE),0)</f>
        <v>0</v>
      </c>
      <c r="AO100" s="146">
        <f>_xlfn.IFNA(VLOOKUP($A100,Grants!$A:$BE,56,FALSE),0)</f>
        <v>13315</v>
      </c>
      <c r="AP100" s="65">
        <f t="shared" si="1"/>
        <v>2882284.397375009</v>
      </c>
    </row>
    <row r="101" spans="1:42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0" t="str">
        <f>VLOOKUP(A101,'Summary Mar 2026'!$A$8:$F$206,6,FALSE)</f>
        <v>Chq Bk</v>
      </c>
      <c r="H101" s="288">
        <f>_xlfn.IFNA(VLOOKUP($A101,ISB!$A:$BY,67,FALSE),0)</f>
        <v>1317723.7599071092</v>
      </c>
      <c r="I101" s="861">
        <f>_xlfn.IFNA(VLOOKUP(A101,'LA Deductions'!A:AN,40,FALSE),0)</f>
        <v>0</v>
      </c>
      <c r="J101" s="221">
        <f>_xlfn.IFNA(VLOOKUP($A101,ISB!$A:$BY,72,FALSE),0)</f>
        <v>-5424.6399999999994</v>
      </c>
      <c r="K101" s="289">
        <f>-_xlfn.IFNA(VLOOKUP($A101,ISB!$A:$BY,76,FALSE),0)</f>
        <v>-21610.93</v>
      </c>
      <c r="M101" s="288">
        <f>VLOOKUP($A101,EY!$A:$AAK,132,FALSE)</f>
        <v>93548.657922437676</v>
      </c>
      <c r="N101" s="288">
        <f>VLOOKUP($A101,EY!$A:$AAD,133,FALSE)</f>
        <v>0</v>
      </c>
      <c r="P101" s="288">
        <f>VLOOKUP($A101,HN!$A:$AM,38,FALSE)</f>
        <v>0</v>
      </c>
      <c r="Q101" s="288">
        <f>VLOOKUP($A101,HN!$A:$AM,39,FALSE)</f>
        <v>0</v>
      </c>
      <c r="S101" s="362">
        <f>_xlfn.IFNA(VLOOKUP(A101,'Post 16'!A:AR,44,FALSE),0)</f>
        <v>0</v>
      </c>
      <c r="U101" s="362">
        <f>VLOOKUP(A101,'LA Deductions'!A:W,23,FALSE)</f>
        <v>-5139.75</v>
      </c>
      <c r="W101" s="289">
        <f>VLOOKUP($A101,'Summary Mar 2026'!$A:$AAG,189,FALSE)-SUMIFS($H101:$U101,$H$7:$U$7,W$7)</f>
        <v>0</v>
      </c>
      <c r="X101" s="289">
        <f>VLOOKUP($A101,'Summary Mar 2026'!$A:$GL,190,FALSE)-SUMIFS($H101:$U101,$H$7:$U$7,X$7)</f>
        <v>0</v>
      </c>
      <c r="Y101" s="289">
        <f>VLOOKUP($A101,'Summary Mar 2026'!$A:$GL,191,FALSE)-SUMIFS($H101:$U101,$H$7:$U$7,Y$7)</f>
        <v>0</v>
      </c>
      <c r="Z101" s="289">
        <f>VLOOKUP($A101,'Summary Mar 2026'!$A:$GL,192,FALSE)-SUMIFS($H101:$U101,$H$7:$U$7,Z$7)</f>
        <v>0</v>
      </c>
      <c r="AA101" s="289">
        <f>VLOOKUP($A101,'Summary Mar 2026'!$A:$GL,193,FALSE)-SUMIFS($H101:$U101,$H$7:$U$7,AA$7)</f>
        <v>0</v>
      </c>
      <c r="AB101" s="289">
        <f>VLOOKUP($A101,'Summary Mar 2026'!$A:$GL,194,FALSE)-SUMIFS($H101:$U101,$H$7:$U$7,AB$7)</f>
        <v>0</v>
      </c>
      <c r="AD101" s="146">
        <f>_xlfn.IFNA(VLOOKUP($A101,'Summary Mar 2026'!$A:$GS,196,FALSE)+VLOOKUP($A101,OtherDSG!$A:$AI,34,FALSE)+VLOOKUP($A101,Grants!$A:$BE,50,FALSE),0)</f>
        <v>1453075.0844962134</v>
      </c>
      <c r="AE101" s="146">
        <f>_xlfn.IFNA(VLOOKUP($A101,'Summary Mar 2026'!$A:$GS,197,FALSE)+VLOOKUP($A101,Grants!$A:$BE,51,FALSE),0)</f>
        <v>0</v>
      </c>
      <c r="AF101" s="146">
        <f>_xlfn.IFNA(VLOOKUP($A101,'Summary Mar 2026'!$A:$GS,198,FALSE)+VLOOKUP($A101,OtherDSG!$A:$AI,35,FALSE)+VLOOKUP($A101,Grants!$A:$BE,52,FALSE),0)</f>
        <v>70109.993333333332</v>
      </c>
      <c r="AG101" s="146">
        <f>_xlfn.IFNA(VLOOKUP($A101,Grants!$A:$BE,53,FALSE),0)</f>
        <v>158975</v>
      </c>
      <c r="AH101" s="146">
        <f>_xlfn.IFNA(VLOOKUP($A101,Grants!$A:$BE,54,FALSE),0)</f>
        <v>40103</v>
      </c>
      <c r="AI101" s="146">
        <f>_xlfn.IFNA(VLOOKUP($A101,Grants!$A:$BE,55,FALSE),0)</f>
        <v>0</v>
      </c>
      <c r="AJ101" s="146">
        <f>_xlfn.IFNA(VLOOKUP($A101,Barclays!$A:$T,18,FALSE),0)</f>
        <v>13556.077284999992</v>
      </c>
      <c r="AK101" s="146">
        <f>_xlfn.IFNA(VLOOKUP($A101,'Summary Mar 2026'!$A:$GS,200,FALSE),0)</f>
        <v>-21610.93</v>
      </c>
      <c r="AL101" s="146">
        <f>_xlfn.IFNA(VLOOKUP($A101,Barclays!$A:$T,19,FALSE),0)</f>
        <v>-95.75</v>
      </c>
      <c r="AM101" s="146">
        <f>_xlfn.IFNA(VLOOKUP($A101,'Summary Mar 2026'!$A:$GS,201,FALSE),0)</f>
        <v>-5139.75</v>
      </c>
      <c r="AN101" s="146">
        <f>_xlfn.IFNA(VLOOKUP($A101,'Summary Mar 2026'!$A:$GS,199,FALSE),0)</f>
        <v>-5424.6399999999994</v>
      </c>
      <c r="AO101" s="146">
        <f>_xlfn.IFNA(VLOOKUP($A101,Grants!$A:$BE,56,FALSE),0)</f>
        <v>0</v>
      </c>
      <c r="AP101" s="65">
        <f t="shared" si="1"/>
        <v>1703548.0851145468</v>
      </c>
    </row>
    <row r="102" spans="1:42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0" t="str">
        <f>VLOOKUP(A102,'Summary Mar 2026'!$A$8:$F$206,6,FALSE)</f>
        <v>Chq Bk</v>
      </c>
      <c r="H102" s="288">
        <f>_xlfn.IFNA(VLOOKUP($A102,ISB!$A:$BY,67,FALSE),0)</f>
        <v>1185158.891862019</v>
      </c>
      <c r="I102" s="861">
        <f>_xlfn.IFNA(VLOOKUP(A102,'LA Deductions'!A:AN,40,FALSE),0)</f>
        <v>0</v>
      </c>
      <c r="J102" s="221">
        <f>_xlfn.IFNA(VLOOKUP($A102,ISB!$A:$BY,72,FALSE),0)</f>
        <v>-5450.7199999999993</v>
      </c>
      <c r="K102" s="289">
        <f>-_xlfn.IFNA(VLOOKUP($A102,ISB!$A:$BY,76,FALSE),0)</f>
        <v>-3471.48</v>
      </c>
      <c r="M102" s="288">
        <f>VLOOKUP($A102,EY!$A:$AAK,132,FALSE)</f>
        <v>41231.463490304712</v>
      </c>
      <c r="N102" s="288">
        <f>VLOOKUP($A102,EY!$A:$AAD,133,FALSE)</f>
        <v>0</v>
      </c>
      <c r="P102" s="288">
        <f>VLOOKUP($A102,HN!$A:$AM,38,FALSE)</f>
        <v>0</v>
      </c>
      <c r="Q102" s="288">
        <f>VLOOKUP($A102,HN!$A:$AM,39,FALSE)</f>
        <v>0</v>
      </c>
      <c r="S102" s="362">
        <f>_xlfn.IFNA(VLOOKUP(A102,'Post 16'!A:AR,44,FALSE),0)</f>
        <v>0</v>
      </c>
      <c r="U102" s="362">
        <f>VLOOKUP(A102,'LA Deductions'!A:W,23,FALSE)</f>
        <v>-5139.75</v>
      </c>
      <c r="W102" s="289">
        <f>VLOOKUP($A102,'Summary Mar 2026'!$A:$AAG,189,FALSE)-SUMIFS($H102:$U102,$H$7:$U$7,W$7)</f>
        <v>0</v>
      </c>
      <c r="X102" s="289">
        <f>VLOOKUP($A102,'Summary Mar 2026'!$A:$GL,190,FALSE)-SUMIFS($H102:$U102,$H$7:$U$7,X$7)</f>
        <v>0</v>
      </c>
      <c r="Y102" s="289">
        <f>VLOOKUP($A102,'Summary Mar 2026'!$A:$GL,191,FALSE)-SUMIFS($H102:$U102,$H$7:$U$7,Y$7)</f>
        <v>0</v>
      </c>
      <c r="Z102" s="289">
        <f>VLOOKUP($A102,'Summary Mar 2026'!$A:$GL,192,FALSE)-SUMIFS($H102:$U102,$H$7:$U$7,Z$7)</f>
        <v>0</v>
      </c>
      <c r="AA102" s="289">
        <f>VLOOKUP($A102,'Summary Mar 2026'!$A:$GL,193,FALSE)-SUMIFS($H102:$U102,$H$7:$U$7,AA$7)</f>
        <v>0</v>
      </c>
      <c r="AB102" s="289">
        <f>VLOOKUP($A102,'Summary Mar 2026'!$A:$GL,194,FALSE)-SUMIFS($H102:$U102,$H$7:$U$7,AB$7)</f>
        <v>0</v>
      </c>
      <c r="AD102" s="146">
        <f>_xlfn.IFNA(VLOOKUP($A102,'Summary Mar 2026'!$A:$GS,196,FALSE)+VLOOKUP($A102,OtherDSG!$A:$AI,34,FALSE)+VLOOKUP($A102,Grants!$A:$BE,50,FALSE),0)</f>
        <v>1262682.3553523237</v>
      </c>
      <c r="AE102" s="146">
        <f>_xlfn.IFNA(VLOOKUP($A102,'Summary Mar 2026'!$A:$GS,197,FALSE)+VLOOKUP($A102,Grants!$A:$BE,51,FALSE),0)</f>
        <v>0</v>
      </c>
      <c r="AF102" s="146">
        <f>_xlfn.IFNA(VLOOKUP($A102,'Summary Mar 2026'!$A:$GS,198,FALSE)+VLOOKUP($A102,OtherDSG!$A:$AI,35,FALSE)+VLOOKUP($A102,Grants!$A:$BE,52,FALSE),0)</f>
        <v>75864.863333333342</v>
      </c>
      <c r="AG102" s="146">
        <f>_xlfn.IFNA(VLOOKUP($A102,Grants!$A:$BE,53,FALSE),0)</f>
        <v>87470</v>
      </c>
      <c r="AH102" s="146">
        <f>_xlfn.IFNA(VLOOKUP($A102,Grants!$A:$BE,54,FALSE),0)</f>
        <v>48706.6</v>
      </c>
      <c r="AI102" s="146">
        <f>_xlfn.IFNA(VLOOKUP($A102,Grants!$A:$BE,55,FALSE),0)</f>
        <v>0</v>
      </c>
      <c r="AJ102" s="146">
        <f>_xlfn.IFNA(VLOOKUP($A102,Barclays!$A:$T,18,FALSE),0)</f>
        <v>15142.560970000002</v>
      </c>
      <c r="AK102" s="146">
        <f>_xlfn.IFNA(VLOOKUP($A102,'Summary Mar 2026'!$A:$GS,200,FALSE),0)</f>
        <v>-3471.48</v>
      </c>
      <c r="AL102" s="146">
        <f>_xlfn.IFNA(VLOOKUP($A102,Barclays!$A:$T,19,FALSE),0)</f>
        <v>-50.18</v>
      </c>
      <c r="AM102" s="146">
        <f>_xlfn.IFNA(VLOOKUP($A102,'Summary Mar 2026'!$A:$GS,201,FALSE),0)</f>
        <v>-5139.75</v>
      </c>
      <c r="AN102" s="146">
        <f>_xlfn.IFNA(VLOOKUP($A102,'Summary Mar 2026'!$A:$GS,199,FALSE),0)</f>
        <v>-5450.7199999999984</v>
      </c>
      <c r="AO102" s="146">
        <f>_xlfn.IFNA(VLOOKUP($A102,Grants!$A:$BE,56,FALSE),0)</f>
        <v>0</v>
      </c>
      <c r="AP102" s="65">
        <f t="shared" si="1"/>
        <v>1475754.2496556572</v>
      </c>
    </row>
    <row r="103" spans="1:42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0" t="str">
        <f>VLOOKUP(A103,'Summary Mar 2026'!$A$8:$F$206,6,FALSE)</f>
        <v>Chq Bk</v>
      </c>
      <c r="H103" s="288">
        <f>_xlfn.IFNA(VLOOKUP($A103,ISB!$A:$BY,67,FALSE),0)</f>
        <v>0</v>
      </c>
      <c r="I103" s="861">
        <f>_xlfn.IFNA(VLOOKUP(A103,'LA Deductions'!A:AN,40,FALSE),0)</f>
        <v>0</v>
      </c>
      <c r="J103" s="221">
        <f>_xlfn.IFNA(VLOOKUP($A103,ISB!$A:$BY,72,FALSE),0)</f>
        <v>0</v>
      </c>
      <c r="K103" s="289">
        <f>-_xlfn.IFNA(VLOOKUP($A103,ISB!$A:$BY,76,FALSE),0)</f>
        <v>0</v>
      </c>
      <c r="M103" s="288">
        <f>VLOOKUP($A103,EY!$A:$AAK,132,FALSE)</f>
        <v>462887.20084859408</v>
      </c>
      <c r="N103" s="288">
        <f>VLOOKUP($A103,EY!$A:$AAD,133,FALSE)</f>
        <v>1012.8321329639889</v>
      </c>
      <c r="P103" s="288">
        <f>VLOOKUP($A103,HN!$A:$AM,38,FALSE)</f>
        <v>0</v>
      </c>
      <c r="Q103" s="288">
        <f>VLOOKUP($A103,HN!$A:$AM,39,FALSE)</f>
        <v>0</v>
      </c>
      <c r="S103" s="362">
        <f>_xlfn.IFNA(VLOOKUP(A103,'Post 16'!A:AR,44,FALSE),0)</f>
        <v>0</v>
      </c>
      <c r="U103" s="362">
        <f>VLOOKUP(A103,'LA Deductions'!A:W,23,FALSE)</f>
        <v>-3291.75</v>
      </c>
      <c r="W103" s="289">
        <f>VLOOKUP($A103,'Summary Mar 2026'!$A:$AAG,189,FALSE)-SUMIFS($H103:$U103,$H$7:$U$7,W$7)</f>
        <v>0</v>
      </c>
      <c r="X103" s="289">
        <f>VLOOKUP($A103,'Summary Mar 2026'!$A:$GL,190,FALSE)-SUMIFS($H103:$U103,$H$7:$U$7,X$7)</f>
        <v>0</v>
      </c>
      <c r="Y103" s="289">
        <f>VLOOKUP($A103,'Summary Mar 2026'!$A:$GL,191,FALSE)-SUMIFS($H103:$U103,$H$7:$U$7,Y$7)</f>
        <v>0</v>
      </c>
      <c r="Z103" s="289">
        <f>VLOOKUP($A103,'Summary Mar 2026'!$A:$GL,192,FALSE)-SUMIFS($H103:$U103,$H$7:$U$7,Z$7)</f>
        <v>0</v>
      </c>
      <c r="AA103" s="289">
        <f>VLOOKUP($A103,'Summary Mar 2026'!$A:$GL,193,FALSE)-SUMIFS($H103:$U103,$H$7:$U$7,AA$7)</f>
        <v>0</v>
      </c>
      <c r="AB103" s="289">
        <f>VLOOKUP($A103,'Summary Mar 2026'!$A:$GL,194,FALSE)-SUMIFS($H103:$U103,$H$7:$U$7,AB$7)</f>
        <v>0</v>
      </c>
      <c r="AD103" s="146">
        <f>_xlfn.IFNA(VLOOKUP($A103,'Summary Mar 2026'!$A:$GS,196,FALSE)+VLOOKUP($A103,OtherDSG!$A:$AI,34,FALSE)+VLOOKUP($A103,Grants!$A:$BE,50,FALSE),0)</f>
        <v>472287.20084859408</v>
      </c>
      <c r="AE103" s="146">
        <f>_xlfn.IFNA(VLOOKUP($A103,'Summary Mar 2026'!$A:$GS,197,FALSE)+VLOOKUP($A103,Grants!$A:$BE,51,FALSE),0)</f>
        <v>0</v>
      </c>
      <c r="AF103" s="146">
        <f>_xlfn.IFNA(VLOOKUP($A103,'Summary Mar 2026'!$A:$GS,198,FALSE)+VLOOKUP($A103,OtherDSG!$A:$AI,35,FALSE)+VLOOKUP($A103,Grants!$A:$BE,52,FALSE),0)</f>
        <v>1012.8321329639889</v>
      </c>
      <c r="AG103" s="146">
        <f>_xlfn.IFNA(VLOOKUP($A103,Grants!$A:$BE,53,FALSE),0)</f>
        <v>0</v>
      </c>
      <c r="AH103" s="146">
        <f>_xlfn.IFNA(VLOOKUP($A103,Grants!$A:$BE,54,FALSE),0)</f>
        <v>0</v>
      </c>
      <c r="AI103" s="146">
        <f>_xlfn.IFNA(VLOOKUP($A103,Grants!$A:$BE,55,FALSE),0)</f>
        <v>0</v>
      </c>
      <c r="AJ103" s="146">
        <f>_xlfn.IFNA(VLOOKUP($A103,Barclays!$A:$T,18,FALSE),0)</f>
        <v>5332.3607049999955</v>
      </c>
      <c r="AK103" s="146">
        <f>_xlfn.IFNA(VLOOKUP($A103,'Summary Mar 2026'!$A:$GS,200,FALSE),0)</f>
        <v>0</v>
      </c>
      <c r="AL103" s="146">
        <f>_xlfn.IFNA(VLOOKUP($A103,Barclays!$A:$T,19,FALSE),0)</f>
        <v>-124.87999999999998</v>
      </c>
      <c r="AM103" s="146">
        <f>_xlfn.IFNA(VLOOKUP($A103,'Summary Mar 2026'!$A:$GS,201,FALSE),0)</f>
        <v>-3291.75</v>
      </c>
      <c r="AN103" s="146">
        <f>_xlfn.IFNA(VLOOKUP($A103,'Summary Mar 2026'!$A:$GS,199,FALSE),0)</f>
        <v>0</v>
      </c>
      <c r="AO103" s="146">
        <f>_xlfn.IFNA(VLOOKUP($A103,Grants!$A:$BE,56,FALSE),0)</f>
        <v>4675</v>
      </c>
      <c r="AP103" s="65">
        <f t="shared" si="1"/>
        <v>479890.76368655806</v>
      </c>
    </row>
    <row r="104" spans="1:42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0" t="str">
        <f>VLOOKUP(A104,'Summary Mar 2026'!$A$8:$F$206,6,FALSE)</f>
        <v>Chq Bk</v>
      </c>
      <c r="H104" s="288">
        <f>_xlfn.IFNA(VLOOKUP($A104,ISB!$A:$BY,67,FALSE),0)</f>
        <v>6920096.4908452248</v>
      </c>
      <c r="I104" s="861">
        <f>_xlfn.IFNA(VLOOKUP(A104,'LA Deductions'!A:AN,40,FALSE),0)</f>
        <v>-6405.5177999999996</v>
      </c>
      <c r="J104" s="221">
        <f>_xlfn.IFNA(VLOOKUP($A104,ISB!$A:$BY,72,FALSE),0)</f>
        <v>-18278.04</v>
      </c>
      <c r="K104" s="289">
        <f>-_xlfn.IFNA(VLOOKUP($A104,ISB!$A:$BY,76,FALSE),0)</f>
        <v>-81387.16</v>
      </c>
      <c r="M104" s="288">
        <f>VLOOKUP($A104,EY!$A:$AAK,132,FALSE)</f>
        <v>0</v>
      </c>
      <c r="N104" s="288">
        <f>VLOOKUP($A104,EY!$A:$AAD,133,FALSE)</f>
        <v>0</v>
      </c>
      <c r="P104" s="288">
        <f>VLOOKUP($A104,HN!$A:$AM,38,FALSE)</f>
        <v>0</v>
      </c>
      <c r="Q104" s="288">
        <f>VLOOKUP($A104,HN!$A:$AM,39,FALSE)</f>
        <v>0</v>
      </c>
      <c r="S104" s="362">
        <f>_xlfn.IFNA(VLOOKUP(A104,'Post 16'!A:AR,44,FALSE),0)</f>
        <v>0</v>
      </c>
      <c r="U104" s="362">
        <f>VLOOKUP(A104,'LA Deductions'!A:W,23,FALSE)</f>
        <v>-24312.75</v>
      </c>
      <c r="W104" s="289">
        <f>VLOOKUP($A104,'Summary Mar 2026'!$A:$AAG,189,FALSE)-SUMIFS($H104:$U104,$H$7:$U$7,W$7)</f>
        <v>0</v>
      </c>
      <c r="X104" s="289">
        <f>VLOOKUP($A104,'Summary Mar 2026'!$A:$GL,190,FALSE)-SUMIFS($H104:$U104,$H$7:$U$7,X$7)</f>
        <v>0</v>
      </c>
      <c r="Y104" s="289">
        <f>VLOOKUP($A104,'Summary Mar 2026'!$A:$GL,191,FALSE)-SUMIFS($H104:$U104,$H$7:$U$7,Y$7)</f>
        <v>0</v>
      </c>
      <c r="Z104" s="289">
        <f>VLOOKUP($A104,'Summary Mar 2026'!$A:$GL,192,FALSE)-SUMIFS($H104:$U104,$H$7:$U$7,Z$7)</f>
        <v>0</v>
      </c>
      <c r="AA104" s="289">
        <f>VLOOKUP($A104,'Summary Mar 2026'!$A:$GL,193,FALSE)-SUMIFS($H104:$U104,$H$7:$U$7,AA$7)</f>
        <v>0</v>
      </c>
      <c r="AB104" s="289">
        <f>VLOOKUP($A104,'Summary Mar 2026'!$A:$GL,194,FALSE)-SUMIFS($H104:$U104,$H$7:$U$7,AB$7)</f>
        <v>0</v>
      </c>
      <c r="AD104" s="146">
        <f>_xlfn.IFNA(VLOOKUP($A104,'Summary Mar 2026'!$A:$GS,196,FALSE)+VLOOKUP($A104,OtherDSG!$A:$AI,34,FALSE)+VLOOKUP($A104,Grants!$A:$BE,50,FALSE),0)</f>
        <v>7067666.9730452253</v>
      </c>
      <c r="AE104" s="146">
        <f>_xlfn.IFNA(VLOOKUP($A104,'Summary Mar 2026'!$A:$GS,197,FALSE)+VLOOKUP($A104,Grants!$A:$BE,51,FALSE),0)</f>
        <v>0</v>
      </c>
      <c r="AF104" s="146">
        <f>_xlfn.IFNA(VLOOKUP($A104,'Summary Mar 2026'!$A:$GS,198,FALSE)+VLOOKUP($A104,OtherDSG!$A:$AI,35,FALSE)+VLOOKUP($A104,Grants!$A:$BE,52,FALSE),0)</f>
        <v>230569.55</v>
      </c>
      <c r="AG104" s="146">
        <f>_xlfn.IFNA(VLOOKUP($A104,Grants!$A:$BE,53,FALSE),0)</f>
        <v>372110</v>
      </c>
      <c r="AH104" s="146">
        <f>_xlfn.IFNA(VLOOKUP($A104,Grants!$A:$BE,54,FALSE),0)</f>
        <v>14783.06</v>
      </c>
      <c r="AI104" s="146">
        <f>_xlfn.IFNA(VLOOKUP($A104,Grants!$A:$BE,55,FALSE),0)</f>
        <v>0</v>
      </c>
      <c r="AJ104" s="146">
        <f>_xlfn.IFNA(VLOOKUP($A104,Barclays!$A:$T,18,FALSE),0)</f>
        <v>0</v>
      </c>
      <c r="AK104" s="146">
        <f>_xlfn.IFNA(VLOOKUP($A104,'Summary Mar 2026'!$A:$GS,200,FALSE),0)</f>
        <v>-81387.160000000018</v>
      </c>
      <c r="AL104" s="146">
        <f>_xlfn.IFNA(VLOOKUP($A104,Barclays!$A:$T,19,FALSE),0)</f>
        <v>0</v>
      </c>
      <c r="AM104" s="146">
        <f>_xlfn.IFNA(VLOOKUP($A104,'Summary Mar 2026'!$A:$GS,201,FALSE),0)</f>
        <v>-24312.75</v>
      </c>
      <c r="AN104" s="146">
        <f>_xlfn.IFNA(VLOOKUP($A104,'Summary Mar 2026'!$A:$GS,199,FALSE),0)</f>
        <v>-18278.04</v>
      </c>
      <c r="AO104" s="146">
        <f>_xlfn.IFNA(VLOOKUP($A104,Grants!$A:$BE,56,FALSE),0)</f>
        <v>19246.560000000001</v>
      </c>
      <c r="AP104" s="65">
        <f t="shared" si="1"/>
        <v>7580398.1930452241</v>
      </c>
    </row>
    <row r="105" spans="1:42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0" t="str">
        <f>VLOOKUP(A105,'Summary Mar 2026'!$A$8:$F$206,6,FALSE)</f>
        <v>Chq Bk</v>
      </c>
      <c r="H105" s="288">
        <f>_xlfn.IFNA(VLOOKUP($A105,ISB!$A:$BY,67,FALSE),0)</f>
        <v>1343198.4861667487</v>
      </c>
      <c r="I105" s="861">
        <f>_xlfn.IFNA(VLOOKUP(A105,'LA Deductions'!A:AN,40,FALSE),0)</f>
        <v>0</v>
      </c>
      <c r="J105" s="221">
        <f>_xlfn.IFNA(VLOOKUP($A105,ISB!$A:$BY,72,FALSE),0)</f>
        <v>-5424.6399999999994</v>
      </c>
      <c r="K105" s="289">
        <f>-_xlfn.IFNA(VLOOKUP($A105,ISB!$A:$BY,76,FALSE),0)</f>
        <v>-16658.41</v>
      </c>
      <c r="M105" s="288">
        <f>VLOOKUP($A105,EY!$A:$AAK,132,FALSE)</f>
        <v>0</v>
      </c>
      <c r="N105" s="288">
        <f>VLOOKUP($A105,EY!$A:$AAD,133,FALSE)</f>
        <v>0</v>
      </c>
      <c r="P105" s="288">
        <f>VLOOKUP($A105,HN!$A:$AM,38,FALSE)</f>
        <v>0</v>
      </c>
      <c r="Q105" s="288">
        <f>VLOOKUP($A105,HN!$A:$AM,39,FALSE)</f>
        <v>0</v>
      </c>
      <c r="S105" s="362">
        <f>_xlfn.IFNA(VLOOKUP(A105,'Post 16'!A:AR,44,FALSE),0)</f>
        <v>0</v>
      </c>
      <c r="U105" s="362">
        <f>VLOOKUP(A105,'LA Deductions'!A:W,23,FALSE)</f>
        <v>-5139.75</v>
      </c>
      <c r="W105" s="289">
        <f>VLOOKUP($A105,'Summary Mar 2026'!$A:$AAG,189,FALSE)-SUMIFS($H105:$U105,$H$7:$U$7,W$7)</f>
        <v>0</v>
      </c>
      <c r="X105" s="289">
        <f>VLOOKUP($A105,'Summary Mar 2026'!$A:$GL,190,FALSE)-SUMIFS($H105:$U105,$H$7:$U$7,X$7)</f>
        <v>0</v>
      </c>
      <c r="Y105" s="289">
        <f>VLOOKUP($A105,'Summary Mar 2026'!$A:$GL,191,FALSE)-SUMIFS($H105:$U105,$H$7:$U$7,Y$7)</f>
        <v>0</v>
      </c>
      <c r="Z105" s="289">
        <f>VLOOKUP($A105,'Summary Mar 2026'!$A:$GL,192,FALSE)-SUMIFS($H105:$U105,$H$7:$U$7,Z$7)</f>
        <v>0</v>
      </c>
      <c r="AA105" s="289">
        <f>VLOOKUP($A105,'Summary Mar 2026'!$A:$GL,193,FALSE)-SUMIFS($H105:$U105,$H$7:$U$7,AA$7)</f>
        <v>0</v>
      </c>
      <c r="AB105" s="289">
        <f>VLOOKUP($A105,'Summary Mar 2026'!$A:$GL,194,FALSE)-SUMIFS($H105:$U105,$H$7:$U$7,AB$7)</f>
        <v>0</v>
      </c>
      <c r="AD105" s="146">
        <f>_xlfn.IFNA(VLOOKUP($A105,'Summary Mar 2026'!$A:$GS,196,FALSE)+VLOOKUP($A105,OtherDSG!$A:$AI,34,FALSE)+VLOOKUP($A105,Grants!$A:$BE,50,FALSE),0)</f>
        <v>1381832.4861667489</v>
      </c>
      <c r="AE105" s="146">
        <f>_xlfn.IFNA(VLOOKUP($A105,'Summary Mar 2026'!$A:$GS,197,FALSE)+VLOOKUP($A105,Grants!$A:$BE,51,FALSE),0)</f>
        <v>0</v>
      </c>
      <c r="AF105" s="146">
        <f>_xlfn.IFNA(VLOOKUP($A105,'Summary Mar 2026'!$A:$GS,198,FALSE)+VLOOKUP($A105,OtherDSG!$A:$AI,35,FALSE)+VLOOKUP($A105,Grants!$A:$BE,52,FALSE),0)</f>
        <v>75101.66333333333</v>
      </c>
      <c r="AG105" s="146">
        <f>_xlfn.IFNA(VLOOKUP($A105,Grants!$A:$BE,53,FALSE),0)</f>
        <v>148470</v>
      </c>
      <c r="AH105" s="146">
        <f>_xlfn.IFNA(VLOOKUP($A105,Grants!$A:$BE,54,FALSE),0)</f>
        <v>36444</v>
      </c>
      <c r="AI105" s="146">
        <f>_xlfn.IFNA(VLOOKUP($A105,Grants!$A:$BE,55,FALSE),0)</f>
        <v>0</v>
      </c>
      <c r="AJ105" s="146">
        <f>_xlfn.IFNA(VLOOKUP($A105,Barclays!$A:$T,18,FALSE),0)</f>
        <v>1735.0279250000044</v>
      </c>
      <c r="AK105" s="146">
        <f>_xlfn.IFNA(VLOOKUP($A105,'Summary Mar 2026'!$A:$GS,200,FALSE),0)</f>
        <v>-16658.409999999996</v>
      </c>
      <c r="AL105" s="146">
        <f>_xlfn.IFNA(VLOOKUP($A105,Barclays!$A:$T,19,FALSE),0)</f>
        <v>-7.5299999999999994</v>
      </c>
      <c r="AM105" s="146">
        <f>_xlfn.IFNA(VLOOKUP($A105,'Summary Mar 2026'!$A:$GS,201,FALSE),0)</f>
        <v>-5139.75</v>
      </c>
      <c r="AN105" s="146">
        <f>_xlfn.IFNA(VLOOKUP($A105,'Summary Mar 2026'!$A:$GS,199,FALSE),0)</f>
        <v>-5424.6399999999994</v>
      </c>
      <c r="AO105" s="146">
        <f>_xlfn.IFNA(VLOOKUP($A105,Grants!$A:$BE,56,FALSE),0)</f>
        <v>6328.75</v>
      </c>
      <c r="AP105" s="65">
        <f t="shared" si="1"/>
        <v>1622681.5974250825</v>
      </c>
    </row>
    <row r="106" spans="1:42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0" t="str">
        <f>VLOOKUP(A106,'Summary Mar 2026'!$A$8:$F$206,6,FALSE)</f>
        <v>Chq Bk</v>
      </c>
      <c r="H106" s="288">
        <f>_xlfn.IFNA(VLOOKUP($A106,ISB!$A:$BY,67,FALSE),0)</f>
        <v>1447718.6536941174</v>
      </c>
      <c r="I106" s="861">
        <f>_xlfn.IFNA(VLOOKUP(A106,'LA Deductions'!A:AN,40,FALSE),0)</f>
        <v>0</v>
      </c>
      <c r="J106" s="221">
        <f>_xlfn.IFNA(VLOOKUP($A106,ISB!$A:$BY,72,FALSE),0)</f>
        <v>-6259.2</v>
      </c>
      <c r="K106" s="289">
        <f>-_xlfn.IFNA(VLOOKUP($A106,ISB!$A:$BY,76,FALSE),0)</f>
        <v>-14190.66</v>
      </c>
      <c r="M106" s="288">
        <f>VLOOKUP($A106,EY!$A:$AAK,132,FALSE)</f>
        <v>158465.9363157895</v>
      </c>
      <c r="N106" s="288">
        <f>VLOOKUP($A106,EY!$A:$AAD,133,FALSE)</f>
        <v>0</v>
      </c>
      <c r="P106" s="288">
        <f>VLOOKUP($A106,HN!$A:$AM,38,FALSE)</f>
        <v>0</v>
      </c>
      <c r="Q106" s="288">
        <f>VLOOKUP($A106,HN!$A:$AM,39,FALSE)</f>
        <v>0</v>
      </c>
      <c r="S106" s="362">
        <f>_xlfn.IFNA(VLOOKUP(A106,'Post 16'!A:AR,44,FALSE),0)</f>
        <v>0</v>
      </c>
      <c r="U106" s="362">
        <f>VLOOKUP(A106,'LA Deductions'!A:W,23,FALSE)</f>
        <v>-5139.75</v>
      </c>
      <c r="W106" s="289">
        <f>VLOOKUP($A106,'Summary Mar 2026'!$A:$AAG,189,FALSE)-SUMIFS($H106:$U106,$H$7:$U$7,W$7)</f>
        <v>0</v>
      </c>
      <c r="X106" s="289">
        <f>VLOOKUP($A106,'Summary Mar 2026'!$A:$GL,190,FALSE)-SUMIFS($H106:$U106,$H$7:$U$7,X$7)</f>
        <v>0</v>
      </c>
      <c r="Y106" s="289">
        <f>VLOOKUP($A106,'Summary Mar 2026'!$A:$GL,191,FALSE)-SUMIFS($H106:$U106,$H$7:$U$7,Y$7)</f>
        <v>0</v>
      </c>
      <c r="Z106" s="289">
        <f>VLOOKUP($A106,'Summary Mar 2026'!$A:$GL,192,FALSE)-SUMIFS($H106:$U106,$H$7:$U$7,Z$7)</f>
        <v>0</v>
      </c>
      <c r="AA106" s="289">
        <f>VLOOKUP($A106,'Summary Mar 2026'!$A:$GL,193,FALSE)-SUMIFS($H106:$U106,$H$7:$U$7,AA$7)</f>
        <v>0</v>
      </c>
      <c r="AB106" s="289">
        <f>VLOOKUP($A106,'Summary Mar 2026'!$A:$GL,194,FALSE)-SUMIFS($H106:$U106,$H$7:$U$7,AB$7)</f>
        <v>0</v>
      </c>
      <c r="AD106" s="146">
        <f>_xlfn.IFNA(VLOOKUP($A106,'Summary Mar 2026'!$A:$GS,196,FALSE)+VLOOKUP($A106,OtherDSG!$A:$AI,34,FALSE)+VLOOKUP($A106,Grants!$A:$BE,50,FALSE),0)</f>
        <v>1653558.590009907</v>
      </c>
      <c r="AE106" s="146">
        <f>_xlfn.IFNA(VLOOKUP($A106,'Summary Mar 2026'!$A:$GS,197,FALSE)+VLOOKUP($A106,Grants!$A:$BE,51,FALSE),0)</f>
        <v>0</v>
      </c>
      <c r="AF106" s="146">
        <f>_xlfn.IFNA(VLOOKUP($A106,'Summary Mar 2026'!$A:$GS,198,FALSE)+VLOOKUP($A106,OtherDSG!$A:$AI,35,FALSE)+VLOOKUP($A106,Grants!$A:$BE,52,FALSE),0)</f>
        <v>180027.27666666667</v>
      </c>
      <c r="AG106" s="146">
        <f>_xlfn.IFNA(VLOOKUP($A106,Grants!$A:$BE,53,FALSE),0)</f>
        <v>150335</v>
      </c>
      <c r="AH106" s="146">
        <f>_xlfn.IFNA(VLOOKUP($A106,Grants!$A:$BE,54,FALSE),0)</f>
        <v>87907.29</v>
      </c>
      <c r="AI106" s="146">
        <f>_xlfn.IFNA(VLOOKUP($A106,Grants!$A:$BE,55,FALSE),0)</f>
        <v>0</v>
      </c>
      <c r="AJ106" s="146">
        <f>_xlfn.IFNA(VLOOKUP($A106,Barclays!$A:$T,18,FALSE),0)</f>
        <v>14025.865584999989</v>
      </c>
      <c r="AK106" s="146">
        <f>_xlfn.IFNA(VLOOKUP($A106,'Summary Mar 2026'!$A:$GS,200,FALSE),0)</f>
        <v>-14190.660000000002</v>
      </c>
      <c r="AL106" s="146">
        <f>_xlfn.IFNA(VLOOKUP($A106,Barclays!$A:$T,19,FALSE),0)</f>
        <v>-95.819999999999979</v>
      </c>
      <c r="AM106" s="146">
        <f>_xlfn.IFNA(VLOOKUP($A106,'Summary Mar 2026'!$A:$GS,201,FALSE),0)</f>
        <v>-5139.75</v>
      </c>
      <c r="AN106" s="146">
        <f>_xlfn.IFNA(VLOOKUP($A106,'Summary Mar 2026'!$A:$GS,199,FALSE),0)</f>
        <v>-6259.2000000000016</v>
      </c>
      <c r="AO106" s="146">
        <f>_xlfn.IFNA(VLOOKUP($A106,Grants!$A:$BE,56,FALSE),0)</f>
        <v>7255.75</v>
      </c>
      <c r="AP106" s="65">
        <f t="shared" si="1"/>
        <v>2067424.3422615738</v>
      </c>
    </row>
    <row r="107" spans="1:42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0" t="str">
        <f>VLOOKUP(A107,'Summary Mar 2026'!$A$8:$F$206,6,FALSE)</f>
        <v>Chq Bk</v>
      </c>
      <c r="H107" s="288">
        <f>_xlfn.IFNA(VLOOKUP($A107,ISB!$A:$BY,67,FALSE),0)</f>
        <v>2039017.1434583578</v>
      </c>
      <c r="I107" s="861">
        <f>_xlfn.IFNA(VLOOKUP(A107,'LA Deductions'!A:AN,40,FALSE),0)</f>
        <v>-9222.0828000000001</v>
      </c>
      <c r="J107" s="221">
        <f>_xlfn.IFNA(VLOOKUP($A107,ISB!$A:$BY,72,FALSE),0)</f>
        <v>-8945.4399999999987</v>
      </c>
      <c r="K107" s="289">
        <f>-_xlfn.IFNA(VLOOKUP($A107,ISB!$A:$BY,76,FALSE),0)</f>
        <v>-26354.1</v>
      </c>
      <c r="M107" s="288">
        <f>VLOOKUP($A107,EY!$A:$AAK,132,FALSE)</f>
        <v>0</v>
      </c>
      <c r="N107" s="288">
        <f>VLOOKUP($A107,EY!$A:$AAD,133,FALSE)</f>
        <v>0</v>
      </c>
      <c r="P107" s="288">
        <f>VLOOKUP($A107,HN!$A:$AM,38,FALSE)</f>
        <v>0</v>
      </c>
      <c r="Q107" s="288">
        <f>VLOOKUP($A107,HN!$A:$AM,39,FALSE)</f>
        <v>0</v>
      </c>
      <c r="S107" s="362">
        <f>_xlfn.IFNA(VLOOKUP(A107,'Post 16'!A:AR,44,FALSE),0)</f>
        <v>0</v>
      </c>
      <c r="U107" s="362">
        <f>VLOOKUP(A107,'LA Deductions'!A:W,23,FALSE)</f>
        <v>-9471</v>
      </c>
      <c r="W107" s="289">
        <f>VLOOKUP($A107,'Summary Mar 2026'!$A:$AAG,189,FALSE)-SUMIFS($H107:$U107,$H$7:$U$7,W$7)</f>
        <v>0</v>
      </c>
      <c r="X107" s="289">
        <f>VLOOKUP($A107,'Summary Mar 2026'!$A:$GL,190,FALSE)-SUMIFS($H107:$U107,$H$7:$U$7,X$7)</f>
        <v>0</v>
      </c>
      <c r="Y107" s="289">
        <f>VLOOKUP($A107,'Summary Mar 2026'!$A:$GL,191,FALSE)-SUMIFS($H107:$U107,$H$7:$U$7,Y$7)</f>
        <v>0</v>
      </c>
      <c r="Z107" s="289">
        <f>VLOOKUP($A107,'Summary Mar 2026'!$A:$GL,192,FALSE)-SUMIFS($H107:$U107,$H$7:$U$7,Z$7)</f>
        <v>0</v>
      </c>
      <c r="AA107" s="289">
        <f>VLOOKUP($A107,'Summary Mar 2026'!$A:$GL,193,FALSE)-SUMIFS($H107:$U107,$H$7:$U$7,AA$7)</f>
        <v>0</v>
      </c>
      <c r="AB107" s="289">
        <f>VLOOKUP($A107,'Summary Mar 2026'!$A:$GL,194,FALSE)-SUMIFS($H107:$U107,$H$7:$U$7,AB$7)</f>
        <v>0</v>
      </c>
      <c r="AD107" s="146">
        <f>_xlfn.IFNA(VLOOKUP($A107,'Summary Mar 2026'!$A:$GS,196,FALSE)+VLOOKUP($A107,OtherDSG!$A:$AI,34,FALSE)+VLOOKUP($A107,Grants!$A:$BE,50,FALSE),0)</f>
        <v>2095156.0606583583</v>
      </c>
      <c r="AE107" s="146">
        <f>_xlfn.IFNA(VLOOKUP($A107,'Summary Mar 2026'!$A:$GS,197,FALSE)+VLOOKUP($A107,Grants!$A:$BE,51,FALSE),0)</f>
        <v>0</v>
      </c>
      <c r="AF107" s="146">
        <f>_xlfn.IFNA(VLOOKUP($A107,'Summary Mar 2026'!$A:$GS,198,FALSE)+VLOOKUP($A107,OtherDSG!$A:$AI,35,FALSE)+VLOOKUP($A107,Grants!$A:$BE,52,FALSE),0)</f>
        <v>115577.97766666667</v>
      </c>
      <c r="AG107" s="146">
        <f>_xlfn.IFNA(VLOOKUP($A107,Grants!$A:$BE,53,FALSE),0)</f>
        <v>301085</v>
      </c>
      <c r="AH107" s="146">
        <f>_xlfn.IFNA(VLOOKUP($A107,Grants!$A:$BE,54,FALSE),0)</f>
        <v>18639.93</v>
      </c>
      <c r="AI107" s="146">
        <f>_xlfn.IFNA(VLOOKUP($A107,Grants!$A:$BE,55,FALSE),0)</f>
        <v>0</v>
      </c>
      <c r="AJ107" s="146">
        <f>_xlfn.IFNA(VLOOKUP($A107,Barclays!$A:$T,18,FALSE),0)</f>
        <v>11585.38922500001</v>
      </c>
      <c r="AK107" s="146">
        <f>_xlfn.IFNA(VLOOKUP($A107,'Summary Mar 2026'!$A:$GS,200,FALSE),0)</f>
        <v>-26354.099999999995</v>
      </c>
      <c r="AL107" s="146">
        <f>_xlfn.IFNA(VLOOKUP($A107,Barclays!$A:$T,19,FALSE),0)</f>
        <v>-110.99</v>
      </c>
      <c r="AM107" s="146">
        <f>_xlfn.IFNA(VLOOKUP($A107,'Summary Mar 2026'!$A:$GS,201,FALSE),0)</f>
        <v>-9471</v>
      </c>
      <c r="AN107" s="146">
        <f>_xlfn.IFNA(VLOOKUP($A107,'Summary Mar 2026'!$A:$GS,199,FALSE),0)</f>
        <v>-8945.4399999999969</v>
      </c>
      <c r="AO107" s="146">
        <f>_xlfn.IFNA(VLOOKUP($A107,Grants!$A:$BE,56,FALSE),0)</f>
        <v>7892.5</v>
      </c>
      <c r="AP107" s="65">
        <f t="shared" si="1"/>
        <v>2505055.3275500247</v>
      </c>
    </row>
    <row r="108" spans="1:42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0" t="str">
        <f>VLOOKUP(A108,'Summary Mar 2026'!$A$8:$F$206,6,FALSE)</f>
        <v>Chq Bk</v>
      </c>
      <c r="H108" s="288">
        <f>_xlfn.IFNA(VLOOKUP($A108,ISB!$A:$BY,67,FALSE),0)</f>
        <v>2476983.4618709348</v>
      </c>
      <c r="I108" s="861">
        <f>_xlfn.IFNA(VLOOKUP(A108,'LA Deductions'!A:AN,40,FALSE),0)</f>
        <v>0</v>
      </c>
      <c r="J108" s="221">
        <f>_xlfn.IFNA(VLOOKUP($A108,ISB!$A:$BY,72,FALSE),0)</f>
        <v>-9884.32</v>
      </c>
      <c r="K108" s="289">
        <f>-_xlfn.IFNA(VLOOKUP($A108,ISB!$A:$BY,76,FALSE),0)</f>
        <v>-60475.18</v>
      </c>
      <c r="M108" s="288">
        <f>VLOOKUP($A108,EY!$A:$AAK,132,FALSE)</f>
        <v>89404.864736842108</v>
      </c>
      <c r="N108" s="288">
        <f>VLOOKUP($A108,EY!$A:$AAD,133,FALSE)</f>
        <v>0</v>
      </c>
      <c r="P108" s="288">
        <f>VLOOKUP($A108,HN!$A:$AM,38,FALSE)</f>
        <v>0</v>
      </c>
      <c r="Q108" s="288">
        <f>VLOOKUP($A108,HN!$A:$AM,39,FALSE)</f>
        <v>0</v>
      </c>
      <c r="S108" s="362">
        <f>_xlfn.IFNA(VLOOKUP(A108,'Post 16'!A:AR,44,FALSE),0)</f>
        <v>0</v>
      </c>
      <c r="U108" s="362">
        <f>VLOOKUP(A108,'LA Deductions'!A:W,23,FALSE)</f>
        <v>-9471</v>
      </c>
      <c r="W108" s="289">
        <f>VLOOKUP($A108,'Summary Mar 2026'!$A:$AAG,189,FALSE)-SUMIFS($H108:$U108,$H$7:$U$7,W$7)</f>
        <v>0</v>
      </c>
      <c r="X108" s="289">
        <f>VLOOKUP($A108,'Summary Mar 2026'!$A:$GL,190,FALSE)-SUMIFS($H108:$U108,$H$7:$U$7,X$7)</f>
        <v>0</v>
      </c>
      <c r="Y108" s="289">
        <f>VLOOKUP($A108,'Summary Mar 2026'!$A:$GL,191,FALSE)-SUMIFS($H108:$U108,$H$7:$U$7,Y$7)</f>
        <v>0</v>
      </c>
      <c r="Z108" s="289">
        <f>VLOOKUP($A108,'Summary Mar 2026'!$A:$GL,192,FALSE)-SUMIFS($H108:$U108,$H$7:$U$7,Z$7)</f>
        <v>0</v>
      </c>
      <c r="AA108" s="289">
        <f>VLOOKUP($A108,'Summary Mar 2026'!$A:$GL,193,FALSE)-SUMIFS($H108:$U108,$H$7:$U$7,AA$7)</f>
        <v>0</v>
      </c>
      <c r="AB108" s="289">
        <f>VLOOKUP($A108,'Summary Mar 2026'!$A:$GL,194,FALSE)-SUMIFS($H108:$U108,$H$7:$U$7,AB$7)</f>
        <v>0</v>
      </c>
      <c r="AD108" s="146">
        <f>_xlfn.IFNA(VLOOKUP($A108,'Summary Mar 2026'!$A:$GS,196,FALSE)+VLOOKUP($A108,OtherDSG!$A:$AI,34,FALSE)+VLOOKUP($A108,Grants!$A:$BE,50,FALSE),0)</f>
        <v>2644149.3266077768</v>
      </c>
      <c r="AE108" s="146">
        <f>_xlfn.IFNA(VLOOKUP($A108,'Summary Mar 2026'!$A:$GS,197,FALSE)+VLOOKUP($A108,Grants!$A:$BE,51,FALSE),0)</f>
        <v>0</v>
      </c>
      <c r="AF108" s="146">
        <f>_xlfn.IFNA(VLOOKUP($A108,'Summary Mar 2026'!$A:$GS,198,FALSE)+VLOOKUP($A108,OtherDSG!$A:$AI,35,FALSE)+VLOOKUP($A108,Grants!$A:$BE,52,FALSE),0)</f>
        <v>129546.46333333332</v>
      </c>
      <c r="AG108" s="146">
        <f>_xlfn.IFNA(VLOOKUP($A108,Grants!$A:$BE,53,FALSE),0)</f>
        <v>377235</v>
      </c>
      <c r="AH108" s="146">
        <f>_xlfn.IFNA(VLOOKUP($A108,Grants!$A:$BE,54,FALSE),0)</f>
        <v>37121.22</v>
      </c>
      <c r="AI108" s="146">
        <f>_xlfn.IFNA(VLOOKUP($A108,Grants!$A:$BE,55,FALSE),0)</f>
        <v>0</v>
      </c>
      <c r="AJ108" s="146">
        <f>_xlfn.IFNA(VLOOKUP($A108,Barclays!$A:$T,18,FALSE),0)</f>
        <v>8178.3696550000604</v>
      </c>
      <c r="AK108" s="146">
        <f>_xlfn.IFNA(VLOOKUP($A108,'Summary Mar 2026'!$A:$GS,200,FALSE),0)</f>
        <v>-60475.180000000015</v>
      </c>
      <c r="AL108" s="146">
        <f>_xlfn.IFNA(VLOOKUP($A108,Barclays!$A:$T,19,FALSE),0)</f>
        <v>-144.30999999999997</v>
      </c>
      <c r="AM108" s="146">
        <f>_xlfn.IFNA(VLOOKUP($A108,'Summary Mar 2026'!$A:$GS,201,FALSE),0)</f>
        <v>-9471</v>
      </c>
      <c r="AN108" s="146">
        <f>_xlfn.IFNA(VLOOKUP($A108,'Summary Mar 2026'!$A:$GS,199,FALSE),0)</f>
        <v>-9884.32</v>
      </c>
      <c r="AO108" s="146">
        <f>_xlfn.IFNA(VLOOKUP($A108,Grants!$A:$BE,56,FALSE),0)</f>
        <v>8819.5</v>
      </c>
      <c r="AP108" s="65">
        <f t="shared" si="1"/>
        <v>3125075.0695961104</v>
      </c>
    </row>
    <row r="109" spans="1:42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0" t="str">
        <f>VLOOKUP(A109,'Summary Mar 2026'!$A$8:$F$206,6,FALSE)</f>
        <v>Chq Bk</v>
      </c>
      <c r="H109" s="288">
        <f>_xlfn.IFNA(VLOOKUP($A109,ISB!$A:$BY,67,FALSE),0)</f>
        <v>0</v>
      </c>
      <c r="I109" s="861">
        <f>_xlfn.IFNA(VLOOKUP(A109,'LA Deductions'!A:AN,40,FALSE),0)</f>
        <v>0</v>
      </c>
      <c r="J109" s="221">
        <f>_xlfn.IFNA(VLOOKUP($A109,ISB!$A:$BY,72,FALSE),0)</f>
        <v>0</v>
      </c>
      <c r="K109" s="289">
        <f>-_xlfn.IFNA(VLOOKUP($A109,ISB!$A:$BY,76,FALSE),0)</f>
        <v>0</v>
      </c>
      <c r="M109" s="288">
        <f>VLOOKUP($A109,EY!$A:$AAK,132,FALSE)</f>
        <v>982416.47723119496</v>
      </c>
      <c r="N109" s="288">
        <f>VLOOKUP($A109,EY!$A:$AAD,133,FALSE)</f>
        <v>22506.803324099725</v>
      </c>
      <c r="P109" s="288">
        <f>VLOOKUP($A109,HN!$A:$AM,38,FALSE)</f>
        <v>0</v>
      </c>
      <c r="Q109" s="288">
        <f>VLOOKUP($A109,HN!$A:$AM,39,FALSE)</f>
        <v>0</v>
      </c>
      <c r="S109" s="362">
        <f>_xlfn.IFNA(VLOOKUP(A109,'Post 16'!A:AR,44,FALSE),0)</f>
        <v>0</v>
      </c>
      <c r="U109" s="362">
        <f>VLOOKUP(A109,'LA Deductions'!A:W,23,FALSE)</f>
        <v>-3291.75</v>
      </c>
      <c r="W109" s="289">
        <f>VLOOKUP($A109,'Summary Mar 2026'!$A:$AAG,189,FALSE)-SUMIFS($H109:$U109,$H$7:$U$7,W$7)</f>
        <v>0</v>
      </c>
      <c r="X109" s="289">
        <f>VLOOKUP($A109,'Summary Mar 2026'!$A:$GL,190,FALSE)-SUMIFS($H109:$U109,$H$7:$U$7,X$7)</f>
        <v>0</v>
      </c>
      <c r="Y109" s="289">
        <f>VLOOKUP($A109,'Summary Mar 2026'!$A:$GL,191,FALSE)-SUMIFS($H109:$U109,$H$7:$U$7,Y$7)</f>
        <v>0</v>
      </c>
      <c r="Z109" s="289">
        <f>VLOOKUP($A109,'Summary Mar 2026'!$A:$GL,192,FALSE)-SUMIFS($H109:$U109,$H$7:$U$7,Z$7)</f>
        <v>0</v>
      </c>
      <c r="AA109" s="289">
        <f>VLOOKUP($A109,'Summary Mar 2026'!$A:$GL,193,FALSE)-SUMIFS($H109:$U109,$H$7:$U$7,AA$7)</f>
        <v>0</v>
      </c>
      <c r="AB109" s="289">
        <f>VLOOKUP($A109,'Summary Mar 2026'!$A:$GL,194,FALSE)-SUMIFS($H109:$U109,$H$7:$U$7,AB$7)</f>
        <v>0</v>
      </c>
      <c r="AD109" s="146">
        <f>_xlfn.IFNA(VLOOKUP($A109,'Summary Mar 2026'!$A:$GS,196,FALSE)+VLOOKUP($A109,OtherDSG!$A:$AI,34,FALSE)+VLOOKUP($A109,Grants!$A:$BE,50,FALSE),0)</f>
        <v>1006892.4772311948</v>
      </c>
      <c r="AE109" s="146">
        <f>_xlfn.IFNA(VLOOKUP($A109,'Summary Mar 2026'!$A:$GS,197,FALSE)+VLOOKUP($A109,Grants!$A:$BE,51,FALSE),0)</f>
        <v>0</v>
      </c>
      <c r="AF109" s="146">
        <f>_xlfn.IFNA(VLOOKUP($A109,'Summary Mar 2026'!$A:$GS,198,FALSE)+VLOOKUP($A109,OtherDSG!$A:$AI,35,FALSE)+VLOOKUP($A109,Grants!$A:$BE,52,FALSE),0)</f>
        <v>45376.599990766394</v>
      </c>
      <c r="AG109" s="146">
        <f>_xlfn.IFNA(VLOOKUP($A109,Grants!$A:$BE,53,FALSE),0)</f>
        <v>0</v>
      </c>
      <c r="AH109" s="146">
        <f>_xlfn.IFNA(VLOOKUP($A109,Grants!$A:$BE,54,FALSE),0)</f>
        <v>0</v>
      </c>
      <c r="AI109" s="146">
        <f>_xlfn.IFNA(VLOOKUP($A109,Grants!$A:$BE,55,FALSE),0)</f>
        <v>0</v>
      </c>
      <c r="AJ109" s="146">
        <f>_xlfn.IFNA(VLOOKUP($A109,Barclays!$A:$T,18,FALSE),0)</f>
        <v>0</v>
      </c>
      <c r="AK109" s="146">
        <f>_xlfn.IFNA(VLOOKUP($A109,'Summary Mar 2026'!$A:$GS,200,FALSE),0)</f>
        <v>0</v>
      </c>
      <c r="AL109" s="146">
        <f>_xlfn.IFNA(VLOOKUP($A109,Barclays!$A:$T,19,FALSE),0)</f>
        <v>0</v>
      </c>
      <c r="AM109" s="146">
        <f>_xlfn.IFNA(VLOOKUP($A109,'Summary Mar 2026'!$A:$GS,201,FALSE),0)</f>
        <v>-3291.75</v>
      </c>
      <c r="AN109" s="146">
        <f>_xlfn.IFNA(VLOOKUP($A109,'Summary Mar 2026'!$A:$GS,199,FALSE),0)</f>
        <v>0</v>
      </c>
      <c r="AO109" s="146">
        <f>_xlfn.IFNA(VLOOKUP($A109,Grants!$A:$BE,56,FALSE),0)</f>
        <v>5235.25</v>
      </c>
      <c r="AP109" s="65">
        <f t="shared" si="1"/>
        <v>1054212.5772219612</v>
      </c>
    </row>
    <row r="110" spans="1:42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0" t="str">
        <f>VLOOKUP(A110,'Summary Mar 2026'!$A$8:$F$206,6,FALSE)</f>
        <v>Chq Bk</v>
      </c>
      <c r="H110" s="288">
        <f>_xlfn.IFNA(VLOOKUP($A110,ISB!$A:$BY,67,FALSE),0)</f>
        <v>0</v>
      </c>
      <c r="I110" s="861">
        <f>_xlfn.IFNA(VLOOKUP(A110,'LA Deductions'!A:AN,40,FALSE),0)</f>
        <v>0</v>
      </c>
      <c r="J110" s="221">
        <f>_xlfn.IFNA(VLOOKUP($A110,ISB!$A:$BY,72,FALSE),0)</f>
        <v>0</v>
      </c>
      <c r="K110" s="289">
        <f>-_xlfn.IFNA(VLOOKUP($A110,ISB!$A:$BY,76,FALSE),0)</f>
        <v>0</v>
      </c>
      <c r="M110" s="288">
        <f>VLOOKUP($A110,EY!$A:$AAK,132,FALSE)</f>
        <v>0</v>
      </c>
      <c r="N110" s="288">
        <f>VLOOKUP($A110,EY!$A:$AAD,133,FALSE)</f>
        <v>0</v>
      </c>
      <c r="P110" s="288">
        <f>VLOOKUP($A110,HN!$A:$AM,38,FALSE)</f>
        <v>4366725</v>
      </c>
      <c r="Q110" s="288">
        <f>VLOOKUP($A110,HN!$A:$AM,39,FALSE)</f>
        <v>2893388.7977496423</v>
      </c>
      <c r="S110" s="362">
        <f>_xlfn.IFNA(VLOOKUP(A110,'Post 16'!A:AR,44,FALSE),0)</f>
        <v>0</v>
      </c>
      <c r="U110" s="362">
        <f>VLOOKUP(A110,'LA Deductions'!A:W,23,FALSE)</f>
        <v>-9471</v>
      </c>
      <c r="W110" s="289">
        <f>VLOOKUP($A110,'Summary Mar 2026'!$A:$AAG,189,FALSE)-SUMIFS($H110:$U110,$H$7:$U$7,W$7)</f>
        <v>0</v>
      </c>
      <c r="X110" s="289">
        <f>VLOOKUP($A110,'Summary Mar 2026'!$A:$GL,190,FALSE)-SUMIFS($H110:$U110,$H$7:$U$7,X$7)</f>
        <v>0</v>
      </c>
      <c r="Y110" s="289">
        <f>VLOOKUP($A110,'Summary Mar 2026'!$A:$GL,191,FALSE)-SUMIFS($H110:$U110,$H$7:$U$7,Y$7)</f>
        <v>0</v>
      </c>
      <c r="Z110" s="289">
        <f>VLOOKUP($A110,'Summary Mar 2026'!$A:$GL,192,FALSE)-SUMIFS($H110:$U110,$H$7:$U$7,Z$7)</f>
        <v>0</v>
      </c>
      <c r="AA110" s="289">
        <f>VLOOKUP($A110,'Summary Mar 2026'!$A:$GL,193,FALSE)-SUMIFS($H110:$U110,$H$7:$U$7,AA$7)</f>
        <v>0</v>
      </c>
      <c r="AB110" s="289">
        <f>VLOOKUP($A110,'Summary Mar 2026'!$A:$GL,194,FALSE)-SUMIFS($H110:$U110,$H$7:$U$7,AB$7)</f>
        <v>0</v>
      </c>
      <c r="AD110" s="146">
        <f>_xlfn.IFNA(VLOOKUP($A110,'Summary Mar 2026'!$A:$GS,196,FALSE)+VLOOKUP($A110,OtherDSG!$A:$AI,34,FALSE)+VLOOKUP($A110,Grants!$A:$BE,50,FALSE),0)</f>
        <v>4350158.0323913042</v>
      </c>
      <c r="AE110" s="146">
        <f>_xlfn.IFNA(VLOOKUP($A110,'Summary Mar 2026'!$A:$GS,197,FALSE)+VLOOKUP($A110,Grants!$A:$BE,51,FALSE),0)</f>
        <v>97706.482384016446</v>
      </c>
      <c r="AF110" s="146">
        <f>_xlfn.IFNA(VLOOKUP($A110,'Summary Mar 2026'!$A:$GS,198,FALSE)+VLOOKUP($A110,OtherDSG!$A:$AI,35,FALSE)+VLOOKUP($A110,Grants!$A:$BE,52,FALSE),0)</f>
        <v>4126673.9823998371</v>
      </c>
      <c r="AG110" s="146">
        <f>_xlfn.IFNA(VLOOKUP($A110,Grants!$A:$BE,53,FALSE),0)</f>
        <v>211065</v>
      </c>
      <c r="AH110" s="146">
        <f>_xlfn.IFNA(VLOOKUP($A110,Grants!$A:$BE,54,FALSE),0)</f>
        <v>1732.9299999999998</v>
      </c>
      <c r="AI110" s="146">
        <f>_xlfn.IFNA(VLOOKUP($A110,Grants!$A:$BE,55,FALSE),0)</f>
        <v>0</v>
      </c>
      <c r="AJ110" s="146">
        <f>_xlfn.IFNA(VLOOKUP($A110,Barclays!$A:$T,18,FALSE),0)</f>
        <v>0</v>
      </c>
      <c r="AK110" s="146">
        <f>_xlfn.IFNA(VLOOKUP($A110,'Summary Mar 2026'!$A:$GS,200,FALSE),0)</f>
        <v>0</v>
      </c>
      <c r="AL110" s="146">
        <f>_xlfn.IFNA(VLOOKUP($A110,Barclays!$A:$T,19,FALSE),0)</f>
        <v>0</v>
      </c>
      <c r="AM110" s="146">
        <f>_xlfn.IFNA(VLOOKUP($A110,'Summary Mar 2026'!$A:$GS,201,FALSE),0)</f>
        <v>-9471</v>
      </c>
      <c r="AN110" s="146">
        <f>_xlfn.IFNA(VLOOKUP($A110,'Summary Mar 2026'!$A:$GS,199,FALSE),0)</f>
        <v>0</v>
      </c>
      <c r="AO110" s="146">
        <f>_xlfn.IFNA(VLOOKUP($A110,Grants!$A:$BE,56,FALSE),0)</f>
        <v>24503.13</v>
      </c>
      <c r="AP110" s="65">
        <f t="shared" si="1"/>
        <v>8802368.5571751576</v>
      </c>
    </row>
    <row r="111" spans="1:42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0" t="str">
        <f>VLOOKUP(A111,'Summary Mar 2026'!$A$8:$F$206,6,FALSE)</f>
        <v>Chq Bk</v>
      </c>
      <c r="H111" s="288">
        <f>_xlfn.IFNA(VLOOKUP($A111,ISB!$A:$BY,67,FALSE),0)</f>
        <v>6706745.3157706521</v>
      </c>
      <c r="I111" s="861">
        <f>_xlfn.IFNA(VLOOKUP(A111,'LA Deductions'!A:AN,40,FALSE),0)</f>
        <v>0</v>
      </c>
      <c r="J111" s="221">
        <f>_xlfn.IFNA(VLOOKUP($A111,ISB!$A:$BY,72,FALSE),0)</f>
        <v>-16607.25</v>
      </c>
      <c r="K111" s="289">
        <f>-_xlfn.IFNA(VLOOKUP($A111,ISB!$A:$BY,76,FALSE),0)</f>
        <v>-111907.34</v>
      </c>
      <c r="M111" s="288">
        <f>VLOOKUP($A111,EY!$A:$AAK,132,FALSE)</f>
        <v>0</v>
      </c>
      <c r="N111" s="288">
        <f>VLOOKUP($A111,EY!$A:$AAD,133,FALSE)</f>
        <v>0</v>
      </c>
      <c r="P111" s="288">
        <f>VLOOKUP($A111,HN!$A:$AM,38,FALSE)</f>
        <v>0</v>
      </c>
      <c r="Q111" s="288">
        <f>VLOOKUP($A111,HN!$A:$AM,39,FALSE)</f>
        <v>0</v>
      </c>
      <c r="S111" s="362">
        <f>_xlfn.IFNA(VLOOKUP(A111,'Post 16'!A:AR,44,FALSE),0)</f>
        <v>0</v>
      </c>
      <c r="U111" s="362">
        <f>VLOOKUP(A111,'LA Deductions'!A:W,23,FALSE)</f>
        <v>-24312.75</v>
      </c>
      <c r="W111" s="289">
        <f>VLOOKUP($A111,'Summary Mar 2026'!$A:$AAG,189,FALSE)-SUMIFS($H111:$U111,$H$7:$U$7,W$7)</f>
        <v>0</v>
      </c>
      <c r="X111" s="289">
        <f>VLOOKUP($A111,'Summary Mar 2026'!$A:$GL,190,FALSE)-SUMIFS($H111:$U111,$H$7:$U$7,X$7)</f>
        <v>0</v>
      </c>
      <c r="Y111" s="289">
        <f>VLOOKUP($A111,'Summary Mar 2026'!$A:$GL,191,FALSE)-SUMIFS($H111:$U111,$H$7:$U$7,Y$7)</f>
        <v>0</v>
      </c>
      <c r="Z111" s="289">
        <f>VLOOKUP($A111,'Summary Mar 2026'!$A:$GL,192,FALSE)-SUMIFS($H111:$U111,$H$7:$U$7,Z$7)</f>
        <v>0</v>
      </c>
      <c r="AA111" s="289">
        <f>VLOOKUP($A111,'Summary Mar 2026'!$A:$GL,193,FALSE)-SUMIFS($H111:$U111,$H$7:$U$7,AA$7)</f>
        <v>0</v>
      </c>
      <c r="AB111" s="289">
        <f>VLOOKUP($A111,'Summary Mar 2026'!$A:$GL,194,FALSE)-SUMIFS($H111:$U111,$H$7:$U$7,AB$7)</f>
        <v>0</v>
      </c>
      <c r="AD111" s="146">
        <f>_xlfn.IFNA(VLOOKUP($A111,'Summary Mar 2026'!$A:$GS,196,FALSE)+VLOOKUP($A111,OtherDSG!$A:$AI,34,FALSE)+VLOOKUP($A111,Grants!$A:$BE,50,FALSE),0)</f>
        <v>6927739.699103985</v>
      </c>
      <c r="AE111" s="146">
        <f>_xlfn.IFNA(VLOOKUP($A111,'Summary Mar 2026'!$A:$GS,197,FALSE)+VLOOKUP($A111,Grants!$A:$BE,51,FALSE),0)</f>
        <v>0</v>
      </c>
      <c r="AF111" s="146">
        <f>_xlfn.IFNA(VLOOKUP($A111,'Summary Mar 2026'!$A:$GS,198,FALSE)+VLOOKUP($A111,OtherDSG!$A:$AI,35,FALSE)+VLOOKUP($A111,Grants!$A:$BE,52,FALSE),0)</f>
        <v>75662.222222222234</v>
      </c>
      <c r="AG111" s="146">
        <f>_xlfn.IFNA(VLOOKUP($A111,Grants!$A:$BE,53,FALSE),0)</f>
        <v>473000</v>
      </c>
      <c r="AH111" s="146">
        <f>_xlfn.IFNA(VLOOKUP($A111,Grants!$A:$BE,54,FALSE),0)</f>
        <v>4612.84</v>
      </c>
      <c r="AI111" s="146">
        <f>_xlfn.IFNA(VLOOKUP($A111,Grants!$A:$BE,55,FALSE),0)</f>
        <v>0</v>
      </c>
      <c r="AJ111" s="146">
        <f>_xlfn.IFNA(VLOOKUP($A111,Barclays!$A:$T,18,FALSE),0)</f>
        <v>0</v>
      </c>
      <c r="AK111" s="146">
        <f>_xlfn.IFNA(VLOOKUP($A111,'Summary Mar 2026'!$A:$GS,200,FALSE),0)</f>
        <v>-111907.33999999998</v>
      </c>
      <c r="AL111" s="146">
        <f>_xlfn.IFNA(VLOOKUP($A111,Barclays!$A:$T,19,FALSE),0)</f>
        <v>0</v>
      </c>
      <c r="AM111" s="146">
        <f>_xlfn.IFNA(VLOOKUP($A111,'Summary Mar 2026'!$A:$GS,201,FALSE),0)</f>
        <v>-24312.75</v>
      </c>
      <c r="AN111" s="146">
        <f>_xlfn.IFNA(VLOOKUP($A111,'Summary Mar 2026'!$A:$GS,199,FALSE),0)</f>
        <v>-16607.25</v>
      </c>
      <c r="AO111" s="146">
        <f>_xlfn.IFNA(VLOOKUP($A111,Grants!$A:$BE,56,FALSE),0)</f>
        <v>17592.810000000001</v>
      </c>
      <c r="AP111" s="65">
        <f t="shared" si="1"/>
        <v>7345780.2313262066</v>
      </c>
    </row>
    <row r="112" spans="1:42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0" t="str">
        <f>VLOOKUP(A112,'Summary Mar 2026'!$A$8:$F$206,6,FALSE)</f>
        <v>Chq Bk</v>
      </c>
      <c r="H112" s="288">
        <f>_xlfn.IFNA(VLOOKUP($A112,ISB!$A:$BY,67,FALSE),0)</f>
        <v>2345745.1730824737</v>
      </c>
      <c r="I112" s="861">
        <f>_xlfn.IFNA(VLOOKUP(A112,'LA Deductions'!A:AN,40,FALSE),0)</f>
        <v>0</v>
      </c>
      <c r="J112" s="221">
        <f>_xlfn.IFNA(VLOOKUP($A112,ISB!$A:$BY,72,FALSE),0)</f>
        <v>-9493.119999999999</v>
      </c>
      <c r="K112" s="289">
        <f>-_xlfn.IFNA(VLOOKUP($A112,ISB!$A:$BY,76,FALSE),0)</f>
        <v>-29679.82</v>
      </c>
      <c r="M112" s="288">
        <f>VLOOKUP($A112,EY!$A:$AAK,132,FALSE)</f>
        <v>110572.52155124655</v>
      </c>
      <c r="N112" s="288">
        <f>VLOOKUP($A112,EY!$A:$AAD,133,FALSE)</f>
        <v>0</v>
      </c>
      <c r="P112" s="288">
        <f>VLOOKUP($A112,HN!$A:$AM,38,FALSE)</f>
        <v>0</v>
      </c>
      <c r="Q112" s="288">
        <f>VLOOKUP($A112,HN!$A:$AM,39,FALSE)</f>
        <v>0</v>
      </c>
      <c r="S112" s="362">
        <f>_xlfn.IFNA(VLOOKUP(A112,'Post 16'!A:AR,44,FALSE),0)</f>
        <v>0</v>
      </c>
      <c r="U112" s="362">
        <f>VLOOKUP(A112,'LA Deductions'!A:W,23,FALSE)</f>
        <v>-9471</v>
      </c>
      <c r="W112" s="289">
        <f>VLOOKUP($A112,'Summary Mar 2026'!$A:$AAG,189,FALSE)-SUMIFS($H112:$U112,$H$7:$U$7,W$7)</f>
        <v>0</v>
      </c>
      <c r="X112" s="289">
        <f>VLOOKUP($A112,'Summary Mar 2026'!$A:$GL,190,FALSE)-SUMIFS($H112:$U112,$H$7:$U$7,X$7)</f>
        <v>0</v>
      </c>
      <c r="Y112" s="289">
        <f>VLOOKUP($A112,'Summary Mar 2026'!$A:$GL,191,FALSE)-SUMIFS($H112:$U112,$H$7:$U$7,Y$7)</f>
        <v>0</v>
      </c>
      <c r="Z112" s="289">
        <f>VLOOKUP($A112,'Summary Mar 2026'!$A:$GL,192,FALSE)-SUMIFS($H112:$U112,$H$7:$U$7,Z$7)</f>
        <v>0</v>
      </c>
      <c r="AA112" s="289">
        <f>VLOOKUP($A112,'Summary Mar 2026'!$A:$GL,193,FALSE)-SUMIFS($H112:$U112,$H$7:$U$7,AA$7)</f>
        <v>0</v>
      </c>
      <c r="AB112" s="289">
        <f>VLOOKUP($A112,'Summary Mar 2026'!$A:$GL,194,FALSE)-SUMIFS($H112:$U112,$H$7:$U$7,AB$7)</f>
        <v>0</v>
      </c>
      <c r="AD112" s="146">
        <f>_xlfn.IFNA(VLOOKUP($A112,'Summary Mar 2026'!$A:$GS,196,FALSE)+VLOOKUP($A112,OtherDSG!$A:$AI,34,FALSE)+VLOOKUP($A112,Grants!$A:$BE,50,FALSE),0)</f>
        <v>2532408.69463372</v>
      </c>
      <c r="AE112" s="146">
        <f>_xlfn.IFNA(VLOOKUP($A112,'Summary Mar 2026'!$A:$GS,197,FALSE)+VLOOKUP($A112,Grants!$A:$BE,51,FALSE),0)</f>
        <v>0</v>
      </c>
      <c r="AF112" s="146">
        <f>_xlfn.IFNA(VLOOKUP($A112,'Summary Mar 2026'!$A:$GS,198,FALSE)+VLOOKUP($A112,OtherDSG!$A:$AI,35,FALSE)+VLOOKUP($A112,Grants!$A:$BE,52,FALSE),0)</f>
        <v>18411.786666666667</v>
      </c>
      <c r="AG112" s="146">
        <f>_xlfn.IFNA(VLOOKUP($A112,Grants!$A:$BE,53,FALSE),0)</f>
        <v>369660</v>
      </c>
      <c r="AH112" s="146">
        <f>_xlfn.IFNA(VLOOKUP($A112,Grants!$A:$BE,54,FALSE),0)</f>
        <v>30380.86</v>
      </c>
      <c r="AI112" s="146">
        <f>_xlfn.IFNA(VLOOKUP($A112,Grants!$A:$BE,55,FALSE),0)</f>
        <v>0</v>
      </c>
      <c r="AJ112" s="146">
        <f>_xlfn.IFNA(VLOOKUP($A112,Barclays!$A:$T,18,FALSE),0)</f>
        <v>28289.53400500014</v>
      </c>
      <c r="AK112" s="146">
        <f>_xlfn.IFNA(VLOOKUP($A112,'Summary Mar 2026'!$A:$GS,200,FALSE),0)</f>
        <v>-29679.819999999996</v>
      </c>
      <c r="AL112" s="146">
        <f>_xlfn.IFNA(VLOOKUP($A112,Barclays!$A:$T,19,FALSE),0)</f>
        <v>-74.889999999999986</v>
      </c>
      <c r="AM112" s="146">
        <f>_xlfn.IFNA(VLOOKUP($A112,'Summary Mar 2026'!$A:$GS,201,FALSE),0)</f>
        <v>-9471</v>
      </c>
      <c r="AN112" s="146">
        <f>_xlfn.IFNA(VLOOKUP($A112,'Summary Mar 2026'!$A:$GS,199,FALSE),0)</f>
        <v>-9493.119999999999</v>
      </c>
      <c r="AO112" s="146">
        <f>_xlfn.IFNA(VLOOKUP($A112,Grants!$A:$BE,56,FALSE),0)</f>
        <v>8491</v>
      </c>
      <c r="AP112" s="65">
        <f t="shared" si="1"/>
        <v>2938923.0453053867</v>
      </c>
    </row>
    <row r="113" spans="1:42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0" t="str">
        <f>VLOOKUP(A113,'Summary Mar 2026'!$A$8:$F$206,6,FALSE)</f>
        <v>Chq Bk</v>
      </c>
      <c r="H113" s="288">
        <f>_xlfn.IFNA(VLOOKUP($A113,ISB!$A:$BY,67,FALSE),0)</f>
        <v>2535059.5683084903</v>
      </c>
      <c r="I113" s="861">
        <f>_xlfn.IFNA(VLOOKUP(A113,'LA Deductions'!A:AN,40,FALSE),0)</f>
        <v>0</v>
      </c>
      <c r="J113" s="221">
        <f>_xlfn.IFNA(VLOOKUP($A113,ISB!$A:$BY,72,FALSE),0)</f>
        <v>-11110.08</v>
      </c>
      <c r="K113" s="289">
        <f>-_xlfn.IFNA(VLOOKUP($A113,ISB!$A:$BY,76,FALSE),0)</f>
        <v>-28884.83</v>
      </c>
      <c r="M113" s="288">
        <f>VLOOKUP($A113,EY!$A:$AAK,132,FALSE)</f>
        <v>151346.09570637118</v>
      </c>
      <c r="N113" s="288">
        <f>VLOOKUP($A113,EY!$A:$AAD,133,FALSE)</f>
        <v>0</v>
      </c>
      <c r="P113" s="288">
        <f>VLOOKUP($A113,HN!$A:$AM,38,FALSE)</f>
        <v>0</v>
      </c>
      <c r="Q113" s="288">
        <f>VLOOKUP($A113,HN!$A:$AM,39,FALSE)</f>
        <v>0</v>
      </c>
      <c r="S113" s="362">
        <f>_xlfn.IFNA(VLOOKUP(A113,'Post 16'!A:AR,44,FALSE),0)</f>
        <v>0</v>
      </c>
      <c r="U113" s="362">
        <f>VLOOKUP(A113,'LA Deductions'!A:W,23,FALSE)</f>
        <v>-9471</v>
      </c>
      <c r="W113" s="289">
        <f>VLOOKUP($A113,'Summary Mar 2026'!$A:$AAG,189,FALSE)-SUMIFS($H113:$U113,$H$7:$U$7,W$7)</f>
        <v>0</v>
      </c>
      <c r="X113" s="289">
        <f>VLOOKUP($A113,'Summary Mar 2026'!$A:$GL,190,FALSE)-SUMIFS($H113:$U113,$H$7:$U$7,X$7)</f>
        <v>0</v>
      </c>
      <c r="Y113" s="289">
        <f>VLOOKUP($A113,'Summary Mar 2026'!$A:$GL,191,FALSE)-SUMIFS($H113:$U113,$H$7:$U$7,Y$7)</f>
        <v>0</v>
      </c>
      <c r="Z113" s="289">
        <f>VLOOKUP($A113,'Summary Mar 2026'!$A:$GL,192,FALSE)-SUMIFS($H113:$U113,$H$7:$U$7,Z$7)</f>
        <v>0</v>
      </c>
      <c r="AA113" s="289">
        <f>VLOOKUP($A113,'Summary Mar 2026'!$A:$GL,193,FALSE)-SUMIFS($H113:$U113,$H$7:$U$7,AA$7)</f>
        <v>0</v>
      </c>
      <c r="AB113" s="289">
        <f>VLOOKUP($A113,'Summary Mar 2026'!$A:$GL,194,FALSE)-SUMIFS($H113:$U113,$H$7:$U$7,AB$7)</f>
        <v>0</v>
      </c>
      <c r="AD113" s="146">
        <f>_xlfn.IFNA(VLOOKUP($A113,'Summary Mar 2026'!$A:$GS,196,FALSE)+VLOOKUP($A113,OtherDSG!$A:$AI,34,FALSE)+VLOOKUP($A113,Grants!$A:$BE,50,FALSE),0)</f>
        <v>2769081.664014861</v>
      </c>
      <c r="AE113" s="146">
        <f>_xlfn.IFNA(VLOOKUP($A113,'Summary Mar 2026'!$A:$GS,197,FALSE)+VLOOKUP($A113,Grants!$A:$BE,51,FALSE),0)</f>
        <v>0</v>
      </c>
      <c r="AF113" s="146">
        <f>_xlfn.IFNA(VLOOKUP($A113,'Summary Mar 2026'!$A:$GS,198,FALSE)+VLOOKUP($A113,OtherDSG!$A:$AI,35,FALSE)+VLOOKUP($A113,Grants!$A:$BE,52,FALSE),0)</f>
        <v>105420.00333333333</v>
      </c>
      <c r="AG113" s="146">
        <f>_xlfn.IFNA(VLOOKUP($A113,Grants!$A:$BE,53,FALSE),0)</f>
        <v>325725</v>
      </c>
      <c r="AH113" s="146">
        <f>_xlfn.IFNA(VLOOKUP($A113,Grants!$A:$BE,54,FALSE),0)</f>
        <v>68059.22</v>
      </c>
      <c r="AI113" s="146">
        <f>_xlfn.IFNA(VLOOKUP($A113,Grants!$A:$BE,55,FALSE),0)</f>
        <v>0</v>
      </c>
      <c r="AJ113" s="146">
        <f>_xlfn.IFNA(VLOOKUP($A113,Barclays!$A:$T,18,FALSE),0)</f>
        <v>14170.117740000011</v>
      </c>
      <c r="AK113" s="146">
        <f>_xlfn.IFNA(VLOOKUP($A113,'Summary Mar 2026'!$A:$GS,200,FALSE),0)</f>
        <v>-28884.830000000005</v>
      </c>
      <c r="AL113" s="146">
        <f>_xlfn.IFNA(VLOOKUP($A113,Barclays!$A:$T,19,FALSE),0)</f>
        <v>-100.55999999999999</v>
      </c>
      <c r="AM113" s="146">
        <f>_xlfn.IFNA(VLOOKUP($A113,'Summary Mar 2026'!$A:$GS,201,FALSE),0)</f>
        <v>-9471</v>
      </c>
      <c r="AN113" s="146">
        <f>_xlfn.IFNA(VLOOKUP($A113,'Summary Mar 2026'!$A:$GS,199,FALSE),0)</f>
        <v>-11110.08</v>
      </c>
      <c r="AO113" s="146">
        <f>_xlfn.IFNA(VLOOKUP($A113,Grants!$A:$BE,56,FALSE),0)</f>
        <v>9141.25</v>
      </c>
      <c r="AP113" s="65">
        <f t="shared" si="1"/>
        <v>3242030.7850881945</v>
      </c>
    </row>
    <row r="114" spans="1:42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0" t="str">
        <f>VLOOKUP(A114,'Summary Mar 2026'!$A$8:$F$206,6,FALSE)</f>
        <v>Chq Bk</v>
      </c>
      <c r="H114" s="288">
        <f>_xlfn.IFNA(VLOOKUP($A114,ISB!$A:$BY,67,FALSE),0)</f>
        <v>0</v>
      </c>
      <c r="I114" s="861">
        <f>_xlfn.IFNA(VLOOKUP(A114,'LA Deductions'!A:AN,40,FALSE),0)</f>
        <v>0</v>
      </c>
      <c r="J114" s="221">
        <f>_xlfn.IFNA(VLOOKUP($A114,ISB!$A:$BY,72,FALSE),0)</f>
        <v>0</v>
      </c>
      <c r="K114" s="289">
        <f>-_xlfn.IFNA(VLOOKUP($A114,ISB!$A:$BY,76,FALSE),0)</f>
        <v>0</v>
      </c>
      <c r="M114" s="288">
        <f>VLOOKUP($A114,EY!$A:$AAK,132,FALSE)</f>
        <v>994734.2635632545</v>
      </c>
      <c r="N114" s="288">
        <f>VLOOKUP($A114,EY!$A:$AAD,133,FALSE)</f>
        <v>4914.4963988919671</v>
      </c>
      <c r="P114" s="288">
        <f>VLOOKUP($A114,HN!$A:$AM,38,FALSE)</f>
        <v>0</v>
      </c>
      <c r="Q114" s="288">
        <f>VLOOKUP($A114,HN!$A:$AM,39,FALSE)</f>
        <v>0</v>
      </c>
      <c r="S114" s="362">
        <f>_xlfn.IFNA(VLOOKUP(A114,'Post 16'!A:AR,44,FALSE),0)</f>
        <v>0</v>
      </c>
      <c r="U114" s="362">
        <f>VLOOKUP(A114,'LA Deductions'!A:W,23,FALSE)</f>
        <v>-3291.75</v>
      </c>
      <c r="W114" s="289">
        <f>VLOOKUP($A114,'Summary Mar 2026'!$A:$AAG,189,FALSE)-SUMIFS($H114:$U114,$H$7:$U$7,W$7)</f>
        <v>0</v>
      </c>
      <c r="X114" s="289">
        <f>VLOOKUP($A114,'Summary Mar 2026'!$A:$GL,190,FALSE)-SUMIFS($H114:$U114,$H$7:$U$7,X$7)</f>
        <v>0</v>
      </c>
      <c r="Y114" s="289">
        <f>VLOOKUP($A114,'Summary Mar 2026'!$A:$GL,191,FALSE)-SUMIFS($H114:$U114,$H$7:$U$7,Y$7)</f>
        <v>0</v>
      </c>
      <c r="Z114" s="289">
        <f>VLOOKUP($A114,'Summary Mar 2026'!$A:$GL,192,FALSE)-SUMIFS($H114:$U114,$H$7:$U$7,Z$7)</f>
        <v>0</v>
      </c>
      <c r="AA114" s="289">
        <f>VLOOKUP($A114,'Summary Mar 2026'!$A:$GL,193,FALSE)-SUMIFS($H114:$U114,$H$7:$U$7,AA$7)</f>
        <v>0</v>
      </c>
      <c r="AB114" s="289">
        <f>VLOOKUP($A114,'Summary Mar 2026'!$A:$GL,194,FALSE)-SUMIFS($H114:$U114,$H$7:$U$7,AB$7)</f>
        <v>0</v>
      </c>
      <c r="AD114" s="146">
        <f>_xlfn.IFNA(VLOOKUP($A114,'Summary Mar 2026'!$A:$GS,196,FALSE)+VLOOKUP($A114,OtherDSG!$A:$AI,34,FALSE)+VLOOKUP($A114,Grants!$A:$BE,50,FALSE),0)</f>
        <v>1020510.2635632544</v>
      </c>
      <c r="AE114" s="146">
        <f>_xlfn.IFNA(VLOOKUP($A114,'Summary Mar 2026'!$A:$GS,197,FALSE)+VLOOKUP($A114,Grants!$A:$BE,51,FALSE),0)</f>
        <v>0</v>
      </c>
      <c r="AF114" s="146">
        <f>_xlfn.IFNA(VLOOKUP($A114,'Summary Mar 2026'!$A:$GS,198,FALSE)+VLOOKUP($A114,OtherDSG!$A:$AI,35,FALSE)+VLOOKUP($A114,Grants!$A:$BE,52,FALSE),0)</f>
        <v>59356.456398891969</v>
      </c>
      <c r="AG114" s="146">
        <f>_xlfn.IFNA(VLOOKUP($A114,Grants!$A:$BE,53,FALSE),0)</f>
        <v>0</v>
      </c>
      <c r="AH114" s="146">
        <f>_xlfn.IFNA(VLOOKUP($A114,Grants!$A:$BE,54,FALSE),0)</f>
        <v>0</v>
      </c>
      <c r="AI114" s="146">
        <f>_xlfn.IFNA(VLOOKUP($A114,Grants!$A:$BE,55,FALSE),0)</f>
        <v>0</v>
      </c>
      <c r="AJ114" s="146">
        <f>_xlfn.IFNA(VLOOKUP($A114,Barclays!$A:$T,18,FALSE),0)</f>
        <v>0</v>
      </c>
      <c r="AK114" s="146">
        <f>_xlfn.IFNA(VLOOKUP($A114,'Summary Mar 2026'!$A:$GS,200,FALSE),0)</f>
        <v>0</v>
      </c>
      <c r="AL114" s="146">
        <f>_xlfn.IFNA(VLOOKUP($A114,Barclays!$A:$T,19,FALSE),0)</f>
        <v>0</v>
      </c>
      <c r="AM114" s="146">
        <f>_xlfn.IFNA(VLOOKUP($A114,'Summary Mar 2026'!$A:$GS,201,FALSE),0)</f>
        <v>-3291.75</v>
      </c>
      <c r="AN114" s="146">
        <f>_xlfn.IFNA(VLOOKUP($A114,'Summary Mar 2026'!$A:$GS,199,FALSE),0)</f>
        <v>0</v>
      </c>
      <c r="AO114" s="146">
        <f>_xlfn.IFNA(VLOOKUP($A114,Grants!$A:$BE,56,FALSE),0)</f>
        <v>5154.25</v>
      </c>
      <c r="AP114" s="65">
        <f t="shared" si="1"/>
        <v>1081729.2199621464</v>
      </c>
    </row>
    <row r="115" spans="1:42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0" t="str">
        <f>VLOOKUP(A115,'Summary Mar 2026'!$A$8:$F$206,6,FALSE)</f>
        <v>Chq Bk</v>
      </c>
      <c r="H115" s="288">
        <f>_xlfn.IFNA(VLOOKUP($A115,ISB!$A:$BY,67,FALSE),0)</f>
        <v>1786889.3131024097</v>
      </c>
      <c r="I115" s="861">
        <f>_xlfn.IFNA(VLOOKUP(A115,'LA Deductions'!A:AN,40,FALSE),0)</f>
        <v>0</v>
      </c>
      <c r="J115" s="221">
        <f>_xlfn.IFNA(VLOOKUP($A115,ISB!$A:$BY,72,FALSE),0)</f>
        <v>-7823.9999999999991</v>
      </c>
      <c r="K115" s="289">
        <f>-_xlfn.IFNA(VLOOKUP($A115,ISB!$A:$BY,76,FALSE),0)</f>
        <v>-20532.46</v>
      </c>
      <c r="M115" s="288">
        <f>VLOOKUP($A115,EY!$A:$AAK,132,FALSE)</f>
        <v>0</v>
      </c>
      <c r="N115" s="288">
        <f>VLOOKUP($A115,EY!$A:$AAD,133,FALSE)</f>
        <v>0</v>
      </c>
      <c r="P115" s="288">
        <f>VLOOKUP($A115,HN!$A:$AM,38,FALSE)</f>
        <v>0</v>
      </c>
      <c r="Q115" s="288">
        <f>VLOOKUP($A115,HN!$A:$AM,39,FALSE)</f>
        <v>0</v>
      </c>
      <c r="S115" s="362">
        <f>_xlfn.IFNA(VLOOKUP(A115,'Post 16'!A:AR,44,FALSE),0)</f>
        <v>0</v>
      </c>
      <c r="U115" s="362">
        <f>VLOOKUP(A115,'LA Deductions'!A:W,23,FALSE)</f>
        <v>-8100</v>
      </c>
      <c r="W115" s="289">
        <f>VLOOKUP($A115,'Summary Mar 2026'!$A:$AAG,189,FALSE)-SUMIFS($H115:$U115,$H$7:$U$7,W$7)</f>
        <v>0</v>
      </c>
      <c r="X115" s="289">
        <f>VLOOKUP($A115,'Summary Mar 2026'!$A:$GL,190,FALSE)-SUMIFS($H115:$U115,$H$7:$U$7,X$7)</f>
        <v>0</v>
      </c>
      <c r="Y115" s="289">
        <f>VLOOKUP($A115,'Summary Mar 2026'!$A:$GL,191,FALSE)-SUMIFS($H115:$U115,$H$7:$U$7,Y$7)</f>
        <v>0</v>
      </c>
      <c r="Z115" s="289">
        <f>VLOOKUP($A115,'Summary Mar 2026'!$A:$GL,192,FALSE)-SUMIFS($H115:$U115,$H$7:$U$7,Z$7)</f>
        <v>0</v>
      </c>
      <c r="AA115" s="289">
        <f>VLOOKUP($A115,'Summary Mar 2026'!$A:$GL,193,FALSE)-SUMIFS($H115:$U115,$H$7:$U$7,AA$7)</f>
        <v>0</v>
      </c>
      <c r="AB115" s="289">
        <f>VLOOKUP($A115,'Summary Mar 2026'!$A:$GL,194,FALSE)-SUMIFS($H115:$U115,$H$7:$U$7,AB$7)</f>
        <v>0</v>
      </c>
      <c r="AD115" s="146">
        <f>_xlfn.IFNA(VLOOKUP($A115,'Summary Mar 2026'!$A:$GS,196,FALSE)+VLOOKUP($A115,OtherDSG!$A:$AI,34,FALSE)+VLOOKUP($A115,Grants!$A:$BE,50,FALSE),0)</f>
        <v>1839451.3131024095</v>
      </c>
      <c r="AE115" s="146">
        <f>_xlfn.IFNA(VLOOKUP($A115,'Summary Mar 2026'!$A:$GS,197,FALSE)+VLOOKUP($A115,Grants!$A:$BE,51,FALSE),0)</f>
        <v>0</v>
      </c>
      <c r="AF115" s="146">
        <f>_xlfn.IFNA(VLOOKUP($A115,'Summary Mar 2026'!$A:$GS,198,FALSE)+VLOOKUP($A115,OtherDSG!$A:$AI,35,FALSE)+VLOOKUP($A115,Grants!$A:$BE,52,FALSE),0)</f>
        <v>178376.36</v>
      </c>
      <c r="AG115" s="146">
        <f>_xlfn.IFNA(VLOOKUP($A115,Grants!$A:$BE,53,FALSE),0)</f>
        <v>193920</v>
      </c>
      <c r="AH115" s="146">
        <f>_xlfn.IFNA(VLOOKUP($A115,Grants!$A:$BE,54,FALSE),0)</f>
        <v>103892</v>
      </c>
      <c r="AI115" s="146">
        <f>_xlfn.IFNA(VLOOKUP($A115,Grants!$A:$BE,55,FALSE),0)</f>
        <v>0</v>
      </c>
      <c r="AJ115" s="146">
        <f>_xlfn.IFNA(VLOOKUP($A115,Barclays!$A:$T,18,FALSE),0)</f>
        <v>0</v>
      </c>
      <c r="AK115" s="146">
        <f>_xlfn.IFNA(VLOOKUP($A115,'Summary Mar 2026'!$A:$GS,200,FALSE),0)</f>
        <v>-20532.460000000003</v>
      </c>
      <c r="AL115" s="146">
        <f>_xlfn.IFNA(VLOOKUP($A115,Barclays!$A:$T,19,FALSE),0)</f>
        <v>0</v>
      </c>
      <c r="AM115" s="146">
        <f>_xlfn.IFNA(VLOOKUP($A115,'Summary Mar 2026'!$A:$GS,201,FALSE),0)</f>
        <v>-8100</v>
      </c>
      <c r="AN115" s="146">
        <f>_xlfn.IFNA(VLOOKUP($A115,'Summary Mar 2026'!$A:$GS,199,FALSE),0)</f>
        <v>-7823.9999999999991</v>
      </c>
      <c r="AO115" s="146">
        <f>_xlfn.IFNA(VLOOKUP($A115,Grants!$A:$BE,56,FALSE),0)</f>
        <v>7712.5</v>
      </c>
      <c r="AP115" s="65">
        <f t="shared" si="1"/>
        <v>2286895.7131024096</v>
      </c>
    </row>
    <row r="116" spans="1:42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0" t="str">
        <f>VLOOKUP(A116,'Summary Mar 2026'!$A$8:$F$206,6,FALSE)</f>
        <v>Chq Bk</v>
      </c>
      <c r="H116" s="288">
        <f>_xlfn.IFNA(VLOOKUP($A116,ISB!$A:$BY,67,FALSE),0)</f>
        <v>3968411.0617282866</v>
      </c>
      <c r="I116" s="861">
        <f>_xlfn.IFNA(VLOOKUP(A116,'LA Deductions'!A:AN,40,FALSE),0)</f>
        <v>0</v>
      </c>
      <c r="J116" s="221">
        <f>_xlfn.IFNA(VLOOKUP($A116,ISB!$A:$BY,72,FALSE),0)</f>
        <v>-16952</v>
      </c>
      <c r="K116" s="289">
        <f>-_xlfn.IFNA(VLOOKUP($A116,ISB!$A:$BY,76,FALSE),0)</f>
        <v>-66127.06</v>
      </c>
      <c r="M116" s="288">
        <f>VLOOKUP($A116,EY!$A:$AAK,132,FALSE)</f>
        <v>214770.16243767313</v>
      </c>
      <c r="N116" s="288">
        <f>VLOOKUP($A116,EY!$A:$AAD,133,FALSE)</f>
        <v>938</v>
      </c>
      <c r="P116" s="288">
        <f>VLOOKUP($A116,HN!$A:$AM,38,FALSE)</f>
        <v>0</v>
      </c>
      <c r="Q116" s="288">
        <f>VLOOKUP($A116,HN!$A:$AM,39,FALSE)</f>
        <v>0</v>
      </c>
      <c r="S116" s="362">
        <f>_xlfn.IFNA(VLOOKUP(A116,'Post 16'!A:AR,44,FALSE),0)</f>
        <v>0</v>
      </c>
      <c r="U116" s="362">
        <f>VLOOKUP(A116,'LA Deductions'!A:W,23,FALSE)</f>
        <v>-18745.650000000001</v>
      </c>
      <c r="W116" s="289">
        <f>VLOOKUP($A116,'Summary Mar 2026'!$A:$AAG,189,FALSE)-SUMIFS($H116:$U116,$H$7:$U$7,W$7)</f>
        <v>0</v>
      </c>
      <c r="X116" s="289">
        <f>VLOOKUP($A116,'Summary Mar 2026'!$A:$GL,190,FALSE)-SUMIFS($H116:$U116,$H$7:$U$7,X$7)</f>
        <v>0</v>
      </c>
      <c r="Y116" s="289">
        <f>VLOOKUP($A116,'Summary Mar 2026'!$A:$GL,191,FALSE)-SUMIFS($H116:$U116,$H$7:$U$7,Y$7)</f>
        <v>0</v>
      </c>
      <c r="Z116" s="289">
        <f>VLOOKUP($A116,'Summary Mar 2026'!$A:$GL,192,FALSE)-SUMIFS($H116:$U116,$H$7:$U$7,Z$7)</f>
        <v>0</v>
      </c>
      <c r="AA116" s="289">
        <f>VLOOKUP($A116,'Summary Mar 2026'!$A:$GL,193,FALSE)-SUMIFS($H116:$U116,$H$7:$U$7,AA$7)</f>
        <v>0</v>
      </c>
      <c r="AB116" s="289">
        <f>VLOOKUP($A116,'Summary Mar 2026'!$A:$GL,194,FALSE)-SUMIFS($H116:$U116,$H$7:$U$7,AB$7)</f>
        <v>0</v>
      </c>
      <c r="AD116" s="146">
        <f>_xlfn.IFNA(VLOOKUP($A116,'Summary Mar 2026'!$A:$GS,196,FALSE)+VLOOKUP($A116,OtherDSG!$A:$AI,34,FALSE)+VLOOKUP($A116,Grants!$A:$BE,50,FALSE),0)</f>
        <v>4308223.2241659584</v>
      </c>
      <c r="AE116" s="146">
        <f>_xlfn.IFNA(VLOOKUP($A116,'Summary Mar 2026'!$A:$GS,197,FALSE)+VLOOKUP($A116,Grants!$A:$BE,51,FALSE),0)</f>
        <v>0</v>
      </c>
      <c r="AF116" s="146">
        <f>_xlfn.IFNA(VLOOKUP($A116,'Summary Mar 2026'!$A:$GS,198,FALSE)+VLOOKUP($A116,OtherDSG!$A:$AI,35,FALSE)+VLOOKUP($A116,Grants!$A:$BE,52,FALSE),0)</f>
        <v>280593.67433333333</v>
      </c>
      <c r="AG116" s="146">
        <f>_xlfn.IFNA(VLOOKUP($A116,Grants!$A:$BE,53,FALSE),0)</f>
        <v>536310</v>
      </c>
      <c r="AH116" s="146">
        <f>_xlfn.IFNA(VLOOKUP($A116,Grants!$A:$BE,54,FALSE),0)</f>
        <v>86026.22</v>
      </c>
      <c r="AI116" s="146">
        <f>_xlfn.IFNA(VLOOKUP($A116,Grants!$A:$BE,55,FALSE),0)</f>
        <v>0</v>
      </c>
      <c r="AJ116" s="146">
        <f>_xlfn.IFNA(VLOOKUP($A116,Barclays!$A:$T,18,FALSE),0)</f>
        <v>0</v>
      </c>
      <c r="AK116" s="146">
        <f>_xlfn.IFNA(VLOOKUP($A116,'Summary Mar 2026'!$A:$GS,200,FALSE),0)</f>
        <v>-66127.06</v>
      </c>
      <c r="AL116" s="146">
        <f>_xlfn.IFNA(VLOOKUP($A116,Barclays!$A:$T,19,FALSE),0)</f>
        <v>0</v>
      </c>
      <c r="AM116" s="146">
        <f>_xlfn.IFNA(VLOOKUP($A116,'Summary Mar 2026'!$A:$GS,201,FALSE),0)</f>
        <v>-18745.650000000001</v>
      </c>
      <c r="AN116" s="146">
        <f>_xlfn.IFNA(VLOOKUP($A116,'Summary Mar 2026'!$A:$GS,199,FALSE),0)</f>
        <v>-16951.999999999996</v>
      </c>
      <c r="AO116" s="146">
        <f>_xlfn.IFNA(VLOOKUP($A116,Grants!$A:$BE,56,FALSE),0)</f>
        <v>11825.5</v>
      </c>
      <c r="AP116" s="65">
        <f t="shared" si="1"/>
        <v>5121153.9084992912</v>
      </c>
    </row>
    <row r="117" spans="1:42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0" t="str">
        <f>VLOOKUP(A117,'Summary Mar 2026'!$A$8:$F$206,6,FALSE)</f>
        <v>Chq Bk</v>
      </c>
      <c r="H117" s="288">
        <f>_xlfn.IFNA(VLOOKUP($A117,ISB!$A:$BY,67,FALSE),0)</f>
        <v>0</v>
      </c>
      <c r="I117" s="861">
        <f>_xlfn.IFNA(VLOOKUP(A117,'LA Deductions'!A:AN,40,FALSE),0)</f>
        <v>0</v>
      </c>
      <c r="J117" s="221">
        <f>_xlfn.IFNA(VLOOKUP($A117,ISB!$A:$BY,72,FALSE),0)</f>
        <v>0</v>
      </c>
      <c r="K117" s="289">
        <f>-_xlfn.IFNA(VLOOKUP($A117,ISB!$A:$BY,76,FALSE),0)</f>
        <v>0</v>
      </c>
      <c r="M117" s="288">
        <f>VLOOKUP($A117,EY!$A:$AAK,132,FALSE)</f>
        <v>0</v>
      </c>
      <c r="N117" s="288">
        <f>VLOOKUP($A117,EY!$A:$AAD,133,FALSE)</f>
        <v>0</v>
      </c>
      <c r="P117" s="288">
        <f>VLOOKUP($A117,HN!$A:$AM,38,FALSE)</f>
        <v>1271325</v>
      </c>
      <c r="Q117" s="288">
        <f>VLOOKUP($A117,HN!$A:$AM,39,FALSE)</f>
        <v>1478624.1341974649</v>
      </c>
      <c r="S117" s="362">
        <f>_xlfn.IFNA(VLOOKUP(A117,'Post 16'!A:AR,44,FALSE),0)</f>
        <v>0</v>
      </c>
      <c r="U117" s="362">
        <f>VLOOKUP(A117,'LA Deductions'!A:W,23,FALSE)</f>
        <v>-3291.75</v>
      </c>
      <c r="W117" s="289">
        <f>VLOOKUP($A117,'Summary Mar 2026'!$A:$AAG,189,FALSE)-SUMIFS($H117:$U117,$H$7:$U$7,W$7)</f>
        <v>0</v>
      </c>
      <c r="X117" s="289">
        <f>VLOOKUP($A117,'Summary Mar 2026'!$A:$GL,190,FALSE)-SUMIFS($H117:$U117,$H$7:$U$7,X$7)</f>
        <v>0</v>
      </c>
      <c r="Y117" s="289">
        <f>VLOOKUP($A117,'Summary Mar 2026'!$A:$GL,191,FALSE)-SUMIFS($H117:$U117,$H$7:$U$7,Y$7)</f>
        <v>0</v>
      </c>
      <c r="Z117" s="289">
        <f>VLOOKUP($A117,'Summary Mar 2026'!$A:$GL,192,FALSE)-SUMIFS($H117:$U117,$H$7:$U$7,Z$7)</f>
        <v>0</v>
      </c>
      <c r="AA117" s="289">
        <f>VLOOKUP($A117,'Summary Mar 2026'!$A:$GL,193,FALSE)-SUMIFS($H117:$U117,$H$7:$U$7,AA$7)</f>
        <v>0</v>
      </c>
      <c r="AB117" s="289">
        <f>VLOOKUP($A117,'Summary Mar 2026'!$A:$GL,194,FALSE)-SUMIFS($H117:$U117,$H$7:$U$7,AB$7)</f>
        <v>0</v>
      </c>
      <c r="AD117" s="146">
        <f>_xlfn.IFNA(VLOOKUP($A117,'Summary Mar 2026'!$A:$GS,196,FALSE)+VLOOKUP($A117,OtherDSG!$A:$AI,34,FALSE)+VLOOKUP($A117,Grants!$A:$BE,50,FALSE),0)</f>
        <v>1267256.6567391304</v>
      </c>
      <c r="AE117" s="146">
        <f>_xlfn.IFNA(VLOOKUP($A117,'Summary Mar 2026'!$A:$GS,197,FALSE)+VLOOKUP($A117,Grants!$A:$BE,51,FALSE),0)</f>
        <v>0</v>
      </c>
      <c r="AF117" s="146">
        <f>_xlfn.IFNA(VLOOKUP($A117,'Summary Mar 2026'!$A:$GS,198,FALSE)+VLOOKUP($A117,OtherDSG!$A:$AI,35,FALSE)+VLOOKUP($A117,Grants!$A:$BE,52,FALSE),0)</f>
        <v>1961182.2142001709</v>
      </c>
      <c r="AG117" s="146">
        <f>_xlfn.IFNA(VLOOKUP($A117,Grants!$A:$BE,53,FALSE),0)</f>
        <v>90450</v>
      </c>
      <c r="AH117" s="146">
        <f>_xlfn.IFNA(VLOOKUP($A117,Grants!$A:$BE,54,FALSE),0)</f>
        <v>20156</v>
      </c>
      <c r="AI117" s="146">
        <f>_xlfn.IFNA(VLOOKUP($A117,Grants!$A:$BE,55,FALSE),0)</f>
        <v>0</v>
      </c>
      <c r="AJ117" s="146">
        <f>_xlfn.IFNA(VLOOKUP($A117,Barclays!$A:$T,18,FALSE),0)</f>
        <v>1740.4500000000003</v>
      </c>
      <c r="AK117" s="146">
        <f>_xlfn.IFNA(VLOOKUP($A117,'Summary Mar 2026'!$A:$GS,200,FALSE),0)</f>
        <v>0</v>
      </c>
      <c r="AL117" s="146">
        <f>_xlfn.IFNA(VLOOKUP($A117,Barclays!$A:$T,19,FALSE),0)</f>
        <v>-91.04000000000002</v>
      </c>
      <c r="AM117" s="146">
        <f>_xlfn.IFNA(VLOOKUP($A117,'Summary Mar 2026'!$A:$GS,201,FALSE),0)</f>
        <v>-3291.75</v>
      </c>
      <c r="AN117" s="146">
        <f>_xlfn.IFNA(VLOOKUP($A117,'Summary Mar 2026'!$A:$GS,199,FALSE),0)</f>
        <v>0</v>
      </c>
      <c r="AO117" s="146">
        <f>_xlfn.IFNA(VLOOKUP($A117,Grants!$A:$BE,56,FALSE),0)</f>
        <v>8809.3799999999992</v>
      </c>
      <c r="AP117" s="65">
        <f t="shared" si="1"/>
        <v>3346211.9109393014</v>
      </c>
    </row>
    <row r="118" spans="1:42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0" t="str">
        <f>VLOOKUP(A118,'Summary Mar 2026'!$A$8:$F$206,6,FALSE)</f>
        <v>Chq Bk</v>
      </c>
      <c r="H118" s="288">
        <f>_xlfn.IFNA(VLOOKUP($A118,ISB!$A:$BY,67,FALSE),0)</f>
        <v>1226089.5734834147</v>
      </c>
      <c r="I118" s="861">
        <f>_xlfn.IFNA(VLOOKUP(A118,'LA Deductions'!A:AN,40,FALSE),0)</f>
        <v>0</v>
      </c>
      <c r="J118" s="221">
        <f>_xlfn.IFNA(VLOOKUP($A118,ISB!$A:$BY,72,FALSE),0)</f>
        <v>-5398.5599999999995</v>
      </c>
      <c r="K118" s="289">
        <f>-_xlfn.IFNA(VLOOKUP($A118,ISB!$A:$BY,76,FALSE),0)</f>
        <v>-3921.97</v>
      </c>
      <c r="M118" s="288">
        <f>VLOOKUP($A118,EY!$A:$AAK,132,FALSE)</f>
        <v>0</v>
      </c>
      <c r="N118" s="288">
        <f>VLOOKUP($A118,EY!$A:$AAD,133,FALSE)</f>
        <v>0</v>
      </c>
      <c r="P118" s="288">
        <f>VLOOKUP($A118,HN!$A:$AM,38,FALSE)</f>
        <v>0</v>
      </c>
      <c r="Q118" s="288">
        <f>VLOOKUP($A118,HN!$A:$AM,39,FALSE)</f>
        <v>0</v>
      </c>
      <c r="S118" s="362">
        <f>_xlfn.IFNA(VLOOKUP(A118,'Post 16'!A:AR,44,FALSE),0)</f>
        <v>0</v>
      </c>
      <c r="U118" s="362">
        <f>VLOOKUP(A118,'LA Deductions'!A:W,23,FALSE)</f>
        <v>-5139.75</v>
      </c>
      <c r="W118" s="289">
        <f>VLOOKUP($A118,'Summary Mar 2026'!$A:$AAG,189,FALSE)-SUMIFS($H118:$U118,$H$7:$U$7,W$7)</f>
        <v>0</v>
      </c>
      <c r="X118" s="289">
        <f>VLOOKUP($A118,'Summary Mar 2026'!$A:$GL,190,FALSE)-SUMIFS($H118:$U118,$H$7:$U$7,X$7)</f>
        <v>0</v>
      </c>
      <c r="Y118" s="289">
        <f>VLOOKUP($A118,'Summary Mar 2026'!$A:$GL,191,FALSE)-SUMIFS($H118:$U118,$H$7:$U$7,Y$7)</f>
        <v>0</v>
      </c>
      <c r="Z118" s="289">
        <f>VLOOKUP($A118,'Summary Mar 2026'!$A:$GL,192,FALSE)-SUMIFS($H118:$U118,$H$7:$U$7,Z$7)</f>
        <v>0</v>
      </c>
      <c r="AA118" s="289">
        <f>VLOOKUP($A118,'Summary Mar 2026'!$A:$GL,193,FALSE)-SUMIFS($H118:$U118,$H$7:$U$7,AA$7)</f>
        <v>0</v>
      </c>
      <c r="AB118" s="289">
        <f>VLOOKUP($A118,'Summary Mar 2026'!$A:$GL,194,FALSE)-SUMIFS($H118:$U118,$H$7:$U$7,AB$7)</f>
        <v>0</v>
      </c>
      <c r="AD118" s="146">
        <f>_xlfn.IFNA(VLOOKUP($A118,'Summary Mar 2026'!$A:$GS,196,FALSE)+VLOOKUP($A118,OtherDSG!$A:$AI,34,FALSE)+VLOOKUP($A118,Grants!$A:$BE,50,FALSE),0)</f>
        <v>1260523.5734834147</v>
      </c>
      <c r="AE118" s="146">
        <f>_xlfn.IFNA(VLOOKUP($A118,'Summary Mar 2026'!$A:$GS,197,FALSE)+VLOOKUP($A118,Grants!$A:$BE,51,FALSE),0)</f>
        <v>0</v>
      </c>
      <c r="AF118" s="146">
        <f>_xlfn.IFNA(VLOOKUP($A118,'Summary Mar 2026'!$A:$GS,198,FALSE)+VLOOKUP($A118,OtherDSG!$A:$AI,35,FALSE)+VLOOKUP($A118,Grants!$A:$BE,52,FALSE),0)</f>
        <v>182302.59</v>
      </c>
      <c r="AG118" s="146">
        <f>_xlfn.IFNA(VLOOKUP($A118,Grants!$A:$BE,53,FALSE),0)</f>
        <v>90900</v>
      </c>
      <c r="AH118" s="146">
        <f>_xlfn.IFNA(VLOOKUP($A118,Grants!$A:$BE,54,FALSE),0)</f>
        <v>57494.86</v>
      </c>
      <c r="AI118" s="146">
        <f>_xlfn.IFNA(VLOOKUP($A118,Grants!$A:$BE,55,FALSE),0)</f>
        <v>0</v>
      </c>
      <c r="AJ118" s="146">
        <f>_xlfn.IFNA(VLOOKUP($A118,Barclays!$A:$T,18,FALSE),0)</f>
        <v>10688.063030000003</v>
      </c>
      <c r="AK118" s="146">
        <f>_xlfn.IFNA(VLOOKUP($A118,'Summary Mar 2026'!$A:$GS,200,FALSE),0)</f>
        <v>-3921.9700000000007</v>
      </c>
      <c r="AL118" s="146">
        <f>_xlfn.IFNA(VLOOKUP($A118,Barclays!$A:$T,19,FALSE),0)</f>
        <v>-190.04</v>
      </c>
      <c r="AM118" s="146">
        <f>_xlfn.IFNA(VLOOKUP($A118,'Summary Mar 2026'!$A:$GS,201,FALSE),0)</f>
        <v>-5139.75</v>
      </c>
      <c r="AN118" s="146">
        <f>_xlfn.IFNA(VLOOKUP($A118,'Summary Mar 2026'!$A:$GS,199,FALSE),0)</f>
        <v>-5398.56</v>
      </c>
      <c r="AO118" s="146">
        <f>_xlfn.IFNA(VLOOKUP($A118,Grants!$A:$BE,56,FALSE),0)</f>
        <v>0</v>
      </c>
      <c r="AP118" s="65">
        <f t="shared" si="1"/>
        <v>1587258.7665134149</v>
      </c>
    </row>
    <row r="119" spans="1:42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0" t="str">
        <f>VLOOKUP(A119,'Summary Mar 2026'!$A$8:$F$206,6,FALSE)</f>
        <v>Chq Bk</v>
      </c>
      <c r="H119" s="288">
        <f>_xlfn.IFNA(VLOOKUP($A119,ISB!$A:$BY,67,FALSE),0)</f>
        <v>1173317.3556819905</v>
      </c>
      <c r="I119" s="861">
        <f>_xlfn.IFNA(VLOOKUP(A119,'LA Deductions'!A:AN,40,FALSE),0)</f>
        <v>0</v>
      </c>
      <c r="J119" s="221">
        <f>_xlfn.IFNA(VLOOKUP($A119,ISB!$A:$BY,72,FALSE),0)</f>
        <v>-5398.5599999999995</v>
      </c>
      <c r="K119" s="289">
        <f>-_xlfn.IFNA(VLOOKUP($A119,ISB!$A:$BY,76,FALSE),0)</f>
        <v>-3974.98</v>
      </c>
      <c r="M119" s="288">
        <f>VLOOKUP($A119,EY!$A:$AAK,132,FALSE)</f>
        <v>0</v>
      </c>
      <c r="N119" s="288">
        <f>VLOOKUP($A119,EY!$A:$AAD,133,FALSE)</f>
        <v>0</v>
      </c>
      <c r="P119" s="288">
        <f>VLOOKUP($A119,HN!$A:$AM,38,FALSE)</f>
        <v>0</v>
      </c>
      <c r="Q119" s="288">
        <f>VLOOKUP($A119,HN!$A:$AM,39,FALSE)</f>
        <v>0</v>
      </c>
      <c r="S119" s="362">
        <f>_xlfn.IFNA(VLOOKUP(A119,'Post 16'!A:AR,44,FALSE),0)</f>
        <v>0</v>
      </c>
      <c r="U119" s="362">
        <f>VLOOKUP(A119,'LA Deductions'!A:W,23,FALSE)</f>
        <v>0</v>
      </c>
      <c r="W119" s="289">
        <f>VLOOKUP($A119,'Summary Mar 2026'!$A:$AAG,189,FALSE)-SUMIFS($H119:$U119,$H$7:$U$7,W$7)</f>
        <v>0</v>
      </c>
      <c r="X119" s="289">
        <f>VLOOKUP($A119,'Summary Mar 2026'!$A:$GL,190,FALSE)-SUMIFS($H119:$U119,$H$7:$U$7,X$7)</f>
        <v>0</v>
      </c>
      <c r="Y119" s="289">
        <f>VLOOKUP($A119,'Summary Mar 2026'!$A:$GL,191,FALSE)-SUMIFS($H119:$U119,$H$7:$U$7,Y$7)</f>
        <v>0</v>
      </c>
      <c r="Z119" s="289">
        <f>VLOOKUP($A119,'Summary Mar 2026'!$A:$GL,192,FALSE)-SUMIFS($H119:$U119,$H$7:$U$7,Z$7)</f>
        <v>0</v>
      </c>
      <c r="AA119" s="289">
        <f>VLOOKUP($A119,'Summary Mar 2026'!$A:$GL,193,FALSE)-SUMIFS($H119:$U119,$H$7:$U$7,AA$7)</f>
        <v>0</v>
      </c>
      <c r="AB119" s="289">
        <f>VLOOKUP($A119,'Summary Mar 2026'!$A:$GL,194,FALSE)-SUMIFS($H119:$U119,$H$7:$U$7,AB$7)</f>
        <v>0</v>
      </c>
      <c r="AD119" s="146">
        <f>_xlfn.IFNA(VLOOKUP($A119,'Summary Mar 2026'!$A:$GS,196,FALSE)+VLOOKUP($A119,OtherDSG!$A:$AI,34,FALSE)+VLOOKUP($A119,Grants!$A:$BE,50,FALSE),0)</f>
        <v>1207972.3556819907</v>
      </c>
      <c r="AE119" s="146">
        <f>_xlfn.IFNA(VLOOKUP($A119,'Summary Mar 2026'!$A:$GS,197,FALSE)+VLOOKUP($A119,Grants!$A:$BE,51,FALSE),0)</f>
        <v>0</v>
      </c>
      <c r="AF119" s="146">
        <f>_xlfn.IFNA(VLOOKUP($A119,'Summary Mar 2026'!$A:$GS,198,FALSE)+VLOOKUP($A119,OtherDSG!$A:$AI,35,FALSE)+VLOOKUP($A119,Grants!$A:$BE,52,FALSE),0)</f>
        <v>58934.896666666667</v>
      </c>
      <c r="AG119" s="146">
        <f>_xlfn.IFNA(VLOOKUP($A119,Grants!$A:$BE,53,FALSE),0)</f>
        <v>98025</v>
      </c>
      <c r="AH119" s="146">
        <f>_xlfn.IFNA(VLOOKUP($A119,Grants!$A:$BE,54,FALSE),0)</f>
        <v>44289</v>
      </c>
      <c r="AI119" s="146">
        <f>_xlfn.IFNA(VLOOKUP($A119,Grants!$A:$BE,55,FALSE),0)</f>
        <v>0</v>
      </c>
      <c r="AJ119" s="146">
        <f>_xlfn.IFNA(VLOOKUP($A119,Barclays!$A:$T,18,FALSE),0)</f>
        <v>0</v>
      </c>
      <c r="AK119" s="146">
        <f>_xlfn.IFNA(VLOOKUP($A119,'Summary Mar 2026'!$A:$GS,200,FALSE),0)</f>
        <v>-3974.9800000000009</v>
      </c>
      <c r="AL119" s="146">
        <f>_xlfn.IFNA(VLOOKUP($A119,Barclays!$A:$T,19,FALSE),0)</f>
        <v>0</v>
      </c>
      <c r="AM119" s="146">
        <f>_xlfn.IFNA(VLOOKUP($A119,'Summary Mar 2026'!$A:$GS,201,FALSE),0)</f>
        <v>0</v>
      </c>
      <c r="AN119" s="146">
        <f>_xlfn.IFNA(VLOOKUP($A119,'Summary Mar 2026'!$A:$GS,199,FALSE),0)</f>
        <v>-5398.56</v>
      </c>
      <c r="AO119" s="146">
        <f>_xlfn.IFNA(VLOOKUP($A119,Grants!$A:$BE,56,FALSE),0)</f>
        <v>0</v>
      </c>
      <c r="AP119" s="65">
        <f t="shared" si="1"/>
        <v>1399847.7123486574</v>
      </c>
    </row>
    <row r="120" spans="1:42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0" t="str">
        <f>VLOOKUP(A120,'Summary Mar 2026'!$A$8:$F$206,6,FALSE)</f>
        <v>Chq Bk</v>
      </c>
      <c r="H120" s="288">
        <f>_xlfn.IFNA(VLOOKUP($A120,ISB!$A:$BY,67,FALSE),0)</f>
        <v>1373882.8513580489</v>
      </c>
      <c r="I120" s="861">
        <f>_xlfn.IFNA(VLOOKUP(A120,'LA Deductions'!A:AN,40,FALSE),0)</f>
        <v>0</v>
      </c>
      <c r="J120" s="221">
        <f>_xlfn.IFNA(VLOOKUP($A120,ISB!$A:$BY,72,FALSE),0)</f>
        <v>-5320.32</v>
      </c>
      <c r="K120" s="289">
        <f>-_xlfn.IFNA(VLOOKUP($A120,ISB!$A:$BY,76,FALSE),0)</f>
        <v>-5246.96</v>
      </c>
      <c r="M120" s="288">
        <f>VLOOKUP($A120,EY!$A:$AAK,132,FALSE)</f>
        <v>0</v>
      </c>
      <c r="N120" s="288">
        <f>VLOOKUP($A120,EY!$A:$AAD,133,FALSE)</f>
        <v>0</v>
      </c>
      <c r="P120" s="288">
        <f>VLOOKUP($A120,HN!$A:$AM,38,FALSE)</f>
        <v>0</v>
      </c>
      <c r="Q120" s="288">
        <f>VLOOKUP($A120,HN!$A:$AM,39,FALSE)</f>
        <v>0</v>
      </c>
      <c r="S120" s="362">
        <f>_xlfn.IFNA(VLOOKUP(A120,'Post 16'!A:AR,44,FALSE),0)</f>
        <v>0</v>
      </c>
      <c r="U120" s="362">
        <f>VLOOKUP(A120,'LA Deductions'!A:W,23,FALSE)</f>
        <v>-5139.75</v>
      </c>
      <c r="W120" s="289">
        <f>VLOOKUP($A120,'Summary Mar 2026'!$A:$AAG,189,FALSE)-SUMIFS($H120:$U120,$H$7:$U$7,W$7)</f>
        <v>0</v>
      </c>
      <c r="X120" s="289">
        <f>VLOOKUP($A120,'Summary Mar 2026'!$A:$GL,190,FALSE)-SUMIFS($H120:$U120,$H$7:$U$7,X$7)</f>
        <v>0</v>
      </c>
      <c r="Y120" s="289">
        <f>VLOOKUP($A120,'Summary Mar 2026'!$A:$GL,191,FALSE)-SUMIFS($H120:$U120,$H$7:$U$7,Y$7)</f>
        <v>0</v>
      </c>
      <c r="Z120" s="289">
        <f>VLOOKUP($A120,'Summary Mar 2026'!$A:$GL,192,FALSE)-SUMIFS($H120:$U120,$H$7:$U$7,Z$7)</f>
        <v>0</v>
      </c>
      <c r="AA120" s="289">
        <f>VLOOKUP($A120,'Summary Mar 2026'!$A:$GL,193,FALSE)-SUMIFS($H120:$U120,$H$7:$U$7,AA$7)</f>
        <v>0</v>
      </c>
      <c r="AB120" s="289">
        <f>VLOOKUP($A120,'Summary Mar 2026'!$A:$GL,194,FALSE)-SUMIFS($H120:$U120,$H$7:$U$7,AB$7)</f>
        <v>0</v>
      </c>
      <c r="AD120" s="146">
        <f>_xlfn.IFNA(VLOOKUP($A120,'Summary Mar 2026'!$A:$GS,196,FALSE)+VLOOKUP($A120,OtherDSG!$A:$AI,34,FALSE)+VLOOKUP($A120,Grants!$A:$BE,50,FALSE),0)</f>
        <v>1415586.8513580486</v>
      </c>
      <c r="AE120" s="146">
        <f>_xlfn.IFNA(VLOOKUP($A120,'Summary Mar 2026'!$A:$GS,197,FALSE)+VLOOKUP($A120,Grants!$A:$BE,51,FALSE),0)</f>
        <v>0</v>
      </c>
      <c r="AF120" s="146">
        <f>_xlfn.IFNA(VLOOKUP($A120,'Summary Mar 2026'!$A:$GS,198,FALSE)+VLOOKUP($A120,OtherDSG!$A:$AI,35,FALSE)+VLOOKUP($A120,Grants!$A:$BE,52,FALSE),0)</f>
        <v>92119.736666666664</v>
      </c>
      <c r="AG120" s="146">
        <f>_xlfn.IFNA(VLOOKUP($A120,Grants!$A:$BE,53,FALSE),0)</f>
        <v>193920</v>
      </c>
      <c r="AH120" s="146">
        <f>_xlfn.IFNA(VLOOKUP($A120,Grants!$A:$BE,54,FALSE),0)</f>
        <v>35725</v>
      </c>
      <c r="AI120" s="146">
        <f>_xlfn.IFNA(VLOOKUP($A120,Grants!$A:$BE,55,FALSE),0)</f>
        <v>0</v>
      </c>
      <c r="AJ120" s="146">
        <f>_xlfn.IFNA(VLOOKUP($A120,Barclays!$A:$T,18,FALSE),0)</f>
        <v>2175.9499999999998</v>
      </c>
      <c r="AK120" s="146">
        <f>_xlfn.IFNA(VLOOKUP($A120,'Summary Mar 2026'!$A:$GS,200,FALSE),0)</f>
        <v>-5246.9600000000019</v>
      </c>
      <c r="AL120" s="146">
        <f>_xlfn.IFNA(VLOOKUP($A120,Barclays!$A:$T,19,FALSE),0)</f>
        <v>-134.31</v>
      </c>
      <c r="AM120" s="146">
        <f>_xlfn.IFNA(VLOOKUP($A120,'Summary Mar 2026'!$A:$GS,201,FALSE),0)</f>
        <v>-5139.75</v>
      </c>
      <c r="AN120" s="146">
        <f>_xlfn.IFNA(VLOOKUP($A120,'Summary Mar 2026'!$A:$GS,199,FALSE),0)</f>
        <v>-5320.32</v>
      </c>
      <c r="AO120" s="146">
        <f>_xlfn.IFNA(VLOOKUP($A120,Grants!$A:$BE,56,FALSE),0)</f>
        <v>0</v>
      </c>
      <c r="AP120" s="65">
        <f t="shared" si="1"/>
        <v>1723686.1980247151</v>
      </c>
    </row>
    <row r="121" spans="1:42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0" t="str">
        <f>VLOOKUP(A121,'Summary Mar 2026'!$A$8:$F$206,6,FALSE)</f>
        <v>Chq Bk</v>
      </c>
      <c r="H121" s="288">
        <f>_xlfn.IFNA(VLOOKUP($A121,ISB!$A:$BY,67,FALSE),0)</f>
        <v>2223665.3765575271</v>
      </c>
      <c r="I121" s="861">
        <f>_xlfn.IFNA(VLOOKUP(A121,'LA Deductions'!A:AN,40,FALSE),0)</f>
        <v>0</v>
      </c>
      <c r="J121" s="221">
        <f>_xlfn.IFNA(VLOOKUP($A121,ISB!$A:$BY,72,FALSE),0)</f>
        <v>-8919.3599999999988</v>
      </c>
      <c r="K121" s="289">
        <f>-_xlfn.IFNA(VLOOKUP($A121,ISB!$A:$BY,76,FALSE),0)</f>
        <v>-37394.07</v>
      </c>
      <c r="M121" s="288">
        <f>VLOOKUP($A121,EY!$A:$AAK,132,FALSE)</f>
        <v>0</v>
      </c>
      <c r="N121" s="288">
        <f>VLOOKUP($A121,EY!$A:$AAD,133,FALSE)</f>
        <v>0</v>
      </c>
      <c r="P121" s="288">
        <f>VLOOKUP($A121,HN!$A:$AM,38,FALSE)</f>
        <v>176000</v>
      </c>
      <c r="Q121" s="288">
        <f>VLOOKUP($A121,HN!$A:$AM,39,FALSE)</f>
        <v>262481.05</v>
      </c>
      <c r="S121" s="362">
        <f>_xlfn.IFNA(VLOOKUP(A121,'Post 16'!A:AR,44,FALSE),0)</f>
        <v>0</v>
      </c>
      <c r="U121" s="362">
        <f>VLOOKUP(A121,'LA Deductions'!A:W,23,FALSE)</f>
        <v>-9471</v>
      </c>
      <c r="W121" s="289">
        <f>VLOOKUP($A121,'Summary Mar 2026'!$A:$AAG,189,FALSE)-SUMIFS($H121:$U121,$H$7:$U$7,W$7)</f>
        <v>0</v>
      </c>
      <c r="X121" s="289">
        <f>VLOOKUP($A121,'Summary Mar 2026'!$A:$GL,190,FALSE)-SUMIFS($H121:$U121,$H$7:$U$7,X$7)</f>
        <v>0</v>
      </c>
      <c r="Y121" s="289">
        <f>VLOOKUP($A121,'Summary Mar 2026'!$A:$GL,191,FALSE)-SUMIFS($H121:$U121,$H$7:$U$7,Y$7)</f>
        <v>0</v>
      </c>
      <c r="Z121" s="289">
        <f>VLOOKUP($A121,'Summary Mar 2026'!$A:$GL,192,FALSE)-SUMIFS($H121:$U121,$H$7:$U$7,Z$7)</f>
        <v>0</v>
      </c>
      <c r="AA121" s="289">
        <f>VLOOKUP($A121,'Summary Mar 2026'!$A:$GL,193,FALSE)-SUMIFS($H121:$U121,$H$7:$U$7,AA$7)</f>
        <v>0</v>
      </c>
      <c r="AB121" s="289">
        <f>VLOOKUP($A121,'Summary Mar 2026'!$A:$GL,194,FALSE)-SUMIFS($H121:$U121,$H$7:$U$7,AB$7)</f>
        <v>0</v>
      </c>
      <c r="AD121" s="146">
        <f>_xlfn.IFNA(VLOOKUP($A121,'Summary Mar 2026'!$A:$GS,196,FALSE)+VLOOKUP($A121,OtherDSG!$A:$AI,34,FALSE)+VLOOKUP($A121,Grants!$A:$BE,50,FALSE),0)</f>
        <v>2467604.3765575271</v>
      </c>
      <c r="AE121" s="146">
        <f>_xlfn.IFNA(VLOOKUP($A121,'Summary Mar 2026'!$A:$GS,197,FALSE)+VLOOKUP($A121,Grants!$A:$BE,51,FALSE),0)</f>
        <v>0</v>
      </c>
      <c r="AF121" s="146">
        <f>_xlfn.IFNA(VLOOKUP($A121,'Summary Mar 2026'!$A:$GS,198,FALSE)+VLOOKUP($A121,OtherDSG!$A:$AI,35,FALSE)+VLOOKUP($A121,Grants!$A:$BE,52,FALSE),0)</f>
        <v>311040.14999999997</v>
      </c>
      <c r="AG121" s="146">
        <f>_xlfn.IFNA(VLOOKUP($A121,Grants!$A:$BE,53,FALSE),0)</f>
        <v>286335</v>
      </c>
      <c r="AH121" s="146">
        <f>_xlfn.IFNA(VLOOKUP($A121,Grants!$A:$BE,54,FALSE),0)</f>
        <v>65267.25</v>
      </c>
      <c r="AI121" s="146">
        <f>_xlfn.IFNA(VLOOKUP($A121,Grants!$A:$BE,55,FALSE),0)</f>
        <v>0</v>
      </c>
      <c r="AJ121" s="146">
        <f>_xlfn.IFNA(VLOOKUP($A121,Barclays!$A:$T,18,FALSE),0)</f>
        <v>0</v>
      </c>
      <c r="AK121" s="146">
        <f>_xlfn.IFNA(VLOOKUP($A121,'Summary Mar 2026'!$A:$GS,200,FALSE),0)</f>
        <v>-37394.07</v>
      </c>
      <c r="AL121" s="146">
        <f>_xlfn.IFNA(VLOOKUP($A121,Barclays!$A:$T,19,FALSE),0)</f>
        <v>0</v>
      </c>
      <c r="AM121" s="146">
        <f>_xlfn.IFNA(VLOOKUP($A121,'Summary Mar 2026'!$A:$GS,201,FALSE),0)</f>
        <v>-9471</v>
      </c>
      <c r="AN121" s="146">
        <f>_xlfn.IFNA(VLOOKUP($A121,'Summary Mar 2026'!$A:$GS,199,FALSE),0)</f>
        <v>-8919.3599999999988</v>
      </c>
      <c r="AO121" s="146">
        <f>_xlfn.IFNA(VLOOKUP($A121,Grants!$A:$BE,56,FALSE),0)</f>
        <v>8061.25</v>
      </c>
      <c r="AP121" s="65">
        <f t="shared" si="1"/>
        <v>3082523.5965575273</v>
      </c>
    </row>
    <row r="122" spans="1:42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0" t="str">
        <f>VLOOKUP(A122,'Summary Mar 2026'!$A$8:$F$206,6,FALSE)</f>
        <v>Chq Bk</v>
      </c>
      <c r="H122" s="288">
        <f>_xlfn.IFNA(VLOOKUP($A122,ISB!$A:$BY,67,FALSE),0)</f>
        <v>3124939.5287759146</v>
      </c>
      <c r="I122" s="861">
        <f>_xlfn.IFNA(VLOOKUP(A122,'LA Deductions'!A:AN,40,FALSE),0)</f>
        <v>0</v>
      </c>
      <c r="J122" s="221">
        <f>_xlfn.IFNA(VLOOKUP($A122,ISB!$A:$BY,72,FALSE),0)</f>
        <v>-14161.439999999999</v>
      </c>
      <c r="K122" s="289">
        <f>-_xlfn.IFNA(VLOOKUP($A122,ISB!$A:$BY,76,FALSE),0)</f>
        <v>-5776.96</v>
      </c>
      <c r="M122" s="288">
        <f>VLOOKUP($A122,EY!$A:$AAK,132,FALSE)</f>
        <v>170959.40739612188</v>
      </c>
      <c r="N122" s="288">
        <f>VLOOKUP($A122,EY!$A:$AAD,133,FALSE)</f>
        <v>0</v>
      </c>
      <c r="P122" s="288">
        <f>VLOOKUP($A122,HN!$A:$AM,38,FALSE)</f>
        <v>0</v>
      </c>
      <c r="Q122" s="288">
        <f>VLOOKUP($A122,HN!$A:$AM,39,FALSE)</f>
        <v>0</v>
      </c>
      <c r="S122" s="362">
        <f>_xlfn.IFNA(VLOOKUP(A122,'Post 16'!A:AR,44,FALSE),0)</f>
        <v>0</v>
      </c>
      <c r="U122" s="362">
        <f>VLOOKUP(A122,'LA Deductions'!A:W,23,FALSE)</f>
        <v>0</v>
      </c>
      <c r="W122" s="289">
        <f>VLOOKUP($A122,'Summary Mar 2026'!$A:$AAG,189,FALSE)-SUMIFS($H122:$U122,$H$7:$U$7,W$7)</f>
        <v>0</v>
      </c>
      <c r="X122" s="289">
        <f>VLOOKUP($A122,'Summary Mar 2026'!$A:$GL,190,FALSE)-SUMIFS($H122:$U122,$H$7:$U$7,X$7)</f>
        <v>0</v>
      </c>
      <c r="Y122" s="289">
        <f>VLOOKUP($A122,'Summary Mar 2026'!$A:$GL,191,FALSE)-SUMIFS($H122:$U122,$H$7:$U$7,Y$7)</f>
        <v>0</v>
      </c>
      <c r="Z122" s="289">
        <f>VLOOKUP($A122,'Summary Mar 2026'!$A:$GL,192,FALSE)-SUMIFS($H122:$U122,$H$7:$U$7,Z$7)</f>
        <v>0</v>
      </c>
      <c r="AA122" s="289">
        <f>VLOOKUP($A122,'Summary Mar 2026'!$A:$GL,193,FALSE)-SUMIFS($H122:$U122,$H$7:$U$7,AA$7)</f>
        <v>0</v>
      </c>
      <c r="AB122" s="289">
        <f>VLOOKUP($A122,'Summary Mar 2026'!$A:$GL,194,FALSE)-SUMIFS($H122:$U122,$H$7:$U$7,AB$7)</f>
        <v>0</v>
      </c>
      <c r="AD122" s="146">
        <f>_xlfn.IFNA(VLOOKUP($A122,'Summary Mar 2026'!$A:$GS,196,FALSE)+VLOOKUP($A122,OtherDSG!$A:$AI,34,FALSE)+VLOOKUP($A122,Grants!$A:$BE,50,FALSE),0)</f>
        <v>3396447.9361720365</v>
      </c>
      <c r="AE122" s="146">
        <f>_xlfn.IFNA(VLOOKUP($A122,'Summary Mar 2026'!$A:$GS,197,FALSE)+VLOOKUP($A122,Grants!$A:$BE,51,FALSE),0)</f>
        <v>0</v>
      </c>
      <c r="AF122" s="146">
        <f>_xlfn.IFNA(VLOOKUP($A122,'Summary Mar 2026'!$A:$GS,198,FALSE)+VLOOKUP($A122,OtherDSG!$A:$AI,35,FALSE)+VLOOKUP($A122,Grants!$A:$BE,52,FALSE),0)</f>
        <v>160300.96333333332</v>
      </c>
      <c r="AG122" s="146">
        <f>_xlfn.IFNA(VLOOKUP($A122,Grants!$A:$BE,53,FALSE),0)</f>
        <v>390470</v>
      </c>
      <c r="AH122" s="146">
        <f>_xlfn.IFNA(VLOOKUP($A122,Grants!$A:$BE,54,FALSE),0)</f>
        <v>86206.79</v>
      </c>
      <c r="AI122" s="146">
        <f>_xlfn.IFNA(VLOOKUP($A122,Grants!$A:$BE,55,FALSE),0)</f>
        <v>0</v>
      </c>
      <c r="AJ122" s="146">
        <f>_xlfn.IFNA(VLOOKUP($A122,Barclays!$A:$T,18,FALSE),0)</f>
        <v>21197.136849999948</v>
      </c>
      <c r="AK122" s="146">
        <f>_xlfn.IFNA(VLOOKUP($A122,'Summary Mar 2026'!$A:$GS,200,FALSE),0)</f>
        <v>-5776.9599999999991</v>
      </c>
      <c r="AL122" s="146">
        <f>_xlfn.IFNA(VLOOKUP($A122,Barclays!$A:$T,19,FALSE),0)</f>
        <v>-114.78999999999999</v>
      </c>
      <c r="AM122" s="146">
        <f>_xlfn.IFNA(VLOOKUP($A122,'Summary Mar 2026'!$A:$GS,201,FALSE),0)</f>
        <v>0</v>
      </c>
      <c r="AN122" s="146">
        <f>_xlfn.IFNA(VLOOKUP($A122,'Summary Mar 2026'!$A:$GS,199,FALSE),0)</f>
        <v>-14161.439999999995</v>
      </c>
      <c r="AO122" s="146">
        <f>_xlfn.IFNA(VLOOKUP($A122,Grants!$A:$BE,56,FALSE),0)</f>
        <v>0</v>
      </c>
      <c r="AP122" s="65">
        <f t="shared" si="1"/>
        <v>4034569.6363553698</v>
      </c>
    </row>
    <row r="123" spans="1:42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0" t="str">
        <f>VLOOKUP(A123,'Summary Mar 2026'!$A$8:$F$206,6,FALSE)</f>
        <v>Chq Bk</v>
      </c>
      <c r="H123" s="288">
        <f>_xlfn.IFNA(VLOOKUP($A123,ISB!$A:$BY,67,FALSE),0)</f>
        <v>2257512.3451499771</v>
      </c>
      <c r="I123" s="861">
        <f>_xlfn.IFNA(VLOOKUP(A123,'LA Deductions'!A:AN,40,FALSE),0)</f>
        <v>0</v>
      </c>
      <c r="J123" s="221">
        <f>_xlfn.IFNA(VLOOKUP($A123,ISB!$A:$BY,72,FALSE),0)</f>
        <v>-10666.72</v>
      </c>
      <c r="K123" s="289">
        <f>-_xlfn.IFNA(VLOOKUP($A123,ISB!$A:$BY,76,FALSE),0)</f>
        <v>-3789.47</v>
      </c>
      <c r="M123" s="288">
        <f>VLOOKUP($A123,EY!$A:$AAK,132,FALSE)</f>
        <v>0</v>
      </c>
      <c r="N123" s="288">
        <f>VLOOKUP($A123,EY!$A:$AAD,133,FALSE)</f>
        <v>0</v>
      </c>
      <c r="P123" s="288">
        <f>VLOOKUP($A123,HN!$A:$AM,38,FALSE)</f>
        <v>0</v>
      </c>
      <c r="Q123" s="288">
        <f>VLOOKUP($A123,HN!$A:$AM,39,FALSE)</f>
        <v>0</v>
      </c>
      <c r="S123" s="362">
        <f>_xlfn.IFNA(VLOOKUP(A123,'Post 16'!A:AR,44,FALSE),0)</f>
        <v>0</v>
      </c>
      <c r="U123" s="362">
        <f>VLOOKUP(A123,'LA Deductions'!A:W,23,FALSE)</f>
        <v>-9471</v>
      </c>
      <c r="W123" s="289">
        <f>VLOOKUP($A123,'Summary Mar 2026'!$A:$AAG,189,FALSE)-SUMIFS($H123:$U123,$H$7:$U$7,W$7)</f>
        <v>0</v>
      </c>
      <c r="X123" s="289">
        <f>VLOOKUP($A123,'Summary Mar 2026'!$A:$GL,190,FALSE)-SUMIFS($H123:$U123,$H$7:$U$7,X$7)</f>
        <v>0</v>
      </c>
      <c r="Y123" s="289">
        <f>VLOOKUP($A123,'Summary Mar 2026'!$A:$GL,191,FALSE)-SUMIFS($H123:$U123,$H$7:$U$7,Y$7)</f>
        <v>0</v>
      </c>
      <c r="Z123" s="289">
        <f>VLOOKUP($A123,'Summary Mar 2026'!$A:$GL,192,FALSE)-SUMIFS($H123:$U123,$H$7:$U$7,Z$7)</f>
        <v>0</v>
      </c>
      <c r="AA123" s="289">
        <f>VLOOKUP($A123,'Summary Mar 2026'!$A:$GL,193,FALSE)-SUMIFS($H123:$U123,$H$7:$U$7,AA$7)</f>
        <v>0</v>
      </c>
      <c r="AB123" s="289">
        <f>VLOOKUP($A123,'Summary Mar 2026'!$A:$GL,194,FALSE)-SUMIFS($H123:$U123,$H$7:$U$7,AB$7)</f>
        <v>0</v>
      </c>
      <c r="AD123" s="146">
        <f>_xlfn.IFNA(VLOOKUP($A123,'Summary Mar 2026'!$A:$GS,196,FALSE)+VLOOKUP($A123,OtherDSG!$A:$AI,34,FALSE)+VLOOKUP($A123,Grants!$A:$BE,50,FALSE),0)</f>
        <v>2324198.3451499776</v>
      </c>
      <c r="AE123" s="146">
        <f>_xlfn.IFNA(VLOOKUP($A123,'Summary Mar 2026'!$A:$GS,197,FALSE)+VLOOKUP($A123,Grants!$A:$BE,51,FALSE),0)</f>
        <v>0</v>
      </c>
      <c r="AF123" s="146">
        <f>_xlfn.IFNA(VLOOKUP($A123,'Summary Mar 2026'!$A:$GS,198,FALSE)+VLOOKUP($A123,OtherDSG!$A:$AI,35,FALSE)+VLOOKUP($A123,Grants!$A:$BE,52,FALSE),0)</f>
        <v>122142.99666666666</v>
      </c>
      <c r="AG123" s="146">
        <f>_xlfn.IFNA(VLOOKUP($A123,Grants!$A:$BE,53,FALSE),0)</f>
        <v>215130</v>
      </c>
      <c r="AH123" s="146">
        <f>_xlfn.IFNA(VLOOKUP($A123,Grants!$A:$BE,54,FALSE),0)</f>
        <v>74551.64</v>
      </c>
      <c r="AI123" s="146">
        <f>_xlfn.IFNA(VLOOKUP($A123,Grants!$A:$BE,55,FALSE),0)</f>
        <v>0</v>
      </c>
      <c r="AJ123" s="146">
        <f>_xlfn.IFNA(VLOOKUP($A123,Barclays!$A:$T,18,FALSE),0)</f>
        <v>0</v>
      </c>
      <c r="AK123" s="146">
        <f>_xlfn.IFNA(VLOOKUP($A123,'Summary Mar 2026'!$A:$GS,200,FALSE),0)</f>
        <v>-3789.4699999999989</v>
      </c>
      <c r="AL123" s="146">
        <f>_xlfn.IFNA(VLOOKUP($A123,Barclays!$A:$T,19,FALSE),0)</f>
        <v>0</v>
      </c>
      <c r="AM123" s="146">
        <f>_xlfn.IFNA(VLOOKUP($A123,'Summary Mar 2026'!$A:$GS,201,FALSE),0)</f>
        <v>-9471</v>
      </c>
      <c r="AN123" s="146">
        <f>_xlfn.IFNA(VLOOKUP($A123,'Summary Mar 2026'!$A:$GS,199,FALSE),0)</f>
        <v>-10666.72</v>
      </c>
      <c r="AO123" s="146">
        <f>_xlfn.IFNA(VLOOKUP($A123,Grants!$A:$BE,56,FALSE),0)</f>
        <v>0</v>
      </c>
      <c r="AP123" s="65">
        <f t="shared" si="1"/>
        <v>2712095.7918166439</v>
      </c>
    </row>
    <row r="124" spans="1:42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0" t="str">
        <f>VLOOKUP(A124,'Summary Mar 2026'!$A$8:$F$206,6,FALSE)</f>
        <v>Chq Bk</v>
      </c>
      <c r="H124" s="288">
        <f>_xlfn.IFNA(VLOOKUP($A124,ISB!$A:$BY,67,FALSE),0)</f>
        <v>1314787.6202523585</v>
      </c>
      <c r="I124" s="861">
        <f>_xlfn.IFNA(VLOOKUP(A124,'LA Deductions'!A:AN,40,FALSE),0)</f>
        <v>0</v>
      </c>
      <c r="J124" s="221">
        <f>_xlfn.IFNA(VLOOKUP($A124,ISB!$A:$BY,72,FALSE),0)</f>
        <v>-5502.8799999999992</v>
      </c>
      <c r="K124" s="289">
        <f>-_xlfn.IFNA(VLOOKUP($A124,ISB!$A:$BY,76,FALSE),0)</f>
        <v>-8213.56</v>
      </c>
      <c r="M124" s="288">
        <f>VLOOKUP($A124,EY!$A:$AAK,132,FALSE)</f>
        <v>132426.67041551246</v>
      </c>
      <c r="N124" s="288">
        <f>VLOOKUP($A124,EY!$A:$AAD,133,FALSE)</f>
        <v>0</v>
      </c>
      <c r="P124" s="288">
        <f>VLOOKUP($A124,HN!$A:$AM,38,FALSE)</f>
        <v>0</v>
      </c>
      <c r="Q124" s="288">
        <f>VLOOKUP($A124,HN!$A:$AM,39,FALSE)</f>
        <v>0</v>
      </c>
      <c r="S124" s="362">
        <f>_xlfn.IFNA(VLOOKUP(A124,'Post 16'!A:AR,44,FALSE),0)</f>
        <v>0</v>
      </c>
      <c r="U124" s="362">
        <f>VLOOKUP(A124,'LA Deductions'!A:W,23,FALSE)</f>
        <v>0</v>
      </c>
      <c r="W124" s="289">
        <f>VLOOKUP($A124,'Summary Mar 2026'!$A:$AAG,189,FALSE)-SUMIFS($H124:$U124,$H$7:$U$7,W$7)</f>
        <v>0</v>
      </c>
      <c r="X124" s="289">
        <f>VLOOKUP($A124,'Summary Mar 2026'!$A:$GL,190,FALSE)-SUMIFS($H124:$U124,$H$7:$U$7,X$7)</f>
        <v>0</v>
      </c>
      <c r="Y124" s="289">
        <f>VLOOKUP($A124,'Summary Mar 2026'!$A:$GL,191,FALSE)-SUMIFS($H124:$U124,$H$7:$U$7,Y$7)</f>
        <v>0</v>
      </c>
      <c r="Z124" s="289">
        <f>VLOOKUP($A124,'Summary Mar 2026'!$A:$GL,192,FALSE)-SUMIFS($H124:$U124,$H$7:$U$7,Z$7)</f>
        <v>0</v>
      </c>
      <c r="AA124" s="289">
        <f>VLOOKUP($A124,'Summary Mar 2026'!$A:$GL,193,FALSE)-SUMIFS($H124:$U124,$H$7:$U$7,AA$7)</f>
        <v>0</v>
      </c>
      <c r="AB124" s="289">
        <f>VLOOKUP($A124,'Summary Mar 2026'!$A:$GL,194,FALSE)-SUMIFS($H124:$U124,$H$7:$U$7,AB$7)</f>
        <v>0</v>
      </c>
      <c r="AD124" s="146">
        <f>_xlfn.IFNA(VLOOKUP($A124,'Summary Mar 2026'!$A:$GS,196,FALSE)+VLOOKUP($A124,OtherDSG!$A:$AI,34,FALSE)+VLOOKUP($A124,Grants!$A:$BE,50,FALSE),0)</f>
        <v>1487791.2906678712</v>
      </c>
      <c r="AE124" s="146">
        <f>_xlfn.IFNA(VLOOKUP($A124,'Summary Mar 2026'!$A:$GS,197,FALSE)+VLOOKUP($A124,Grants!$A:$BE,51,FALSE),0)</f>
        <v>0</v>
      </c>
      <c r="AF124" s="146">
        <f>_xlfn.IFNA(VLOOKUP($A124,'Summary Mar 2026'!$A:$GS,198,FALSE)+VLOOKUP($A124,OtherDSG!$A:$AI,35,FALSE)+VLOOKUP($A124,Grants!$A:$BE,52,FALSE),0)</f>
        <v>75077.396666666667</v>
      </c>
      <c r="AG124" s="146">
        <f>_xlfn.IFNA(VLOOKUP($A124,Grants!$A:$BE,53,FALSE),0)</f>
        <v>116255</v>
      </c>
      <c r="AH124" s="146">
        <f>_xlfn.IFNA(VLOOKUP($A124,Grants!$A:$BE,54,FALSE),0)</f>
        <v>48400.86</v>
      </c>
      <c r="AI124" s="146">
        <f>_xlfn.IFNA(VLOOKUP($A124,Grants!$A:$BE,55,FALSE),0)</f>
        <v>0</v>
      </c>
      <c r="AJ124" s="146">
        <f>_xlfn.IFNA(VLOOKUP($A124,Barclays!$A:$T,18,FALSE),0)</f>
        <v>5593.6393449999832</v>
      </c>
      <c r="AK124" s="146">
        <f>_xlfn.IFNA(VLOOKUP($A124,'Summary Mar 2026'!$A:$GS,200,FALSE),0)</f>
        <v>-8213.56</v>
      </c>
      <c r="AL124" s="146">
        <f>_xlfn.IFNA(VLOOKUP($A124,Barclays!$A:$T,19,FALSE),0)</f>
        <v>-115.00000000000004</v>
      </c>
      <c r="AM124" s="146">
        <f>_xlfn.IFNA(VLOOKUP($A124,'Summary Mar 2026'!$A:$GS,201,FALSE),0)</f>
        <v>0</v>
      </c>
      <c r="AN124" s="146">
        <f>_xlfn.IFNA(VLOOKUP($A124,'Summary Mar 2026'!$A:$GS,199,FALSE),0)</f>
        <v>-5502.880000000001</v>
      </c>
      <c r="AO124" s="146">
        <f>_xlfn.IFNA(VLOOKUP($A124,Grants!$A:$BE,56,FALSE),0)</f>
        <v>0</v>
      </c>
      <c r="AP124" s="65">
        <f t="shared" si="1"/>
        <v>1719286.7466795382</v>
      </c>
    </row>
    <row r="125" spans="1:42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0" t="str">
        <f>VLOOKUP(A125,'Summary Mar 2026'!$A$8:$F$206,6,FALSE)</f>
        <v>Chq Bk</v>
      </c>
      <c r="H125" s="288">
        <f>_xlfn.IFNA(VLOOKUP($A125,ISB!$A:$BY,67,FALSE),0)</f>
        <v>1394401.765524223</v>
      </c>
      <c r="I125" s="861">
        <f>_xlfn.IFNA(VLOOKUP(A125,'LA Deductions'!A:AN,40,FALSE),0)</f>
        <v>0</v>
      </c>
      <c r="J125" s="221">
        <f>_xlfn.IFNA(VLOOKUP($A125,ISB!$A:$BY,72,FALSE),0)</f>
        <v>-5528.96</v>
      </c>
      <c r="K125" s="289">
        <f>-_xlfn.IFNA(VLOOKUP($A125,ISB!$A:$BY,76,FALSE),0)</f>
        <v>-5511.96</v>
      </c>
      <c r="M125" s="288">
        <f>VLOOKUP($A125,EY!$A:$AAK,132,FALSE)</f>
        <v>120682.96181440442</v>
      </c>
      <c r="N125" s="288">
        <f>VLOOKUP($A125,EY!$A:$AAD,133,FALSE)</f>
        <v>0</v>
      </c>
      <c r="P125" s="288">
        <f>VLOOKUP($A125,HN!$A:$AM,38,FALSE)</f>
        <v>0</v>
      </c>
      <c r="Q125" s="288">
        <f>VLOOKUP($A125,HN!$A:$AM,39,FALSE)</f>
        <v>0</v>
      </c>
      <c r="S125" s="362">
        <f>_xlfn.IFNA(VLOOKUP(A125,'Post 16'!A:AR,44,FALSE),0)</f>
        <v>0</v>
      </c>
      <c r="U125" s="362">
        <f>VLOOKUP(A125,'LA Deductions'!A:W,23,FALSE)</f>
        <v>-5139.75</v>
      </c>
      <c r="W125" s="289">
        <f>VLOOKUP($A125,'Summary Mar 2026'!$A:$AAG,189,FALSE)-SUMIFS($H125:$U125,$H$7:$U$7,W$7)</f>
        <v>0</v>
      </c>
      <c r="X125" s="289">
        <f>VLOOKUP($A125,'Summary Mar 2026'!$A:$GL,190,FALSE)-SUMIFS($H125:$U125,$H$7:$U$7,X$7)</f>
        <v>0</v>
      </c>
      <c r="Y125" s="289">
        <f>VLOOKUP($A125,'Summary Mar 2026'!$A:$GL,191,FALSE)-SUMIFS($H125:$U125,$H$7:$U$7,Y$7)</f>
        <v>0</v>
      </c>
      <c r="Z125" s="289">
        <f>VLOOKUP($A125,'Summary Mar 2026'!$A:$GL,192,FALSE)-SUMIFS($H125:$U125,$H$7:$U$7,Z$7)</f>
        <v>0</v>
      </c>
      <c r="AA125" s="289">
        <f>VLOOKUP($A125,'Summary Mar 2026'!$A:$GL,193,FALSE)-SUMIFS($H125:$U125,$H$7:$U$7,AA$7)</f>
        <v>0</v>
      </c>
      <c r="AB125" s="289">
        <f>VLOOKUP($A125,'Summary Mar 2026'!$A:$GL,194,FALSE)-SUMIFS($H125:$U125,$H$7:$U$7,AB$7)</f>
        <v>0</v>
      </c>
      <c r="AD125" s="146">
        <f>_xlfn.IFNA(VLOOKUP($A125,'Summary Mar 2026'!$A:$GS,196,FALSE)+VLOOKUP($A125,OtherDSG!$A:$AI,34,FALSE)+VLOOKUP($A125,Grants!$A:$BE,50,FALSE),0)</f>
        <v>1560118.727338627</v>
      </c>
      <c r="AE125" s="146">
        <f>_xlfn.IFNA(VLOOKUP($A125,'Summary Mar 2026'!$A:$GS,197,FALSE)+VLOOKUP($A125,Grants!$A:$BE,51,FALSE),0)</f>
        <v>0</v>
      </c>
      <c r="AF125" s="146">
        <f>_xlfn.IFNA(VLOOKUP($A125,'Summary Mar 2026'!$A:$GS,198,FALSE)+VLOOKUP($A125,OtherDSG!$A:$AI,35,FALSE)+VLOOKUP($A125,Grants!$A:$BE,52,FALSE),0)</f>
        <v>99878.787666666671</v>
      </c>
      <c r="AG125" s="146">
        <f>_xlfn.IFNA(VLOOKUP($A125,Grants!$A:$BE,53,FALSE),0)</f>
        <v>183315</v>
      </c>
      <c r="AH125" s="146">
        <f>_xlfn.IFNA(VLOOKUP($A125,Grants!$A:$BE,54,FALSE),0)</f>
        <v>32944</v>
      </c>
      <c r="AI125" s="146">
        <f>_xlfn.IFNA(VLOOKUP($A125,Grants!$A:$BE,55,FALSE),0)</f>
        <v>0</v>
      </c>
      <c r="AJ125" s="146">
        <f>_xlfn.IFNA(VLOOKUP($A125,Barclays!$A:$T,18,FALSE),0)</f>
        <v>10537.364249999973</v>
      </c>
      <c r="AK125" s="146">
        <f>_xlfn.IFNA(VLOOKUP($A125,'Summary Mar 2026'!$A:$GS,200,FALSE),0)</f>
        <v>-5511.96</v>
      </c>
      <c r="AL125" s="146">
        <f>_xlfn.IFNA(VLOOKUP($A125,Barclays!$A:$T,19,FALSE),0)</f>
        <v>-175.46</v>
      </c>
      <c r="AM125" s="146">
        <f>_xlfn.IFNA(VLOOKUP($A125,'Summary Mar 2026'!$A:$GS,201,FALSE),0)</f>
        <v>-5139.75</v>
      </c>
      <c r="AN125" s="146">
        <f>_xlfn.IFNA(VLOOKUP($A125,'Summary Mar 2026'!$A:$GS,199,FALSE),0)</f>
        <v>-5528.9600000000019</v>
      </c>
      <c r="AO125" s="146">
        <f>_xlfn.IFNA(VLOOKUP($A125,Grants!$A:$BE,56,FALSE),0)</f>
        <v>0</v>
      </c>
      <c r="AP125" s="65">
        <f t="shared" si="1"/>
        <v>1870437.7492552937</v>
      </c>
    </row>
    <row r="126" spans="1:42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0" t="str">
        <f>VLOOKUP(A126,'Summary Mar 2026'!$A$8:$F$206,6,FALSE)</f>
        <v>Chq Bk</v>
      </c>
      <c r="H126" s="288">
        <f>_xlfn.IFNA(VLOOKUP($A126,ISB!$A:$BY,67,FALSE),0)</f>
        <v>1609049.8271546587</v>
      </c>
      <c r="I126" s="861">
        <f>_xlfn.IFNA(VLOOKUP(A126,'LA Deductions'!A:AN,40,FALSE),0)</f>
        <v>0</v>
      </c>
      <c r="J126" s="221">
        <f>_xlfn.IFNA(VLOOKUP($A126,ISB!$A:$BY,72,FALSE),0)</f>
        <v>-7589.28</v>
      </c>
      <c r="K126" s="289">
        <f>-_xlfn.IFNA(VLOOKUP($A126,ISB!$A:$BY,76,FALSE),0)</f>
        <v>-3073.98</v>
      </c>
      <c r="M126" s="288">
        <f>VLOOKUP($A126,EY!$A:$AAK,132,FALSE)</f>
        <v>73882.149833795018</v>
      </c>
      <c r="N126" s="288">
        <f>VLOOKUP($A126,EY!$A:$AAD,133,FALSE)</f>
        <v>0</v>
      </c>
      <c r="P126" s="288">
        <f>VLOOKUP($A126,HN!$A:$AM,38,FALSE)</f>
        <v>0</v>
      </c>
      <c r="Q126" s="288">
        <f>VLOOKUP($A126,HN!$A:$AM,39,FALSE)</f>
        <v>0</v>
      </c>
      <c r="S126" s="362">
        <f>_xlfn.IFNA(VLOOKUP(A126,'Post 16'!A:AR,44,FALSE),0)</f>
        <v>0</v>
      </c>
      <c r="U126" s="362">
        <f>VLOOKUP(A126,'LA Deductions'!A:W,23,FALSE)</f>
        <v>-5139.75</v>
      </c>
      <c r="W126" s="289">
        <f>VLOOKUP($A126,'Summary Mar 2026'!$A:$AAG,189,FALSE)-SUMIFS($H126:$U126,$H$7:$U$7,W$7)</f>
        <v>0</v>
      </c>
      <c r="X126" s="289">
        <f>VLOOKUP($A126,'Summary Mar 2026'!$A:$GL,190,FALSE)-SUMIFS($H126:$U126,$H$7:$U$7,X$7)</f>
        <v>0</v>
      </c>
      <c r="Y126" s="289">
        <f>VLOOKUP($A126,'Summary Mar 2026'!$A:$GL,191,FALSE)-SUMIFS($H126:$U126,$H$7:$U$7,Y$7)</f>
        <v>0</v>
      </c>
      <c r="Z126" s="289">
        <f>VLOOKUP($A126,'Summary Mar 2026'!$A:$GL,192,FALSE)-SUMIFS($H126:$U126,$H$7:$U$7,Z$7)</f>
        <v>0</v>
      </c>
      <c r="AA126" s="289">
        <f>VLOOKUP($A126,'Summary Mar 2026'!$A:$GL,193,FALSE)-SUMIFS($H126:$U126,$H$7:$U$7,AA$7)</f>
        <v>0</v>
      </c>
      <c r="AB126" s="289">
        <f>VLOOKUP($A126,'Summary Mar 2026'!$A:$GL,194,FALSE)-SUMIFS($H126:$U126,$H$7:$U$7,AB$7)</f>
        <v>0</v>
      </c>
      <c r="AD126" s="146">
        <f>_xlfn.IFNA(VLOOKUP($A126,'Summary Mar 2026'!$A:$GS,196,FALSE)+VLOOKUP($A126,OtherDSG!$A:$AI,34,FALSE)+VLOOKUP($A126,Grants!$A:$BE,50,FALSE),0)</f>
        <v>1732708.9769884539</v>
      </c>
      <c r="AE126" s="146">
        <f>_xlfn.IFNA(VLOOKUP($A126,'Summary Mar 2026'!$A:$GS,197,FALSE)+VLOOKUP($A126,Grants!$A:$BE,51,FALSE),0)</f>
        <v>0</v>
      </c>
      <c r="AF126" s="146">
        <f>_xlfn.IFNA(VLOOKUP($A126,'Summary Mar 2026'!$A:$GS,198,FALSE)+VLOOKUP($A126,OtherDSG!$A:$AI,35,FALSE)+VLOOKUP($A126,Grants!$A:$BE,52,FALSE),0)</f>
        <v>62988.575333333341</v>
      </c>
      <c r="AG126" s="146">
        <f>_xlfn.IFNA(VLOOKUP($A126,Grants!$A:$BE,53,FALSE),0)</f>
        <v>148070</v>
      </c>
      <c r="AH126" s="146">
        <f>_xlfn.IFNA(VLOOKUP($A126,Grants!$A:$BE,54,FALSE),0)</f>
        <v>55511</v>
      </c>
      <c r="AI126" s="146">
        <f>_xlfn.IFNA(VLOOKUP($A126,Grants!$A:$BE,55,FALSE),0)</f>
        <v>0</v>
      </c>
      <c r="AJ126" s="146">
        <f>_xlfn.IFNA(VLOOKUP($A126,Barclays!$A:$T,18,FALSE),0)</f>
        <v>0</v>
      </c>
      <c r="AK126" s="146">
        <f>_xlfn.IFNA(VLOOKUP($A126,'Summary Mar 2026'!$A:$GS,200,FALSE),0)</f>
        <v>-3073.98</v>
      </c>
      <c r="AL126" s="146">
        <f>_xlfn.IFNA(VLOOKUP($A126,Barclays!$A:$T,19,FALSE),0)</f>
        <v>0</v>
      </c>
      <c r="AM126" s="146">
        <f>_xlfn.IFNA(VLOOKUP($A126,'Summary Mar 2026'!$A:$GS,201,FALSE),0)</f>
        <v>-5139.75</v>
      </c>
      <c r="AN126" s="146">
        <f>_xlfn.IFNA(VLOOKUP($A126,'Summary Mar 2026'!$A:$GS,199,FALSE),0)</f>
        <v>-7589.2799999999979</v>
      </c>
      <c r="AO126" s="146">
        <f>_xlfn.IFNA(VLOOKUP($A126,Grants!$A:$BE,56,FALSE),0)</f>
        <v>0</v>
      </c>
      <c r="AP126" s="65">
        <f t="shared" si="1"/>
        <v>1983475.5423217872</v>
      </c>
    </row>
    <row r="127" spans="1:42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0" t="str">
        <f>VLOOKUP(A127,'Summary Mar 2026'!$A$8:$F$206,6,FALSE)</f>
        <v>Chq Bk</v>
      </c>
      <c r="H127" s="288">
        <f>_xlfn.IFNA(VLOOKUP($A127,ISB!$A:$BY,67,FALSE),0)</f>
        <v>2077094.6601073169</v>
      </c>
      <c r="I127" s="861">
        <f>_xlfn.IFNA(VLOOKUP(A127,'LA Deductions'!A:AN,40,FALSE),0)</f>
        <v>-4587.5414000000001</v>
      </c>
      <c r="J127" s="221">
        <f>_xlfn.IFNA(VLOOKUP($A127,ISB!$A:$BY,72,FALSE),0)</f>
        <v>-10171.199999999999</v>
      </c>
      <c r="K127" s="289">
        <f>-_xlfn.IFNA(VLOOKUP($A127,ISB!$A:$BY,76,FALSE),0)</f>
        <v>-6200.96</v>
      </c>
      <c r="M127" s="288">
        <f>VLOOKUP($A127,EY!$A:$AAK,132,FALSE)</f>
        <v>0</v>
      </c>
      <c r="N127" s="288">
        <f>VLOOKUP($A127,EY!$A:$AAD,133,FALSE)</f>
        <v>0</v>
      </c>
      <c r="P127" s="288">
        <f>VLOOKUP($A127,HN!$A:$AM,38,FALSE)</f>
        <v>0</v>
      </c>
      <c r="Q127" s="288">
        <f>VLOOKUP($A127,HN!$A:$AM,39,FALSE)</f>
        <v>0</v>
      </c>
      <c r="S127" s="362">
        <f>_xlfn.IFNA(VLOOKUP(A127,'Post 16'!A:AR,44,FALSE),0)</f>
        <v>0</v>
      </c>
      <c r="U127" s="362">
        <f>VLOOKUP(A127,'LA Deductions'!A:W,23,FALSE)</f>
        <v>-9471</v>
      </c>
      <c r="W127" s="289">
        <f>VLOOKUP($A127,'Summary Mar 2026'!$A:$AAG,189,FALSE)-SUMIFS($H127:$U127,$H$7:$U$7,W$7)</f>
        <v>0</v>
      </c>
      <c r="X127" s="289">
        <f>VLOOKUP($A127,'Summary Mar 2026'!$A:$GL,190,FALSE)-SUMIFS($H127:$U127,$H$7:$U$7,X$7)</f>
        <v>0</v>
      </c>
      <c r="Y127" s="289">
        <f>VLOOKUP($A127,'Summary Mar 2026'!$A:$GL,191,FALSE)-SUMIFS($H127:$U127,$H$7:$U$7,Y$7)</f>
        <v>0</v>
      </c>
      <c r="Z127" s="289">
        <f>VLOOKUP($A127,'Summary Mar 2026'!$A:$GL,192,FALSE)-SUMIFS($H127:$U127,$H$7:$U$7,Z$7)</f>
        <v>0</v>
      </c>
      <c r="AA127" s="289">
        <f>VLOOKUP($A127,'Summary Mar 2026'!$A:$GL,193,FALSE)-SUMIFS($H127:$U127,$H$7:$U$7,AA$7)</f>
        <v>0</v>
      </c>
      <c r="AB127" s="289">
        <f>VLOOKUP($A127,'Summary Mar 2026'!$A:$GL,194,FALSE)-SUMIFS($H127:$U127,$H$7:$U$7,AB$7)</f>
        <v>0</v>
      </c>
      <c r="AD127" s="146">
        <f>_xlfn.IFNA(VLOOKUP($A127,'Summary Mar 2026'!$A:$GS,196,FALSE)+VLOOKUP($A127,OtherDSG!$A:$AI,34,FALSE)+VLOOKUP($A127,Grants!$A:$BE,50,FALSE),0)</f>
        <v>2131260.1187073169</v>
      </c>
      <c r="AE127" s="146">
        <f>_xlfn.IFNA(VLOOKUP($A127,'Summary Mar 2026'!$A:$GS,197,FALSE)+VLOOKUP($A127,Grants!$A:$BE,51,FALSE),0)</f>
        <v>0</v>
      </c>
      <c r="AF127" s="146">
        <f>_xlfn.IFNA(VLOOKUP($A127,'Summary Mar 2026'!$A:$GS,198,FALSE)+VLOOKUP($A127,OtherDSG!$A:$AI,35,FALSE)+VLOOKUP($A127,Grants!$A:$BE,52,FALSE),0)</f>
        <v>144800.67333333331</v>
      </c>
      <c r="AG127" s="146">
        <f>_xlfn.IFNA(VLOOKUP($A127,Grants!$A:$BE,53,FALSE),0)</f>
        <v>141610</v>
      </c>
      <c r="AH127" s="146">
        <f>_xlfn.IFNA(VLOOKUP($A127,Grants!$A:$BE,54,FALSE),0)</f>
        <v>76594.289999999994</v>
      </c>
      <c r="AI127" s="146">
        <f>_xlfn.IFNA(VLOOKUP($A127,Grants!$A:$BE,55,FALSE),0)</f>
        <v>0</v>
      </c>
      <c r="AJ127" s="146">
        <f>_xlfn.IFNA(VLOOKUP($A127,Barclays!$A:$T,18,FALSE),0)</f>
        <v>17802.486860000055</v>
      </c>
      <c r="AK127" s="146">
        <f>_xlfn.IFNA(VLOOKUP($A127,'Summary Mar 2026'!$A:$GS,200,FALSE),0)</f>
        <v>-6200.9600000000019</v>
      </c>
      <c r="AL127" s="146">
        <f>_xlfn.IFNA(VLOOKUP($A127,Barclays!$A:$T,19,FALSE),0)</f>
        <v>-147.57000000000002</v>
      </c>
      <c r="AM127" s="146">
        <f>_xlfn.IFNA(VLOOKUP($A127,'Summary Mar 2026'!$A:$GS,201,FALSE),0)</f>
        <v>-9471</v>
      </c>
      <c r="AN127" s="146">
        <f>_xlfn.IFNA(VLOOKUP($A127,'Summary Mar 2026'!$A:$GS,199,FALSE),0)</f>
        <v>-10171.200000000003</v>
      </c>
      <c r="AO127" s="146">
        <f>_xlfn.IFNA(VLOOKUP($A127,Grants!$A:$BE,56,FALSE),0)</f>
        <v>0</v>
      </c>
      <c r="AP127" s="65">
        <f t="shared" si="1"/>
        <v>2486076.8389006504</v>
      </c>
    </row>
    <row r="128" spans="1:42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0" t="str">
        <f>VLOOKUP(A128,'Summary Mar 2026'!$A$8:$F$206,6,FALSE)</f>
        <v>Chq Bk</v>
      </c>
      <c r="H128" s="288">
        <f>_xlfn.IFNA(VLOOKUP($A128,ISB!$A:$BY,67,FALSE),0)</f>
        <v>1252002.8571378775</v>
      </c>
      <c r="I128" s="861">
        <f>_xlfn.IFNA(VLOOKUP(A128,'LA Deductions'!A:AN,40,FALSE),0)</f>
        <v>0</v>
      </c>
      <c r="J128" s="221">
        <f>_xlfn.IFNA(VLOOKUP($A128,ISB!$A:$BY,72,FALSE),0)</f>
        <v>-5398.5599999999995</v>
      </c>
      <c r="K128" s="289">
        <f>-_xlfn.IFNA(VLOOKUP($A128,ISB!$A:$BY,76,FALSE),0)</f>
        <v>-3141.82</v>
      </c>
      <c r="M128" s="288">
        <f>VLOOKUP($A128,EY!$A:$AAK,132,FALSE)</f>
        <v>118260.08789473683</v>
      </c>
      <c r="N128" s="288">
        <f>VLOOKUP($A128,EY!$A:$AAD,133,FALSE)</f>
        <v>0</v>
      </c>
      <c r="P128" s="288">
        <f>VLOOKUP($A128,HN!$A:$AM,38,FALSE)</f>
        <v>0</v>
      </c>
      <c r="Q128" s="288">
        <f>VLOOKUP($A128,HN!$A:$AM,39,FALSE)</f>
        <v>0</v>
      </c>
      <c r="S128" s="362">
        <f>_xlfn.IFNA(VLOOKUP(A128,'Post 16'!A:AR,44,FALSE),0)</f>
        <v>0</v>
      </c>
      <c r="U128" s="362">
        <f>VLOOKUP(A128,'LA Deductions'!A:W,23,FALSE)</f>
        <v>-5139.75</v>
      </c>
      <c r="W128" s="289">
        <f>VLOOKUP($A128,'Summary Mar 2026'!$A:$AAG,189,FALSE)-SUMIFS($H128:$U128,$H$7:$U$7,W$7)</f>
        <v>0</v>
      </c>
      <c r="X128" s="289">
        <f>VLOOKUP($A128,'Summary Mar 2026'!$A:$GL,190,FALSE)-SUMIFS($H128:$U128,$H$7:$U$7,X$7)</f>
        <v>0</v>
      </c>
      <c r="Y128" s="289">
        <f>VLOOKUP($A128,'Summary Mar 2026'!$A:$GL,191,FALSE)-SUMIFS($H128:$U128,$H$7:$U$7,Y$7)</f>
        <v>0</v>
      </c>
      <c r="Z128" s="289">
        <f>VLOOKUP($A128,'Summary Mar 2026'!$A:$GL,192,FALSE)-SUMIFS($H128:$U128,$H$7:$U$7,Z$7)</f>
        <v>0</v>
      </c>
      <c r="AA128" s="289">
        <f>VLOOKUP($A128,'Summary Mar 2026'!$A:$GL,193,FALSE)-SUMIFS($H128:$U128,$H$7:$U$7,AA$7)</f>
        <v>0</v>
      </c>
      <c r="AB128" s="289">
        <f>VLOOKUP($A128,'Summary Mar 2026'!$A:$GL,194,FALSE)-SUMIFS($H128:$U128,$H$7:$U$7,AB$7)</f>
        <v>0</v>
      </c>
      <c r="AD128" s="146">
        <f>_xlfn.IFNA(VLOOKUP($A128,'Summary Mar 2026'!$A:$GS,196,FALSE)+VLOOKUP($A128,OtherDSG!$A:$AI,34,FALSE)+VLOOKUP($A128,Grants!$A:$BE,50,FALSE),0)</f>
        <v>1412557.9450326143</v>
      </c>
      <c r="AE128" s="146">
        <f>_xlfn.IFNA(VLOOKUP($A128,'Summary Mar 2026'!$A:$GS,197,FALSE)+VLOOKUP($A128,Grants!$A:$BE,51,FALSE),0)</f>
        <v>0</v>
      </c>
      <c r="AF128" s="146">
        <f>_xlfn.IFNA(VLOOKUP($A128,'Summary Mar 2026'!$A:$GS,198,FALSE)+VLOOKUP($A128,OtherDSG!$A:$AI,35,FALSE)+VLOOKUP($A128,Grants!$A:$BE,52,FALSE),0)</f>
        <v>42204.123333333337</v>
      </c>
      <c r="AG128" s="146">
        <f>_xlfn.IFNA(VLOOKUP($A128,Grants!$A:$BE,53,FALSE),0)</f>
        <v>148070</v>
      </c>
      <c r="AH128" s="146">
        <f>_xlfn.IFNA(VLOOKUP($A128,Grants!$A:$BE,54,FALSE),0)</f>
        <v>40733.93</v>
      </c>
      <c r="AI128" s="146">
        <f>_xlfn.IFNA(VLOOKUP($A128,Grants!$A:$BE,55,FALSE),0)</f>
        <v>0</v>
      </c>
      <c r="AJ128" s="146">
        <f>_xlfn.IFNA(VLOOKUP($A128,Barclays!$A:$T,18,FALSE),0)</f>
        <v>4294.4011100000253</v>
      </c>
      <c r="AK128" s="146">
        <f>_xlfn.IFNA(VLOOKUP($A128,'Summary Mar 2026'!$A:$GS,200,FALSE),0)</f>
        <v>-3141.8199999999993</v>
      </c>
      <c r="AL128" s="146">
        <f>_xlfn.IFNA(VLOOKUP($A128,Barclays!$A:$T,19,FALSE),0)</f>
        <v>-111.30999999999999</v>
      </c>
      <c r="AM128" s="146">
        <f>_xlfn.IFNA(VLOOKUP($A128,'Summary Mar 2026'!$A:$GS,201,FALSE),0)</f>
        <v>-5139.75</v>
      </c>
      <c r="AN128" s="146">
        <f>_xlfn.IFNA(VLOOKUP($A128,'Summary Mar 2026'!$A:$GS,199,FALSE),0)</f>
        <v>-5398.56</v>
      </c>
      <c r="AO128" s="146">
        <f>_xlfn.IFNA(VLOOKUP($A128,Grants!$A:$BE,56,FALSE),0)</f>
        <v>0</v>
      </c>
      <c r="AP128" s="65">
        <f t="shared" si="1"/>
        <v>1634068.9594759473</v>
      </c>
    </row>
    <row r="129" spans="1:42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0" t="str">
        <f>VLOOKUP(A129,'Summary Mar 2026'!$A$8:$F$206,6,FALSE)</f>
        <v>Chq Bk</v>
      </c>
      <c r="H129" s="288">
        <f>_xlfn.IFNA(VLOOKUP($A129,ISB!$A:$BY,67,FALSE),0)</f>
        <v>2585281.0306348447</v>
      </c>
      <c r="I129" s="861">
        <f>_xlfn.IFNA(VLOOKUP(A129,'LA Deductions'!A:AN,40,FALSE),0)</f>
        <v>0</v>
      </c>
      <c r="J129" s="221">
        <f>_xlfn.IFNA(VLOOKUP($A129,ISB!$A:$BY,72,FALSE),0)</f>
        <v>-10953.599999999999</v>
      </c>
      <c r="K129" s="289">
        <f>-_xlfn.IFNA(VLOOKUP($A129,ISB!$A:$BY,76,FALSE),0)</f>
        <v>-15367.06</v>
      </c>
      <c r="M129" s="288">
        <f>VLOOKUP($A129,EY!$A:$AAK,132,FALSE)</f>
        <v>0</v>
      </c>
      <c r="N129" s="288">
        <f>VLOOKUP($A129,EY!$A:$AAD,133,FALSE)</f>
        <v>0</v>
      </c>
      <c r="P129" s="288">
        <f>VLOOKUP($A129,HN!$A:$AM,38,FALSE)</f>
        <v>0</v>
      </c>
      <c r="Q129" s="288">
        <f>VLOOKUP($A129,HN!$A:$AM,39,FALSE)</f>
        <v>0</v>
      </c>
      <c r="S129" s="362">
        <f>_xlfn.IFNA(VLOOKUP(A129,'Post 16'!A:AR,44,FALSE),0)</f>
        <v>0</v>
      </c>
      <c r="U129" s="362">
        <f>VLOOKUP(A129,'LA Deductions'!A:W,23,FALSE)</f>
        <v>-9471</v>
      </c>
      <c r="W129" s="289">
        <f>VLOOKUP($A129,'Summary Mar 2026'!$A:$AAG,189,FALSE)-SUMIFS($H129:$U129,$H$7:$U$7,W$7)</f>
        <v>0</v>
      </c>
      <c r="X129" s="289">
        <f>VLOOKUP($A129,'Summary Mar 2026'!$A:$GL,190,FALSE)-SUMIFS($H129:$U129,$H$7:$U$7,X$7)</f>
        <v>0</v>
      </c>
      <c r="Y129" s="289">
        <f>VLOOKUP($A129,'Summary Mar 2026'!$A:$GL,191,FALSE)-SUMIFS($H129:$U129,$H$7:$U$7,Y$7)</f>
        <v>0</v>
      </c>
      <c r="Z129" s="289">
        <f>VLOOKUP($A129,'Summary Mar 2026'!$A:$GL,192,FALSE)-SUMIFS($H129:$U129,$H$7:$U$7,Z$7)</f>
        <v>0</v>
      </c>
      <c r="AA129" s="289">
        <f>VLOOKUP($A129,'Summary Mar 2026'!$A:$GL,193,FALSE)-SUMIFS($H129:$U129,$H$7:$U$7,AA$7)</f>
        <v>0</v>
      </c>
      <c r="AB129" s="289">
        <f>VLOOKUP($A129,'Summary Mar 2026'!$A:$GL,194,FALSE)-SUMIFS($H129:$U129,$H$7:$U$7,AB$7)</f>
        <v>0</v>
      </c>
      <c r="AD129" s="146">
        <f>_xlfn.IFNA(VLOOKUP($A129,'Summary Mar 2026'!$A:$GS,196,FALSE)+VLOOKUP($A129,OtherDSG!$A:$AI,34,FALSE)+VLOOKUP($A129,Grants!$A:$BE,50,FALSE),0)</f>
        <v>2658314.0306348447</v>
      </c>
      <c r="AE129" s="146">
        <f>_xlfn.IFNA(VLOOKUP($A129,'Summary Mar 2026'!$A:$GS,197,FALSE)+VLOOKUP($A129,Grants!$A:$BE,51,FALSE),0)</f>
        <v>0</v>
      </c>
      <c r="AF129" s="146">
        <f>_xlfn.IFNA(VLOOKUP($A129,'Summary Mar 2026'!$A:$GS,198,FALSE)+VLOOKUP($A129,OtherDSG!$A:$AI,35,FALSE)+VLOOKUP($A129,Grants!$A:$BE,52,FALSE),0)</f>
        <v>188087.33666666664</v>
      </c>
      <c r="AG129" s="146">
        <f>_xlfn.IFNA(VLOOKUP($A129,Grants!$A:$BE,53,FALSE),0)</f>
        <v>280225</v>
      </c>
      <c r="AH129" s="146">
        <f>_xlfn.IFNA(VLOOKUP($A129,Grants!$A:$BE,54,FALSE),0)</f>
        <v>69211.929999999993</v>
      </c>
      <c r="AI129" s="146">
        <f>_xlfn.IFNA(VLOOKUP($A129,Grants!$A:$BE,55,FALSE),0)</f>
        <v>0</v>
      </c>
      <c r="AJ129" s="146">
        <f>_xlfn.IFNA(VLOOKUP($A129,Barclays!$A:$T,18,FALSE),0)</f>
        <v>27838.200374999971</v>
      </c>
      <c r="AK129" s="146">
        <f>_xlfn.IFNA(VLOOKUP($A129,'Summary Mar 2026'!$A:$GS,200,FALSE),0)</f>
        <v>-15367.06</v>
      </c>
      <c r="AL129" s="146">
        <f>_xlfn.IFNA(VLOOKUP($A129,Barclays!$A:$T,19,FALSE),0)</f>
        <v>-42.41</v>
      </c>
      <c r="AM129" s="146">
        <f>_xlfn.IFNA(VLOOKUP($A129,'Summary Mar 2026'!$A:$GS,201,FALSE),0)</f>
        <v>-9471</v>
      </c>
      <c r="AN129" s="146">
        <f>_xlfn.IFNA(VLOOKUP($A129,'Summary Mar 2026'!$A:$GS,199,FALSE),0)</f>
        <v>-10953.599999999997</v>
      </c>
      <c r="AO129" s="146">
        <f>_xlfn.IFNA(VLOOKUP($A129,Grants!$A:$BE,56,FALSE),0)</f>
        <v>8635</v>
      </c>
      <c r="AP129" s="65">
        <f t="shared" si="1"/>
        <v>3196477.427676511</v>
      </c>
    </row>
    <row r="130" spans="1:42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0" t="str">
        <f>VLOOKUP(A130,'Summary Mar 2026'!$A$8:$F$206,6,FALSE)</f>
        <v>Chq Bk</v>
      </c>
      <c r="H130" s="288">
        <f>_xlfn.IFNA(VLOOKUP($A130,ISB!$A:$BY,67,FALSE),0)</f>
        <v>5214026.7802883051</v>
      </c>
      <c r="I130" s="861">
        <f>_xlfn.IFNA(VLOOKUP(A130,'LA Deductions'!A:AN,40,FALSE),0)</f>
        <v>-6556.5177999999996</v>
      </c>
      <c r="J130" s="221">
        <f>_xlfn.IFNA(VLOOKUP($A130,ISB!$A:$BY,72,FALSE),0)</f>
        <v>-12601.38</v>
      </c>
      <c r="K130" s="289">
        <f>-_xlfn.IFNA(VLOOKUP($A130,ISB!$A:$BY,76,FALSE),0)</f>
        <v>-13885.91</v>
      </c>
      <c r="M130" s="288">
        <f>VLOOKUP($A130,EY!$A:$AAK,132,FALSE)</f>
        <v>0</v>
      </c>
      <c r="N130" s="288">
        <f>VLOOKUP($A130,EY!$A:$AAD,133,FALSE)</f>
        <v>0</v>
      </c>
      <c r="P130" s="288">
        <f>VLOOKUP($A130,HN!$A:$AM,38,FALSE)</f>
        <v>0</v>
      </c>
      <c r="Q130" s="288">
        <f>VLOOKUP($A130,HN!$A:$AM,39,FALSE)</f>
        <v>0</v>
      </c>
      <c r="S130" s="362">
        <f>_xlfn.IFNA(VLOOKUP(A130,'Post 16'!A:AR,44,FALSE),0)</f>
        <v>0</v>
      </c>
      <c r="U130" s="362">
        <f>VLOOKUP(A130,'LA Deductions'!A:W,23,FALSE)</f>
        <v>0</v>
      </c>
      <c r="W130" s="289">
        <f>VLOOKUP($A130,'Summary Mar 2026'!$A:$AAG,189,FALSE)-SUMIFS($H130:$U130,$H$7:$U$7,W$7)</f>
        <v>0</v>
      </c>
      <c r="X130" s="289">
        <f>VLOOKUP($A130,'Summary Mar 2026'!$A:$GL,190,FALSE)-SUMIFS($H130:$U130,$H$7:$U$7,X$7)</f>
        <v>0</v>
      </c>
      <c r="Y130" s="289">
        <f>VLOOKUP($A130,'Summary Mar 2026'!$A:$GL,191,FALSE)-SUMIFS($H130:$U130,$H$7:$U$7,Y$7)</f>
        <v>0</v>
      </c>
      <c r="Z130" s="289">
        <f>VLOOKUP($A130,'Summary Mar 2026'!$A:$GL,192,FALSE)-SUMIFS($H130:$U130,$H$7:$U$7,Z$7)</f>
        <v>0</v>
      </c>
      <c r="AA130" s="289">
        <f>VLOOKUP($A130,'Summary Mar 2026'!$A:$GL,193,FALSE)-SUMIFS($H130:$U130,$H$7:$U$7,AA$7)</f>
        <v>0</v>
      </c>
      <c r="AB130" s="289">
        <f>VLOOKUP($A130,'Summary Mar 2026'!$A:$GL,194,FALSE)-SUMIFS($H130:$U130,$H$7:$U$7,AB$7)</f>
        <v>0</v>
      </c>
      <c r="AD130" s="146">
        <f>_xlfn.IFNA(VLOOKUP($A130,'Summary Mar 2026'!$A:$GS,196,FALSE)+VLOOKUP($A130,OtherDSG!$A:$AI,34,FALSE)+VLOOKUP($A130,Grants!$A:$BE,50,FALSE),0)</f>
        <v>5331904.2624883046</v>
      </c>
      <c r="AE130" s="146">
        <f>_xlfn.IFNA(VLOOKUP($A130,'Summary Mar 2026'!$A:$GS,197,FALSE)+VLOOKUP($A130,Grants!$A:$BE,51,FALSE),0)</f>
        <v>0</v>
      </c>
      <c r="AF130" s="146">
        <f>_xlfn.IFNA(VLOOKUP($A130,'Summary Mar 2026'!$A:$GS,198,FALSE)+VLOOKUP($A130,OtherDSG!$A:$AI,35,FALSE)+VLOOKUP($A130,Grants!$A:$BE,52,FALSE),0)</f>
        <v>101819.14888888889</v>
      </c>
      <c r="AG130" s="146">
        <f>_xlfn.IFNA(VLOOKUP($A130,Grants!$A:$BE,53,FALSE),0)</f>
        <v>391300</v>
      </c>
      <c r="AH130" s="146">
        <f>_xlfn.IFNA(VLOOKUP($A130,Grants!$A:$BE,54,FALSE),0)</f>
        <v>6799.5</v>
      </c>
      <c r="AI130" s="146">
        <f>_xlfn.IFNA(VLOOKUP($A130,Grants!$A:$BE,55,FALSE),0)</f>
        <v>0</v>
      </c>
      <c r="AJ130" s="146">
        <f>_xlfn.IFNA(VLOOKUP($A130,Barclays!$A:$T,18,FALSE),0)</f>
        <v>17870.26481499997</v>
      </c>
      <c r="AK130" s="146">
        <f>_xlfn.IFNA(VLOOKUP($A130,'Summary Mar 2026'!$A:$GS,200,FALSE),0)</f>
        <v>-13885.909999999998</v>
      </c>
      <c r="AL130" s="146">
        <f>_xlfn.IFNA(VLOOKUP($A130,Barclays!$A:$T,19,FALSE),0)</f>
        <v>-173.56</v>
      </c>
      <c r="AM130" s="146">
        <f>_xlfn.IFNA(VLOOKUP($A130,'Summary Mar 2026'!$A:$GS,201,FALSE),0)</f>
        <v>0</v>
      </c>
      <c r="AN130" s="146">
        <f>_xlfn.IFNA(VLOOKUP($A130,'Summary Mar 2026'!$A:$GS,199,FALSE),0)</f>
        <v>-12601.38</v>
      </c>
      <c r="AO130" s="146">
        <f>_xlfn.IFNA(VLOOKUP($A130,Grants!$A:$BE,56,FALSE),0)</f>
        <v>0</v>
      </c>
      <c r="AP130" s="65">
        <f t="shared" si="1"/>
        <v>5823032.3261921937</v>
      </c>
    </row>
    <row r="131" spans="1:42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0" t="str">
        <f>VLOOKUP(A131,'Summary Mar 2026'!$A$8:$F$206,6,FALSE)</f>
        <v>Chq Bk</v>
      </c>
      <c r="H131" s="288">
        <f>_xlfn.IFNA(VLOOKUP($A131,ISB!$A:$BY,67,FALSE),0)</f>
        <v>1306332.8736566138</v>
      </c>
      <c r="I131" s="861">
        <f>_xlfn.IFNA(VLOOKUP(A131,'LA Deductions'!A:AN,40,FALSE),0)</f>
        <v>0</v>
      </c>
      <c r="J131" s="221">
        <f>_xlfn.IFNA(VLOOKUP($A131,ISB!$A:$BY,72,FALSE),0)</f>
        <v>-5137.7599999999993</v>
      </c>
      <c r="K131" s="289">
        <f>-_xlfn.IFNA(VLOOKUP($A131,ISB!$A:$BY,76,FALSE),0)</f>
        <v>-4080.97</v>
      </c>
      <c r="M131" s="288">
        <f>VLOOKUP($A131,EY!$A:$AAK,132,FALSE)</f>
        <v>61670.534210526326</v>
      </c>
      <c r="N131" s="288">
        <f>VLOOKUP($A131,EY!$A:$AAD,133,FALSE)</f>
        <v>0</v>
      </c>
      <c r="P131" s="288">
        <f>VLOOKUP($A131,HN!$A:$AM,38,FALSE)</f>
        <v>0</v>
      </c>
      <c r="Q131" s="288">
        <f>VLOOKUP($A131,HN!$A:$AM,39,FALSE)</f>
        <v>0</v>
      </c>
      <c r="S131" s="362">
        <f>_xlfn.IFNA(VLOOKUP(A131,'Post 16'!A:AR,44,FALSE),0)</f>
        <v>0</v>
      </c>
      <c r="U131" s="362">
        <f>VLOOKUP(A131,'LA Deductions'!A:W,23,FALSE)</f>
        <v>0</v>
      </c>
      <c r="W131" s="289">
        <f>VLOOKUP($A131,'Summary Mar 2026'!$A:$AAG,189,FALSE)-SUMIFS($H131:$U131,$H$7:$U$7,W$7)</f>
        <v>0</v>
      </c>
      <c r="X131" s="289">
        <f>VLOOKUP($A131,'Summary Mar 2026'!$A:$GL,190,FALSE)-SUMIFS($H131:$U131,$H$7:$U$7,X$7)</f>
        <v>0</v>
      </c>
      <c r="Y131" s="289">
        <f>VLOOKUP($A131,'Summary Mar 2026'!$A:$GL,191,FALSE)-SUMIFS($H131:$U131,$H$7:$U$7,Y$7)</f>
        <v>0</v>
      </c>
      <c r="Z131" s="289">
        <f>VLOOKUP($A131,'Summary Mar 2026'!$A:$GL,192,FALSE)-SUMIFS($H131:$U131,$H$7:$U$7,Z$7)</f>
        <v>0</v>
      </c>
      <c r="AA131" s="289">
        <f>VLOOKUP($A131,'Summary Mar 2026'!$A:$GL,193,FALSE)-SUMIFS($H131:$U131,$H$7:$U$7,AA$7)</f>
        <v>0</v>
      </c>
      <c r="AB131" s="289">
        <f>VLOOKUP($A131,'Summary Mar 2026'!$A:$GL,194,FALSE)-SUMIFS($H131:$U131,$H$7:$U$7,AB$7)</f>
        <v>0</v>
      </c>
      <c r="AD131" s="146">
        <f>_xlfn.IFNA(VLOOKUP($A131,'Summary Mar 2026'!$A:$GS,196,FALSE)+VLOOKUP($A131,OtherDSG!$A:$AI,34,FALSE)+VLOOKUP($A131,Grants!$A:$BE,50,FALSE),0)</f>
        <v>1410244.4078671401</v>
      </c>
      <c r="AE131" s="146">
        <f>_xlfn.IFNA(VLOOKUP($A131,'Summary Mar 2026'!$A:$GS,197,FALSE)+VLOOKUP($A131,Grants!$A:$BE,51,FALSE),0)</f>
        <v>0</v>
      </c>
      <c r="AF131" s="146">
        <f>_xlfn.IFNA(VLOOKUP($A131,'Summary Mar 2026'!$A:$GS,198,FALSE)+VLOOKUP($A131,OtherDSG!$A:$AI,35,FALSE)+VLOOKUP($A131,Grants!$A:$BE,52,FALSE),0)</f>
        <v>62078.559999999998</v>
      </c>
      <c r="AG131" s="146">
        <f>_xlfn.IFNA(VLOOKUP($A131,Grants!$A:$BE,53,FALSE),0)</f>
        <v>192005</v>
      </c>
      <c r="AH131" s="146">
        <f>_xlfn.IFNA(VLOOKUP($A131,Grants!$A:$BE,54,FALSE),0)</f>
        <v>28457.64</v>
      </c>
      <c r="AI131" s="146">
        <f>_xlfn.IFNA(VLOOKUP($A131,Grants!$A:$BE,55,FALSE),0)</f>
        <v>0</v>
      </c>
      <c r="AJ131" s="146">
        <f>_xlfn.IFNA(VLOOKUP($A131,Barclays!$A:$T,18,FALSE),0)</f>
        <v>0</v>
      </c>
      <c r="AK131" s="146">
        <f>_xlfn.IFNA(VLOOKUP($A131,'Summary Mar 2026'!$A:$GS,200,FALSE),0)</f>
        <v>-4080.9700000000007</v>
      </c>
      <c r="AL131" s="146">
        <f>_xlfn.IFNA(VLOOKUP($A131,Barclays!$A:$T,19,FALSE),0)</f>
        <v>0</v>
      </c>
      <c r="AM131" s="146">
        <f>_xlfn.IFNA(VLOOKUP($A131,'Summary Mar 2026'!$A:$GS,201,FALSE),0)</f>
        <v>0</v>
      </c>
      <c r="AN131" s="146">
        <f>_xlfn.IFNA(VLOOKUP($A131,'Summary Mar 2026'!$A:$GS,199,FALSE),0)</f>
        <v>-5137.7599999999993</v>
      </c>
      <c r="AO131" s="146">
        <f>_xlfn.IFNA(VLOOKUP($A131,Grants!$A:$BE,56,FALSE),0)</f>
        <v>0</v>
      </c>
      <c r="AP131" s="65">
        <f t="shared" si="1"/>
        <v>1683566.8778671401</v>
      </c>
    </row>
    <row r="132" spans="1:42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0" t="str">
        <f>VLOOKUP(A132,'Summary Mar 2026'!$A$8:$F$206,6,FALSE)</f>
        <v>Chq Bk</v>
      </c>
      <c r="H132" s="288">
        <f>_xlfn.IFNA(VLOOKUP($A132,ISB!$A:$BY,67,FALSE),0)</f>
        <v>1498068.2234762264</v>
      </c>
      <c r="I132" s="861">
        <f>_xlfn.IFNA(VLOOKUP(A132,'LA Deductions'!A:AN,40,FALSE),0)</f>
        <v>-4587.5414000000001</v>
      </c>
      <c r="J132" s="221">
        <f>_xlfn.IFNA(VLOOKUP($A132,ISB!$A:$BY,72,FALSE),0)</f>
        <v>-6989.44</v>
      </c>
      <c r="K132" s="289">
        <f>-_xlfn.IFNA(VLOOKUP($A132,ISB!$A:$BY,76,FALSE),0)</f>
        <v>-18761.88</v>
      </c>
      <c r="M132" s="288">
        <f>VLOOKUP($A132,EY!$A:$AAK,132,FALSE)</f>
        <v>0</v>
      </c>
      <c r="N132" s="288">
        <f>VLOOKUP($A132,EY!$A:$AAD,133,FALSE)</f>
        <v>0</v>
      </c>
      <c r="P132" s="288">
        <f>VLOOKUP($A132,HN!$A:$AM,38,FALSE)</f>
        <v>0</v>
      </c>
      <c r="Q132" s="288">
        <f>VLOOKUP($A132,HN!$A:$AM,39,FALSE)</f>
        <v>0</v>
      </c>
      <c r="S132" s="362">
        <f>_xlfn.IFNA(VLOOKUP(A132,'Post 16'!A:AR,44,FALSE),0)</f>
        <v>0</v>
      </c>
      <c r="U132" s="362">
        <f>VLOOKUP(A132,'LA Deductions'!A:W,23,FALSE)</f>
        <v>-7236</v>
      </c>
      <c r="W132" s="289">
        <f>VLOOKUP($A132,'Summary Mar 2026'!$A:$AAG,189,FALSE)-SUMIFS($H132:$U132,$H$7:$U$7,W$7)</f>
        <v>0</v>
      </c>
      <c r="X132" s="289">
        <f>VLOOKUP($A132,'Summary Mar 2026'!$A:$GL,190,FALSE)-SUMIFS($H132:$U132,$H$7:$U$7,X$7)</f>
        <v>0</v>
      </c>
      <c r="Y132" s="289">
        <f>VLOOKUP($A132,'Summary Mar 2026'!$A:$GL,191,FALSE)-SUMIFS($H132:$U132,$H$7:$U$7,Y$7)</f>
        <v>0</v>
      </c>
      <c r="Z132" s="289">
        <f>VLOOKUP($A132,'Summary Mar 2026'!$A:$GL,192,FALSE)-SUMIFS($H132:$U132,$H$7:$U$7,Z$7)</f>
        <v>0</v>
      </c>
      <c r="AA132" s="289">
        <f>VLOOKUP($A132,'Summary Mar 2026'!$A:$GL,193,FALSE)-SUMIFS($H132:$U132,$H$7:$U$7,AA$7)</f>
        <v>0</v>
      </c>
      <c r="AB132" s="289">
        <f>VLOOKUP($A132,'Summary Mar 2026'!$A:$GL,194,FALSE)-SUMIFS($H132:$U132,$H$7:$U$7,AB$7)</f>
        <v>0</v>
      </c>
      <c r="AD132" s="146">
        <f>_xlfn.IFNA(VLOOKUP($A132,'Summary Mar 2026'!$A:$GS,196,FALSE)+VLOOKUP($A132,OtherDSG!$A:$AI,34,FALSE)+VLOOKUP($A132,Grants!$A:$BE,50,FALSE),0)</f>
        <v>1535064.6820762265</v>
      </c>
      <c r="AE132" s="146">
        <f>_xlfn.IFNA(VLOOKUP($A132,'Summary Mar 2026'!$A:$GS,197,FALSE)+VLOOKUP($A132,Grants!$A:$BE,51,FALSE),0)</f>
        <v>0</v>
      </c>
      <c r="AF132" s="146">
        <f>_xlfn.IFNA(VLOOKUP($A132,'Summary Mar 2026'!$A:$GS,198,FALSE)+VLOOKUP($A132,OtherDSG!$A:$AI,35,FALSE)+VLOOKUP($A132,Grants!$A:$BE,52,FALSE),0)</f>
        <v>95484.466666666645</v>
      </c>
      <c r="AG132" s="146">
        <f>_xlfn.IFNA(VLOOKUP($A132,Grants!$A:$BE,53,FALSE),0)</f>
        <v>99890</v>
      </c>
      <c r="AH132" s="146">
        <f>_xlfn.IFNA(VLOOKUP($A132,Grants!$A:$BE,54,FALSE),0)</f>
        <v>105138.93</v>
      </c>
      <c r="AI132" s="146">
        <f>_xlfn.IFNA(VLOOKUP($A132,Grants!$A:$BE,55,FALSE),0)</f>
        <v>0</v>
      </c>
      <c r="AJ132" s="146">
        <f>_xlfn.IFNA(VLOOKUP($A132,Barclays!$A:$T,18,FALSE),0)</f>
        <v>0</v>
      </c>
      <c r="AK132" s="146">
        <f>_xlfn.IFNA(VLOOKUP($A132,'Summary Mar 2026'!$A:$GS,200,FALSE),0)</f>
        <v>-18761.88</v>
      </c>
      <c r="AL132" s="146">
        <f>_xlfn.IFNA(VLOOKUP($A132,Barclays!$A:$T,19,FALSE),0)</f>
        <v>0</v>
      </c>
      <c r="AM132" s="146">
        <f>_xlfn.IFNA(VLOOKUP($A132,'Summary Mar 2026'!$A:$GS,201,FALSE),0)</f>
        <v>-7236</v>
      </c>
      <c r="AN132" s="146">
        <f>_xlfn.IFNA(VLOOKUP($A132,'Summary Mar 2026'!$A:$GS,199,FALSE),0)</f>
        <v>-6989.4399999999978</v>
      </c>
      <c r="AO132" s="146">
        <f>_xlfn.IFNA(VLOOKUP($A132,Grants!$A:$BE,56,FALSE),0)</f>
        <v>0</v>
      </c>
      <c r="AP132" s="65">
        <f t="shared" si="1"/>
        <v>1802590.7587428931</v>
      </c>
    </row>
    <row r="133" spans="1:42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0" t="str">
        <f>VLOOKUP(A133,'Summary Mar 2026'!$A$8:$F$206,6,FALSE)</f>
        <v>Chq Bk</v>
      </c>
      <c r="H133" s="288">
        <f>_xlfn.IFNA(VLOOKUP($A133,ISB!$A:$BY,67,FALSE),0)</f>
        <v>1881913.6924833008</v>
      </c>
      <c r="I133" s="861">
        <f>_xlfn.IFNA(VLOOKUP(A133,'LA Deductions'!A:AN,40,FALSE),0)</f>
        <v>0</v>
      </c>
      <c r="J133" s="221">
        <f>_xlfn.IFNA(VLOOKUP($A133,ISB!$A:$BY,72,FALSE),0)</f>
        <v>-9336.64</v>
      </c>
      <c r="K133" s="289">
        <f>-_xlfn.IFNA(VLOOKUP($A133,ISB!$A:$BY,76,FALSE),0)</f>
        <v>-4398.9799999999996</v>
      </c>
      <c r="M133" s="288">
        <f>VLOOKUP($A133,EY!$A:$AAK,132,FALSE)</f>
        <v>0</v>
      </c>
      <c r="N133" s="288">
        <f>VLOOKUP($A133,EY!$A:$AAD,133,FALSE)</f>
        <v>0</v>
      </c>
      <c r="P133" s="288">
        <f>VLOOKUP($A133,HN!$A:$AM,38,FALSE)</f>
        <v>0</v>
      </c>
      <c r="Q133" s="288">
        <f>VLOOKUP($A133,HN!$A:$AM,39,FALSE)</f>
        <v>0</v>
      </c>
      <c r="S133" s="362">
        <f>_xlfn.IFNA(VLOOKUP(A133,'Post 16'!A:AR,44,FALSE),0)</f>
        <v>0</v>
      </c>
      <c r="U133" s="362">
        <f>VLOOKUP(A133,'LA Deductions'!A:W,23,FALSE)</f>
        <v>-9666</v>
      </c>
      <c r="W133" s="289">
        <f>VLOOKUP($A133,'Summary Mar 2026'!$A:$AAG,189,FALSE)-SUMIFS($H133:$U133,$H$7:$U$7,W$7)</f>
        <v>0</v>
      </c>
      <c r="X133" s="289">
        <f>VLOOKUP($A133,'Summary Mar 2026'!$A:$GL,190,FALSE)-SUMIFS($H133:$U133,$H$7:$U$7,X$7)</f>
        <v>0</v>
      </c>
      <c r="Y133" s="289">
        <f>VLOOKUP($A133,'Summary Mar 2026'!$A:$GL,191,FALSE)-SUMIFS($H133:$U133,$H$7:$U$7,Y$7)</f>
        <v>0</v>
      </c>
      <c r="Z133" s="289">
        <f>VLOOKUP($A133,'Summary Mar 2026'!$A:$GL,192,FALSE)-SUMIFS($H133:$U133,$H$7:$U$7,Z$7)</f>
        <v>0</v>
      </c>
      <c r="AA133" s="289">
        <f>VLOOKUP($A133,'Summary Mar 2026'!$A:$GL,193,FALSE)-SUMIFS($H133:$U133,$H$7:$U$7,AA$7)</f>
        <v>0</v>
      </c>
      <c r="AB133" s="289">
        <f>VLOOKUP($A133,'Summary Mar 2026'!$A:$GL,194,FALSE)-SUMIFS($H133:$U133,$H$7:$U$7,AB$7)</f>
        <v>0</v>
      </c>
      <c r="AD133" s="146">
        <f>_xlfn.IFNA(VLOOKUP($A133,'Summary Mar 2026'!$A:$GS,196,FALSE)+VLOOKUP($A133,OtherDSG!$A:$AI,34,FALSE)+VLOOKUP($A133,Grants!$A:$BE,50,FALSE),0)</f>
        <v>1936863.692483301</v>
      </c>
      <c r="AE133" s="146">
        <f>_xlfn.IFNA(VLOOKUP($A133,'Summary Mar 2026'!$A:$GS,197,FALSE)+VLOOKUP($A133,Grants!$A:$BE,51,FALSE),0)</f>
        <v>0</v>
      </c>
      <c r="AF133" s="146">
        <f>_xlfn.IFNA(VLOOKUP($A133,'Summary Mar 2026'!$A:$GS,198,FALSE)+VLOOKUP($A133,OtherDSG!$A:$AI,35,FALSE)+VLOOKUP($A133,Grants!$A:$BE,52,FALSE),0)</f>
        <v>93508</v>
      </c>
      <c r="AG133" s="146">
        <f>_xlfn.IFNA(VLOOKUP($A133,Grants!$A:$BE,53,FALSE),0)</f>
        <v>147455</v>
      </c>
      <c r="AH133" s="146">
        <f>_xlfn.IFNA(VLOOKUP($A133,Grants!$A:$BE,54,FALSE),0)</f>
        <v>18788.93</v>
      </c>
      <c r="AI133" s="146">
        <f>_xlfn.IFNA(VLOOKUP($A133,Grants!$A:$BE,55,FALSE),0)</f>
        <v>0</v>
      </c>
      <c r="AJ133" s="146">
        <f>_xlfn.IFNA(VLOOKUP($A133,Barclays!$A:$T,18,FALSE),0)</f>
        <v>14369.972</v>
      </c>
      <c r="AK133" s="146">
        <f>_xlfn.IFNA(VLOOKUP($A133,'Summary Mar 2026'!$A:$GS,200,FALSE),0)</f>
        <v>-4398.9799999999987</v>
      </c>
      <c r="AL133" s="146">
        <f>_xlfn.IFNA(VLOOKUP($A133,Barclays!$A:$T,19,FALSE),0)</f>
        <v>-121.84000000000002</v>
      </c>
      <c r="AM133" s="146">
        <f>_xlfn.IFNA(VLOOKUP($A133,'Summary Mar 2026'!$A:$GS,201,FALSE),0)</f>
        <v>-9666</v>
      </c>
      <c r="AN133" s="146">
        <f>_xlfn.IFNA(VLOOKUP($A133,'Summary Mar 2026'!$A:$GS,199,FALSE),0)</f>
        <v>-9336.64</v>
      </c>
      <c r="AO133" s="146">
        <f>_xlfn.IFNA(VLOOKUP($A133,Grants!$A:$BE,56,FALSE),0)</f>
        <v>0</v>
      </c>
      <c r="AP133" s="65">
        <f t="shared" si="1"/>
        <v>2187462.1344833015</v>
      </c>
    </row>
    <row r="134" spans="1:42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0" t="str">
        <f>VLOOKUP(A134,'Summary Mar 2026'!$A$8:$F$206,6,FALSE)</f>
        <v>Chq Bk</v>
      </c>
      <c r="H134" s="288">
        <f>_xlfn.IFNA(VLOOKUP($A134,ISB!$A:$BY,67,FALSE),0)</f>
        <v>1921493.9370968654</v>
      </c>
      <c r="I134" s="861">
        <f>_xlfn.IFNA(VLOOKUP(A134,'LA Deductions'!A:AN,40,FALSE),0)</f>
        <v>0</v>
      </c>
      <c r="J134" s="221">
        <f>_xlfn.IFNA(VLOOKUP($A134,ISB!$A:$BY,72,FALSE),0)</f>
        <v>-8580.32</v>
      </c>
      <c r="K134" s="289">
        <f>-_xlfn.IFNA(VLOOKUP($A134,ISB!$A:$BY,76,FALSE),0)</f>
        <v>-6942.96</v>
      </c>
      <c r="M134" s="288">
        <f>VLOOKUP($A134,EY!$A:$AAK,132,FALSE)</f>
        <v>90232.104986149599</v>
      </c>
      <c r="N134" s="288">
        <f>VLOOKUP($A134,EY!$A:$AAD,133,FALSE)</f>
        <v>0</v>
      </c>
      <c r="P134" s="288">
        <f>VLOOKUP($A134,HN!$A:$AM,38,FALSE)</f>
        <v>0</v>
      </c>
      <c r="Q134" s="288">
        <f>VLOOKUP($A134,HN!$A:$AM,39,FALSE)</f>
        <v>0</v>
      </c>
      <c r="S134" s="362">
        <f>_xlfn.IFNA(VLOOKUP(A134,'Post 16'!A:AR,44,FALSE),0)</f>
        <v>0</v>
      </c>
      <c r="U134" s="362">
        <f>VLOOKUP(A134,'LA Deductions'!A:W,23,FALSE)</f>
        <v>-9471</v>
      </c>
      <c r="W134" s="289">
        <f>VLOOKUP($A134,'Summary Mar 2026'!$A:$AAG,189,FALSE)-SUMIFS($H134:$U134,$H$7:$U$7,W$7)</f>
        <v>0</v>
      </c>
      <c r="X134" s="289">
        <f>VLOOKUP($A134,'Summary Mar 2026'!$A:$GL,190,FALSE)-SUMIFS($H134:$U134,$H$7:$U$7,X$7)</f>
        <v>0</v>
      </c>
      <c r="Y134" s="289">
        <f>VLOOKUP($A134,'Summary Mar 2026'!$A:$GL,191,FALSE)-SUMIFS($H134:$U134,$H$7:$U$7,Y$7)</f>
        <v>0</v>
      </c>
      <c r="Z134" s="289">
        <f>VLOOKUP($A134,'Summary Mar 2026'!$A:$GL,192,FALSE)-SUMIFS($H134:$U134,$H$7:$U$7,Z$7)</f>
        <v>0</v>
      </c>
      <c r="AA134" s="289">
        <f>VLOOKUP($A134,'Summary Mar 2026'!$A:$GL,193,FALSE)-SUMIFS($H134:$U134,$H$7:$U$7,AA$7)</f>
        <v>0</v>
      </c>
      <c r="AB134" s="289">
        <f>VLOOKUP($A134,'Summary Mar 2026'!$A:$GL,194,FALSE)-SUMIFS($H134:$U134,$H$7:$U$7,AB$7)</f>
        <v>0</v>
      </c>
      <c r="AD134" s="146">
        <f>_xlfn.IFNA(VLOOKUP($A134,'Summary Mar 2026'!$A:$GS,196,FALSE)+VLOOKUP($A134,OtherDSG!$A:$AI,34,FALSE)+VLOOKUP($A134,Grants!$A:$BE,50,FALSE),0)</f>
        <v>2073909.0420830147</v>
      </c>
      <c r="AE134" s="146">
        <f>_xlfn.IFNA(VLOOKUP($A134,'Summary Mar 2026'!$A:$GS,197,FALSE)+VLOOKUP($A134,Grants!$A:$BE,51,FALSE),0)</f>
        <v>0</v>
      </c>
      <c r="AF134" s="146">
        <f>_xlfn.IFNA(VLOOKUP($A134,'Summary Mar 2026'!$A:$GS,198,FALSE)+VLOOKUP($A134,OtherDSG!$A:$AI,35,FALSE)+VLOOKUP($A134,Grants!$A:$BE,52,FALSE),0)</f>
        <v>42718.333333333328</v>
      </c>
      <c r="AG134" s="146">
        <f>_xlfn.IFNA(VLOOKUP($A134,Grants!$A:$BE,53,FALSE),0)</f>
        <v>243915</v>
      </c>
      <c r="AH134" s="146">
        <f>_xlfn.IFNA(VLOOKUP($A134,Grants!$A:$BE,54,FALSE),0)</f>
        <v>54520.86</v>
      </c>
      <c r="AI134" s="146">
        <f>_xlfn.IFNA(VLOOKUP($A134,Grants!$A:$BE,55,FALSE),0)</f>
        <v>0</v>
      </c>
      <c r="AJ134" s="146">
        <f>_xlfn.IFNA(VLOOKUP($A134,Barclays!$A:$T,18,FALSE),0)</f>
        <v>7115.8404300000248</v>
      </c>
      <c r="AK134" s="146">
        <f>_xlfn.IFNA(VLOOKUP($A134,'Summary Mar 2026'!$A:$GS,200,FALSE),0)</f>
        <v>-6942.96</v>
      </c>
      <c r="AL134" s="146">
        <f>_xlfn.IFNA(VLOOKUP($A134,Barclays!$A:$T,19,FALSE),0)</f>
        <v>-153.73000000000002</v>
      </c>
      <c r="AM134" s="146">
        <f>_xlfn.IFNA(VLOOKUP($A134,'Summary Mar 2026'!$A:$GS,201,FALSE),0)</f>
        <v>-9471</v>
      </c>
      <c r="AN134" s="146">
        <f>_xlfn.IFNA(VLOOKUP($A134,'Summary Mar 2026'!$A:$GS,199,FALSE),0)</f>
        <v>-8580.32</v>
      </c>
      <c r="AO134" s="146">
        <f>_xlfn.IFNA(VLOOKUP($A134,Grants!$A:$BE,56,FALSE),0)</f>
        <v>0</v>
      </c>
      <c r="AP134" s="65">
        <f t="shared" si="1"/>
        <v>2397031.0658463482</v>
      </c>
    </row>
    <row r="135" spans="1:42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0" t="str">
        <f>VLOOKUP(A135,'Summary Mar 2026'!$A$8:$F$206,6,FALSE)</f>
        <v>Chq Bk</v>
      </c>
      <c r="H135" s="288">
        <f>_xlfn.IFNA(VLOOKUP($A135,ISB!$A:$BY,67,FALSE),0)</f>
        <v>2151820.9329626812</v>
      </c>
      <c r="I135" s="861">
        <f>_xlfn.IFNA(VLOOKUP(A135,'LA Deductions'!A:AN,40,FALSE),0)</f>
        <v>0</v>
      </c>
      <c r="J135" s="221">
        <f>_xlfn.IFNA(VLOOKUP($A135,ISB!$A:$BY,72,FALSE),0)</f>
        <v>-10953.599999999999</v>
      </c>
      <c r="K135" s="289">
        <f>-_xlfn.IFNA(VLOOKUP($A135,ISB!$A:$BY,76,FALSE),0)</f>
        <v>-3047.48</v>
      </c>
      <c r="M135" s="288">
        <f>VLOOKUP($A135,EY!$A:$AAK,132,FALSE)</f>
        <v>0</v>
      </c>
      <c r="N135" s="288">
        <f>VLOOKUP($A135,EY!$A:$AAD,133,FALSE)</f>
        <v>0</v>
      </c>
      <c r="P135" s="288">
        <f>VLOOKUP($A135,HN!$A:$AM,38,FALSE)</f>
        <v>0</v>
      </c>
      <c r="Q135" s="288">
        <f>VLOOKUP($A135,HN!$A:$AM,39,FALSE)</f>
        <v>0</v>
      </c>
      <c r="S135" s="362">
        <f>_xlfn.IFNA(VLOOKUP(A135,'Post 16'!A:AR,44,FALSE),0)</f>
        <v>0</v>
      </c>
      <c r="U135" s="362">
        <f>VLOOKUP(A135,'LA Deductions'!A:W,23,FALSE)</f>
        <v>-9471</v>
      </c>
      <c r="W135" s="289">
        <f>VLOOKUP($A135,'Summary Mar 2026'!$A:$AAG,189,FALSE)-SUMIFS($H135:$U135,$H$7:$U$7,W$7)</f>
        <v>0</v>
      </c>
      <c r="X135" s="289">
        <f>VLOOKUP($A135,'Summary Mar 2026'!$A:$GL,190,FALSE)-SUMIFS($H135:$U135,$H$7:$U$7,X$7)</f>
        <v>0</v>
      </c>
      <c r="Y135" s="289">
        <f>VLOOKUP($A135,'Summary Mar 2026'!$A:$GL,191,FALSE)-SUMIFS($H135:$U135,$H$7:$U$7,Y$7)</f>
        <v>0</v>
      </c>
      <c r="Z135" s="289">
        <f>VLOOKUP($A135,'Summary Mar 2026'!$A:$GL,192,FALSE)-SUMIFS($H135:$U135,$H$7:$U$7,Z$7)</f>
        <v>0</v>
      </c>
      <c r="AA135" s="289">
        <f>VLOOKUP($A135,'Summary Mar 2026'!$A:$GL,193,FALSE)-SUMIFS($H135:$U135,$H$7:$U$7,AA$7)</f>
        <v>0</v>
      </c>
      <c r="AB135" s="289">
        <f>VLOOKUP($A135,'Summary Mar 2026'!$A:$GL,194,FALSE)-SUMIFS($H135:$U135,$H$7:$U$7,AB$7)</f>
        <v>0</v>
      </c>
      <c r="AD135" s="146">
        <f>_xlfn.IFNA(VLOOKUP($A135,'Summary Mar 2026'!$A:$GS,196,FALSE)+VLOOKUP($A135,OtherDSG!$A:$AI,34,FALSE)+VLOOKUP($A135,Grants!$A:$BE,50,FALSE),0)</f>
        <v>2212932.9329626816</v>
      </c>
      <c r="AE135" s="146">
        <f>_xlfn.IFNA(VLOOKUP($A135,'Summary Mar 2026'!$A:$GS,197,FALSE)+VLOOKUP($A135,Grants!$A:$BE,51,FALSE),0)</f>
        <v>0</v>
      </c>
      <c r="AF135" s="146">
        <f>_xlfn.IFNA(VLOOKUP($A135,'Summary Mar 2026'!$A:$GS,198,FALSE)+VLOOKUP($A135,OtherDSG!$A:$AI,35,FALSE)+VLOOKUP($A135,Grants!$A:$BE,52,FALSE),0)</f>
        <v>105983.66666666667</v>
      </c>
      <c r="AG135" s="146">
        <f>_xlfn.IFNA(VLOOKUP($A135,Grants!$A:$BE,53,FALSE),0)</f>
        <v>123715</v>
      </c>
      <c r="AH135" s="146">
        <f>_xlfn.IFNA(VLOOKUP($A135,Grants!$A:$BE,54,FALSE),0)</f>
        <v>98978.64</v>
      </c>
      <c r="AI135" s="146">
        <f>_xlfn.IFNA(VLOOKUP($A135,Grants!$A:$BE,55,FALSE),0)</f>
        <v>0</v>
      </c>
      <c r="AJ135" s="146">
        <f>_xlfn.IFNA(VLOOKUP($A135,Barclays!$A:$T,18,FALSE),0)</f>
        <v>9784.8848399999479</v>
      </c>
      <c r="AK135" s="146">
        <f>_xlfn.IFNA(VLOOKUP($A135,'Summary Mar 2026'!$A:$GS,200,FALSE),0)</f>
        <v>-3047.4799999999996</v>
      </c>
      <c r="AL135" s="146">
        <f>_xlfn.IFNA(VLOOKUP($A135,Barclays!$A:$T,19,FALSE),0)</f>
        <v>-118.13</v>
      </c>
      <c r="AM135" s="146">
        <f>_xlfn.IFNA(VLOOKUP($A135,'Summary Mar 2026'!$A:$GS,201,FALSE),0)</f>
        <v>-9471</v>
      </c>
      <c r="AN135" s="146">
        <f>_xlfn.IFNA(VLOOKUP($A135,'Summary Mar 2026'!$A:$GS,199,FALSE),0)</f>
        <v>-10953.599999999997</v>
      </c>
      <c r="AO135" s="146">
        <f>_xlfn.IFNA(VLOOKUP($A135,Grants!$A:$BE,56,FALSE),0)</f>
        <v>0</v>
      </c>
      <c r="AP135" s="65">
        <f t="shared" si="1"/>
        <v>2527804.9144693483</v>
      </c>
    </row>
    <row r="136" spans="1:42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0" t="str">
        <f>VLOOKUP(A136,'Summary Mar 2026'!$A$8:$F$206,6,FALSE)</f>
        <v>Chq Bk</v>
      </c>
      <c r="H136" s="288">
        <f>_xlfn.IFNA(VLOOKUP($A136,ISB!$A:$BY,67,FALSE),0)</f>
        <v>2213794.8299793173</v>
      </c>
      <c r="I136" s="861">
        <f>_xlfn.IFNA(VLOOKUP(A136,'LA Deductions'!A:AN,40,FALSE),0)</f>
        <v>0</v>
      </c>
      <c r="J136" s="221">
        <f>_xlfn.IFNA(VLOOKUP($A136,ISB!$A:$BY,72,FALSE),0)</f>
        <v>-10718.88</v>
      </c>
      <c r="K136" s="289">
        <f>-_xlfn.IFNA(VLOOKUP($A136,ISB!$A:$BY,76,FALSE),0)</f>
        <v>-5126.12</v>
      </c>
      <c r="M136" s="288">
        <f>VLOOKUP($A136,EY!$A:$AAK,132,FALSE)</f>
        <v>0</v>
      </c>
      <c r="N136" s="288">
        <f>VLOOKUP($A136,EY!$A:$AAD,133,FALSE)</f>
        <v>0</v>
      </c>
      <c r="P136" s="288">
        <f>VLOOKUP($A136,HN!$A:$AM,38,FALSE)</f>
        <v>0</v>
      </c>
      <c r="Q136" s="288">
        <f>VLOOKUP($A136,HN!$A:$AM,39,FALSE)</f>
        <v>0</v>
      </c>
      <c r="S136" s="362">
        <f>_xlfn.IFNA(VLOOKUP(A136,'Post 16'!A:AR,44,FALSE),0)</f>
        <v>0</v>
      </c>
      <c r="U136" s="362">
        <f>VLOOKUP(A136,'LA Deductions'!A:W,23,FALSE)</f>
        <v>-9471</v>
      </c>
      <c r="W136" s="289">
        <f>VLOOKUP($A136,'Summary Mar 2026'!$A:$AAG,189,FALSE)-SUMIFS($H136:$U136,$H$7:$U$7,W$7)</f>
        <v>0</v>
      </c>
      <c r="X136" s="289">
        <f>VLOOKUP($A136,'Summary Mar 2026'!$A:$GL,190,FALSE)-SUMIFS($H136:$U136,$H$7:$U$7,X$7)</f>
        <v>0</v>
      </c>
      <c r="Y136" s="289">
        <f>VLOOKUP($A136,'Summary Mar 2026'!$A:$GL,191,FALSE)-SUMIFS($H136:$U136,$H$7:$U$7,Y$7)</f>
        <v>0</v>
      </c>
      <c r="Z136" s="289">
        <f>VLOOKUP($A136,'Summary Mar 2026'!$A:$GL,192,FALSE)-SUMIFS($H136:$U136,$H$7:$U$7,Z$7)</f>
        <v>0</v>
      </c>
      <c r="AA136" s="289">
        <f>VLOOKUP($A136,'Summary Mar 2026'!$A:$GL,193,FALSE)-SUMIFS($H136:$U136,$H$7:$U$7,AA$7)</f>
        <v>0</v>
      </c>
      <c r="AB136" s="289">
        <f>VLOOKUP($A136,'Summary Mar 2026'!$A:$GL,194,FALSE)-SUMIFS($H136:$U136,$H$7:$U$7,AB$7)</f>
        <v>0</v>
      </c>
      <c r="AD136" s="146">
        <f>_xlfn.IFNA(VLOOKUP($A136,'Summary Mar 2026'!$A:$GS,196,FALSE)+VLOOKUP($A136,OtherDSG!$A:$AI,34,FALSE)+VLOOKUP($A136,Grants!$A:$BE,50,FALSE),0)</f>
        <v>2276074.8299793173</v>
      </c>
      <c r="AE136" s="146">
        <f>_xlfn.IFNA(VLOOKUP($A136,'Summary Mar 2026'!$A:$GS,197,FALSE)+VLOOKUP($A136,Grants!$A:$BE,51,FALSE),0)</f>
        <v>0</v>
      </c>
      <c r="AF136" s="146">
        <f>_xlfn.IFNA(VLOOKUP($A136,'Summary Mar 2026'!$A:$GS,198,FALSE)+VLOOKUP($A136,OtherDSG!$A:$AI,35,FALSE)+VLOOKUP($A136,Grants!$A:$BE,52,FALSE),0)</f>
        <v>275566.94433333329</v>
      </c>
      <c r="AG136" s="146">
        <f>_xlfn.IFNA(VLOOKUP($A136,Grants!$A:$BE,53,FALSE),0)</f>
        <v>161970</v>
      </c>
      <c r="AH136" s="146">
        <f>_xlfn.IFNA(VLOOKUP($A136,Grants!$A:$BE,54,FALSE),0)</f>
        <v>88269.86</v>
      </c>
      <c r="AI136" s="146">
        <f>_xlfn.IFNA(VLOOKUP($A136,Grants!$A:$BE,55,FALSE),0)</f>
        <v>0</v>
      </c>
      <c r="AJ136" s="146">
        <f>_xlfn.IFNA(VLOOKUP($A136,Barclays!$A:$T,18,FALSE),0)</f>
        <v>9300.1064999999999</v>
      </c>
      <c r="AK136" s="146">
        <f>_xlfn.IFNA(VLOOKUP($A136,'Summary Mar 2026'!$A:$GS,200,FALSE),0)</f>
        <v>-5126.119999999999</v>
      </c>
      <c r="AL136" s="146">
        <f>_xlfn.IFNA(VLOOKUP($A136,Barclays!$A:$T,19,FALSE),0)</f>
        <v>-82.579999999999984</v>
      </c>
      <c r="AM136" s="146">
        <f>_xlfn.IFNA(VLOOKUP($A136,'Summary Mar 2026'!$A:$GS,201,FALSE),0)</f>
        <v>-9471</v>
      </c>
      <c r="AN136" s="146">
        <f>_xlfn.IFNA(VLOOKUP($A136,'Summary Mar 2026'!$A:$GS,199,FALSE),0)</f>
        <v>-10718.88</v>
      </c>
      <c r="AO136" s="146">
        <f>_xlfn.IFNA(VLOOKUP($A136,Grants!$A:$BE,56,FALSE),0)</f>
        <v>0</v>
      </c>
      <c r="AP136" s="65">
        <f t="shared" si="1"/>
        <v>2785783.1608126508</v>
      </c>
    </row>
    <row r="137" spans="1:42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0" t="str">
        <f>VLOOKUP(A137,'Summary Mar 2026'!$A$8:$F$206,6,FALSE)</f>
        <v>Chq Bk</v>
      </c>
      <c r="H137" s="288">
        <f>_xlfn.IFNA(VLOOKUP($A137,ISB!$A:$BY,67,FALSE),0)</f>
        <v>1437863.8025428571</v>
      </c>
      <c r="I137" s="861">
        <f>_xlfn.IFNA(VLOOKUP(A137,'LA Deductions'!A:AN,40,FALSE),0)</f>
        <v>0</v>
      </c>
      <c r="J137" s="221">
        <f>_xlfn.IFNA(VLOOKUP($A137,ISB!$A:$BY,72,FALSE),0)</f>
        <v>-5320.32</v>
      </c>
      <c r="K137" s="289">
        <f>-_xlfn.IFNA(VLOOKUP($A137,ISB!$A:$BY,76,FALSE),0)</f>
        <v>-15625.33</v>
      </c>
      <c r="M137" s="288">
        <f>VLOOKUP($A137,EY!$A:$AAK,132,FALSE)</f>
        <v>0</v>
      </c>
      <c r="N137" s="288">
        <f>VLOOKUP($A137,EY!$A:$AAD,133,FALSE)</f>
        <v>0</v>
      </c>
      <c r="P137" s="288">
        <f>VLOOKUP($A137,HN!$A:$AM,38,FALSE)</f>
        <v>0</v>
      </c>
      <c r="Q137" s="288">
        <f>VLOOKUP($A137,HN!$A:$AM,39,FALSE)</f>
        <v>0</v>
      </c>
      <c r="S137" s="362">
        <f>_xlfn.IFNA(VLOOKUP(A137,'Post 16'!A:AR,44,FALSE),0)</f>
        <v>0</v>
      </c>
      <c r="U137" s="362">
        <f>VLOOKUP(A137,'LA Deductions'!A:W,23,FALSE)</f>
        <v>-5139.75</v>
      </c>
      <c r="W137" s="289">
        <f>VLOOKUP($A137,'Summary Mar 2026'!$A:$AAG,189,FALSE)-SUMIFS($H137:$U137,$H$7:$U$7,W$7)</f>
        <v>0</v>
      </c>
      <c r="X137" s="289">
        <f>VLOOKUP($A137,'Summary Mar 2026'!$A:$GL,190,FALSE)-SUMIFS($H137:$U137,$H$7:$U$7,X$7)</f>
        <v>0</v>
      </c>
      <c r="Y137" s="289">
        <f>VLOOKUP($A137,'Summary Mar 2026'!$A:$GL,191,FALSE)-SUMIFS($H137:$U137,$H$7:$U$7,Y$7)</f>
        <v>0</v>
      </c>
      <c r="Z137" s="289">
        <f>VLOOKUP($A137,'Summary Mar 2026'!$A:$GL,192,FALSE)-SUMIFS($H137:$U137,$H$7:$U$7,Z$7)</f>
        <v>0</v>
      </c>
      <c r="AA137" s="289">
        <f>VLOOKUP($A137,'Summary Mar 2026'!$A:$GL,193,FALSE)-SUMIFS($H137:$U137,$H$7:$U$7,AA$7)</f>
        <v>0</v>
      </c>
      <c r="AB137" s="289">
        <f>VLOOKUP($A137,'Summary Mar 2026'!$A:$GL,194,FALSE)-SUMIFS($H137:$U137,$H$7:$U$7,AB$7)</f>
        <v>0</v>
      </c>
      <c r="AD137" s="146">
        <f>_xlfn.IFNA(VLOOKUP($A137,'Summary Mar 2026'!$A:$GS,196,FALSE)+VLOOKUP($A137,OtherDSG!$A:$AI,34,FALSE)+VLOOKUP($A137,Grants!$A:$BE,50,FALSE),0)</f>
        <v>1480120.8025428576</v>
      </c>
      <c r="AE137" s="146">
        <f>_xlfn.IFNA(VLOOKUP($A137,'Summary Mar 2026'!$A:$GS,197,FALSE)+VLOOKUP($A137,Grants!$A:$BE,51,FALSE),0)</f>
        <v>0</v>
      </c>
      <c r="AF137" s="146">
        <f>_xlfn.IFNA(VLOOKUP($A137,'Summary Mar 2026'!$A:$GS,198,FALSE)+VLOOKUP($A137,OtherDSG!$A:$AI,35,FALSE)+VLOOKUP($A137,Grants!$A:$BE,52,FALSE),0)</f>
        <v>135682.33666666667</v>
      </c>
      <c r="AG137" s="146">
        <f>_xlfn.IFNA(VLOOKUP($A137,Grants!$A:$BE,53,FALSE),0)</f>
        <v>204525</v>
      </c>
      <c r="AH137" s="146">
        <f>_xlfn.IFNA(VLOOKUP($A137,Grants!$A:$BE,54,FALSE),0)</f>
        <v>30135</v>
      </c>
      <c r="AI137" s="146">
        <f>_xlfn.IFNA(VLOOKUP($A137,Grants!$A:$BE,55,FALSE),0)</f>
        <v>0</v>
      </c>
      <c r="AJ137" s="146">
        <f>_xlfn.IFNA(VLOOKUP($A137,Barclays!$A:$T,18,FALSE),0)</f>
        <v>0</v>
      </c>
      <c r="AK137" s="146">
        <f>_xlfn.IFNA(VLOOKUP($A137,'Summary Mar 2026'!$A:$GS,200,FALSE),0)</f>
        <v>-15625.330000000004</v>
      </c>
      <c r="AL137" s="146">
        <f>_xlfn.IFNA(VLOOKUP($A137,Barclays!$A:$T,19,FALSE),0)</f>
        <v>0</v>
      </c>
      <c r="AM137" s="146">
        <f>_xlfn.IFNA(VLOOKUP($A137,'Summary Mar 2026'!$A:$GS,201,FALSE),0)</f>
        <v>-5139.75</v>
      </c>
      <c r="AN137" s="146">
        <f>_xlfn.IFNA(VLOOKUP($A137,'Summary Mar 2026'!$A:$GS,199,FALSE),0)</f>
        <v>-5320.32</v>
      </c>
      <c r="AO137" s="146">
        <f>_xlfn.IFNA(VLOOKUP($A137,Grants!$A:$BE,56,FALSE),0)</f>
        <v>6362.5</v>
      </c>
      <c r="AP137" s="65">
        <f t="shared" ref="AP137:AP200" si="2">SUM(AD137:AO137)</f>
        <v>1830740.2392095241</v>
      </c>
    </row>
    <row r="138" spans="1:42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0" t="str">
        <f>VLOOKUP(A138,'Summary Mar 2026'!$A$8:$F$206,6,FALSE)</f>
        <v>Chq Bk</v>
      </c>
      <c r="H138" s="288">
        <f>_xlfn.IFNA(VLOOKUP($A138,ISB!$A:$BY,67,FALSE),0)</f>
        <v>6090430.3207271649</v>
      </c>
      <c r="I138" s="861">
        <f>_xlfn.IFNA(VLOOKUP(A138,'LA Deductions'!A:AN,40,FALSE),0)</f>
        <v>0</v>
      </c>
      <c r="J138" s="221">
        <f>_xlfn.IFNA(VLOOKUP($A138,ISB!$A:$BY,72,FALSE),0)</f>
        <v>-17029.98</v>
      </c>
      <c r="K138" s="289">
        <f>-_xlfn.IFNA(VLOOKUP($A138,ISB!$A:$BY,76,FALSE),0)</f>
        <v>-14945.91</v>
      </c>
      <c r="M138" s="288">
        <f>VLOOKUP($A138,EY!$A:$AAK,132,FALSE)</f>
        <v>0</v>
      </c>
      <c r="N138" s="288">
        <f>VLOOKUP($A138,EY!$A:$AAD,133,FALSE)</f>
        <v>0</v>
      </c>
      <c r="P138" s="288">
        <f>VLOOKUP($A138,HN!$A:$AM,38,FALSE)</f>
        <v>0</v>
      </c>
      <c r="Q138" s="288">
        <f>VLOOKUP($A138,HN!$A:$AM,39,FALSE)</f>
        <v>0</v>
      </c>
      <c r="S138" s="362">
        <f>_xlfn.IFNA(VLOOKUP(A138,'Post 16'!A:AR,44,FALSE),0)</f>
        <v>1234838.3333333335</v>
      </c>
      <c r="U138" s="362">
        <f>VLOOKUP(A138,'LA Deductions'!A:W,23,FALSE)</f>
        <v>-24312.75</v>
      </c>
      <c r="W138" s="289">
        <f>VLOOKUP($A138,'Summary Mar 2026'!$A:$AAG,189,FALSE)-SUMIFS($H138:$U138,$H$7:$U$7,W$7)</f>
        <v>0</v>
      </c>
      <c r="X138" s="289">
        <f>VLOOKUP($A138,'Summary Mar 2026'!$A:$GL,190,FALSE)-SUMIFS($H138:$U138,$H$7:$U$7,X$7)</f>
        <v>0</v>
      </c>
      <c r="Y138" s="289">
        <f>VLOOKUP($A138,'Summary Mar 2026'!$A:$GL,191,FALSE)-SUMIFS($H138:$U138,$H$7:$U$7,Y$7)</f>
        <v>0</v>
      </c>
      <c r="Z138" s="289">
        <f>VLOOKUP($A138,'Summary Mar 2026'!$A:$GL,192,FALSE)-SUMIFS($H138:$U138,$H$7:$U$7,Z$7)</f>
        <v>0</v>
      </c>
      <c r="AA138" s="289">
        <f>VLOOKUP($A138,'Summary Mar 2026'!$A:$GL,193,FALSE)-SUMIFS($H138:$U138,$H$7:$U$7,AA$7)</f>
        <v>0</v>
      </c>
      <c r="AB138" s="289">
        <f>VLOOKUP($A138,'Summary Mar 2026'!$A:$GL,194,FALSE)-SUMIFS($H138:$U138,$H$7:$U$7,AB$7)</f>
        <v>0</v>
      </c>
      <c r="AD138" s="146">
        <f>_xlfn.IFNA(VLOOKUP($A138,'Summary Mar 2026'!$A:$GS,196,FALSE)+VLOOKUP($A138,OtherDSG!$A:$AI,34,FALSE)+VLOOKUP($A138,Grants!$A:$BE,50,FALSE),0)</f>
        <v>6229674.320727163</v>
      </c>
      <c r="AE138" s="146">
        <f>_xlfn.IFNA(VLOOKUP($A138,'Summary Mar 2026'!$A:$GS,197,FALSE)+VLOOKUP($A138,Grants!$A:$BE,51,FALSE),0)</f>
        <v>1331388.9733333334</v>
      </c>
      <c r="AF138" s="146">
        <f>_xlfn.IFNA(VLOOKUP($A138,'Summary Mar 2026'!$A:$GS,198,FALSE)+VLOOKUP($A138,OtherDSG!$A:$AI,35,FALSE)+VLOOKUP($A138,Grants!$A:$BE,52,FALSE),0)</f>
        <v>75863</v>
      </c>
      <c r="AG138" s="146">
        <f>_xlfn.IFNA(VLOOKUP($A138,Grants!$A:$BE,53,FALSE),0)</f>
        <v>284370</v>
      </c>
      <c r="AH138" s="146">
        <f>_xlfn.IFNA(VLOOKUP($A138,Grants!$A:$BE,54,FALSE),0)</f>
        <v>15918.52</v>
      </c>
      <c r="AI138" s="146">
        <f>_xlfn.IFNA(VLOOKUP($A138,Grants!$A:$BE,55,FALSE),0)</f>
        <v>0</v>
      </c>
      <c r="AJ138" s="146">
        <f>_xlfn.IFNA(VLOOKUP($A138,Barclays!$A:$T,18,FALSE),0)</f>
        <v>0</v>
      </c>
      <c r="AK138" s="146">
        <f>_xlfn.IFNA(VLOOKUP($A138,'Summary Mar 2026'!$A:$GS,200,FALSE),0)</f>
        <v>-14945.910000000002</v>
      </c>
      <c r="AL138" s="146">
        <f>_xlfn.IFNA(VLOOKUP($A138,Barclays!$A:$T,19,FALSE),0)</f>
        <v>0</v>
      </c>
      <c r="AM138" s="146">
        <f>_xlfn.IFNA(VLOOKUP($A138,'Summary Mar 2026'!$A:$GS,201,FALSE),0)</f>
        <v>-24312.75</v>
      </c>
      <c r="AN138" s="146">
        <f>_xlfn.IFNA(VLOOKUP($A138,'Summary Mar 2026'!$A:$GS,199,FALSE),0)</f>
        <v>-17029.980000000003</v>
      </c>
      <c r="AO138" s="146">
        <f>_xlfn.IFNA(VLOOKUP($A138,Grants!$A:$BE,56,FALSE),0)</f>
        <v>0</v>
      </c>
      <c r="AP138" s="65">
        <f t="shared" si="2"/>
        <v>7880926.1740604956</v>
      </c>
    </row>
    <row r="139" spans="1:42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0" t="str">
        <f>VLOOKUP(A139,'Summary Mar 2026'!$A$8:$F$206,6,FALSE)</f>
        <v>Chq Bk</v>
      </c>
      <c r="H139" s="288">
        <f>_xlfn.IFNA(VLOOKUP($A139,ISB!$A:$BY,67,FALSE),0)</f>
        <v>2216381.835639209</v>
      </c>
      <c r="I139" s="861">
        <f>_xlfn.IFNA(VLOOKUP(A139,'LA Deductions'!A:AN,40,FALSE),0)</f>
        <v>0</v>
      </c>
      <c r="J139" s="221">
        <f>_xlfn.IFNA(VLOOKUP($A139,ISB!$A:$BY,72,FALSE),0)</f>
        <v>-10744.96</v>
      </c>
      <c r="K139" s="289">
        <f>-_xlfn.IFNA(VLOOKUP($A139,ISB!$A:$BY,76,FALSE),0)</f>
        <v>-44784.73</v>
      </c>
      <c r="M139" s="288">
        <f>VLOOKUP($A139,EY!$A:$AAK,132,FALSE)</f>
        <v>113640.39739612189</v>
      </c>
      <c r="N139" s="288">
        <f>VLOOKUP($A139,EY!$A:$AAD,133,FALSE)</f>
        <v>0</v>
      </c>
      <c r="P139" s="288">
        <f>VLOOKUP($A139,HN!$A:$AM,38,FALSE)</f>
        <v>0</v>
      </c>
      <c r="Q139" s="288">
        <f>VLOOKUP($A139,HN!$A:$AM,39,FALSE)</f>
        <v>0</v>
      </c>
      <c r="S139" s="362">
        <f>_xlfn.IFNA(VLOOKUP(A139,'Post 16'!A:AR,44,FALSE),0)</f>
        <v>0</v>
      </c>
      <c r="U139" s="362">
        <f>VLOOKUP(A139,'LA Deductions'!A:W,23,FALSE)</f>
        <v>-9471</v>
      </c>
      <c r="W139" s="289">
        <f>VLOOKUP($A139,'Summary Mar 2026'!$A:$AAG,189,FALSE)-SUMIFS($H139:$U139,$H$7:$U$7,W$7)</f>
        <v>0</v>
      </c>
      <c r="X139" s="289">
        <f>VLOOKUP($A139,'Summary Mar 2026'!$A:$GL,190,FALSE)-SUMIFS($H139:$U139,$H$7:$U$7,X$7)</f>
        <v>0</v>
      </c>
      <c r="Y139" s="289">
        <f>VLOOKUP($A139,'Summary Mar 2026'!$A:$GL,191,FALSE)-SUMIFS($H139:$U139,$H$7:$U$7,Y$7)</f>
        <v>0</v>
      </c>
      <c r="Z139" s="289">
        <f>VLOOKUP($A139,'Summary Mar 2026'!$A:$GL,192,FALSE)-SUMIFS($H139:$U139,$H$7:$U$7,Z$7)</f>
        <v>0</v>
      </c>
      <c r="AA139" s="289">
        <f>VLOOKUP($A139,'Summary Mar 2026'!$A:$GL,193,FALSE)-SUMIFS($H139:$U139,$H$7:$U$7,AA$7)</f>
        <v>0</v>
      </c>
      <c r="AB139" s="289">
        <f>VLOOKUP($A139,'Summary Mar 2026'!$A:$GL,194,FALSE)-SUMIFS($H139:$U139,$H$7:$U$7,AB$7)</f>
        <v>0</v>
      </c>
      <c r="AD139" s="146">
        <f>_xlfn.IFNA(VLOOKUP($A139,'Summary Mar 2026'!$A:$GS,196,FALSE)+VLOOKUP($A139,OtherDSG!$A:$AI,34,FALSE)+VLOOKUP($A139,Grants!$A:$BE,50,FALSE),0)</f>
        <v>2394551.2330353311</v>
      </c>
      <c r="AE139" s="146">
        <f>_xlfn.IFNA(VLOOKUP($A139,'Summary Mar 2026'!$A:$GS,197,FALSE)+VLOOKUP($A139,Grants!$A:$BE,51,FALSE),0)</f>
        <v>0</v>
      </c>
      <c r="AF139" s="146">
        <f>_xlfn.IFNA(VLOOKUP($A139,'Summary Mar 2026'!$A:$GS,198,FALSE)+VLOOKUP($A139,OtherDSG!$A:$AI,35,FALSE)+VLOOKUP($A139,Grants!$A:$BE,52,FALSE),0)</f>
        <v>197963.82666666666</v>
      </c>
      <c r="AG139" s="146">
        <f>_xlfn.IFNA(VLOOKUP($A139,Grants!$A:$BE,53,FALSE),0)</f>
        <v>128690</v>
      </c>
      <c r="AH139" s="146">
        <f>_xlfn.IFNA(VLOOKUP($A139,Grants!$A:$BE,54,FALSE),0)</f>
        <v>81892</v>
      </c>
      <c r="AI139" s="146">
        <f>_xlfn.IFNA(VLOOKUP($A139,Grants!$A:$BE,55,FALSE),0)</f>
        <v>0</v>
      </c>
      <c r="AJ139" s="146">
        <f>_xlfn.IFNA(VLOOKUP($A139,Barclays!$A:$T,18,FALSE),0)</f>
        <v>0</v>
      </c>
      <c r="AK139" s="146">
        <f>_xlfn.IFNA(VLOOKUP($A139,'Summary Mar 2026'!$A:$GS,200,FALSE),0)</f>
        <v>-44784.73000000001</v>
      </c>
      <c r="AL139" s="146">
        <f>_xlfn.IFNA(VLOOKUP($A139,Barclays!$A:$T,19,FALSE),0)</f>
        <v>0</v>
      </c>
      <c r="AM139" s="146">
        <f>_xlfn.IFNA(VLOOKUP($A139,'Summary Mar 2026'!$A:$GS,201,FALSE),0)</f>
        <v>-9471</v>
      </c>
      <c r="AN139" s="146">
        <f>_xlfn.IFNA(VLOOKUP($A139,'Summary Mar 2026'!$A:$GS,199,FALSE),0)</f>
        <v>-10744.96</v>
      </c>
      <c r="AO139" s="146">
        <f>_xlfn.IFNA(VLOOKUP($A139,Grants!$A:$BE,56,FALSE),0)</f>
        <v>0</v>
      </c>
      <c r="AP139" s="65">
        <f t="shared" si="2"/>
        <v>2738096.3697019978</v>
      </c>
    </row>
    <row r="140" spans="1:42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0" t="str">
        <f>VLOOKUP(A140,'Summary Mar 2026'!$A$8:$F$206,6,FALSE)</f>
        <v>Chq Bk</v>
      </c>
      <c r="H140" s="288">
        <f>_xlfn.IFNA(VLOOKUP($A140,ISB!$A:$BY,67,FALSE),0)</f>
        <v>2519633.4865974844</v>
      </c>
      <c r="I140" s="861">
        <f>_xlfn.IFNA(VLOOKUP(A140,'LA Deductions'!A:AN,40,FALSE),0)</f>
        <v>0</v>
      </c>
      <c r="J140" s="221">
        <f>_xlfn.IFNA(VLOOKUP($A140,ISB!$A:$BY,72,FALSE),0)</f>
        <v>-10614.56</v>
      </c>
      <c r="K140" s="289">
        <f>-_xlfn.IFNA(VLOOKUP($A140,ISB!$A:$BY,76,FALSE),0)</f>
        <v>-27824.83</v>
      </c>
      <c r="M140" s="288">
        <f>VLOOKUP($A140,EY!$A:$AAK,132,FALSE)</f>
        <v>0</v>
      </c>
      <c r="N140" s="288">
        <f>VLOOKUP($A140,EY!$A:$AAD,133,FALSE)</f>
        <v>0</v>
      </c>
      <c r="P140" s="288">
        <f>VLOOKUP($A140,HN!$A:$AM,38,FALSE)</f>
        <v>0</v>
      </c>
      <c r="Q140" s="288">
        <f>VLOOKUP($A140,HN!$A:$AM,39,FALSE)</f>
        <v>0</v>
      </c>
      <c r="S140" s="362">
        <f>_xlfn.IFNA(VLOOKUP(A140,'Post 16'!A:AR,44,FALSE),0)</f>
        <v>0</v>
      </c>
      <c r="U140" s="362">
        <f>VLOOKUP(A140,'LA Deductions'!A:W,23,FALSE)</f>
        <v>-9471</v>
      </c>
      <c r="W140" s="289">
        <f>VLOOKUP($A140,'Summary Mar 2026'!$A:$AAG,189,FALSE)-SUMIFS($H140:$U140,$H$7:$U$7,W$7)</f>
        <v>0</v>
      </c>
      <c r="X140" s="289">
        <f>VLOOKUP($A140,'Summary Mar 2026'!$A:$GL,190,FALSE)-SUMIFS($H140:$U140,$H$7:$U$7,X$7)</f>
        <v>0</v>
      </c>
      <c r="Y140" s="289">
        <f>VLOOKUP($A140,'Summary Mar 2026'!$A:$GL,191,FALSE)-SUMIFS($H140:$U140,$H$7:$U$7,Y$7)</f>
        <v>0</v>
      </c>
      <c r="Z140" s="289">
        <f>VLOOKUP($A140,'Summary Mar 2026'!$A:$GL,192,FALSE)-SUMIFS($H140:$U140,$H$7:$U$7,Z$7)</f>
        <v>0</v>
      </c>
      <c r="AA140" s="289">
        <f>VLOOKUP($A140,'Summary Mar 2026'!$A:$GL,193,FALSE)-SUMIFS($H140:$U140,$H$7:$U$7,AA$7)</f>
        <v>0</v>
      </c>
      <c r="AB140" s="289">
        <f>VLOOKUP($A140,'Summary Mar 2026'!$A:$GL,194,FALSE)-SUMIFS($H140:$U140,$H$7:$U$7,AB$7)</f>
        <v>0</v>
      </c>
      <c r="AD140" s="146">
        <f>_xlfn.IFNA(VLOOKUP($A140,'Summary Mar 2026'!$A:$GS,196,FALSE)+VLOOKUP($A140,OtherDSG!$A:$AI,34,FALSE)+VLOOKUP($A140,Grants!$A:$BE,50,FALSE),0)</f>
        <v>2593925.4865974844</v>
      </c>
      <c r="AE140" s="146">
        <f>_xlfn.IFNA(VLOOKUP($A140,'Summary Mar 2026'!$A:$GS,197,FALSE)+VLOOKUP($A140,Grants!$A:$BE,51,FALSE),0)</f>
        <v>0</v>
      </c>
      <c r="AF140" s="146">
        <f>_xlfn.IFNA(VLOOKUP($A140,'Summary Mar 2026'!$A:$GS,198,FALSE)+VLOOKUP($A140,OtherDSG!$A:$AI,35,FALSE)+VLOOKUP($A140,Grants!$A:$BE,52,FALSE),0)</f>
        <v>279644.09999999998</v>
      </c>
      <c r="AG140" s="146">
        <f>_xlfn.IFNA(VLOOKUP($A140,Grants!$A:$BE,53,FALSE),0)</f>
        <v>325325</v>
      </c>
      <c r="AH140" s="146">
        <f>_xlfn.IFNA(VLOOKUP($A140,Grants!$A:$BE,54,FALSE),0)</f>
        <v>59262</v>
      </c>
      <c r="AI140" s="146">
        <f>_xlfn.IFNA(VLOOKUP($A140,Grants!$A:$BE,55,FALSE),0)</f>
        <v>0</v>
      </c>
      <c r="AJ140" s="146">
        <f>_xlfn.IFNA(VLOOKUP($A140,Barclays!$A:$T,18,FALSE),0)</f>
        <v>21166.239260000002</v>
      </c>
      <c r="AK140" s="146">
        <f>_xlfn.IFNA(VLOOKUP($A140,'Summary Mar 2026'!$A:$GS,200,FALSE),0)</f>
        <v>-27824.829999999998</v>
      </c>
      <c r="AL140" s="146">
        <f>_xlfn.IFNA(VLOOKUP($A140,Barclays!$A:$T,19,FALSE),0)</f>
        <v>-86.81</v>
      </c>
      <c r="AM140" s="146">
        <f>_xlfn.IFNA(VLOOKUP($A140,'Summary Mar 2026'!$A:$GS,201,FALSE),0)</f>
        <v>-9471</v>
      </c>
      <c r="AN140" s="146">
        <f>_xlfn.IFNA(VLOOKUP($A140,'Summary Mar 2026'!$A:$GS,199,FALSE),0)</f>
        <v>-10614.560000000003</v>
      </c>
      <c r="AO140" s="146">
        <f>_xlfn.IFNA(VLOOKUP($A140,Grants!$A:$BE,56,FALSE),0)</f>
        <v>8612.5</v>
      </c>
      <c r="AP140" s="65">
        <f t="shared" si="2"/>
        <v>3239938.1258574845</v>
      </c>
    </row>
    <row r="141" spans="1:42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0" t="str">
        <f>VLOOKUP(A141,'Summary Mar 2026'!$A$8:$F$206,6,FALSE)</f>
        <v>Chq Bk</v>
      </c>
      <c r="H141" s="288">
        <f>_xlfn.IFNA(VLOOKUP($A141,ISB!$A:$BY,67,FALSE),0)</f>
        <v>1334475.7081971292</v>
      </c>
      <c r="I141" s="861">
        <f>_xlfn.IFNA(VLOOKUP(A141,'LA Deductions'!A:AN,40,FALSE),0)</f>
        <v>0</v>
      </c>
      <c r="J141" s="221">
        <f>_xlfn.IFNA(VLOOKUP($A141,ISB!$A:$BY,72,FALSE),0)</f>
        <v>-5372.48</v>
      </c>
      <c r="K141" s="289">
        <f>-_xlfn.IFNA(VLOOKUP($A141,ISB!$A:$BY,76,FALSE),0)</f>
        <v>-16400.14</v>
      </c>
      <c r="M141" s="288">
        <f>VLOOKUP($A141,EY!$A:$AAK,132,FALSE)</f>
        <v>91148.67877008309</v>
      </c>
      <c r="N141" s="288">
        <f>VLOOKUP($A141,EY!$A:$AAD,133,FALSE)</f>
        <v>0</v>
      </c>
      <c r="P141" s="288">
        <f>VLOOKUP($A141,HN!$A:$AM,38,FALSE)</f>
        <v>0</v>
      </c>
      <c r="Q141" s="288">
        <f>VLOOKUP($A141,HN!$A:$AM,39,FALSE)</f>
        <v>0</v>
      </c>
      <c r="S141" s="362">
        <f>_xlfn.IFNA(VLOOKUP(A141,'Post 16'!A:AR,44,FALSE),0)</f>
        <v>0</v>
      </c>
      <c r="U141" s="362">
        <f>VLOOKUP(A141,'LA Deductions'!A:W,23,FALSE)</f>
        <v>-5139.75</v>
      </c>
      <c r="W141" s="289">
        <f>VLOOKUP($A141,'Summary Mar 2026'!$A:$AAG,189,FALSE)-SUMIFS($H141:$U141,$H$7:$U$7,W$7)</f>
        <v>0</v>
      </c>
      <c r="X141" s="289">
        <f>VLOOKUP($A141,'Summary Mar 2026'!$A:$GL,190,FALSE)-SUMIFS($H141:$U141,$H$7:$U$7,X$7)</f>
        <v>0</v>
      </c>
      <c r="Y141" s="289">
        <f>VLOOKUP($A141,'Summary Mar 2026'!$A:$GL,191,FALSE)-SUMIFS($H141:$U141,$H$7:$U$7,Y$7)</f>
        <v>0</v>
      </c>
      <c r="Z141" s="289">
        <f>VLOOKUP($A141,'Summary Mar 2026'!$A:$GL,192,FALSE)-SUMIFS($H141:$U141,$H$7:$U$7,Z$7)</f>
        <v>0</v>
      </c>
      <c r="AA141" s="289">
        <f>VLOOKUP($A141,'Summary Mar 2026'!$A:$GL,193,FALSE)-SUMIFS($H141:$U141,$H$7:$U$7,AA$7)</f>
        <v>0</v>
      </c>
      <c r="AB141" s="289">
        <f>VLOOKUP($A141,'Summary Mar 2026'!$A:$GL,194,FALSE)-SUMIFS($H141:$U141,$H$7:$U$7,AB$7)</f>
        <v>0</v>
      </c>
      <c r="AD141" s="146">
        <f>_xlfn.IFNA(VLOOKUP($A141,'Summary Mar 2026'!$A:$GS,196,FALSE)+VLOOKUP($A141,OtherDSG!$A:$AI,34,FALSE)+VLOOKUP($A141,Grants!$A:$BE,50,FALSE),0)</f>
        <v>1467374.320300546</v>
      </c>
      <c r="AE141" s="146">
        <f>_xlfn.IFNA(VLOOKUP($A141,'Summary Mar 2026'!$A:$GS,197,FALSE)+VLOOKUP($A141,Grants!$A:$BE,51,FALSE),0)</f>
        <v>0</v>
      </c>
      <c r="AF141" s="146">
        <f>_xlfn.IFNA(VLOOKUP($A141,'Summary Mar 2026'!$A:$GS,198,FALSE)+VLOOKUP($A141,OtherDSG!$A:$AI,35,FALSE)+VLOOKUP($A141,Grants!$A:$BE,52,FALSE),0)</f>
        <v>8306</v>
      </c>
      <c r="AG141" s="146">
        <f>_xlfn.IFNA(VLOOKUP($A141,Grants!$A:$BE,53,FALSE),0)</f>
        <v>161620</v>
      </c>
      <c r="AH141" s="146">
        <f>_xlfn.IFNA(VLOOKUP($A141,Grants!$A:$BE,54,FALSE),0)</f>
        <v>36016</v>
      </c>
      <c r="AI141" s="146">
        <f>_xlfn.IFNA(VLOOKUP($A141,Grants!$A:$BE,55,FALSE),0)</f>
        <v>0</v>
      </c>
      <c r="AJ141" s="146">
        <f>_xlfn.IFNA(VLOOKUP($A141,Barclays!$A:$T,18,FALSE),0)</f>
        <v>6005.2388100000126</v>
      </c>
      <c r="AK141" s="146">
        <f>_xlfn.IFNA(VLOOKUP($A141,'Summary Mar 2026'!$A:$GS,200,FALSE),0)</f>
        <v>-16400.14</v>
      </c>
      <c r="AL141" s="146">
        <f>_xlfn.IFNA(VLOOKUP($A141,Barclays!$A:$T,19,FALSE),0)</f>
        <v>-13.91</v>
      </c>
      <c r="AM141" s="146">
        <f>_xlfn.IFNA(VLOOKUP($A141,'Summary Mar 2026'!$A:$GS,201,FALSE),0)</f>
        <v>-5139.75</v>
      </c>
      <c r="AN141" s="146">
        <f>_xlfn.IFNA(VLOOKUP($A141,'Summary Mar 2026'!$A:$GS,199,FALSE),0)</f>
        <v>-5372.48</v>
      </c>
      <c r="AO141" s="146">
        <f>_xlfn.IFNA(VLOOKUP($A141,Grants!$A:$BE,56,FALSE),0)</f>
        <v>6518.2</v>
      </c>
      <c r="AP141" s="65">
        <f t="shared" si="2"/>
        <v>1658913.4791105462</v>
      </c>
    </row>
    <row r="142" spans="1:42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0" t="str">
        <f>VLOOKUP(A142,'Summary Mar 2026'!$A$8:$F$206,6,FALSE)</f>
        <v>Chq Bk</v>
      </c>
      <c r="H142" s="288">
        <f>_xlfn.IFNA(VLOOKUP($A142,ISB!$A:$BY,67,FALSE),0)</f>
        <v>2398015.6835654657</v>
      </c>
      <c r="I142" s="861">
        <f>_xlfn.IFNA(VLOOKUP(A142,'LA Deductions'!A:AN,40,FALSE),0)</f>
        <v>0</v>
      </c>
      <c r="J142" s="221">
        <f>_xlfn.IFNA(VLOOKUP($A142,ISB!$A:$BY,72,FALSE),0)</f>
        <v>-10797.119999999999</v>
      </c>
      <c r="K142" s="289">
        <f>-_xlfn.IFNA(VLOOKUP($A142,ISB!$A:$BY,76,FALSE),0)</f>
        <v>-30739.81</v>
      </c>
      <c r="M142" s="288">
        <f>VLOOKUP($A142,EY!$A:$AAK,132,FALSE)</f>
        <v>0</v>
      </c>
      <c r="N142" s="288">
        <f>VLOOKUP($A142,EY!$A:$AAD,133,FALSE)</f>
        <v>0</v>
      </c>
      <c r="P142" s="288">
        <f>VLOOKUP($A142,HN!$A:$AM,38,FALSE)</f>
        <v>0</v>
      </c>
      <c r="Q142" s="288">
        <f>VLOOKUP($A142,HN!$A:$AM,39,FALSE)</f>
        <v>0</v>
      </c>
      <c r="S142" s="362">
        <f>_xlfn.IFNA(VLOOKUP(A142,'Post 16'!A:AR,44,FALSE),0)</f>
        <v>0</v>
      </c>
      <c r="U142" s="362">
        <f>VLOOKUP(A142,'LA Deductions'!A:W,23,FALSE)</f>
        <v>-9471</v>
      </c>
      <c r="W142" s="289">
        <f>VLOOKUP($A142,'Summary Mar 2026'!$A:$AAG,189,FALSE)-SUMIFS($H142:$U142,$H$7:$U$7,W$7)</f>
        <v>0</v>
      </c>
      <c r="X142" s="289">
        <f>VLOOKUP($A142,'Summary Mar 2026'!$A:$GL,190,FALSE)-SUMIFS($H142:$U142,$H$7:$U$7,X$7)</f>
        <v>0</v>
      </c>
      <c r="Y142" s="289">
        <f>VLOOKUP($A142,'Summary Mar 2026'!$A:$GL,191,FALSE)-SUMIFS($H142:$U142,$H$7:$U$7,Y$7)</f>
        <v>0</v>
      </c>
      <c r="Z142" s="289">
        <f>VLOOKUP($A142,'Summary Mar 2026'!$A:$GL,192,FALSE)-SUMIFS($H142:$U142,$H$7:$U$7,Z$7)</f>
        <v>0</v>
      </c>
      <c r="AA142" s="289">
        <f>VLOOKUP($A142,'Summary Mar 2026'!$A:$GL,193,FALSE)-SUMIFS($H142:$U142,$H$7:$U$7,AA$7)</f>
        <v>0</v>
      </c>
      <c r="AB142" s="289">
        <f>VLOOKUP($A142,'Summary Mar 2026'!$A:$GL,194,FALSE)-SUMIFS($H142:$U142,$H$7:$U$7,AB$7)</f>
        <v>0</v>
      </c>
      <c r="AD142" s="146">
        <f>_xlfn.IFNA(VLOOKUP($A142,'Summary Mar 2026'!$A:$GS,196,FALSE)+VLOOKUP($A142,OtherDSG!$A:$AI,34,FALSE)+VLOOKUP($A142,Grants!$A:$BE,50,FALSE),0)</f>
        <v>2471070.6835654657</v>
      </c>
      <c r="AE142" s="146">
        <f>_xlfn.IFNA(VLOOKUP($A142,'Summary Mar 2026'!$A:$GS,197,FALSE)+VLOOKUP($A142,Grants!$A:$BE,51,FALSE),0)</f>
        <v>0</v>
      </c>
      <c r="AF142" s="146">
        <f>_xlfn.IFNA(VLOOKUP($A142,'Summary Mar 2026'!$A:$GS,198,FALSE)+VLOOKUP($A142,OtherDSG!$A:$AI,35,FALSE)+VLOOKUP($A142,Grants!$A:$BE,52,FALSE),0)</f>
        <v>189380.39</v>
      </c>
      <c r="AG142" s="146">
        <f>_xlfn.IFNA(VLOOKUP($A142,Grants!$A:$BE,53,FALSE),0)</f>
        <v>279075</v>
      </c>
      <c r="AH142" s="146">
        <f>_xlfn.IFNA(VLOOKUP($A142,Grants!$A:$BE,54,FALSE),0)</f>
        <v>68333.290000000008</v>
      </c>
      <c r="AI142" s="146">
        <f>_xlfn.IFNA(VLOOKUP($A142,Grants!$A:$BE,55,FALSE),0)</f>
        <v>0</v>
      </c>
      <c r="AJ142" s="146">
        <f>_xlfn.IFNA(VLOOKUP($A142,Barclays!$A:$T,18,FALSE),0)</f>
        <v>32172.838755000041</v>
      </c>
      <c r="AK142" s="146">
        <f>_xlfn.IFNA(VLOOKUP($A142,'Summary Mar 2026'!$A:$GS,200,FALSE),0)</f>
        <v>-30739.81</v>
      </c>
      <c r="AL142" s="146">
        <f>_xlfn.IFNA(VLOOKUP($A142,Barclays!$A:$T,19,FALSE),0)</f>
        <v>-187.25</v>
      </c>
      <c r="AM142" s="146">
        <f>_xlfn.IFNA(VLOOKUP($A142,'Summary Mar 2026'!$A:$GS,201,FALSE),0)</f>
        <v>-9471</v>
      </c>
      <c r="AN142" s="146">
        <f>_xlfn.IFNA(VLOOKUP($A142,'Summary Mar 2026'!$A:$GS,199,FALSE),0)</f>
        <v>-10797.12</v>
      </c>
      <c r="AO142" s="146">
        <f>_xlfn.IFNA(VLOOKUP($A142,Grants!$A:$BE,56,FALSE),0)</f>
        <v>8839.75</v>
      </c>
      <c r="AP142" s="65">
        <f t="shared" si="2"/>
        <v>2997676.7723204657</v>
      </c>
    </row>
    <row r="143" spans="1:42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0" t="str">
        <f>VLOOKUP(A143,'Summary Mar 2026'!$A$8:$F$206,6,FALSE)</f>
        <v>Chq Bk</v>
      </c>
      <c r="H143" s="288">
        <f>_xlfn.IFNA(VLOOKUP($A143,ISB!$A:$BY,67,FALSE),0)</f>
        <v>1034341.7467947369</v>
      </c>
      <c r="I143" s="861">
        <f>_xlfn.IFNA(VLOOKUP(A143,'LA Deductions'!A:AN,40,FALSE),0)</f>
        <v>0</v>
      </c>
      <c r="J143" s="221">
        <f>_xlfn.IFNA(VLOOKUP($A143,ISB!$A:$BY,72,FALSE),0)</f>
        <v>-4068.4799999999996</v>
      </c>
      <c r="K143" s="289">
        <f>-_xlfn.IFNA(VLOOKUP($A143,ISB!$A:$BY,76,FALSE),0)</f>
        <v>-21694.67</v>
      </c>
      <c r="M143" s="288">
        <f>VLOOKUP($A143,EY!$A:$AAK,132,FALSE)</f>
        <v>0</v>
      </c>
      <c r="N143" s="288">
        <f>VLOOKUP($A143,EY!$A:$AAD,133,FALSE)</f>
        <v>0</v>
      </c>
      <c r="P143" s="288">
        <f>VLOOKUP($A143,HN!$A:$AM,38,FALSE)</f>
        <v>0</v>
      </c>
      <c r="Q143" s="288">
        <f>VLOOKUP($A143,HN!$A:$AM,39,FALSE)</f>
        <v>0</v>
      </c>
      <c r="S143" s="362">
        <f>_xlfn.IFNA(VLOOKUP(A143,'Post 16'!A:AR,44,FALSE),0)</f>
        <v>0</v>
      </c>
      <c r="U143" s="362">
        <f>VLOOKUP(A143,'LA Deductions'!A:W,23,FALSE)</f>
        <v>-5139.75</v>
      </c>
      <c r="W143" s="289">
        <f>VLOOKUP($A143,'Summary Mar 2026'!$A:$AAG,189,FALSE)-SUMIFS($H143:$U143,$H$7:$U$7,W$7)</f>
        <v>0</v>
      </c>
      <c r="X143" s="289">
        <f>VLOOKUP($A143,'Summary Mar 2026'!$A:$GL,190,FALSE)-SUMIFS($H143:$U143,$H$7:$U$7,X$7)</f>
        <v>0</v>
      </c>
      <c r="Y143" s="289">
        <f>VLOOKUP($A143,'Summary Mar 2026'!$A:$GL,191,FALSE)-SUMIFS($H143:$U143,$H$7:$U$7,Y$7)</f>
        <v>0</v>
      </c>
      <c r="Z143" s="289">
        <f>VLOOKUP($A143,'Summary Mar 2026'!$A:$GL,192,FALSE)-SUMIFS($H143:$U143,$H$7:$U$7,Z$7)</f>
        <v>0</v>
      </c>
      <c r="AA143" s="289">
        <f>VLOOKUP($A143,'Summary Mar 2026'!$A:$GL,193,FALSE)-SUMIFS($H143:$U143,$H$7:$U$7,AA$7)</f>
        <v>0</v>
      </c>
      <c r="AB143" s="289">
        <f>VLOOKUP($A143,'Summary Mar 2026'!$A:$GL,194,FALSE)-SUMIFS($H143:$U143,$H$7:$U$7,AB$7)</f>
        <v>0</v>
      </c>
      <c r="AD143" s="146">
        <f>_xlfn.IFNA(VLOOKUP($A143,'Summary Mar 2026'!$A:$GS,196,FALSE)+VLOOKUP($A143,OtherDSG!$A:$AI,34,FALSE)+VLOOKUP($A143,Grants!$A:$BE,50,FALSE),0)</f>
        <v>1066974.7467947369</v>
      </c>
      <c r="AE143" s="146">
        <f>_xlfn.IFNA(VLOOKUP($A143,'Summary Mar 2026'!$A:$GS,197,FALSE)+VLOOKUP($A143,Grants!$A:$BE,51,FALSE),0)</f>
        <v>0</v>
      </c>
      <c r="AF143" s="146">
        <f>_xlfn.IFNA(VLOOKUP($A143,'Summary Mar 2026'!$A:$GS,198,FALSE)+VLOOKUP($A143,OtherDSG!$A:$AI,35,FALSE)+VLOOKUP($A143,Grants!$A:$BE,52,FALSE),0)</f>
        <v>56920.460000000006</v>
      </c>
      <c r="AG143" s="146">
        <f>_xlfn.IFNA(VLOOKUP($A143,Grants!$A:$BE,53,FALSE),0)</f>
        <v>150700</v>
      </c>
      <c r="AH143" s="146">
        <f>_xlfn.IFNA(VLOOKUP($A143,Grants!$A:$BE,54,FALSE),0)</f>
        <v>32292</v>
      </c>
      <c r="AI143" s="146">
        <f>_xlfn.IFNA(VLOOKUP($A143,Grants!$A:$BE,55,FALSE),0)</f>
        <v>0</v>
      </c>
      <c r="AJ143" s="146">
        <f>_xlfn.IFNA(VLOOKUP($A143,Barclays!$A:$T,18,FALSE),0)</f>
        <v>1772.936639999989</v>
      </c>
      <c r="AK143" s="146">
        <f>_xlfn.IFNA(VLOOKUP($A143,'Summary Mar 2026'!$A:$GS,200,FALSE),0)</f>
        <v>-21694.67</v>
      </c>
      <c r="AL143" s="146">
        <f>_xlfn.IFNA(VLOOKUP($A143,Barclays!$A:$T,19,FALSE),0)</f>
        <v>-22.19</v>
      </c>
      <c r="AM143" s="146">
        <f>_xlfn.IFNA(VLOOKUP($A143,'Summary Mar 2026'!$A:$GS,201,FALSE),0)</f>
        <v>-5139.75</v>
      </c>
      <c r="AN143" s="146">
        <f>_xlfn.IFNA(VLOOKUP($A143,'Summary Mar 2026'!$A:$GS,199,FALSE),0)</f>
        <v>-4068.4799999999996</v>
      </c>
      <c r="AO143" s="146">
        <f>_xlfn.IFNA(VLOOKUP($A143,Grants!$A:$BE,56,FALSE),0)</f>
        <v>5923.75</v>
      </c>
      <c r="AP143" s="65">
        <f t="shared" si="2"/>
        <v>1283658.803434737</v>
      </c>
    </row>
    <row r="144" spans="1:42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0" t="str">
        <f>VLOOKUP(A144,'Summary Mar 2026'!$A$8:$F$206,6,FALSE)</f>
        <v>Chq Bk</v>
      </c>
      <c r="H144" s="288">
        <f>_xlfn.IFNA(VLOOKUP($A144,ISB!$A:$BY,67,FALSE),0)</f>
        <v>0</v>
      </c>
      <c r="I144" s="861">
        <f>_xlfn.IFNA(VLOOKUP(A144,'LA Deductions'!A:AN,40,FALSE),0)</f>
        <v>0</v>
      </c>
      <c r="J144" s="221">
        <f>_xlfn.IFNA(VLOOKUP($A144,ISB!$A:$BY,72,FALSE),0)</f>
        <v>0</v>
      </c>
      <c r="K144" s="289">
        <f>-_xlfn.IFNA(VLOOKUP($A144,ISB!$A:$BY,76,FALSE),0)</f>
        <v>0</v>
      </c>
      <c r="M144" s="288">
        <f>VLOOKUP($A144,EY!$A:$AAK,132,FALSE)</f>
        <v>0</v>
      </c>
      <c r="N144" s="288">
        <f>VLOOKUP($A144,EY!$A:$AAD,133,FALSE)</f>
        <v>0</v>
      </c>
      <c r="P144" s="288">
        <f>VLOOKUP($A144,HN!$A:$AM,38,FALSE)</f>
        <v>1658250</v>
      </c>
      <c r="Q144" s="288">
        <f>VLOOKUP($A144,HN!$A:$AM,39,FALSE)</f>
        <v>1690224.4887769385</v>
      </c>
      <c r="S144" s="362">
        <f>_xlfn.IFNA(VLOOKUP(A144,'Post 16'!A:AR,44,FALSE),0)</f>
        <v>0</v>
      </c>
      <c r="U144" s="362">
        <f>VLOOKUP(A144,'LA Deductions'!A:W,23,FALSE)</f>
        <v>-5139.75</v>
      </c>
      <c r="W144" s="289">
        <f>VLOOKUP($A144,'Summary Mar 2026'!$A:$AAG,189,FALSE)-SUMIFS($H144:$U144,$H$7:$U$7,W$7)</f>
        <v>0</v>
      </c>
      <c r="X144" s="289">
        <f>VLOOKUP($A144,'Summary Mar 2026'!$A:$GL,190,FALSE)-SUMIFS($H144:$U144,$H$7:$U$7,X$7)</f>
        <v>0</v>
      </c>
      <c r="Y144" s="289">
        <f>VLOOKUP($A144,'Summary Mar 2026'!$A:$GL,191,FALSE)-SUMIFS($H144:$U144,$H$7:$U$7,Y$7)</f>
        <v>0</v>
      </c>
      <c r="Z144" s="289">
        <f>VLOOKUP($A144,'Summary Mar 2026'!$A:$GL,192,FALSE)-SUMIFS($H144:$U144,$H$7:$U$7,Z$7)</f>
        <v>0</v>
      </c>
      <c r="AA144" s="289">
        <f>VLOOKUP($A144,'Summary Mar 2026'!$A:$GL,193,FALSE)-SUMIFS($H144:$U144,$H$7:$U$7,AA$7)</f>
        <v>0</v>
      </c>
      <c r="AB144" s="289">
        <f>VLOOKUP($A144,'Summary Mar 2026'!$A:$GL,194,FALSE)-SUMIFS($H144:$U144,$H$7:$U$7,AB$7)</f>
        <v>0</v>
      </c>
      <c r="AD144" s="146">
        <f>_xlfn.IFNA(VLOOKUP($A144,'Summary Mar 2026'!$A:$GS,196,FALSE)+VLOOKUP($A144,OtherDSG!$A:$AI,34,FALSE)+VLOOKUP($A144,Grants!$A:$BE,50,FALSE),0)</f>
        <v>1651958.7521739129</v>
      </c>
      <c r="AE144" s="146">
        <f>_xlfn.IFNA(VLOOKUP($A144,'Summary Mar 2026'!$A:$GS,197,FALSE)+VLOOKUP($A144,Grants!$A:$BE,51,FALSE),0)</f>
        <v>0</v>
      </c>
      <c r="AF144" s="146">
        <f>_xlfn.IFNA(VLOOKUP($A144,'Summary Mar 2026'!$A:$GS,198,FALSE)+VLOOKUP($A144,OtherDSG!$A:$AI,35,FALSE)+VLOOKUP($A144,Grants!$A:$BE,52,FALSE),0)</f>
        <v>2188864.4310491639</v>
      </c>
      <c r="AG144" s="146">
        <f>_xlfn.IFNA(VLOOKUP($A144,Grants!$A:$BE,53,FALSE),0)</f>
        <v>133635</v>
      </c>
      <c r="AH144" s="146">
        <f>_xlfn.IFNA(VLOOKUP($A144,Grants!$A:$BE,54,FALSE),0)</f>
        <v>25299.09</v>
      </c>
      <c r="AI144" s="146">
        <f>_xlfn.IFNA(VLOOKUP($A144,Grants!$A:$BE,55,FALSE),0)</f>
        <v>0</v>
      </c>
      <c r="AJ144" s="146">
        <f>_xlfn.IFNA(VLOOKUP($A144,Barclays!$A:$T,18,FALSE),0)</f>
        <v>0</v>
      </c>
      <c r="AK144" s="146">
        <f>_xlfn.IFNA(VLOOKUP($A144,'Summary Mar 2026'!$A:$GS,200,FALSE),0)</f>
        <v>0</v>
      </c>
      <c r="AL144" s="146">
        <f>_xlfn.IFNA(VLOOKUP($A144,Barclays!$A:$T,19,FALSE),0)</f>
        <v>0</v>
      </c>
      <c r="AM144" s="146">
        <f>_xlfn.IFNA(VLOOKUP($A144,'Summary Mar 2026'!$A:$GS,201,FALSE),0)</f>
        <v>-5139.75</v>
      </c>
      <c r="AN144" s="146">
        <f>_xlfn.IFNA(VLOOKUP($A144,'Summary Mar 2026'!$A:$GS,199,FALSE),0)</f>
        <v>0</v>
      </c>
      <c r="AO144" s="146">
        <f>_xlfn.IFNA(VLOOKUP($A144,Grants!$A:$BE,56,FALSE),0)</f>
        <v>11644.38</v>
      </c>
      <c r="AP144" s="65">
        <f t="shared" si="2"/>
        <v>4006261.9032230768</v>
      </c>
    </row>
    <row r="145" spans="1:42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0" t="str">
        <f>VLOOKUP(A145,'Summary Mar 2026'!$A$8:$F$206,6,FALSE)</f>
        <v>Academy</v>
      </c>
      <c r="H145" s="288">
        <f>_xlfn.IFNA(VLOOKUP($A145,ISB!$A:$BY,67,FALSE),0)-682092.29</f>
        <v>495550.6978390119</v>
      </c>
      <c r="I145" s="861">
        <f>_xlfn.IFNA(VLOOKUP(A145,'LA Deductions'!A:AN,40,FALSE),0)</f>
        <v>0</v>
      </c>
      <c r="J145" s="221">
        <f>_xlfn.IFNA(VLOOKUP($A145,ISB!$A:$BY,72,FALSE),0)</f>
        <v>-4668.32</v>
      </c>
      <c r="K145" s="289">
        <f>-_xlfn.IFNA(VLOOKUP($A145,ISB!$A:$BY,76,FALSE),0)</f>
        <v>-3285.98</v>
      </c>
      <c r="M145" s="288">
        <f>VLOOKUP($A145,EY!$A:$AAK,132,FALSE)</f>
        <v>19784.7</v>
      </c>
      <c r="N145" s="288">
        <f>VLOOKUP($A145,EY!$A:$AAD,133,FALSE)</f>
        <v>0</v>
      </c>
      <c r="P145" s="288">
        <f>VLOOKUP($A145,HN!$A:$AM,38,FALSE)</f>
        <v>0</v>
      </c>
      <c r="Q145" s="288">
        <f>VLOOKUP($A145,HN!$A:$AM,39,FALSE)</f>
        <v>0</v>
      </c>
      <c r="S145" s="362">
        <f>_xlfn.IFNA(VLOOKUP(A145,'Post 16'!A:AR,44,FALSE),0)</f>
        <v>0</v>
      </c>
      <c r="U145" s="362">
        <f>VLOOKUP(A145,'LA Deductions'!A:W,23,FALSE)</f>
        <v>-1371.5625</v>
      </c>
      <c r="W145" s="289">
        <f>VLOOKUP($A145,'Summary Mar 2026'!$A:$AAG,189,FALSE)-SUMIFS($H145:$U145,$H$7:$U$7,W$7)</f>
        <v>0</v>
      </c>
      <c r="X145" s="289">
        <f>VLOOKUP($A145,'Summary Mar 2026'!$A:$GL,190,FALSE)-SUMIFS($H145:$U145,$H$7:$U$7,X$7)</f>
        <v>0</v>
      </c>
      <c r="Y145" s="289">
        <f>VLOOKUP($A145,'Summary Mar 2026'!$A:$GL,191,FALSE)-SUMIFS($H145:$U145,$H$7:$U$7,Y$7)</f>
        <v>0</v>
      </c>
      <c r="Z145" s="289">
        <f>VLOOKUP($A145,'Summary Mar 2026'!$A:$GL,192,FALSE)-SUMIFS($H145:$U145,$H$7:$U$7,Z$7)</f>
        <v>0</v>
      </c>
      <c r="AA145" s="289">
        <f>VLOOKUP($A145,'Summary Mar 2026'!$A:$GL,193,FALSE)-SUMIFS($H145:$U145,$H$7:$U$7,AA$7)</f>
        <v>0</v>
      </c>
      <c r="AB145" s="289">
        <f>VLOOKUP($A145,'Summary Mar 2026'!$A:$GL,194,FALSE)-SUMIFS($H145:$U145,$H$7:$U$7,AB$7)</f>
        <v>0</v>
      </c>
      <c r="AD145" s="146">
        <f>_xlfn.IFNA(VLOOKUP($A145,'Summary Mar 2026'!$A:$GS,196,FALSE)+VLOOKUP($A145,OtherDSG!$A:$AI,34,FALSE)+VLOOKUP($A145,Grants!$A:$BE,50,FALSE),0)</f>
        <v>515335.39783901186</v>
      </c>
      <c r="AE145" s="146">
        <f>_xlfn.IFNA(VLOOKUP($A145,'Summary Mar 2026'!$A:$GS,197,FALSE)+VLOOKUP($A145,Grants!$A:$BE,51,FALSE),0)</f>
        <v>0</v>
      </c>
      <c r="AF145" s="146">
        <f>_xlfn.IFNA(VLOOKUP($A145,'Summary Mar 2026'!$A:$GS,198,FALSE)+VLOOKUP($A145,OtherDSG!$A:$AI,35,FALSE)+VLOOKUP($A145,Grants!$A:$BE,52,FALSE),0)</f>
        <v>33020.35</v>
      </c>
      <c r="AG145" s="146">
        <f>_xlfn.IFNA(VLOOKUP($A145,Grants!$A:$BE,53,FALSE),0)</f>
        <v>53802.080000000002</v>
      </c>
      <c r="AH145" s="146">
        <f>_xlfn.IFNA(VLOOKUP($A145,Grants!$A:$BE,54,FALSE),0)</f>
        <v>23049</v>
      </c>
      <c r="AI145" s="146">
        <f>_xlfn.IFNA(VLOOKUP($A145,Grants!$A:$BE,55,FALSE),0)</f>
        <v>0</v>
      </c>
      <c r="AJ145" s="146">
        <f>_xlfn.IFNA(VLOOKUP($A145,Barclays!$A:$T,18,FALSE),0)</f>
        <v>0</v>
      </c>
      <c r="AK145" s="146">
        <f>_xlfn.IFNA(VLOOKUP($A145,'Summary Mar 2026'!$A:$GS,200,FALSE),0)</f>
        <v>-3285.9800000000005</v>
      </c>
      <c r="AL145" s="146">
        <f>_xlfn.IFNA(VLOOKUP($A145,Barclays!$A:$T,19,FALSE),0)</f>
        <v>0</v>
      </c>
      <c r="AM145" s="146">
        <f>_xlfn.IFNA(VLOOKUP($A145,'Summary Mar 2026'!$A:$GS,201,FALSE),0)</f>
        <v>-1371.5625</v>
      </c>
      <c r="AN145" s="146">
        <f>_xlfn.IFNA(VLOOKUP($A145,'Summary Mar 2026'!$A:$GS,199,FALSE),0)</f>
        <v>-4668.32</v>
      </c>
      <c r="AO145" s="146">
        <f>_xlfn.IFNA(VLOOKUP($A145,Grants!$A:$BE,56,FALSE),0)</f>
        <v>0</v>
      </c>
      <c r="AP145" s="65">
        <f t="shared" si="2"/>
        <v>615880.96533901186</v>
      </c>
    </row>
    <row r="146" spans="1:42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0" t="str">
        <f>VLOOKUP(A146,'Summary Mar 2026'!$A$8:$F$206,6,FALSE)</f>
        <v>Chq Bk</v>
      </c>
      <c r="H146" s="288">
        <f>_xlfn.IFNA(VLOOKUP($A146,ISB!$A:$BY,67,FALSE),0)</f>
        <v>0</v>
      </c>
      <c r="I146" s="861">
        <f>_xlfn.IFNA(VLOOKUP(A146,'LA Deductions'!A:AN,40,FALSE),0)</f>
        <v>0</v>
      </c>
      <c r="J146" s="221">
        <f>_xlfn.IFNA(VLOOKUP($A146,ISB!$A:$BY,72,FALSE),0)</f>
        <v>0</v>
      </c>
      <c r="K146" s="289">
        <f>-_xlfn.IFNA(VLOOKUP($A146,ISB!$A:$BY,76,FALSE),0)</f>
        <v>0</v>
      </c>
      <c r="M146" s="288">
        <f>VLOOKUP($A146,EY!$A:$AAK,132,FALSE)</f>
        <v>0</v>
      </c>
      <c r="N146" s="288">
        <f>VLOOKUP($A146,EY!$A:$AAD,133,FALSE)</f>
        <v>0</v>
      </c>
      <c r="P146" s="288">
        <f>VLOOKUP($A146,HN!$A:$AM,38,FALSE)</f>
        <v>2984850</v>
      </c>
      <c r="Q146" s="288">
        <f>VLOOKUP($A146,HN!$A:$AM,39,FALSE)</f>
        <v>3377072.4099552738</v>
      </c>
      <c r="S146" s="362">
        <f>_xlfn.IFNA(VLOOKUP(A146,'Post 16'!A:AR,44,FALSE),0)</f>
        <v>0</v>
      </c>
      <c r="U146" s="362">
        <f>VLOOKUP(A146,'LA Deductions'!A:W,23,FALSE)</f>
        <v>-5139.75</v>
      </c>
      <c r="W146" s="289">
        <f>VLOOKUP($A146,'Summary Mar 2026'!$A:$AAG,189,FALSE)-SUMIFS($H146:$U146,$H$7:$U$7,W$7)</f>
        <v>0</v>
      </c>
      <c r="X146" s="289">
        <f>VLOOKUP($A146,'Summary Mar 2026'!$A:$GL,190,FALSE)-SUMIFS($H146:$U146,$H$7:$U$7,X$7)</f>
        <v>0</v>
      </c>
      <c r="Y146" s="289">
        <f>VLOOKUP($A146,'Summary Mar 2026'!$A:$GL,191,FALSE)-SUMIFS($H146:$U146,$H$7:$U$7,Y$7)</f>
        <v>0</v>
      </c>
      <c r="Z146" s="289">
        <f>VLOOKUP($A146,'Summary Mar 2026'!$A:$GL,192,FALSE)-SUMIFS($H146:$U146,$H$7:$U$7,Z$7)</f>
        <v>0</v>
      </c>
      <c r="AA146" s="289">
        <f>VLOOKUP($A146,'Summary Mar 2026'!$A:$GL,193,FALSE)-SUMIFS($H146:$U146,$H$7:$U$7,AA$7)</f>
        <v>0</v>
      </c>
      <c r="AB146" s="289">
        <f>VLOOKUP($A146,'Summary Mar 2026'!$A:$GL,194,FALSE)-SUMIFS($H146:$U146,$H$7:$U$7,AB$7)</f>
        <v>0</v>
      </c>
      <c r="AD146" s="146">
        <f>_xlfn.IFNA(VLOOKUP($A146,'Summary Mar 2026'!$A:$GS,196,FALSE)+VLOOKUP($A146,OtherDSG!$A:$AI,34,FALSE)+VLOOKUP($A146,Grants!$A:$BE,50,FALSE),0)</f>
        <v>2973525.7439130433</v>
      </c>
      <c r="AE146" s="146">
        <f>_xlfn.IFNA(VLOOKUP($A146,'Summary Mar 2026'!$A:$GS,197,FALSE)+VLOOKUP($A146,Grants!$A:$BE,51,FALSE),0)</f>
        <v>0</v>
      </c>
      <c r="AF146" s="146">
        <f>_xlfn.IFNA(VLOOKUP($A146,'Summary Mar 2026'!$A:$GS,198,FALSE)+VLOOKUP($A146,OtherDSG!$A:$AI,35,FALSE)+VLOOKUP($A146,Grants!$A:$BE,52,FALSE),0)</f>
        <v>4317979.3027119478</v>
      </c>
      <c r="AG146" s="146">
        <f>_xlfn.IFNA(VLOOKUP($A146,Grants!$A:$BE,53,FALSE),0)</f>
        <v>189110</v>
      </c>
      <c r="AH146" s="146">
        <f>_xlfn.IFNA(VLOOKUP($A146,Grants!$A:$BE,54,FALSE),0)</f>
        <v>41157</v>
      </c>
      <c r="AI146" s="146">
        <f>_xlfn.IFNA(VLOOKUP($A146,Grants!$A:$BE,55,FALSE),0)</f>
        <v>0</v>
      </c>
      <c r="AJ146" s="146">
        <f>_xlfn.IFNA(VLOOKUP($A146,Barclays!$A:$T,18,FALSE),0)</f>
        <v>60081.397504999986</v>
      </c>
      <c r="AK146" s="146">
        <f>_xlfn.IFNA(VLOOKUP($A146,'Summary Mar 2026'!$A:$GS,200,FALSE),0)</f>
        <v>0</v>
      </c>
      <c r="AL146" s="146">
        <f>_xlfn.IFNA(VLOOKUP($A146,Barclays!$A:$T,19,FALSE),0)</f>
        <v>-103.51000000000002</v>
      </c>
      <c r="AM146" s="146">
        <f>_xlfn.IFNA(VLOOKUP($A146,'Summary Mar 2026'!$A:$GS,201,FALSE),0)</f>
        <v>-5139.75</v>
      </c>
      <c r="AN146" s="146">
        <f>_xlfn.IFNA(VLOOKUP($A146,'Summary Mar 2026'!$A:$GS,199,FALSE),0)</f>
        <v>0</v>
      </c>
      <c r="AO146" s="146">
        <f>_xlfn.IFNA(VLOOKUP($A146,Grants!$A:$BE,56,FALSE),0)</f>
        <v>18175</v>
      </c>
      <c r="AP146" s="65">
        <f t="shared" si="2"/>
        <v>7594785.1841299916</v>
      </c>
    </row>
    <row r="147" spans="1:42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0" t="str">
        <f>VLOOKUP(A147,'Summary Mar 2026'!$A$8:$F$206,6,FALSE)</f>
        <v>Chq Bk</v>
      </c>
      <c r="H147" s="288">
        <f>_xlfn.IFNA(VLOOKUP($A147,ISB!$A:$BY,67,FALSE),0)</f>
        <v>2809959.869238086</v>
      </c>
      <c r="I147" s="861">
        <f>_xlfn.IFNA(VLOOKUP(A147,'LA Deductions'!A:AN,40,FALSE),0)</f>
        <v>0</v>
      </c>
      <c r="J147" s="221">
        <f>_xlfn.IFNA(VLOOKUP($A147,ISB!$A:$BY,72,FALSE),0)</f>
        <v>-12518.4</v>
      </c>
      <c r="K147" s="289">
        <f>-_xlfn.IFNA(VLOOKUP($A147,ISB!$A:$BY,76,FALSE),0)</f>
        <v>-33654.800000000003</v>
      </c>
      <c r="M147" s="288">
        <f>VLOOKUP($A147,EY!$A:$AAK,132,FALSE)</f>
        <v>0</v>
      </c>
      <c r="N147" s="288">
        <f>VLOOKUP($A147,EY!$A:$AAD,133,FALSE)</f>
        <v>0</v>
      </c>
      <c r="P147" s="288">
        <f>VLOOKUP($A147,HN!$A:$AM,38,FALSE)</f>
        <v>0</v>
      </c>
      <c r="Q147" s="288">
        <f>VLOOKUP($A147,HN!$A:$AM,39,FALSE)</f>
        <v>0</v>
      </c>
      <c r="S147" s="362">
        <f>_xlfn.IFNA(VLOOKUP(A147,'Post 16'!A:AR,44,FALSE),0)</f>
        <v>0</v>
      </c>
      <c r="U147" s="362">
        <f>VLOOKUP(A147,'LA Deductions'!A:W,23,FALSE)</f>
        <v>-12566.4</v>
      </c>
      <c r="W147" s="289">
        <f>VLOOKUP($A147,'Summary Mar 2026'!$A:$AAG,189,FALSE)-SUMIFS($H147:$U147,$H$7:$U$7,W$7)</f>
        <v>0</v>
      </c>
      <c r="X147" s="289">
        <f>VLOOKUP($A147,'Summary Mar 2026'!$A:$GL,190,FALSE)-SUMIFS($H147:$U147,$H$7:$U$7,X$7)</f>
        <v>0</v>
      </c>
      <c r="Y147" s="289">
        <f>VLOOKUP($A147,'Summary Mar 2026'!$A:$GL,191,FALSE)-SUMIFS($H147:$U147,$H$7:$U$7,Y$7)</f>
        <v>0</v>
      </c>
      <c r="Z147" s="289">
        <f>VLOOKUP($A147,'Summary Mar 2026'!$A:$GL,192,FALSE)-SUMIFS($H147:$U147,$H$7:$U$7,Z$7)</f>
        <v>0</v>
      </c>
      <c r="AA147" s="289">
        <f>VLOOKUP($A147,'Summary Mar 2026'!$A:$GL,193,FALSE)-SUMIFS($H147:$U147,$H$7:$U$7,AA$7)</f>
        <v>0</v>
      </c>
      <c r="AB147" s="289">
        <f>VLOOKUP($A147,'Summary Mar 2026'!$A:$GL,194,FALSE)-SUMIFS($H147:$U147,$H$7:$U$7,AB$7)</f>
        <v>0</v>
      </c>
      <c r="AD147" s="146">
        <f>_xlfn.IFNA(VLOOKUP($A147,'Summary Mar 2026'!$A:$GS,196,FALSE)+VLOOKUP($A147,OtherDSG!$A:$AI,34,FALSE)+VLOOKUP($A147,Grants!$A:$BE,50,FALSE),0)</f>
        <v>2897422.8692380865</v>
      </c>
      <c r="AE147" s="146">
        <f>_xlfn.IFNA(VLOOKUP($A147,'Summary Mar 2026'!$A:$GS,197,FALSE)+VLOOKUP($A147,Grants!$A:$BE,51,FALSE),0)</f>
        <v>0</v>
      </c>
      <c r="AF147" s="146">
        <f>_xlfn.IFNA(VLOOKUP($A147,'Summary Mar 2026'!$A:$GS,198,FALSE)+VLOOKUP($A147,OtherDSG!$A:$AI,35,FALSE)+VLOOKUP($A147,Grants!$A:$BE,52,FALSE),0)</f>
        <v>78998.266666666663</v>
      </c>
      <c r="AG147" s="146">
        <f>_xlfn.IFNA(VLOOKUP($A147,Grants!$A:$BE,53,FALSE),0)</f>
        <v>386325</v>
      </c>
      <c r="AH147" s="146">
        <f>_xlfn.IFNA(VLOOKUP($A147,Grants!$A:$BE,54,FALSE),0)</f>
        <v>19052</v>
      </c>
      <c r="AI147" s="146">
        <f>_xlfn.IFNA(VLOOKUP($A147,Grants!$A:$BE,55,FALSE),0)</f>
        <v>0</v>
      </c>
      <c r="AJ147" s="146">
        <f>_xlfn.IFNA(VLOOKUP($A147,Barclays!$A:$T,18,FALSE),0)</f>
        <v>15280.429709999848</v>
      </c>
      <c r="AK147" s="146">
        <f>_xlfn.IFNA(VLOOKUP($A147,'Summary Mar 2026'!$A:$GS,200,FALSE),0)</f>
        <v>-33654.799999999996</v>
      </c>
      <c r="AL147" s="146">
        <f>_xlfn.IFNA(VLOOKUP($A147,Barclays!$A:$T,19,FALSE),0)</f>
        <v>-58.39</v>
      </c>
      <c r="AM147" s="146">
        <f>_xlfn.IFNA(VLOOKUP($A147,'Summary Mar 2026'!$A:$GS,201,FALSE),0)</f>
        <v>-12566.4</v>
      </c>
      <c r="AN147" s="146">
        <f>_xlfn.IFNA(VLOOKUP($A147,'Summary Mar 2026'!$A:$GS,199,FALSE),0)</f>
        <v>-12518.400000000003</v>
      </c>
      <c r="AO147" s="146">
        <f>_xlfn.IFNA(VLOOKUP($A147,Grants!$A:$BE,56,FALSE),0)</f>
        <v>9400</v>
      </c>
      <c r="AP147" s="65">
        <f t="shared" si="2"/>
        <v>3347680.5756147532</v>
      </c>
    </row>
    <row r="148" spans="1:42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0" t="str">
        <f>VLOOKUP(A148,'Summary Mar 2026'!$A$8:$F$206,6,FALSE)</f>
        <v>Chq Bk</v>
      </c>
      <c r="H148" s="288">
        <f>_xlfn.IFNA(VLOOKUP($A148,ISB!$A:$BY,67,FALSE),0)</f>
        <v>0</v>
      </c>
      <c r="I148" s="861">
        <f>_xlfn.IFNA(VLOOKUP(A148,'LA Deductions'!A:AN,40,FALSE),0)</f>
        <v>0</v>
      </c>
      <c r="J148" s="221">
        <f>_xlfn.IFNA(VLOOKUP($A148,ISB!$A:$BY,72,FALSE),0)</f>
        <v>0</v>
      </c>
      <c r="K148" s="289">
        <f>-_xlfn.IFNA(VLOOKUP($A148,ISB!$A:$BY,76,FALSE),0)</f>
        <v>0</v>
      </c>
      <c r="M148" s="288">
        <f>VLOOKUP($A148,EY!$A:$AAK,132,FALSE)</f>
        <v>0</v>
      </c>
      <c r="N148" s="288">
        <f>VLOOKUP($A148,EY!$A:$AAD,133,FALSE)</f>
        <v>0</v>
      </c>
      <c r="P148" s="288">
        <f>VLOOKUP($A148,HN!$A:$AM,38,FALSE)</f>
        <v>3205950</v>
      </c>
      <c r="Q148" s="288">
        <f>VLOOKUP($A148,HN!$A:$AM,39,FALSE)</f>
        <v>4687475.4055775916</v>
      </c>
      <c r="S148" s="362">
        <f>_xlfn.IFNA(VLOOKUP(A148,'Post 16'!A:AR,44,FALSE),0)</f>
        <v>0</v>
      </c>
      <c r="U148" s="362">
        <f>VLOOKUP(A148,'LA Deductions'!A:W,23,FALSE)</f>
        <v>-7209</v>
      </c>
      <c r="W148" s="289">
        <f>VLOOKUP($A148,'Summary Mar 2026'!$A:$AAG,189,FALSE)-SUMIFS($H148:$U148,$H$7:$U$7,W$7)</f>
        <v>0</v>
      </c>
      <c r="X148" s="289">
        <f>VLOOKUP($A148,'Summary Mar 2026'!$A:$GL,190,FALSE)-SUMIFS($H148:$U148,$H$7:$U$7,X$7)</f>
        <v>0</v>
      </c>
      <c r="Y148" s="289">
        <f>VLOOKUP($A148,'Summary Mar 2026'!$A:$GL,191,FALSE)-SUMIFS($H148:$U148,$H$7:$U$7,Y$7)</f>
        <v>0</v>
      </c>
      <c r="Z148" s="289">
        <f>VLOOKUP($A148,'Summary Mar 2026'!$A:$GL,192,FALSE)-SUMIFS($H148:$U148,$H$7:$U$7,Z$7)</f>
        <v>0</v>
      </c>
      <c r="AA148" s="289">
        <f>VLOOKUP($A148,'Summary Mar 2026'!$A:$GL,193,FALSE)-SUMIFS($H148:$U148,$H$7:$U$7,AA$7)</f>
        <v>0</v>
      </c>
      <c r="AB148" s="289">
        <f>VLOOKUP($A148,'Summary Mar 2026'!$A:$GL,194,FALSE)-SUMIFS($H148:$U148,$H$7:$U$7,AB$7)</f>
        <v>0</v>
      </c>
      <c r="AD148" s="146">
        <f>_xlfn.IFNA(VLOOKUP($A148,'Summary Mar 2026'!$A:$GS,196,FALSE)+VLOOKUP($A148,OtherDSG!$A:$AI,34,FALSE)+VLOOKUP($A148,Grants!$A:$BE,50,FALSE),0)</f>
        <v>3194793.5065217391</v>
      </c>
      <c r="AE148" s="146">
        <f>_xlfn.IFNA(VLOOKUP($A148,'Summary Mar 2026'!$A:$GS,197,FALSE)+VLOOKUP($A148,Grants!$A:$BE,51,FALSE),0)</f>
        <v>28140.096738792461</v>
      </c>
      <c r="AF148" s="146">
        <f>_xlfn.IFNA(VLOOKUP($A148,'Summary Mar 2026'!$A:$GS,198,FALSE)+VLOOKUP($A148,OtherDSG!$A:$AI,35,FALSE)+VLOOKUP($A148,Grants!$A:$BE,52,FALSE),0)</f>
        <v>5634089.2318736725</v>
      </c>
      <c r="AG148" s="146">
        <f>_xlfn.IFNA(VLOOKUP($A148,Grants!$A:$BE,53,FALSE),0)</f>
        <v>181110</v>
      </c>
      <c r="AH148" s="146">
        <f>_xlfn.IFNA(VLOOKUP($A148,Grants!$A:$BE,54,FALSE),0)</f>
        <v>37431.64</v>
      </c>
      <c r="AI148" s="146">
        <f>_xlfn.IFNA(VLOOKUP($A148,Grants!$A:$BE,55,FALSE),0)</f>
        <v>0</v>
      </c>
      <c r="AJ148" s="146">
        <f>_xlfn.IFNA(VLOOKUP($A148,Barclays!$A:$T,18,FALSE),0)</f>
        <v>0</v>
      </c>
      <c r="AK148" s="146">
        <f>_xlfn.IFNA(VLOOKUP($A148,'Summary Mar 2026'!$A:$GS,200,FALSE),0)</f>
        <v>0</v>
      </c>
      <c r="AL148" s="146">
        <f>_xlfn.IFNA(VLOOKUP($A148,Barclays!$A:$T,19,FALSE),0)</f>
        <v>0</v>
      </c>
      <c r="AM148" s="146">
        <f>_xlfn.IFNA(VLOOKUP($A148,'Summary Mar 2026'!$A:$GS,201,FALSE),0)</f>
        <v>-7209</v>
      </c>
      <c r="AN148" s="146">
        <f>_xlfn.IFNA(VLOOKUP($A148,'Summary Mar 2026'!$A:$GS,199,FALSE),0)</f>
        <v>0</v>
      </c>
      <c r="AO148" s="146">
        <f>_xlfn.IFNA(VLOOKUP($A148,Grants!$A:$BE,56,FALSE),0)</f>
        <v>18124.38</v>
      </c>
      <c r="AP148" s="65">
        <f t="shared" si="2"/>
        <v>9086479.8551342059</v>
      </c>
    </row>
    <row r="149" spans="1:42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0" t="str">
        <f>VLOOKUP(A149,'Summary Mar 2026'!$A$8:$F$206,6,FALSE)</f>
        <v>Chq Bk</v>
      </c>
      <c r="H149" s="288">
        <f>_xlfn.IFNA(VLOOKUP($A149,ISB!$A:$BY,67,FALSE),0)</f>
        <v>0</v>
      </c>
      <c r="I149" s="861">
        <f>_xlfn.IFNA(VLOOKUP(A149,'LA Deductions'!A:AN,40,FALSE),0)</f>
        <v>0</v>
      </c>
      <c r="J149" s="221">
        <f>_xlfn.IFNA(VLOOKUP($A149,ISB!$A:$BY,72,FALSE),0)</f>
        <v>0</v>
      </c>
      <c r="K149" s="289">
        <f>-_xlfn.IFNA(VLOOKUP($A149,ISB!$A:$BY,76,FALSE),0)</f>
        <v>0</v>
      </c>
      <c r="M149" s="288">
        <f>VLOOKUP($A149,EY!$A:$AAK,132,FALSE)</f>
        <v>0</v>
      </c>
      <c r="N149" s="288">
        <f>VLOOKUP($A149,EY!$A:$AAD,133,FALSE)</f>
        <v>0</v>
      </c>
      <c r="P149" s="288">
        <f>VLOOKUP($A149,HN!$A:$AM,38,FALSE)</f>
        <v>2520540</v>
      </c>
      <c r="Q149" s="288">
        <f>VLOOKUP($A149,HN!$A:$AM,39,FALSE)</f>
        <v>3326823.6218360136</v>
      </c>
      <c r="S149" s="362">
        <f>_xlfn.IFNA(VLOOKUP(A149,'Post 16'!A:AR,44,FALSE),0)</f>
        <v>0</v>
      </c>
      <c r="U149" s="362">
        <f>VLOOKUP(A149,'LA Deductions'!A:W,23,FALSE)</f>
        <v>-6237</v>
      </c>
      <c r="W149" s="289">
        <f>VLOOKUP($A149,'Summary Mar 2026'!$A:$AAG,189,FALSE)-SUMIFS($H149:$U149,$H$7:$U$7,W$7)</f>
        <v>0</v>
      </c>
      <c r="X149" s="289">
        <f>VLOOKUP($A149,'Summary Mar 2026'!$A:$GL,190,FALSE)-SUMIFS($H149:$U149,$H$7:$U$7,X$7)</f>
        <v>0</v>
      </c>
      <c r="Y149" s="289">
        <f>VLOOKUP($A149,'Summary Mar 2026'!$A:$GL,191,FALSE)-SUMIFS($H149:$U149,$H$7:$U$7,Y$7)</f>
        <v>0</v>
      </c>
      <c r="Z149" s="289">
        <f>VLOOKUP($A149,'Summary Mar 2026'!$A:$GL,192,FALSE)-SUMIFS($H149:$U149,$H$7:$U$7,Z$7)</f>
        <v>0</v>
      </c>
      <c r="AA149" s="289">
        <f>VLOOKUP($A149,'Summary Mar 2026'!$A:$GL,193,FALSE)-SUMIFS($H149:$U149,$H$7:$U$7,AA$7)</f>
        <v>0</v>
      </c>
      <c r="AB149" s="289">
        <f>VLOOKUP($A149,'Summary Mar 2026'!$A:$GL,194,FALSE)-SUMIFS($H149:$U149,$H$7:$U$7,AB$7)</f>
        <v>0</v>
      </c>
      <c r="AD149" s="146">
        <f>_xlfn.IFNA(VLOOKUP($A149,'Summary Mar 2026'!$A:$GS,196,FALSE)+VLOOKUP($A149,OtherDSG!$A:$AI,34,FALSE)+VLOOKUP($A149,Grants!$A:$BE,50,FALSE),0)</f>
        <v>2511635.291304348</v>
      </c>
      <c r="AE149" s="146">
        <f>_xlfn.IFNA(VLOOKUP($A149,'Summary Mar 2026'!$A:$GS,197,FALSE)+VLOOKUP($A149,Grants!$A:$BE,51,FALSE),0)</f>
        <v>38510.704199766471</v>
      </c>
      <c r="AF149" s="146">
        <f>_xlfn.IFNA(VLOOKUP($A149,'Summary Mar 2026'!$A:$GS,198,FALSE)+VLOOKUP($A149,OtherDSG!$A:$AI,35,FALSE)+VLOOKUP($A149,Grants!$A:$BE,52,FALSE),0)</f>
        <v>4128856.340089797</v>
      </c>
      <c r="AG149" s="146">
        <f>_xlfn.IFNA(VLOOKUP($A149,Grants!$A:$BE,53,FALSE),0)</f>
        <v>125190</v>
      </c>
      <c r="AH149" s="146">
        <f>_xlfn.IFNA(VLOOKUP($A149,Grants!$A:$BE,54,FALSE),0)</f>
        <v>27418.29</v>
      </c>
      <c r="AI149" s="146">
        <f>_xlfn.IFNA(VLOOKUP($A149,Grants!$A:$BE,55,FALSE),0)</f>
        <v>0</v>
      </c>
      <c r="AJ149" s="146">
        <f>_xlfn.IFNA(VLOOKUP($A149,Barclays!$A:$T,18,FALSE),0)</f>
        <v>0</v>
      </c>
      <c r="AK149" s="146">
        <f>_xlfn.IFNA(VLOOKUP($A149,'Summary Mar 2026'!$A:$GS,200,FALSE),0)</f>
        <v>0</v>
      </c>
      <c r="AL149" s="146">
        <f>_xlfn.IFNA(VLOOKUP($A149,Barclays!$A:$T,19,FALSE),0)</f>
        <v>0</v>
      </c>
      <c r="AM149" s="146">
        <f>_xlfn.IFNA(VLOOKUP($A149,'Summary Mar 2026'!$A:$GS,201,FALSE),0)</f>
        <v>-6237</v>
      </c>
      <c r="AN149" s="146">
        <f>_xlfn.IFNA(VLOOKUP($A149,'Summary Mar 2026'!$A:$GS,199,FALSE),0)</f>
        <v>0</v>
      </c>
      <c r="AO149" s="146">
        <f>_xlfn.IFNA(VLOOKUP($A149,Grants!$A:$BE,56,FALSE),0)</f>
        <v>15122.31</v>
      </c>
      <c r="AP149" s="65">
        <f t="shared" si="2"/>
        <v>6840495.9355939105</v>
      </c>
    </row>
    <row r="150" spans="1:42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0" t="str">
        <f>VLOOKUP(A150,'Summary Mar 2026'!$A$8:$F$206,6,FALSE)</f>
        <v>Chq Bk</v>
      </c>
      <c r="H150" s="288">
        <f>_xlfn.IFNA(VLOOKUP($A150,ISB!$A:$BY,67,FALSE),0)</f>
        <v>1342857.847165281</v>
      </c>
      <c r="I150" s="861">
        <f>_xlfn.IFNA(VLOOKUP(A150,'LA Deductions'!A:AN,40,FALSE),0)</f>
        <v>0</v>
      </c>
      <c r="J150" s="221">
        <f>_xlfn.IFNA(VLOOKUP($A150,ISB!$A:$BY,72,FALSE),0)</f>
        <v>-6885.12</v>
      </c>
      <c r="K150" s="289">
        <f>-_xlfn.IFNA(VLOOKUP($A150,ISB!$A:$BY,76,FALSE),0)</f>
        <v>-6271.17</v>
      </c>
      <c r="M150" s="288">
        <f>VLOOKUP($A150,EY!$A:$AAK,132,FALSE)</f>
        <v>288969.04706371191</v>
      </c>
      <c r="N150" s="288">
        <f>VLOOKUP($A150,EY!$A:$AAD,133,FALSE)</f>
        <v>0</v>
      </c>
      <c r="P150" s="288">
        <f>VLOOKUP($A150,HN!$A:$AM,38,FALSE)</f>
        <v>0</v>
      </c>
      <c r="Q150" s="288">
        <f>VLOOKUP($A150,HN!$A:$AM,39,FALSE)</f>
        <v>0</v>
      </c>
      <c r="S150" s="362">
        <f>_xlfn.IFNA(VLOOKUP(A150,'Post 16'!A:AR,44,FALSE),0)</f>
        <v>0</v>
      </c>
      <c r="U150" s="362">
        <f>VLOOKUP(A150,'LA Deductions'!A:W,23,FALSE)</f>
        <v>-5139.75</v>
      </c>
      <c r="W150" s="289">
        <f>VLOOKUP($A150,'Summary Mar 2026'!$A:$AAG,189,FALSE)-SUMIFS($H150:$U150,$H$7:$U$7,W$7)</f>
        <v>0</v>
      </c>
      <c r="X150" s="289">
        <f>VLOOKUP($A150,'Summary Mar 2026'!$A:$GL,190,FALSE)-SUMIFS($H150:$U150,$H$7:$U$7,X$7)</f>
        <v>0</v>
      </c>
      <c r="Y150" s="289">
        <f>VLOOKUP($A150,'Summary Mar 2026'!$A:$GL,191,FALSE)-SUMIFS($H150:$U150,$H$7:$U$7,Y$7)</f>
        <v>0</v>
      </c>
      <c r="Z150" s="289">
        <f>VLOOKUP($A150,'Summary Mar 2026'!$A:$GL,192,FALSE)-SUMIFS($H150:$U150,$H$7:$U$7,Z$7)</f>
        <v>0</v>
      </c>
      <c r="AA150" s="289">
        <f>VLOOKUP($A150,'Summary Mar 2026'!$A:$GL,193,FALSE)-SUMIFS($H150:$U150,$H$7:$U$7,AA$7)</f>
        <v>0</v>
      </c>
      <c r="AB150" s="289">
        <f>VLOOKUP($A150,'Summary Mar 2026'!$A:$GL,194,FALSE)-SUMIFS($H150:$U150,$H$7:$U$7,AB$7)</f>
        <v>0</v>
      </c>
      <c r="AD150" s="146">
        <f>_xlfn.IFNA(VLOOKUP($A150,'Summary Mar 2026'!$A:$GS,196,FALSE)+VLOOKUP($A150,OtherDSG!$A:$AI,34,FALSE)+VLOOKUP($A150,Grants!$A:$BE,50,FALSE),0)</f>
        <v>1676895.894228993</v>
      </c>
      <c r="AE150" s="146">
        <f>_xlfn.IFNA(VLOOKUP($A150,'Summary Mar 2026'!$A:$GS,197,FALSE)+VLOOKUP($A150,Grants!$A:$BE,51,FALSE),0)</f>
        <v>0</v>
      </c>
      <c r="AF150" s="146">
        <f>_xlfn.IFNA(VLOOKUP($A150,'Summary Mar 2026'!$A:$GS,198,FALSE)+VLOOKUP($A150,OtherDSG!$A:$AI,35,FALSE)+VLOOKUP($A150,Grants!$A:$BE,52,FALSE),0)</f>
        <v>79440.183333333334</v>
      </c>
      <c r="AG150" s="146">
        <f>_xlfn.IFNA(VLOOKUP($A150,Grants!$A:$BE,53,FALSE),0)</f>
        <v>26870</v>
      </c>
      <c r="AH150" s="146">
        <f>_xlfn.IFNA(VLOOKUP($A150,Grants!$A:$BE,54,FALSE),0)</f>
        <v>120992</v>
      </c>
      <c r="AI150" s="146">
        <f>_xlfn.IFNA(VLOOKUP($A150,Grants!$A:$BE,55,FALSE),0)</f>
        <v>0</v>
      </c>
      <c r="AJ150" s="146">
        <f>_xlfn.IFNA(VLOOKUP($A150,Barclays!$A:$T,18,FALSE),0)</f>
        <v>0</v>
      </c>
      <c r="AK150" s="146">
        <f>_xlfn.IFNA(VLOOKUP($A150,'Summary Mar 2026'!$A:$GS,200,FALSE),0)</f>
        <v>-6271.1699999999992</v>
      </c>
      <c r="AL150" s="146">
        <f>_xlfn.IFNA(VLOOKUP($A150,Barclays!$A:$T,19,FALSE),0)</f>
        <v>0</v>
      </c>
      <c r="AM150" s="146">
        <f>_xlfn.IFNA(VLOOKUP($A150,'Summary Mar 2026'!$A:$GS,201,FALSE),0)</f>
        <v>-5139.75</v>
      </c>
      <c r="AN150" s="146">
        <f>_xlfn.IFNA(VLOOKUP($A150,'Summary Mar 2026'!$A:$GS,199,FALSE),0)</f>
        <v>-6885.1200000000017</v>
      </c>
      <c r="AO150" s="146">
        <f>_xlfn.IFNA(VLOOKUP($A150,Grants!$A:$BE,56,FALSE),0)</f>
        <v>7685.5</v>
      </c>
      <c r="AP150" s="65">
        <f t="shared" si="2"/>
        <v>1893587.5375623263</v>
      </c>
    </row>
    <row r="151" spans="1:42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0" t="str">
        <f>VLOOKUP(A151,'Summary Mar 2026'!$A$8:$F$206,6,FALSE)</f>
        <v>Chq Bk</v>
      </c>
      <c r="H151" s="288">
        <f>_xlfn.IFNA(VLOOKUP($A151,ISB!$A:$BY,67,FALSE),0)</f>
        <v>1788013.47</v>
      </c>
      <c r="I151" s="861">
        <f>_xlfn.IFNA(VLOOKUP(A151,'LA Deductions'!A:AN,40,FALSE),0)</f>
        <v>0</v>
      </c>
      <c r="J151" s="221">
        <f>_xlfn.IFNA(VLOOKUP($A151,ISB!$A:$BY,72,FALSE),0)</f>
        <v>-9388.7999999999993</v>
      </c>
      <c r="K151" s="289">
        <f>-_xlfn.IFNA(VLOOKUP($A151,ISB!$A:$BY,76,FALSE),0)</f>
        <v>-4213.47</v>
      </c>
      <c r="M151" s="288">
        <f>VLOOKUP($A151,EY!$A:$AAK,132,FALSE)</f>
        <v>0</v>
      </c>
      <c r="N151" s="288">
        <f>VLOOKUP($A151,EY!$A:$AAD,133,FALSE)</f>
        <v>0</v>
      </c>
      <c r="P151" s="288">
        <f>VLOOKUP($A151,HN!$A:$AM,38,FALSE)</f>
        <v>0</v>
      </c>
      <c r="Q151" s="288">
        <f>VLOOKUP($A151,HN!$A:$AM,39,FALSE)</f>
        <v>0</v>
      </c>
      <c r="S151" s="362">
        <f>_xlfn.IFNA(VLOOKUP(A151,'Post 16'!A:AR,44,FALSE),0)</f>
        <v>0</v>
      </c>
      <c r="U151" s="362">
        <f>VLOOKUP(A151,'LA Deductions'!A:W,23,FALSE)</f>
        <v>0</v>
      </c>
      <c r="W151" s="289">
        <f>VLOOKUP($A151,'Summary Mar 2026'!$A:$AAG,189,FALSE)-SUMIFS($H151:$U151,$H$7:$U$7,W$7)</f>
        <v>0</v>
      </c>
      <c r="X151" s="289">
        <f>VLOOKUP($A151,'Summary Mar 2026'!$A:$GL,190,FALSE)-SUMIFS($H151:$U151,$H$7:$U$7,X$7)</f>
        <v>0</v>
      </c>
      <c r="Y151" s="289">
        <f>VLOOKUP($A151,'Summary Mar 2026'!$A:$GL,191,FALSE)-SUMIFS($H151:$U151,$H$7:$U$7,Y$7)</f>
        <v>0</v>
      </c>
      <c r="Z151" s="289">
        <f>VLOOKUP($A151,'Summary Mar 2026'!$A:$GL,192,FALSE)-SUMIFS($H151:$U151,$H$7:$U$7,Z$7)</f>
        <v>0</v>
      </c>
      <c r="AA151" s="289">
        <f>VLOOKUP($A151,'Summary Mar 2026'!$A:$GL,193,FALSE)-SUMIFS($H151:$U151,$H$7:$U$7,AA$7)</f>
        <v>0</v>
      </c>
      <c r="AB151" s="289">
        <f>VLOOKUP($A151,'Summary Mar 2026'!$A:$GL,194,FALSE)-SUMIFS($H151:$U151,$H$7:$U$7,AB$7)</f>
        <v>0</v>
      </c>
      <c r="AD151" s="146">
        <f>_xlfn.IFNA(VLOOKUP($A151,'Summary Mar 2026'!$A:$GS,196,FALSE)+VLOOKUP($A151,OtherDSG!$A:$AI,34,FALSE)+VLOOKUP($A151,Grants!$A:$BE,50,FALSE),0)</f>
        <v>1839883.4700000004</v>
      </c>
      <c r="AE151" s="146">
        <f>_xlfn.IFNA(VLOOKUP($A151,'Summary Mar 2026'!$A:$GS,197,FALSE)+VLOOKUP($A151,Grants!$A:$BE,51,FALSE),0)</f>
        <v>0</v>
      </c>
      <c r="AF151" s="146">
        <f>_xlfn.IFNA(VLOOKUP($A151,'Summary Mar 2026'!$A:$GS,198,FALSE)+VLOOKUP($A151,OtherDSG!$A:$AI,35,FALSE)+VLOOKUP($A151,Grants!$A:$BE,52,FALSE),0)</f>
        <v>112846.99333333332</v>
      </c>
      <c r="AG151" s="146">
        <f>_xlfn.IFNA(VLOOKUP($A151,Grants!$A:$BE,53,FALSE),0)</f>
        <v>93130</v>
      </c>
      <c r="AH151" s="146">
        <f>_xlfn.IFNA(VLOOKUP($A151,Grants!$A:$BE,54,FALSE),0)</f>
        <v>21204.93</v>
      </c>
      <c r="AI151" s="146">
        <f>_xlfn.IFNA(VLOOKUP($A151,Grants!$A:$BE,55,FALSE),0)</f>
        <v>0</v>
      </c>
      <c r="AJ151" s="146">
        <f>_xlfn.IFNA(VLOOKUP($A151,Barclays!$A:$T,18,FALSE),0)</f>
        <v>0</v>
      </c>
      <c r="AK151" s="146">
        <f>_xlfn.IFNA(VLOOKUP($A151,'Summary Mar 2026'!$A:$GS,200,FALSE),0)</f>
        <v>-4213.47</v>
      </c>
      <c r="AL151" s="146">
        <f>_xlfn.IFNA(VLOOKUP($A151,Barclays!$A:$T,19,FALSE),0)</f>
        <v>0</v>
      </c>
      <c r="AM151" s="146">
        <f>_xlfn.IFNA(VLOOKUP($A151,'Summary Mar 2026'!$A:$GS,201,FALSE),0)</f>
        <v>0</v>
      </c>
      <c r="AN151" s="146">
        <f>_xlfn.IFNA(VLOOKUP($A151,'Summary Mar 2026'!$A:$GS,199,FALSE),0)</f>
        <v>-9388.7999999999975</v>
      </c>
      <c r="AO151" s="146">
        <f>_xlfn.IFNA(VLOOKUP($A151,Grants!$A:$BE,56,FALSE),0)</f>
        <v>8027.5</v>
      </c>
      <c r="AP151" s="65">
        <f t="shared" si="2"/>
        <v>2061490.6233333338</v>
      </c>
    </row>
    <row r="152" spans="1:42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0" t="str">
        <f>VLOOKUP(A152,'Summary Mar 2026'!$A$8:$F$206,6,FALSE)</f>
        <v>Chq Bk</v>
      </c>
      <c r="H152" s="288">
        <f>_xlfn.IFNA(VLOOKUP($A152,ISB!$A:$BY,67,FALSE),0)</f>
        <v>4833822.2616690295</v>
      </c>
      <c r="I152" s="861">
        <f>_xlfn.IFNA(VLOOKUP(A152,'LA Deductions'!A:AN,40,FALSE),0)</f>
        <v>-3832.5414000000001</v>
      </c>
      <c r="J152" s="221">
        <f>_xlfn.IFNA(VLOOKUP($A152,ISB!$A:$BY,72,FALSE),0)</f>
        <v>-21802.879999999997</v>
      </c>
      <c r="K152" s="289">
        <f>-_xlfn.IFNA(VLOOKUP($A152,ISB!$A:$BY,76,FALSE),0)</f>
        <v>-75170.080000000002</v>
      </c>
      <c r="M152" s="288">
        <f>VLOOKUP($A152,EY!$A:$AAK,132,FALSE)</f>
        <v>138576.7922160665</v>
      </c>
      <c r="N152" s="288">
        <f>VLOOKUP($A152,EY!$A:$AAD,133,FALSE)</f>
        <v>0</v>
      </c>
      <c r="P152" s="288">
        <f>VLOOKUP($A152,HN!$A:$AM,38,FALSE)</f>
        <v>108000</v>
      </c>
      <c r="Q152" s="288">
        <f>VLOOKUP($A152,HN!$A:$AM,39,FALSE)</f>
        <v>181725.16</v>
      </c>
      <c r="S152" s="362">
        <f>_xlfn.IFNA(VLOOKUP(A152,'Post 16'!A:AR,44,FALSE),0)</f>
        <v>0</v>
      </c>
      <c r="U152" s="362">
        <f>VLOOKUP(A152,'LA Deductions'!A:W,23,FALSE)</f>
        <v>-24312.75</v>
      </c>
      <c r="W152" s="289">
        <f>VLOOKUP($A152,'Summary Mar 2026'!$A:$AAG,189,FALSE)-SUMIFS($H152:$U152,$H$7:$U$7,W$7)</f>
        <v>0</v>
      </c>
      <c r="X152" s="289">
        <f>VLOOKUP($A152,'Summary Mar 2026'!$A:$GL,190,FALSE)-SUMIFS($H152:$U152,$H$7:$U$7,X$7)</f>
        <v>0</v>
      </c>
      <c r="Y152" s="289">
        <f>VLOOKUP($A152,'Summary Mar 2026'!$A:$GL,191,FALSE)-SUMIFS($H152:$U152,$H$7:$U$7,Y$7)</f>
        <v>0</v>
      </c>
      <c r="Z152" s="289">
        <f>VLOOKUP($A152,'Summary Mar 2026'!$A:$GL,192,FALSE)-SUMIFS($H152:$U152,$H$7:$U$7,Z$7)</f>
        <v>0</v>
      </c>
      <c r="AA152" s="289">
        <f>VLOOKUP($A152,'Summary Mar 2026'!$A:$GL,193,FALSE)-SUMIFS($H152:$U152,$H$7:$U$7,AA$7)</f>
        <v>0</v>
      </c>
      <c r="AB152" s="289">
        <f>VLOOKUP($A152,'Summary Mar 2026'!$A:$GL,194,FALSE)-SUMIFS($H152:$U152,$H$7:$U$7,AB$7)</f>
        <v>0</v>
      </c>
      <c r="AD152" s="146">
        <f>_xlfn.IFNA(VLOOKUP($A152,'Summary Mar 2026'!$A:$GS,196,FALSE)+VLOOKUP($A152,OtherDSG!$A:$AI,34,FALSE)+VLOOKUP($A152,Grants!$A:$BE,50,FALSE),0)</f>
        <v>5226735.5124850953</v>
      </c>
      <c r="AE152" s="146">
        <f>_xlfn.IFNA(VLOOKUP($A152,'Summary Mar 2026'!$A:$GS,197,FALSE)+VLOOKUP($A152,Grants!$A:$BE,51,FALSE),0)</f>
        <v>0</v>
      </c>
      <c r="AF152" s="146">
        <f>_xlfn.IFNA(VLOOKUP($A152,'Summary Mar 2026'!$A:$GS,198,FALSE)+VLOOKUP($A152,OtherDSG!$A:$AI,35,FALSE)+VLOOKUP($A152,Grants!$A:$BE,52,FALSE),0)</f>
        <v>461413.36666666658</v>
      </c>
      <c r="AG152" s="146">
        <f>_xlfn.IFNA(VLOOKUP($A152,Grants!$A:$BE,53,FALSE),0)</f>
        <v>542370</v>
      </c>
      <c r="AH152" s="146">
        <f>_xlfn.IFNA(VLOOKUP($A152,Grants!$A:$BE,54,FALSE),0)</f>
        <v>154862.17000000001</v>
      </c>
      <c r="AI152" s="146">
        <f>_xlfn.IFNA(VLOOKUP($A152,Grants!$A:$BE,55,FALSE),0)</f>
        <v>0</v>
      </c>
      <c r="AJ152" s="146">
        <f>_xlfn.IFNA(VLOOKUP($A152,Barclays!$A:$T,18,FALSE),0)</f>
        <v>54341.944669999903</v>
      </c>
      <c r="AK152" s="146">
        <f>_xlfn.IFNA(VLOOKUP($A152,'Summary Mar 2026'!$A:$GS,200,FALSE),0)</f>
        <v>-75170.080000000002</v>
      </c>
      <c r="AL152" s="146">
        <f>_xlfn.IFNA(VLOOKUP($A152,Barclays!$A:$T,19,FALSE),0)</f>
        <v>-11.23</v>
      </c>
      <c r="AM152" s="146">
        <f>_xlfn.IFNA(VLOOKUP($A152,'Summary Mar 2026'!$A:$GS,201,FALSE),0)</f>
        <v>-24312.75</v>
      </c>
      <c r="AN152" s="146">
        <f>_xlfn.IFNA(VLOOKUP($A152,'Summary Mar 2026'!$A:$GS,199,FALSE),0)</f>
        <v>-21802.879999999994</v>
      </c>
      <c r="AO152" s="146">
        <f>_xlfn.IFNA(VLOOKUP($A152,Grants!$A:$BE,56,FALSE),0)</f>
        <v>13981</v>
      </c>
      <c r="AP152" s="65">
        <f t="shared" si="2"/>
        <v>6332407.0538217612</v>
      </c>
    </row>
    <row r="153" spans="1:42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0" t="str">
        <f>VLOOKUP(A153,'Summary Mar 2026'!$A$8:$F$206,6,FALSE)</f>
        <v>Chq Bk</v>
      </c>
      <c r="H153" s="288">
        <f>_xlfn.IFNA(VLOOKUP($A153,ISB!$A:$BY,67,FALSE),0)</f>
        <v>1308148.4418285023</v>
      </c>
      <c r="I153" s="861">
        <f>_xlfn.IFNA(VLOOKUP(A153,'LA Deductions'!A:AN,40,FALSE),0)</f>
        <v>0</v>
      </c>
      <c r="J153" s="221">
        <f>_xlfn.IFNA(VLOOKUP($A153,ISB!$A:$BY,72,FALSE),0)</f>
        <v>-5502.8799999999992</v>
      </c>
      <c r="K153" s="289">
        <f>-_xlfn.IFNA(VLOOKUP($A153,ISB!$A:$BY,76,FALSE),0)</f>
        <v>-19886.79</v>
      </c>
      <c r="M153" s="288">
        <f>VLOOKUP($A153,EY!$A:$AAK,132,FALSE)</f>
        <v>0</v>
      </c>
      <c r="N153" s="288">
        <f>VLOOKUP($A153,EY!$A:$AAD,133,FALSE)</f>
        <v>0</v>
      </c>
      <c r="P153" s="288">
        <f>VLOOKUP($A153,HN!$A:$AM,38,FALSE)</f>
        <v>0</v>
      </c>
      <c r="Q153" s="288">
        <f>VLOOKUP($A153,HN!$A:$AM,39,FALSE)</f>
        <v>0</v>
      </c>
      <c r="S153" s="362">
        <f>_xlfn.IFNA(VLOOKUP(A153,'Post 16'!A:AR,44,FALSE),0)</f>
        <v>0</v>
      </c>
      <c r="U153" s="362">
        <f>VLOOKUP(A153,'LA Deductions'!A:W,23,FALSE)</f>
        <v>-5139.75</v>
      </c>
      <c r="W153" s="289">
        <f>VLOOKUP($A153,'Summary Mar 2026'!$A:$AAG,189,FALSE)-SUMIFS($H153:$U153,$H$7:$U$7,W$7)</f>
        <v>0</v>
      </c>
      <c r="X153" s="289">
        <f>VLOOKUP($A153,'Summary Mar 2026'!$A:$GL,190,FALSE)-SUMIFS($H153:$U153,$H$7:$U$7,X$7)</f>
        <v>0</v>
      </c>
      <c r="Y153" s="289">
        <f>VLOOKUP($A153,'Summary Mar 2026'!$A:$GL,191,FALSE)-SUMIFS($H153:$U153,$H$7:$U$7,Y$7)</f>
        <v>0</v>
      </c>
      <c r="Z153" s="289">
        <f>VLOOKUP($A153,'Summary Mar 2026'!$A:$GL,192,FALSE)-SUMIFS($H153:$U153,$H$7:$U$7,Z$7)</f>
        <v>0</v>
      </c>
      <c r="AA153" s="289">
        <f>VLOOKUP($A153,'Summary Mar 2026'!$A:$GL,193,FALSE)-SUMIFS($H153:$U153,$H$7:$U$7,AA$7)</f>
        <v>0</v>
      </c>
      <c r="AB153" s="289">
        <f>VLOOKUP($A153,'Summary Mar 2026'!$A:$GL,194,FALSE)-SUMIFS($H153:$U153,$H$7:$U$7,AB$7)</f>
        <v>0</v>
      </c>
      <c r="AD153" s="146">
        <f>_xlfn.IFNA(VLOOKUP($A153,'Summary Mar 2026'!$A:$GS,196,FALSE)+VLOOKUP($A153,OtherDSG!$A:$AI,34,FALSE)+VLOOKUP($A153,Grants!$A:$BE,50,FALSE),0)</f>
        <v>1346355.4418285023</v>
      </c>
      <c r="AE153" s="146">
        <f>_xlfn.IFNA(VLOOKUP($A153,'Summary Mar 2026'!$A:$GS,197,FALSE)+VLOOKUP($A153,Grants!$A:$BE,51,FALSE),0)</f>
        <v>0</v>
      </c>
      <c r="AF153" s="146">
        <f>_xlfn.IFNA(VLOOKUP($A153,'Summary Mar 2026'!$A:$GS,198,FALSE)+VLOOKUP($A153,OtherDSG!$A:$AI,35,FALSE)+VLOOKUP($A153,Grants!$A:$BE,52,FALSE),0)</f>
        <v>25338.666666666664</v>
      </c>
      <c r="AG153" s="146">
        <f>_xlfn.IFNA(VLOOKUP($A153,Grants!$A:$BE,53,FALSE),0)</f>
        <v>137865</v>
      </c>
      <c r="AH153" s="146">
        <f>_xlfn.IFNA(VLOOKUP($A153,Grants!$A:$BE,54,FALSE),0)</f>
        <v>45947.090000000004</v>
      </c>
      <c r="AI153" s="146">
        <f>_xlfn.IFNA(VLOOKUP($A153,Grants!$A:$BE,55,FALSE),0)</f>
        <v>0</v>
      </c>
      <c r="AJ153" s="146">
        <f>_xlfn.IFNA(VLOOKUP($A153,Barclays!$A:$T,18,FALSE),0)</f>
        <v>12740.237299999964</v>
      </c>
      <c r="AK153" s="146">
        <f>_xlfn.IFNA(VLOOKUP($A153,'Summary Mar 2026'!$A:$GS,200,FALSE),0)</f>
        <v>-19886.79</v>
      </c>
      <c r="AL153" s="146">
        <f>_xlfn.IFNA(VLOOKUP($A153,Barclays!$A:$T,19,FALSE),0)</f>
        <v>-73.559999999999988</v>
      </c>
      <c r="AM153" s="146">
        <f>_xlfn.IFNA(VLOOKUP($A153,'Summary Mar 2026'!$A:$GS,201,FALSE),0)</f>
        <v>-5139.75</v>
      </c>
      <c r="AN153" s="146">
        <f>_xlfn.IFNA(VLOOKUP($A153,'Summary Mar 2026'!$A:$GS,199,FALSE),0)</f>
        <v>-5502.880000000001</v>
      </c>
      <c r="AO153" s="146">
        <f>_xlfn.IFNA(VLOOKUP($A153,Grants!$A:$BE,56,FALSE),0)</f>
        <v>6340</v>
      </c>
      <c r="AP153" s="65">
        <f t="shared" si="2"/>
        <v>1543983.4557951691</v>
      </c>
    </row>
    <row r="154" spans="1:42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0" t="str">
        <f>VLOOKUP(A154,'Summary Mar 2026'!$A$8:$F$206,6,FALSE)</f>
        <v>Chq Bk</v>
      </c>
      <c r="H154" s="288">
        <f>_xlfn.IFNA(VLOOKUP($A154,ISB!$A:$BY,67,FALSE),0)</f>
        <v>2508976.5366325001</v>
      </c>
      <c r="I154" s="861">
        <f>_xlfn.IFNA(VLOOKUP(A154,'LA Deductions'!A:AN,40,FALSE),0)</f>
        <v>0</v>
      </c>
      <c r="J154" s="221">
        <f>_xlfn.IFNA(VLOOKUP($A154,ISB!$A:$BY,72,FALSE),0)</f>
        <v>-10171.199999999999</v>
      </c>
      <c r="K154" s="289">
        <f>-_xlfn.IFNA(VLOOKUP($A154,ISB!$A:$BY,76,FALSE),0)</f>
        <v>-36039.78</v>
      </c>
      <c r="M154" s="288">
        <f>VLOOKUP($A154,EY!$A:$AAK,132,FALSE)</f>
        <v>125730.50518005539</v>
      </c>
      <c r="N154" s="288">
        <f>VLOOKUP($A154,EY!$A:$AAD,133,FALSE)</f>
        <v>0</v>
      </c>
      <c r="P154" s="288">
        <f>VLOOKUP($A154,HN!$A:$AM,38,FALSE)</f>
        <v>0</v>
      </c>
      <c r="Q154" s="288">
        <f>VLOOKUP($A154,HN!$A:$AM,39,FALSE)</f>
        <v>0</v>
      </c>
      <c r="S154" s="362">
        <f>_xlfn.IFNA(VLOOKUP(A154,'Post 16'!A:AR,44,FALSE),0)</f>
        <v>0</v>
      </c>
      <c r="U154" s="362">
        <f>VLOOKUP(A154,'LA Deductions'!A:W,23,FALSE)</f>
        <v>-9471</v>
      </c>
      <c r="W154" s="289">
        <f>VLOOKUP($A154,'Summary Mar 2026'!$A:$AAG,189,FALSE)-SUMIFS($H154:$U154,$H$7:$U$7,W$7)</f>
        <v>0</v>
      </c>
      <c r="X154" s="289">
        <f>VLOOKUP($A154,'Summary Mar 2026'!$A:$GL,190,FALSE)-SUMIFS($H154:$U154,$H$7:$U$7,X$7)</f>
        <v>0</v>
      </c>
      <c r="Y154" s="289">
        <f>VLOOKUP($A154,'Summary Mar 2026'!$A:$GL,191,FALSE)-SUMIFS($H154:$U154,$H$7:$U$7,Y$7)</f>
        <v>0</v>
      </c>
      <c r="Z154" s="289">
        <f>VLOOKUP($A154,'Summary Mar 2026'!$A:$GL,192,FALSE)-SUMIFS($H154:$U154,$H$7:$U$7,Z$7)</f>
        <v>0</v>
      </c>
      <c r="AA154" s="289">
        <f>VLOOKUP($A154,'Summary Mar 2026'!$A:$GL,193,FALSE)-SUMIFS($H154:$U154,$H$7:$U$7,AA$7)</f>
        <v>0</v>
      </c>
      <c r="AB154" s="289">
        <f>VLOOKUP($A154,'Summary Mar 2026'!$A:$GL,194,FALSE)-SUMIFS($H154:$U154,$H$7:$U$7,AB$7)</f>
        <v>0</v>
      </c>
      <c r="AD154" s="146">
        <f>_xlfn.IFNA(VLOOKUP($A154,'Summary Mar 2026'!$A:$GS,196,FALSE)+VLOOKUP($A154,OtherDSG!$A:$AI,34,FALSE)+VLOOKUP($A154,Grants!$A:$BE,50,FALSE),0)</f>
        <v>2714760.0418125554</v>
      </c>
      <c r="AE154" s="146">
        <f>_xlfn.IFNA(VLOOKUP($A154,'Summary Mar 2026'!$A:$GS,197,FALSE)+VLOOKUP($A154,Grants!$A:$BE,51,FALSE),0)</f>
        <v>0</v>
      </c>
      <c r="AF154" s="146">
        <f>_xlfn.IFNA(VLOOKUP($A154,'Summary Mar 2026'!$A:$GS,198,FALSE)+VLOOKUP($A154,OtherDSG!$A:$AI,35,FALSE)+VLOOKUP($A154,Grants!$A:$BE,52,FALSE),0)</f>
        <v>162858.69000000003</v>
      </c>
      <c r="AG154" s="146">
        <f>_xlfn.IFNA(VLOOKUP($A154,Grants!$A:$BE,53,FALSE),0)</f>
        <v>354510</v>
      </c>
      <c r="AH154" s="146">
        <f>_xlfn.IFNA(VLOOKUP($A154,Grants!$A:$BE,54,FALSE),0)</f>
        <v>47980.93</v>
      </c>
      <c r="AI154" s="146">
        <f>_xlfn.IFNA(VLOOKUP($A154,Grants!$A:$BE,55,FALSE),0)</f>
        <v>0</v>
      </c>
      <c r="AJ154" s="146">
        <f>_xlfn.IFNA(VLOOKUP($A154,Barclays!$A:$T,18,FALSE),0)</f>
        <v>0</v>
      </c>
      <c r="AK154" s="146">
        <f>_xlfn.IFNA(VLOOKUP($A154,'Summary Mar 2026'!$A:$GS,200,FALSE),0)</f>
        <v>-36039.78</v>
      </c>
      <c r="AL154" s="146">
        <f>_xlfn.IFNA(VLOOKUP($A154,Barclays!$A:$T,19,FALSE),0)</f>
        <v>0</v>
      </c>
      <c r="AM154" s="146">
        <f>_xlfn.IFNA(VLOOKUP($A154,'Summary Mar 2026'!$A:$GS,201,FALSE),0)</f>
        <v>-9471</v>
      </c>
      <c r="AN154" s="146">
        <f>_xlfn.IFNA(VLOOKUP($A154,'Summary Mar 2026'!$A:$GS,199,FALSE),0)</f>
        <v>-10171.200000000003</v>
      </c>
      <c r="AO154" s="146">
        <f>_xlfn.IFNA(VLOOKUP($A154,Grants!$A:$BE,56,FALSE),0)</f>
        <v>8790.25</v>
      </c>
      <c r="AP154" s="65">
        <f t="shared" si="2"/>
        <v>3233217.9318125555</v>
      </c>
    </row>
    <row r="155" spans="1:42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0" t="str">
        <f>VLOOKUP(A155,'Summary Mar 2026'!$A$8:$F$206,6,FALSE)</f>
        <v>Chq Bk</v>
      </c>
      <c r="H155" s="288">
        <f>_xlfn.IFNA(VLOOKUP($A155,ISB!$A:$BY,67,FALSE),0)</f>
        <v>1529104.9678</v>
      </c>
      <c r="I155" s="861">
        <f>_xlfn.IFNA(VLOOKUP(A155,'LA Deductions'!A:AN,40,FALSE),0)</f>
        <v>0</v>
      </c>
      <c r="J155" s="221">
        <f>_xlfn.IFNA(VLOOKUP($A155,ISB!$A:$BY,72,FALSE),0)</f>
        <v>-5502.8799999999992</v>
      </c>
      <c r="K155" s="289">
        <f>-_xlfn.IFNA(VLOOKUP($A155,ISB!$A:$BY,76,FALSE),0)</f>
        <v>-18595.43</v>
      </c>
      <c r="M155" s="288">
        <f>VLOOKUP($A155,EY!$A:$AAK,132,FALSE)</f>
        <v>82605.207673130193</v>
      </c>
      <c r="N155" s="288">
        <f>VLOOKUP($A155,EY!$A:$AAD,133,FALSE)</f>
        <v>0</v>
      </c>
      <c r="P155" s="288">
        <f>VLOOKUP($A155,HN!$A:$AM,38,FALSE)</f>
        <v>72000</v>
      </c>
      <c r="Q155" s="288">
        <f>VLOOKUP($A155,HN!$A:$AM,39,FALSE)</f>
        <v>109701.76999999997</v>
      </c>
      <c r="S155" s="362">
        <f>_xlfn.IFNA(VLOOKUP(A155,'Post 16'!A:AR,44,FALSE),0)</f>
        <v>0</v>
      </c>
      <c r="U155" s="362">
        <f>VLOOKUP(A155,'LA Deductions'!A:W,23,FALSE)</f>
        <v>-5139.75</v>
      </c>
      <c r="W155" s="289">
        <f>VLOOKUP($A155,'Summary Mar 2026'!$A:$AAG,189,FALSE)-SUMIFS($H155:$U155,$H$7:$U$7,W$7)</f>
        <v>0</v>
      </c>
      <c r="X155" s="289">
        <f>VLOOKUP($A155,'Summary Mar 2026'!$A:$GL,190,FALSE)-SUMIFS($H155:$U155,$H$7:$U$7,X$7)</f>
        <v>0</v>
      </c>
      <c r="Y155" s="289">
        <f>VLOOKUP($A155,'Summary Mar 2026'!$A:$GL,191,FALSE)-SUMIFS($H155:$U155,$H$7:$U$7,Y$7)</f>
        <v>0</v>
      </c>
      <c r="Z155" s="289">
        <f>VLOOKUP($A155,'Summary Mar 2026'!$A:$GL,192,FALSE)-SUMIFS($H155:$U155,$H$7:$U$7,Z$7)</f>
        <v>0</v>
      </c>
      <c r="AA155" s="289">
        <f>VLOOKUP($A155,'Summary Mar 2026'!$A:$GL,193,FALSE)-SUMIFS($H155:$U155,$H$7:$U$7,AA$7)</f>
        <v>0</v>
      </c>
      <c r="AB155" s="289">
        <f>VLOOKUP($A155,'Summary Mar 2026'!$A:$GL,194,FALSE)-SUMIFS($H155:$U155,$H$7:$U$7,AB$7)</f>
        <v>0</v>
      </c>
      <c r="AD155" s="146">
        <f>_xlfn.IFNA(VLOOKUP($A155,'Summary Mar 2026'!$A:$GS,196,FALSE)+VLOOKUP($A155,OtherDSG!$A:$AI,34,FALSE)+VLOOKUP($A155,Grants!$A:$BE,50,FALSE),0)</f>
        <v>1734599.1754731305</v>
      </c>
      <c r="AE155" s="146">
        <f>_xlfn.IFNA(VLOOKUP($A155,'Summary Mar 2026'!$A:$GS,197,FALSE)+VLOOKUP($A155,Grants!$A:$BE,51,FALSE),0)</f>
        <v>0</v>
      </c>
      <c r="AF155" s="146">
        <f>_xlfn.IFNA(VLOOKUP($A155,'Summary Mar 2026'!$A:$GS,198,FALSE)+VLOOKUP($A155,OtherDSG!$A:$AI,35,FALSE)+VLOOKUP($A155,Grants!$A:$BE,52,FALSE),0)</f>
        <v>186400.76666666663</v>
      </c>
      <c r="AG155" s="146">
        <f>_xlfn.IFNA(VLOOKUP($A155,Grants!$A:$BE,53,FALSE),0)</f>
        <v>230280</v>
      </c>
      <c r="AH155" s="146">
        <f>_xlfn.IFNA(VLOOKUP($A155,Grants!$A:$BE,54,FALSE),0)</f>
        <v>30440.93</v>
      </c>
      <c r="AI155" s="146">
        <f>_xlfn.IFNA(VLOOKUP($A155,Grants!$A:$BE,55,FALSE),0)</f>
        <v>0</v>
      </c>
      <c r="AJ155" s="146">
        <f>_xlfn.IFNA(VLOOKUP($A155,Barclays!$A:$T,18,FALSE),0)</f>
        <v>5406.1549299999515</v>
      </c>
      <c r="AK155" s="146">
        <f>_xlfn.IFNA(VLOOKUP($A155,'Summary Mar 2026'!$A:$GS,200,FALSE),0)</f>
        <v>-18595.430000000004</v>
      </c>
      <c r="AL155" s="146">
        <f>_xlfn.IFNA(VLOOKUP($A155,Barclays!$A:$T,19,FALSE),0)</f>
        <v>-79.550000000000011</v>
      </c>
      <c r="AM155" s="146">
        <f>_xlfn.IFNA(VLOOKUP($A155,'Summary Mar 2026'!$A:$GS,201,FALSE),0)</f>
        <v>-5139.75</v>
      </c>
      <c r="AN155" s="146">
        <f>_xlfn.IFNA(VLOOKUP($A155,'Summary Mar 2026'!$A:$GS,199,FALSE),0)</f>
        <v>-5502.880000000001</v>
      </c>
      <c r="AO155" s="146">
        <f>_xlfn.IFNA(VLOOKUP($A155,Grants!$A:$BE,56,FALSE),0)</f>
        <v>6532.38</v>
      </c>
      <c r="AP155" s="65">
        <f t="shared" si="2"/>
        <v>2164341.7970697968</v>
      </c>
    </row>
    <row r="156" spans="1:42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0" t="str">
        <f>VLOOKUP(A156,'Summary Mar 2026'!$A$8:$F$206,6,FALSE)</f>
        <v>Chq Bk</v>
      </c>
      <c r="H156" s="288">
        <f>_xlfn.IFNA(VLOOKUP($A156,ISB!$A:$BY,67,FALSE),0)</f>
        <v>0</v>
      </c>
      <c r="I156" s="861">
        <f>_xlfn.IFNA(VLOOKUP(A156,'LA Deductions'!A:AN,40,FALSE),0)</f>
        <v>0</v>
      </c>
      <c r="J156" s="221">
        <f>_xlfn.IFNA(VLOOKUP($A156,ISB!$A:$BY,72,FALSE),0)</f>
        <v>0</v>
      </c>
      <c r="K156" s="289">
        <f>-_xlfn.IFNA(VLOOKUP($A156,ISB!$A:$BY,76,FALSE),0)</f>
        <v>0</v>
      </c>
      <c r="M156" s="288">
        <f>VLOOKUP($A156,EY!$A:$AAK,132,FALSE)</f>
        <v>734865.91944727115</v>
      </c>
      <c r="N156" s="288">
        <f>VLOOKUP($A156,EY!$A:$AAD,133,FALSE)</f>
        <v>8626.481994459833</v>
      </c>
      <c r="P156" s="288">
        <f>VLOOKUP($A156,HN!$A:$AM,38,FALSE)</f>
        <v>0</v>
      </c>
      <c r="Q156" s="288">
        <f>VLOOKUP($A156,HN!$A:$AM,39,FALSE)</f>
        <v>0</v>
      </c>
      <c r="S156" s="362">
        <f>_xlfn.IFNA(VLOOKUP(A156,'Post 16'!A:AR,44,FALSE),0)</f>
        <v>0</v>
      </c>
      <c r="U156" s="362">
        <f>VLOOKUP(A156,'LA Deductions'!A:W,23,FALSE)</f>
        <v>-3291.75</v>
      </c>
      <c r="W156" s="289">
        <f>VLOOKUP($A156,'Summary Mar 2026'!$A:$AAG,189,FALSE)-SUMIFS($H156:$U156,$H$7:$U$7,W$7)</f>
        <v>0</v>
      </c>
      <c r="X156" s="289">
        <f>VLOOKUP($A156,'Summary Mar 2026'!$A:$GL,190,FALSE)-SUMIFS($H156:$U156,$H$7:$U$7,X$7)</f>
        <v>0</v>
      </c>
      <c r="Y156" s="289">
        <f>VLOOKUP($A156,'Summary Mar 2026'!$A:$GL,191,FALSE)-SUMIFS($H156:$U156,$H$7:$U$7,Y$7)</f>
        <v>0</v>
      </c>
      <c r="Z156" s="289">
        <f>VLOOKUP($A156,'Summary Mar 2026'!$A:$GL,192,FALSE)-SUMIFS($H156:$U156,$H$7:$U$7,Z$7)</f>
        <v>0</v>
      </c>
      <c r="AA156" s="289">
        <f>VLOOKUP($A156,'Summary Mar 2026'!$A:$GL,193,FALSE)-SUMIFS($H156:$U156,$H$7:$U$7,AA$7)</f>
        <v>0</v>
      </c>
      <c r="AB156" s="289">
        <f>VLOOKUP($A156,'Summary Mar 2026'!$A:$GL,194,FALSE)-SUMIFS($H156:$U156,$H$7:$U$7,AB$7)</f>
        <v>0</v>
      </c>
      <c r="AD156" s="146">
        <f>_xlfn.IFNA(VLOOKUP($A156,'Summary Mar 2026'!$A:$GS,196,FALSE)+VLOOKUP($A156,OtherDSG!$A:$AI,34,FALSE)+VLOOKUP($A156,Grants!$A:$BE,50,FALSE),0)</f>
        <v>752719.91944727115</v>
      </c>
      <c r="AE156" s="146">
        <f>_xlfn.IFNA(VLOOKUP($A156,'Summary Mar 2026'!$A:$GS,197,FALSE)+VLOOKUP($A156,Grants!$A:$BE,51,FALSE),0)</f>
        <v>0</v>
      </c>
      <c r="AF156" s="146">
        <f>_xlfn.IFNA(VLOOKUP($A156,'Summary Mar 2026'!$A:$GS,198,FALSE)+VLOOKUP($A156,OtherDSG!$A:$AI,35,FALSE)+VLOOKUP($A156,Grants!$A:$BE,52,FALSE),0)</f>
        <v>27692.398794459834</v>
      </c>
      <c r="AG156" s="146">
        <f>_xlfn.IFNA(VLOOKUP($A156,Grants!$A:$BE,53,FALSE),0)</f>
        <v>0</v>
      </c>
      <c r="AH156" s="146">
        <f>_xlfn.IFNA(VLOOKUP($A156,Grants!$A:$BE,54,FALSE),0)</f>
        <v>0</v>
      </c>
      <c r="AI156" s="146">
        <f>_xlfn.IFNA(VLOOKUP($A156,Grants!$A:$BE,55,FALSE),0)</f>
        <v>0</v>
      </c>
      <c r="AJ156" s="146">
        <f>_xlfn.IFNA(VLOOKUP($A156,Barclays!$A:$T,18,FALSE),0)</f>
        <v>0</v>
      </c>
      <c r="AK156" s="146">
        <f>_xlfn.IFNA(VLOOKUP($A156,'Summary Mar 2026'!$A:$GS,200,FALSE),0)</f>
        <v>0</v>
      </c>
      <c r="AL156" s="146">
        <f>_xlfn.IFNA(VLOOKUP($A156,Barclays!$A:$T,19,FALSE),0)</f>
        <v>0</v>
      </c>
      <c r="AM156" s="146">
        <f>_xlfn.IFNA(VLOOKUP($A156,'Summary Mar 2026'!$A:$GS,201,FALSE),0)</f>
        <v>-3291.75</v>
      </c>
      <c r="AN156" s="146">
        <f>_xlfn.IFNA(VLOOKUP($A156,'Summary Mar 2026'!$A:$GS,199,FALSE),0)</f>
        <v>0</v>
      </c>
      <c r="AO156" s="146">
        <f>_xlfn.IFNA(VLOOKUP($A156,Grants!$A:$BE,56,FALSE),0)</f>
        <v>4985.5</v>
      </c>
      <c r="AP156" s="65">
        <f t="shared" si="2"/>
        <v>782106.06824173103</v>
      </c>
    </row>
    <row r="157" spans="1:42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0" t="str">
        <f>VLOOKUP(A157,'Summary Mar 2026'!$A$8:$F$206,6,FALSE)</f>
        <v>Chq Bk</v>
      </c>
      <c r="H157" s="288">
        <f>_xlfn.IFNA(VLOOKUP($A157,ISB!$A:$BY,67,FALSE),0)</f>
        <v>3399513.8815221302</v>
      </c>
      <c r="I157" s="861">
        <f>_xlfn.IFNA(VLOOKUP(A157,'LA Deductions'!A:AN,40,FALSE),0)</f>
        <v>-3832.5414000000001</v>
      </c>
      <c r="J157" s="221">
        <f>_xlfn.IFNA(VLOOKUP($A157,ISB!$A:$BY,72,FALSE),0)</f>
        <v>-15908.8</v>
      </c>
      <c r="K157" s="289">
        <f>-_xlfn.IFNA(VLOOKUP($A157,ISB!$A:$BY,76,FALSE),0)</f>
        <v>-93050.07</v>
      </c>
      <c r="M157" s="288">
        <f>VLOOKUP($A157,EY!$A:$AAK,132,FALSE)</f>
        <v>124229.00459833795</v>
      </c>
      <c r="N157" s="288">
        <f>VLOOKUP($A157,EY!$A:$AAD,133,FALSE)</f>
        <v>0</v>
      </c>
      <c r="P157" s="288">
        <f>VLOOKUP($A157,HN!$A:$AM,38,FALSE)</f>
        <v>0</v>
      </c>
      <c r="Q157" s="288">
        <f>VLOOKUP($A157,HN!$A:$AM,39,FALSE)</f>
        <v>0</v>
      </c>
      <c r="S157" s="362">
        <f>_xlfn.IFNA(VLOOKUP(A157,'Post 16'!A:AR,44,FALSE),0)</f>
        <v>0</v>
      </c>
      <c r="U157" s="362">
        <f>VLOOKUP(A157,'LA Deductions'!A:W,23,FALSE)</f>
        <v>-18745.650000000001</v>
      </c>
      <c r="W157" s="289">
        <f>VLOOKUP($A157,'Summary Mar 2026'!$A:$AAG,189,FALSE)-SUMIFS($H157:$U157,$H$7:$U$7,W$7)</f>
        <v>0</v>
      </c>
      <c r="X157" s="289">
        <f>VLOOKUP($A157,'Summary Mar 2026'!$A:$GL,190,FALSE)-SUMIFS($H157:$U157,$H$7:$U$7,X$7)</f>
        <v>0</v>
      </c>
      <c r="Y157" s="289">
        <f>VLOOKUP($A157,'Summary Mar 2026'!$A:$GL,191,FALSE)-SUMIFS($H157:$U157,$H$7:$U$7,Y$7)</f>
        <v>0</v>
      </c>
      <c r="Z157" s="289">
        <f>VLOOKUP($A157,'Summary Mar 2026'!$A:$GL,192,FALSE)-SUMIFS($H157:$U157,$H$7:$U$7,Z$7)</f>
        <v>0</v>
      </c>
      <c r="AA157" s="289">
        <f>VLOOKUP($A157,'Summary Mar 2026'!$A:$GL,193,FALSE)-SUMIFS($H157:$U157,$H$7:$U$7,AA$7)</f>
        <v>0</v>
      </c>
      <c r="AB157" s="289">
        <f>VLOOKUP($A157,'Summary Mar 2026'!$A:$GL,194,FALSE)-SUMIFS($H157:$U157,$H$7:$U$7,AB$7)</f>
        <v>0</v>
      </c>
      <c r="AD157" s="146">
        <f>_xlfn.IFNA(VLOOKUP($A157,'Summary Mar 2026'!$A:$GS,196,FALSE)+VLOOKUP($A157,OtherDSG!$A:$AI,34,FALSE)+VLOOKUP($A157,Grants!$A:$BE,50,FALSE),0)</f>
        <v>3622508.3447204684</v>
      </c>
      <c r="AE157" s="146">
        <f>_xlfn.IFNA(VLOOKUP($A157,'Summary Mar 2026'!$A:$GS,197,FALSE)+VLOOKUP($A157,Grants!$A:$BE,51,FALSE),0)</f>
        <v>0</v>
      </c>
      <c r="AF157" s="146">
        <f>_xlfn.IFNA(VLOOKUP($A157,'Summary Mar 2026'!$A:$GS,198,FALSE)+VLOOKUP($A157,OtherDSG!$A:$AI,35,FALSE)+VLOOKUP($A157,Grants!$A:$BE,52,FALSE),0)</f>
        <v>278431.45333333337</v>
      </c>
      <c r="AG157" s="146">
        <f>_xlfn.IFNA(VLOOKUP($A157,Grants!$A:$BE,53,FALSE),0)</f>
        <v>348315</v>
      </c>
      <c r="AH157" s="146">
        <f>_xlfn.IFNA(VLOOKUP($A157,Grants!$A:$BE,54,FALSE),0)</f>
        <v>93787.53</v>
      </c>
      <c r="AI157" s="146">
        <f>_xlfn.IFNA(VLOOKUP($A157,Grants!$A:$BE,55,FALSE),0)</f>
        <v>0</v>
      </c>
      <c r="AJ157" s="146">
        <f>_xlfn.IFNA(VLOOKUP($A157,Barclays!$A:$T,18,FALSE),0)</f>
        <v>0</v>
      </c>
      <c r="AK157" s="146">
        <f>_xlfn.IFNA(VLOOKUP($A157,'Summary Mar 2026'!$A:$GS,200,FALSE),0)</f>
        <v>-93050.07</v>
      </c>
      <c r="AL157" s="146">
        <f>_xlfn.IFNA(VLOOKUP($A157,Barclays!$A:$T,19,FALSE),0)</f>
        <v>0</v>
      </c>
      <c r="AM157" s="146">
        <f>_xlfn.IFNA(VLOOKUP($A157,'Summary Mar 2026'!$A:$GS,201,FALSE),0)</f>
        <v>-18745.650000000001</v>
      </c>
      <c r="AN157" s="146">
        <f>_xlfn.IFNA(VLOOKUP($A157,'Summary Mar 2026'!$A:$GS,199,FALSE),0)</f>
        <v>-15908.800000000001</v>
      </c>
      <c r="AO157" s="146">
        <f>_xlfn.IFNA(VLOOKUP($A157,Grants!$A:$BE,56,FALSE),0)</f>
        <v>11204.5</v>
      </c>
      <c r="AP157" s="65">
        <f t="shared" si="2"/>
        <v>4226542.3080538018</v>
      </c>
    </row>
    <row r="158" spans="1:42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0" t="str">
        <f>VLOOKUP(A158,'Summary Mar 2026'!$A$8:$F$206,6,FALSE)</f>
        <v>Chq Bk</v>
      </c>
      <c r="H158" s="288">
        <f>_xlfn.IFNA(VLOOKUP($A158,ISB!$A:$BY,67,FALSE),0)</f>
        <v>5210169.5346611654</v>
      </c>
      <c r="I158" s="861">
        <f>_xlfn.IFNA(VLOOKUP(A158,'LA Deductions'!A:AN,40,FALSE),0)</f>
        <v>-6434.5177999999996</v>
      </c>
      <c r="J158" s="221">
        <f>_xlfn.IFNA(VLOOKUP($A158,ISB!$A:$BY,72,FALSE),0)</f>
        <v>-13587.75</v>
      </c>
      <c r="K158" s="289">
        <f>-_xlfn.IFNA(VLOOKUP($A158,ISB!$A:$BY,76,FALSE),0)</f>
        <v>-126037.06</v>
      </c>
      <c r="M158" s="288">
        <f>VLOOKUP($A158,EY!$A:$AAK,132,FALSE)</f>
        <v>0</v>
      </c>
      <c r="N158" s="288">
        <f>VLOOKUP($A158,EY!$A:$AAD,133,FALSE)</f>
        <v>0</v>
      </c>
      <c r="P158" s="288">
        <f>VLOOKUP($A158,HN!$A:$AM,38,FALSE)</f>
        <v>0</v>
      </c>
      <c r="Q158" s="288">
        <f>VLOOKUP($A158,HN!$A:$AM,39,FALSE)</f>
        <v>0</v>
      </c>
      <c r="S158" s="362">
        <f>_xlfn.IFNA(VLOOKUP(A158,'Post 16'!A:AR,44,FALSE),0)</f>
        <v>0</v>
      </c>
      <c r="U158" s="362">
        <f>VLOOKUP(A158,'LA Deductions'!A:W,23,FALSE)</f>
        <v>-18745.650000000001</v>
      </c>
      <c r="W158" s="289">
        <f>VLOOKUP($A158,'Summary Mar 2026'!$A:$AAG,189,FALSE)-SUMIFS($H158:$U158,$H$7:$U$7,W$7)</f>
        <v>0</v>
      </c>
      <c r="X158" s="289">
        <f>VLOOKUP($A158,'Summary Mar 2026'!$A:$GL,190,FALSE)-SUMIFS($H158:$U158,$H$7:$U$7,X$7)</f>
        <v>0</v>
      </c>
      <c r="Y158" s="289">
        <f>VLOOKUP($A158,'Summary Mar 2026'!$A:$GL,191,FALSE)-SUMIFS($H158:$U158,$H$7:$U$7,Y$7)</f>
        <v>0</v>
      </c>
      <c r="Z158" s="289">
        <f>VLOOKUP($A158,'Summary Mar 2026'!$A:$GL,192,FALSE)-SUMIFS($H158:$U158,$H$7:$U$7,Z$7)</f>
        <v>0</v>
      </c>
      <c r="AA158" s="289">
        <f>VLOOKUP($A158,'Summary Mar 2026'!$A:$GL,193,FALSE)-SUMIFS($H158:$U158,$H$7:$U$7,AA$7)</f>
        <v>0</v>
      </c>
      <c r="AB158" s="289">
        <f>VLOOKUP($A158,'Summary Mar 2026'!$A:$GL,194,FALSE)-SUMIFS($H158:$U158,$H$7:$U$7,AB$7)</f>
        <v>0</v>
      </c>
      <c r="AD158" s="146">
        <f>_xlfn.IFNA(VLOOKUP($A158,'Summary Mar 2026'!$A:$GS,196,FALSE)+VLOOKUP($A158,OtherDSG!$A:$AI,34,FALSE)+VLOOKUP($A158,Grants!$A:$BE,50,FALSE),0)</f>
        <v>5321838.016861164</v>
      </c>
      <c r="AE158" s="146">
        <f>_xlfn.IFNA(VLOOKUP($A158,'Summary Mar 2026'!$A:$GS,197,FALSE)+VLOOKUP($A158,Grants!$A:$BE,51,FALSE),0)</f>
        <v>0</v>
      </c>
      <c r="AF158" s="146">
        <f>_xlfn.IFNA(VLOOKUP($A158,'Summary Mar 2026'!$A:$GS,198,FALSE)+VLOOKUP($A158,OtherDSG!$A:$AI,35,FALSE)+VLOOKUP($A158,Grants!$A:$BE,52,FALSE),0)</f>
        <v>194364.88999999998</v>
      </c>
      <c r="AG158" s="146">
        <f>_xlfn.IFNA(VLOOKUP($A158,Grants!$A:$BE,53,FALSE),0)</f>
        <v>272430</v>
      </c>
      <c r="AH158" s="146">
        <f>_xlfn.IFNA(VLOOKUP($A158,Grants!$A:$BE,54,FALSE),0)</f>
        <v>1533</v>
      </c>
      <c r="AI158" s="146">
        <f>_xlfn.IFNA(VLOOKUP($A158,Grants!$A:$BE,55,FALSE),0)</f>
        <v>0</v>
      </c>
      <c r="AJ158" s="146">
        <f>_xlfn.IFNA(VLOOKUP($A158,Barclays!$A:$T,18,FALSE),0)</f>
        <v>0</v>
      </c>
      <c r="AK158" s="146">
        <f>_xlfn.IFNA(VLOOKUP($A158,'Summary Mar 2026'!$A:$GS,200,FALSE),0)</f>
        <v>-126037.06</v>
      </c>
      <c r="AL158" s="146">
        <f>_xlfn.IFNA(VLOOKUP($A158,Barclays!$A:$T,19,FALSE),0)</f>
        <v>0</v>
      </c>
      <c r="AM158" s="146">
        <f>_xlfn.IFNA(VLOOKUP($A158,'Summary Mar 2026'!$A:$GS,201,FALSE),0)</f>
        <v>-18745.650000000001</v>
      </c>
      <c r="AN158" s="146">
        <f>_xlfn.IFNA(VLOOKUP($A158,'Summary Mar 2026'!$A:$GS,199,FALSE),0)</f>
        <v>-13587.75</v>
      </c>
      <c r="AO158" s="146">
        <f>_xlfn.IFNA(VLOOKUP($A158,Grants!$A:$BE,56,FALSE),0)</f>
        <v>15432.81</v>
      </c>
      <c r="AP158" s="65">
        <f t="shared" si="2"/>
        <v>5647228.2568611633</v>
      </c>
    </row>
    <row r="159" spans="1:42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0" t="str">
        <f>VLOOKUP(A159,'Summary Mar 2026'!$A$8:$F$206,6,FALSE)</f>
        <v>Chq Bk</v>
      </c>
      <c r="H159" s="288">
        <f>_xlfn.IFNA(VLOOKUP($A159,ISB!$A:$BY,67,FALSE),0)</f>
        <v>2148019.58</v>
      </c>
      <c r="I159" s="861">
        <f>_xlfn.IFNA(VLOOKUP(A159,'LA Deductions'!A:AN,40,FALSE),0)</f>
        <v>0</v>
      </c>
      <c r="J159" s="221">
        <f>_xlfn.IFNA(VLOOKUP($A159,ISB!$A:$BY,72,FALSE),0)</f>
        <v>-11057.92</v>
      </c>
      <c r="K159" s="289">
        <f>-_xlfn.IFNA(VLOOKUP($A159,ISB!$A:$BY,76,FALSE),0)</f>
        <v>-47099.58</v>
      </c>
      <c r="M159" s="288">
        <f>VLOOKUP($A159,EY!$A:$AAK,132,FALSE)</f>
        <v>126966.04736842104</v>
      </c>
      <c r="N159" s="288">
        <f>VLOOKUP($A159,EY!$A:$AAD,133,FALSE)</f>
        <v>0</v>
      </c>
      <c r="P159" s="288">
        <f>VLOOKUP($A159,HN!$A:$AM,38,FALSE)</f>
        <v>0</v>
      </c>
      <c r="Q159" s="288">
        <f>VLOOKUP($A159,HN!$A:$AM,39,FALSE)</f>
        <v>0</v>
      </c>
      <c r="S159" s="362">
        <f>_xlfn.IFNA(VLOOKUP(A159,'Post 16'!A:AR,44,FALSE),0)</f>
        <v>0</v>
      </c>
      <c r="U159" s="362">
        <f>VLOOKUP(A159,'LA Deductions'!A:W,23,FALSE)</f>
        <v>-11934</v>
      </c>
      <c r="W159" s="289">
        <f>VLOOKUP($A159,'Summary Mar 2026'!$A:$AAG,189,FALSE)-SUMIFS($H159:$U159,$H$7:$U$7,W$7)</f>
        <v>0</v>
      </c>
      <c r="X159" s="289">
        <f>VLOOKUP($A159,'Summary Mar 2026'!$A:$GL,190,FALSE)-SUMIFS($H159:$U159,$H$7:$U$7,X$7)</f>
        <v>0</v>
      </c>
      <c r="Y159" s="289">
        <f>VLOOKUP($A159,'Summary Mar 2026'!$A:$GL,191,FALSE)-SUMIFS($H159:$U159,$H$7:$U$7,Y$7)</f>
        <v>0</v>
      </c>
      <c r="Z159" s="289">
        <f>VLOOKUP($A159,'Summary Mar 2026'!$A:$GL,192,FALSE)-SUMIFS($H159:$U159,$H$7:$U$7,Z$7)</f>
        <v>0</v>
      </c>
      <c r="AA159" s="289">
        <f>VLOOKUP($A159,'Summary Mar 2026'!$A:$GL,193,FALSE)-SUMIFS($H159:$U159,$H$7:$U$7,AA$7)</f>
        <v>0</v>
      </c>
      <c r="AB159" s="289">
        <f>VLOOKUP($A159,'Summary Mar 2026'!$A:$GL,194,FALSE)-SUMIFS($H159:$U159,$H$7:$U$7,AB$7)</f>
        <v>0</v>
      </c>
      <c r="AD159" s="146">
        <f>_xlfn.IFNA(VLOOKUP($A159,'Summary Mar 2026'!$A:$GS,196,FALSE)+VLOOKUP($A159,OtherDSG!$A:$AI,34,FALSE)+VLOOKUP($A159,Grants!$A:$BE,50,FALSE),0)</f>
        <v>2336589.6273684208</v>
      </c>
      <c r="AE159" s="146">
        <f>_xlfn.IFNA(VLOOKUP($A159,'Summary Mar 2026'!$A:$GS,197,FALSE)+VLOOKUP($A159,Grants!$A:$BE,51,FALSE),0)</f>
        <v>0</v>
      </c>
      <c r="AF159" s="146">
        <f>_xlfn.IFNA(VLOOKUP($A159,'Summary Mar 2026'!$A:$GS,198,FALSE)+VLOOKUP($A159,OtherDSG!$A:$AI,35,FALSE)+VLOOKUP($A159,Grants!$A:$BE,52,FALSE),0)</f>
        <v>56491.33</v>
      </c>
      <c r="AG159" s="146">
        <f>_xlfn.IFNA(VLOOKUP($A159,Grants!$A:$BE,53,FALSE),0)</f>
        <v>60915</v>
      </c>
      <c r="AH159" s="146">
        <f>_xlfn.IFNA(VLOOKUP($A159,Grants!$A:$BE,54,FALSE),0)</f>
        <v>101063</v>
      </c>
      <c r="AI159" s="146">
        <f>_xlfn.IFNA(VLOOKUP($A159,Grants!$A:$BE,55,FALSE),0)</f>
        <v>0</v>
      </c>
      <c r="AJ159" s="146">
        <f>_xlfn.IFNA(VLOOKUP($A159,Barclays!$A:$T,18,FALSE),0)</f>
        <v>0</v>
      </c>
      <c r="AK159" s="146">
        <f>_xlfn.IFNA(VLOOKUP($A159,'Summary Mar 2026'!$A:$GS,200,FALSE),0)</f>
        <v>-47099.579999999987</v>
      </c>
      <c r="AL159" s="146">
        <f>_xlfn.IFNA(VLOOKUP($A159,Barclays!$A:$T,19,FALSE),0)</f>
        <v>0</v>
      </c>
      <c r="AM159" s="146">
        <f>_xlfn.IFNA(VLOOKUP($A159,'Summary Mar 2026'!$A:$GS,201,FALSE),0)</f>
        <v>-11934</v>
      </c>
      <c r="AN159" s="146">
        <f>_xlfn.IFNA(VLOOKUP($A159,'Summary Mar 2026'!$A:$GS,199,FALSE),0)</f>
        <v>-11057.920000000004</v>
      </c>
      <c r="AO159" s="146">
        <f>_xlfn.IFNA(VLOOKUP($A159,Grants!$A:$BE,56,FALSE),0)</f>
        <v>9121</v>
      </c>
      <c r="AP159" s="65">
        <f t="shared" si="2"/>
        <v>2494088.4573684209</v>
      </c>
    </row>
    <row r="160" spans="1:42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0" t="str">
        <f>VLOOKUP(A160,'Summary Mar 2026'!$A$8:$F$206,6,FALSE)</f>
        <v>Chq Bk</v>
      </c>
      <c r="H160" s="288">
        <f>_xlfn.IFNA(VLOOKUP($A160,ISB!$A:$BY,67,FALSE),0)</f>
        <v>3364050.0147690508</v>
      </c>
      <c r="I160" s="861">
        <f>_xlfn.IFNA(VLOOKUP(A160,'LA Deductions'!A:AN,40,FALSE),0)</f>
        <v>0</v>
      </c>
      <c r="J160" s="221">
        <f>_xlfn.IFNA(VLOOKUP($A160,ISB!$A:$BY,72,FALSE),0)</f>
        <v>-14917.759999999998</v>
      </c>
      <c r="K160" s="289">
        <f>-_xlfn.IFNA(VLOOKUP($A160,ISB!$A:$BY,76,FALSE),0)</f>
        <v>-41074.75</v>
      </c>
      <c r="M160" s="288">
        <f>VLOOKUP($A160,EY!$A:$AAK,132,FALSE)</f>
        <v>163171.10210526315</v>
      </c>
      <c r="N160" s="288">
        <f>VLOOKUP($A160,EY!$A:$AAD,133,FALSE)</f>
        <v>0</v>
      </c>
      <c r="P160" s="288">
        <f>VLOOKUP($A160,HN!$A:$AM,38,FALSE)</f>
        <v>0</v>
      </c>
      <c r="Q160" s="288">
        <f>VLOOKUP($A160,HN!$A:$AM,39,FALSE)</f>
        <v>0</v>
      </c>
      <c r="S160" s="362">
        <f>_xlfn.IFNA(VLOOKUP(A160,'Post 16'!A:AR,44,FALSE),0)</f>
        <v>0</v>
      </c>
      <c r="U160" s="362">
        <f>VLOOKUP(A160,'LA Deductions'!A:W,23,FALSE)</f>
        <v>-12566.4</v>
      </c>
      <c r="W160" s="289">
        <f>VLOOKUP($A160,'Summary Mar 2026'!$A:$AAG,189,FALSE)-SUMIFS($H160:$U160,$H$7:$U$7,W$7)</f>
        <v>0</v>
      </c>
      <c r="X160" s="289">
        <f>VLOOKUP($A160,'Summary Mar 2026'!$A:$GL,190,FALSE)-SUMIFS($H160:$U160,$H$7:$U$7,X$7)</f>
        <v>0</v>
      </c>
      <c r="Y160" s="289">
        <f>VLOOKUP($A160,'Summary Mar 2026'!$A:$GL,191,FALSE)-SUMIFS($H160:$U160,$H$7:$U$7,Y$7)</f>
        <v>0</v>
      </c>
      <c r="Z160" s="289">
        <f>VLOOKUP($A160,'Summary Mar 2026'!$A:$GL,192,FALSE)-SUMIFS($H160:$U160,$H$7:$U$7,Z$7)</f>
        <v>0</v>
      </c>
      <c r="AA160" s="289">
        <f>VLOOKUP($A160,'Summary Mar 2026'!$A:$GL,193,FALSE)-SUMIFS($H160:$U160,$H$7:$U$7,AA$7)</f>
        <v>0</v>
      </c>
      <c r="AB160" s="289">
        <f>VLOOKUP($A160,'Summary Mar 2026'!$A:$GL,194,FALSE)-SUMIFS($H160:$U160,$H$7:$U$7,AB$7)</f>
        <v>0</v>
      </c>
      <c r="AD160" s="146">
        <f>_xlfn.IFNA(VLOOKUP($A160,'Summary Mar 2026'!$A:$GS,196,FALSE)+VLOOKUP($A160,OtherDSG!$A:$AI,34,FALSE)+VLOOKUP($A160,Grants!$A:$BE,50,FALSE),0)</f>
        <v>3631607.1168743148</v>
      </c>
      <c r="AE160" s="146">
        <f>_xlfn.IFNA(VLOOKUP($A160,'Summary Mar 2026'!$A:$GS,197,FALSE)+VLOOKUP($A160,Grants!$A:$BE,51,FALSE),0)</f>
        <v>0</v>
      </c>
      <c r="AF160" s="146">
        <f>_xlfn.IFNA(VLOOKUP($A160,'Summary Mar 2026'!$A:$GS,198,FALSE)+VLOOKUP($A160,OtherDSG!$A:$AI,35,FALSE)+VLOOKUP($A160,Grants!$A:$BE,52,FALSE),0)</f>
        <v>125466.9</v>
      </c>
      <c r="AG160" s="146">
        <f>_xlfn.IFNA(VLOOKUP($A160,Grants!$A:$BE,53,FALSE),0)</f>
        <v>403340</v>
      </c>
      <c r="AH160" s="146">
        <f>_xlfn.IFNA(VLOOKUP($A160,Grants!$A:$BE,54,FALSE),0)</f>
        <v>88487</v>
      </c>
      <c r="AI160" s="146">
        <f>_xlfn.IFNA(VLOOKUP($A160,Grants!$A:$BE,55,FALSE),0)</f>
        <v>0</v>
      </c>
      <c r="AJ160" s="146">
        <f>_xlfn.IFNA(VLOOKUP($A160,Barclays!$A:$T,18,FALSE),0)</f>
        <v>0</v>
      </c>
      <c r="AK160" s="146">
        <f>_xlfn.IFNA(VLOOKUP($A160,'Summary Mar 2026'!$A:$GS,200,FALSE),0)</f>
        <v>-41074.75</v>
      </c>
      <c r="AL160" s="146">
        <f>_xlfn.IFNA(VLOOKUP($A160,Barclays!$A:$T,19,FALSE),0)</f>
        <v>0</v>
      </c>
      <c r="AM160" s="146">
        <f>_xlfn.IFNA(VLOOKUP($A160,'Summary Mar 2026'!$A:$GS,201,FALSE),0)</f>
        <v>-12566.4</v>
      </c>
      <c r="AN160" s="146">
        <f>_xlfn.IFNA(VLOOKUP($A160,'Summary Mar 2026'!$A:$GS,199,FALSE),0)</f>
        <v>-14917.760000000002</v>
      </c>
      <c r="AO160" s="146">
        <f>_xlfn.IFNA(VLOOKUP($A160,Grants!$A:$BE,56,FALSE),0)</f>
        <v>10894</v>
      </c>
      <c r="AP160" s="65">
        <f t="shared" si="2"/>
        <v>4191236.1068743151</v>
      </c>
    </row>
    <row r="161" spans="1:42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0" t="str">
        <f>VLOOKUP(A161,'Summary Mar 2026'!$A$8:$F$206,6,FALSE)</f>
        <v>Chq Bk</v>
      </c>
      <c r="H161" s="288">
        <f>_xlfn.IFNA(VLOOKUP($A161,ISB!$A:$BY,67,FALSE),0)</f>
        <v>2493745.2232283941</v>
      </c>
      <c r="I161" s="861">
        <f>_xlfn.IFNA(VLOOKUP(A161,'LA Deductions'!A:AN,40,FALSE),0)</f>
        <v>-3832.5414000000001</v>
      </c>
      <c r="J161" s="221">
        <f>_xlfn.IFNA(VLOOKUP($A161,ISB!$A:$BY,72,FALSE),0)</f>
        <v>-10458.08</v>
      </c>
      <c r="K161" s="289">
        <f>-_xlfn.IFNA(VLOOKUP($A161,ISB!$A:$BY,76,FALSE),0)</f>
        <v>-24535.64</v>
      </c>
      <c r="M161" s="288">
        <f>VLOOKUP($A161,EY!$A:$AAK,132,FALSE)</f>
        <v>0</v>
      </c>
      <c r="N161" s="288">
        <f>VLOOKUP($A161,EY!$A:$AAD,133,FALSE)</f>
        <v>0</v>
      </c>
      <c r="P161" s="288">
        <f>VLOOKUP($A161,HN!$A:$AM,38,FALSE)</f>
        <v>0</v>
      </c>
      <c r="Q161" s="288">
        <f>VLOOKUP($A161,HN!$A:$AM,39,FALSE)</f>
        <v>0</v>
      </c>
      <c r="S161" s="362">
        <f>_xlfn.IFNA(VLOOKUP(A161,'Post 16'!A:AR,44,FALSE),0)</f>
        <v>0</v>
      </c>
      <c r="U161" s="362">
        <f>VLOOKUP(A161,'LA Deductions'!A:W,23,FALSE)</f>
        <v>-9471</v>
      </c>
      <c r="W161" s="289">
        <f>VLOOKUP($A161,'Summary Mar 2026'!$A:$AAG,189,FALSE)-SUMIFS($H161:$U161,$H$7:$U$7,W$7)</f>
        <v>0</v>
      </c>
      <c r="X161" s="289">
        <f>VLOOKUP($A161,'Summary Mar 2026'!$A:$GL,190,FALSE)-SUMIFS($H161:$U161,$H$7:$U$7,X$7)</f>
        <v>0</v>
      </c>
      <c r="Y161" s="289">
        <f>VLOOKUP($A161,'Summary Mar 2026'!$A:$GL,191,FALSE)-SUMIFS($H161:$U161,$H$7:$U$7,Y$7)</f>
        <v>0</v>
      </c>
      <c r="Z161" s="289">
        <f>VLOOKUP($A161,'Summary Mar 2026'!$A:$GL,192,FALSE)-SUMIFS($H161:$U161,$H$7:$U$7,Z$7)</f>
        <v>0</v>
      </c>
      <c r="AA161" s="289">
        <f>VLOOKUP($A161,'Summary Mar 2026'!$A:$GL,193,FALSE)-SUMIFS($H161:$U161,$H$7:$U$7,AA$7)</f>
        <v>0</v>
      </c>
      <c r="AB161" s="289">
        <f>VLOOKUP($A161,'Summary Mar 2026'!$A:$GL,194,FALSE)-SUMIFS($H161:$U161,$H$7:$U$7,AB$7)</f>
        <v>0</v>
      </c>
      <c r="AD161" s="146">
        <f>_xlfn.IFNA(VLOOKUP($A161,'Summary Mar 2026'!$A:$GS,196,FALSE)+VLOOKUP($A161,OtherDSG!$A:$AI,34,FALSE)+VLOOKUP($A161,Grants!$A:$BE,50,FALSE),0)</f>
        <v>2567155.6818283945</v>
      </c>
      <c r="AE161" s="146">
        <f>_xlfn.IFNA(VLOOKUP($A161,'Summary Mar 2026'!$A:$GS,197,FALSE)+VLOOKUP($A161,Grants!$A:$BE,51,FALSE),0)</f>
        <v>0</v>
      </c>
      <c r="AF161" s="146">
        <f>_xlfn.IFNA(VLOOKUP($A161,'Summary Mar 2026'!$A:$GS,198,FALSE)+VLOOKUP($A161,OtherDSG!$A:$AI,35,FALSE)+VLOOKUP($A161,Grants!$A:$BE,52,FALSE),0)</f>
        <v>340885.03666666668</v>
      </c>
      <c r="AG161" s="146">
        <f>_xlfn.IFNA(VLOOKUP($A161,Grants!$A:$BE,53,FALSE),0)</f>
        <v>380180</v>
      </c>
      <c r="AH161" s="146">
        <f>_xlfn.IFNA(VLOOKUP($A161,Grants!$A:$BE,54,FALSE),0)</f>
        <v>57676.93</v>
      </c>
      <c r="AI161" s="146">
        <f>_xlfn.IFNA(VLOOKUP($A161,Grants!$A:$BE,55,FALSE),0)</f>
        <v>0</v>
      </c>
      <c r="AJ161" s="146">
        <f>_xlfn.IFNA(VLOOKUP($A161,Barclays!$A:$T,18,FALSE),0)</f>
        <v>22613.815225000006</v>
      </c>
      <c r="AK161" s="146">
        <f>_xlfn.IFNA(VLOOKUP($A161,'Summary Mar 2026'!$A:$GS,200,FALSE),0)</f>
        <v>-24535.639999999996</v>
      </c>
      <c r="AL161" s="146">
        <f>_xlfn.IFNA(VLOOKUP($A161,Barclays!$A:$T,19,FALSE),0)</f>
        <v>-147.51</v>
      </c>
      <c r="AM161" s="146">
        <f>_xlfn.IFNA(VLOOKUP($A161,'Summary Mar 2026'!$A:$GS,201,FALSE),0)</f>
        <v>-9471</v>
      </c>
      <c r="AN161" s="146">
        <f>_xlfn.IFNA(VLOOKUP($A161,'Summary Mar 2026'!$A:$GS,199,FALSE),0)</f>
        <v>-10458.079999999996</v>
      </c>
      <c r="AO161" s="146">
        <f>_xlfn.IFNA(VLOOKUP($A161,Grants!$A:$BE,56,FALSE),0)</f>
        <v>8623.75</v>
      </c>
      <c r="AP161" s="65">
        <f t="shared" si="2"/>
        <v>3332522.9837200614</v>
      </c>
    </row>
    <row r="162" spans="1:42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0" t="str">
        <f>VLOOKUP(A162,'Summary Mar 2026'!$A$8:$F$206,6,FALSE)</f>
        <v>Academy</v>
      </c>
      <c r="H162" s="288">
        <f>_xlfn.IFNA(VLOOKUP($A162,ISB!$A:$BY,67,FALSE),0)-647588.28</f>
        <v>485935.33066962636</v>
      </c>
      <c r="I162" s="861">
        <f>_xlfn.IFNA(VLOOKUP(A162,'LA Deductions'!A:AN,40,FALSE),0)</f>
        <v>0</v>
      </c>
      <c r="J162" s="221">
        <f>_xlfn.IFNA(VLOOKUP($A162,ISB!$A:$BY,72,FALSE),0)+3149.16</f>
        <v>-2249.3999999999996</v>
      </c>
      <c r="K162" s="289">
        <f>-_xlfn.IFNA(VLOOKUP($A162,ISB!$A:$BY,76,FALSE),0)</f>
        <v>-18595.43</v>
      </c>
      <c r="M162" s="288">
        <f>VLOOKUP($A162,EY!$A:$AAK,132,FALSE)</f>
        <v>0</v>
      </c>
      <c r="N162" s="288">
        <f>VLOOKUP($A162,EY!$A:$AAD,133,FALSE)</f>
        <v>0</v>
      </c>
      <c r="P162" s="288">
        <f>VLOOKUP($A162,HN!$A:$AM,38,FALSE)</f>
        <v>0</v>
      </c>
      <c r="Q162" s="288">
        <f>VLOOKUP($A162,HN!$A:$AM,39,FALSE)</f>
        <v>0</v>
      </c>
      <c r="S162" s="362">
        <f>_xlfn.IFNA(VLOOKUP(A162,'Post 16'!A:AR,44,FALSE),0)</f>
        <v>0</v>
      </c>
      <c r="U162" s="362">
        <f>VLOOKUP(A162,'LA Deductions'!A:W,23,FALSE)</f>
        <v>-2141.5625</v>
      </c>
      <c r="W162" s="289">
        <f>VLOOKUP($A162,'Summary Mar 2026'!$A:$AAG,189,FALSE)-SUMIFS($H162:$U162,$H$7:$U$7,W$7)</f>
        <v>0</v>
      </c>
      <c r="X162" s="289">
        <f>VLOOKUP($A162,'Summary Mar 2026'!$A:$GL,190,FALSE)-SUMIFS($H162:$U162,$H$7:$U$7,X$7)</f>
        <v>0</v>
      </c>
      <c r="Y162" s="289">
        <f>VLOOKUP($A162,'Summary Mar 2026'!$A:$GL,191,FALSE)-SUMIFS($H162:$U162,$H$7:$U$7,Y$7)</f>
        <v>0</v>
      </c>
      <c r="Z162" s="289">
        <f>VLOOKUP($A162,'Summary Mar 2026'!$A:$GL,192,FALSE)-SUMIFS($H162:$U162,$H$7:$U$7,Z$7)</f>
        <v>0</v>
      </c>
      <c r="AA162" s="289">
        <f>VLOOKUP($A162,'Summary Mar 2026'!$A:$GL,193,FALSE)-SUMIFS($H162:$U162,$H$7:$U$7,AA$7)</f>
        <v>0</v>
      </c>
      <c r="AB162" s="289">
        <f>VLOOKUP($A162,'Summary Mar 2026'!$A:$GL,194,FALSE)-SUMIFS($H162:$U162,$H$7:$U$7,AB$7)</f>
        <v>0</v>
      </c>
      <c r="AD162" s="146">
        <f>_xlfn.IFNA(VLOOKUP($A162,'Summary Mar 2026'!$A:$GS,196,FALSE)+VLOOKUP($A162,OtherDSG!$A:$AI,34,FALSE)+VLOOKUP($A162,Grants!$A:$BE,50,FALSE),0)</f>
        <v>485935.33066962636</v>
      </c>
      <c r="AE162" s="146">
        <f>_xlfn.IFNA(VLOOKUP($A162,'Summary Mar 2026'!$A:$GS,197,FALSE)+VLOOKUP($A162,Grants!$A:$BE,51,FALSE),0)</f>
        <v>0</v>
      </c>
      <c r="AF162" s="146">
        <f>_xlfn.IFNA(VLOOKUP($A162,'Summary Mar 2026'!$A:$GS,198,FALSE)+VLOOKUP($A162,OtherDSG!$A:$AI,35,FALSE)+VLOOKUP($A162,Grants!$A:$BE,52,FALSE),0)</f>
        <v>22498.12</v>
      </c>
      <c r="AG162" s="146">
        <f>_xlfn.IFNA(VLOOKUP($A162,Grants!$A:$BE,53,FALSE),0)</f>
        <v>34350</v>
      </c>
      <c r="AH162" s="146">
        <f>_xlfn.IFNA(VLOOKUP($A162,Grants!$A:$BE,54,FALSE),0)</f>
        <v>41940.93</v>
      </c>
      <c r="AI162" s="146">
        <f>_xlfn.IFNA(VLOOKUP($A162,Grants!$A:$BE,55,FALSE),0)</f>
        <v>0</v>
      </c>
      <c r="AJ162" s="146">
        <f>_xlfn.IFNA(VLOOKUP($A162,Barclays!$A:$T,18,FALSE),0)</f>
        <v>1376.3400000000001</v>
      </c>
      <c r="AK162" s="146">
        <f>_xlfn.IFNA(VLOOKUP($A162,'Summary Mar 2026'!$A:$GS,200,FALSE),0)</f>
        <v>-18595.429999999997</v>
      </c>
      <c r="AL162" s="146">
        <f>_xlfn.IFNA(VLOOKUP($A162,Barclays!$A:$T,19,FALSE),0)</f>
        <v>-4.6900000000000004</v>
      </c>
      <c r="AM162" s="146">
        <f>_xlfn.IFNA(VLOOKUP($A162,'Summary Mar 2026'!$A:$GS,201,FALSE),0)</f>
        <v>-2141.5625</v>
      </c>
      <c r="AN162" s="146">
        <f>_xlfn.IFNA(VLOOKUP($A162,'Summary Mar 2026'!$A:$GS,199,FALSE),0)</f>
        <v>-2249.3999999999996</v>
      </c>
      <c r="AO162" s="146">
        <f>_xlfn.IFNA(VLOOKUP($A162,Grants!$A:$BE,56,FALSE),0)</f>
        <v>6385</v>
      </c>
      <c r="AP162" s="65">
        <f t="shared" si="2"/>
        <v>569494.63816962636</v>
      </c>
    </row>
    <row r="163" spans="1:42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0" t="str">
        <f>VLOOKUP(A163,'Summary Mar 2026'!$A$8:$F$206,6,FALSE)</f>
        <v>Chq Bk</v>
      </c>
      <c r="H163" s="288">
        <f>_xlfn.IFNA(VLOOKUP($A163,ISB!$A:$BY,67,FALSE),0)</f>
        <v>1527117.6090670591</v>
      </c>
      <c r="I163" s="861">
        <f>_xlfn.IFNA(VLOOKUP(A163,'LA Deductions'!A:AN,40,FALSE),0)</f>
        <v>0</v>
      </c>
      <c r="J163" s="221">
        <f>_xlfn.IFNA(VLOOKUP($A163,ISB!$A:$BY,72,FALSE),0)</f>
        <v>-6546.08</v>
      </c>
      <c r="K163" s="289">
        <f>-_xlfn.IFNA(VLOOKUP($A163,ISB!$A:$BY,76,FALSE),0)</f>
        <v>-15383.15</v>
      </c>
      <c r="M163" s="288">
        <f>VLOOKUP($A163,EY!$A:$AAK,132,FALSE)</f>
        <v>225646.90681440441</v>
      </c>
      <c r="N163" s="288">
        <f>VLOOKUP($A163,EY!$A:$AAD,133,FALSE)</f>
        <v>0</v>
      </c>
      <c r="P163" s="288">
        <f>VLOOKUP($A163,HN!$A:$AM,38,FALSE)</f>
        <v>22000</v>
      </c>
      <c r="Q163" s="288">
        <f>VLOOKUP($A163,HN!$A:$AM,39,FALSE)</f>
        <v>31800.84</v>
      </c>
      <c r="S163" s="362">
        <f>_xlfn.IFNA(VLOOKUP(A163,'Post 16'!A:AR,44,FALSE),0)</f>
        <v>0</v>
      </c>
      <c r="U163" s="362">
        <f>VLOOKUP(A163,'LA Deductions'!A:W,23,FALSE)</f>
        <v>-5139.75</v>
      </c>
      <c r="W163" s="289">
        <f>VLOOKUP($A163,'Summary Mar 2026'!$A:$AAG,189,FALSE)-SUMIFS($H163:$U163,$H$7:$U$7,W$7)</f>
        <v>0</v>
      </c>
      <c r="X163" s="289">
        <f>VLOOKUP($A163,'Summary Mar 2026'!$A:$GL,190,FALSE)-SUMIFS($H163:$U163,$H$7:$U$7,X$7)</f>
        <v>0</v>
      </c>
      <c r="Y163" s="289">
        <f>VLOOKUP($A163,'Summary Mar 2026'!$A:$GL,191,FALSE)-SUMIFS($H163:$U163,$H$7:$U$7,Y$7)</f>
        <v>0</v>
      </c>
      <c r="Z163" s="289">
        <f>VLOOKUP($A163,'Summary Mar 2026'!$A:$GL,192,FALSE)-SUMIFS($H163:$U163,$H$7:$U$7,Z$7)</f>
        <v>0</v>
      </c>
      <c r="AA163" s="289">
        <f>VLOOKUP($A163,'Summary Mar 2026'!$A:$GL,193,FALSE)-SUMIFS($H163:$U163,$H$7:$U$7,AA$7)</f>
        <v>0</v>
      </c>
      <c r="AB163" s="289">
        <f>VLOOKUP($A163,'Summary Mar 2026'!$A:$GL,194,FALSE)-SUMIFS($H163:$U163,$H$7:$U$7,AB$7)</f>
        <v>0</v>
      </c>
      <c r="AD163" s="146">
        <f>_xlfn.IFNA(VLOOKUP($A163,'Summary Mar 2026'!$A:$GS,196,FALSE)+VLOOKUP($A163,OtherDSG!$A:$AI,34,FALSE)+VLOOKUP($A163,Grants!$A:$BE,50,FALSE),0)</f>
        <v>1825022.5158814637</v>
      </c>
      <c r="AE163" s="146">
        <f>_xlfn.IFNA(VLOOKUP($A163,'Summary Mar 2026'!$A:$GS,197,FALSE)+VLOOKUP($A163,Grants!$A:$BE,51,FALSE),0)</f>
        <v>0</v>
      </c>
      <c r="AF163" s="146">
        <f>_xlfn.IFNA(VLOOKUP($A163,'Summary Mar 2026'!$A:$GS,198,FALSE)+VLOOKUP($A163,OtherDSG!$A:$AI,35,FALSE)+VLOOKUP($A163,Grants!$A:$BE,52,FALSE),0)</f>
        <v>160773.28444444446</v>
      </c>
      <c r="AG163" s="146">
        <f>_xlfn.IFNA(VLOOKUP($A163,Grants!$A:$BE,53,FALSE),0)</f>
        <v>124545</v>
      </c>
      <c r="AH163" s="146">
        <f>_xlfn.IFNA(VLOOKUP($A163,Grants!$A:$BE,54,FALSE),0)</f>
        <v>97105.48</v>
      </c>
      <c r="AI163" s="146">
        <f>_xlfn.IFNA(VLOOKUP($A163,Grants!$A:$BE,55,FALSE),0)</f>
        <v>0</v>
      </c>
      <c r="AJ163" s="146">
        <f>_xlfn.IFNA(VLOOKUP($A163,Barclays!$A:$T,18,FALSE),0)</f>
        <v>2892.0099999999998</v>
      </c>
      <c r="AK163" s="146">
        <f>_xlfn.IFNA(VLOOKUP($A163,'Summary Mar 2026'!$A:$GS,200,FALSE),0)</f>
        <v>-15383.15</v>
      </c>
      <c r="AL163" s="146">
        <f>_xlfn.IFNA(VLOOKUP($A163,Barclays!$A:$T,19,FALSE),0)</f>
        <v>-124.16000000000001</v>
      </c>
      <c r="AM163" s="146">
        <f>_xlfn.IFNA(VLOOKUP($A163,'Summary Mar 2026'!$A:$GS,201,FALSE),0)</f>
        <v>-5139.75</v>
      </c>
      <c r="AN163" s="146">
        <f>_xlfn.IFNA(VLOOKUP($A163,'Summary Mar 2026'!$A:$GS,199,FALSE),0)</f>
        <v>-6546.0799999999981</v>
      </c>
      <c r="AO163" s="146">
        <f>_xlfn.IFNA(VLOOKUP($A163,Grants!$A:$BE,56,FALSE),0)</f>
        <v>7429</v>
      </c>
      <c r="AP163" s="65">
        <f t="shared" si="2"/>
        <v>2190574.1503259079</v>
      </c>
    </row>
    <row r="164" spans="1:42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0" t="str">
        <f>VLOOKUP(A164,'Summary Mar 2026'!$A$8:$F$206,6,FALSE)</f>
        <v>Chq Bk</v>
      </c>
      <c r="H164" s="288">
        <f>_xlfn.IFNA(VLOOKUP($A164,ISB!$A:$BY,67,FALSE),0)</f>
        <v>2172256.4927828242</v>
      </c>
      <c r="I164" s="861">
        <f>_xlfn.IFNA(VLOOKUP(A164,'LA Deductions'!A:AN,40,FALSE),0)</f>
        <v>0</v>
      </c>
      <c r="J164" s="221">
        <f>_xlfn.IFNA(VLOOKUP($A164,ISB!$A:$BY,72,FALSE),0)</f>
        <v>-9414.8799999999992</v>
      </c>
      <c r="K164" s="289">
        <f>-_xlfn.IFNA(VLOOKUP($A164,ISB!$A:$BY,76,FALSE),0)</f>
        <v>-20391.63</v>
      </c>
      <c r="M164" s="288">
        <f>VLOOKUP($A164,EY!$A:$AAK,132,FALSE)</f>
        <v>0</v>
      </c>
      <c r="N164" s="288">
        <f>VLOOKUP($A164,EY!$A:$AAD,133,FALSE)</f>
        <v>0</v>
      </c>
      <c r="P164" s="288">
        <f>VLOOKUP($A164,HN!$A:$AM,38,FALSE)</f>
        <v>48000</v>
      </c>
      <c r="Q164" s="288">
        <f>VLOOKUP($A164,HN!$A:$AM,39,FALSE)</f>
        <v>135672.95000000001</v>
      </c>
      <c r="S164" s="362">
        <f>_xlfn.IFNA(VLOOKUP(A164,'Post 16'!A:AR,44,FALSE),0)</f>
        <v>0</v>
      </c>
      <c r="U164" s="362">
        <f>VLOOKUP(A164,'LA Deductions'!A:W,23,FALSE)</f>
        <v>-9747</v>
      </c>
      <c r="W164" s="289">
        <f>VLOOKUP($A164,'Summary Mar 2026'!$A:$AAG,189,FALSE)-SUMIFS($H164:$U164,$H$7:$U$7,W$7)</f>
        <v>0</v>
      </c>
      <c r="X164" s="289">
        <f>VLOOKUP($A164,'Summary Mar 2026'!$A:$GL,190,FALSE)-SUMIFS($H164:$U164,$H$7:$U$7,X$7)</f>
        <v>0</v>
      </c>
      <c r="Y164" s="289">
        <f>VLOOKUP($A164,'Summary Mar 2026'!$A:$GL,191,FALSE)-SUMIFS($H164:$U164,$H$7:$U$7,Y$7)</f>
        <v>0</v>
      </c>
      <c r="Z164" s="289">
        <f>VLOOKUP($A164,'Summary Mar 2026'!$A:$GL,192,FALSE)-SUMIFS($H164:$U164,$H$7:$U$7,Z$7)</f>
        <v>0</v>
      </c>
      <c r="AA164" s="289">
        <f>VLOOKUP($A164,'Summary Mar 2026'!$A:$GL,193,FALSE)-SUMIFS($H164:$U164,$H$7:$U$7,AA$7)</f>
        <v>0</v>
      </c>
      <c r="AB164" s="289">
        <f>VLOOKUP($A164,'Summary Mar 2026'!$A:$GL,194,FALSE)-SUMIFS($H164:$U164,$H$7:$U$7,AB$7)</f>
        <v>0</v>
      </c>
      <c r="AD164" s="146">
        <f>_xlfn.IFNA(VLOOKUP($A164,'Summary Mar 2026'!$A:$GS,196,FALSE)+VLOOKUP($A164,OtherDSG!$A:$AI,34,FALSE)+VLOOKUP($A164,Grants!$A:$BE,50,FALSE),0)</f>
        <v>2287657.4927828242</v>
      </c>
      <c r="AE164" s="146">
        <f>_xlfn.IFNA(VLOOKUP($A164,'Summary Mar 2026'!$A:$GS,197,FALSE)+VLOOKUP($A164,Grants!$A:$BE,51,FALSE),0)</f>
        <v>0</v>
      </c>
      <c r="AF164" s="146">
        <f>_xlfn.IFNA(VLOOKUP($A164,'Summary Mar 2026'!$A:$GS,198,FALSE)+VLOOKUP($A164,OtherDSG!$A:$AI,35,FALSE)+VLOOKUP($A164,Grants!$A:$BE,52,FALSE),0)</f>
        <v>233508.95333333337</v>
      </c>
      <c r="AG164" s="146">
        <f>_xlfn.IFNA(VLOOKUP($A164,Grants!$A:$BE,53,FALSE),0)</f>
        <v>282140</v>
      </c>
      <c r="AH164" s="146">
        <f>_xlfn.IFNA(VLOOKUP($A164,Grants!$A:$BE,54,FALSE),0)</f>
        <v>47895.92</v>
      </c>
      <c r="AI164" s="146">
        <f>_xlfn.IFNA(VLOOKUP($A164,Grants!$A:$BE,55,FALSE),0)</f>
        <v>0</v>
      </c>
      <c r="AJ164" s="146">
        <f>_xlfn.IFNA(VLOOKUP($A164,Barclays!$A:$T,18,FALSE),0)</f>
        <v>0</v>
      </c>
      <c r="AK164" s="146">
        <f>_xlfn.IFNA(VLOOKUP($A164,'Summary Mar 2026'!$A:$GS,200,FALSE),0)</f>
        <v>-20391.630000000005</v>
      </c>
      <c r="AL164" s="146">
        <f>_xlfn.IFNA(VLOOKUP($A164,Barclays!$A:$T,19,FALSE),0)</f>
        <v>0</v>
      </c>
      <c r="AM164" s="146">
        <f>_xlfn.IFNA(VLOOKUP($A164,'Summary Mar 2026'!$A:$GS,201,FALSE),0)</f>
        <v>-9747</v>
      </c>
      <c r="AN164" s="146">
        <f>_xlfn.IFNA(VLOOKUP($A164,'Summary Mar 2026'!$A:$GS,199,FALSE),0)</f>
        <v>-9414.880000000001</v>
      </c>
      <c r="AO164" s="146">
        <f>_xlfn.IFNA(VLOOKUP($A164,Grants!$A:$BE,56,FALSE),0)</f>
        <v>8140</v>
      </c>
      <c r="AP164" s="65">
        <f t="shared" si="2"/>
        <v>2819788.856116158</v>
      </c>
    </row>
    <row r="165" spans="1:42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0" t="str">
        <f>VLOOKUP(A165,'Summary Mar 2026'!$A$8:$F$206,6,FALSE)</f>
        <v>Chq Bk</v>
      </c>
      <c r="H165" s="288">
        <f>_xlfn.IFNA(VLOOKUP($A165,ISB!$A:$BY,67,FALSE),0)</f>
        <v>2152163.3643996087</v>
      </c>
      <c r="I165" s="861">
        <f>_xlfn.IFNA(VLOOKUP(A165,'LA Deductions'!A:AN,40,FALSE),0)</f>
        <v>0</v>
      </c>
      <c r="J165" s="221">
        <f>_xlfn.IFNA(VLOOKUP($A165,ISB!$A:$BY,72,FALSE),0)</f>
        <v>-10692.8</v>
      </c>
      <c r="K165" s="289">
        <f>-_xlfn.IFNA(VLOOKUP($A165,ISB!$A:$BY,76,FALSE),0)</f>
        <v>-32064.81</v>
      </c>
      <c r="M165" s="288">
        <f>VLOOKUP($A165,EY!$A:$AAK,132,FALSE)</f>
        <v>0</v>
      </c>
      <c r="N165" s="288">
        <f>VLOOKUP($A165,EY!$A:$AAD,133,FALSE)</f>
        <v>0</v>
      </c>
      <c r="P165" s="288">
        <f>VLOOKUP($A165,HN!$A:$AM,38,FALSE)</f>
        <v>0</v>
      </c>
      <c r="Q165" s="288">
        <f>VLOOKUP($A165,HN!$A:$AM,39,FALSE)</f>
        <v>0</v>
      </c>
      <c r="S165" s="362">
        <f>_xlfn.IFNA(VLOOKUP(A165,'Post 16'!A:AR,44,FALSE),0)</f>
        <v>0</v>
      </c>
      <c r="U165" s="362">
        <f>VLOOKUP(A165,'LA Deductions'!A:W,23,FALSE)</f>
        <v>-9471</v>
      </c>
      <c r="W165" s="289">
        <f>VLOOKUP($A165,'Summary Mar 2026'!$A:$AAG,189,FALSE)-SUMIFS($H165:$U165,$H$7:$U$7,W$7)</f>
        <v>0</v>
      </c>
      <c r="X165" s="289">
        <f>VLOOKUP($A165,'Summary Mar 2026'!$A:$GL,190,FALSE)-SUMIFS($H165:$U165,$H$7:$U$7,X$7)</f>
        <v>0</v>
      </c>
      <c r="Y165" s="289">
        <f>VLOOKUP($A165,'Summary Mar 2026'!$A:$GL,191,FALSE)-SUMIFS($H165:$U165,$H$7:$U$7,Y$7)</f>
        <v>0</v>
      </c>
      <c r="Z165" s="289">
        <f>VLOOKUP($A165,'Summary Mar 2026'!$A:$GL,192,FALSE)-SUMIFS($H165:$U165,$H$7:$U$7,Z$7)</f>
        <v>0</v>
      </c>
      <c r="AA165" s="289">
        <f>VLOOKUP($A165,'Summary Mar 2026'!$A:$GL,193,FALSE)-SUMIFS($H165:$U165,$H$7:$U$7,AA$7)</f>
        <v>0</v>
      </c>
      <c r="AB165" s="289">
        <f>VLOOKUP($A165,'Summary Mar 2026'!$A:$GL,194,FALSE)-SUMIFS($H165:$U165,$H$7:$U$7,AB$7)</f>
        <v>0</v>
      </c>
      <c r="AD165" s="146">
        <f>_xlfn.IFNA(VLOOKUP($A165,'Summary Mar 2026'!$A:$GS,196,FALSE)+VLOOKUP($A165,OtherDSG!$A:$AI,34,FALSE)+VLOOKUP($A165,Grants!$A:$BE,50,FALSE),0)</f>
        <v>2215764.3643996087</v>
      </c>
      <c r="AE165" s="146">
        <f>_xlfn.IFNA(VLOOKUP($A165,'Summary Mar 2026'!$A:$GS,197,FALSE)+VLOOKUP($A165,Grants!$A:$BE,51,FALSE),0)</f>
        <v>0</v>
      </c>
      <c r="AF165" s="146">
        <f>_xlfn.IFNA(VLOOKUP($A165,'Summary Mar 2026'!$A:$GS,198,FALSE)+VLOOKUP($A165,OtherDSG!$A:$AI,35,FALSE)+VLOOKUP($A165,Grants!$A:$BE,52,FALSE),0)</f>
        <v>216619.76666666666</v>
      </c>
      <c r="AG165" s="146">
        <f>_xlfn.IFNA(VLOOKUP($A165,Grants!$A:$BE,53,FALSE),0)</f>
        <v>184345</v>
      </c>
      <c r="AH165" s="146">
        <f>_xlfn.IFNA(VLOOKUP($A165,Grants!$A:$BE,54,FALSE),0)</f>
        <v>79230.2</v>
      </c>
      <c r="AI165" s="146">
        <f>_xlfn.IFNA(VLOOKUP($A165,Grants!$A:$BE,55,FALSE),0)</f>
        <v>0</v>
      </c>
      <c r="AJ165" s="146">
        <f>_xlfn.IFNA(VLOOKUP($A165,Barclays!$A:$T,18,FALSE),0)</f>
        <v>0</v>
      </c>
      <c r="AK165" s="146">
        <f>_xlfn.IFNA(VLOOKUP($A165,'Summary Mar 2026'!$A:$GS,200,FALSE),0)</f>
        <v>-32064.810000000009</v>
      </c>
      <c r="AL165" s="146">
        <f>_xlfn.IFNA(VLOOKUP($A165,Barclays!$A:$T,19,FALSE),0)</f>
        <v>0</v>
      </c>
      <c r="AM165" s="146">
        <f>_xlfn.IFNA(VLOOKUP($A165,'Summary Mar 2026'!$A:$GS,201,FALSE),0)</f>
        <v>-9471</v>
      </c>
      <c r="AN165" s="146">
        <f>_xlfn.IFNA(VLOOKUP($A165,'Summary Mar 2026'!$A:$GS,199,FALSE),0)</f>
        <v>-10692.8</v>
      </c>
      <c r="AO165" s="146">
        <f>_xlfn.IFNA(VLOOKUP($A165,Grants!$A:$BE,56,FALSE),0)</f>
        <v>8725</v>
      </c>
      <c r="AP165" s="65">
        <f t="shared" si="2"/>
        <v>2652455.7210662756</v>
      </c>
    </row>
    <row r="166" spans="1:42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0" t="str">
        <f>VLOOKUP(A166,'Summary Mar 2026'!$A$8:$F$206,6,FALSE)</f>
        <v>Chq Bk</v>
      </c>
      <c r="H166" s="288">
        <f>_xlfn.IFNA(VLOOKUP($A166,ISB!$A:$BY,67,FALSE),0)</f>
        <v>4426848.4898238108</v>
      </c>
      <c r="I166" s="861">
        <f>_xlfn.IFNA(VLOOKUP(A166,'LA Deductions'!A:AN,40,FALSE),0)</f>
        <v>0</v>
      </c>
      <c r="J166" s="221">
        <f>_xlfn.IFNA(VLOOKUP($A166,ISB!$A:$BY,72,FALSE),0)</f>
        <v>-21828.959999999999</v>
      </c>
      <c r="K166" s="289">
        <f>-_xlfn.IFNA(VLOOKUP($A166,ISB!$A:$BY,76,FALSE),0)</f>
        <v>-32542.02</v>
      </c>
      <c r="M166" s="288">
        <f>VLOOKUP($A166,EY!$A:$AAK,132,FALSE)</f>
        <v>0</v>
      </c>
      <c r="N166" s="288">
        <f>VLOOKUP($A166,EY!$A:$AAD,133,FALSE)</f>
        <v>0</v>
      </c>
      <c r="P166" s="288">
        <f>VLOOKUP($A166,HN!$A:$AM,38,FALSE)</f>
        <v>0</v>
      </c>
      <c r="Q166" s="288">
        <f>VLOOKUP($A166,HN!$A:$AM,39,FALSE)</f>
        <v>0</v>
      </c>
      <c r="S166" s="362">
        <f>_xlfn.IFNA(VLOOKUP(A166,'Post 16'!A:AR,44,FALSE),0)</f>
        <v>0</v>
      </c>
      <c r="U166" s="362">
        <f>VLOOKUP(A166,'LA Deductions'!A:W,23,FALSE)</f>
        <v>-24312.75</v>
      </c>
      <c r="W166" s="289">
        <f>VLOOKUP($A166,'Summary Mar 2026'!$A:$AAG,189,FALSE)-SUMIFS($H166:$U166,$H$7:$U$7,W$7)</f>
        <v>0</v>
      </c>
      <c r="X166" s="289">
        <f>VLOOKUP($A166,'Summary Mar 2026'!$A:$GL,190,FALSE)-SUMIFS($H166:$U166,$H$7:$U$7,X$7)</f>
        <v>0</v>
      </c>
      <c r="Y166" s="289">
        <f>VLOOKUP($A166,'Summary Mar 2026'!$A:$GL,191,FALSE)-SUMIFS($H166:$U166,$H$7:$U$7,Y$7)</f>
        <v>0</v>
      </c>
      <c r="Z166" s="289">
        <f>VLOOKUP($A166,'Summary Mar 2026'!$A:$GL,192,FALSE)-SUMIFS($H166:$U166,$H$7:$U$7,Z$7)</f>
        <v>0</v>
      </c>
      <c r="AA166" s="289">
        <f>VLOOKUP($A166,'Summary Mar 2026'!$A:$GL,193,FALSE)-SUMIFS($H166:$U166,$H$7:$U$7,AA$7)</f>
        <v>0</v>
      </c>
      <c r="AB166" s="289">
        <f>VLOOKUP($A166,'Summary Mar 2026'!$A:$GL,194,FALSE)-SUMIFS($H166:$U166,$H$7:$U$7,AB$7)</f>
        <v>0</v>
      </c>
      <c r="AD166" s="146">
        <f>_xlfn.IFNA(VLOOKUP($A166,'Summary Mar 2026'!$A:$GS,196,FALSE)+VLOOKUP($A166,OtherDSG!$A:$AI,34,FALSE)+VLOOKUP($A166,Grants!$A:$BE,50,FALSE),0)</f>
        <v>4564559.4898238098</v>
      </c>
      <c r="AE166" s="146">
        <f>_xlfn.IFNA(VLOOKUP($A166,'Summary Mar 2026'!$A:$GS,197,FALSE)+VLOOKUP($A166,Grants!$A:$BE,51,FALSE),0)</f>
        <v>0</v>
      </c>
      <c r="AF166" s="146">
        <f>_xlfn.IFNA(VLOOKUP($A166,'Summary Mar 2026'!$A:$GS,198,FALSE)+VLOOKUP($A166,OtherDSG!$A:$AI,35,FALSE)+VLOOKUP($A166,Grants!$A:$BE,52,FALSE),0)</f>
        <v>239092.12866666669</v>
      </c>
      <c r="AG166" s="146">
        <f>_xlfn.IFNA(VLOOKUP($A166,Grants!$A:$BE,53,FALSE),0)</f>
        <v>510155</v>
      </c>
      <c r="AH166" s="146">
        <f>_xlfn.IFNA(VLOOKUP($A166,Grants!$A:$BE,54,FALSE),0)</f>
        <v>132410.72</v>
      </c>
      <c r="AI166" s="146">
        <f>_xlfn.IFNA(VLOOKUP($A166,Grants!$A:$BE,55,FALSE),0)</f>
        <v>0</v>
      </c>
      <c r="AJ166" s="146">
        <f>_xlfn.IFNA(VLOOKUP($A166,Barclays!$A:$T,18,FALSE),0)</f>
        <v>13694.902825000067</v>
      </c>
      <c r="AK166" s="146">
        <f>_xlfn.IFNA(VLOOKUP($A166,'Summary Mar 2026'!$A:$GS,200,FALSE),0)</f>
        <v>-32542.019999999993</v>
      </c>
      <c r="AL166" s="146">
        <f>_xlfn.IFNA(VLOOKUP($A166,Barclays!$A:$T,19,FALSE),0)</f>
        <v>-140.32999999999998</v>
      </c>
      <c r="AM166" s="146">
        <f>_xlfn.IFNA(VLOOKUP($A166,'Summary Mar 2026'!$A:$GS,201,FALSE),0)</f>
        <v>-24312.75</v>
      </c>
      <c r="AN166" s="146">
        <f>_xlfn.IFNA(VLOOKUP($A166,'Summary Mar 2026'!$A:$GS,199,FALSE),0)</f>
        <v>-21828.959999999999</v>
      </c>
      <c r="AO166" s="146">
        <f>_xlfn.IFNA(VLOOKUP($A166,Grants!$A:$BE,56,FALSE),0)</f>
        <v>13393.75</v>
      </c>
      <c r="AP166" s="65">
        <f t="shared" si="2"/>
        <v>5394481.9313154761</v>
      </c>
    </row>
    <row r="167" spans="1:42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0" t="str">
        <f>VLOOKUP(A167,'Summary Mar 2026'!$A$8:$F$206,6,FALSE)</f>
        <v>Chq Bk</v>
      </c>
      <c r="H167" s="288">
        <f>_xlfn.IFNA(VLOOKUP($A167,ISB!$A:$BY,67,FALSE),0)</f>
        <v>2597770.5484425533</v>
      </c>
      <c r="I167" s="861">
        <f>_xlfn.IFNA(VLOOKUP(A167,'LA Deductions'!A:AN,40,FALSE),0)</f>
        <v>0</v>
      </c>
      <c r="J167" s="221">
        <f>_xlfn.IFNA(VLOOKUP($A167,ISB!$A:$BY,72,FALSE),0)</f>
        <v>-10588.48</v>
      </c>
      <c r="K167" s="289">
        <f>-_xlfn.IFNA(VLOOKUP($A167,ISB!$A:$BY,76,FALSE),0)</f>
        <v>-20919.87</v>
      </c>
      <c r="M167" s="288">
        <f>VLOOKUP($A167,EY!$A:$AAK,132,FALSE)</f>
        <v>169221.2331301939</v>
      </c>
      <c r="N167" s="288">
        <f>VLOOKUP($A167,EY!$A:$AAD,133,FALSE)</f>
        <v>1876</v>
      </c>
      <c r="P167" s="288">
        <f>VLOOKUP($A167,HN!$A:$AM,38,FALSE)</f>
        <v>0</v>
      </c>
      <c r="Q167" s="288">
        <f>VLOOKUP($A167,HN!$A:$AM,39,FALSE)</f>
        <v>0</v>
      </c>
      <c r="S167" s="362">
        <f>_xlfn.IFNA(VLOOKUP(A167,'Post 16'!A:AR,44,FALSE),0)</f>
        <v>0</v>
      </c>
      <c r="U167" s="362">
        <f>VLOOKUP(A167,'LA Deductions'!A:W,23,FALSE)</f>
        <v>-9471</v>
      </c>
      <c r="W167" s="289">
        <f>VLOOKUP($A167,'Summary Mar 2026'!$A:$AAG,189,FALSE)-SUMIFS($H167:$U167,$H$7:$U$7,W$7)</f>
        <v>0</v>
      </c>
      <c r="X167" s="289">
        <f>VLOOKUP($A167,'Summary Mar 2026'!$A:$GL,190,FALSE)-SUMIFS($H167:$U167,$H$7:$U$7,X$7)</f>
        <v>0</v>
      </c>
      <c r="Y167" s="289">
        <f>VLOOKUP($A167,'Summary Mar 2026'!$A:$GL,191,FALSE)-SUMIFS($H167:$U167,$H$7:$U$7,Y$7)</f>
        <v>0</v>
      </c>
      <c r="Z167" s="289">
        <f>VLOOKUP($A167,'Summary Mar 2026'!$A:$GL,192,FALSE)-SUMIFS($H167:$U167,$H$7:$U$7,Z$7)</f>
        <v>0</v>
      </c>
      <c r="AA167" s="289">
        <f>VLOOKUP($A167,'Summary Mar 2026'!$A:$GL,193,FALSE)-SUMIFS($H167:$U167,$H$7:$U$7,AA$7)</f>
        <v>0</v>
      </c>
      <c r="AB167" s="289">
        <f>VLOOKUP($A167,'Summary Mar 2026'!$A:$GL,194,FALSE)-SUMIFS($H167:$U167,$H$7:$U$7,AB$7)</f>
        <v>0</v>
      </c>
      <c r="AD167" s="146">
        <f>_xlfn.IFNA(VLOOKUP($A167,'Summary Mar 2026'!$A:$GS,196,FALSE)+VLOOKUP($A167,OtherDSG!$A:$AI,34,FALSE)+VLOOKUP($A167,Grants!$A:$BE,50,FALSE),0)</f>
        <v>2849298.7815727475</v>
      </c>
      <c r="AE167" s="146">
        <f>_xlfn.IFNA(VLOOKUP($A167,'Summary Mar 2026'!$A:$GS,197,FALSE)+VLOOKUP($A167,Grants!$A:$BE,51,FALSE),0)</f>
        <v>0</v>
      </c>
      <c r="AF167" s="146">
        <f>_xlfn.IFNA(VLOOKUP($A167,'Summary Mar 2026'!$A:$GS,198,FALSE)+VLOOKUP($A167,OtherDSG!$A:$AI,35,FALSE)+VLOOKUP($A167,Grants!$A:$BE,52,FALSE),0)</f>
        <v>183405.65666666668</v>
      </c>
      <c r="AG167" s="146">
        <f>_xlfn.IFNA(VLOOKUP($A167,Grants!$A:$BE,53,FALSE),0)</f>
        <v>356655</v>
      </c>
      <c r="AH167" s="146">
        <f>_xlfn.IFNA(VLOOKUP($A167,Grants!$A:$BE,54,FALSE),0)</f>
        <v>49571</v>
      </c>
      <c r="AI167" s="146">
        <f>_xlfn.IFNA(VLOOKUP($A167,Grants!$A:$BE,55,FALSE),0)</f>
        <v>0</v>
      </c>
      <c r="AJ167" s="146">
        <f>_xlfn.IFNA(VLOOKUP($A167,Barclays!$A:$T,18,FALSE),0)</f>
        <v>22311.547163232779</v>
      </c>
      <c r="AK167" s="146">
        <f>_xlfn.IFNA(VLOOKUP($A167,'Summary Mar 2026'!$A:$GS,200,FALSE),0)</f>
        <v>-20919.869999999995</v>
      </c>
      <c r="AL167" s="146">
        <f>_xlfn.IFNA(VLOOKUP($A167,Barclays!$A:$T,19,FALSE),0)</f>
        <v>-65.409999999999982</v>
      </c>
      <c r="AM167" s="146">
        <f>_xlfn.IFNA(VLOOKUP($A167,'Summary Mar 2026'!$A:$GS,201,FALSE),0)</f>
        <v>-9471</v>
      </c>
      <c r="AN167" s="146">
        <f>_xlfn.IFNA(VLOOKUP($A167,'Summary Mar 2026'!$A:$GS,199,FALSE),0)</f>
        <v>-10588.479999999998</v>
      </c>
      <c r="AO167" s="146">
        <f>_xlfn.IFNA(VLOOKUP($A167,Grants!$A:$BE,56,FALSE),0)</f>
        <v>9172.75</v>
      </c>
      <c r="AP167" s="65">
        <f t="shared" si="2"/>
        <v>3429369.9754026467</v>
      </c>
    </row>
    <row r="168" spans="1:42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0" t="str">
        <f>VLOOKUP(A168,'Summary Mar 2026'!$A$8:$F$206,6,FALSE)</f>
        <v>Chq Bk</v>
      </c>
      <c r="H168" s="288">
        <f>_xlfn.IFNA(VLOOKUP($A168,ISB!$A:$BY,67,FALSE),0)</f>
        <v>2472611.0307589541</v>
      </c>
      <c r="I168" s="861">
        <f>_xlfn.IFNA(VLOOKUP(A168,'LA Deductions'!A:AN,40,FALSE),0)</f>
        <v>0</v>
      </c>
      <c r="J168" s="221">
        <f>_xlfn.IFNA(VLOOKUP($A168,ISB!$A:$BY,72,FALSE),0)</f>
        <v>-11188.32</v>
      </c>
      <c r="K168" s="289">
        <f>-_xlfn.IFNA(VLOOKUP($A168,ISB!$A:$BY,76,FALSE),0)</f>
        <v>-25697.86</v>
      </c>
      <c r="M168" s="288">
        <f>VLOOKUP($A168,EY!$A:$AAK,132,FALSE)</f>
        <v>103467.59810526317</v>
      </c>
      <c r="N168" s="288">
        <f>VLOOKUP($A168,EY!$A:$AAD,133,FALSE)</f>
        <v>0</v>
      </c>
      <c r="P168" s="288">
        <f>VLOOKUP($A168,HN!$A:$AM,38,FALSE)</f>
        <v>0</v>
      </c>
      <c r="Q168" s="288">
        <f>VLOOKUP($A168,HN!$A:$AM,39,FALSE)</f>
        <v>0</v>
      </c>
      <c r="S168" s="362">
        <f>_xlfn.IFNA(VLOOKUP(A168,'Post 16'!A:AR,44,FALSE),0)</f>
        <v>0</v>
      </c>
      <c r="U168" s="362">
        <f>VLOOKUP(A168,'LA Deductions'!A:W,23,FALSE)</f>
        <v>-9471</v>
      </c>
      <c r="W168" s="289">
        <f>VLOOKUP($A168,'Summary Mar 2026'!$A:$AAG,189,FALSE)-SUMIFS($H168:$U168,$H$7:$U$7,W$7)</f>
        <v>0</v>
      </c>
      <c r="X168" s="289">
        <f>VLOOKUP($A168,'Summary Mar 2026'!$A:$GL,190,FALSE)-SUMIFS($H168:$U168,$H$7:$U$7,X$7)</f>
        <v>0</v>
      </c>
      <c r="Y168" s="289">
        <f>VLOOKUP($A168,'Summary Mar 2026'!$A:$GL,191,FALSE)-SUMIFS($H168:$U168,$H$7:$U$7,Y$7)</f>
        <v>0</v>
      </c>
      <c r="Z168" s="289">
        <f>VLOOKUP($A168,'Summary Mar 2026'!$A:$GL,192,FALSE)-SUMIFS($H168:$U168,$H$7:$U$7,Z$7)</f>
        <v>0</v>
      </c>
      <c r="AA168" s="289">
        <f>VLOOKUP($A168,'Summary Mar 2026'!$A:$GL,193,FALSE)-SUMIFS($H168:$U168,$H$7:$U$7,AA$7)</f>
        <v>0</v>
      </c>
      <c r="AB168" s="289">
        <f>VLOOKUP($A168,'Summary Mar 2026'!$A:$GL,194,FALSE)-SUMIFS($H168:$U168,$H$7:$U$7,AB$7)</f>
        <v>0</v>
      </c>
      <c r="AD168" s="146">
        <f>_xlfn.IFNA(VLOOKUP($A168,'Summary Mar 2026'!$A:$GS,196,FALSE)+VLOOKUP($A168,OtherDSG!$A:$AI,34,FALSE)+VLOOKUP($A168,Grants!$A:$BE,50,FALSE),0)</f>
        <v>2656620.6288642175</v>
      </c>
      <c r="AE168" s="146">
        <f>_xlfn.IFNA(VLOOKUP($A168,'Summary Mar 2026'!$A:$GS,197,FALSE)+VLOOKUP($A168,Grants!$A:$BE,51,FALSE),0)</f>
        <v>0</v>
      </c>
      <c r="AF168" s="146">
        <f>_xlfn.IFNA(VLOOKUP($A168,'Summary Mar 2026'!$A:$GS,198,FALSE)+VLOOKUP($A168,OtherDSG!$A:$AI,35,FALSE)+VLOOKUP($A168,Grants!$A:$BE,52,FALSE),0)</f>
        <v>61042.920000000006</v>
      </c>
      <c r="AG168" s="146">
        <f>_xlfn.IFNA(VLOOKUP($A168,Grants!$A:$BE,53,FALSE),0)</f>
        <v>320780</v>
      </c>
      <c r="AH168" s="146">
        <f>_xlfn.IFNA(VLOOKUP($A168,Grants!$A:$BE,54,FALSE),0)</f>
        <v>59494</v>
      </c>
      <c r="AI168" s="146">
        <f>_xlfn.IFNA(VLOOKUP($A168,Grants!$A:$BE,55,FALSE),0)</f>
        <v>0</v>
      </c>
      <c r="AJ168" s="146">
        <f>_xlfn.IFNA(VLOOKUP($A168,Barclays!$A:$T,18,FALSE),0)</f>
        <v>14878.225315000027</v>
      </c>
      <c r="AK168" s="146">
        <f>_xlfn.IFNA(VLOOKUP($A168,'Summary Mar 2026'!$A:$GS,200,FALSE),0)</f>
        <v>-25697.860000000004</v>
      </c>
      <c r="AL168" s="146">
        <f>_xlfn.IFNA(VLOOKUP($A168,Barclays!$A:$T,19,FALSE),0)</f>
        <v>-47.660000000000011</v>
      </c>
      <c r="AM168" s="146">
        <f>_xlfn.IFNA(VLOOKUP($A168,'Summary Mar 2026'!$A:$GS,201,FALSE),0)</f>
        <v>-9471</v>
      </c>
      <c r="AN168" s="146">
        <f>_xlfn.IFNA(VLOOKUP($A168,'Summary Mar 2026'!$A:$GS,199,FALSE),0)</f>
        <v>-11188.320000000002</v>
      </c>
      <c r="AO168" s="146">
        <f>_xlfn.IFNA(VLOOKUP($A168,Grants!$A:$BE,56,FALSE),0)</f>
        <v>9094</v>
      </c>
      <c r="AP168" s="65">
        <f t="shared" si="2"/>
        <v>3075504.9341792176</v>
      </c>
    </row>
    <row r="169" spans="1:42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0" t="str">
        <f>VLOOKUP(A169,'Summary Mar 2026'!$A$8:$F$206,6,FALSE)</f>
        <v>Chq Bk</v>
      </c>
      <c r="H169" s="288">
        <f>_xlfn.IFNA(VLOOKUP($A169,ISB!$A:$BY,67,FALSE),0)</f>
        <v>0</v>
      </c>
      <c r="I169" s="861">
        <f>_xlfn.IFNA(VLOOKUP(A169,'LA Deductions'!A:AN,40,FALSE),0)</f>
        <v>0</v>
      </c>
      <c r="J169" s="221">
        <f>_xlfn.IFNA(VLOOKUP($A169,ISB!$A:$BY,72,FALSE),0)</f>
        <v>0</v>
      </c>
      <c r="K169" s="289">
        <f>-_xlfn.IFNA(VLOOKUP($A169,ISB!$A:$BY,76,FALSE),0)</f>
        <v>0</v>
      </c>
      <c r="M169" s="288">
        <f>VLOOKUP($A169,EY!$A:$AAK,132,FALSE)</f>
        <v>525943.8611483518</v>
      </c>
      <c r="N169" s="288">
        <f>VLOOKUP($A169,EY!$A:$AAD,133,FALSE)</f>
        <v>1162.4963988919667</v>
      </c>
      <c r="P169" s="288">
        <f>VLOOKUP($A169,HN!$A:$AM,38,FALSE)</f>
        <v>0</v>
      </c>
      <c r="Q169" s="288">
        <f>VLOOKUP($A169,HN!$A:$AM,39,FALSE)</f>
        <v>0</v>
      </c>
      <c r="S169" s="362">
        <f>_xlfn.IFNA(VLOOKUP(A169,'Post 16'!A:AR,44,FALSE),0)</f>
        <v>0</v>
      </c>
      <c r="U169" s="362">
        <f>VLOOKUP(A169,'LA Deductions'!A:W,23,FALSE)</f>
        <v>-3291.75</v>
      </c>
      <c r="W169" s="289">
        <f>VLOOKUP($A169,'Summary Mar 2026'!$A:$AAG,189,FALSE)-SUMIFS($H169:$U169,$H$7:$U$7,W$7)</f>
        <v>0</v>
      </c>
      <c r="X169" s="289">
        <f>VLOOKUP($A169,'Summary Mar 2026'!$A:$GL,190,FALSE)-SUMIFS($H169:$U169,$H$7:$U$7,X$7)</f>
        <v>0</v>
      </c>
      <c r="Y169" s="289">
        <f>VLOOKUP($A169,'Summary Mar 2026'!$A:$GL,191,FALSE)-SUMIFS($H169:$U169,$H$7:$U$7,Y$7)</f>
        <v>0</v>
      </c>
      <c r="Z169" s="289">
        <f>VLOOKUP($A169,'Summary Mar 2026'!$A:$GL,192,FALSE)-SUMIFS($H169:$U169,$H$7:$U$7,Z$7)</f>
        <v>0</v>
      </c>
      <c r="AA169" s="289">
        <f>VLOOKUP($A169,'Summary Mar 2026'!$A:$GL,193,FALSE)-SUMIFS($H169:$U169,$H$7:$U$7,AA$7)</f>
        <v>0</v>
      </c>
      <c r="AB169" s="289">
        <f>VLOOKUP($A169,'Summary Mar 2026'!$A:$GL,194,FALSE)-SUMIFS($H169:$U169,$H$7:$U$7,AB$7)</f>
        <v>0</v>
      </c>
      <c r="AD169" s="146">
        <f>_xlfn.IFNA(VLOOKUP($A169,'Summary Mar 2026'!$A:$GS,196,FALSE)+VLOOKUP($A169,OtherDSG!$A:$AI,34,FALSE)+VLOOKUP($A169,Grants!$A:$BE,50,FALSE),0)</f>
        <v>538535.8611483518</v>
      </c>
      <c r="AE169" s="146">
        <f>_xlfn.IFNA(VLOOKUP($A169,'Summary Mar 2026'!$A:$GS,197,FALSE)+VLOOKUP($A169,Grants!$A:$BE,51,FALSE),0)</f>
        <v>0</v>
      </c>
      <c r="AF169" s="146">
        <f>_xlfn.IFNA(VLOOKUP($A169,'Summary Mar 2026'!$A:$GS,198,FALSE)+VLOOKUP($A169,OtherDSG!$A:$AI,35,FALSE)+VLOOKUP($A169,Grants!$A:$BE,52,FALSE),0)</f>
        <v>7662.4963988919662</v>
      </c>
      <c r="AG169" s="146">
        <f>_xlfn.IFNA(VLOOKUP($A169,Grants!$A:$BE,53,FALSE),0)</f>
        <v>0</v>
      </c>
      <c r="AH169" s="146">
        <f>_xlfn.IFNA(VLOOKUP($A169,Grants!$A:$BE,54,FALSE),0)</f>
        <v>3256.93</v>
      </c>
      <c r="AI169" s="146">
        <f>_xlfn.IFNA(VLOOKUP($A169,Grants!$A:$BE,55,FALSE),0)</f>
        <v>0</v>
      </c>
      <c r="AJ169" s="146">
        <f>_xlfn.IFNA(VLOOKUP($A169,Barclays!$A:$T,18,FALSE),0)</f>
        <v>168.87</v>
      </c>
      <c r="AK169" s="146">
        <f>_xlfn.IFNA(VLOOKUP($A169,'Summary Mar 2026'!$A:$GS,200,FALSE),0)</f>
        <v>0</v>
      </c>
      <c r="AL169" s="146">
        <f>_xlfn.IFNA(VLOOKUP($A169,Barclays!$A:$T,19,FALSE),0)</f>
        <v>-163.02999999999997</v>
      </c>
      <c r="AM169" s="146">
        <f>_xlfn.IFNA(VLOOKUP($A169,'Summary Mar 2026'!$A:$GS,201,FALSE),0)</f>
        <v>-3291.75</v>
      </c>
      <c r="AN169" s="146">
        <f>_xlfn.IFNA(VLOOKUP($A169,'Summary Mar 2026'!$A:$GS,199,FALSE),0)</f>
        <v>0</v>
      </c>
      <c r="AO169" s="146">
        <f>_xlfn.IFNA(VLOOKUP($A169,Grants!$A:$BE,56,FALSE),0)</f>
        <v>4573.75</v>
      </c>
      <c r="AP169" s="65">
        <f t="shared" si="2"/>
        <v>550743.12754724384</v>
      </c>
    </row>
    <row r="170" spans="1:42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0" t="str">
        <f>VLOOKUP(A170,'Summary Mar 2026'!$A$8:$F$206,6,FALSE)</f>
        <v>Chq Bk</v>
      </c>
      <c r="H170" s="288">
        <f>_xlfn.IFNA(VLOOKUP($A170,ISB!$A:$BY,67,FALSE),0)</f>
        <v>2068569.81</v>
      </c>
      <c r="I170" s="861">
        <f>_xlfn.IFNA(VLOOKUP(A170,'LA Deductions'!A:AN,40,FALSE),0)</f>
        <v>0</v>
      </c>
      <c r="J170" s="221">
        <f>_xlfn.IFNA(VLOOKUP($A170,ISB!$A:$BY,72,FALSE),0)</f>
        <v>-10718.88</v>
      </c>
      <c r="K170" s="289">
        <f>-_xlfn.IFNA(VLOOKUP($A170,ISB!$A:$BY,76,FALSE),0)</f>
        <v>-32064.81</v>
      </c>
      <c r="M170" s="288">
        <f>VLOOKUP($A170,EY!$A:$AAK,132,FALSE)</f>
        <v>0</v>
      </c>
      <c r="N170" s="288">
        <f>VLOOKUP($A170,EY!$A:$AAD,133,FALSE)</f>
        <v>0</v>
      </c>
      <c r="P170" s="288">
        <f>VLOOKUP($A170,HN!$A:$AM,38,FALSE)</f>
        <v>0</v>
      </c>
      <c r="Q170" s="288">
        <f>VLOOKUP($A170,HN!$A:$AM,39,FALSE)</f>
        <v>0</v>
      </c>
      <c r="S170" s="362">
        <f>_xlfn.IFNA(VLOOKUP(A170,'Post 16'!A:AR,44,FALSE),0)</f>
        <v>0</v>
      </c>
      <c r="U170" s="362">
        <f>VLOOKUP(A170,'LA Deductions'!A:W,23,FALSE)</f>
        <v>-11097</v>
      </c>
      <c r="W170" s="289">
        <f>VLOOKUP($A170,'Summary Mar 2026'!$A:$AAG,189,FALSE)-SUMIFS($H170:$U170,$H$7:$U$7,W$7)</f>
        <v>0</v>
      </c>
      <c r="X170" s="289">
        <f>VLOOKUP($A170,'Summary Mar 2026'!$A:$GL,190,FALSE)-SUMIFS($H170:$U170,$H$7:$U$7,X$7)</f>
        <v>0</v>
      </c>
      <c r="Y170" s="289">
        <f>VLOOKUP($A170,'Summary Mar 2026'!$A:$GL,191,FALSE)-SUMIFS($H170:$U170,$H$7:$U$7,Y$7)</f>
        <v>0</v>
      </c>
      <c r="Z170" s="289">
        <f>VLOOKUP($A170,'Summary Mar 2026'!$A:$GL,192,FALSE)-SUMIFS($H170:$U170,$H$7:$U$7,Z$7)</f>
        <v>0</v>
      </c>
      <c r="AA170" s="289">
        <f>VLOOKUP($A170,'Summary Mar 2026'!$A:$GL,193,FALSE)-SUMIFS($H170:$U170,$H$7:$U$7,AA$7)</f>
        <v>0</v>
      </c>
      <c r="AB170" s="289">
        <f>VLOOKUP($A170,'Summary Mar 2026'!$A:$GL,194,FALSE)-SUMIFS($H170:$U170,$H$7:$U$7,AB$7)</f>
        <v>0</v>
      </c>
      <c r="AD170" s="146">
        <f>_xlfn.IFNA(VLOOKUP($A170,'Summary Mar 2026'!$A:$GS,196,FALSE)+VLOOKUP($A170,OtherDSG!$A:$AI,34,FALSE)+VLOOKUP($A170,Grants!$A:$BE,50,FALSE),0)</f>
        <v>2123676.8099999996</v>
      </c>
      <c r="AE170" s="146">
        <f>_xlfn.IFNA(VLOOKUP($A170,'Summary Mar 2026'!$A:$GS,197,FALSE)+VLOOKUP($A170,Grants!$A:$BE,51,FALSE),0)</f>
        <v>0</v>
      </c>
      <c r="AF170" s="146">
        <f>_xlfn.IFNA(VLOOKUP($A170,'Summary Mar 2026'!$A:$GS,198,FALSE)+VLOOKUP($A170,OtherDSG!$A:$AI,35,FALSE)+VLOOKUP($A170,Grants!$A:$BE,52,FALSE),0)</f>
        <v>85254.536666666667</v>
      </c>
      <c r="AG170" s="146">
        <f>_xlfn.IFNA(VLOOKUP($A170,Grants!$A:$BE,53,FALSE),0)</f>
        <v>55255</v>
      </c>
      <c r="AH170" s="146">
        <f>_xlfn.IFNA(VLOOKUP($A170,Grants!$A:$BE,54,FALSE),0)</f>
        <v>87185</v>
      </c>
      <c r="AI170" s="146">
        <f>_xlfn.IFNA(VLOOKUP($A170,Grants!$A:$BE,55,FALSE),0)</f>
        <v>0</v>
      </c>
      <c r="AJ170" s="146">
        <f>_xlfn.IFNA(VLOOKUP($A170,Barclays!$A:$T,18,FALSE),0)</f>
        <v>5194.43</v>
      </c>
      <c r="AK170" s="146">
        <f>_xlfn.IFNA(VLOOKUP($A170,'Summary Mar 2026'!$A:$GS,200,FALSE),0)</f>
        <v>-32064.810000000009</v>
      </c>
      <c r="AL170" s="146">
        <f>_xlfn.IFNA(VLOOKUP($A170,Barclays!$A:$T,19,FALSE),0)</f>
        <v>-96.909999999999968</v>
      </c>
      <c r="AM170" s="146">
        <f>_xlfn.IFNA(VLOOKUP($A170,'Summary Mar 2026'!$A:$GS,201,FALSE),0)</f>
        <v>-11097</v>
      </c>
      <c r="AN170" s="146">
        <f>_xlfn.IFNA(VLOOKUP($A170,'Summary Mar 2026'!$A:$GS,199,FALSE),0)</f>
        <v>-10718.88</v>
      </c>
      <c r="AO170" s="146">
        <f>_xlfn.IFNA(VLOOKUP($A170,Grants!$A:$BE,56,FALSE),0)</f>
        <v>8691.25</v>
      </c>
      <c r="AP170" s="65">
        <f t="shared" si="2"/>
        <v>2311279.4266666663</v>
      </c>
    </row>
    <row r="171" spans="1:42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0" t="str">
        <f>VLOOKUP(A171,'Summary Mar 2026'!$A$8:$F$206,6,FALSE)</f>
        <v>Chq Bk</v>
      </c>
      <c r="H171" s="288">
        <f>_xlfn.IFNA(VLOOKUP($A171,ISB!$A:$BY,67,FALSE),0)</f>
        <v>1463753.4769655175</v>
      </c>
      <c r="I171" s="861">
        <f>_xlfn.IFNA(VLOOKUP(A171,'LA Deductions'!A:AN,40,FALSE),0)</f>
        <v>0</v>
      </c>
      <c r="J171" s="221">
        <f>_xlfn.IFNA(VLOOKUP($A171,ISB!$A:$BY,72,FALSE),0)</f>
        <v>-5737.5999999999995</v>
      </c>
      <c r="K171" s="289">
        <f>-_xlfn.IFNA(VLOOKUP($A171,ISB!$A:$BY,76,FALSE),0)</f>
        <v>-31534.81</v>
      </c>
      <c r="M171" s="288">
        <f>VLOOKUP($A171,EY!$A:$AAK,132,FALSE)</f>
        <v>74107.72105263159</v>
      </c>
      <c r="N171" s="288">
        <f>VLOOKUP($A171,EY!$A:$AAD,133,FALSE)</f>
        <v>0</v>
      </c>
      <c r="P171" s="288">
        <f>VLOOKUP($A171,HN!$A:$AM,38,FALSE)</f>
        <v>0</v>
      </c>
      <c r="Q171" s="288">
        <f>VLOOKUP($A171,HN!$A:$AM,39,FALSE)</f>
        <v>0</v>
      </c>
      <c r="S171" s="362">
        <f>_xlfn.IFNA(VLOOKUP(A171,'Post 16'!A:AR,44,FALSE),0)</f>
        <v>0</v>
      </c>
      <c r="U171" s="362">
        <f>VLOOKUP(A171,'LA Deductions'!A:W,23,FALSE)</f>
        <v>-5139.75</v>
      </c>
      <c r="W171" s="289">
        <f>VLOOKUP($A171,'Summary Mar 2026'!$A:$AAG,189,FALSE)-SUMIFS($H171:$U171,$H$7:$U$7,W$7)</f>
        <v>0</v>
      </c>
      <c r="X171" s="289">
        <f>VLOOKUP($A171,'Summary Mar 2026'!$A:$GL,190,FALSE)-SUMIFS($H171:$U171,$H$7:$U$7,X$7)</f>
        <v>0</v>
      </c>
      <c r="Y171" s="289">
        <f>VLOOKUP($A171,'Summary Mar 2026'!$A:$GL,191,FALSE)-SUMIFS($H171:$U171,$H$7:$U$7,Y$7)</f>
        <v>0</v>
      </c>
      <c r="Z171" s="289">
        <f>VLOOKUP($A171,'Summary Mar 2026'!$A:$GL,192,FALSE)-SUMIFS($H171:$U171,$H$7:$U$7,Z$7)</f>
        <v>0</v>
      </c>
      <c r="AA171" s="289">
        <f>VLOOKUP($A171,'Summary Mar 2026'!$A:$GL,193,FALSE)-SUMIFS($H171:$U171,$H$7:$U$7,AA$7)</f>
        <v>0</v>
      </c>
      <c r="AB171" s="289">
        <f>VLOOKUP($A171,'Summary Mar 2026'!$A:$GL,194,FALSE)-SUMIFS($H171:$U171,$H$7:$U$7,AB$7)</f>
        <v>0</v>
      </c>
      <c r="AD171" s="146">
        <f>_xlfn.IFNA(VLOOKUP($A171,'Summary Mar 2026'!$A:$GS,196,FALSE)+VLOOKUP($A171,OtherDSG!$A:$AI,34,FALSE)+VLOOKUP($A171,Grants!$A:$BE,50,FALSE),0)</f>
        <v>1581906.1980181492</v>
      </c>
      <c r="AE171" s="146">
        <f>_xlfn.IFNA(VLOOKUP($A171,'Summary Mar 2026'!$A:$GS,197,FALSE)+VLOOKUP($A171,Grants!$A:$BE,51,FALSE),0)</f>
        <v>0</v>
      </c>
      <c r="AF171" s="146">
        <f>_xlfn.IFNA(VLOOKUP($A171,'Summary Mar 2026'!$A:$GS,198,FALSE)+VLOOKUP($A171,OtherDSG!$A:$AI,35,FALSE)+VLOOKUP($A171,Grants!$A:$BE,52,FALSE),0)</f>
        <v>66088.796666666662</v>
      </c>
      <c r="AG171" s="146">
        <f>_xlfn.IFNA(VLOOKUP($A171,Grants!$A:$BE,53,FALSE),0)</f>
        <v>181800</v>
      </c>
      <c r="AH171" s="146">
        <f>_xlfn.IFNA(VLOOKUP($A171,Grants!$A:$BE,54,FALSE),0)</f>
        <v>49365.57</v>
      </c>
      <c r="AI171" s="146">
        <f>_xlfn.IFNA(VLOOKUP($A171,Grants!$A:$BE,55,FALSE),0)</f>
        <v>0</v>
      </c>
      <c r="AJ171" s="146">
        <f>_xlfn.IFNA(VLOOKUP($A171,Barclays!$A:$T,18,FALSE),0)</f>
        <v>637.57000000000005</v>
      </c>
      <c r="AK171" s="146">
        <f>_xlfn.IFNA(VLOOKUP($A171,'Summary Mar 2026'!$A:$GS,200,FALSE),0)</f>
        <v>-31534.81</v>
      </c>
      <c r="AL171" s="146">
        <f>_xlfn.IFNA(VLOOKUP($A171,Barclays!$A:$T,19,FALSE),0)</f>
        <v>-139</v>
      </c>
      <c r="AM171" s="146">
        <f>_xlfn.IFNA(VLOOKUP($A171,'Summary Mar 2026'!$A:$GS,201,FALSE),0)</f>
        <v>-5139.75</v>
      </c>
      <c r="AN171" s="146">
        <f>_xlfn.IFNA(VLOOKUP($A171,'Summary Mar 2026'!$A:$GS,199,FALSE),0)</f>
        <v>-5737.5999999999995</v>
      </c>
      <c r="AO171" s="146">
        <f>_xlfn.IFNA(VLOOKUP($A171,Grants!$A:$BE,56,FALSE),0)</f>
        <v>6724.75</v>
      </c>
      <c r="AP171" s="65">
        <f t="shared" si="2"/>
        <v>1843971.7246848159</v>
      </c>
    </row>
    <row r="172" spans="1:42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0" t="str">
        <f>VLOOKUP(A172,'Summary Mar 2026'!$A$8:$F$206,6,FALSE)</f>
        <v>Chq Bk</v>
      </c>
      <c r="H172" s="288">
        <f>_xlfn.IFNA(VLOOKUP($A172,ISB!$A:$BY,67,FALSE),0)</f>
        <v>0</v>
      </c>
      <c r="I172" s="861">
        <f>_xlfn.IFNA(VLOOKUP(A172,'LA Deductions'!A:AN,40,FALSE),0)</f>
        <v>0</v>
      </c>
      <c r="J172" s="221">
        <f>_xlfn.IFNA(VLOOKUP($A172,ISB!$A:$BY,72,FALSE),0)</f>
        <v>0</v>
      </c>
      <c r="K172" s="289">
        <f>-_xlfn.IFNA(VLOOKUP($A172,ISB!$A:$BY,76,FALSE),0)</f>
        <v>0</v>
      </c>
      <c r="M172" s="288">
        <f>VLOOKUP($A172,EY!$A:$AAK,132,FALSE)</f>
        <v>0</v>
      </c>
      <c r="N172" s="288">
        <f>VLOOKUP($A172,EY!$A:$AAD,133,FALSE)</f>
        <v>0</v>
      </c>
      <c r="P172" s="288">
        <f>VLOOKUP($A172,HN!$A:$AM,38,FALSE)</f>
        <v>1381875</v>
      </c>
      <c r="Q172" s="288">
        <f>VLOOKUP($A172,HN!$A:$AM,39,FALSE)</f>
        <v>1873972.5879740799</v>
      </c>
      <c r="S172" s="362">
        <f>_xlfn.IFNA(VLOOKUP(A172,'Post 16'!A:AR,44,FALSE),0)</f>
        <v>0</v>
      </c>
      <c r="U172" s="362">
        <f>VLOOKUP(A172,'LA Deductions'!A:W,23,FALSE)</f>
        <v>-3375</v>
      </c>
      <c r="W172" s="289">
        <f>VLOOKUP($A172,'Summary Mar 2026'!$A:$AAG,189,FALSE)-SUMIFS($H172:$U172,$H$7:$U$7,W$7)</f>
        <v>0</v>
      </c>
      <c r="X172" s="289">
        <f>VLOOKUP($A172,'Summary Mar 2026'!$A:$GL,190,FALSE)-SUMIFS($H172:$U172,$H$7:$U$7,X$7)</f>
        <v>0</v>
      </c>
      <c r="Y172" s="289">
        <f>VLOOKUP($A172,'Summary Mar 2026'!$A:$GL,191,FALSE)-SUMIFS($H172:$U172,$H$7:$U$7,Y$7)</f>
        <v>0</v>
      </c>
      <c r="Z172" s="289">
        <f>VLOOKUP($A172,'Summary Mar 2026'!$A:$GL,192,FALSE)-SUMIFS($H172:$U172,$H$7:$U$7,Z$7)</f>
        <v>0</v>
      </c>
      <c r="AA172" s="289">
        <f>VLOOKUP($A172,'Summary Mar 2026'!$A:$GL,193,FALSE)-SUMIFS($H172:$U172,$H$7:$U$7,AA$7)</f>
        <v>0</v>
      </c>
      <c r="AB172" s="289">
        <f>VLOOKUP($A172,'Summary Mar 2026'!$A:$GL,194,FALSE)-SUMIFS($H172:$U172,$H$7:$U$7,AB$7)</f>
        <v>0</v>
      </c>
      <c r="AD172" s="146">
        <f>_xlfn.IFNA(VLOOKUP($A172,'Summary Mar 2026'!$A:$GS,196,FALSE)+VLOOKUP($A172,OtherDSG!$A:$AI,34,FALSE)+VLOOKUP($A172,Grants!$A:$BE,50,FALSE),0)</f>
        <v>1376632.2884782609</v>
      </c>
      <c r="AE172" s="146">
        <f>_xlfn.IFNA(VLOOKUP($A172,'Summary Mar 2026'!$A:$GS,197,FALSE)+VLOOKUP($A172,Grants!$A:$BE,51,FALSE),0)</f>
        <v>0</v>
      </c>
      <c r="AF172" s="146">
        <f>_xlfn.IFNA(VLOOKUP($A172,'Summary Mar 2026'!$A:$GS,198,FALSE)+VLOOKUP($A172,OtherDSG!$A:$AI,35,FALSE)+VLOOKUP($A172,Grants!$A:$BE,52,FALSE),0)</f>
        <v>2298655.8765342683</v>
      </c>
      <c r="AG172" s="146">
        <f>_xlfn.IFNA(VLOOKUP($A172,Grants!$A:$BE,53,FALSE),0)</f>
        <v>104535</v>
      </c>
      <c r="AH172" s="146">
        <f>_xlfn.IFNA(VLOOKUP($A172,Grants!$A:$BE,54,FALSE),0)</f>
        <v>90374.3</v>
      </c>
      <c r="AI172" s="146">
        <f>_xlfn.IFNA(VLOOKUP($A172,Grants!$A:$BE,55,FALSE),0)</f>
        <v>0</v>
      </c>
      <c r="AJ172" s="146">
        <f>_xlfn.IFNA(VLOOKUP($A172,Barclays!$A:$T,18,FALSE),0)</f>
        <v>11063.74</v>
      </c>
      <c r="AK172" s="146">
        <f>_xlfn.IFNA(VLOOKUP($A172,'Summary Mar 2026'!$A:$GS,200,FALSE),0)</f>
        <v>0</v>
      </c>
      <c r="AL172" s="146">
        <f>_xlfn.IFNA(VLOOKUP($A172,Barclays!$A:$T,19,FALSE),0)</f>
        <v>-73.109999999999985</v>
      </c>
      <c r="AM172" s="146">
        <f>_xlfn.IFNA(VLOOKUP($A172,'Summary Mar 2026'!$A:$GS,201,FALSE),0)</f>
        <v>-3375</v>
      </c>
      <c r="AN172" s="146">
        <f>_xlfn.IFNA(VLOOKUP($A172,'Summary Mar 2026'!$A:$GS,199,FALSE),0)</f>
        <v>0</v>
      </c>
      <c r="AO172" s="146">
        <f>_xlfn.IFNA(VLOOKUP($A172,Grants!$A:$BE,56,FALSE),0)</f>
        <v>9214.3799999999992</v>
      </c>
      <c r="AP172" s="65">
        <f t="shared" si="2"/>
        <v>3887027.4750125292</v>
      </c>
    </row>
    <row r="173" spans="1:42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0" t="str">
        <f>VLOOKUP(A173,'Summary Mar 2026'!$A$8:$F$206,6,FALSE)</f>
        <v>Academy</v>
      </c>
      <c r="H173" s="288">
        <f>_xlfn.IFNA(VLOOKUP($A173,ISB!$A:$BY,67,FALSE),0)-645209.24</f>
        <v>468962.04396231892</v>
      </c>
      <c r="I173" s="861">
        <f>_xlfn.IFNA(VLOOKUP(A173,'LA Deductions'!A:AN,40,FALSE),0)</f>
        <v>0</v>
      </c>
      <c r="J173" s="221">
        <f>_xlfn.IFNA(VLOOKUP($A173,ISB!$A:$BY,72,FALSE),0)+3133.94666666667</f>
        <v>-2238.5333333333297</v>
      </c>
      <c r="K173" s="289">
        <f>-_xlfn.IFNA(VLOOKUP($A173,ISB!$A:$BY,76,FALSE),0)</f>
        <v>-3338.98</v>
      </c>
      <c r="M173" s="288">
        <f>VLOOKUP($A173,EY!$A:$AAK,132,FALSE)</f>
        <v>0</v>
      </c>
      <c r="N173" s="288">
        <f>VLOOKUP($A173,EY!$A:$AAD,133,FALSE)</f>
        <v>0</v>
      </c>
      <c r="P173" s="288">
        <f>VLOOKUP($A173,HN!$A:$AM,38,FALSE)</f>
        <v>0</v>
      </c>
      <c r="Q173" s="288">
        <f>VLOOKUP($A173,HN!$A:$AM,39,FALSE)</f>
        <v>0</v>
      </c>
      <c r="S173" s="362">
        <f>_xlfn.IFNA(VLOOKUP(A173,'Post 16'!A:AR,44,FALSE),0)</f>
        <v>0</v>
      </c>
      <c r="U173" s="362">
        <f>VLOOKUP(A173,'LA Deductions'!A:W,23,FALSE)</f>
        <v>0</v>
      </c>
      <c r="W173" s="289">
        <f>VLOOKUP($A173,'Summary Mar 2026'!$A:$AAG,189,FALSE)-SUMIFS($H173:$U173,$H$7:$U$7,W$7)</f>
        <v>0</v>
      </c>
      <c r="X173" s="289">
        <f>VLOOKUP($A173,'Summary Mar 2026'!$A:$GL,190,FALSE)-SUMIFS($H173:$U173,$H$7:$U$7,X$7)</f>
        <v>0</v>
      </c>
      <c r="Y173" s="289">
        <f>VLOOKUP($A173,'Summary Mar 2026'!$A:$GL,191,FALSE)-SUMIFS($H173:$U173,$H$7:$U$7,Y$7)</f>
        <v>0</v>
      </c>
      <c r="Z173" s="289">
        <f>VLOOKUP($A173,'Summary Mar 2026'!$A:$GL,192,FALSE)-SUMIFS($H173:$U173,$H$7:$U$7,Z$7)</f>
        <v>0</v>
      </c>
      <c r="AA173" s="289">
        <f>VLOOKUP($A173,'Summary Mar 2026'!$A:$GL,193,FALSE)-SUMIFS($H173:$U173,$H$7:$U$7,AA$7)</f>
        <v>0</v>
      </c>
      <c r="AB173" s="289">
        <f>VLOOKUP($A173,'Summary Mar 2026'!$A:$GL,194,FALSE)-SUMIFS($H173:$U173,$H$7:$U$7,AB$7)</f>
        <v>0</v>
      </c>
      <c r="AD173" s="146">
        <f>_xlfn.IFNA(VLOOKUP($A173,'Summary Mar 2026'!$A:$GS,196,FALSE)+VLOOKUP($A173,OtherDSG!$A:$AI,34,FALSE)+VLOOKUP($A173,Grants!$A:$BE,50,FALSE),0)</f>
        <v>468962.04396231892</v>
      </c>
      <c r="AE173" s="146">
        <f>_xlfn.IFNA(VLOOKUP($A173,'Summary Mar 2026'!$A:$GS,197,FALSE)+VLOOKUP($A173,Grants!$A:$BE,51,FALSE),0)</f>
        <v>0</v>
      </c>
      <c r="AF173" s="146">
        <f>_xlfn.IFNA(VLOOKUP($A173,'Summary Mar 2026'!$A:$GS,198,FALSE)+VLOOKUP($A173,OtherDSG!$A:$AI,35,FALSE)+VLOOKUP($A173,Grants!$A:$BE,52,FALSE),0)</f>
        <v>36555.593333333338</v>
      </c>
      <c r="AG173" s="146">
        <f>_xlfn.IFNA(VLOOKUP($A173,Grants!$A:$BE,53,FALSE),0)</f>
        <v>33587.5</v>
      </c>
      <c r="AH173" s="146">
        <f>_xlfn.IFNA(VLOOKUP($A173,Grants!$A:$BE,54,FALSE),0)</f>
        <v>40235</v>
      </c>
      <c r="AI173" s="146">
        <f>_xlfn.IFNA(VLOOKUP($A173,Grants!$A:$BE,55,FALSE),0)</f>
        <v>0</v>
      </c>
      <c r="AJ173" s="146">
        <f>_xlfn.IFNA(VLOOKUP($A173,Barclays!$A:$T,18,FALSE),0)</f>
        <v>0</v>
      </c>
      <c r="AK173" s="146">
        <f>_xlfn.IFNA(VLOOKUP($A173,'Summary Mar 2026'!$A:$GS,200,FALSE),0)</f>
        <v>-3338.9799999999996</v>
      </c>
      <c r="AL173" s="146">
        <f>_xlfn.IFNA(VLOOKUP($A173,Barclays!$A:$T,19,FALSE),0)</f>
        <v>0</v>
      </c>
      <c r="AM173" s="146">
        <f>_xlfn.IFNA(VLOOKUP($A173,'Summary Mar 2026'!$A:$GS,201,FALSE),0)</f>
        <v>0</v>
      </c>
      <c r="AN173" s="146">
        <f>_xlfn.IFNA(VLOOKUP($A173,'Summary Mar 2026'!$A:$GS,199,FALSE),0)</f>
        <v>-2238.5333333333297</v>
      </c>
      <c r="AO173" s="146">
        <f>_xlfn.IFNA(VLOOKUP($A173,Grants!$A:$BE,56,FALSE),0)</f>
        <v>0</v>
      </c>
      <c r="AP173" s="65">
        <f t="shared" si="2"/>
        <v>573762.62396231887</v>
      </c>
    </row>
    <row r="174" spans="1:42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0" t="str">
        <f>VLOOKUP(A174,'Summary Mar 2026'!$A$8:$F$206,6,FALSE)</f>
        <v>Chq Bk</v>
      </c>
      <c r="H174" s="288">
        <f>_xlfn.IFNA(VLOOKUP($A174,ISB!$A:$BY,67,FALSE),0)</f>
        <v>0</v>
      </c>
      <c r="I174" s="861">
        <f>_xlfn.IFNA(VLOOKUP(A174,'LA Deductions'!A:AN,40,FALSE),0)</f>
        <v>0</v>
      </c>
      <c r="J174" s="221">
        <f>_xlfn.IFNA(VLOOKUP($A174,ISB!$A:$BY,72,FALSE),0)</f>
        <v>0</v>
      </c>
      <c r="K174" s="289">
        <f>-_xlfn.IFNA(VLOOKUP($A174,ISB!$A:$BY,76,FALSE),0)</f>
        <v>0</v>
      </c>
      <c r="M174" s="288">
        <f>VLOOKUP($A174,EY!$A:$AAK,132,FALSE)</f>
        <v>715261.62367411307</v>
      </c>
      <c r="N174" s="288">
        <f>VLOOKUP($A174,EY!$A:$AAD,133,FALSE)</f>
        <v>2025.6642659279778</v>
      </c>
      <c r="P174" s="288">
        <f>VLOOKUP($A174,HN!$A:$AM,38,FALSE)</f>
        <v>0</v>
      </c>
      <c r="Q174" s="288">
        <f>VLOOKUP($A174,HN!$A:$AM,39,FALSE)</f>
        <v>0</v>
      </c>
      <c r="S174" s="362">
        <f>_xlfn.IFNA(VLOOKUP(A174,'Post 16'!A:AR,44,FALSE),0)</f>
        <v>0</v>
      </c>
      <c r="U174" s="362">
        <f>VLOOKUP(A174,'LA Deductions'!A:W,23,FALSE)</f>
        <v>-3291.75</v>
      </c>
      <c r="W174" s="289">
        <f>VLOOKUP($A174,'Summary Mar 2026'!$A:$AAG,189,FALSE)-SUMIFS($H174:$U174,$H$7:$U$7,W$7)</f>
        <v>0</v>
      </c>
      <c r="X174" s="289">
        <f>VLOOKUP($A174,'Summary Mar 2026'!$A:$GL,190,FALSE)-SUMIFS($H174:$U174,$H$7:$U$7,X$7)</f>
        <v>0</v>
      </c>
      <c r="Y174" s="289">
        <f>VLOOKUP($A174,'Summary Mar 2026'!$A:$GL,191,FALSE)-SUMIFS($H174:$U174,$H$7:$U$7,Y$7)</f>
        <v>0</v>
      </c>
      <c r="Z174" s="289">
        <f>VLOOKUP($A174,'Summary Mar 2026'!$A:$GL,192,FALSE)-SUMIFS($H174:$U174,$H$7:$U$7,Z$7)</f>
        <v>0</v>
      </c>
      <c r="AA174" s="289">
        <f>VLOOKUP($A174,'Summary Mar 2026'!$A:$GL,193,FALSE)-SUMIFS($H174:$U174,$H$7:$U$7,AA$7)</f>
        <v>0</v>
      </c>
      <c r="AB174" s="289">
        <f>VLOOKUP($A174,'Summary Mar 2026'!$A:$GL,194,FALSE)-SUMIFS($H174:$U174,$H$7:$U$7,AB$7)</f>
        <v>0</v>
      </c>
      <c r="AD174" s="146">
        <f>_xlfn.IFNA(VLOOKUP($A174,'Summary Mar 2026'!$A:$GS,196,FALSE)+VLOOKUP($A174,OtherDSG!$A:$AI,34,FALSE)+VLOOKUP($A174,Grants!$A:$BE,50,FALSE),0)</f>
        <v>734404.62367411307</v>
      </c>
      <c r="AE174" s="146">
        <f>_xlfn.IFNA(VLOOKUP($A174,'Summary Mar 2026'!$A:$GS,197,FALSE)+VLOOKUP($A174,Grants!$A:$BE,51,FALSE),0)</f>
        <v>0</v>
      </c>
      <c r="AF174" s="146">
        <f>_xlfn.IFNA(VLOOKUP($A174,'Summary Mar 2026'!$A:$GS,198,FALSE)+VLOOKUP($A174,OtherDSG!$A:$AI,35,FALSE)+VLOOKUP($A174,Grants!$A:$BE,52,FALSE),0)</f>
        <v>4580.2242659279782</v>
      </c>
      <c r="AG174" s="146">
        <f>_xlfn.IFNA(VLOOKUP($A174,Grants!$A:$BE,53,FALSE),0)</f>
        <v>0</v>
      </c>
      <c r="AH174" s="146">
        <f>_xlfn.IFNA(VLOOKUP($A174,Grants!$A:$BE,54,FALSE),0)</f>
        <v>876</v>
      </c>
      <c r="AI174" s="146">
        <f>_xlfn.IFNA(VLOOKUP($A174,Grants!$A:$BE,55,FALSE),0)</f>
        <v>0</v>
      </c>
      <c r="AJ174" s="146">
        <f>_xlfn.IFNA(VLOOKUP($A174,Barclays!$A:$T,18,FALSE),0)</f>
        <v>544.3900000000001</v>
      </c>
      <c r="AK174" s="146">
        <f>_xlfn.IFNA(VLOOKUP($A174,'Summary Mar 2026'!$A:$GS,200,FALSE),0)</f>
        <v>0</v>
      </c>
      <c r="AL174" s="146">
        <f>_xlfn.IFNA(VLOOKUP($A174,Barclays!$A:$T,19,FALSE),0)</f>
        <v>-74.95</v>
      </c>
      <c r="AM174" s="146">
        <f>_xlfn.IFNA(VLOOKUP($A174,'Summary Mar 2026'!$A:$GS,201,FALSE),0)</f>
        <v>-3291.75</v>
      </c>
      <c r="AN174" s="146">
        <f>_xlfn.IFNA(VLOOKUP($A174,'Summary Mar 2026'!$A:$GS,199,FALSE),0)</f>
        <v>0</v>
      </c>
      <c r="AO174" s="146">
        <f>_xlfn.IFNA(VLOOKUP($A174,Grants!$A:$BE,56,FALSE),0)</f>
        <v>5026</v>
      </c>
      <c r="AP174" s="65">
        <f t="shared" si="2"/>
        <v>742064.53794004116</v>
      </c>
    </row>
    <row r="175" spans="1:42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0" t="str">
        <f>VLOOKUP(A175,'Summary Mar 2026'!$A$8:$F$206,6,FALSE)</f>
        <v>Chq Bk</v>
      </c>
      <c r="H175" s="288">
        <f>_xlfn.IFNA(VLOOKUP($A175,ISB!$A:$BY,67,FALSE),0)</f>
        <v>1401533.544717588</v>
      </c>
      <c r="I175" s="861">
        <f>_xlfn.IFNA(VLOOKUP(A175,'LA Deductions'!A:AN,40,FALSE),0)</f>
        <v>0</v>
      </c>
      <c r="J175" s="221">
        <f>_xlfn.IFNA(VLOOKUP($A175,ISB!$A:$BY,72,FALSE),0)</f>
        <v>-5320.32</v>
      </c>
      <c r="K175" s="289">
        <f>-_xlfn.IFNA(VLOOKUP($A175,ISB!$A:$BY,76,FALSE),0)</f>
        <v>-24535.64</v>
      </c>
      <c r="M175" s="288">
        <f>VLOOKUP($A175,EY!$A:$AAK,132,FALSE)</f>
        <v>0</v>
      </c>
      <c r="N175" s="288">
        <f>VLOOKUP($A175,EY!$A:$AAD,133,FALSE)</f>
        <v>0</v>
      </c>
      <c r="P175" s="288">
        <f>VLOOKUP($A175,HN!$A:$AM,38,FALSE)</f>
        <v>0</v>
      </c>
      <c r="Q175" s="288">
        <f>VLOOKUP($A175,HN!$A:$AM,39,FALSE)</f>
        <v>0</v>
      </c>
      <c r="S175" s="362">
        <f>_xlfn.IFNA(VLOOKUP(A175,'Post 16'!A:AR,44,FALSE),0)</f>
        <v>0</v>
      </c>
      <c r="U175" s="362">
        <f>VLOOKUP(A175,'LA Deductions'!A:W,23,FALSE)</f>
        <v>-5139.75</v>
      </c>
      <c r="W175" s="289">
        <f>VLOOKUP($A175,'Summary Mar 2026'!$A:$AAG,189,FALSE)-SUMIFS($H175:$U175,$H$7:$U$7,W$7)</f>
        <v>0</v>
      </c>
      <c r="X175" s="289">
        <f>VLOOKUP($A175,'Summary Mar 2026'!$A:$GL,190,FALSE)-SUMIFS($H175:$U175,$H$7:$U$7,X$7)</f>
        <v>0</v>
      </c>
      <c r="Y175" s="289">
        <f>VLOOKUP($A175,'Summary Mar 2026'!$A:$GL,191,FALSE)-SUMIFS($H175:$U175,$H$7:$U$7,Y$7)</f>
        <v>0</v>
      </c>
      <c r="Z175" s="289">
        <f>VLOOKUP($A175,'Summary Mar 2026'!$A:$GL,192,FALSE)-SUMIFS($H175:$U175,$H$7:$U$7,Z$7)</f>
        <v>0</v>
      </c>
      <c r="AA175" s="289">
        <f>VLOOKUP($A175,'Summary Mar 2026'!$A:$GL,193,FALSE)-SUMIFS($H175:$U175,$H$7:$U$7,AA$7)</f>
        <v>0</v>
      </c>
      <c r="AB175" s="289">
        <f>VLOOKUP($A175,'Summary Mar 2026'!$A:$GL,194,FALSE)-SUMIFS($H175:$U175,$H$7:$U$7,AB$7)</f>
        <v>0</v>
      </c>
      <c r="AD175" s="146">
        <f>_xlfn.IFNA(VLOOKUP($A175,'Summary Mar 2026'!$A:$GS,196,FALSE)+VLOOKUP($A175,OtherDSG!$A:$AI,34,FALSE)+VLOOKUP($A175,Grants!$A:$BE,50,FALSE),0)</f>
        <v>1444120.5447175885</v>
      </c>
      <c r="AE175" s="146">
        <f>_xlfn.IFNA(VLOOKUP($A175,'Summary Mar 2026'!$A:$GS,197,FALSE)+VLOOKUP($A175,Grants!$A:$BE,51,FALSE),0)</f>
        <v>0</v>
      </c>
      <c r="AF175" s="146">
        <f>_xlfn.IFNA(VLOOKUP($A175,'Summary Mar 2026'!$A:$GS,198,FALSE)+VLOOKUP($A175,OtherDSG!$A:$AI,35,FALSE)+VLOOKUP($A175,Grants!$A:$BE,52,FALSE),0)</f>
        <v>137470.60666666669</v>
      </c>
      <c r="AG175" s="146">
        <f>_xlfn.IFNA(VLOOKUP($A175,Grants!$A:$BE,53,FALSE),0)</f>
        <v>216160</v>
      </c>
      <c r="AH175" s="146">
        <f>_xlfn.IFNA(VLOOKUP($A175,Grants!$A:$BE,54,FALSE),0)</f>
        <v>33035</v>
      </c>
      <c r="AI175" s="146">
        <f>_xlfn.IFNA(VLOOKUP($A175,Grants!$A:$BE,55,FALSE),0)</f>
        <v>0</v>
      </c>
      <c r="AJ175" s="146">
        <f>_xlfn.IFNA(VLOOKUP($A175,Barclays!$A:$T,18,FALSE),0)</f>
        <v>552.73456999998007</v>
      </c>
      <c r="AK175" s="146">
        <f>_xlfn.IFNA(VLOOKUP($A175,'Summary Mar 2026'!$A:$GS,200,FALSE),0)</f>
        <v>-24535.639999999996</v>
      </c>
      <c r="AL175" s="146">
        <f>_xlfn.IFNA(VLOOKUP($A175,Barclays!$A:$T,19,FALSE),0)</f>
        <v>0</v>
      </c>
      <c r="AM175" s="146">
        <f>_xlfn.IFNA(VLOOKUP($A175,'Summary Mar 2026'!$A:$GS,201,FALSE),0)</f>
        <v>-5139.75</v>
      </c>
      <c r="AN175" s="146">
        <f>_xlfn.IFNA(VLOOKUP($A175,'Summary Mar 2026'!$A:$GS,199,FALSE),0)</f>
        <v>-5320.32</v>
      </c>
      <c r="AO175" s="146">
        <f>_xlfn.IFNA(VLOOKUP($A175,Grants!$A:$BE,56,FALSE),0)</f>
        <v>6283.75</v>
      </c>
      <c r="AP175" s="65">
        <f t="shared" si="2"/>
        <v>1802626.9259542553</v>
      </c>
    </row>
    <row r="176" spans="1:42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0" t="str">
        <f>VLOOKUP(A176,'Summary Mar 2026'!$A$8:$F$206,6,FALSE)</f>
        <v>Chq Bk</v>
      </c>
      <c r="H176" s="288">
        <f>_xlfn.IFNA(VLOOKUP($A176,ISB!$A:$BY,67,FALSE),0)</f>
        <v>2345336.590881425</v>
      </c>
      <c r="I176" s="861">
        <f>_xlfn.IFNA(VLOOKUP(A176,'LA Deductions'!A:AN,40,FALSE),0)</f>
        <v>0</v>
      </c>
      <c r="J176" s="221">
        <f>_xlfn.IFNA(VLOOKUP($A176,ISB!$A:$BY,72,FALSE),0)</f>
        <v>-10223.359999999999</v>
      </c>
      <c r="K176" s="289">
        <f>-_xlfn.IFNA(VLOOKUP($A176,ISB!$A:$BY,76,FALSE),0)</f>
        <v>-34184.79</v>
      </c>
      <c r="M176" s="288">
        <f>VLOOKUP($A176,EY!$A:$AAK,132,FALSE)</f>
        <v>117889.49473684208</v>
      </c>
      <c r="N176" s="288">
        <f>VLOOKUP($A176,EY!$A:$AAD,133,FALSE)</f>
        <v>0</v>
      </c>
      <c r="P176" s="288">
        <f>VLOOKUP($A176,HN!$A:$AM,38,FALSE)</f>
        <v>0</v>
      </c>
      <c r="Q176" s="288">
        <f>VLOOKUP($A176,HN!$A:$AM,39,FALSE)</f>
        <v>0</v>
      </c>
      <c r="S176" s="362">
        <f>_xlfn.IFNA(VLOOKUP(A176,'Post 16'!A:AR,44,FALSE),0)</f>
        <v>0</v>
      </c>
      <c r="U176" s="362">
        <f>VLOOKUP(A176,'LA Deductions'!A:W,23,FALSE)</f>
        <v>-11070</v>
      </c>
      <c r="W176" s="289">
        <f>VLOOKUP($A176,'Summary Mar 2026'!$A:$AAG,189,FALSE)-SUMIFS($H176:$U176,$H$7:$U$7,W$7)</f>
        <v>0</v>
      </c>
      <c r="X176" s="289">
        <f>VLOOKUP($A176,'Summary Mar 2026'!$A:$GL,190,FALSE)-SUMIFS($H176:$U176,$H$7:$U$7,X$7)</f>
        <v>0</v>
      </c>
      <c r="Y176" s="289">
        <f>VLOOKUP($A176,'Summary Mar 2026'!$A:$GL,191,FALSE)-SUMIFS($H176:$U176,$H$7:$U$7,Y$7)</f>
        <v>0</v>
      </c>
      <c r="Z176" s="289">
        <f>VLOOKUP($A176,'Summary Mar 2026'!$A:$GL,192,FALSE)-SUMIFS($H176:$U176,$H$7:$U$7,Z$7)</f>
        <v>0</v>
      </c>
      <c r="AA176" s="289">
        <f>VLOOKUP($A176,'Summary Mar 2026'!$A:$GL,193,FALSE)-SUMIFS($H176:$U176,$H$7:$U$7,AA$7)</f>
        <v>0</v>
      </c>
      <c r="AB176" s="289">
        <f>VLOOKUP($A176,'Summary Mar 2026'!$A:$GL,194,FALSE)-SUMIFS($H176:$U176,$H$7:$U$7,AB$7)</f>
        <v>0</v>
      </c>
      <c r="AD176" s="146">
        <f>_xlfn.IFNA(VLOOKUP($A176,'Summary Mar 2026'!$A:$GS,196,FALSE)+VLOOKUP($A176,OtherDSG!$A:$AI,34,FALSE)+VLOOKUP($A176,Grants!$A:$BE,50,FALSE),0)</f>
        <v>2533578.0856182668</v>
      </c>
      <c r="AE176" s="146">
        <f>_xlfn.IFNA(VLOOKUP($A176,'Summary Mar 2026'!$A:$GS,197,FALSE)+VLOOKUP($A176,Grants!$A:$BE,51,FALSE),0)</f>
        <v>0</v>
      </c>
      <c r="AF176" s="146">
        <f>_xlfn.IFNA(VLOOKUP($A176,'Summary Mar 2026'!$A:$GS,198,FALSE)+VLOOKUP($A176,OtherDSG!$A:$AI,35,FALSE)+VLOOKUP($A176,Grants!$A:$BE,52,FALSE),0)</f>
        <v>61531.33666666667</v>
      </c>
      <c r="AG176" s="146">
        <f>_xlfn.IFNA(VLOOKUP($A176,Grants!$A:$BE,53,FALSE),0)</f>
        <v>254520</v>
      </c>
      <c r="AH176" s="146">
        <f>_xlfn.IFNA(VLOOKUP($A176,Grants!$A:$BE,54,FALSE),0)</f>
        <v>63567.86</v>
      </c>
      <c r="AI176" s="146">
        <f>_xlfn.IFNA(VLOOKUP($A176,Grants!$A:$BE,55,FALSE),0)</f>
        <v>0</v>
      </c>
      <c r="AJ176" s="146">
        <f>_xlfn.IFNA(VLOOKUP($A176,Barclays!$A:$T,18,FALSE),0)</f>
        <v>3754.7700000000004</v>
      </c>
      <c r="AK176" s="146">
        <f>_xlfn.IFNA(VLOOKUP($A176,'Summary Mar 2026'!$A:$GS,200,FALSE),0)</f>
        <v>-34184.789999999994</v>
      </c>
      <c r="AL176" s="146">
        <f>_xlfn.IFNA(VLOOKUP($A176,Barclays!$A:$T,19,FALSE),0)</f>
        <v>-10.4</v>
      </c>
      <c r="AM176" s="146">
        <f>_xlfn.IFNA(VLOOKUP($A176,'Summary Mar 2026'!$A:$GS,201,FALSE),0)</f>
        <v>-11070</v>
      </c>
      <c r="AN176" s="146">
        <f>_xlfn.IFNA(VLOOKUP($A176,'Summary Mar 2026'!$A:$GS,199,FALSE),0)</f>
        <v>-10223.359999999999</v>
      </c>
      <c r="AO176" s="146">
        <f>_xlfn.IFNA(VLOOKUP($A176,Grants!$A:$BE,56,FALSE),0)</f>
        <v>8682.25</v>
      </c>
      <c r="AP176" s="65">
        <f t="shared" si="2"/>
        <v>2870145.7522849338</v>
      </c>
    </row>
    <row r="177" spans="1:42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0" t="str">
        <f>VLOOKUP(A177,'Summary Mar 2026'!$A$8:$F$206,6,FALSE)</f>
        <v>Chq Bk</v>
      </c>
      <c r="H177" s="288">
        <f>_xlfn.IFNA(VLOOKUP($A177,ISB!$A:$BY,67,FALSE),0)</f>
        <v>0</v>
      </c>
      <c r="I177" s="861">
        <f>_xlfn.IFNA(VLOOKUP(A177,'LA Deductions'!A:AN,40,FALSE),0)</f>
        <v>0</v>
      </c>
      <c r="J177" s="221">
        <f>_xlfn.IFNA(VLOOKUP($A177,ISB!$A:$BY,72,FALSE),0)</f>
        <v>0</v>
      </c>
      <c r="K177" s="289">
        <f>-_xlfn.IFNA(VLOOKUP($A177,ISB!$A:$BY,76,FALSE),0)</f>
        <v>0</v>
      </c>
      <c r="M177" s="288">
        <f>VLOOKUP($A177,EY!$A:$AAK,132,FALSE)</f>
        <v>0</v>
      </c>
      <c r="N177" s="288">
        <f>VLOOKUP($A177,EY!$A:$AAD,133,FALSE)</f>
        <v>0</v>
      </c>
      <c r="P177" s="288">
        <f>VLOOKUP($A177,HN!$A:$AM,38,FALSE)</f>
        <v>1039170</v>
      </c>
      <c r="Q177" s="288">
        <f>VLOOKUP($A177,HN!$A:$AM,39,FALSE)</f>
        <v>1444123.8233962581</v>
      </c>
      <c r="S177" s="362">
        <f>_xlfn.IFNA(VLOOKUP(A177,'Post 16'!A:AR,44,FALSE),0)</f>
        <v>0</v>
      </c>
      <c r="U177" s="362">
        <f>VLOOKUP(A177,'LA Deductions'!A:W,23,FALSE)</f>
        <v>-3291.75</v>
      </c>
      <c r="W177" s="289">
        <f>VLOOKUP($A177,'Summary Mar 2026'!$A:$AAG,189,FALSE)-SUMIFS($H177:$U177,$H$7:$U$7,W$7)</f>
        <v>0</v>
      </c>
      <c r="X177" s="289">
        <f>VLOOKUP($A177,'Summary Mar 2026'!$A:$GL,190,FALSE)-SUMIFS($H177:$U177,$H$7:$U$7,X$7)</f>
        <v>0</v>
      </c>
      <c r="Y177" s="289">
        <f>VLOOKUP($A177,'Summary Mar 2026'!$A:$GL,191,FALSE)-SUMIFS($H177:$U177,$H$7:$U$7,Y$7)</f>
        <v>0</v>
      </c>
      <c r="Z177" s="289">
        <f>VLOOKUP($A177,'Summary Mar 2026'!$A:$GL,192,FALSE)-SUMIFS($H177:$U177,$H$7:$U$7,Z$7)</f>
        <v>0</v>
      </c>
      <c r="AA177" s="289">
        <f>VLOOKUP($A177,'Summary Mar 2026'!$A:$GL,193,FALSE)-SUMIFS($H177:$U177,$H$7:$U$7,AA$7)</f>
        <v>0</v>
      </c>
      <c r="AB177" s="289">
        <f>VLOOKUP($A177,'Summary Mar 2026'!$A:$GL,194,FALSE)-SUMIFS($H177:$U177,$H$7:$U$7,AB$7)</f>
        <v>0</v>
      </c>
      <c r="AD177" s="146">
        <f>_xlfn.IFNA(VLOOKUP($A177,'Summary Mar 2026'!$A:$GS,196,FALSE)+VLOOKUP($A177,OtherDSG!$A:$AI,34,FALSE)+VLOOKUP($A177,Grants!$A:$BE,50,FALSE),0)</f>
        <v>1035227.4886956522</v>
      </c>
      <c r="AE177" s="146">
        <f>_xlfn.IFNA(VLOOKUP($A177,'Summary Mar 2026'!$A:$GS,197,FALSE)+VLOOKUP($A177,Grants!$A:$BE,51,FALSE),0)</f>
        <v>0</v>
      </c>
      <c r="AF177" s="146">
        <f>_xlfn.IFNA(VLOOKUP($A177,'Summary Mar 2026'!$A:$GS,198,FALSE)+VLOOKUP($A177,OtherDSG!$A:$AI,35,FALSE)+VLOOKUP($A177,Grants!$A:$BE,52,FALSE),0)</f>
        <v>1759124.8585535192</v>
      </c>
      <c r="AG177" s="146">
        <f>_xlfn.IFNA(VLOOKUP($A177,Grants!$A:$BE,53,FALSE),0)</f>
        <v>75350</v>
      </c>
      <c r="AH177" s="146">
        <f>_xlfn.IFNA(VLOOKUP($A177,Grants!$A:$BE,54,FALSE),0)</f>
        <v>20511.29</v>
      </c>
      <c r="AI177" s="146">
        <f>_xlfn.IFNA(VLOOKUP($A177,Grants!$A:$BE,55,FALSE),0)</f>
        <v>0</v>
      </c>
      <c r="AJ177" s="146">
        <f>_xlfn.IFNA(VLOOKUP($A177,Barclays!$A:$T,18,FALSE),0)</f>
        <v>9372.93</v>
      </c>
      <c r="AK177" s="146">
        <f>_xlfn.IFNA(VLOOKUP($A177,'Summary Mar 2026'!$A:$GS,200,FALSE),0)</f>
        <v>0</v>
      </c>
      <c r="AL177" s="146">
        <f>_xlfn.IFNA(VLOOKUP($A177,Barclays!$A:$T,19,FALSE),0)</f>
        <v>-21.309999999999988</v>
      </c>
      <c r="AM177" s="146">
        <f>_xlfn.IFNA(VLOOKUP($A177,'Summary Mar 2026'!$A:$GS,201,FALSE),0)</f>
        <v>-3291.75</v>
      </c>
      <c r="AN177" s="146">
        <f>_xlfn.IFNA(VLOOKUP($A177,'Summary Mar 2026'!$A:$GS,199,FALSE),0)</f>
        <v>0</v>
      </c>
      <c r="AO177" s="146">
        <f>_xlfn.IFNA(VLOOKUP($A177,Grants!$A:$BE,56,FALSE),0)</f>
        <v>8784.06</v>
      </c>
      <c r="AP177" s="65">
        <f t="shared" si="2"/>
        <v>2905057.5672491719</v>
      </c>
    </row>
    <row r="178" spans="1:42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0" t="str">
        <f>VLOOKUP(A178,'Summary Mar 2026'!$A$8:$F$206,6,FALSE)</f>
        <v>Chq Bk</v>
      </c>
      <c r="H178" s="288">
        <f>_xlfn.IFNA(VLOOKUP($A178,ISB!$A:$BY,67,FALSE),0)</f>
        <v>1339724.7042200002</v>
      </c>
      <c r="I178" s="861">
        <f>_xlfn.IFNA(VLOOKUP(A178,'LA Deductions'!A:AN,40,FALSE),0)</f>
        <v>-4083.5414000000001</v>
      </c>
      <c r="J178" s="221">
        <f>_xlfn.IFNA(VLOOKUP($A178,ISB!$A:$BY,72,FALSE),0)</f>
        <v>-5242.08</v>
      </c>
      <c r="K178" s="289">
        <f>-_xlfn.IFNA(VLOOKUP($A178,ISB!$A:$BY,76,FALSE),0)</f>
        <v>-43724.74</v>
      </c>
      <c r="M178" s="288">
        <f>VLOOKUP($A178,EY!$A:$AAK,132,FALSE)</f>
        <v>0</v>
      </c>
      <c r="N178" s="288">
        <f>VLOOKUP($A178,EY!$A:$AAD,133,FALSE)</f>
        <v>0</v>
      </c>
      <c r="P178" s="288">
        <f>VLOOKUP($A178,HN!$A:$AM,38,FALSE)</f>
        <v>0</v>
      </c>
      <c r="Q178" s="288">
        <f>VLOOKUP($A178,HN!$A:$AM,39,FALSE)</f>
        <v>0</v>
      </c>
      <c r="S178" s="362">
        <f>_xlfn.IFNA(VLOOKUP(A178,'Post 16'!A:AR,44,FALSE),0)</f>
        <v>0</v>
      </c>
      <c r="U178" s="362">
        <f>VLOOKUP(A178,'LA Deductions'!A:W,23,FALSE)</f>
        <v>-5427</v>
      </c>
      <c r="W178" s="289">
        <f>VLOOKUP($A178,'Summary Mar 2026'!$A:$AAG,189,FALSE)-SUMIFS($H178:$U178,$H$7:$U$7,W$7)</f>
        <v>0</v>
      </c>
      <c r="X178" s="289">
        <f>VLOOKUP($A178,'Summary Mar 2026'!$A:$GL,190,FALSE)-SUMIFS($H178:$U178,$H$7:$U$7,X$7)</f>
        <v>0</v>
      </c>
      <c r="Y178" s="289">
        <f>VLOOKUP($A178,'Summary Mar 2026'!$A:$GL,191,FALSE)-SUMIFS($H178:$U178,$H$7:$U$7,Y$7)</f>
        <v>0</v>
      </c>
      <c r="Z178" s="289">
        <f>VLOOKUP($A178,'Summary Mar 2026'!$A:$GL,192,FALSE)-SUMIFS($H178:$U178,$H$7:$U$7,Z$7)</f>
        <v>0</v>
      </c>
      <c r="AA178" s="289">
        <f>VLOOKUP($A178,'Summary Mar 2026'!$A:$GL,193,FALSE)-SUMIFS($H178:$U178,$H$7:$U$7,AA$7)</f>
        <v>0</v>
      </c>
      <c r="AB178" s="289">
        <f>VLOOKUP($A178,'Summary Mar 2026'!$A:$GL,194,FALSE)-SUMIFS($H178:$U178,$H$7:$U$7,AB$7)</f>
        <v>0</v>
      </c>
      <c r="AD178" s="146">
        <f>_xlfn.IFNA(VLOOKUP($A178,'Summary Mar 2026'!$A:$GS,196,FALSE)+VLOOKUP($A178,OtherDSG!$A:$AI,34,FALSE)+VLOOKUP($A178,Grants!$A:$BE,50,FALSE),0)</f>
        <v>1371481.1628200002</v>
      </c>
      <c r="AE178" s="146">
        <f>_xlfn.IFNA(VLOOKUP($A178,'Summary Mar 2026'!$A:$GS,197,FALSE)+VLOOKUP($A178,Grants!$A:$BE,51,FALSE),0)</f>
        <v>0</v>
      </c>
      <c r="AF178" s="146">
        <f>_xlfn.IFNA(VLOOKUP($A178,'Summary Mar 2026'!$A:$GS,198,FALSE)+VLOOKUP($A178,OtherDSG!$A:$AI,35,FALSE)+VLOOKUP($A178,Grants!$A:$BE,52,FALSE),0)</f>
        <v>117973.5</v>
      </c>
      <c r="AG178" s="146">
        <f>_xlfn.IFNA(VLOOKUP($A178,Grants!$A:$BE,53,FALSE),0)</f>
        <v>124545</v>
      </c>
      <c r="AH178" s="146">
        <f>_xlfn.IFNA(VLOOKUP($A178,Grants!$A:$BE,54,FALSE),0)</f>
        <v>43280</v>
      </c>
      <c r="AI178" s="146">
        <f>_xlfn.IFNA(VLOOKUP($A178,Grants!$A:$BE,55,FALSE),0)</f>
        <v>0</v>
      </c>
      <c r="AJ178" s="146">
        <f>_xlfn.IFNA(VLOOKUP($A178,Barclays!$A:$T,18,FALSE),0)</f>
        <v>1694.0600000000002</v>
      </c>
      <c r="AK178" s="146">
        <f>_xlfn.IFNA(VLOOKUP($A178,'Summary Mar 2026'!$A:$GS,200,FALSE),0)</f>
        <v>-43724.74</v>
      </c>
      <c r="AL178" s="146">
        <f>_xlfn.IFNA(VLOOKUP($A178,Barclays!$A:$T,19,FALSE),0)</f>
        <v>-71.650000000000006</v>
      </c>
      <c r="AM178" s="146">
        <f>_xlfn.IFNA(VLOOKUP($A178,'Summary Mar 2026'!$A:$GS,201,FALSE),0)</f>
        <v>-5427</v>
      </c>
      <c r="AN178" s="146">
        <f>_xlfn.IFNA(VLOOKUP($A178,'Summary Mar 2026'!$A:$GS,199,FALSE),0)</f>
        <v>-5242.0800000000008</v>
      </c>
      <c r="AO178" s="146">
        <f>_xlfn.IFNA(VLOOKUP($A178,Grants!$A:$BE,56,FALSE),0)</f>
        <v>6283.75</v>
      </c>
      <c r="AP178" s="65">
        <f t="shared" si="2"/>
        <v>1610792.0028200003</v>
      </c>
    </row>
    <row r="179" spans="1:42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0" t="str">
        <f>VLOOKUP(A179,'Summary Mar 2026'!$A$8:$F$206,6,FALSE)</f>
        <v>Chq Bk</v>
      </c>
      <c r="H179" s="288">
        <f>_xlfn.IFNA(VLOOKUP($A179,ISB!$A:$BY,67,FALSE),0)</f>
        <v>3244567.6672809855</v>
      </c>
      <c r="I179" s="861">
        <f>_xlfn.IFNA(VLOOKUP(A179,'LA Deductions'!A:AN,40,FALSE),0)</f>
        <v>-9804.0828000000001</v>
      </c>
      <c r="J179" s="221">
        <f>_xlfn.IFNA(VLOOKUP($A179,ISB!$A:$BY,72,FALSE),0)</f>
        <v>-13613.759999999998</v>
      </c>
      <c r="K179" s="289">
        <f>-_xlfn.IFNA(VLOOKUP($A179,ISB!$A:$BY,76,FALSE),0)</f>
        <v>-77430.84</v>
      </c>
      <c r="M179" s="288">
        <f>VLOOKUP($A179,EY!$A:$AAK,132,FALSE)</f>
        <v>0</v>
      </c>
      <c r="N179" s="288">
        <f>VLOOKUP($A179,EY!$A:$AAD,133,FALSE)</f>
        <v>0</v>
      </c>
      <c r="P179" s="288">
        <f>VLOOKUP($A179,HN!$A:$AM,38,FALSE)</f>
        <v>90000</v>
      </c>
      <c r="Q179" s="288">
        <f>VLOOKUP($A179,HN!$A:$AM,39,FALSE)</f>
        <v>122048.23999999998</v>
      </c>
      <c r="S179" s="362">
        <f>_xlfn.IFNA(VLOOKUP(A179,'Post 16'!A:AR,44,FALSE),0)</f>
        <v>0</v>
      </c>
      <c r="U179" s="362">
        <f>VLOOKUP(A179,'LA Deductions'!A:W,23,FALSE)</f>
        <v>-12566.4</v>
      </c>
      <c r="W179" s="289">
        <f>VLOOKUP($A179,'Summary Mar 2026'!$A:$AAG,189,FALSE)-SUMIFS($H179:$U179,$H$7:$U$7,W$7)</f>
        <v>0</v>
      </c>
      <c r="X179" s="289">
        <f>VLOOKUP($A179,'Summary Mar 2026'!$A:$GL,190,FALSE)-SUMIFS($H179:$U179,$H$7:$U$7,X$7)</f>
        <v>0</v>
      </c>
      <c r="Y179" s="289">
        <f>VLOOKUP($A179,'Summary Mar 2026'!$A:$GL,191,FALSE)-SUMIFS($H179:$U179,$H$7:$U$7,Y$7)</f>
        <v>0</v>
      </c>
      <c r="Z179" s="289">
        <f>VLOOKUP($A179,'Summary Mar 2026'!$A:$GL,192,FALSE)-SUMIFS($H179:$U179,$H$7:$U$7,Z$7)</f>
        <v>0</v>
      </c>
      <c r="AA179" s="289">
        <f>VLOOKUP($A179,'Summary Mar 2026'!$A:$GL,193,FALSE)-SUMIFS($H179:$U179,$H$7:$U$7,AA$7)</f>
        <v>0</v>
      </c>
      <c r="AB179" s="289">
        <f>VLOOKUP($A179,'Summary Mar 2026'!$A:$GL,194,FALSE)-SUMIFS($H179:$U179,$H$7:$U$7,AB$7)</f>
        <v>0</v>
      </c>
      <c r="AD179" s="146">
        <f>_xlfn.IFNA(VLOOKUP($A179,'Summary Mar 2026'!$A:$GS,196,FALSE)+VLOOKUP($A179,OtherDSG!$A:$AI,34,FALSE)+VLOOKUP($A179,Grants!$A:$BE,50,FALSE),0)</f>
        <v>3421343.5844809846</v>
      </c>
      <c r="AE179" s="146">
        <f>_xlfn.IFNA(VLOOKUP($A179,'Summary Mar 2026'!$A:$GS,197,FALSE)+VLOOKUP($A179,Grants!$A:$BE,51,FALSE),0)</f>
        <v>0</v>
      </c>
      <c r="AF179" s="146">
        <f>_xlfn.IFNA(VLOOKUP($A179,'Summary Mar 2026'!$A:$GS,198,FALSE)+VLOOKUP($A179,OtherDSG!$A:$AI,35,FALSE)+VLOOKUP($A179,Grants!$A:$BE,52,FALSE),0)</f>
        <v>248180</v>
      </c>
      <c r="AG179" s="146">
        <f>_xlfn.IFNA(VLOOKUP($A179,Grants!$A:$BE,53,FALSE),0)</f>
        <v>384410</v>
      </c>
      <c r="AH179" s="146">
        <f>_xlfn.IFNA(VLOOKUP($A179,Grants!$A:$BE,54,FALSE),0)</f>
        <v>62644</v>
      </c>
      <c r="AI179" s="146">
        <f>_xlfn.IFNA(VLOOKUP($A179,Grants!$A:$BE,55,FALSE),0)</f>
        <v>0</v>
      </c>
      <c r="AJ179" s="146">
        <f>_xlfn.IFNA(VLOOKUP($A179,Barclays!$A:$T,18,FALSE),0)</f>
        <v>7062.05</v>
      </c>
      <c r="AK179" s="146">
        <f>_xlfn.IFNA(VLOOKUP($A179,'Summary Mar 2026'!$A:$GS,200,FALSE),0)</f>
        <v>-77430.84</v>
      </c>
      <c r="AL179" s="146">
        <f>_xlfn.IFNA(VLOOKUP($A179,Barclays!$A:$T,19,FALSE),0)</f>
        <v>-45.330000000000005</v>
      </c>
      <c r="AM179" s="146">
        <f>_xlfn.IFNA(VLOOKUP($A179,'Summary Mar 2026'!$A:$GS,201,FALSE),0)</f>
        <v>-12566.4</v>
      </c>
      <c r="AN179" s="146">
        <f>_xlfn.IFNA(VLOOKUP($A179,'Summary Mar 2026'!$A:$GS,199,FALSE),0)</f>
        <v>-13613.759999999997</v>
      </c>
      <c r="AO179" s="146">
        <f>_xlfn.IFNA(VLOOKUP($A179,Grants!$A:$BE,56,FALSE),0)</f>
        <v>10052.5</v>
      </c>
      <c r="AP179" s="65">
        <f t="shared" si="2"/>
        <v>4030035.8044809848</v>
      </c>
    </row>
    <row r="180" spans="1:42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0" t="str">
        <f>VLOOKUP(A180,'Summary Mar 2026'!$A$8:$F$206,6,FALSE)</f>
        <v>Chq Bk</v>
      </c>
      <c r="H180" s="288">
        <f>_xlfn.IFNA(VLOOKUP($A180,ISB!$A:$BY,67,FALSE),0)</f>
        <v>0</v>
      </c>
      <c r="I180" s="861">
        <f>_xlfn.IFNA(VLOOKUP(A180,'LA Deductions'!A:AN,40,FALSE),0)</f>
        <v>0</v>
      </c>
      <c r="J180" s="221">
        <f>_xlfn.IFNA(VLOOKUP($A180,ISB!$A:$BY,72,FALSE),0)</f>
        <v>0</v>
      </c>
      <c r="K180" s="289">
        <f>-_xlfn.IFNA(VLOOKUP($A180,ISB!$A:$BY,76,FALSE),0)</f>
        <v>0</v>
      </c>
      <c r="M180" s="288">
        <f>VLOOKUP($A180,EY!$A:$AAK,132,FALSE)</f>
        <v>600297.02638829895</v>
      </c>
      <c r="N180" s="288">
        <f>VLOOKUP($A180,EY!$A:$AAD,133,FALSE)</f>
        <v>4839.6642659279778</v>
      </c>
      <c r="P180" s="288">
        <f>VLOOKUP($A180,HN!$A:$AM,38,FALSE)</f>
        <v>0</v>
      </c>
      <c r="Q180" s="288">
        <f>VLOOKUP($A180,HN!$A:$AM,39,FALSE)</f>
        <v>0</v>
      </c>
      <c r="S180" s="362">
        <f>_xlfn.IFNA(VLOOKUP(A180,'Post 16'!A:AR,44,FALSE),0)</f>
        <v>0</v>
      </c>
      <c r="U180" s="362">
        <f>VLOOKUP(A180,'LA Deductions'!A:W,23,FALSE)</f>
        <v>-3291.75</v>
      </c>
      <c r="W180" s="289">
        <f>VLOOKUP($A180,'Summary Mar 2026'!$A:$AAG,189,FALSE)-SUMIFS($H180:$U180,$H$7:$U$7,W$7)</f>
        <v>0</v>
      </c>
      <c r="X180" s="289">
        <f>VLOOKUP($A180,'Summary Mar 2026'!$A:$GL,190,FALSE)-SUMIFS($H180:$U180,$H$7:$U$7,X$7)</f>
        <v>0</v>
      </c>
      <c r="Y180" s="289">
        <f>VLOOKUP($A180,'Summary Mar 2026'!$A:$GL,191,FALSE)-SUMIFS($H180:$U180,$H$7:$U$7,Y$7)</f>
        <v>0</v>
      </c>
      <c r="Z180" s="289">
        <f>VLOOKUP($A180,'Summary Mar 2026'!$A:$GL,192,FALSE)-SUMIFS($H180:$U180,$H$7:$U$7,Z$7)</f>
        <v>0</v>
      </c>
      <c r="AA180" s="289">
        <f>VLOOKUP($A180,'Summary Mar 2026'!$A:$GL,193,FALSE)-SUMIFS($H180:$U180,$H$7:$U$7,AA$7)</f>
        <v>0</v>
      </c>
      <c r="AB180" s="289">
        <f>VLOOKUP($A180,'Summary Mar 2026'!$A:$GL,194,FALSE)-SUMIFS($H180:$U180,$H$7:$U$7,AB$7)</f>
        <v>0</v>
      </c>
      <c r="AD180" s="146">
        <f>_xlfn.IFNA(VLOOKUP($A180,'Summary Mar 2026'!$A:$GS,196,FALSE)+VLOOKUP($A180,OtherDSG!$A:$AI,34,FALSE)+VLOOKUP($A180,Grants!$A:$BE,50,FALSE),0)</f>
        <v>614899.02638829884</v>
      </c>
      <c r="AE180" s="146">
        <f>_xlfn.IFNA(VLOOKUP($A180,'Summary Mar 2026'!$A:$GS,197,FALSE)+VLOOKUP($A180,Grants!$A:$BE,51,FALSE),0)</f>
        <v>0</v>
      </c>
      <c r="AF180" s="146">
        <f>_xlfn.IFNA(VLOOKUP($A180,'Summary Mar 2026'!$A:$GS,198,FALSE)+VLOOKUP($A180,OtherDSG!$A:$AI,35,FALSE)+VLOOKUP($A180,Grants!$A:$BE,52,FALSE),0)</f>
        <v>20845.097599261313</v>
      </c>
      <c r="AG180" s="146">
        <f>_xlfn.IFNA(VLOOKUP($A180,Grants!$A:$BE,53,FALSE),0)</f>
        <v>0</v>
      </c>
      <c r="AH180" s="146">
        <f>_xlfn.IFNA(VLOOKUP($A180,Grants!$A:$BE,54,FALSE),0)</f>
        <v>0</v>
      </c>
      <c r="AI180" s="146">
        <f>_xlfn.IFNA(VLOOKUP($A180,Grants!$A:$BE,55,FALSE),0)</f>
        <v>0</v>
      </c>
      <c r="AJ180" s="146">
        <f>_xlfn.IFNA(VLOOKUP($A180,Barclays!$A:$T,18,FALSE),0)</f>
        <v>4978.5755000000008</v>
      </c>
      <c r="AK180" s="146">
        <f>_xlfn.IFNA(VLOOKUP($A180,'Summary Mar 2026'!$A:$GS,200,FALSE),0)</f>
        <v>0</v>
      </c>
      <c r="AL180" s="146">
        <f>_xlfn.IFNA(VLOOKUP($A180,Barclays!$A:$T,19,FALSE),0)</f>
        <v>-70.959999999999994</v>
      </c>
      <c r="AM180" s="146">
        <f>_xlfn.IFNA(VLOOKUP($A180,'Summary Mar 2026'!$A:$GS,201,FALSE),0)</f>
        <v>-3291.75</v>
      </c>
      <c r="AN180" s="146">
        <f>_xlfn.IFNA(VLOOKUP($A180,'Summary Mar 2026'!$A:$GS,199,FALSE),0)</f>
        <v>0</v>
      </c>
      <c r="AO180" s="146">
        <f>_xlfn.IFNA(VLOOKUP($A180,Grants!$A:$BE,56,FALSE),0)</f>
        <v>4621</v>
      </c>
      <c r="AP180" s="65">
        <f t="shared" si="2"/>
        <v>641980.98948756023</v>
      </c>
    </row>
    <row r="181" spans="1:42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0" t="str">
        <f>VLOOKUP(A181,'Summary Mar 2026'!$A$8:$F$206,6,FALSE)</f>
        <v>Chq Bk</v>
      </c>
      <c r="H181" s="288">
        <f>_xlfn.IFNA(VLOOKUP($A181,ISB!$A:$BY,67,FALSE),0)</f>
        <v>1948858.8603706395</v>
      </c>
      <c r="I181" s="861">
        <f>_xlfn.IFNA(VLOOKUP(A181,'LA Deductions'!A:AN,40,FALSE),0)</f>
        <v>0</v>
      </c>
      <c r="J181" s="221">
        <f>_xlfn.IFNA(VLOOKUP($A181,ISB!$A:$BY,72,FALSE),0)</f>
        <v>-8476</v>
      </c>
      <c r="K181" s="289">
        <f>-_xlfn.IFNA(VLOOKUP($A181,ISB!$A:$BY,76,FALSE),0)</f>
        <v>-23115.16</v>
      </c>
      <c r="M181" s="288">
        <f>VLOOKUP($A181,EY!$A:$AAK,132,FALSE)</f>
        <v>0</v>
      </c>
      <c r="N181" s="288">
        <f>VLOOKUP($A181,EY!$A:$AAD,133,FALSE)</f>
        <v>0</v>
      </c>
      <c r="P181" s="288">
        <f>VLOOKUP($A181,HN!$A:$AM,38,FALSE)</f>
        <v>0</v>
      </c>
      <c r="Q181" s="288">
        <f>VLOOKUP($A181,HN!$A:$AM,39,FALSE)</f>
        <v>0</v>
      </c>
      <c r="S181" s="362">
        <f>_xlfn.IFNA(VLOOKUP(A181,'Post 16'!A:AR,44,FALSE),0)</f>
        <v>0</v>
      </c>
      <c r="U181" s="362">
        <f>VLOOKUP(A181,'LA Deductions'!A:W,23,FALSE)</f>
        <v>-8775</v>
      </c>
      <c r="W181" s="289">
        <f>VLOOKUP($A181,'Summary Mar 2026'!$A:$AAG,189,FALSE)-SUMIFS($H181:$U181,$H$7:$U$7,W$7)</f>
        <v>0</v>
      </c>
      <c r="X181" s="289">
        <f>VLOOKUP($A181,'Summary Mar 2026'!$A:$GL,190,FALSE)-SUMIFS($H181:$U181,$H$7:$U$7,X$7)</f>
        <v>0</v>
      </c>
      <c r="Y181" s="289">
        <f>VLOOKUP($A181,'Summary Mar 2026'!$A:$GL,191,FALSE)-SUMIFS($H181:$U181,$H$7:$U$7,Y$7)</f>
        <v>0</v>
      </c>
      <c r="Z181" s="289">
        <f>VLOOKUP($A181,'Summary Mar 2026'!$A:$GL,192,FALSE)-SUMIFS($H181:$U181,$H$7:$U$7,Z$7)</f>
        <v>0</v>
      </c>
      <c r="AA181" s="289">
        <f>VLOOKUP($A181,'Summary Mar 2026'!$A:$GL,193,FALSE)-SUMIFS($H181:$U181,$H$7:$U$7,AA$7)</f>
        <v>0</v>
      </c>
      <c r="AB181" s="289">
        <f>VLOOKUP($A181,'Summary Mar 2026'!$A:$GL,194,FALSE)-SUMIFS($H181:$U181,$H$7:$U$7,AB$7)</f>
        <v>0</v>
      </c>
      <c r="AD181" s="146">
        <f>_xlfn.IFNA(VLOOKUP($A181,'Summary Mar 2026'!$A:$GS,196,FALSE)+VLOOKUP($A181,OtherDSG!$A:$AI,34,FALSE)+VLOOKUP($A181,Grants!$A:$BE,50,FALSE),0)</f>
        <v>2006182.8603706395</v>
      </c>
      <c r="AE181" s="146">
        <f>_xlfn.IFNA(VLOOKUP($A181,'Summary Mar 2026'!$A:$GS,197,FALSE)+VLOOKUP($A181,Grants!$A:$BE,51,FALSE),0)</f>
        <v>0</v>
      </c>
      <c r="AF181" s="146">
        <f>_xlfn.IFNA(VLOOKUP($A181,'Summary Mar 2026'!$A:$GS,198,FALSE)+VLOOKUP($A181,OtherDSG!$A:$AI,35,FALSE)+VLOOKUP($A181,Grants!$A:$BE,52,FALSE),0)</f>
        <v>189631.15266666666</v>
      </c>
      <c r="AG181" s="146">
        <f>_xlfn.IFNA(VLOOKUP($A181,Grants!$A:$BE,53,FALSE),0)</f>
        <v>218160</v>
      </c>
      <c r="AH181" s="146">
        <f>_xlfn.IFNA(VLOOKUP($A181,Grants!$A:$BE,54,FALSE),0)</f>
        <v>47077</v>
      </c>
      <c r="AI181" s="146">
        <f>_xlfn.IFNA(VLOOKUP($A181,Grants!$A:$BE,55,FALSE),0)</f>
        <v>0</v>
      </c>
      <c r="AJ181" s="146">
        <f>_xlfn.IFNA(VLOOKUP($A181,Barclays!$A:$T,18,FALSE),0)</f>
        <v>6679.4929149999662</v>
      </c>
      <c r="AK181" s="146">
        <f>_xlfn.IFNA(VLOOKUP($A181,'Summary Mar 2026'!$A:$GS,200,FALSE),0)</f>
        <v>-23115.159999999993</v>
      </c>
      <c r="AL181" s="146">
        <f>_xlfn.IFNA(VLOOKUP($A181,Barclays!$A:$T,19,FALSE),0)</f>
        <v>-6.209999999999992</v>
      </c>
      <c r="AM181" s="146">
        <f>_xlfn.IFNA(VLOOKUP($A181,'Summary Mar 2026'!$A:$GS,201,FALSE),0)</f>
        <v>-8775</v>
      </c>
      <c r="AN181" s="146">
        <f>_xlfn.IFNA(VLOOKUP($A181,'Summary Mar 2026'!$A:$GS,199,FALSE),0)</f>
        <v>-8475.9999999999982</v>
      </c>
      <c r="AO181" s="146">
        <f>_xlfn.IFNA(VLOOKUP($A181,Grants!$A:$BE,56,FALSE),0)</f>
        <v>7948.75</v>
      </c>
      <c r="AP181" s="65">
        <f t="shared" si="2"/>
        <v>2435306.885952306</v>
      </c>
    </row>
    <row r="182" spans="1:42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0" t="str">
        <f>VLOOKUP(A182,'Summary Mar 2026'!$A$8:$F$206,6,FALSE)</f>
        <v>Chq Bk</v>
      </c>
      <c r="H182" s="288">
        <f>_xlfn.IFNA(VLOOKUP($A182,ISB!$A:$BY,67,FALSE),0)</f>
        <v>1198680.2245729088</v>
      </c>
      <c r="I182" s="861">
        <f>_xlfn.IFNA(VLOOKUP(A182,'LA Deductions'!A:AN,40,FALSE),0)</f>
        <v>-5090.5414000000001</v>
      </c>
      <c r="J182" s="221">
        <f>_xlfn.IFNA(VLOOKUP($A182,ISB!$A:$BY,72,FALSE),0)</f>
        <v>-4850.88</v>
      </c>
      <c r="K182" s="289">
        <f>-_xlfn.IFNA(VLOOKUP($A182,ISB!$A:$BY,76,FALSE),0)</f>
        <v>-16916.68</v>
      </c>
      <c r="M182" s="288">
        <f>VLOOKUP($A182,EY!$A:$AAK,132,FALSE)</f>
        <v>0</v>
      </c>
      <c r="N182" s="288">
        <f>VLOOKUP($A182,EY!$A:$AAD,133,FALSE)</f>
        <v>0</v>
      </c>
      <c r="P182" s="288">
        <f>VLOOKUP($A182,HN!$A:$AM,38,FALSE)</f>
        <v>0</v>
      </c>
      <c r="Q182" s="288">
        <f>VLOOKUP($A182,HN!$A:$AM,39,FALSE)</f>
        <v>0</v>
      </c>
      <c r="S182" s="362">
        <f>_xlfn.IFNA(VLOOKUP(A182,'Post 16'!A:AR,44,FALSE),0)</f>
        <v>0</v>
      </c>
      <c r="U182" s="362">
        <f>VLOOKUP(A182,'LA Deductions'!A:W,23,FALSE)</f>
        <v>-5139.75</v>
      </c>
      <c r="W182" s="289">
        <f>VLOOKUP($A182,'Summary Mar 2026'!$A:$AAG,189,FALSE)-SUMIFS($H182:$U182,$H$7:$U$7,W$7)</f>
        <v>0</v>
      </c>
      <c r="X182" s="289">
        <f>VLOOKUP($A182,'Summary Mar 2026'!$A:$GL,190,FALSE)-SUMIFS($H182:$U182,$H$7:$U$7,X$7)</f>
        <v>0</v>
      </c>
      <c r="Y182" s="289">
        <f>VLOOKUP($A182,'Summary Mar 2026'!$A:$GL,191,FALSE)-SUMIFS($H182:$U182,$H$7:$U$7,Y$7)</f>
        <v>0</v>
      </c>
      <c r="Z182" s="289">
        <f>VLOOKUP($A182,'Summary Mar 2026'!$A:$GL,192,FALSE)-SUMIFS($H182:$U182,$H$7:$U$7,Z$7)</f>
        <v>0</v>
      </c>
      <c r="AA182" s="289">
        <f>VLOOKUP($A182,'Summary Mar 2026'!$A:$GL,193,FALSE)-SUMIFS($H182:$U182,$H$7:$U$7,AA$7)</f>
        <v>0</v>
      </c>
      <c r="AB182" s="289">
        <f>VLOOKUP($A182,'Summary Mar 2026'!$A:$GL,194,FALSE)-SUMIFS($H182:$U182,$H$7:$U$7,AB$7)</f>
        <v>0</v>
      </c>
      <c r="AD182" s="146">
        <f>_xlfn.IFNA(VLOOKUP($A182,'Summary Mar 2026'!$A:$GS,196,FALSE)+VLOOKUP($A182,OtherDSG!$A:$AI,34,FALSE)+VLOOKUP($A182,Grants!$A:$BE,50,FALSE),0)</f>
        <v>1229242.6831729088</v>
      </c>
      <c r="AE182" s="146">
        <f>_xlfn.IFNA(VLOOKUP($A182,'Summary Mar 2026'!$A:$GS,197,FALSE)+VLOOKUP($A182,Grants!$A:$BE,51,FALSE),0)</f>
        <v>0</v>
      </c>
      <c r="AF182" s="146">
        <f>_xlfn.IFNA(VLOOKUP($A182,'Summary Mar 2026'!$A:$GS,198,FALSE)+VLOOKUP($A182,OtherDSG!$A:$AI,35,FALSE)+VLOOKUP($A182,Grants!$A:$BE,52,FALSE),0)</f>
        <v>182190.65333333332</v>
      </c>
      <c r="AG182" s="146">
        <f>_xlfn.IFNA(VLOOKUP($A182,Grants!$A:$BE,53,FALSE),0)</f>
        <v>138980</v>
      </c>
      <c r="AH182" s="146">
        <f>_xlfn.IFNA(VLOOKUP($A182,Grants!$A:$BE,54,FALSE),0)</f>
        <v>36846.86</v>
      </c>
      <c r="AI182" s="146">
        <f>_xlfn.IFNA(VLOOKUP($A182,Grants!$A:$BE,55,FALSE),0)</f>
        <v>0</v>
      </c>
      <c r="AJ182" s="146">
        <f>_xlfn.IFNA(VLOOKUP($A182,Barclays!$A:$T,18,FALSE),0)</f>
        <v>1068.3800000000001</v>
      </c>
      <c r="AK182" s="146">
        <f>_xlfn.IFNA(VLOOKUP($A182,'Summary Mar 2026'!$A:$GS,200,FALSE),0)</f>
        <v>-16916.68</v>
      </c>
      <c r="AL182" s="146">
        <f>_xlfn.IFNA(VLOOKUP($A182,Barclays!$A:$T,19,FALSE),0)</f>
        <v>-73.019999999999982</v>
      </c>
      <c r="AM182" s="146">
        <f>_xlfn.IFNA(VLOOKUP($A182,'Summary Mar 2026'!$A:$GS,201,FALSE),0)</f>
        <v>-5139.75</v>
      </c>
      <c r="AN182" s="146">
        <f>_xlfn.IFNA(VLOOKUP($A182,'Summary Mar 2026'!$A:$GS,199,FALSE),0)</f>
        <v>-4850.8799999999992</v>
      </c>
      <c r="AO182" s="146">
        <f>_xlfn.IFNA(VLOOKUP($A182,Grants!$A:$BE,56,FALSE),0)</f>
        <v>6120.63</v>
      </c>
      <c r="AP182" s="65">
        <f t="shared" si="2"/>
        <v>1567468.8765062422</v>
      </c>
    </row>
    <row r="183" spans="1:42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0" t="str">
        <f>VLOOKUP(A183,'Summary Mar 2026'!$A$8:$F$206,6,FALSE)</f>
        <v>Chq Bk</v>
      </c>
      <c r="H183" s="288">
        <f>_xlfn.IFNA(VLOOKUP($A183,ISB!$A:$BY,67,FALSE),0)</f>
        <v>4240157.79</v>
      </c>
      <c r="I183" s="861">
        <f>_xlfn.IFNA(VLOOKUP(A183,'LA Deductions'!A:AN,40,FALSE),0)</f>
        <v>0</v>
      </c>
      <c r="J183" s="221">
        <f>_xlfn.IFNA(VLOOKUP($A183,ISB!$A:$BY,72,FALSE),0)</f>
        <v>-21724.639999999999</v>
      </c>
      <c r="K183" s="289">
        <f>-_xlfn.IFNA(VLOOKUP($A183,ISB!$A:$BY,76,FALSE),0)</f>
        <v>-33389.800000000003</v>
      </c>
      <c r="M183" s="288">
        <f>VLOOKUP($A183,EY!$A:$AAK,132,FALSE)</f>
        <v>0</v>
      </c>
      <c r="N183" s="288">
        <f>VLOOKUP($A183,EY!$A:$AAD,133,FALSE)</f>
        <v>0</v>
      </c>
      <c r="P183" s="288">
        <f>VLOOKUP($A183,HN!$A:$AM,38,FALSE)</f>
        <v>0</v>
      </c>
      <c r="Q183" s="288">
        <f>VLOOKUP($A183,HN!$A:$AM,39,FALSE)</f>
        <v>0</v>
      </c>
      <c r="S183" s="362">
        <f>_xlfn.IFNA(VLOOKUP(A183,'Post 16'!A:AR,44,FALSE),0)</f>
        <v>0</v>
      </c>
      <c r="U183" s="362">
        <f>VLOOKUP(A183,'LA Deductions'!A:W,23,FALSE)</f>
        <v>-24312.75</v>
      </c>
      <c r="W183" s="289">
        <f>VLOOKUP($A183,'Summary Mar 2026'!$A:$AAG,189,FALSE)-SUMIFS($H183:$U183,$H$7:$U$7,W$7)</f>
        <v>0</v>
      </c>
      <c r="X183" s="289">
        <f>VLOOKUP($A183,'Summary Mar 2026'!$A:$GL,190,FALSE)-SUMIFS($H183:$U183,$H$7:$U$7,X$7)</f>
        <v>0</v>
      </c>
      <c r="Y183" s="289">
        <f>VLOOKUP($A183,'Summary Mar 2026'!$A:$GL,191,FALSE)-SUMIFS($H183:$U183,$H$7:$U$7,Y$7)</f>
        <v>0</v>
      </c>
      <c r="Z183" s="289">
        <f>VLOOKUP($A183,'Summary Mar 2026'!$A:$GL,192,FALSE)-SUMIFS($H183:$U183,$H$7:$U$7,Z$7)</f>
        <v>0</v>
      </c>
      <c r="AA183" s="289">
        <f>VLOOKUP($A183,'Summary Mar 2026'!$A:$GL,193,FALSE)-SUMIFS($H183:$U183,$H$7:$U$7,AA$7)</f>
        <v>0</v>
      </c>
      <c r="AB183" s="289">
        <f>VLOOKUP($A183,'Summary Mar 2026'!$A:$GL,194,FALSE)-SUMIFS($H183:$U183,$H$7:$U$7,AB$7)</f>
        <v>0</v>
      </c>
      <c r="AD183" s="146">
        <f>_xlfn.IFNA(VLOOKUP($A183,'Summary Mar 2026'!$A:$GS,196,FALSE)+VLOOKUP($A183,OtherDSG!$A:$AI,34,FALSE)+VLOOKUP($A183,Grants!$A:$BE,50,FALSE),0)</f>
        <v>4350806.79</v>
      </c>
      <c r="AE183" s="146">
        <f>_xlfn.IFNA(VLOOKUP($A183,'Summary Mar 2026'!$A:$GS,197,FALSE)+VLOOKUP($A183,Grants!$A:$BE,51,FALSE),0)</f>
        <v>0</v>
      </c>
      <c r="AF183" s="146">
        <f>_xlfn.IFNA(VLOOKUP($A183,'Summary Mar 2026'!$A:$GS,198,FALSE)+VLOOKUP($A183,OtherDSG!$A:$AI,35,FALSE)+VLOOKUP($A183,Grants!$A:$BE,52,FALSE),0)</f>
        <v>279543.75</v>
      </c>
      <c r="AG183" s="146">
        <f>_xlfn.IFNA(VLOOKUP($A183,Grants!$A:$BE,53,FALSE),0)</f>
        <v>157825</v>
      </c>
      <c r="AH183" s="146">
        <f>_xlfn.IFNA(VLOOKUP($A183,Grants!$A:$BE,54,FALSE),0)</f>
        <v>187900.15</v>
      </c>
      <c r="AI183" s="146">
        <f>_xlfn.IFNA(VLOOKUP($A183,Grants!$A:$BE,55,FALSE),0)</f>
        <v>0</v>
      </c>
      <c r="AJ183" s="146">
        <f>_xlfn.IFNA(VLOOKUP($A183,Barclays!$A:$T,18,FALSE),0)</f>
        <v>7498.07</v>
      </c>
      <c r="AK183" s="146">
        <f>_xlfn.IFNA(VLOOKUP($A183,'Summary Mar 2026'!$A:$GS,200,FALSE),0)</f>
        <v>-33389.800000000003</v>
      </c>
      <c r="AL183" s="146">
        <f>_xlfn.IFNA(VLOOKUP($A183,Barclays!$A:$T,19,FALSE),0)</f>
        <v>-96.34</v>
      </c>
      <c r="AM183" s="146">
        <f>_xlfn.IFNA(VLOOKUP($A183,'Summary Mar 2026'!$A:$GS,201,FALSE),0)</f>
        <v>-24312.75</v>
      </c>
      <c r="AN183" s="146">
        <f>_xlfn.IFNA(VLOOKUP($A183,'Summary Mar 2026'!$A:$GS,199,FALSE),0)</f>
        <v>-21724.639999999999</v>
      </c>
      <c r="AO183" s="146">
        <f>_xlfn.IFNA(VLOOKUP($A183,Grants!$A:$BE,56,FALSE),0)</f>
        <v>13067.5</v>
      </c>
      <c r="AP183" s="65">
        <f t="shared" si="2"/>
        <v>4917117.7300000014</v>
      </c>
    </row>
    <row r="184" spans="1:42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0" t="str">
        <f>VLOOKUP(A184,'Summary Mar 2026'!$A$8:$F$206,6,FALSE)</f>
        <v>Chq Bk</v>
      </c>
      <c r="H184" s="288">
        <f>_xlfn.IFNA(VLOOKUP($A184,ISB!$A:$BY,67,FALSE),0)</f>
        <v>1093762.8994420455</v>
      </c>
      <c r="I184" s="861">
        <f>_xlfn.IFNA(VLOOKUP(A184,'LA Deductions'!A:AN,40,FALSE),0)</f>
        <v>0</v>
      </c>
      <c r="J184" s="221">
        <f>_xlfn.IFNA(VLOOKUP($A184,ISB!$A:$BY,72,FALSE),0)</f>
        <v>-4407.5199999999995</v>
      </c>
      <c r="K184" s="289">
        <f>-_xlfn.IFNA(VLOOKUP($A184,ISB!$A:$BY,76,FALSE),0)</f>
        <v>-6677.96</v>
      </c>
      <c r="M184" s="288">
        <f>VLOOKUP($A184,EY!$A:$AAK,132,FALSE)</f>
        <v>0</v>
      </c>
      <c r="N184" s="288">
        <f>VLOOKUP($A184,EY!$A:$AAD,133,FALSE)</f>
        <v>0</v>
      </c>
      <c r="P184" s="288">
        <f>VLOOKUP($A184,HN!$A:$AM,38,FALSE)</f>
        <v>0</v>
      </c>
      <c r="Q184" s="288">
        <f>VLOOKUP($A184,HN!$A:$AM,39,FALSE)</f>
        <v>0</v>
      </c>
      <c r="S184" s="362">
        <f>_xlfn.IFNA(VLOOKUP(A184,'Post 16'!A:AR,44,FALSE),0)</f>
        <v>0</v>
      </c>
      <c r="U184" s="362">
        <f>VLOOKUP(A184,'LA Deductions'!A:W,23,FALSE)</f>
        <v>-3500.38</v>
      </c>
      <c r="W184" s="289">
        <f>VLOOKUP($A184,'Summary Mar 2026'!$A:$AAG,189,FALSE)-SUMIFS($H184:$U184,$H$7:$U$7,W$7)</f>
        <v>0</v>
      </c>
      <c r="X184" s="289">
        <f>VLOOKUP($A184,'Summary Mar 2026'!$A:$GL,190,FALSE)-SUMIFS($H184:$U184,$H$7:$U$7,X$7)</f>
        <v>0</v>
      </c>
      <c r="Y184" s="289">
        <f>VLOOKUP($A184,'Summary Mar 2026'!$A:$GL,191,FALSE)-SUMIFS($H184:$U184,$H$7:$U$7,Y$7)</f>
        <v>0</v>
      </c>
      <c r="Z184" s="289">
        <f>VLOOKUP($A184,'Summary Mar 2026'!$A:$GL,192,FALSE)-SUMIFS($H184:$U184,$H$7:$U$7,Z$7)</f>
        <v>0</v>
      </c>
      <c r="AA184" s="289">
        <f>VLOOKUP($A184,'Summary Mar 2026'!$A:$GL,193,FALSE)-SUMIFS($H184:$U184,$H$7:$U$7,AA$7)</f>
        <v>0</v>
      </c>
      <c r="AB184" s="289">
        <f>VLOOKUP($A184,'Summary Mar 2026'!$A:$GL,194,FALSE)-SUMIFS($H184:$U184,$H$7:$U$7,AB$7)</f>
        <v>0</v>
      </c>
      <c r="AD184" s="146">
        <f>_xlfn.IFNA(VLOOKUP($A184,'Summary Mar 2026'!$A:$GS,196,FALSE)+VLOOKUP($A184,OtherDSG!$A:$AI,34,FALSE)+VLOOKUP($A184,Grants!$A:$BE,50,FALSE),0)</f>
        <v>1170832.3994420457</v>
      </c>
      <c r="AE184" s="146">
        <f>_xlfn.IFNA(VLOOKUP($A184,'Summary Mar 2026'!$A:$GS,197,FALSE)+VLOOKUP($A184,Grants!$A:$BE,51,FALSE),0)</f>
        <v>0</v>
      </c>
      <c r="AF184" s="146">
        <f>_xlfn.IFNA(VLOOKUP($A184,'Summary Mar 2026'!$A:$GS,198,FALSE)+VLOOKUP($A184,OtherDSG!$A:$AI,35,FALSE)+VLOOKUP($A184,Grants!$A:$BE,52,FALSE),0)</f>
        <v>40920</v>
      </c>
      <c r="AG184" s="146">
        <f>_xlfn.IFNA(VLOOKUP($A184,Grants!$A:$BE,53,FALSE),0)</f>
        <v>99590</v>
      </c>
      <c r="AH184" s="146">
        <f>_xlfn.IFNA(VLOOKUP($A184,Grants!$A:$BE,54,FALSE),0)</f>
        <v>40733.64</v>
      </c>
      <c r="AI184" s="146">
        <f>_xlfn.IFNA(VLOOKUP($A184,Grants!$A:$BE,55,FALSE),0)</f>
        <v>0</v>
      </c>
      <c r="AJ184" s="146">
        <f>_xlfn.IFNA(VLOOKUP($A184,Barclays!$A:$T,18,FALSE),0)</f>
        <v>901.71</v>
      </c>
      <c r="AK184" s="146">
        <f>_xlfn.IFNA(VLOOKUP($A184,'Summary Mar 2026'!$A:$GS,200,FALSE),0)</f>
        <v>-6677.9600000000019</v>
      </c>
      <c r="AL184" s="146">
        <f>_xlfn.IFNA(VLOOKUP($A184,Barclays!$A:$T,19,FALSE),0)</f>
        <v>-2.2800000000000114</v>
      </c>
      <c r="AM184" s="146">
        <f>_xlfn.IFNA(VLOOKUP($A184,'Summary Mar 2026'!$A:$GS,201,FALSE),0)</f>
        <v>-3500.38</v>
      </c>
      <c r="AN184" s="146">
        <f>_xlfn.IFNA(VLOOKUP($A184,'Summary Mar 2026'!$A:$GS,199,FALSE),0)</f>
        <v>-4407.5199999999986</v>
      </c>
      <c r="AO184" s="146">
        <f>_xlfn.IFNA(VLOOKUP($A184,Grants!$A:$BE,56,FALSE),0)</f>
        <v>0</v>
      </c>
      <c r="AP184" s="65">
        <f t="shared" si="2"/>
        <v>1338389.6094420457</v>
      </c>
    </row>
    <row r="185" spans="1:42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0" t="str">
        <f>VLOOKUP(A185,'Summary Mar 2026'!$A$8:$F$206,6,FALSE)</f>
        <v>Chq Bk</v>
      </c>
      <c r="H185" s="288">
        <f>_xlfn.IFNA(VLOOKUP($A185,ISB!$A:$BY,67,FALSE),0)</f>
        <v>2201448.0705624702</v>
      </c>
      <c r="I185" s="861">
        <f>_xlfn.IFNA(VLOOKUP(A185,'LA Deductions'!A:AN,40,FALSE),0)</f>
        <v>0</v>
      </c>
      <c r="J185" s="221">
        <f>_xlfn.IFNA(VLOOKUP($A185,ISB!$A:$BY,72,FALSE),0)</f>
        <v>-10771.039999999999</v>
      </c>
      <c r="K185" s="289">
        <f>-_xlfn.IFNA(VLOOKUP($A185,ISB!$A:$BY,76,FALSE),0)</f>
        <v>-33857.5</v>
      </c>
      <c r="M185" s="288">
        <f>VLOOKUP($A185,EY!$A:$AAK,132,FALSE)</f>
        <v>0</v>
      </c>
      <c r="N185" s="288">
        <f>VLOOKUP($A185,EY!$A:$AAD,133,FALSE)</f>
        <v>0</v>
      </c>
      <c r="P185" s="288">
        <f>VLOOKUP($A185,HN!$A:$AM,38,FALSE)</f>
        <v>0</v>
      </c>
      <c r="Q185" s="288">
        <f>VLOOKUP($A185,HN!$A:$AM,39,FALSE)</f>
        <v>0</v>
      </c>
      <c r="S185" s="362">
        <f>_xlfn.IFNA(VLOOKUP(A185,'Post 16'!A:AR,44,FALSE),0)</f>
        <v>0</v>
      </c>
      <c r="U185" s="362">
        <f>VLOOKUP(A185,'LA Deductions'!A:W,23,FALSE)</f>
        <v>-11151</v>
      </c>
      <c r="W185" s="289">
        <f>VLOOKUP($A185,'Summary Mar 2026'!$A:$AAG,189,FALSE)-SUMIFS($H185:$U185,$H$7:$U$7,W$7)</f>
        <v>0</v>
      </c>
      <c r="X185" s="289">
        <f>VLOOKUP($A185,'Summary Mar 2026'!$A:$GL,190,FALSE)-SUMIFS($H185:$U185,$H$7:$U$7,X$7)</f>
        <v>0</v>
      </c>
      <c r="Y185" s="289">
        <f>VLOOKUP($A185,'Summary Mar 2026'!$A:$GL,191,FALSE)-SUMIFS($H185:$U185,$H$7:$U$7,Y$7)</f>
        <v>0</v>
      </c>
      <c r="Z185" s="289">
        <f>VLOOKUP($A185,'Summary Mar 2026'!$A:$GL,192,FALSE)-SUMIFS($H185:$U185,$H$7:$U$7,Z$7)</f>
        <v>0</v>
      </c>
      <c r="AA185" s="289">
        <f>VLOOKUP($A185,'Summary Mar 2026'!$A:$GL,193,FALSE)-SUMIFS($H185:$U185,$H$7:$U$7,AA$7)</f>
        <v>0</v>
      </c>
      <c r="AB185" s="289">
        <f>VLOOKUP($A185,'Summary Mar 2026'!$A:$GL,194,FALSE)-SUMIFS($H185:$U185,$H$7:$U$7,AB$7)</f>
        <v>0</v>
      </c>
      <c r="AD185" s="146">
        <f>_xlfn.IFNA(VLOOKUP($A185,'Summary Mar 2026'!$A:$GS,196,FALSE)+VLOOKUP($A185,OtherDSG!$A:$AI,34,FALSE)+VLOOKUP($A185,Grants!$A:$BE,50,FALSE),0)</f>
        <v>2267713.0705624702</v>
      </c>
      <c r="AE185" s="146">
        <f>_xlfn.IFNA(VLOOKUP($A185,'Summary Mar 2026'!$A:$GS,197,FALSE)+VLOOKUP($A185,Grants!$A:$BE,51,FALSE),0)</f>
        <v>0</v>
      </c>
      <c r="AF185" s="146">
        <f>_xlfn.IFNA(VLOOKUP($A185,'Summary Mar 2026'!$A:$GS,198,FALSE)+VLOOKUP($A185,OtherDSG!$A:$AI,35,FALSE)+VLOOKUP($A185,Grants!$A:$BE,52,FALSE),0)</f>
        <v>44320.263333333336</v>
      </c>
      <c r="AG185" s="146">
        <f>_xlfn.IFNA(VLOOKUP($A185,Grants!$A:$BE,53,FALSE),0)</f>
        <v>205240</v>
      </c>
      <c r="AH185" s="146">
        <f>_xlfn.IFNA(VLOOKUP($A185,Grants!$A:$BE,54,FALSE),0)</f>
        <v>71696</v>
      </c>
      <c r="AI185" s="146">
        <f>_xlfn.IFNA(VLOOKUP($A185,Grants!$A:$BE,55,FALSE),0)</f>
        <v>0</v>
      </c>
      <c r="AJ185" s="146">
        <f>_xlfn.IFNA(VLOOKUP($A185,Barclays!$A:$T,18,FALSE),0)</f>
        <v>2399.4499999999998</v>
      </c>
      <c r="AK185" s="146">
        <f>_xlfn.IFNA(VLOOKUP($A185,'Summary Mar 2026'!$A:$GS,200,FALSE),0)</f>
        <v>-33857.499999999993</v>
      </c>
      <c r="AL185" s="146">
        <f>_xlfn.IFNA(VLOOKUP($A185,Barclays!$A:$T,19,FALSE),0)</f>
        <v>-115.16</v>
      </c>
      <c r="AM185" s="146">
        <f>_xlfn.IFNA(VLOOKUP($A185,'Summary Mar 2026'!$A:$GS,201,FALSE),0)</f>
        <v>-11151</v>
      </c>
      <c r="AN185" s="146">
        <f>_xlfn.IFNA(VLOOKUP($A185,'Summary Mar 2026'!$A:$GS,199,FALSE),0)</f>
        <v>-10771.039999999995</v>
      </c>
      <c r="AO185" s="146">
        <f>_xlfn.IFNA(VLOOKUP($A185,Grants!$A:$BE,56,FALSE),0)</f>
        <v>8668.75</v>
      </c>
      <c r="AP185" s="65">
        <f t="shared" si="2"/>
        <v>2544142.8338958034</v>
      </c>
    </row>
    <row r="186" spans="1:42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0" t="str">
        <f>VLOOKUP(A186,'Summary Mar 2026'!$A$8:$F$206,6,FALSE)</f>
        <v>Chq Bk</v>
      </c>
      <c r="H186" s="288">
        <f>_xlfn.IFNA(VLOOKUP($A186,ISB!$A:$BY,67,FALSE),0)</f>
        <v>921663.57137849461</v>
      </c>
      <c r="I186" s="861">
        <f>_xlfn.IFNA(VLOOKUP(A186,'LA Deductions'!A:AN,40,FALSE),0)</f>
        <v>0</v>
      </c>
      <c r="J186" s="221">
        <f>_xlfn.IFNA(VLOOKUP($A186,ISB!$A:$BY,72,FALSE),0)</f>
        <v>-3938.08</v>
      </c>
      <c r="K186" s="289">
        <f>-_xlfn.IFNA(VLOOKUP($A186,ISB!$A:$BY,76,FALSE),0)</f>
        <v>-7207.96</v>
      </c>
      <c r="M186" s="288">
        <f>VLOOKUP($A186,EY!$A:$AAK,132,FALSE)</f>
        <v>25911.360997229916</v>
      </c>
      <c r="N186" s="288">
        <f>VLOOKUP($A186,EY!$A:$AAD,133,FALSE)</f>
        <v>0</v>
      </c>
      <c r="P186" s="288">
        <f>VLOOKUP($A186,HN!$A:$AM,38,FALSE)</f>
        <v>0</v>
      </c>
      <c r="Q186" s="288">
        <f>VLOOKUP($A186,HN!$A:$AM,39,FALSE)</f>
        <v>0</v>
      </c>
      <c r="S186" s="362">
        <f>_xlfn.IFNA(VLOOKUP(A186,'Post 16'!A:AR,44,FALSE),0)</f>
        <v>0</v>
      </c>
      <c r="U186" s="362">
        <f>VLOOKUP(A186,'LA Deductions'!A:W,23,FALSE)</f>
        <v>-5139.75</v>
      </c>
      <c r="W186" s="289">
        <f>VLOOKUP($A186,'Summary Mar 2026'!$A:$AAG,189,FALSE)-SUMIFS($H186:$U186,$H$7:$U$7,W$7)</f>
        <v>0</v>
      </c>
      <c r="X186" s="289">
        <f>VLOOKUP($A186,'Summary Mar 2026'!$A:$GL,190,FALSE)-SUMIFS($H186:$U186,$H$7:$U$7,X$7)</f>
        <v>0</v>
      </c>
      <c r="Y186" s="289">
        <f>VLOOKUP($A186,'Summary Mar 2026'!$A:$GL,191,FALSE)-SUMIFS($H186:$U186,$H$7:$U$7,Y$7)</f>
        <v>0</v>
      </c>
      <c r="Z186" s="289">
        <f>VLOOKUP($A186,'Summary Mar 2026'!$A:$GL,192,FALSE)-SUMIFS($H186:$U186,$H$7:$U$7,Z$7)</f>
        <v>0</v>
      </c>
      <c r="AA186" s="289">
        <f>VLOOKUP($A186,'Summary Mar 2026'!$A:$GL,193,FALSE)-SUMIFS($H186:$U186,$H$7:$U$7,AA$7)</f>
        <v>0</v>
      </c>
      <c r="AB186" s="289">
        <f>VLOOKUP($A186,'Summary Mar 2026'!$A:$GL,194,FALSE)-SUMIFS($H186:$U186,$H$7:$U$7,AB$7)</f>
        <v>0</v>
      </c>
      <c r="AD186" s="146">
        <f>_xlfn.IFNA(VLOOKUP($A186,'Summary Mar 2026'!$A:$GS,196,FALSE)+VLOOKUP($A186,OtherDSG!$A:$AI,34,FALSE)+VLOOKUP($A186,Grants!$A:$BE,50,FALSE),0)</f>
        <v>1003303.6823757245</v>
      </c>
      <c r="AE186" s="146">
        <f>_xlfn.IFNA(VLOOKUP($A186,'Summary Mar 2026'!$A:$GS,197,FALSE)+VLOOKUP($A186,Grants!$A:$BE,51,FALSE),0)</f>
        <v>0</v>
      </c>
      <c r="AF186" s="146">
        <f>_xlfn.IFNA(VLOOKUP($A186,'Summary Mar 2026'!$A:$GS,198,FALSE)+VLOOKUP($A186,OtherDSG!$A:$AI,35,FALSE)+VLOOKUP($A186,Grants!$A:$BE,52,FALSE),0)</f>
        <v>75034.263333333336</v>
      </c>
      <c r="AG186" s="146">
        <f>_xlfn.IFNA(VLOOKUP($A186,Grants!$A:$BE,53,FALSE),0)</f>
        <v>74235</v>
      </c>
      <c r="AH186" s="146">
        <f>_xlfn.IFNA(VLOOKUP($A186,Grants!$A:$BE,54,FALSE),0)</f>
        <v>33898</v>
      </c>
      <c r="AI186" s="146">
        <f>_xlfn.IFNA(VLOOKUP($A186,Grants!$A:$BE,55,FALSE),0)</f>
        <v>0</v>
      </c>
      <c r="AJ186" s="146">
        <f>_xlfn.IFNA(VLOOKUP($A186,Barclays!$A:$T,18,FALSE),0)</f>
        <v>838.70999999999992</v>
      </c>
      <c r="AK186" s="146">
        <f>_xlfn.IFNA(VLOOKUP($A186,'Summary Mar 2026'!$A:$GS,200,FALSE),0)</f>
        <v>-7207.9599999999982</v>
      </c>
      <c r="AL186" s="146">
        <f>_xlfn.IFNA(VLOOKUP($A186,Barclays!$A:$T,19,FALSE),0)</f>
        <v>-3.3200000000000003</v>
      </c>
      <c r="AM186" s="146">
        <f>_xlfn.IFNA(VLOOKUP($A186,'Summary Mar 2026'!$A:$GS,201,FALSE),0)</f>
        <v>-5139.75</v>
      </c>
      <c r="AN186" s="146">
        <f>_xlfn.IFNA(VLOOKUP($A186,'Summary Mar 2026'!$A:$GS,199,FALSE),0)</f>
        <v>-3938.0799999999995</v>
      </c>
      <c r="AO186" s="146">
        <f>_xlfn.IFNA(VLOOKUP($A186,Grants!$A:$BE,56,FALSE),0)</f>
        <v>0</v>
      </c>
      <c r="AP186" s="65">
        <f t="shared" si="2"/>
        <v>1171020.5457090577</v>
      </c>
    </row>
    <row r="187" spans="1:42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0" t="str">
        <f>VLOOKUP(A187,'Summary Mar 2026'!$A$8:$F$206,6,FALSE)</f>
        <v>Chq Bk</v>
      </c>
      <c r="H187" s="288">
        <f>_xlfn.IFNA(VLOOKUP($A187,ISB!$A:$BY,67,FALSE),0)</f>
        <v>3161174.8</v>
      </c>
      <c r="I187" s="861">
        <f>_xlfn.IFNA(VLOOKUP(A187,'LA Deductions'!A:AN,40,FALSE),0)</f>
        <v>0</v>
      </c>
      <c r="J187" s="221">
        <f>_xlfn.IFNA(VLOOKUP($A187,ISB!$A:$BY,72,FALSE),0)</f>
        <v>-16326.079999999998</v>
      </c>
      <c r="K187" s="289">
        <f>-_xlfn.IFNA(VLOOKUP($A187,ISB!$A:$BY,76,FALSE),0)</f>
        <v>-59344.800000000003</v>
      </c>
      <c r="M187" s="288">
        <f>VLOOKUP($A187,EY!$A:$AAK,132,FALSE)</f>
        <v>105827.22748033241</v>
      </c>
      <c r="N187" s="288">
        <f>VLOOKUP($A187,EY!$A:$AAD,133,FALSE)</f>
        <v>0</v>
      </c>
      <c r="P187" s="288">
        <f>VLOOKUP($A187,HN!$A:$AM,38,FALSE)</f>
        <v>6000</v>
      </c>
      <c r="Q187" s="288">
        <f>VLOOKUP($A187,HN!$A:$AM,39,FALSE)</f>
        <v>21934.559999999998</v>
      </c>
      <c r="S187" s="362">
        <f>_xlfn.IFNA(VLOOKUP(A187,'Post 16'!A:AR,44,FALSE),0)</f>
        <v>0</v>
      </c>
      <c r="U187" s="362">
        <f>VLOOKUP(A187,'LA Deductions'!A:W,23,FALSE)</f>
        <v>-18745.650000000001</v>
      </c>
      <c r="W187" s="289">
        <f>VLOOKUP($A187,'Summary Mar 2026'!$A:$AAG,189,FALSE)-SUMIFS($H187:$U187,$H$7:$U$7,W$7)</f>
        <v>0</v>
      </c>
      <c r="X187" s="289">
        <f>VLOOKUP($A187,'Summary Mar 2026'!$A:$GL,190,FALSE)-SUMIFS($H187:$U187,$H$7:$U$7,X$7)</f>
        <v>0</v>
      </c>
      <c r="Y187" s="289">
        <f>VLOOKUP($A187,'Summary Mar 2026'!$A:$GL,191,FALSE)-SUMIFS($H187:$U187,$H$7:$U$7,Y$7)</f>
        <v>0</v>
      </c>
      <c r="Z187" s="289">
        <f>VLOOKUP($A187,'Summary Mar 2026'!$A:$GL,192,FALSE)-SUMIFS($H187:$U187,$H$7:$U$7,Z$7)</f>
        <v>0</v>
      </c>
      <c r="AA187" s="289">
        <f>VLOOKUP($A187,'Summary Mar 2026'!$A:$GL,193,FALSE)-SUMIFS($H187:$U187,$H$7:$U$7,AA$7)</f>
        <v>0</v>
      </c>
      <c r="AB187" s="289">
        <f>VLOOKUP($A187,'Summary Mar 2026'!$A:$GL,194,FALSE)-SUMIFS($H187:$U187,$H$7:$U$7,AB$7)</f>
        <v>0</v>
      </c>
      <c r="AD187" s="146">
        <f>_xlfn.IFNA(VLOOKUP($A187,'Summary Mar 2026'!$A:$GS,196,FALSE)+VLOOKUP($A187,OtherDSG!$A:$AI,34,FALSE)+VLOOKUP($A187,Grants!$A:$BE,50,FALSE),0)</f>
        <v>3367924.1474803332</v>
      </c>
      <c r="AE187" s="146">
        <f>_xlfn.IFNA(VLOOKUP($A187,'Summary Mar 2026'!$A:$GS,197,FALSE)+VLOOKUP($A187,Grants!$A:$BE,51,FALSE),0)</f>
        <v>0</v>
      </c>
      <c r="AF187" s="146">
        <f>_xlfn.IFNA(VLOOKUP($A187,'Summary Mar 2026'!$A:$GS,198,FALSE)+VLOOKUP($A187,OtherDSG!$A:$AI,35,FALSE)+VLOOKUP($A187,Grants!$A:$BE,52,FALSE),0)</f>
        <v>125484.553</v>
      </c>
      <c r="AG187" s="146">
        <f>_xlfn.IFNA(VLOOKUP($A187,Grants!$A:$BE,53,FALSE),0)</f>
        <v>235985</v>
      </c>
      <c r="AH187" s="146">
        <f>_xlfn.IFNA(VLOOKUP($A187,Grants!$A:$BE,54,FALSE),0)</f>
        <v>117735.2</v>
      </c>
      <c r="AI187" s="146">
        <f>_xlfn.IFNA(VLOOKUP($A187,Grants!$A:$BE,55,FALSE),0)</f>
        <v>0</v>
      </c>
      <c r="AJ187" s="146">
        <f>_xlfn.IFNA(VLOOKUP($A187,Barclays!$A:$T,18,FALSE),0)</f>
        <v>7962.457290000084</v>
      </c>
      <c r="AK187" s="146">
        <f>_xlfn.IFNA(VLOOKUP($A187,'Summary Mar 2026'!$A:$GS,200,FALSE),0)</f>
        <v>-59344.80000000001</v>
      </c>
      <c r="AL187" s="146">
        <f>_xlfn.IFNA(VLOOKUP($A187,Barclays!$A:$T,19,FALSE),0)</f>
        <v>-96.740000000000009</v>
      </c>
      <c r="AM187" s="146">
        <f>_xlfn.IFNA(VLOOKUP($A187,'Summary Mar 2026'!$A:$GS,201,FALSE),0)</f>
        <v>-18745.650000000001</v>
      </c>
      <c r="AN187" s="146">
        <f>_xlfn.IFNA(VLOOKUP($A187,'Summary Mar 2026'!$A:$GS,199,FALSE),0)</f>
        <v>-16326.079999999996</v>
      </c>
      <c r="AO187" s="146">
        <f>_xlfn.IFNA(VLOOKUP($A187,Grants!$A:$BE,56,FALSE),0)</f>
        <v>11383.38</v>
      </c>
      <c r="AP187" s="65">
        <f t="shared" si="2"/>
        <v>3771961.4677703334</v>
      </c>
    </row>
    <row r="188" spans="1:42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0" t="str">
        <f>VLOOKUP(A188,'Summary Mar 2026'!$A$8:$F$206,6,FALSE)</f>
        <v>Chq Bk</v>
      </c>
      <c r="H188" s="288">
        <f>_xlfn.IFNA(VLOOKUP($A188,ISB!$A:$BY,67,FALSE),0)</f>
        <v>0</v>
      </c>
      <c r="I188" s="861">
        <f>_xlfn.IFNA(VLOOKUP(A188,'LA Deductions'!A:AN,40,FALSE),0)</f>
        <v>0</v>
      </c>
      <c r="J188" s="221">
        <f>_xlfn.IFNA(VLOOKUP($A188,ISB!$A:$BY,72,FALSE),0)</f>
        <v>0</v>
      </c>
      <c r="K188" s="289">
        <f>-_xlfn.IFNA(VLOOKUP($A188,ISB!$A:$BY,76,FALSE),0)</f>
        <v>0</v>
      </c>
      <c r="M188" s="288">
        <f>VLOOKUP($A188,EY!$A:$AAK,132,FALSE)</f>
        <v>589939.22846703767</v>
      </c>
      <c r="N188" s="288">
        <f>VLOOKUP($A188,EY!$A:$AAD,133,FALSE)</f>
        <v>938</v>
      </c>
      <c r="P188" s="288">
        <f>VLOOKUP($A188,HN!$A:$AM,38,FALSE)</f>
        <v>0</v>
      </c>
      <c r="Q188" s="288">
        <f>VLOOKUP($A188,HN!$A:$AM,39,FALSE)</f>
        <v>0</v>
      </c>
      <c r="S188" s="362">
        <f>_xlfn.IFNA(VLOOKUP(A188,'Post 16'!A:AR,44,FALSE),0)</f>
        <v>0</v>
      </c>
      <c r="U188" s="362">
        <f>VLOOKUP(A188,'LA Deductions'!A:W,23,FALSE)</f>
        <v>-3291.75</v>
      </c>
      <c r="W188" s="289">
        <f>VLOOKUP($A188,'Summary Mar 2026'!$A:$AAG,189,FALSE)-SUMIFS($H188:$U188,$H$7:$U$7,W$7)</f>
        <v>0</v>
      </c>
      <c r="X188" s="289">
        <f>VLOOKUP($A188,'Summary Mar 2026'!$A:$GL,190,FALSE)-SUMIFS($H188:$U188,$H$7:$U$7,X$7)</f>
        <v>0</v>
      </c>
      <c r="Y188" s="289">
        <f>VLOOKUP($A188,'Summary Mar 2026'!$A:$GL,191,FALSE)-SUMIFS($H188:$U188,$H$7:$U$7,Y$7)</f>
        <v>0</v>
      </c>
      <c r="Z188" s="289">
        <f>VLOOKUP($A188,'Summary Mar 2026'!$A:$GL,192,FALSE)-SUMIFS($H188:$U188,$H$7:$U$7,Z$7)</f>
        <v>0</v>
      </c>
      <c r="AA188" s="289">
        <f>VLOOKUP($A188,'Summary Mar 2026'!$A:$GL,193,FALSE)-SUMIFS($H188:$U188,$H$7:$U$7,AA$7)</f>
        <v>0</v>
      </c>
      <c r="AB188" s="289">
        <f>VLOOKUP($A188,'Summary Mar 2026'!$A:$GL,194,FALSE)-SUMIFS($H188:$U188,$H$7:$U$7,AB$7)</f>
        <v>0</v>
      </c>
      <c r="AD188" s="146">
        <f>_xlfn.IFNA(VLOOKUP($A188,'Summary Mar 2026'!$A:$GS,196,FALSE)+VLOOKUP($A188,OtherDSG!$A:$AI,34,FALSE)+VLOOKUP($A188,Grants!$A:$BE,50,FALSE),0)</f>
        <v>602975.22846703755</v>
      </c>
      <c r="AE188" s="146">
        <f>_xlfn.IFNA(VLOOKUP($A188,'Summary Mar 2026'!$A:$GS,197,FALSE)+VLOOKUP($A188,Grants!$A:$BE,51,FALSE),0)</f>
        <v>0</v>
      </c>
      <c r="AF188" s="146">
        <f>_xlfn.IFNA(VLOOKUP($A188,'Summary Mar 2026'!$A:$GS,198,FALSE)+VLOOKUP($A188,OtherDSG!$A:$AI,35,FALSE)+VLOOKUP($A188,Grants!$A:$BE,52,FALSE),0)</f>
        <v>9337.1633999999995</v>
      </c>
      <c r="AG188" s="146">
        <f>_xlfn.IFNA(VLOOKUP($A188,Grants!$A:$BE,53,FALSE),0)</f>
        <v>0</v>
      </c>
      <c r="AH188" s="146">
        <f>_xlfn.IFNA(VLOOKUP($A188,Grants!$A:$BE,54,FALSE),0)</f>
        <v>0</v>
      </c>
      <c r="AI188" s="146">
        <f>_xlfn.IFNA(VLOOKUP($A188,Grants!$A:$BE,55,FALSE),0)</f>
        <v>0</v>
      </c>
      <c r="AJ188" s="146">
        <f>_xlfn.IFNA(VLOOKUP($A188,Barclays!$A:$T,18,FALSE),0)</f>
        <v>0</v>
      </c>
      <c r="AK188" s="146">
        <f>_xlfn.IFNA(VLOOKUP($A188,'Summary Mar 2026'!$A:$GS,200,FALSE),0)</f>
        <v>0</v>
      </c>
      <c r="AL188" s="146">
        <f>_xlfn.IFNA(VLOOKUP($A188,Barclays!$A:$T,19,FALSE),0)</f>
        <v>0</v>
      </c>
      <c r="AM188" s="146">
        <f>_xlfn.IFNA(VLOOKUP($A188,'Summary Mar 2026'!$A:$GS,201,FALSE),0)</f>
        <v>-3291.75</v>
      </c>
      <c r="AN188" s="146">
        <f>_xlfn.IFNA(VLOOKUP($A188,'Summary Mar 2026'!$A:$GS,199,FALSE),0)</f>
        <v>0</v>
      </c>
      <c r="AO188" s="146">
        <f>_xlfn.IFNA(VLOOKUP($A188,Grants!$A:$BE,56,FALSE),0)</f>
        <v>4556.88</v>
      </c>
      <c r="AP188" s="65">
        <f t="shared" si="2"/>
        <v>613577.52186703752</v>
      </c>
    </row>
    <row r="189" spans="1:42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0" t="str">
        <f>VLOOKUP(A189,'Summary Mar 2026'!$A$8:$F$206,6,FALSE)</f>
        <v>Chq Bk</v>
      </c>
      <c r="H189" s="288">
        <f>_xlfn.IFNA(VLOOKUP($A189,ISB!$A:$BY,67,FALSE),0)</f>
        <v>1745272.4101458332</v>
      </c>
      <c r="I189" s="861">
        <f>_xlfn.IFNA(VLOOKUP(A189,'LA Deductions'!A:AN,40,FALSE),0)</f>
        <v>0</v>
      </c>
      <c r="J189" s="221">
        <f>_xlfn.IFNA(VLOOKUP($A189,ISB!$A:$BY,72,FALSE),0)</f>
        <v>-7797.9199999999992</v>
      </c>
      <c r="K189" s="289">
        <f>-_xlfn.IFNA(VLOOKUP($A189,ISB!$A:$BY,76,FALSE),0)</f>
        <v>-23631.7</v>
      </c>
      <c r="M189" s="288">
        <f>VLOOKUP($A189,EY!$A:$AAK,132,FALSE)</f>
        <v>31816.676842105266</v>
      </c>
      <c r="N189" s="288">
        <f>VLOOKUP($A189,EY!$A:$AAD,133,FALSE)</f>
        <v>0</v>
      </c>
      <c r="P189" s="288">
        <f>VLOOKUP($A189,HN!$A:$AM,38,FALSE)</f>
        <v>0</v>
      </c>
      <c r="Q189" s="288">
        <f>VLOOKUP($A189,HN!$A:$AM,39,FALSE)</f>
        <v>0</v>
      </c>
      <c r="S189" s="362">
        <f>_xlfn.IFNA(VLOOKUP(A189,'Post 16'!A:AR,44,FALSE),0)</f>
        <v>0</v>
      </c>
      <c r="U189" s="362">
        <f>VLOOKUP(A189,'LA Deductions'!A:W,23,FALSE)</f>
        <v>-5139.75</v>
      </c>
      <c r="W189" s="289">
        <f>VLOOKUP($A189,'Summary Mar 2026'!$A:$AAG,189,FALSE)-SUMIFS($H189:$U189,$H$7:$U$7,W$7)</f>
        <v>0</v>
      </c>
      <c r="X189" s="289">
        <f>VLOOKUP($A189,'Summary Mar 2026'!$A:$GL,190,FALSE)-SUMIFS($H189:$U189,$H$7:$U$7,X$7)</f>
        <v>0</v>
      </c>
      <c r="Y189" s="289">
        <f>VLOOKUP($A189,'Summary Mar 2026'!$A:$GL,191,FALSE)-SUMIFS($H189:$U189,$H$7:$U$7,Y$7)</f>
        <v>0</v>
      </c>
      <c r="Z189" s="289">
        <f>VLOOKUP($A189,'Summary Mar 2026'!$A:$GL,192,FALSE)-SUMIFS($H189:$U189,$H$7:$U$7,Z$7)</f>
        <v>0</v>
      </c>
      <c r="AA189" s="289">
        <f>VLOOKUP($A189,'Summary Mar 2026'!$A:$GL,193,FALSE)-SUMIFS($H189:$U189,$H$7:$U$7,AA$7)</f>
        <v>0</v>
      </c>
      <c r="AB189" s="289">
        <f>VLOOKUP($A189,'Summary Mar 2026'!$A:$GL,194,FALSE)-SUMIFS($H189:$U189,$H$7:$U$7,AB$7)</f>
        <v>0</v>
      </c>
      <c r="AD189" s="146">
        <f>_xlfn.IFNA(VLOOKUP($A189,'Summary Mar 2026'!$A:$GS,196,FALSE)+VLOOKUP($A189,OtherDSG!$A:$AI,34,FALSE)+VLOOKUP($A189,Grants!$A:$BE,50,FALSE),0)</f>
        <v>1830615.0869879385</v>
      </c>
      <c r="AE189" s="146">
        <f>_xlfn.IFNA(VLOOKUP($A189,'Summary Mar 2026'!$A:$GS,197,FALSE)+VLOOKUP($A189,Grants!$A:$BE,51,FALSE),0)</f>
        <v>0</v>
      </c>
      <c r="AF189" s="146">
        <f>_xlfn.IFNA(VLOOKUP($A189,'Summary Mar 2026'!$A:$GS,198,FALSE)+VLOOKUP($A189,OtherDSG!$A:$AI,35,FALSE)+VLOOKUP($A189,Grants!$A:$BE,52,FALSE),0)</f>
        <v>58664.673333333325</v>
      </c>
      <c r="AG189" s="146">
        <f>_xlfn.IFNA(VLOOKUP($A189,Grants!$A:$BE,53,FALSE),0)</f>
        <v>190490</v>
      </c>
      <c r="AH189" s="146">
        <f>_xlfn.IFNA(VLOOKUP($A189,Grants!$A:$BE,54,FALSE),0)</f>
        <v>74880.350000000006</v>
      </c>
      <c r="AI189" s="146">
        <f>_xlfn.IFNA(VLOOKUP($A189,Grants!$A:$BE,55,FALSE),0)</f>
        <v>0</v>
      </c>
      <c r="AJ189" s="146">
        <f>_xlfn.IFNA(VLOOKUP($A189,Barclays!$A:$T,18,FALSE),0)</f>
        <v>4190.21</v>
      </c>
      <c r="AK189" s="146">
        <f>_xlfn.IFNA(VLOOKUP($A189,'Summary Mar 2026'!$A:$GS,200,FALSE),0)</f>
        <v>-23631.700000000008</v>
      </c>
      <c r="AL189" s="146">
        <f>_xlfn.IFNA(VLOOKUP($A189,Barclays!$A:$T,19,FALSE),0)</f>
        <v>-78.79000000000002</v>
      </c>
      <c r="AM189" s="146">
        <f>_xlfn.IFNA(VLOOKUP($A189,'Summary Mar 2026'!$A:$GS,201,FALSE),0)</f>
        <v>-5139.75</v>
      </c>
      <c r="AN189" s="146">
        <f>_xlfn.IFNA(VLOOKUP($A189,'Summary Mar 2026'!$A:$GS,199,FALSE),0)</f>
        <v>-7797.920000000001</v>
      </c>
      <c r="AO189" s="146">
        <f>_xlfn.IFNA(VLOOKUP($A189,Grants!$A:$BE,56,FALSE),0)</f>
        <v>7633.75</v>
      </c>
      <c r="AP189" s="65">
        <f t="shared" si="2"/>
        <v>2129825.9103212715</v>
      </c>
    </row>
    <row r="190" spans="1:42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0" t="str">
        <f>VLOOKUP(A190,'Summary Mar 2026'!$A$8:$F$206,6,FALSE)</f>
        <v>Academy</v>
      </c>
      <c r="H190" s="288">
        <f>_xlfn.IFNA(VLOOKUP($A190,ISB!$A:$BY,67,FALSE),0)-1772871.47</f>
        <v>1396497.78</v>
      </c>
      <c r="I190" s="861">
        <f>_xlfn.IFNA(VLOOKUP(A190,'LA Deductions'!A:AN,40,FALSE),0)</f>
        <v>0</v>
      </c>
      <c r="J190" s="221">
        <f>_xlfn.IFNA(VLOOKUP($A190,ISB!$A:$BY,72,FALSE),0)+9371.41333333333</f>
        <v>-6693.8666666666686</v>
      </c>
      <c r="K190" s="289">
        <f>-_xlfn.IFNA(VLOOKUP($A190,ISB!$A:$BY,76,FALSE),0)</f>
        <v>-117089.25</v>
      </c>
      <c r="M190" s="288">
        <f>VLOOKUP($A190,EY!$A:$AAK,132,FALSE)</f>
        <v>82346.515789473691</v>
      </c>
      <c r="N190" s="288">
        <f>VLOOKUP($A190,EY!$A:$AAD,133,FALSE)</f>
        <v>320.89</v>
      </c>
      <c r="P190" s="288">
        <f>VLOOKUP($A190,HN!$A:$AM,38,FALSE)</f>
        <v>0</v>
      </c>
      <c r="Q190" s="288">
        <f>VLOOKUP($A190,HN!$A:$AM,39,FALSE)</f>
        <v>0</v>
      </c>
      <c r="S190" s="362">
        <f>_xlfn.IFNA(VLOOKUP(A190,'Post 16'!A:AR,44,FALSE),0)</f>
        <v>0</v>
      </c>
      <c r="U190" s="362">
        <f>VLOOKUP(A190,'LA Deductions'!A:W,23,FALSE)</f>
        <v>-7810.6875</v>
      </c>
      <c r="W190" s="289">
        <f>VLOOKUP($A190,'Summary Mar 2026'!$A:$AAG,189,FALSE)-SUMIFS($H190:$U190,$H$7:$U$7,W$7)</f>
        <v>0</v>
      </c>
      <c r="X190" s="289">
        <f>VLOOKUP($A190,'Summary Mar 2026'!$A:$GL,190,FALSE)-SUMIFS($H190:$U190,$H$7:$U$7,X$7)</f>
        <v>0</v>
      </c>
      <c r="Y190" s="289">
        <f>VLOOKUP($A190,'Summary Mar 2026'!$A:$GL,191,FALSE)-SUMIFS($H190:$U190,$H$7:$U$7,Y$7)</f>
        <v>0</v>
      </c>
      <c r="Z190" s="289">
        <f>VLOOKUP($A190,'Summary Mar 2026'!$A:$GL,192,FALSE)-SUMIFS($H190:$U190,$H$7:$U$7,Z$7)</f>
        <v>0</v>
      </c>
      <c r="AA190" s="289">
        <f>VLOOKUP($A190,'Summary Mar 2026'!$A:$GL,193,FALSE)-SUMIFS($H190:$U190,$H$7:$U$7,AA$7)</f>
        <v>0</v>
      </c>
      <c r="AB190" s="289">
        <f>VLOOKUP($A190,'Summary Mar 2026'!$A:$GL,194,FALSE)-SUMIFS($H190:$U190,$H$7:$U$7,AB$7)</f>
        <v>0</v>
      </c>
      <c r="AD190" s="146">
        <f>_xlfn.IFNA(VLOOKUP($A190,'Summary Mar 2026'!$A:$GS,196,FALSE)+VLOOKUP($A190,OtherDSG!$A:$AI,34,FALSE)+VLOOKUP($A190,Grants!$A:$BE,50,FALSE),0)</f>
        <v>1478844.2957894735</v>
      </c>
      <c r="AE190" s="146">
        <f>_xlfn.IFNA(VLOOKUP($A190,'Summary Mar 2026'!$A:$GS,197,FALSE)+VLOOKUP($A190,Grants!$A:$BE,51,FALSE),0)</f>
        <v>0</v>
      </c>
      <c r="AF190" s="146">
        <f>_xlfn.IFNA(VLOOKUP($A190,'Summary Mar 2026'!$A:$GS,198,FALSE)+VLOOKUP($A190,OtherDSG!$A:$AI,35,FALSE)+VLOOKUP($A190,Grants!$A:$BE,52,FALSE),0)</f>
        <v>102201.65</v>
      </c>
      <c r="AG190" s="146">
        <f>_xlfn.IFNA(VLOOKUP($A190,Grants!$A:$BE,53,FALSE),0)</f>
        <v>78537.5</v>
      </c>
      <c r="AH190" s="146">
        <f>_xlfn.IFNA(VLOOKUP($A190,Grants!$A:$BE,54,FALSE),0)</f>
        <v>109035</v>
      </c>
      <c r="AI190" s="146">
        <f>_xlfn.IFNA(VLOOKUP($A190,Grants!$A:$BE,55,FALSE),0)</f>
        <v>0</v>
      </c>
      <c r="AJ190" s="146">
        <f>_xlfn.IFNA(VLOOKUP($A190,Barclays!$A:$T,18,FALSE),0)</f>
        <v>1080.04</v>
      </c>
      <c r="AK190" s="146">
        <f>_xlfn.IFNA(VLOOKUP($A190,'Summary Mar 2026'!$A:$GS,200,FALSE),0)</f>
        <v>-117089.25</v>
      </c>
      <c r="AL190" s="146">
        <f>_xlfn.IFNA(VLOOKUP($A190,Barclays!$A:$T,19,FALSE),0)</f>
        <v>-1.5999999999999943</v>
      </c>
      <c r="AM190" s="146">
        <f>_xlfn.IFNA(VLOOKUP($A190,'Summary Mar 2026'!$A:$GS,201,FALSE),0)</f>
        <v>-7810.6875</v>
      </c>
      <c r="AN190" s="146">
        <f>_xlfn.IFNA(VLOOKUP($A190,'Summary Mar 2026'!$A:$GS,199,FALSE),0)</f>
        <v>-6693.8666666666668</v>
      </c>
      <c r="AO190" s="146">
        <f>_xlfn.IFNA(VLOOKUP($A190,Grants!$A:$BE,56,FALSE),0)</f>
        <v>11553.25</v>
      </c>
      <c r="AP190" s="65">
        <f t="shared" si="2"/>
        <v>1649656.3316228066</v>
      </c>
    </row>
    <row r="191" spans="1:42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0" t="str">
        <f>VLOOKUP(A191,'Summary Mar 2026'!$A$8:$F$206,6,FALSE)</f>
        <v>Chq Bk</v>
      </c>
      <c r="H191" s="288">
        <f>_xlfn.IFNA(VLOOKUP($A191,ISB!$A:$BY,67,FALSE),0)</f>
        <v>0</v>
      </c>
      <c r="I191" s="861">
        <f>_xlfn.IFNA(VLOOKUP(A191,'LA Deductions'!A:AN,40,FALSE),0)</f>
        <v>0</v>
      </c>
      <c r="J191" s="221">
        <f>_xlfn.IFNA(VLOOKUP($A191,ISB!$A:$BY,72,FALSE),0)</f>
        <v>0</v>
      </c>
      <c r="K191" s="289">
        <f>-_xlfn.IFNA(VLOOKUP($A191,ISB!$A:$BY,76,FALSE),0)</f>
        <v>0</v>
      </c>
      <c r="M191" s="288">
        <f>VLOOKUP($A191,EY!$A:$AAK,132,FALSE)</f>
        <v>612469.61383012799</v>
      </c>
      <c r="N191" s="288">
        <f>VLOOKUP($A191,EY!$A:$AAD,133,FALSE)</f>
        <v>7239.4891966759005</v>
      </c>
      <c r="P191" s="288">
        <f>VLOOKUP($A191,HN!$A:$AM,38,FALSE)</f>
        <v>0</v>
      </c>
      <c r="Q191" s="288">
        <f>VLOOKUP($A191,HN!$A:$AM,39,FALSE)</f>
        <v>0</v>
      </c>
      <c r="S191" s="362">
        <f>_xlfn.IFNA(VLOOKUP(A191,'Post 16'!A:AR,44,FALSE),0)</f>
        <v>0</v>
      </c>
      <c r="U191" s="362">
        <f>VLOOKUP(A191,'LA Deductions'!A:W,23,FALSE)</f>
        <v>-3291.75</v>
      </c>
      <c r="W191" s="289">
        <f>VLOOKUP($A191,'Summary Mar 2026'!$A:$AAG,189,FALSE)-SUMIFS($H191:$U191,$H$7:$U$7,W$7)</f>
        <v>0</v>
      </c>
      <c r="X191" s="289">
        <f>VLOOKUP($A191,'Summary Mar 2026'!$A:$GL,190,FALSE)-SUMIFS($H191:$U191,$H$7:$U$7,X$7)</f>
        <v>0</v>
      </c>
      <c r="Y191" s="289">
        <f>VLOOKUP($A191,'Summary Mar 2026'!$A:$GL,191,FALSE)-SUMIFS($H191:$U191,$H$7:$U$7,Y$7)</f>
        <v>0</v>
      </c>
      <c r="Z191" s="289">
        <f>VLOOKUP($A191,'Summary Mar 2026'!$A:$GL,192,FALSE)-SUMIFS($H191:$U191,$H$7:$U$7,Z$7)</f>
        <v>0</v>
      </c>
      <c r="AA191" s="289">
        <f>VLOOKUP($A191,'Summary Mar 2026'!$A:$GL,193,FALSE)-SUMIFS($H191:$U191,$H$7:$U$7,AA$7)</f>
        <v>0</v>
      </c>
      <c r="AB191" s="289">
        <f>VLOOKUP($A191,'Summary Mar 2026'!$A:$GL,194,FALSE)-SUMIFS($H191:$U191,$H$7:$U$7,AB$7)</f>
        <v>0</v>
      </c>
      <c r="AD191" s="146">
        <f>_xlfn.IFNA(VLOOKUP($A191,'Summary Mar 2026'!$A:$GS,196,FALSE)+VLOOKUP($A191,OtherDSG!$A:$AI,34,FALSE)+VLOOKUP($A191,Grants!$A:$BE,50,FALSE),0)</f>
        <v>626171.61383012799</v>
      </c>
      <c r="AE191" s="146">
        <f>_xlfn.IFNA(VLOOKUP($A191,'Summary Mar 2026'!$A:$GS,197,FALSE)+VLOOKUP($A191,Grants!$A:$BE,51,FALSE),0)</f>
        <v>0</v>
      </c>
      <c r="AF191" s="146">
        <f>_xlfn.IFNA(VLOOKUP($A191,'Summary Mar 2026'!$A:$GS,198,FALSE)+VLOOKUP($A191,OtherDSG!$A:$AI,35,FALSE)+VLOOKUP($A191,Grants!$A:$BE,52,FALSE),0)</f>
        <v>26529.489196675902</v>
      </c>
      <c r="AG191" s="146">
        <f>_xlfn.IFNA(VLOOKUP($A191,Grants!$A:$BE,53,FALSE),0)</f>
        <v>0</v>
      </c>
      <c r="AH191" s="146">
        <f>_xlfn.IFNA(VLOOKUP($A191,Grants!$A:$BE,54,FALSE),0)</f>
        <v>876</v>
      </c>
      <c r="AI191" s="146">
        <f>_xlfn.IFNA(VLOOKUP($A191,Grants!$A:$BE,55,FALSE),0)</f>
        <v>0</v>
      </c>
      <c r="AJ191" s="146">
        <f>_xlfn.IFNA(VLOOKUP($A191,Barclays!$A:$T,18,FALSE),0)</f>
        <v>0</v>
      </c>
      <c r="AK191" s="146">
        <f>_xlfn.IFNA(VLOOKUP($A191,'Summary Mar 2026'!$A:$GS,200,FALSE),0)</f>
        <v>0</v>
      </c>
      <c r="AL191" s="146">
        <f>_xlfn.IFNA(VLOOKUP($A191,Barclays!$A:$T,19,FALSE),0)</f>
        <v>0</v>
      </c>
      <c r="AM191" s="146">
        <f>_xlfn.IFNA(VLOOKUP($A191,'Summary Mar 2026'!$A:$GS,201,FALSE),0)</f>
        <v>-3291.75</v>
      </c>
      <c r="AN191" s="146">
        <f>_xlfn.IFNA(VLOOKUP($A191,'Summary Mar 2026'!$A:$GS,199,FALSE),0)</f>
        <v>0</v>
      </c>
      <c r="AO191" s="146">
        <f>_xlfn.IFNA(VLOOKUP($A191,Grants!$A:$BE,56,FALSE),0)</f>
        <v>4567</v>
      </c>
      <c r="AP191" s="65">
        <f t="shared" si="2"/>
        <v>654852.35302680393</v>
      </c>
    </row>
    <row r="192" spans="1:42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0" t="str">
        <f>VLOOKUP(A192,'Summary Mar 2026'!$A$8:$F$206,6,FALSE)</f>
        <v>Chq Bk</v>
      </c>
      <c r="H192" s="288">
        <f>_xlfn.IFNA(VLOOKUP($A192,ISB!$A:$BY,67,FALSE),0)</f>
        <v>1579128.3450764706</v>
      </c>
      <c r="I192" s="861">
        <f>_xlfn.IFNA(VLOOKUP(A192,'LA Deductions'!A:AN,40,FALSE),0)</f>
        <v>0</v>
      </c>
      <c r="J192" s="221">
        <f>_xlfn.IFNA(VLOOKUP($A192,ISB!$A:$BY,72,FALSE),0)</f>
        <v>-6728.6399999999994</v>
      </c>
      <c r="K192" s="289">
        <f>-_xlfn.IFNA(VLOOKUP($A192,ISB!$A:$BY,76,FALSE),0)</f>
        <v>-35244.79</v>
      </c>
      <c r="M192" s="288">
        <f>VLOOKUP($A192,EY!$A:$AAK,132,FALSE)</f>
        <v>30563.092271468144</v>
      </c>
      <c r="N192" s="288">
        <f>VLOOKUP($A192,EY!$A:$AAD,133,FALSE)</f>
        <v>0</v>
      </c>
      <c r="P192" s="288">
        <f>VLOOKUP($A192,HN!$A:$AM,38,FALSE)</f>
        <v>0</v>
      </c>
      <c r="Q192" s="288">
        <f>VLOOKUP($A192,HN!$A:$AM,39,FALSE)</f>
        <v>0</v>
      </c>
      <c r="S192" s="362">
        <f>_xlfn.IFNA(VLOOKUP(A192,'Post 16'!A:AR,44,FALSE),0)</f>
        <v>0</v>
      </c>
      <c r="U192" s="362">
        <f>VLOOKUP(A192,'LA Deductions'!A:W,23,FALSE)</f>
        <v>-5139.75</v>
      </c>
      <c r="W192" s="289">
        <f>VLOOKUP($A192,'Summary Mar 2026'!$A:$AAG,189,FALSE)-SUMIFS($H192:$U192,$H$7:$U$7,W$7)</f>
        <v>0</v>
      </c>
      <c r="X192" s="289">
        <f>VLOOKUP($A192,'Summary Mar 2026'!$A:$GL,190,FALSE)-SUMIFS($H192:$U192,$H$7:$U$7,X$7)</f>
        <v>0</v>
      </c>
      <c r="Y192" s="289">
        <f>VLOOKUP($A192,'Summary Mar 2026'!$A:$GL,191,FALSE)-SUMIFS($H192:$U192,$H$7:$U$7,Y$7)</f>
        <v>0</v>
      </c>
      <c r="Z192" s="289">
        <f>VLOOKUP($A192,'Summary Mar 2026'!$A:$GL,192,FALSE)-SUMIFS($H192:$U192,$H$7:$U$7,Z$7)</f>
        <v>0</v>
      </c>
      <c r="AA192" s="289">
        <f>VLOOKUP($A192,'Summary Mar 2026'!$A:$GL,193,FALSE)-SUMIFS($H192:$U192,$H$7:$U$7,AA$7)</f>
        <v>0</v>
      </c>
      <c r="AB192" s="289">
        <f>VLOOKUP($A192,'Summary Mar 2026'!$A:$GL,194,FALSE)-SUMIFS($H192:$U192,$H$7:$U$7,AB$7)</f>
        <v>0</v>
      </c>
      <c r="AD192" s="146">
        <f>_xlfn.IFNA(VLOOKUP($A192,'Summary Mar 2026'!$A:$GS,196,FALSE)+VLOOKUP($A192,OtherDSG!$A:$AI,34,FALSE)+VLOOKUP($A192,Grants!$A:$BE,50,FALSE),0)</f>
        <v>1658431.4373479388</v>
      </c>
      <c r="AE192" s="146">
        <f>_xlfn.IFNA(VLOOKUP($A192,'Summary Mar 2026'!$A:$GS,197,FALSE)+VLOOKUP($A192,Grants!$A:$BE,51,FALSE),0)</f>
        <v>0</v>
      </c>
      <c r="AF192" s="146">
        <f>_xlfn.IFNA(VLOOKUP($A192,'Summary Mar 2026'!$A:$GS,198,FALSE)+VLOOKUP($A192,OtherDSG!$A:$AI,35,FALSE)+VLOOKUP($A192,Grants!$A:$BE,52,FALSE),0)</f>
        <v>129763.01</v>
      </c>
      <c r="AG192" s="146">
        <f>_xlfn.IFNA(VLOOKUP($A192,Grants!$A:$BE,53,FALSE),0)</f>
        <v>176855</v>
      </c>
      <c r="AH192" s="146">
        <f>_xlfn.IFNA(VLOOKUP($A192,Grants!$A:$BE,54,FALSE),0)</f>
        <v>44442</v>
      </c>
      <c r="AI192" s="146">
        <f>_xlfn.IFNA(VLOOKUP($A192,Grants!$A:$BE,55,FALSE),0)</f>
        <v>0</v>
      </c>
      <c r="AJ192" s="146">
        <f>_xlfn.IFNA(VLOOKUP($A192,Barclays!$A:$T,18,FALSE),0)</f>
        <v>2470.69</v>
      </c>
      <c r="AK192" s="146">
        <f>_xlfn.IFNA(VLOOKUP($A192,'Summary Mar 2026'!$A:$GS,200,FALSE),0)</f>
        <v>-35244.79</v>
      </c>
      <c r="AL192" s="146">
        <f>_xlfn.IFNA(VLOOKUP($A192,Barclays!$A:$T,19,FALSE),0)</f>
        <v>-281.52</v>
      </c>
      <c r="AM192" s="146">
        <f>_xlfn.IFNA(VLOOKUP($A192,'Summary Mar 2026'!$A:$GS,201,FALSE),0)</f>
        <v>-5139.75</v>
      </c>
      <c r="AN192" s="146">
        <f>_xlfn.IFNA(VLOOKUP($A192,'Summary Mar 2026'!$A:$GS,199,FALSE),0)</f>
        <v>-6728.64</v>
      </c>
      <c r="AO192" s="146">
        <f>_xlfn.IFNA(VLOOKUP($A192,Grants!$A:$BE,56,FALSE),0)</f>
        <v>7240</v>
      </c>
      <c r="AP192" s="65">
        <f t="shared" si="2"/>
        <v>1971807.4373479388</v>
      </c>
    </row>
    <row r="193" spans="1:42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0" t="str">
        <f>VLOOKUP(A193,'Summary Mar 2026'!$A$8:$F$206,6,FALSE)</f>
        <v>Chq Bk</v>
      </c>
      <c r="H193" s="288">
        <f>_xlfn.IFNA(VLOOKUP($A193,ISB!$A:$BY,67,FALSE),0)</f>
        <v>1109101.1488526065</v>
      </c>
      <c r="I193" s="861">
        <f>_xlfn.IFNA(VLOOKUP(A193,'LA Deductions'!A:AN,40,FALSE),0)</f>
        <v>0</v>
      </c>
      <c r="J193" s="221">
        <f>_xlfn.IFNA(VLOOKUP($A193,ISB!$A:$BY,72,FALSE),0)</f>
        <v>-5450.7199999999993</v>
      </c>
      <c r="K193" s="289">
        <f>-_xlfn.IFNA(VLOOKUP($A193,ISB!$A:$BY,76,FALSE),0)</f>
        <v>-15625.33</v>
      </c>
      <c r="M193" s="288">
        <f>VLOOKUP($A193,EY!$A:$AAK,132,FALSE)</f>
        <v>0</v>
      </c>
      <c r="N193" s="288">
        <f>VLOOKUP($A193,EY!$A:$AAD,133,FALSE)</f>
        <v>0</v>
      </c>
      <c r="P193" s="288">
        <f>VLOOKUP($A193,HN!$A:$AM,38,FALSE)</f>
        <v>0</v>
      </c>
      <c r="Q193" s="288">
        <f>VLOOKUP($A193,HN!$A:$AM,39,FALSE)</f>
        <v>0</v>
      </c>
      <c r="S193" s="362">
        <f>_xlfn.IFNA(VLOOKUP(A193,'Post 16'!A:AR,44,FALSE),0)</f>
        <v>0</v>
      </c>
      <c r="U193" s="362">
        <f>VLOOKUP(A193,'LA Deductions'!A:W,23,FALSE)</f>
        <v>-5139.75</v>
      </c>
      <c r="W193" s="289">
        <f>VLOOKUP($A193,'Summary Mar 2026'!$A:$AAG,189,FALSE)-SUMIFS($H193:$U193,$H$7:$U$7,W$7)</f>
        <v>0</v>
      </c>
      <c r="X193" s="289">
        <f>VLOOKUP($A193,'Summary Mar 2026'!$A:$GL,190,FALSE)-SUMIFS($H193:$U193,$H$7:$U$7,X$7)</f>
        <v>0</v>
      </c>
      <c r="Y193" s="289">
        <f>VLOOKUP($A193,'Summary Mar 2026'!$A:$GL,191,FALSE)-SUMIFS($H193:$U193,$H$7:$U$7,Y$7)</f>
        <v>0</v>
      </c>
      <c r="Z193" s="289">
        <f>VLOOKUP($A193,'Summary Mar 2026'!$A:$GL,192,FALSE)-SUMIFS($H193:$U193,$H$7:$U$7,Z$7)</f>
        <v>0</v>
      </c>
      <c r="AA193" s="289">
        <f>VLOOKUP($A193,'Summary Mar 2026'!$A:$GL,193,FALSE)-SUMIFS($H193:$U193,$H$7:$U$7,AA$7)</f>
        <v>0</v>
      </c>
      <c r="AB193" s="289">
        <f>VLOOKUP($A193,'Summary Mar 2026'!$A:$GL,194,FALSE)-SUMIFS($H193:$U193,$H$7:$U$7,AB$7)</f>
        <v>0</v>
      </c>
      <c r="AD193" s="146">
        <f>_xlfn.IFNA(VLOOKUP($A193,'Summary Mar 2026'!$A:$GS,196,FALSE)+VLOOKUP($A193,OtherDSG!$A:$AI,34,FALSE)+VLOOKUP($A193,Grants!$A:$BE,50,FALSE),0)</f>
        <v>1139903.1488526065</v>
      </c>
      <c r="AE193" s="146">
        <f>_xlfn.IFNA(VLOOKUP($A193,'Summary Mar 2026'!$A:$GS,197,FALSE)+VLOOKUP($A193,Grants!$A:$BE,51,FALSE),0)</f>
        <v>0</v>
      </c>
      <c r="AF193" s="146">
        <f>_xlfn.IFNA(VLOOKUP($A193,'Summary Mar 2026'!$A:$GS,198,FALSE)+VLOOKUP($A193,OtherDSG!$A:$AI,35,FALSE)+VLOOKUP($A193,Grants!$A:$BE,52,FALSE),0)</f>
        <v>89456.533333333326</v>
      </c>
      <c r="AG193" s="146">
        <f>_xlfn.IFNA(VLOOKUP($A193,Grants!$A:$BE,53,FALSE),0)</f>
        <v>45765</v>
      </c>
      <c r="AH193" s="146">
        <f>_xlfn.IFNA(VLOOKUP($A193,Grants!$A:$BE,54,FALSE),0)</f>
        <v>55219</v>
      </c>
      <c r="AI193" s="146">
        <f>_xlfn.IFNA(VLOOKUP($A193,Grants!$A:$BE,55,FALSE),0)</f>
        <v>0</v>
      </c>
      <c r="AJ193" s="146">
        <f>_xlfn.IFNA(VLOOKUP($A193,Barclays!$A:$T,18,FALSE),0)</f>
        <v>3352.64</v>
      </c>
      <c r="AK193" s="146">
        <f>_xlfn.IFNA(VLOOKUP($A193,'Summary Mar 2026'!$A:$GS,200,FALSE),0)</f>
        <v>-15625.330000000004</v>
      </c>
      <c r="AL193" s="146">
        <f>_xlfn.IFNA(VLOOKUP($A193,Barclays!$A:$T,19,FALSE),0)</f>
        <v>-42.930000000000014</v>
      </c>
      <c r="AM193" s="146">
        <f>_xlfn.IFNA(VLOOKUP($A193,'Summary Mar 2026'!$A:$GS,201,FALSE),0)</f>
        <v>-5139.75</v>
      </c>
      <c r="AN193" s="146">
        <f>_xlfn.IFNA(VLOOKUP($A193,'Summary Mar 2026'!$A:$GS,199,FALSE),0)</f>
        <v>-5450.7199999999984</v>
      </c>
      <c r="AO193" s="146">
        <f>_xlfn.IFNA(VLOOKUP($A193,Grants!$A:$BE,56,FALSE),0)</f>
        <v>6373.75</v>
      </c>
      <c r="AP193" s="65">
        <f t="shared" si="2"/>
        <v>1313811.3421859399</v>
      </c>
    </row>
    <row r="194" spans="1:42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0" t="str">
        <f>VLOOKUP(A194,'Summary Mar 2026'!$A$8:$F$206,6,FALSE)</f>
        <v>Chq Bk</v>
      </c>
      <c r="H194" s="288">
        <f>_xlfn.IFNA(VLOOKUP($A194,ISB!$A:$BY,67,FALSE),0)</f>
        <v>0</v>
      </c>
      <c r="I194" s="861">
        <f>_xlfn.IFNA(VLOOKUP(A194,'LA Deductions'!A:AN,40,FALSE),0)</f>
        <v>0</v>
      </c>
      <c r="J194" s="221">
        <f>_xlfn.IFNA(VLOOKUP($A194,ISB!$A:$BY,72,FALSE),0)</f>
        <v>0</v>
      </c>
      <c r="K194" s="289">
        <f>-_xlfn.IFNA(VLOOKUP($A194,ISB!$A:$BY,76,FALSE),0)</f>
        <v>0</v>
      </c>
      <c r="M194" s="288">
        <f>VLOOKUP($A194,EY!$A:$AAK,132,FALSE)</f>
        <v>0</v>
      </c>
      <c r="N194" s="288">
        <f>VLOOKUP($A194,EY!$A:$AAD,133,FALSE)</f>
        <v>0</v>
      </c>
      <c r="P194" s="288">
        <f>VLOOKUP($A194,HN!$A:$AM,38,FALSE)</f>
        <v>994950</v>
      </c>
      <c r="Q194" s="288">
        <f>VLOOKUP($A194,HN!$A:$AM,39,FALSE)</f>
        <v>1162454.0283562825</v>
      </c>
      <c r="S194" s="362">
        <f>_xlfn.IFNA(VLOOKUP(A194,'Post 16'!A:AR,44,FALSE),0)</f>
        <v>0</v>
      </c>
      <c r="U194" s="362">
        <f>VLOOKUP(A194,'LA Deductions'!A:W,23,FALSE)</f>
        <v>-3291.75</v>
      </c>
      <c r="W194" s="289">
        <f>VLOOKUP($A194,'Summary Mar 2026'!$A:$AAG,189,FALSE)-SUMIFS($H194:$U194,$H$7:$U$7,W$7)</f>
        <v>0</v>
      </c>
      <c r="X194" s="289">
        <f>VLOOKUP($A194,'Summary Mar 2026'!$A:$GL,190,FALSE)-SUMIFS($H194:$U194,$H$7:$U$7,X$7)</f>
        <v>0</v>
      </c>
      <c r="Y194" s="289">
        <f>VLOOKUP($A194,'Summary Mar 2026'!$A:$GL,191,FALSE)-SUMIFS($H194:$U194,$H$7:$U$7,Y$7)</f>
        <v>0</v>
      </c>
      <c r="Z194" s="289">
        <f>VLOOKUP($A194,'Summary Mar 2026'!$A:$GL,192,FALSE)-SUMIFS($H194:$U194,$H$7:$U$7,Z$7)</f>
        <v>0</v>
      </c>
      <c r="AA194" s="289">
        <f>VLOOKUP($A194,'Summary Mar 2026'!$A:$GL,193,FALSE)-SUMIFS($H194:$U194,$H$7:$U$7,AA$7)</f>
        <v>0</v>
      </c>
      <c r="AB194" s="289">
        <f>VLOOKUP($A194,'Summary Mar 2026'!$A:$GL,194,FALSE)-SUMIFS($H194:$U194,$H$7:$U$7,AB$7)</f>
        <v>0</v>
      </c>
      <c r="AD194" s="146">
        <f>_xlfn.IFNA(VLOOKUP($A194,'Summary Mar 2026'!$A:$GS,196,FALSE)+VLOOKUP($A194,OtherDSG!$A:$AI,34,FALSE)+VLOOKUP($A194,Grants!$A:$BE,50,FALSE),0)</f>
        <v>991269.24130434787</v>
      </c>
      <c r="AE194" s="146">
        <f>_xlfn.IFNA(VLOOKUP($A194,'Summary Mar 2026'!$A:$GS,197,FALSE)+VLOOKUP($A194,Grants!$A:$BE,51,FALSE),0)</f>
        <v>12198.468821780953</v>
      </c>
      <c r="AF194" s="146">
        <f>_xlfn.IFNA(VLOOKUP($A194,'Summary Mar 2026'!$A:$GS,198,FALSE)+VLOOKUP($A194,OtherDSG!$A:$AI,35,FALSE)+VLOOKUP($A194,Grants!$A:$BE,52,FALSE),0)</f>
        <v>1490887.9937196181</v>
      </c>
      <c r="AG194" s="146">
        <f>_xlfn.IFNA(VLOOKUP($A194,Grants!$A:$BE,53,FALSE),0)</f>
        <v>45545</v>
      </c>
      <c r="AH194" s="146">
        <f>_xlfn.IFNA(VLOOKUP($A194,Grants!$A:$BE,54,FALSE),0)</f>
        <v>19791.93</v>
      </c>
      <c r="AI194" s="146">
        <f>_xlfn.IFNA(VLOOKUP($A194,Grants!$A:$BE,55,FALSE),0)</f>
        <v>0</v>
      </c>
      <c r="AJ194" s="146">
        <f>_xlfn.IFNA(VLOOKUP($A194,Barclays!$A:$T,18,FALSE),0)</f>
        <v>19307.13177500002</v>
      </c>
      <c r="AK194" s="146">
        <f>_xlfn.IFNA(VLOOKUP($A194,'Summary Mar 2026'!$A:$GS,200,FALSE),0)</f>
        <v>0</v>
      </c>
      <c r="AL194" s="146">
        <f>_xlfn.IFNA(VLOOKUP($A194,Barclays!$A:$T,19,FALSE),0)</f>
        <v>-177.11</v>
      </c>
      <c r="AM194" s="146">
        <f>_xlfn.IFNA(VLOOKUP($A194,'Summary Mar 2026'!$A:$GS,201,FALSE),0)</f>
        <v>-3291.75</v>
      </c>
      <c r="AN194" s="146">
        <f>_xlfn.IFNA(VLOOKUP($A194,'Summary Mar 2026'!$A:$GS,199,FALSE),0)</f>
        <v>0</v>
      </c>
      <c r="AO194" s="146">
        <f>_xlfn.IFNA(VLOOKUP($A194,Grants!$A:$BE,56,FALSE),0)</f>
        <v>8206.94</v>
      </c>
      <c r="AP194" s="65">
        <f t="shared" si="2"/>
        <v>2583737.8456207472</v>
      </c>
    </row>
    <row r="195" spans="1:42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0" t="str">
        <f>VLOOKUP(A195,'Summary Mar 2026'!$A$8:$F$206,6,FALSE)</f>
        <v>Chq Bk</v>
      </c>
      <c r="H195" s="288">
        <f>_xlfn.IFNA(VLOOKUP($A195,ISB!$A:$BY,67,FALSE),0)</f>
        <v>2022245.2966794143</v>
      </c>
      <c r="I195" s="861">
        <f>_xlfn.IFNA(VLOOKUP(A195,'LA Deductions'!A:AN,40,FALSE),0)</f>
        <v>0</v>
      </c>
      <c r="J195" s="221">
        <f>_xlfn.IFNA(VLOOKUP($A195,ISB!$A:$BY,72,FALSE),0)</f>
        <v>-10040.799999999999</v>
      </c>
      <c r="K195" s="289">
        <f>-_xlfn.IFNA(VLOOKUP($A195,ISB!$A:$BY,76,FALSE),0)</f>
        <v>-27559.83</v>
      </c>
      <c r="M195" s="288">
        <f>VLOOKUP($A195,EY!$A:$AAK,132,FALSE)</f>
        <v>94288.516869806088</v>
      </c>
      <c r="N195" s="288">
        <f>VLOOKUP($A195,EY!$A:$AAD,133,FALSE)</f>
        <v>0</v>
      </c>
      <c r="P195" s="288">
        <f>VLOOKUP($A195,HN!$A:$AM,38,FALSE)</f>
        <v>0</v>
      </c>
      <c r="Q195" s="288">
        <f>VLOOKUP($A195,HN!$A:$AM,39,FALSE)</f>
        <v>0</v>
      </c>
      <c r="S195" s="362">
        <f>_xlfn.IFNA(VLOOKUP(A195,'Post 16'!A:AR,44,FALSE),0)</f>
        <v>0</v>
      </c>
      <c r="U195" s="362">
        <f>VLOOKUP(A195,'LA Deductions'!A:W,23,FALSE)</f>
        <v>-9471</v>
      </c>
      <c r="W195" s="289">
        <f>VLOOKUP($A195,'Summary Mar 2026'!$A:$AAG,189,FALSE)-SUMIFS($H195:$U195,$H$7:$U$7,W$7)</f>
        <v>0</v>
      </c>
      <c r="X195" s="289">
        <f>VLOOKUP($A195,'Summary Mar 2026'!$A:$GL,190,FALSE)-SUMIFS($H195:$U195,$H$7:$U$7,X$7)</f>
        <v>0</v>
      </c>
      <c r="Y195" s="289">
        <f>VLOOKUP($A195,'Summary Mar 2026'!$A:$GL,191,FALSE)-SUMIFS($H195:$U195,$H$7:$U$7,Y$7)</f>
        <v>0</v>
      </c>
      <c r="Z195" s="289">
        <f>VLOOKUP($A195,'Summary Mar 2026'!$A:$GL,192,FALSE)-SUMIFS($H195:$U195,$H$7:$U$7,Z$7)</f>
        <v>0</v>
      </c>
      <c r="AA195" s="289">
        <f>VLOOKUP($A195,'Summary Mar 2026'!$A:$GL,193,FALSE)-SUMIFS($H195:$U195,$H$7:$U$7,AA$7)</f>
        <v>0</v>
      </c>
      <c r="AB195" s="289">
        <f>VLOOKUP($A195,'Summary Mar 2026'!$A:$GL,194,FALSE)-SUMIFS($H195:$U195,$H$7:$U$7,AB$7)</f>
        <v>0</v>
      </c>
      <c r="AD195" s="146">
        <f>_xlfn.IFNA(VLOOKUP($A195,'Summary Mar 2026'!$A:$GS,196,FALSE)+VLOOKUP($A195,OtherDSG!$A:$AI,34,FALSE)+VLOOKUP($A195,Grants!$A:$BE,50,FALSE),0)</f>
        <v>2179353.8135492201</v>
      </c>
      <c r="AE195" s="146">
        <f>_xlfn.IFNA(VLOOKUP($A195,'Summary Mar 2026'!$A:$GS,197,FALSE)+VLOOKUP($A195,Grants!$A:$BE,51,FALSE),0)</f>
        <v>0</v>
      </c>
      <c r="AF195" s="146">
        <f>_xlfn.IFNA(VLOOKUP($A195,'Summary Mar 2026'!$A:$GS,198,FALSE)+VLOOKUP($A195,OtherDSG!$A:$AI,35,FALSE)+VLOOKUP($A195,Grants!$A:$BE,52,FALSE),0)</f>
        <v>57533.259999999995</v>
      </c>
      <c r="AG195" s="146">
        <f>_xlfn.IFNA(VLOOKUP($A195,Grants!$A:$BE,53,FALSE),0)</f>
        <v>153730</v>
      </c>
      <c r="AH195" s="146">
        <f>_xlfn.IFNA(VLOOKUP($A195,Grants!$A:$BE,54,FALSE),0)</f>
        <v>81712.329999999987</v>
      </c>
      <c r="AI195" s="146">
        <f>_xlfn.IFNA(VLOOKUP($A195,Grants!$A:$BE,55,FALSE),0)</f>
        <v>0</v>
      </c>
      <c r="AJ195" s="146">
        <f>_xlfn.IFNA(VLOOKUP($A195,Barclays!$A:$T,18,FALSE),0)</f>
        <v>3628.63</v>
      </c>
      <c r="AK195" s="146">
        <f>_xlfn.IFNA(VLOOKUP($A195,'Summary Mar 2026'!$A:$GS,200,FALSE),0)</f>
        <v>-27559.83</v>
      </c>
      <c r="AL195" s="146">
        <f>_xlfn.IFNA(VLOOKUP($A195,Barclays!$A:$T,19,FALSE),0)</f>
        <v>-54.46</v>
      </c>
      <c r="AM195" s="146">
        <f>_xlfn.IFNA(VLOOKUP($A195,'Summary Mar 2026'!$A:$GS,201,FALSE),0)</f>
        <v>-9471</v>
      </c>
      <c r="AN195" s="146">
        <f>_xlfn.IFNA(VLOOKUP($A195,'Summary Mar 2026'!$A:$GS,199,FALSE),0)</f>
        <v>-10040.800000000001</v>
      </c>
      <c r="AO195" s="146">
        <f>_xlfn.IFNA(VLOOKUP($A195,Grants!$A:$BE,56,FALSE),0)</f>
        <v>8623.75</v>
      </c>
      <c r="AP195" s="65">
        <f t="shared" si="2"/>
        <v>2437455.69354922</v>
      </c>
    </row>
    <row r="196" spans="1:42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0" t="str">
        <f>VLOOKUP(A196,'Summary Mar 2026'!$A$8:$F$206,6,FALSE)</f>
        <v>Chq Bk</v>
      </c>
      <c r="H196" s="288">
        <f>_xlfn.IFNA(VLOOKUP($A196,ISB!$A:$BY,67,FALSE),0)</f>
        <v>0</v>
      </c>
      <c r="I196" s="861">
        <f>_xlfn.IFNA(VLOOKUP(A196,'LA Deductions'!A:AN,40,FALSE),0)</f>
        <v>0</v>
      </c>
      <c r="J196" s="221">
        <f>_xlfn.IFNA(VLOOKUP($A196,ISB!$A:$BY,72,FALSE),0)</f>
        <v>0</v>
      </c>
      <c r="K196" s="289">
        <f>-_xlfn.IFNA(VLOOKUP($A196,ISB!$A:$BY,76,FALSE),0)</f>
        <v>0</v>
      </c>
      <c r="M196" s="288">
        <f>VLOOKUP($A196,EY!$A:$AAK,132,FALSE)</f>
        <v>434232.72425949143</v>
      </c>
      <c r="N196" s="288">
        <f>VLOOKUP($A196,EY!$A:$AAD,133,FALSE)</f>
        <v>1237.3285318559556</v>
      </c>
      <c r="P196" s="288">
        <f>VLOOKUP($A196,HN!$A:$AM,38,FALSE)</f>
        <v>0</v>
      </c>
      <c r="Q196" s="288">
        <f>VLOOKUP($A196,HN!$A:$AM,39,FALSE)</f>
        <v>0</v>
      </c>
      <c r="S196" s="362">
        <f>_xlfn.IFNA(VLOOKUP(A196,'Post 16'!A:AR,44,FALSE),0)</f>
        <v>0</v>
      </c>
      <c r="U196" s="362">
        <f>VLOOKUP(A196,'LA Deductions'!A:W,23,FALSE)</f>
        <v>-1107</v>
      </c>
      <c r="W196" s="289">
        <f>VLOOKUP($A196,'Summary Mar 2026'!$A:$AAG,189,FALSE)-SUMIFS($H196:$U196,$H$7:$U$7,W$7)</f>
        <v>0</v>
      </c>
      <c r="X196" s="289">
        <f>VLOOKUP($A196,'Summary Mar 2026'!$A:$GL,190,FALSE)-SUMIFS($H196:$U196,$H$7:$U$7,X$7)</f>
        <v>0</v>
      </c>
      <c r="Y196" s="289">
        <f>VLOOKUP($A196,'Summary Mar 2026'!$A:$GL,191,FALSE)-SUMIFS($H196:$U196,$H$7:$U$7,Y$7)</f>
        <v>0</v>
      </c>
      <c r="Z196" s="289">
        <f>VLOOKUP($A196,'Summary Mar 2026'!$A:$GL,192,FALSE)-SUMIFS($H196:$U196,$H$7:$U$7,Z$7)</f>
        <v>0</v>
      </c>
      <c r="AA196" s="289">
        <f>VLOOKUP($A196,'Summary Mar 2026'!$A:$GL,193,FALSE)-SUMIFS($H196:$U196,$H$7:$U$7,AA$7)</f>
        <v>0</v>
      </c>
      <c r="AB196" s="289">
        <f>VLOOKUP($A196,'Summary Mar 2026'!$A:$GL,194,FALSE)-SUMIFS($H196:$U196,$H$7:$U$7,AB$7)</f>
        <v>0</v>
      </c>
      <c r="AD196" s="146">
        <f>_xlfn.IFNA(VLOOKUP($A196,'Summary Mar 2026'!$A:$GS,196,FALSE)+VLOOKUP($A196,OtherDSG!$A:$AI,34,FALSE)+VLOOKUP($A196,Grants!$A:$BE,50,FALSE),0)</f>
        <v>443838.89759282471</v>
      </c>
      <c r="AE196" s="146">
        <f>_xlfn.IFNA(VLOOKUP($A196,'Summary Mar 2026'!$A:$GS,197,FALSE)+VLOOKUP($A196,Grants!$A:$BE,51,FALSE),0)</f>
        <v>0</v>
      </c>
      <c r="AF196" s="146">
        <f>_xlfn.IFNA(VLOOKUP($A196,'Summary Mar 2026'!$A:$GS,198,FALSE)+VLOOKUP($A196,OtherDSG!$A:$AI,35,FALSE)+VLOOKUP($A196,Grants!$A:$BE,52,FALSE),0)</f>
        <v>8345.9999318559567</v>
      </c>
      <c r="AG196" s="146">
        <f>_xlfn.IFNA(VLOOKUP($A196,Grants!$A:$BE,53,FALSE),0)</f>
        <v>0</v>
      </c>
      <c r="AH196" s="146">
        <f>_xlfn.IFNA(VLOOKUP($A196,Grants!$A:$BE,54,FALSE),0)</f>
        <v>0</v>
      </c>
      <c r="AI196" s="146">
        <f>_xlfn.IFNA(VLOOKUP($A196,Grants!$A:$BE,55,FALSE),0)</f>
        <v>0</v>
      </c>
      <c r="AJ196" s="146">
        <f>_xlfn.IFNA(VLOOKUP($A196,Barclays!$A:$T,18,FALSE),0)</f>
        <v>1109.3670849999955</v>
      </c>
      <c r="AK196" s="146">
        <f>_xlfn.IFNA(VLOOKUP($A196,'Summary Mar 2026'!$A:$GS,200,FALSE),0)</f>
        <v>0</v>
      </c>
      <c r="AL196" s="146">
        <f>_xlfn.IFNA(VLOOKUP($A196,Barclays!$A:$T,19,FALSE),0)</f>
        <v>0</v>
      </c>
      <c r="AM196" s="146">
        <f>_xlfn.IFNA(VLOOKUP($A196,'Summary Mar 2026'!$A:$GS,201,FALSE),0)</f>
        <v>-1107</v>
      </c>
      <c r="AN196" s="146">
        <f>_xlfn.IFNA(VLOOKUP($A196,'Summary Mar 2026'!$A:$GS,199,FALSE),0)</f>
        <v>0</v>
      </c>
      <c r="AO196" s="146">
        <f>_xlfn.IFNA(VLOOKUP($A196,Grants!$A:$BE,56,FALSE),0)</f>
        <v>4689.8500000000004</v>
      </c>
      <c r="AP196" s="65">
        <f t="shared" si="2"/>
        <v>456877.1146096806</v>
      </c>
    </row>
    <row r="197" spans="1:42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0" t="str">
        <f>VLOOKUP(A197,'Summary Mar 2026'!$A$8:$F$206,6,FALSE)</f>
        <v>Academy</v>
      </c>
      <c r="H197" s="288">
        <f>_xlfn.IFNA(VLOOKUP($A197,ISB!$A:$BY,67,FALSE),0)-735625.08</f>
        <v>534321.43526730768</v>
      </c>
      <c r="I197" s="861">
        <f>_xlfn.IFNA(VLOOKUP(A197,'LA Deductions'!A:AN,40,FALSE),0)</f>
        <v>0</v>
      </c>
      <c r="J197" s="221">
        <f>_xlfn.IFNA(VLOOKUP($A197,ISB!$A:$BY,72,FALSE),0)+3073.09333333333</f>
        <v>-2195.0666666666698</v>
      </c>
      <c r="K197" s="289">
        <f>-_xlfn.IFNA(VLOOKUP($A197,ISB!$A:$BY,76,FALSE),0)</f>
        <v>-3444.98</v>
      </c>
      <c r="M197" s="288">
        <f>VLOOKUP($A197,EY!$A:$AAK,132,FALSE)</f>
        <v>35852.631578947367</v>
      </c>
      <c r="N197" s="288">
        <f>VLOOKUP($A197,EY!$A:$AAD,133,FALSE)</f>
        <v>0</v>
      </c>
      <c r="P197" s="288">
        <f>VLOOKUP($A197,HN!$A:$AM,38,FALSE)</f>
        <v>0</v>
      </c>
      <c r="Q197" s="288">
        <f>VLOOKUP($A197,HN!$A:$AM,39,FALSE)</f>
        <v>0</v>
      </c>
      <c r="S197" s="362">
        <f>_xlfn.IFNA(VLOOKUP(A197,'Post 16'!A:AR,44,FALSE),0)</f>
        <v>0</v>
      </c>
      <c r="U197" s="362">
        <f>VLOOKUP(A197,'LA Deductions'!A:W,23,FALSE)</f>
        <v>-2141.5625</v>
      </c>
      <c r="W197" s="289">
        <f>VLOOKUP($A197,'Summary Mar 2026'!$A:$AAG,189,FALSE)-SUMIFS($H197:$U197,$H$7:$U$7,W$7)</f>
        <v>0</v>
      </c>
      <c r="X197" s="289">
        <f>VLOOKUP($A197,'Summary Mar 2026'!$A:$GL,190,FALSE)-SUMIFS($H197:$U197,$H$7:$U$7,X$7)</f>
        <v>0</v>
      </c>
      <c r="Y197" s="289">
        <f>VLOOKUP($A197,'Summary Mar 2026'!$A:$GL,191,FALSE)-SUMIFS($H197:$U197,$H$7:$U$7,Y$7)</f>
        <v>0</v>
      </c>
      <c r="Z197" s="289">
        <f>VLOOKUP($A197,'Summary Mar 2026'!$A:$GL,192,FALSE)-SUMIFS($H197:$U197,$H$7:$U$7,Z$7)</f>
        <v>0</v>
      </c>
      <c r="AA197" s="289">
        <f>VLOOKUP($A197,'Summary Mar 2026'!$A:$GL,193,FALSE)-SUMIFS($H197:$U197,$H$7:$U$7,AA$7)</f>
        <v>0</v>
      </c>
      <c r="AB197" s="289">
        <f>VLOOKUP($A197,'Summary Mar 2026'!$A:$GL,194,FALSE)-SUMIFS($H197:$U197,$H$7:$U$7,AB$7)</f>
        <v>0</v>
      </c>
      <c r="AD197" s="146">
        <f>_xlfn.IFNA(VLOOKUP($A197,'Summary Mar 2026'!$A:$GS,196,FALSE)+VLOOKUP($A197,OtherDSG!$A:$AI,34,FALSE)+VLOOKUP($A197,Grants!$A:$BE,50,FALSE),0)</f>
        <v>570174.06684625498</v>
      </c>
      <c r="AE197" s="146">
        <f>_xlfn.IFNA(VLOOKUP($A197,'Summary Mar 2026'!$A:$GS,197,FALSE)+VLOOKUP($A197,Grants!$A:$BE,51,FALSE),0)</f>
        <v>0</v>
      </c>
      <c r="AF197" s="146">
        <f>_xlfn.IFNA(VLOOKUP($A197,'Summary Mar 2026'!$A:$GS,198,FALSE)+VLOOKUP($A197,OtherDSG!$A:$AI,35,FALSE)+VLOOKUP($A197,Grants!$A:$BE,52,FALSE),0)</f>
        <v>46933.33</v>
      </c>
      <c r="AG197" s="146">
        <f>_xlfn.IFNA(VLOOKUP($A197,Grants!$A:$BE,53,FALSE),0)</f>
        <v>58706.25</v>
      </c>
      <c r="AH197" s="146">
        <f>_xlfn.IFNA(VLOOKUP($A197,Grants!$A:$BE,54,FALSE),0)</f>
        <v>37351</v>
      </c>
      <c r="AI197" s="146">
        <f>_xlfn.IFNA(VLOOKUP($A197,Grants!$A:$BE,55,FALSE),0)</f>
        <v>0</v>
      </c>
      <c r="AJ197" s="146">
        <f>_xlfn.IFNA(VLOOKUP($A197,Barclays!$A:$T,18,FALSE),0)</f>
        <v>0</v>
      </c>
      <c r="AK197" s="146">
        <f>_xlfn.IFNA(VLOOKUP($A197,'Summary Mar 2026'!$A:$GS,200,FALSE),0)</f>
        <v>-3444.9800000000005</v>
      </c>
      <c r="AL197" s="146">
        <f>_xlfn.IFNA(VLOOKUP($A197,Barclays!$A:$T,19,FALSE),0)</f>
        <v>0</v>
      </c>
      <c r="AM197" s="146">
        <f>_xlfn.IFNA(VLOOKUP($A197,'Summary Mar 2026'!$A:$GS,201,FALSE),0)</f>
        <v>-2141.5625</v>
      </c>
      <c r="AN197" s="146">
        <f>_xlfn.IFNA(VLOOKUP($A197,'Summary Mar 2026'!$A:$GS,199,FALSE),0)</f>
        <v>-2195.0666666666698</v>
      </c>
      <c r="AO197" s="146">
        <f>_xlfn.IFNA(VLOOKUP($A197,Grants!$A:$BE,56,FALSE),0)</f>
        <v>0</v>
      </c>
      <c r="AP197" s="65">
        <f t="shared" si="2"/>
        <v>705383.03767958831</v>
      </c>
    </row>
    <row r="198" spans="1:42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0" t="str">
        <f>VLOOKUP(A198,'Summary Mar 2026'!$A$8:$F$206,6,FALSE)</f>
        <v>Academy</v>
      </c>
      <c r="H198" s="288">
        <f>_xlfn.IFNA(VLOOKUP($A198,ISB!$A:$BY,67,FALSE),0)-803145.78</f>
        <v>583448.04405083321</v>
      </c>
      <c r="I198" s="861">
        <f>_xlfn.IFNA(VLOOKUP(A198,'LA Deductions'!A:AN,40,FALSE),0)</f>
        <v>0</v>
      </c>
      <c r="J198" s="221">
        <f>_xlfn.IFNA(VLOOKUP($A198,ISB!$A:$BY,72,FALSE),0)+3133.94666666667</f>
        <v>-2238.5333333333297</v>
      </c>
      <c r="K198" s="289">
        <f>-_xlfn.IFNA(VLOOKUP($A198,ISB!$A:$BY,76,FALSE),0)</f>
        <v>-3842.48</v>
      </c>
      <c r="M198" s="288">
        <f>VLOOKUP($A198,EY!$A:$AAK,132,FALSE)</f>
        <v>28448.447368421053</v>
      </c>
      <c r="N198" s="288">
        <f>VLOOKUP($A198,EY!$A:$AAD,133,FALSE)</f>
        <v>0</v>
      </c>
      <c r="P198" s="288">
        <f>VLOOKUP($A198,HN!$A:$AM,38,FALSE)</f>
        <v>0</v>
      </c>
      <c r="Q198" s="288">
        <f>VLOOKUP($A198,HN!$A:$AM,39,FALSE)</f>
        <v>0</v>
      </c>
      <c r="S198" s="362">
        <f>_xlfn.IFNA(VLOOKUP(A198,'Post 16'!A:AR,44,FALSE),0)</f>
        <v>0</v>
      </c>
      <c r="U198" s="362">
        <f>VLOOKUP(A198,'LA Deductions'!A:W,23,FALSE)</f>
        <v>0</v>
      </c>
      <c r="W198" s="289">
        <f>VLOOKUP($A198,'Summary Mar 2026'!$A:$AAG,189,FALSE)-SUMIFS($H198:$U198,$H$7:$U$7,W$7)</f>
        <v>0</v>
      </c>
      <c r="X198" s="289">
        <f>VLOOKUP($A198,'Summary Mar 2026'!$A:$GL,190,FALSE)-SUMIFS($H198:$U198,$H$7:$U$7,X$7)</f>
        <v>0</v>
      </c>
      <c r="Y198" s="289">
        <f>VLOOKUP($A198,'Summary Mar 2026'!$A:$GL,191,FALSE)-SUMIFS($H198:$U198,$H$7:$U$7,Y$7)</f>
        <v>0</v>
      </c>
      <c r="Z198" s="289">
        <f>VLOOKUP($A198,'Summary Mar 2026'!$A:$GL,192,FALSE)-SUMIFS($H198:$U198,$H$7:$U$7,Z$7)</f>
        <v>0</v>
      </c>
      <c r="AA198" s="289">
        <f>VLOOKUP($A198,'Summary Mar 2026'!$A:$GL,193,FALSE)-SUMIFS($H198:$U198,$H$7:$U$7,AA$7)</f>
        <v>0</v>
      </c>
      <c r="AB198" s="289">
        <f>VLOOKUP($A198,'Summary Mar 2026'!$A:$GL,194,FALSE)-SUMIFS($H198:$U198,$H$7:$U$7,AB$7)</f>
        <v>0</v>
      </c>
      <c r="AD198" s="146">
        <f>_xlfn.IFNA(VLOOKUP($A198,'Summary Mar 2026'!$A:$GS,196,FALSE)+VLOOKUP($A198,OtherDSG!$A:$AI,34,FALSE)+VLOOKUP($A198,Grants!$A:$BE,50,FALSE),0)</f>
        <v>611896.49141925434</v>
      </c>
      <c r="AE198" s="146">
        <f>_xlfn.IFNA(VLOOKUP($A198,'Summary Mar 2026'!$A:$GS,197,FALSE)+VLOOKUP($A198,Grants!$A:$BE,51,FALSE),0)</f>
        <v>0</v>
      </c>
      <c r="AF198" s="146">
        <f>_xlfn.IFNA(VLOOKUP($A198,'Summary Mar 2026'!$A:$GS,198,FALSE)+VLOOKUP($A198,OtherDSG!$A:$AI,35,FALSE)+VLOOKUP($A198,Grants!$A:$BE,52,FALSE),0)</f>
        <v>13933.116666666667</v>
      </c>
      <c r="AG198" s="146">
        <f>_xlfn.IFNA(VLOOKUP($A198,Grants!$A:$BE,53,FALSE),0)</f>
        <v>89470.83</v>
      </c>
      <c r="AH198" s="146">
        <f>_xlfn.IFNA(VLOOKUP($A198,Grants!$A:$BE,54,FALSE),0)</f>
        <v>17606</v>
      </c>
      <c r="AI198" s="146">
        <f>_xlfn.IFNA(VLOOKUP($A198,Grants!$A:$BE,55,FALSE),0)</f>
        <v>0</v>
      </c>
      <c r="AJ198" s="146">
        <f>_xlfn.IFNA(VLOOKUP($A198,Barclays!$A:$T,18,FALSE),0)</f>
        <v>0</v>
      </c>
      <c r="AK198" s="146">
        <f>_xlfn.IFNA(VLOOKUP($A198,'Summary Mar 2026'!$A:$GS,200,FALSE),0)</f>
        <v>-3842.4800000000009</v>
      </c>
      <c r="AL198" s="146">
        <f>_xlfn.IFNA(VLOOKUP($A198,Barclays!$A:$T,19,FALSE),0)</f>
        <v>0</v>
      </c>
      <c r="AM198" s="146">
        <f>_xlfn.IFNA(VLOOKUP($A198,'Summary Mar 2026'!$A:$GS,201,FALSE),0)</f>
        <v>0</v>
      </c>
      <c r="AN198" s="146">
        <f>_xlfn.IFNA(VLOOKUP($A198,'Summary Mar 2026'!$A:$GS,199,FALSE),0)</f>
        <v>-2238.5333333333297</v>
      </c>
      <c r="AO198" s="146">
        <f>_xlfn.IFNA(VLOOKUP($A198,Grants!$A:$BE,56,FALSE),0)</f>
        <v>0</v>
      </c>
      <c r="AP198" s="65">
        <f t="shared" si="2"/>
        <v>726825.42475258769</v>
      </c>
    </row>
    <row r="199" spans="1:42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0" t="str">
        <f>VLOOKUP(A199,'Summary Mar 2026'!$A$8:$F$206,6,FALSE)</f>
        <v>Academy</v>
      </c>
      <c r="H199" s="288">
        <f>_xlfn.IFNA(VLOOKUP($A199,ISB!$A:$BY,67,FALSE),0)-1355265.69</f>
        <v>986000.58138582669</v>
      </c>
      <c r="I199" s="861">
        <f>_xlfn.IFNA(VLOOKUP(A199,'LA Deductions'!A:AN,40,FALSE),0)</f>
        <v>0</v>
      </c>
      <c r="J199" s="221">
        <f>_xlfn.IFNA(VLOOKUP($A199,ISB!$A:$BY,72,FALSE),0)+5674.57333333333</f>
        <v>-4053.2666666666701</v>
      </c>
      <c r="K199" s="289">
        <f>-_xlfn.IFNA(VLOOKUP($A199,ISB!$A:$BY,76,FALSE),0)</f>
        <v>-7949.95</v>
      </c>
      <c r="M199" s="288">
        <f>VLOOKUP($A199,EY!$A:$AAK,132,FALSE)</f>
        <v>0</v>
      </c>
      <c r="N199" s="288">
        <f>VLOOKUP($A199,EY!$A:$AAD,133,FALSE)</f>
        <v>0</v>
      </c>
      <c r="P199" s="288">
        <f>VLOOKUP($A199,HN!$A:$AM,38,FALSE)</f>
        <v>0</v>
      </c>
      <c r="Q199" s="288">
        <f>VLOOKUP($A199,HN!$A:$AM,39,FALSE)</f>
        <v>0</v>
      </c>
      <c r="S199" s="362">
        <f>_xlfn.IFNA(VLOOKUP(A199,'Post 16'!A:AR,44,FALSE),0)</f>
        <v>0</v>
      </c>
      <c r="U199" s="362">
        <f>VLOOKUP(A199,'LA Deductions'!A:W,23,FALSE)</f>
        <v>0</v>
      </c>
      <c r="W199" s="289">
        <f>VLOOKUP($A199,'Summary Mar 2026'!$A:$AAG,189,FALSE)-SUMIFS($H199:$U199,$H$7:$U$7,W$7)</f>
        <v>0</v>
      </c>
      <c r="X199" s="289">
        <f>VLOOKUP($A199,'Summary Mar 2026'!$A:$GL,190,FALSE)-SUMIFS($H199:$U199,$H$7:$U$7,X$7)</f>
        <v>0</v>
      </c>
      <c r="Y199" s="289">
        <f>VLOOKUP($A199,'Summary Mar 2026'!$A:$GL,191,FALSE)-SUMIFS($H199:$U199,$H$7:$U$7,Y$7)</f>
        <v>0</v>
      </c>
      <c r="Z199" s="289">
        <f>VLOOKUP($A199,'Summary Mar 2026'!$A:$GL,192,FALSE)-SUMIFS($H199:$U199,$H$7:$U$7,Z$7)</f>
        <v>0</v>
      </c>
      <c r="AA199" s="289">
        <f>VLOOKUP($A199,'Summary Mar 2026'!$A:$GL,193,FALSE)-SUMIFS($H199:$U199,$H$7:$U$7,AA$7)</f>
        <v>0</v>
      </c>
      <c r="AB199" s="289">
        <f>VLOOKUP($A199,'Summary Mar 2026'!$A:$GL,194,FALSE)-SUMIFS($H199:$U199,$H$7:$U$7,AB$7)</f>
        <v>0</v>
      </c>
      <c r="AD199" s="146">
        <f>_xlfn.IFNA(VLOOKUP($A199,'Summary Mar 2026'!$A:$GS,196,FALSE)+VLOOKUP($A199,OtherDSG!$A:$AI,34,FALSE)+VLOOKUP($A199,Grants!$A:$BE,50,FALSE),0)</f>
        <v>986000.58138582669</v>
      </c>
      <c r="AE199" s="146">
        <f>_xlfn.IFNA(VLOOKUP($A199,'Summary Mar 2026'!$A:$GS,197,FALSE)+VLOOKUP($A199,Grants!$A:$BE,51,FALSE),0)</f>
        <v>0</v>
      </c>
      <c r="AF199" s="146">
        <f>_xlfn.IFNA(VLOOKUP($A199,'Summary Mar 2026'!$A:$GS,198,FALSE)+VLOOKUP($A199,OtherDSG!$A:$AI,35,FALSE)+VLOOKUP($A199,Grants!$A:$BE,52,FALSE),0)</f>
        <v>67350.403599999991</v>
      </c>
      <c r="AG199" s="146">
        <f>_xlfn.IFNA(VLOOKUP($A199,Grants!$A:$BE,53,FALSE),0)</f>
        <v>134456.25</v>
      </c>
      <c r="AH199" s="146">
        <f>_xlfn.IFNA(VLOOKUP($A199,Grants!$A:$BE,54,FALSE),0)</f>
        <v>50853</v>
      </c>
      <c r="AI199" s="146">
        <f>_xlfn.IFNA(VLOOKUP($A199,Grants!$A:$BE,55,FALSE),0)</f>
        <v>0</v>
      </c>
      <c r="AJ199" s="146">
        <f>_xlfn.IFNA(VLOOKUP($A199,Barclays!$A:$T,18,FALSE),0)</f>
        <v>0</v>
      </c>
      <c r="AK199" s="146">
        <f>_xlfn.IFNA(VLOOKUP($A199,'Summary Mar 2026'!$A:$GS,200,FALSE),0)</f>
        <v>-7949.9499999999989</v>
      </c>
      <c r="AL199" s="146">
        <f>_xlfn.IFNA(VLOOKUP($A199,Barclays!$A:$T,19,FALSE),0)</f>
        <v>0</v>
      </c>
      <c r="AM199" s="146">
        <f>_xlfn.IFNA(VLOOKUP($A199,'Summary Mar 2026'!$A:$GS,201,FALSE),0)</f>
        <v>0</v>
      </c>
      <c r="AN199" s="146">
        <f>_xlfn.IFNA(VLOOKUP($A199,'Summary Mar 2026'!$A:$GS,199,FALSE),0)</f>
        <v>-4053.2666666666701</v>
      </c>
      <c r="AO199" s="146">
        <f>_xlfn.IFNA(VLOOKUP($A199,Grants!$A:$BE,56,FALSE),0)</f>
        <v>0</v>
      </c>
      <c r="AP199" s="65">
        <f t="shared" si="2"/>
        <v>1226657.0183191602</v>
      </c>
    </row>
    <row r="200" spans="1:42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0" t="str">
        <f>VLOOKUP(A200,'Summary Mar 2026'!$A$8:$F$206,6,FALSE)</f>
        <v>Chq Bk</v>
      </c>
      <c r="H200" s="288">
        <f>_xlfn.IFNA(VLOOKUP($A200,ISB!$A:$BY,67,FALSE),0)</f>
        <v>1247819.8869547981</v>
      </c>
      <c r="I200" s="861">
        <f>_xlfn.IFNA(VLOOKUP(A200,'LA Deductions'!A:AN,40,FALSE),0)</f>
        <v>0</v>
      </c>
      <c r="J200" s="221">
        <f>_xlfn.IFNA(VLOOKUP($A200,ISB!$A:$BY,72,FALSE),0)</f>
        <v>-5476.7999999999993</v>
      </c>
      <c r="K200" s="289">
        <f>-_xlfn.IFNA(VLOOKUP($A200,ISB!$A:$BY,76,FALSE),0)</f>
        <v>-4557.9799999999996</v>
      </c>
      <c r="M200" s="288">
        <f>VLOOKUP($A200,EY!$A:$AAK,132,FALSE)</f>
        <v>0</v>
      </c>
      <c r="N200" s="288">
        <f>VLOOKUP($A200,EY!$A:$AAD,133,FALSE)</f>
        <v>0</v>
      </c>
      <c r="P200" s="288">
        <f>VLOOKUP($A200,HN!$A:$AM,38,FALSE)</f>
        <v>0</v>
      </c>
      <c r="Q200" s="288">
        <f>VLOOKUP($A200,HN!$A:$AM,39,FALSE)</f>
        <v>0</v>
      </c>
      <c r="S200" s="362">
        <f>_xlfn.IFNA(VLOOKUP(A200,'Post 16'!A:AR,44,FALSE),0)</f>
        <v>0</v>
      </c>
      <c r="U200" s="362">
        <f>VLOOKUP(A200,'LA Deductions'!A:W,23,FALSE)</f>
        <v>0</v>
      </c>
      <c r="W200" s="289">
        <f>VLOOKUP($A200,'Summary Mar 2026'!$A:$AAG,189,FALSE)-SUMIFS($H200:$U200,$H$7:$U$7,W$7)</f>
        <v>0</v>
      </c>
      <c r="X200" s="289">
        <f>VLOOKUP($A200,'Summary Mar 2026'!$A:$GL,190,FALSE)-SUMIFS($H200:$U200,$H$7:$U$7,X$7)</f>
        <v>0</v>
      </c>
      <c r="Y200" s="289">
        <f>VLOOKUP($A200,'Summary Mar 2026'!$A:$GL,191,FALSE)-SUMIFS($H200:$U200,$H$7:$U$7,Y$7)</f>
        <v>0</v>
      </c>
      <c r="Z200" s="289">
        <f>VLOOKUP($A200,'Summary Mar 2026'!$A:$GL,192,FALSE)-SUMIFS($H200:$U200,$H$7:$U$7,Z$7)</f>
        <v>0</v>
      </c>
      <c r="AA200" s="289">
        <f>VLOOKUP($A200,'Summary Mar 2026'!$A:$GL,193,FALSE)-SUMIFS($H200:$U200,$H$7:$U$7,AA$7)</f>
        <v>0</v>
      </c>
      <c r="AB200" s="289">
        <f>VLOOKUP($A200,'Summary Mar 2026'!$A:$GL,194,FALSE)-SUMIFS($H200:$U200,$H$7:$U$7,AB$7)</f>
        <v>0</v>
      </c>
      <c r="AD200" s="146">
        <f>_xlfn.IFNA(VLOOKUP($A200,'Summary Mar 2026'!$A:$GS,196,FALSE)+VLOOKUP($A200,OtherDSG!$A:$AI,34,FALSE)+VLOOKUP($A200,Grants!$A:$BE,50,FALSE),0)</f>
        <v>1284145.8869547979</v>
      </c>
      <c r="AE200" s="146">
        <f>_xlfn.IFNA(VLOOKUP($A200,'Summary Mar 2026'!$A:$GS,197,FALSE)+VLOOKUP($A200,Grants!$A:$BE,51,FALSE),0)</f>
        <v>0</v>
      </c>
      <c r="AF200" s="146">
        <f>_xlfn.IFNA(VLOOKUP($A200,'Summary Mar 2026'!$A:$GS,198,FALSE)+VLOOKUP($A200,OtherDSG!$A:$AI,35,FALSE)+VLOOKUP($A200,Grants!$A:$BE,52,FALSE),0)</f>
        <v>86460.66333333333</v>
      </c>
      <c r="AG200" s="146">
        <f>_xlfn.IFNA(VLOOKUP($A200,Grants!$A:$BE,53,FALSE),0)</f>
        <v>114690</v>
      </c>
      <c r="AH200" s="146">
        <f>_xlfn.IFNA(VLOOKUP($A200,Grants!$A:$BE,54,FALSE),0)</f>
        <v>42219</v>
      </c>
      <c r="AI200" s="146">
        <f>_xlfn.IFNA(VLOOKUP($A200,Grants!$A:$BE,55,FALSE),0)</f>
        <v>0</v>
      </c>
      <c r="AJ200" s="146">
        <f>_xlfn.IFNA(VLOOKUP($A200,Barclays!$A:$T,18,FALSE),0)</f>
        <v>961.08607999998628</v>
      </c>
      <c r="AK200" s="146">
        <f>_xlfn.IFNA(VLOOKUP($A200,'Summary Mar 2026'!$A:$GS,200,FALSE),0)</f>
        <v>-4557.9799999999996</v>
      </c>
      <c r="AL200" s="146">
        <f>_xlfn.IFNA(VLOOKUP($A200,Barclays!$A:$T,19,FALSE),0)</f>
        <v>0</v>
      </c>
      <c r="AM200" s="146">
        <f>_xlfn.IFNA(VLOOKUP($A200,'Summary Mar 2026'!$A:$GS,201,FALSE),0)</f>
        <v>0</v>
      </c>
      <c r="AN200" s="146">
        <f>_xlfn.IFNA(VLOOKUP($A200,'Summary Mar 2026'!$A:$GS,199,FALSE),0)</f>
        <v>-5476.7999999999984</v>
      </c>
      <c r="AO200" s="146">
        <f>_xlfn.IFNA(VLOOKUP($A200,Grants!$A:$BE,56,FALSE),0)</f>
        <v>0</v>
      </c>
      <c r="AP200" s="65">
        <f t="shared" si="2"/>
        <v>1518441.8563681312</v>
      </c>
    </row>
    <row r="201" spans="1:42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0" t="str">
        <f>VLOOKUP(A201,'Summary Mar 2026'!$A$8:$F$206,6,FALSE)</f>
        <v>Chq Bk</v>
      </c>
      <c r="H201" s="288">
        <f>_xlfn.IFNA(VLOOKUP($A201,ISB!$A:$BY,67,FALSE),0)</f>
        <v>2309733.8227088503</v>
      </c>
      <c r="I201" s="861">
        <f>_xlfn.IFNA(VLOOKUP(A201,'LA Deductions'!A:AN,40,FALSE),0)</f>
        <v>0</v>
      </c>
      <c r="J201" s="221">
        <f>_xlfn.IFNA(VLOOKUP($A201,ISB!$A:$BY,72,FALSE),0)</f>
        <v>-9284.48</v>
      </c>
      <c r="K201" s="289">
        <f>-_xlfn.IFNA(VLOOKUP($A201,ISB!$A:$BY,76,FALSE),0)</f>
        <v>-7128.45</v>
      </c>
      <c r="M201" s="288">
        <f>VLOOKUP($A201,EY!$A:$AAK,132,FALSE)</f>
        <v>69079.554404432129</v>
      </c>
      <c r="N201" s="288">
        <f>VLOOKUP($A201,EY!$A:$AAD,133,FALSE)</f>
        <v>0</v>
      </c>
      <c r="P201" s="288">
        <f>VLOOKUP($A201,HN!$A:$AM,38,FALSE)</f>
        <v>0</v>
      </c>
      <c r="Q201" s="288">
        <f>VLOOKUP($A201,HN!$A:$AM,39,FALSE)</f>
        <v>0</v>
      </c>
      <c r="S201" s="362">
        <f>_xlfn.IFNA(VLOOKUP(A201,'Post 16'!A:AR,44,FALSE),0)</f>
        <v>0</v>
      </c>
      <c r="U201" s="362">
        <f>VLOOKUP(A201,'LA Deductions'!A:W,23,FALSE)</f>
        <v>-9471</v>
      </c>
      <c r="W201" s="289">
        <f>VLOOKUP($A201,'Summary Mar 2026'!$A:$AAG,189,FALSE)-SUMIFS($H201:$U201,$H$7:$U$7,W$7)</f>
        <v>0</v>
      </c>
      <c r="X201" s="289">
        <f>VLOOKUP($A201,'Summary Mar 2026'!$A:$GL,190,FALSE)-SUMIFS($H201:$U201,$H$7:$U$7,X$7)</f>
        <v>0</v>
      </c>
      <c r="Y201" s="289">
        <f>VLOOKUP($A201,'Summary Mar 2026'!$A:$GL,191,FALSE)-SUMIFS($H201:$U201,$H$7:$U$7,Y$7)</f>
        <v>0</v>
      </c>
      <c r="Z201" s="289">
        <f>VLOOKUP($A201,'Summary Mar 2026'!$A:$GL,192,FALSE)-SUMIFS($H201:$U201,$H$7:$U$7,Z$7)</f>
        <v>0</v>
      </c>
      <c r="AA201" s="289">
        <f>VLOOKUP($A201,'Summary Mar 2026'!$A:$GL,193,FALSE)-SUMIFS($H201:$U201,$H$7:$U$7,AA$7)</f>
        <v>0</v>
      </c>
      <c r="AB201" s="289">
        <f>VLOOKUP($A201,'Summary Mar 2026'!$A:$GL,194,FALSE)-SUMIFS($H201:$U201,$H$7:$U$7,AB$7)</f>
        <v>0</v>
      </c>
      <c r="AD201" s="146">
        <f>_xlfn.IFNA(VLOOKUP($A201,'Summary Mar 2026'!$A:$GS,196,FALSE)+VLOOKUP($A201,OtherDSG!$A:$AI,34,FALSE)+VLOOKUP($A201,Grants!$A:$BE,50,FALSE),0)</f>
        <v>2444223.3771132822</v>
      </c>
      <c r="AE201" s="146">
        <f>_xlfn.IFNA(VLOOKUP($A201,'Summary Mar 2026'!$A:$GS,197,FALSE)+VLOOKUP($A201,Grants!$A:$BE,51,FALSE),0)</f>
        <v>0</v>
      </c>
      <c r="AF201" s="146">
        <f>_xlfn.IFNA(VLOOKUP($A201,'Summary Mar 2026'!$A:$GS,198,FALSE)+VLOOKUP($A201,OtherDSG!$A:$AI,35,FALSE)+VLOOKUP($A201,Grants!$A:$BE,52,FALSE),0)</f>
        <v>176158.22999999998</v>
      </c>
      <c r="AG201" s="146">
        <f>_xlfn.IFNA(VLOOKUP($A201,Grants!$A:$BE,53,FALSE),0)</f>
        <v>238520</v>
      </c>
      <c r="AH201" s="146">
        <f>_xlfn.IFNA(VLOOKUP($A201,Grants!$A:$BE,54,FALSE),0)</f>
        <v>88710.69</v>
      </c>
      <c r="AI201" s="146">
        <f>_xlfn.IFNA(VLOOKUP($A201,Grants!$A:$BE,55,FALSE),0)</f>
        <v>0</v>
      </c>
      <c r="AJ201" s="146">
        <f>_xlfn.IFNA(VLOOKUP($A201,Barclays!$A:$T,18,FALSE),0)</f>
        <v>4017.54</v>
      </c>
      <c r="AK201" s="146">
        <f>_xlfn.IFNA(VLOOKUP($A201,'Summary Mar 2026'!$A:$GS,200,FALSE),0)</f>
        <v>-7128.4500000000016</v>
      </c>
      <c r="AL201" s="146">
        <f>_xlfn.IFNA(VLOOKUP($A201,Barclays!$A:$T,19,FALSE),0)</f>
        <v>-128.76999999999998</v>
      </c>
      <c r="AM201" s="146">
        <f>_xlfn.IFNA(VLOOKUP($A201,'Summary Mar 2026'!$A:$GS,201,FALSE),0)</f>
        <v>-9471</v>
      </c>
      <c r="AN201" s="146">
        <f>_xlfn.IFNA(VLOOKUP($A201,'Summary Mar 2026'!$A:$GS,199,FALSE),0)</f>
        <v>-9284.4800000000014</v>
      </c>
      <c r="AO201" s="146">
        <f>_xlfn.IFNA(VLOOKUP($A201,Grants!$A:$BE,56,FALSE),0)</f>
        <v>0</v>
      </c>
      <c r="AP201" s="65">
        <f t="shared" ref="AP201:AP207" si="3">SUM(AD201:AO201)</f>
        <v>2925617.137113282</v>
      </c>
    </row>
    <row r="202" spans="1:42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0" t="str">
        <f>VLOOKUP(A202,'Summary Mar 2026'!$A$8:$F$206,6,FALSE)</f>
        <v>Academy</v>
      </c>
      <c r="H202" s="288">
        <f>_xlfn.IFNA(VLOOKUP($A202,ISB!$A:$BY,67,FALSE),0)-687378.63</f>
        <v>499792.77744536672</v>
      </c>
      <c r="I202" s="861">
        <f>_xlfn.IFNA(VLOOKUP(A202,'LA Deductions'!A:AN,40,FALSE),0)</f>
        <v>0</v>
      </c>
      <c r="J202" s="221">
        <f>_xlfn.IFNA(VLOOKUP($A202,ISB!$A:$BY,72,FALSE),0)+3179.58666666667</f>
        <v>-2271.1333333333291</v>
      </c>
      <c r="K202" s="289">
        <f>-_xlfn.IFNA(VLOOKUP($A202,ISB!$A:$BY,76,FALSE),0)</f>
        <v>-3736.48</v>
      </c>
      <c r="M202" s="288">
        <f>VLOOKUP($A202,EY!$A:$AAK,132,FALSE)</f>
        <v>0</v>
      </c>
      <c r="N202" s="288">
        <f>VLOOKUP($A202,EY!$A:$AAD,133,FALSE)</f>
        <v>0</v>
      </c>
      <c r="P202" s="288">
        <f>VLOOKUP($A202,HN!$A:$AM,38,FALSE)</f>
        <v>0</v>
      </c>
      <c r="Q202" s="288">
        <f>VLOOKUP($A202,HN!$A:$AM,39,FALSE)</f>
        <v>0</v>
      </c>
      <c r="S202" s="362">
        <f>_xlfn.IFNA(VLOOKUP(A202,'Post 16'!A:AR,44,FALSE),0)</f>
        <v>0</v>
      </c>
      <c r="U202" s="362">
        <f>VLOOKUP(A202,'LA Deductions'!A:W,23,FALSE)</f>
        <v>-2141.5625</v>
      </c>
      <c r="W202" s="289">
        <f>VLOOKUP($A202,'Summary Mar 2026'!$A:$AAG,189,FALSE)-SUMIFS($H202:$U202,$H$7:$U$7,W$7)</f>
        <v>0</v>
      </c>
      <c r="X202" s="289">
        <f>VLOOKUP($A202,'Summary Mar 2026'!$A:$GL,190,FALSE)-SUMIFS($H202:$U202,$H$7:$U$7,X$7)</f>
        <v>0</v>
      </c>
      <c r="Y202" s="289">
        <f>VLOOKUP($A202,'Summary Mar 2026'!$A:$GL,191,FALSE)-SUMIFS($H202:$U202,$H$7:$U$7,Y$7)</f>
        <v>0</v>
      </c>
      <c r="Z202" s="289">
        <f>VLOOKUP($A202,'Summary Mar 2026'!$A:$GL,192,FALSE)-SUMIFS($H202:$U202,$H$7:$U$7,Z$7)</f>
        <v>0</v>
      </c>
      <c r="AA202" s="289">
        <f>VLOOKUP($A202,'Summary Mar 2026'!$A:$GL,193,FALSE)-SUMIFS($H202:$U202,$H$7:$U$7,AA$7)</f>
        <v>0</v>
      </c>
      <c r="AB202" s="289">
        <f>VLOOKUP($A202,'Summary Mar 2026'!$A:$GL,194,FALSE)-SUMIFS($H202:$U202,$H$7:$U$7,AB$7)</f>
        <v>0</v>
      </c>
      <c r="AD202" s="146">
        <f>_xlfn.IFNA(VLOOKUP($A202,'Summary Mar 2026'!$A:$GS,196,FALSE)+VLOOKUP($A202,OtherDSG!$A:$AI,34,FALSE)+VLOOKUP($A202,Grants!$A:$BE,50,FALSE),0)</f>
        <v>499792.77744536672</v>
      </c>
      <c r="AE202" s="146">
        <f>_xlfn.IFNA(VLOOKUP($A202,'Summary Mar 2026'!$A:$GS,197,FALSE)+VLOOKUP($A202,Grants!$A:$BE,51,FALSE),0)</f>
        <v>0</v>
      </c>
      <c r="AF202" s="146">
        <f>_xlfn.IFNA(VLOOKUP($A202,'Summary Mar 2026'!$A:$GS,198,FALSE)+VLOOKUP($A202,OtherDSG!$A:$AI,35,FALSE)+VLOOKUP($A202,Grants!$A:$BE,52,FALSE),0)</f>
        <v>52339.5</v>
      </c>
      <c r="AG202" s="146">
        <f>_xlfn.IFNA(VLOOKUP($A202,Grants!$A:$BE,53,FALSE),0)</f>
        <v>31693.75</v>
      </c>
      <c r="AH202" s="146">
        <f>_xlfn.IFNA(VLOOKUP($A202,Grants!$A:$BE,54,FALSE),0)</f>
        <v>33320</v>
      </c>
      <c r="AI202" s="146">
        <f>_xlfn.IFNA(VLOOKUP($A202,Grants!$A:$BE,55,FALSE),0)</f>
        <v>0</v>
      </c>
      <c r="AJ202" s="146">
        <f>_xlfn.IFNA(VLOOKUP($A202,Barclays!$A:$T,18,FALSE),0)</f>
        <v>0</v>
      </c>
      <c r="AK202" s="146">
        <f>_xlfn.IFNA(VLOOKUP($A202,'Summary Mar 2026'!$A:$GS,200,FALSE),0)</f>
        <v>-3736.4799999999996</v>
      </c>
      <c r="AL202" s="146">
        <f>_xlfn.IFNA(VLOOKUP($A202,Barclays!$A:$T,19,FALSE),0)</f>
        <v>0</v>
      </c>
      <c r="AM202" s="146">
        <f>_xlfn.IFNA(VLOOKUP($A202,'Summary Mar 2026'!$A:$GS,201,FALSE),0)</f>
        <v>-2141.5625</v>
      </c>
      <c r="AN202" s="146">
        <f>_xlfn.IFNA(VLOOKUP($A202,'Summary Mar 2026'!$A:$GS,199,FALSE),0)</f>
        <v>-2271.1333333333291</v>
      </c>
      <c r="AO202" s="146">
        <f>_xlfn.IFNA(VLOOKUP($A202,Grants!$A:$BE,56,FALSE),0)</f>
        <v>0</v>
      </c>
      <c r="AP202" s="65">
        <f t="shared" si="3"/>
        <v>608996.85161203344</v>
      </c>
    </row>
    <row r="203" spans="1:42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0" t="str">
        <f>VLOOKUP(A203,'Summary Mar 2026'!$A$8:$F$206,6,FALSE)</f>
        <v>Chq Bk</v>
      </c>
      <c r="H203" s="288">
        <f>_xlfn.IFNA(VLOOKUP($A203,ISB!$A:$BY,67,FALSE),0)</f>
        <v>0</v>
      </c>
      <c r="I203" s="861">
        <f>_xlfn.IFNA(VLOOKUP(A203,'LA Deductions'!A:AN,40,FALSE),0)</f>
        <v>0</v>
      </c>
      <c r="J203" s="221">
        <f>_xlfn.IFNA(VLOOKUP($A203,ISB!$A:$BY,72,FALSE),0)</f>
        <v>0</v>
      </c>
      <c r="K203" s="289">
        <f>-_xlfn.IFNA(VLOOKUP($A203,ISB!$A:$BY,76,FALSE),0)</f>
        <v>0</v>
      </c>
      <c r="M203" s="288">
        <f>VLOOKUP($A203,EY!$A:$AAK,132,FALSE)</f>
        <v>697050.15031338995</v>
      </c>
      <c r="N203" s="288">
        <f>VLOOKUP($A203,EY!$A:$AAD,133,FALSE)</f>
        <v>9380</v>
      </c>
      <c r="P203" s="288">
        <f>VLOOKUP($A203,HN!$A:$AM,38,FALSE)</f>
        <v>0</v>
      </c>
      <c r="Q203" s="288">
        <f>VLOOKUP($A203,HN!$A:$AM,39,FALSE)</f>
        <v>0</v>
      </c>
      <c r="S203" s="362">
        <f>_xlfn.IFNA(VLOOKUP(A203,'Post 16'!A:AR,44,FALSE),0)</f>
        <v>0</v>
      </c>
      <c r="U203" s="362">
        <f>VLOOKUP(A203,'LA Deductions'!A:W,23,FALSE)</f>
        <v>-3291.75</v>
      </c>
      <c r="W203" s="289">
        <f>VLOOKUP($A203,'Summary Mar 2026'!$A:$AAG,189,FALSE)-SUMIFS($H203:$U203,$H$7:$U$7,W$7)</f>
        <v>0</v>
      </c>
      <c r="X203" s="289">
        <f>VLOOKUP($A203,'Summary Mar 2026'!$A:$GL,190,FALSE)-SUMIFS($H203:$U203,$H$7:$U$7,X$7)</f>
        <v>0</v>
      </c>
      <c r="Y203" s="289">
        <f>VLOOKUP($A203,'Summary Mar 2026'!$A:$GL,191,FALSE)-SUMIFS($H203:$U203,$H$7:$U$7,Y$7)</f>
        <v>0</v>
      </c>
      <c r="Z203" s="289">
        <f>VLOOKUP($A203,'Summary Mar 2026'!$A:$GL,192,FALSE)-SUMIFS($H203:$U203,$H$7:$U$7,Z$7)</f>
        <v>0</v>
      </c>
      <c r="AA203" s="289">
        <f>VLOOKUP($A203,'Summary Mar 2026'!$A:$GL,193,FALSE)-SUMIFS($H203:$U203,$H$7:$U$7,AA$7)</f>
        <v>0</v>
      </c>
      <c r="AB203" s="289">
        <f>VLOOKUP($A203,'Summary Mar 2026'!$A:$GL,194,FALSE)-SUMIFS($H203:$U203,$H$7:$U$7,AB$7)</f>
        <v>0</v>
      </c>
      <c r="AD203" s="146">
        <f>_xlfn.IFNA(VLOOKUP($A203,'Summary Mar 2026'!$A:$GS,196,FALSE)+VLOOKUP($A203,OtherDSG!$A:$AI,34,FALSE)+VLOOKUP($A203,Grants!$A:$BE,50,FALSE),0)</f>
        <v>713504.15031338995</v>
      </c>
      <c r="AE203" s="146">
        <f>_xlfn.IFNA(VLOOKUP($A203,'Summary Mar 2026'!$A:$GS,197,FALSE)+VLOOKUP($A203,Grants!$A:$BE,51,FALSE),0)</f>
        <v>0</v>
      </c>
      <c r="AF203" s="146">
        <f>_xlfn.IFNA(VLOOKUP($A203,'Summary Mar 2026'!$A:$GS,198,FALSE)+VLOOKUP($A203,OtherDSG!$A:$AI,35,FALSE)+VLOOKUP($A203,Grants!$A:$BE,52,FALSE),0)</f>
        <v>32251.733199999999</v>
      </c>
      <c r="AG203" s="146">
        <f>_xlfn.IFNA(VLOOKUP($A203,Grants!$A:$BE,53,FALSE),0)</f>
        <v>0</v>
      </c>
      <c r="AH203" s="146">
        <f>_xlfn.IFNA(VLOOKUP($A203,Grants!$A:$BE,54,FALSE),0)</f>
        <v>0</v>
      </c>
      <c r="AI203" s="146">
        <f>_xlfn.IFNA(VLOOKUP($A203,Grants!$A:$BE,55,FALSE),0)</f>
        <v>0</v>
      </c>
      <c r="AJ203" s="146">
        <f>_xlfn.IFNA(VLOOKUP($A203,Barclays!$A:$T,18,FALSE),0)</f>
        <v>0</v>
      </c>
      <c r="AK203" s="146">
        <f>_xlfn.IFNA(VLOOKUP($A203,'Summary Mar 2026'!$A:$GS,200,FALSE),0)</f>
        <v>0</v>
      </c>
      <c r="AL203" s="146">
        <f>_xlfn.IFNA(VLOOKUP($A203,Barclays!$A:$T,19,FALSE),0)</f>
        <v>0</v>
      </c>
      <c r="AM203" s="146">
        <f>_xlfn.IFNA(VLOOKUP($A203,'Summary Mar 2026'!$A:$GS,201,FALSE),0)</f>
        <v>-3291.75</v>
      </c>
      <c r="AN203" s="146">
        <f>_xlfn.IFNA(VLOOKUP($A203,'Summary Mar 2026'!$A:$GS,199,FALSE),0)</f>
        <v>0</v>
      </c>
      <c r="AO203" s="146">
        <f>_xlfn.IFNA(VLOOKUP($A203,Grants!$A:$BE,56,FALSE),0)</f>
        <v>4823.5</v>
      </c>
      <c r="AP203" s="65">
        <f t="shared" si="3"/>
        <v>747287.63351338997</v>
      </c>
    </row>
    <row r="204" spans="1:42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0" t="str">
        <f>VLOOKUP(A204,'Summary Mar 2026'!$A$8:$F$206,6,FALSE)</f>
        <v>Academy</v>
      </c>
      <c r="H204" s="288">
        <f>_xlfn.IFNA(VLOOKUP($A204,ISB!$A:$BY,67,FALSE),0)-784698.91</f>
        <v>570268.15416539798</v>
      </c>
      <c r="I204" s="861">
        <f>_xlfn.IFNA(VLOOKUP(A204,'LA Deductions'!A:AN,40,FALSE),0)</f>
        <v>0</v>
      </c>
      <c r="J204" s="221">
        <f>_xlfn.IFNA(VLOOKUP($A204,ISB!$A:$BY,72,FALSE),0)+3042.66666666667</f>
        <v>-2173.3333333333298</v>
      </c>
      <c r="K204" s="289">
        <f>-_xlfn.IFNA(VLOOKUP($A204,ISB!$A:$BY,76,FALSE),0)</f>
        <v>-3974.98</v>
      </c>
      <c r="M204" s="288">
        <f>VLOOKUP($A204,EY!$A:$AAK,132,FALSE)</f>
        <v>34470.526315789473</v>
      </c>
      <c r="N204" s="288">
        <f>VLOOKUP($A204,EY!$A:$AAD,133,FALSE)</f>
        <v>0</v>
      </c>
      <c r="P204" s="288">
        <f>VLOOKUP($A204,HN!$A:$AM,38,FALSE)</f>
        <v>0</v>
      </c>
      <c r="Q204" s="288">
        <f>VLOOKUP($A204,HN!$A:$AM,39,FALSE)</f>
        <v>0</v>
      </c>
      <c r="S204" s="362">
        <f>_xlfn.IFNA(VLOOKUP(A204,'Post 16'!A:AR,44,FALSE),0)</f>
        <v>0</v>
      </c>
      <c r="U204" s="362">
        <f>VLOOKUP(A204,'LA Deductions'!A:W,23,FALSE)</f>
        <v>-2345.625</v>
      </c>
      <c r="W204" s="289">
        <f>VLOOKUP($A204,'Summary Mar 2026'!$A:$AAG,189,FALSE)-SUMIFS($H204:$U204,$H$7:$U$7,W$7)</f>
        <v>0</v>
      </c>
      <c r="X204" s="289">
        <f>VLOOKUP($A204,'Summary Mar 2026'!$A:$GL,190,FALSE)-SUMIFS($H204:$U204,$H$7:$U$7,X$7)</f>
        <v>0</v>
      </c>
      <c r="Y204" s="289">
        <f>VLOOKUP($A204,'Summary Mar 2026'!$A:$GL,191,FALSE)-SUMIFS($H204:$U204,$H$7:$U$7,Y$7)</f>
        <v>0</v>
      </c>
      <c r="Z204" s="289">
        <f>VLOOKUP($A204,'Summary Mar 2026'!$A:$GL,192,FALSE)-SUMIFS($H204:$U204,$H$7:$U$7,Z$7)</f>
        <v>0</v>
      </c>
      <c r="AA204" s="289">
        <f>VLOOKUP($A204,'Summary Mar 2026'!$A:$GL,193,FALSE)-SUMIFS($H204:$U204,$H$7:$U$7,AA$7)</f>
        <v>0</v>
      </c>
      <c r="AB204" s="289">
        <f>VLOOKUP($A204,'Summary Mar 2026'!$A:$GL,194,FALSE)-SUMIFS($H204:$U204,$H$7:$U$7,AB$7)</f>
        <v>0</v>
      </c>
      <c r="AD204" s="146">
        <f>_xlfn.IFNA(VLOOKUP($A204,'Summary Mar 2026'!$A:$GS,196,FALSE)+VLOOKUP($A204,OtherDSG!$A:$AI,34,FALSE)+VLOOKUP($A204,Grants!$A:$BE,50,FALSE),0)</f>
        <v>604738.68048118742</v>
      </c>
      <c r="AE204" s="146">
        <f>_xlfn.IFNA(VLOOKUP($A204,'Summary Mar 2026'!$A:$GS,197,FALSE)+VLOOKUP($A204,Grants!$A:$BE,51,FALSE),0)</f>
        <v>0</v>
      </c>
      <c r="AF204" s="146">
        <f>_xlfn.IFNA(VLOOKUP($A204,'Summary Mar 2026'!$A:$GS,198,FALSE)+VLOOKUP($A204,OtherDSG!$A:$AI,35,FALSE)+VLOOKUP($A204,Grants!$A:$BE,52,FALSE),0)</f>
        <v>26291.466666666667</v>
      </c>
      <c r="AG204" s="146">
        <f>_xlfn.IFNA(VLOOKUP($A204,Grants!$A:$BE,53,FALSE),0)</f>
        <v>87743.75</v>
      </c>
      <c r="AH204" s="146">
        <f>_xlfn.IFNA(VLOOKUP($A204,Grants!$A:$BE,54,FALSE),0)</f>
        <v>23492</v>
      </c>
      <c r="AI204" s="146">
        <f>_xlfn.IFNA(VLOOKUP($A204,Grants!$A:$BE,55,FALSE),0)</f>
        <v>0</v>
      </c>
      <c r="AJ204" s="146">
        <f>_xlfn.IFNA(VLOOKUP($A204,Barclays!$A:$T,18,FALSE),0)</f>
        <v>0</v>
      </c>
      <c r="AK204" s="146">
        <f>_xlfn.IFNA(VLOOKUP($A204,'Summary Mar 2026'!$A:$GS,200,FALSE),0)</f>
        <v>-3974.9799999999996</v>
      </c>
      <c r="AL204" s="146">
        <f>_xlfn.IFNA(VLOOKUP($A204,Barclays!$A:$T,19,FALSE),0)</f>
        <v>0</v>
      </c>
      <c r="AM204" s="146">
        <f>_xlfn.IFNA(VLOOKUP($A204,'Summary Mar 2026'!$A:$GS,201,FALSE),0)</f>
        <v>-2345.625</v>
      </c>
      <c r="AN204" s="146">
        <f>_xlfn.IFNA(VLOOKUP($A204,'Summary Mar 2026'!$A:$GS,199,FALSE),0)</f>
        <v>-2173.3333333333298</v>
      </c>
      <c r="AO204" s="146">
        <f>_xlfn.IFNA(VLOOKUP($A204,Grants!$A:$BE,56,FALSE),0)</f>
        <v>0</v>
      </c>
      <c r="AP204" s="65">
        <f t="shared" si="3"/>
        <v>733771.95881452074</v>
      </c>
    </row>
    <row r="205" spans="1:42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0" t="str">
        <f>VLOOKUP(A205,'Summary Mar 2026'!$A$8:$F$206,6,FALSE)</f>
        <v>Academy</v>
      </c>
      <c r="H205" s="288">
        <f>_xlfn.IFNA(VLOOKUP($A205,ISB!$A:$BY,67,FALSE),0)-2522113</f>
        <v>257490.77645082166</v>
      </c>
      <c r="I205" s="861">
        <f>_xlfn.IFNA(VLOOKUP(A205,'LA Deductions'!A:AN,40,FALSE),0)</f>
        <v>0</v>
      </c>
      <c r="J205" s="221">
        <f>_xlfn.IFNA(VLOOKUP($A205,ISB!$A:$BY,72,FALSE),0)+7363.25333333333</f>
        <v>-5259.466666666669</v>
      </c>
      <c r="K205" s="289">
        <f>-_xlfn.IFNA(VLOOKUP($A205,ISB!$A:$BY,76,FALSE),0)</f>
        <v>-27029.84</v>
      </c>
      <c r="M205" s="288">
        <f>VLOOKUP($A205,EY!$A:$AAK,132,FALSE)</f>
        <v>0</v>
      </c>
      <c r="N205" s="288">
        <f>VLOOKUP($A205,EY!$A:$AAD,133,FALSE)</f>
        <v>0</v>
      </c>
      <c r="P205" s="288">
        <f>VLOOKUP($A205,HN!$A:$AM,38,FALSE)</f>
        <v>12000</v>
      </c>
      <c r="Q205" s="288">
        <f>VLOOKUP($A205,HN!$A:$AM,39,FALSE)</f>
        <v>17750.54250000001</v>
      </c>
      <c r="S205" s="362">
        <f>_xlfn.IFNA(VLOOKUP(A205,'Post 16'!A:AR,44,FALSE),0)</f>
        <v>0</v>
      </c>
      <c r="U205" s="362">
        <f>VLOOKUP(A205,'LA Deductions'!A:W,23,FALSE)</f>
        <v>-1047.2</v>
      </c>
      <c r="W205" s="289">
        <f>VLOOKUP($A205,'Summary Mar 2026'!$A:$AAG,189,FALSE)-SUMIFS($H205:$U205,$H$7:$U$7,W$7)</f>
        <v>0</v>
      </c>
      <c r="X205" s="289">
        <f>VLOOKUP($A205,'Summary Mar 2026'!$A:$GL,190,FALSE)-SUMIFS($H205:$U205,$H$7:$U$7,X$7)</f>
        <v>0</v>
      </c>
      <c r="Y205" s="289">
        <f>VLOOKUP($A205,'Summary Mar 2026'!$A:$GL,191,FALSE)-SUMIFS($H205:$U205,$H$7:$U$7,Y$7)</f>
        <v>0</v>
      </c>
      <c r="Z205" s="289">
        <f>VLOOKUP($A205,'Summary Mar 2026'!$A:$GL,192,FALSE)-SUMIFS($H205:$U205,$H$7:$U$7,Z$7)</f>
        <v>0</v>
      </c>
      <c r="AA205" s="289">
        <f>VLOOKUP($A205,'Summary Mar 2026'!$A:$GL,193,FALSE)-SUMIFS($H205:$U205,$H$7:$U$7,AA$7)</f>
        <v>0</v>
      </c>
      <c r="AB205" s="289">
        <f>VLOOKUP($A205,'Summary Mar 2026'!$A:$GL,194,FALSE)-SUMIFS($H205:$U205,$H$7:$U$7,AB$7)</f>
        <v>0</v>
      </c>
      <c r="AD205" s="146">
        <f>_xlfn.IFNA(VLOOKUP($A205,'Summary Mar 2026'!$A:$GS,196,FALSE)+VLOOKUP($A205,OtherDSG!$A:$AI,34,FALSE)+VLOOKUP($A205,Grants!$A:$BE,50,FALSE),0)</f>
        <v>269490.77645082166</v>
      </c>
      <c r="AE205" s="146">
        <f>_xlfn.IFNA(VLOOKUP($A205,'Summary Mar 2026'!$A:$GS,197,FALSE)+VLOOKUP($A205,Grants!$A:$BE,51,FALSE),0)</f>
        <v>0</v>
      </c>
      <c r="AF205" s="146">
        <f>_xlfn.IFNA(VLOOKUP($A205,'Summary Mar 2026'!$A:$GS,198,FALSE)+VLOOKUP($A205,OtherDSG!$A:$AI,35,FALSE)+VLOOKUP($A205,Grants!$A:$BE,52,FALSE),0)</f>
        <v>17750.5425</v>
      </c>
      <c r="AG205" s="146">
        <f>_xlfn.IFNA(VLOOKUP($A205,Grants!$A:$BE,53,FALSE),0)</f>
        <v>63492</v>
      </c>
      <c r="AH205" s="146">
        <f>_xlfn.IFNA(VLOOKUP($A205,Grants!$A:$BE,54,FALSE),0)</f>
        <v>8733</v>
      </c>
      <c r="AI205" s="146">
        <f>_xlfn.IFNA(VLOOKUP($A205,Grants!$A:$BE,55,FALSE),0)</f>
        <v>0</v>
      </c>
      <c r="AJ205" s="146">
        <f>_xlfn.IFNA(VLOOKUP($A205,Barclays!$A:$T,18,FALSE),0)</f>
        <v>0</v>
      </c>
      <c r="AK205" s="146">
        <f>_xlfn.IFNA(VLOOKUP($A205,'Summary Mar 2026'!$A:$GS,200,FALSE),0)</f>
        <v>-27029.84</v>
      </c>
      <c r="AL205" s="146">
        <f>_xlfn.IFNA(VLOOKUP($A205,Barclays!$A:$T,19,FALSE),0)</f>
        <v>0</v>
      </c>
      <c r="AM205" s="146">
        <f>_xlfn.IFNA(VLOOKUP($A205,'Summary Mar 2026'!$A:$GS,201,FALSE),0)</f>
        <v>-1047.2</v>
      </c>
      <c r="AN205" s="146">
        <f>_xlfn.IFNA(VLOOKUP($A205,'Summary Mar 2026'!$A:$GS,199,FALSE),0)</f>
        <v>-5259.466666666669</v>
      </c>
      <c r="AO205" s="146">
        <f>_xlfn.IFNA(VLOOKUP($A205,Grants!$A:$BE,56,FALSE),0)</f>
        <v>0</v>
      </c>
      <c r="AP205" s="65">
        <f t="shared" si="3"/>
        <v>326129.81228415493</v>
      </c>
    </row>
    <row r="206" spans="1:42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0" t="str">
        <f>VLOOKUP(A206,'Summary Mar 2026'!$A$8:$F$206,6,FALSE)</f>
        <v>Chq Bk</v>
      </c>
      <c r="H206" s="288">
        <f>_xlfn.IFNA(VLOOKUP($A206,ISB!$A:$BY,67,FALSE),0)</f>
        <v>0</v>
      </c>
      <c r="I206" s="861">
        <f>_xlfn.IFNA(VLOOKUP(A206,'LA Deductions'!A:AN,40,FALSE),0)</f>
        <v>0</v>
      </c>
      <c r="J206" s="221">
        <f>_xlfn.IFNA(VLOOKUP($A206,ISB!$A:$BY,72,FALSE),0)</f>
        <v>0</v>
      </c>
      <c r="K206" s="289">
        <f>-_xlfn.IFNA(VLOOKUP($A206,ISB!$A:$BY,76,FALSE),0)</f>
        <v>0</v>
      </c>
      <c r="M206" s="288">
        <f>VLOOKUP($A206,EY!$A:$AAK,132,FALSE)</f>
        <v>1253083.7264143531</v>
      </c>
      <c r="N206" s="288">
        <f>VLOOKUP($A206,EY!$A:$AAD,133,FALSE)</f>
        <v>12188.803324099723</v>
      </c>
      <c r="P206" s="288">
        <f>VLOOKUP($A206,HN!$A:$AM,38,FALSE)</f>
        <v>0</v>
      </c>
      <c r="Q206" s="288">
        <f>VLOOKUP($A206,HN!$A:$AM,39,FALSE)</f>
        <v>0</v>
      </c>
      <c r="S206" s="362">
        <f>_xlfn.IFNA(VLOOKUP(A206,'Post 16'!A:AR,44,FALSE),0)</f>
        <v>0</v>
      </c>
      <c r="U206" s="362">
        <f>VLOOKUP(A206,'LA Deductions'!A:W,23,FALSE)</f>
        <v>-3291.75</v>
      </c>
      <c r="W206" s="289">
        <f>VLOOKUP($A206,'Summary Mar 2026'!$A:$AAG,189,FALSE)-SUMIFS($H206:$U206,$H$7:$U$7,W$7)</f>
        <v>0</v>
      </c>
      <c r="X206" s="289">
        <f>VLOOKUP($A206,'Summary Mar 2026'!$A:$GL,190,FALSE)-SUMIFS($H206:$U206,$H$7:$U$7,X$7)</f>
        <v>0</v>
      </c>
      <c r="Y206" s="289">
        <f>VLOOKUP($A206,'Summary Mar 2026'!$A:$GL,191,FALSE)-SUMIFS($H206:$U206,$H$7:$U$7,Y$7)</f>
        <v>0</v>
      </c>
      <c r="Z206" s="289">
        <f>VLOOKUP($A206,'Summary Mar 2026'!$A:$GL,192,FALSE)-SUMIFS($H206:$U206,$H$7:$U$7,Z$7)</f>
        <v>0</v>
      </c>
      <c r="AA206" s="289">
        <f>VLOOKUP($A206,'Summary Mar 2026'!$A:$GL,193,FALSE)-SUMIFS($H206:$U206,$H$7:$U$7,AA$7)</f>
        <v>0</v>
      </c>
      <c r="AB206" s="289">
        <f>VLOOKUP($A206,'Summary Mar 2026'!$A:$GL,194,FALSE)-SUMIFS($H206:$U206,$H$7:$U$7,AB$7)</f>
        <v>0</v>
      </c>
      <c r="AD206" s="146">
        <f>_xlfn.IFNA(VLOOKUP($A206,'Summary Mar 2026'!$A:$GS,196,FALSE)+VLOOKUP($A206,OtherDSG!$A:$AI,34,FALSE)+VLOOKUP($A206,Grants!$A:$BE,50,FALSE),0)</f>
        <v>1284547.7264143531</v>
      </c>
      <c r="AE206" s="146">
        <f>_xlfn.IFNA(VLOOKUP($A206,'Summary Mar 2026'!$A:$GS,197,FALSE)+VLOOKUP($A206,Grants!$A:$BE,51,FALSE),0)</f>
        <v>0</v>
      </c>
      <c r="AF206" s="146">
        <f>_xlfn.IFNA(VLOOKUP($A206,'Summary Mar 2026'!$A:$GS,198,FALSE)+VLOOKUP($A206,OtherDSG!$A:$AI,35,FALSE)+VLOOKUP($A206,Grants!$A:$BE,52,FALSE),0)</f>
        <v>82990.760657433042</v>
      </c>
      <c r="AG206" s="146">
        <f>_xlfn.IFNA(VLOOKUP($A206,Grants!$A:$BE,53,FALSE),0)</f>
        <v>0</v>
      </c>
      <c r="AH206" s="146">
        <f>_xlfn.IFNA(VLOOKUP($A206,Grants!$A:$BE,54,FALSE),0)</f>
        <v>0</v>
      </c>
      <c r="AI206" s="146">
        <f>_xlfn.IFNA(VLOOKUP($A206,Grants!$A:$BE,55,FALSE),0)</f>
        <v>0</v>
      </c>
      <c r="AJ206" s="146">
        <f>_xlfn.IFNA(VLOOKUP($A206,Barclays!$A:$T,18,FALSE),0)</f>
        <v>2934.62</v>
      </c>
      <c r="AK206" s="146">
        <f>_xlfn.IFNA(VLOOKUP($A206,'Summary Mar 2026'!$A:$GS,200,FALSE),0)</f>
        <v>0</v>
      </c>
      <c r="AL206" s="146">
        <f>_xlfn.IFNA(VLOOKUP($A206,Barclays!$A:$T,19,FALSE),0)</f>
        <v>-59.910000000000025</v>
      </c>
      <c r="AM206" s="146">
        <f>_xlfn.IFNA(VLOOKUP($A206,'Summary Mar 2026'!$A:$GS,201,FALSE),0)</f>
        <v>-3291.75</v>
      </c>
      <c r="AN206" s="146">
        <f>_xlfn.IFNA(VLOOKUP($A206,'Summary Mar 2026'!$A:$GS,199,FALSE),0)</f>
        <v>0</v>
      </c>
      <c r="AO206" s="146">
        <f>_xlfn.IFNA(VLOOKUP($A206,Grants!$A:$BE,56,FALSE),0)</f>
        <v>5424.25</v>
      </c>
      <c r="AP206" s="65">
        <f t="shared" si="3"/>
        <v>1372545.6970717863</v>
      </c>
    </row>
    <row r="207" spans="1:42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0" t="str">
        <f>VLOOKUP(A207,'Summary Mar 2026'!$A$8:$F$206,6,FALSE)</f>
        <v>Chq Bk</v>
      </c>
      <c r="H207" s="288">
        <f>_xlfn.IFNA(VLOOKUP($A207,ISB!$A:$BY,67,FALSE),0)</f>
        <v>2380305.7722999994</v>
      </c>
      <c r="I207" s="861">
        <f>_xlfn.IFNA(VLOOKUP(A207,'LA Deductions'!A:AN,40,FALSE),0)</f>
        <v>0</v>
      </c>
      <c r="J207" s="221">
        <f>_xlfn.IFNA(VLOOKUP($A207,ISB!$A:$BY,72,FALSE),0)</f>
        <v>-10562.4</v>
      </c>
      <c r="K207" s="289">
        <f>-_xlfn.IFNA(VLOOKUP($A207,ISB!$A:$BY,76,FALSE),0)</f>
        <v>-61406.26</v>
      </c>
      <c r="M207" s="288">
        <f>VLOOKUP($A207,EY!$A:$AAK,132,FALSE)</f>
        <v>0</v>
      </c>
      <c r="N207" s="288">
        <f>VLOOKUP($A207,EY!$A:$AAD,133,FALSE)</f>
        <v>0</v>
      </c>
      <c r="P207" s="288">
        <f>VLOOKUP($A207,HN!$A:$AM,38,FALSE)</f>
        <v>0</v>
      </c>
      <c r="Q207" s="288">
        <f>VLOOKUP($A207,HN!$A:$AM,39,FALSE)</f>
        <v>0</v>
      </c>
      <c r="S207" s="362">
        <f>_xlfn.IFNA(VLOOKUP(A207,'Post 16'!A:AR,44,FALSE),0)</f>
        <v>0</v>
      </c>
      <c r="U207" s="362">
        <f>VLOOKUP(A207,'LA Deductions'!A:W,23,FALSE)</f>
        <v>-9471</v>
      </c>
      <c r="W207" s="289">
        <f>VLOOKUP($A207,'Summary Mar 2026'!$A:$AAG,189,FALSE)-SUMIFS($H207:$U207,$H$7:$U$7,W$7)</f>
        <v>0</v>
      </c>
      <c r="X207" s="289">
        <f>VLOOKUP($A207,'Summary Mar 2026'!$A:$GL,190,FALSE)-SUMIFS($H207:$U207,$H$7:$U$7,X$7)</f>
        <v>0</v>
      </c>
      <c r="Y207" s="289">
        <f>VLOOKUP($A207,'Summary Mar 2026'!$A:$GL,191,FALSE)-SUMIFS($H207:$U207,$H$7:$U$7,Y$7)</f>
        <v>0</v>
      </c>
      <c r="Z207" s="289">
        <f>VLOOKUP($A207,'Summary Mar 2026'!$A:$GL,192,FALSE)-SUMIFS($H207:$U207,$H$7:$U$7,Z$7)</f>
        <v>0</v>
      </c>
      <c r="AA207" s="289">
        <f>VLOOKUP($A207,'Summary Mar 2026'!$A:$GL,193,FALSE)-SUMIFS($H207:$U207,$H$7:$U$7,AA$7)</f>
        <v>0</v>
      </c>
      <c r="AB207" s="289">
        <f>VLOOKUP($A207,'Summary Mar 2026'!$A:$GL,194,FALSE)-SUMIFS($H207:$U207,$H$7:$U$7,AB$7)</f>
        <v>0</v>
      </c>
      <c r="AD207" s="146">
        <f>_xlfn.IFNA(VLOOKUP($A207,'Summary Mar 2026'!$A:$GS,196,FALSE)+VLOOKUP($A207,OtherDSG!$A:$AI,34,FALSE)+VLOOKUP($A207,Grants!$A:$BE,50,FALSE),0)</f>
        <v>2452821.7722999994</v>
      </c>
      <c r="AE207" s="146">
        <f>_xlfn.IFNA(VLOOKUP($A207,'Summary Mar 2026'!$A:$GS,197,FALSE)+VLOOKUP($A207,Grants!$A:$BE,51,FALSE),0)</f>
        <v>0</v>
      </c>
      <c r="AF207" s="146">
        <f>_xlfn.IFNA(VLOOKUP($A207,'Summary Mar 2026'!$A:$GS,198,FALSE)+VLOOKUP($A207,OtherDSG!$A:$AI,35,FALSE)+VLOOKUP($A207,Grants!$A:$BE,52,FALSE),0)</f>
        <v>261907.77999999997</v>
      </c>
      <c r="AG207" s="146">
        <f>_xlfn.IFNA(VLOOKUP($A207,Grants!$A:$BE,53,FALSE),0)</f>
        <v>302950</v>
      </c>
      <c r="AH207" s="146">
        <f>_xlfn.IFNA(VLOOKUP($A207,Grants!$A:$BE,54,FALSE),0)</f>
        <v>74977.929999999993</v>
      </c>
      <c r="AI207" s="146">
        <f>_xlfn.IFNA(VLOOKUP($A207,Grants!$A:$BE,55,FALSE),0)</f>
        <v>0</v>
      </c>
      <c r="AJ207" s="146">
        <f>_xlfn.IFNA(VLOOKUP($A207,Barclays!$A:$T,18,FALSE),0)</f>
        <v>5776.2502849999692</v>
      </c>
      <c r="AK207" s="146">
        <f>_xlfn.IFNA(VLOOKUP($A207,'Summary Mar 2026'!$A:$GS,200,FALSE),0)</f>
        <v>-61406.259999999987</v>
      </c>
      <c r="AL207" s="146">
        <f>_xlfn.IFNA(VLOOKUP($A207,Barclays!$A:$T,19,FALSE),0)</f>
        <v>-8.82</v>
      </c>
      <c r="AM207" s="146">
        <f>_xlfn.IFNA(VLOOKUP($A207,'Summary Mar 2026'!$A:$GS,201,FALSE),0)</f>
        <v>-9471</v>
      </c>
      <c r="AN207" s="146">
        <f>_xlfn.IFNA(VLOOKUP($A207,'Summary Mar 2026'!$A:$GS,199,FALSE),0)</f>
        <v>-10562.400000000001</v>
      </c>
      <c r="AO207" s="146">
        <f>_xlfn.IFNA(VLOOKUP($A207,Grants!$A:$BE,56,FALSE),0)</f>
        <v>8578.75</v>
      </c>
      <c r="AP207" s="65">
        <f t="shared" si="3"/>
        <v>3025564.0025849999</v>
      </c>
    </row>
    <row r="208" spans="1:42" s="310" customFormat="1" ht="15" thickBot="1">
      <c r="A208" s="385"/>
      <c r="B208" s="314"/>
      <c r="C208" s="314"/>
      <c r="D208" s="386"/>
      <c r="E208" s="380"/>
      <c r="F208" s="381"/>
      <c r="H208" s="387">
        <f>SUM(H8:H207)</f>
        <v>380228965.73653525</v>
      </c>
      <c r="I208" s="387">
        <f>SUM(I8:I207)</f>
        <v>-187965.78643333327</v>
      </c>
      <c r="J208" s="387">
        <f>SUM(J8:J207)</f>
        <v>-1511943.9599999993</v>
      </c>
      <c r="K208" s="389">
        <f>SUM(K8:K207)</f>
        <v>-4720184.9500000048</v>
      </c>
      <c r="M208" s="387">
        <f>SUM(M8:M207)</f>
        <v>27528133.839667592</v>
      </c>
      <c r="N208" s="388">
        <f>SUM(N8:N207)</f>
        <v>237215.71216066481</v>
      </c>
      <c r="P208" s="387">
        <f>SUM(P8:P207)</f>
        <v>38382478.333333328</v>
      </c>
      <c r="Q208" s="388">
        <f>SUM(Q8:Q207)</f>
        <v>45409044.522792861</v>
      </c>
      <c r="S208" s="389">
        <f>SUM(S8:S207)</f>
        <v>7947917.333333334</v>
      </c>
      <c r="U208" s="389">
        <f>SUM(U8:U207)</f>
        <v>-1601430.9574999993</v>
      </c>
      <c r="W208" s="390">
        <f t="shared" ref="W208:AB208" si="4">SUM(W8:W207)</f>
        <v>0</v>
      </c>
      <c r="X208" s="390">
        <f t="shared" si="4"/>
        <v>0</v>
      </c>
      <c r="Y208" s="390">
        <f t="shared" si="4"/>
        <v>0</v>
      </c>
      <c r="Z208" s="390">
        <f t="shared" si="4"/>
        <v>0</v>
      </c>
      <c r="AA208" s="390">
        <f t="shared" si="4"/>
        <v>0</v>
      </c>
      <c r="AB208" s="390">
        <f t="shared" si="4"/>
        <v>0</v>
      </c>
      <c r="AD208" s="316">
        <f t="shared" ref="AD208:AE208" si="5">SUM(AD8:AD207)</f>
        <v>457411793.17882729</v>
      </c>
      <c r="AE208" s="316">
        <f t="shared" si="5"/>
        <v>8849968.0933333337</v>
      </c>
      <c r="AF208" s="316">
        <f>SUM(AF8:AF207)</f>
        <v>78172080.018892512</v>
      </c>
      <c r="AG208" s="316">
        <f t="shared" ref="AG208:AP208" si="6">SUM(AG8:AG207)</f>
        <v>38782047.329999998</v>
      </c>
      <c r="AH208" s="316">
        <f t="shared" si="6"/>
        <v>9549474.1499999948</v>
      </c>
      <c r="AI208" s="316">
        <f t="shared" si="6"/>
        <v>0</v>
      </c>
      <c r="AJ208" s="316">
        <f t="shared" si="6"/>
        <v>1503514.5985742316</v>
      </c>
      <c r="AK208" s="316">
        <f t="shared" si="6"/>
        <v>-4720184.9500000048</v>
      </c>
      <c r="AL208" s="316">
        <f t="shared" si="6"/>
        <v>-9281.9100000000017</v>
      </c>
      <c r="AM208" s="316">
        <f t="shared" si="6"/>
        <v>-1601430.9574999993</v>
      </c>
      <c r="AN208" s="316">
        <f t="shared" si="6"/>
        <v>-1511943.9599999993</v>
      </c>
      <c r="AO208" s="316">
        <f t="shared" si="6"/>
        <v>1442248.0799999998</v>
      </c>
      <c r="AP208" s="316">
        <f t="shared" si="6"/>
        <v>587868283.67212725</v>
      </c>
    </row>
  </sheetData>
  <sheetProtection algorithmName="SHA-512" hashValue="iBrAe0YCCwTIXCphwvC58Od60Rd8aZYOkrnzHy6FnHUDKxIQBtPiqSB5IlIMATNI2L4mbCeztKvQVYCV7KPQXA==" saltValue="vueoO4kSGT6yF7QRCop21g==" spinCount="100000" sheet="1" objects="1" scenarios="1" autoFilter="0"/>
  <autoFilter ref="A7:F208" xr:uid="{28D720FD-B264-4603-8A3F-AC523F45178E}"/>
  <conditionalFormatting sqref="A7:F7 H7:I7 A8:E8 E9:E208">
    <cfRule type="cellIs" dxfId="100" priority="2" operator="lessThan">
      <formula>0</formula>
    </cfRule>
  </conditionalFormatting>
  <conditionalFormatting sqref="F8:F207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7C11-F7C1-47EC-823D-82310A4F0FE2}">
  <sheetPr codeName="Sheet6"/>
  <dimension ref="A1:T207"/>
  <sheetViews>
    <sheetView zoomScale="80" zoomScaleNormal="80" workbookViewId="0">
      <selection activeCell="N214" sqref="N214"/>
    </sheetView>
  </sheetViews>
  <sheetFormatPr defaultRowHeight="14.5"/>
  <cols>
    <col min="1" max="1" width="5.453125" bestFit="1" customWidth="1"/>
    <col min="2" max="2" width="7.7265625" bestFit="1" customWidth="1"/>
    <col min="3" max="3" width="7.54296875" bestFit="1" customWidth="1"/>
    <col min="4" max="4" width="37.26953125" customWidth="1"/>
    <col min="5" max="5" width="19" customWidth="1"/>
    <col min="6" max="6" width="15.1796875" customWidth="1"/>
    <col min="8" max="12" width="12.1796875" customWidth="1"/>
    <col min="13" max="13" width="13" bestFit="1" customWidth="1"/>
    <col min="14" max="16" width="12.1796875" customWidth="1"/>
    <col min="17" max="17" width="12.81640625" bestFit="1" customWidth="1"/>
    <col min="18" max="19" width="12.1796875" customWidth="1"/>
    <col min="20" max="20" width="13" bestFit="1" customWidth="1"/>
  </cols>
  <sheetData>
    <row r="1" spans="1:20">
      <c r="A1" s="1" t="s">
        <v>988</v>
      </c>
    </row>
    <row r="2" spans="1:20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20" ht="15" thickBot="1"/>
    <row r="4" spans="1:20" ht="29.5" thickBot="1">
      <c r="A4" s="363" t="s">
        <v>15</v>
      </c>
      <c r="B4" s="364" t="s">
        <v>16</v>
      </c>
      <c r="C4" s="365" t="s">
        <v>17</v>
      </c>
      <c r="D4" s="366" t="s">
        <v>18</v>
      </c>
      <c r="E4" s="365" t="s">
        <v>19</v>
      </c>
      <c r="F4" s="366" t="s">
        <v>20</v>
      </c>
      <c r="H4" s="443">
        <v>45748</v>
      </c>
      <c r="I4" s="443">
        <v>45778</v>
      </c>
      <c r="J4" s="443">
        <v>45809</v>
      </c>
      <c r="K4" s="443">
        <v>45839</v>
      </c>
      <c r="L4" s="443">
        <v>45870</v>
      </c>
      <c r="M4" s="443">
        <v>45901</v>
      </c>
      <c r="N4" s="443">
        <v>45931</v>
      </c>
      <c r="O4" s="443">
        <v>45962</v>
      </c>
      <c r="P4" s="443">
        <v>45992</v>
      </c>
      <c r="Q4" s="443">
        <v>46023</v>
      </c>
      <c r="R4" s="443">
        <v>46054</v>
      </c>
      <c r="S4" s="443">
        <v>46082</v>
      </c>
      <c r="T4" s="443" t="s">
        <v>479</v>
      </c>
    </row>
    <row r="5" spans="1:20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Mar 2026'!$A$8:$F$206,6,FALSE)</f>
        <v>Chq Bk</v>
      </c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57">
        <f>SUM(H5:S5)</f>
        <v>0</v>
      </c>
    </row>
    <row r="6" spans="1:20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Mar 2026'!$A$8:$F$206,6,FALSE)</f>
        <v>Chq Bk</v>
      </c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57">
        <f t="shared" ref="T6:T69" si="0">SUM(H6:S6)</f>
        <v>0</v>
      </c>
    </row>
    <row r="7" spans="1:20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Mar 2026'!$A$8:$F$206,6,FALSE)</f>
        <v>Chq Bk</v>
      </c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57">
        <f t="shared" si="0"/>
        <v>0</v>
      </c>
    </row>
    <row r="8" spans="1:20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Mar 2026'!$A$8:$F$206,6,FALSE)</f>
        <v>Chq Bk</v>
      </c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57">
        <f t="shared" si="0"/>
        <v>0</v>
      </c>
    </row>
    <row r="9" spans="1:20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Mar 2026'!$A$8:$F$206,6,FALSE)</f>
        <v>Chq Bk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57">
        <f t="shared" si="0"/>
        <v>0</v>
      </c>
    </row>
    <row r="10" spans="1:20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Mar 2026'!$A$8:$F$206,6,FALSE)</f>
        <v>Chq Bk</v>
      </c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44"/>
      <c r="T10" s="57">
        <f t="shared" si="0"/>
        <v>0</v>
      </c>
    </row>
    <row r="11" spans="1:20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Mar 2026'!$A$8:$F$206,6,FALSE)</f>
        <v>Chq Bk</v>
      </c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57">
        <f t="shared" si="0"/>
        <v>0</v>
      </c>
    </row>
    <row r="12" spans="1:20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Mar 2026'!$A$8:$F$206,6,FALSE)</f>
        <v>Chq Bk</v>
      </c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57">
        <f t="shared" si="0"/>
        <v>0</v>
      </c>
    </row>
    <row r="13" spans="1:20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Mar 2026'!$A$8:$F$206,6,FALSE)</f>
        <v>Chq Bk</v>
      </c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57">
        <f t="shared" si="0"/>
        <v>0</v>
      </c>
    </row>
    <row r="14" spans="1:20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Mar 2026'!$A$8:$F$206,6,FALSE)</f>
        <v>Chq Bk</v>
      </c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57">
        <f t="shared" si="0"/>
        <v>0</v>
      </c>
    </row>
    <row r="15" spans="1:20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Mar 2026'!$A$8:$F$206,6,FALSE)</f>
        <v>Chq Bk</v>
      </c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  <c r="T15" s="57">
        <f t="shared" si="0"/>
        <v>0</v>
      </c>
    </row>
    <row r="16" spans="1:20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Mar 2026'!$A$8:$F$206,6,FALSE)</f>
        <v>Chq Bk</v>
      </c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57">
        <f t="shared" si="0"/>
        <v>0</v>
      </c>
    </row>
    <row r="17" spans="1:20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Mar 2026'!$A$8:$F$206,6,FALSE)</f>
        <v>Chq Bk</v>
      </c>
      <c r="H17" s="444"/>
      <c r="I17" s="444"/>
      <c r="J17" s="444">
        <v>58421.73</v>
      </c>
      <c r="K17" s="444">
        <v>280000</v>
      </c>
      <c r="L17" s="444"/>
      <c r="M17" s="444"/>
      <c r="N17" s="444"/>
      <c r="O17" s="444"/>
      <c r="P17" s="444"/>
      <c r="Q17" s="444"/>
      <c r="R17" s="444"/>
      <c r="S17" s="444"/>
      <c r="T17" s="57">
        <f t="shared" si="0"/>
        <v>338421.73</v>
      </c>
    </row>
    <row r="18" spans="1:20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Mar 2026'!$A$8:$F$206,6,FALSE)</f>
        <v>Chq Bk</v>
      </c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57">
        <f t="shared" si="0"/>
        <v>0</v>
      </c>
    </row>
    <row r="19" spans="1:20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Mar 2026'!$A$8:$F$206,6,FALSE)</f>
        <v>Chq Bk</v>
      </c>
      <c r="H19" s="444"/>
      <c r="I19" s="444"/>
      <c r="J19" s="444"/>
      <c r="K19" s="444"/>
      <c r="L19" s="444"/>
      <c r="M19" s="444"/>
      <c r="N19" s="444"/>
      <c r="O19" s="444"/>
      <c r="P19" s="444"/>
      <c r="Q19" s="444"/>
      <c r="R19" s="444"/>
      <c r="S19" s="444"/>
      <c r="T19" s="57">
        <f t="shared" si="0"/>
        <v>0</v>
      </c>
    </row>
    <row r="20" spans="1:20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Mar 2026'!$A$8:$F$206,6,FALSE)</f>
        <v>Chq Bk</v>
      </c>
      <c r="H20" s="444"/>
      <c r="I20" s="444"/>
      <c r="J20" s="444">
        <v>86751.58</v>
      </c>
      <c r="K20" s="444"/>
      <c r="L20" s="444"/>
      <c r="M20" s="444"/>
      <c r="N20" s="444"/>
      <c r="O20" s="444"/>
      <c r="P20" s="444">
        <v>193614</v>
      </c>
      <c r="Q20" s="444"/>
      <c r="R20" s="444"/>
      <c r="S20" s="444"/>
      <c r="T20" s="57">
        <f t="shared" si="0"/>
        <v>280365.58</v>
      </c>
    </row>
    <row r="21" spans="1:20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Mar 2026'!$A$8:$F$206,6,FALSE)</f>
        <v>Chq Bk</v>
      </c>
      <c r="H21" s="444"/>
      <c r="I21" s="444"/>
      <c r="J21" s="444"/>
      <c r="K21" s="444"/>
      <c r="L21" s="444"/>
      <c r="M21" s="444"/>
      <c r="N21" s="444"/>
      <c r="O21" s="444"/>
      <c r="P21" s="444">
        <v>62100</v>
      </c>
      <c r="Q21" s="444"/>
      <c r="R21" s="444"/>
      <c r="S21" s="444"/>
      <c r="T21" s="57">
        <f t="shared" si="0"/>
        <v>62100</v>
      </c>
    </row>
    <row r="22" spans="1:20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Mar 2026'!$A$8:$F$206,6,FALSE)</f>
        <v>Chq Bk</v>
      </c>
      <c r="H22" s="444"/>
      <c r="I22" s="444"/>
      <c r="J22" s="444"/>
      <c r="K22" s="444"/>
      <c r="L22" s="444"/>
      <c r="M22" s="444"/>
      <c r="N22" s="444"/>
      <c r="O22" s="444"/>
      <c r="P22" s="444"/>
      <c r="Q22" s="444"/>
      <c r="R22" s="444"/>
      <c r="S22" s="444"/>
      <c r="T22" s="57">
        <f t="shared" si="0"/>
        <v>0</v>
      </c>
    </row>
    <row r="23" spans="1:20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Mar 2026'!$A$8:$F$206,6,FALSE)</f>
        <v>Chq Bk</v>
      </c>
      <c r="H23" s="444"/>
      <c r="I23" s="444"/>
      <c r="J23" s="444"/>
      <c r="K23" s="444"/>
      <c r="L23" s="444"/>
      <c r="M23" s="444"/>
      <c r="N23" s="444"/>
      <c r="O23" s="444"/>
      <c r="P23" s="444"/>
      <c r="Q23" s="444"/>
      <c r="R23" s="444"/>
      <c r="S23" s="444"/>
      <c r="T23" s="57">
        <f t="shared" si="0"/>
        <v>0</v>
      </c>
    </row>
    <row r="24" spans="1:20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Mar 2026'!$A$8:$F$206,6,FALSE)</f>
        <v>Chq Bk</v>
      </c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  <c r="T24" s="57">
        <f t="shared" si="0"/>
        <v>0</v>
      </c>
    </row>
    <row r="25" spans="1:20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Mar 2026'!$A$8:$F$206,6,FALSE)</f>
        <v>Chq Bk</v>
      </c>
      <c r="H25" s="444"/>
      <c r="I25" s="444"/>
      <c r="J25" s="444"/>
      <c r="K25" s="444"/>
      <c r="L25" s="444"/>
      <c r="M25" s="444"/>
      <c r="N25" s="444"/>
      <c r="O25" s="444"/>
      <c r="P25" s="444"/>
      <c r="Q25" s="444"/>
      <c r="R25" s="444"/>
      <c r="S25" s="444"/>
      <c r="T25" s="57">
        <f t="shared" si="0"/>
        <v>0</v>
      </c>
    </row>
    <row r="26" spans="1:20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Mar 2026'!$A$8:$F$206,6,FALSE)</f>
        <v>Chq Bk</v>
      </c>
      <c r="H26" s="444"/>
      <c r="I26" s="444"/>
      <c r="J26" s="444"/>
      <c r="K26" s="444"/>
      <c r="L26" s="444"/>
      <c r="M26" s="444"/>
      <c r="N26" s="444"/>
      <c r="O26" s="444"/>
      <c r="P26" s="444"/>
      <c r="Q26" s="444"/>
      <c r="R26" s="444"/>
      <c r="S26" s="444"/>
      <c r="T26" s="57">
        <f t="shared" si="0"/>
        <v>0</v>
      </c>
    </row>
    <row r="27" spans="1:20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Mar 2026'!$A$8:$F$206,6,FALSE)</f>
        <v>Academy</v>
      </c>
      <c r="H27" s="444"/>
      <c r="I27" s="444"/>
      <c r="J27" s="444">
        <v>238455.48</v>
      </c>
      <c r="K27" s="444">
        <v>55192</v>
      </c>
      <c r="L27" s="444"/>
      <c r="M27" s="444"/>
      <c r="N27" s="444"/>
      <c r="O27" s="444"/>
      <c r="P27" s="444"/>
      <c r="Q27" s="444"/>
      <c r="R27" s="444"/>
      <c r="S27" s="444"/>
      <c r="T27" s="57">
        <f t="shared" si="0"/>
        <v>293647.48</v>
      </c>
    </row>
    <row r="28" spans="1:20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Mar 2026'!$A$8:$F$206,6,FALSE)</f>
        <v>Academy</v>
      </c>
      <c r="H28" s="444"/>
      <c r="I28" s="444"/>
      <c r="J28" s="444"/>
      <c r="K28" s="444"/>
      <c r="L28" s="444"/>
      <c r="M28" s="444"/>
      <c r="N28" s="444"/>
      <c r="O28" s="444"/>
      <c r="P28" s="444"/>
      <c r="Q28" s="444"/>
      <c r="R28" s="444"/>
      <c r="S28" s="444"/>
      <c r="T28" s="57">
        <f t="shared" si="0"/>
        <v>0</v>
      </c>
    </row>
    <row r="29" spans="1:20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Mar 2026'!$A$8:$F$206,6,FALSE)</f>
        <v>Chq Bk</v>
      </c>
      <c r="H29" s="444"/>
      <c r="I29" s="444"/>
      <c r="J29" s="444"/>
      <c r="K29" s="444"/>
      <c r="L29" s="444"/>
      <c r="M29" s="444"/>
      <c r="N29" s="444"/>
      <c r="O29" s="444"/>
      <c r="P29" s="444"/>
      <c r="Q29" s="444"/>
      <c r="R29" s="444"/>
      <c r="S29" s="444"/>
      <c r="T29" s="57">
        <f t="shared" si="0"/>
        <v>0</v>
      </c>
    </row>
    <row r="30" spans="1:20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Mar 2026'!$A$8:$F$206,6,FALSE)</f>
        <v>Chq Bk</v>
      </c>
      <c r="H30" s="444"/>
      <c r="I30" s="444"/>
      <c r="J30" s="444"/>
      <c r="K30" s="444"/>
      <c r="L30" s="444"/>
      <c r="M30" s="444"/>
      <c r="N30" s="444"/>
      <c r="O30" s="444"/>
      <c r="P30" s="444"/>
      <c r="Q30" s="444"/>
      <c r="R30" s="444"/>
      <c r="S30" s="444"/>
      <c r="T30" s="57">
        <f t="shared" si="0"/>
        <v>0</v>
      </c>
    </row>
    <row r="31" spans="1:20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Mar 2026'!$A$8:$F$206,6,FALSE)</f>
        <v>Chq Bk</v>
      </c>
      <c r="H31" s="444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57">
        <f t="shared" si="0"/>
        <v>0</v>
      </c>
    </row>
    <row r="32" spans="1:20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Mar 2026'!$A$8:$F$206,6,FALSE)</f>
        <v>Chq Bk</v>
      </c>
      <c r="H32" s="444"/>
      <c r="I32" s="444"/>
      <c r="J32" s="444">
        <v>338161.96</v>
      </c>
      <c r="K32" s="444"/>
      <c r="L32" s="444"/>
      <c r="M32" s="444"/>
      <c r="N32" s="444"/>
      <c r="O32" s="444"/>
      <c r="P32" s="444"/>
      <c r="Q32" s="444"/>
      <c r="R32" s="444"/>
      <c r="S32" s="444"/>
      <c r="T32" s="57">
        <f t="shared" si="0"/>
        <v>338161.96</v>
      </c>
    </row>
    <row r="33" spans="1:20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Mar 2026'!$A$8:$F$206,6,FALSE)</f>
        <v>Chq Bk</v>
      </c>
      <c r="H33" s="444"/>
      <c r="I33" s="444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57">
        <f t="shared" si="0"/>
        <v>0</v>
      </c>
    </row>
    <row r="34" spans="1:20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Mar 2026'!$A$8:$F$206,6,FALSE)</f>
        <v>Chq Bk</v>
      </c>
      <c r="H34" s="444"/>
      <c r="I34" s="444"/>
      <c r="J34" s="444"/>
      <c r="K34" s="444"/>
      <c r="L34" s="444"/>
      <c r="M34" s="444"/>
      <c r="N34" s="444"/>
      <c r="O34" s="444"/>
      <c r="P34" s="444"/>
      <c r="Q34" s="444"/>
      <c r="R34" s="444"/>
      <c r="S34" s="444"/>
      <c r="T34" s="57">
        <f t="shared" si="0"/>
        <v>0</v>
      </c>
    </row>
    <row r="35" spans="1:20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Mar 2026'!$A$8:$F$206,6,FALSE)</f>
        <v>Chq Bk</v>
      </c>
      <c r="H35" s="444"/>
      <c r="I35" s="444"/>
      <c r="J35" s="444"/>
      <c r="K35" s="444"/>
      <c r="L35" s="444"/>
      <c r="M35" s="444"/>
      <c r="N35" s="444"/>
      <c r="O35" s="444"/>
      <c r="P35" s="444"/>
      <c r="Q35" s="444"/>
      <c r="R35" s="444"/>
      <c r="S35" s="444"/>
      <c r="T35" s="57">
        <f t="shared" si="0"/>
        <v>0</v>
      </c>
    </row>
    <row r="36" spans="1:20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Mar 2026'!$A$8:$F$206,6,FALSE)</f>
        <v>Chq Bk</v>
      </c>
      <c r="H36" s="444"/>
      <c r="I36" s="444"/>
      <c r="J36" s="444"/>
      <c r="K36" s="444"/>
      <c r="L36" s="444"/>
      <c r="M36" s="444"/>
      <c r="N36" s="444"/>
      <c r="O36" s="444"/>
      <c r="P36" s="444"/>
      <c r="Q36" s="444"/>
      <c r="R36" s="444"/>
      <c r="S36" s="444"/>
      <c r="T36" s="57">
        <f t="shared" si="0"/>
        <v>0</v>
      </c>
    </row>
    <row r="37" spans="1:20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Mar 2026'!$A$8:$F$206,6,FALSE)</f>
        <v>Chq Bk</v>
      </c>
      <c r="H37" s="444"/>
      <c r="I37" s="444"/>
      <c r="J37" s="444">
        <v>116256.72</v>
      </c>
      <c r="K37" s="444"/>
      <c r="L37" s="444"/>
      <c r="M37" s="444"/>
      <c r="N37" s="444"/>
      <c r="O37" s="444"/>
      <c r="P37" s="444"/>
      <c r="Q37" s="444"/>
      <c r="R37" s="444"/>
      <c r="S37" s="444"/>
      <c r="T37" s="57">
        <f t="shared" si="0"/>
        <v>116256.72</v>
      </c>
    </row>
    <row r="38" spans="1:20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Mar 2026'!$A$8:$F$206,6,FALSE)</f>
        <v>Chq Bk</v>
      </c>
      <c r="H38" s="444"/>
      <c r="I38" s="444"/>
      <c r="J38" s="444"/>
      <c r="K38" s="444"/>
      <c r="L38" s="444"/>
      <c r="M38" s="444"/>
      <c r="N38" s="444"/>
      <c r="O38" s="444"/>
      <c r="P38" s="444"/>
      <c r="Q38" s="444"/>
      <c r="R38" s="444"/>
      <c r="S38" s="444"/>
      <c r="T38" s="57">
        <f t="shared" si="0"/>
        <v>0</v>
      </c>
    </row>
    <row r="39" spans="1:20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Mar 2026'!$A$8:$F$206,6,FALSE)</f>
        <v>Chq Bk</v>
      </c>
      <c r="H39" s="444"/>
      <c r="I39" s="444"/>
      <c r="J39" s="444"/>
      <c r="K39" s="444"/>
      <c r="L39" s="444"/>
      <c r="M39" s="444"/>
      <c r="N39" s="444"/>
      <c r="O39" s="444"/>
      <c r="P39" s="444"/>
      <c r="Q39" s="444"/>
      <c r="R39" s="444"/>
      <c r="S39" s="444"/>
      <c r="T39" s="57">
        <f t="shared" si="0"/>
        <v>0</v>
      </c>
    </row>
    <row r="40" spans="1:20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Mar 2026'!$A$8:$F$206,6,FALSE)</f>
        <v>Chq Bk</v>
      </c>
      <c r="H40" s="444"/>
      <c r="I40" s="444"/>
      <c r="J40" s="444"/>
      <c r="K40" s="444"/>
      <c r="L40" s="444"/>
      <c r="M40" s="444"/>
      <c r="N40" s="444"/>
      <c r="O40" s="444"/>
      <c r="P40" s="444"/>
      <c r="Q40" s="444"/>
      <c r="R40" s="444"/>
      <c r="S40" s="444"/>
      <c r="T40" s="57">
        <f t="shared" si="0"/>
        <v>0</v>
      </c>
    </row>
    <row r="41" spans="1:20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Mar 2026'!$A$8:$F$206,6,FALSE)</f>
        <v>Chq Bk</v>
      </c>
      <c r="H41" s="444"/>
      <c r="I41" s="444"/>
      <c r="J41" s="444"/>
      <c r="K41" s="444"/>
      <c r="L41" s="444"/>
      <c r="M41" s="444"/>
      <c r="N41" s="444"/>
      <c r="O41" s="444"/>
      <c r="P41" s="444"/>
      <c r="Q41" s="444"/>
      <c r="R41" s="444"/>
      <c r="S41" s="444"/>
      <c r="T41" s="57">
        <f t="shared" si="0"/>
        <v>0</v>
      </c>
    </row>
    <row r="42" spans="1:20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Mar 2026'!$A$8:$F$206,6,FALSE)</f>
        <v>Chq Bk</v>
      </c>
      <c r="H42" s="444"/>
      <c r="I42" s="444"/>
      <c r="J42" s="444"/>
      <c r="K42" s="444"/>
      <c r="L42" s="444"/>
      <c r="M42" s="444"/>
      <c r="N42" s="444"/>
      <c r="O42" s="444"/>
      <c r="P42" s="444"/>
      <c r="Q42" s="444"/>
      <c r="R42" s="444"/>
      <c r="S42" s="444"/>
      <c r="T42" s="57">
        <f t="shared" si="0"/>
        <v>0</v>
      </c>
    </row>
    <row r="43" spans="1:20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Mar 2026'!$A$8:$F$206,6,FALSE)</f>
        <v>Chq Bk</v>
      </c>
      <c r="H43" s="444"/>
      <c r="I43" s="444"/>
      <c r="J43" s="444"/>
      <c r="K43" s="444"/>
      <c r="L43" s="444"/>
      <c r="M43" s="444"/>
      <c r="N43" s="444"/>
      <c r="O43" s="444"/>
      <c r="P43" s="444"/>
      <c r="Q43" s="444"/>
      <c r="R43" s="444"/>
      <c r="S43" s="444"/>
      <c r="T43" s="57">
        <f t="shared" si="0"/>
        <v>0</v>
      </c>
    </row>
    <row r="44" spans="1:20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Mar 2026'!$A$8:$F$206,6,FALSE)</f>
        <v>Chq Bk</v>
      </c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57">
        <f t="shared" si="0"/>
        <v>0</v>
      </c>
    </row>
    <row r="45" spans="1:20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Mar 2026'!$A$8:$F$206,6,FALSE)</f>
        <v>Chq Bk</v>
      </c>
      <c r="H45" s="444"/>
      <c r="I45" s="444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57">
        <f t="shared" si="0"/>
        <v>0</v>
      </c>
    </row>
    <row r="46" spans="1:20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Mar 2026'!$A$8:$F$206,6,FALSE)</f>
        <v>Chq Bk</v>
      </c>
      <c r="H46" s="444"/>
      <c r="I46" s="444"/>
      <c r="J46" s="444"/>
      <c r="K46" s="444"/>
      <c r="L46" s="444"/>
      <c r="M46" s="444"/>
      <c r="N46" s="444"/>
      <c r="O46" s="444"/>
      <c r="P46" s="444"/>
      <c r="Q46" s="444"/>
      <c r="R46" s="444"/>
      <c r="S46" s="444"/>
      <c r="T46" s="57">
        <f t="shared" si="0"/>
        <v>0</v>
      </c>
    </row>
    <row r="47" spans="1:20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Mar 2026'!$A$8:$F$206,6,FALSE)</f>
        <v>Chq Bk</v>
      </c>
      <c r="H47" s="444"/>
      <c r="I47" s="444"/>
      <c r="J47" s="444"/>
      <c r="K47" s="444"/>
      <c r="L47" s="444"/>
      <c r="M47" s="444"/>
      <c r="N47" s="444"/>
      <c r="O47" s="444"/>
      <c r="P47" s="444"/>
      <c r="Q47" s="444"/>
      <c r="R47" s="444"/>
      <c r="S47" s="444"/>
      <c r="T47" s="57">
        <f t="shared" si="0"/>
        <v>0</v>
      </c>
    </row>
    <row r="48" spans="1:20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Mar 2026'!$A$8:$F$206,6,FALSE)</f>
        <v>Chq Bk</v>
      </c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57">
        <f t="shared" si="0"/>
        <v>0</v>
      </c>
    </row>
    <row r="49" spans="1:20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Mar 2026'!$A$8:$F$206,6,FALSE)</f>
        <v>Chq Bk</v>
      </c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  <c r="T49" s="57">
        <f t="shared" si="0"/>
        <v>0</v>
      </c>
    </row>
    <row r="50" spans="1:20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Mar 2026'!$A$8:$F$206,6,FALSE)</f>
        <v>Chq Bk</v>
      </c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57">
        <f t="shared" si="0"/>
        <v>0</v>
      </c>
    </row>
    <row r="51" spans="1:20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Mar 2026'!$A$8:$F$206,6,FALSE)</f>
        <v>Chq Bk</v>
      </c>
      <c r="H51" s="444"/>
      <c r="I51" s="444"/>
      <c r="J51" s="444"/>
      <c r="K51" s="444"/>
      <c r="L51" s="444"/>
      <c r="M51" s="444"/>
      <c r="N51" s="444"/>
      <c r="O51" s="444"/>
      <c r="P51" s="444"/>
      <c r="Q51" s="444"/>
      <c r="R51" s="444"/>
      <c r="S51" s="444"/>
      <c r="T51" s="57">
        <f t="shared" si="0"/>
        <v>0</v>
      </c>
    </row>
    <row r="52" spans="1:20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Mar 2026'!$A$8:$F$206,6,FALSE)</f>
        <v>Chq Bk</v>
      </c>
      <c r="H52" s="444"/>
      <c r="I52" s="444"/>
      <c r="J52" s="444"/>
      <c r="K52" s="444"/>
      <c r="L52" s="444"/>
      <c r="M52" s="444"/>
      <c r="N52" s="444"/>
      <c r="O52" s="444"/>
      <c r="P52" s="444"/>
      <c r="Q52" s="444"/>
      <c r="R52" s="444"/>
      <c r="S52" s="444"/>
      <c r="T52" s="57">
        <f t="shared" si="0"/>
        <v>0</v>
      </c>
    </row>
    <row r="53" spans="1:20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Mar 2026'!$A$8:$F$206,6,FALSE)</f>
        <v>Chq Bk</v>
      </c>
      <c r="H53" s="444"/>
      <c r="I53" s="444"/>
      <c r="J53" s="444"/>
      <c r="K53" s="444"/>
      <c r="L53" s="444"/>
      <c r="M53" s="444"/>
      <c r="N53" s="444"/>
      <c r="O53" s="444"/>
      <c r="P53" s="444"/>
      <c r="Q53" s="444"/>
      <c r="R53" s="444"/>
      <c r="S53" s="444"/>
      <c r="T53" s="57">
        <f t="shared" si="0"/>
        <v>0</v>
      </c>
    </row>
    <row r="54" spans="1:20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Mar 2026'!$A$8:$F$206,6,FALSE)</f>
        <v>Chq Bk</v>
      </c>
      <c r="H54" s="444"/>
      <c r="I54" s="444"/>
      <c r="J54" s="444"/>
      <c r="K54" s="444"/>
      <c r="L54" s="444"/>
      <c r="M54" s="444"/>
      <c r="N54" s="444"/>
      <c r="O54" s="444"/>
      <c r="P54" s="444"/>
      <c r="Q54" s="444"/>
      <c r="R54" s="444"/>
      <c r="S54" s="444"/>
      <c r="T54" s="57">
        <f t="shared" si="0"/>
        <v>0</v>
      </c>
    </row>
    <row r="55" spans="1:20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Mar 2026'!$A$8:$F$206,6,FALSE)</f>
        <v>Chq Bk</v>
      </c>
      <c r="H55" s="444"/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57">
        <f t="shared" si="0"/>
        <v>0</v>
      </c>
    </row>
    <row r="56" spans="1:20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Mar 2026'!$A$8:$F$206,6,FALSE)</f>
        <v>Chq bk</v>
      </c>
      <c r="H56" s="444"/>
      <c r="I56" s="444"/>
      <c r="J56" s="444"/>
      <c r="K56" s="444"/>
      <c r="L56" s="444"/>
      <c r="M56" s="444"/>
      <c r="N56" s="444"/>
      <c r="O56" s="444"/>
      <c r="P56" s="444"/>
      <c r="Q56" s="444"/>
      <c r="R56" s="444"/>
      <c r="S56" s="444"/>
      <c r="T56" s="57">
        <f t="shared" si="0"/>
        <v>0</v>
      </c>
    </row>
    <row r="57" spans="1:20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Mar 2026'!$A$8:$F$206,6,FALSE)</f>
        <v>Chq Bk</v>
      </c>
      <c r="H57" s="444"/>
      <c r="I57" s="444"/>
      <c r="J57" s="444"/>
      <c r="K57" s="444"/>
      <c r="L57" s="444"/>
      <c r="M57" s="444"/>
      <c r="N57" s="444"/>
      <c r="O57" s="444"/>
      <c r="P57" s="444"/>
      <c r="Q57" s="444"/>
      <c r="R57" s="444"/>
      <c r="S57" s="444"/>
      <c r="T57" s="57">
        <f t="shared" si="0"/>
        <v>0</v>
      </c>
    </row>
    <row r="58" spans="1:20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Mar 2026'!$A$8:$F$206,6,FALSE)</f>
        <v>Chq Bk</v>
      </c>
      <c r="H58" s="444"/>
      <c r="I58" s="444"/>
      <c r="J58" s="444"/>
      <c r="K58" s="444"/>
      <c r="L58" s="444"/>
      <c r="M58" s="444"/>
      <c r="N58" s="444"/>
      <c r="O58" s="444"/>
      <c r="P58" s="444"/>
      <c r="Q58" s="444"/>
      <c r="R58" s="444"/>
      <c r="S58" s="444"/>
      <c r="T58" s="57">
        <f t="shared" si="0"/>
        <v>0</v>
      </c>
    </row>
    <row r="59" spans="1:20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Mar 2026'!$A$8:$F$206,6,FALSE)</f>
        <v>Chq Bk</v>
      </c>
      <c r="H59" s="444"/>
      <c r="I59" s="444"/>
      <c r="J59" s="444"/>
      <c r="K59" s="444"/>
      <c r="L59" s="444"/>
      <c r="M59" s="444"/>
      <c r="N59" s="444"/>
      <c r="O59" s="444"/>
      <c r="P59" s="444"/>
      <c r="Q59" s="444"/>
      <c r="R59" s="444"/>
      <c r="S59" s="444"/>
      <c r="T59" s="57">
        <f t="shared" si="0"/>
        <v>0</v>
      </c>
    </row>
    <row r="60" spans="1:20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Mar 2026'!$A$8:$F$206,6,FALSE)</f>
        <v>Chq Bk</v>
      </c>
      <c r="H60" s="444"/>
      <c r="I60" s="444"/>
      <c r="J60" s="444"/>
      <c r="K60" s="444"/>
      <c r="L60" s="444"/>
      <c r="M60" s="444"/>
      <c r="N60" s="444"/>
      <c r="O60" s="444"/>
      <c r="P60" s="444"/>
      <c r="Q60" s="444"/>
      <c r="R60" s="444"/>
      <c r="S60" s="444"/>
      <c r="T60" s="57">
        <f t="shared" si="0"/>
        <v>0</v>
      </c>
    </row>
    <row r="61" spans="1:20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Mar 2026'!$A$8:$F$206,6,FALSE)</f>
        <v>Chq Bk</v>
      </c>
      <c r="H61" s="444"/>
      <c r="I61" s="444"/>
      <c r="J61" s="444"/>
      <c r="K61" s="444"/>
      <c r="L61" s="444"/>
      <c r="M61" s="444"/>
      <c r="N61" s="444"/>
      <c r="O61" s="444"/>
      <c r="P61" s="444"/>
      <c r="Q61" s="444"/>
      <c r="R61" s="444"/>
      <c r="S61" s="444"/>
      <c r="T61" s="57">
        <f t="shared" si="0"/>
        <v>0</v>
      </c>
    </row>
    <row r="62" spans="1:20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Mar 2026'!$A$8:$F$206,6,FALSE)</f>
        <v>Chq Bk</v>
      </c>
      <c r="H62" s="444"/>
      <c r="I62" s="444"/>
      <c r="J62" s="444"/>
      <c r="K62" s="444"/>
      <c r="L62" s="444"/>
      <c r="M62" s="444"/>
      <c r="N62" s="444"/>
      <c r="O62" s="444"/>
      <c r="P62" s="444"/>
      <c r="Q62" s="444"/>
      <c r="R62" s="444"/>
      <c r="S62" s="444"/>
      <c r="T62" s="57">
        <f t="shared" si="0"/>
        <v>0</v>
      </c>
    </row>
    <row r="63" spans="1:20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Mar 2026'!$A$8:$F$206,6,FALSE)</f>
        <v>Chq Bk</v>
      </c>
      <c r="H63" s="444"/>
      <c r="I63" s="444"/>
      <c r="J63" s="444"/>
      <c r="K63" s="444"/>
      <c r="L63" s="444"/>
      <c r="M63" s="444"/>
      <c r="N63" s="444"/>
      <c r="O63" s="444"/>
      <c r="P63" s="444">
        <v>500000</v>
      </c>
      <c r="Q63" s="444"/>
      <c r="R63" s="444"/>
      <c r="S63" s="444"/>
      <c r="T63" s="57">
        <f t="shared" si="0"/>
        <v>500000</v>
      </c>
    </row>
    <row r="64" spans="1:20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Mar 2026'!$A$8:$F$206,6,FALSE)</f>
        <v>Chq Bk</v>
      </c>
      <c r="H64" s="444"/>
      <c r="I64" s="444"/>
      <c r="J64" s="444"/>
      <c r="K64" s="444"/>
      <c r="L64" s="444"/>
      <c r="M64" s="444"/>
      <c r="N64" s="444"/>
      <c r="O64" s="444"/>
      <c r="P64" s="444"/>
      <c r="Q64" s="444"/>
      <c r="R64" s="444"/>
      <c r="S64" s="444"/>
      <c r="T64" s="57">
        <f t="shared" si="0"/>
        <v>0</v>
      </c>
    </row>
    <row r="65" spans="1:20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Mar 2026'!$A$8:$F$206,6,FALSE)</f>
        <v>Chq Bk</v>
      </c>
      <c r="H65" s="444"/>
      <c r="I65" s="444"/>
      <c r="J65" s="444"/>
      <c r="K65" s="444"/>
      <c r="L65" s="444"/>
      <c r="M65" s="444"/>
      <c r="N65" s="444"/>
      <c r="O65" s="444"/>
      <c r="P65" s="444"/>
      <c r="Q65" s="444"/>
      <c r="R65" s="444"/>
      <c r="S65" s="444"/>
      <c r="T65" s="57">
        <f t="shared" si="0"/>
        <v>0</v>
      </c>
    </row>
    <row r="66" spans="1:20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Mar 2026'!$A$8:$F$206,6,FALSE)</f>
        <v>Chq Bk</v>
      </c>
      <c r="H66" s="444"/>
      <c r="I66" s="444"/>
      <c r="J66" s="444"/>
      <c r="K66" s="444"/>
      <c r="L66" s="444"/>
      <c r="M66" s="444"/>
      <c r="N66" s="444"/>
      <c r="O66" s="444"/>
      <c r="P66" s="444"/>
      <c r="Q66" s="444"/>
      <c r="R66" s="444"/>
      <c r="S66" s="444"/>
      <c r="T66" s="57">
        <f t="shared" si="0"/>
        <v>0</v>
      </c>
    </row>
    <row r="67" spans="1:20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Mar 2026'!$A$8:$F$206,6,FALSE)</f>
        <v>Chq Bk</v>
      </c>
      <c r="H67" s="444"/>
      <c r="I67" s="444"/>
      <c r="J67" s="444"/>
      <c r="K67" s="444"/>
      <c r="L67" s="444"/>
      <c r="M67" s="444"/>
      <c r="N67" s="444"/>
      <c r="O67" s="444"/>
      <c r="P67" s="444"/>
      <c r="Q67" s="444"/>
      <c r="R67" s="444"/>
      <c r="S67" s="444"/>
      <c r="T67" s="57">
        <f t="shared" si="0"/>
        <v>0</v>
      </c>
    </row>
    <row r="68" spans="1:20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Mar 2026'!$A$8:$F$206,6,FALSE)</f>
        <v>Chq Bk</v>
      </c>
      <c r="H68" s="444"/>
      <c r="I68" s="444"/>
      <c r="J68" s="444"/>
      <c r="K68" s="444"/>
      <c r="L68" s="444"/>
      <c r="M68" s="444"/>
      <c r="N68" s="444"/>
      <c r="O68" s="444"/>
      <c r="P68" s="444"/>
      <c r="Q68" s="444"/>
      <c r="R68" s="444"/>
      <c r="S68" s="444"/>
      <c r="T68" s="57">
        <f t="shared" si="0"/>
        <v>0</v>
      </c>
    </row>
    <row r="69" spans="1:20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Mar 2026'!$A$8:$F$206,6,FALSE)</f>
        <v>Chq Bk</v>
      </c>
      <c r="H69" s="444"/>
      <c r="I69" s="444"/>
      <c r="J69" s="444"/>
      <c r="K69" s="444"/>
      <c r="L69" s="444"/>
      <c r="M69" s="444"/>
      <c r="N69" s="444"/>
      <c r="O69" s="444"/>
      <c r="P69" s="444"/>
      <c r="Q69" s="444"/>
      <c r="R69" s="444"/>
      <c r="S69" s="444"/>
      <c r="T69" s="57">
        <f t="shared" si="0"/>
        <v>0</v>
      </c>
    </row>
    <row r="70" spans="1:20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Mar 2026'!$A$8:$F$206,6,FALSE)</f>
        <v>Chq Bk</v>
      </c>
      <c r="H70" s="444"/>
      <c r="I70" s="444"/>
      <c r="J70" s="444"/>
      <c r="K70" s="444"/>
      <c r="L70" s="444"/>
      <c r="M70" s="444"/>
      <c r="N70" s="444"/>
      <c r="O70" s="444"/>
      <c r="P70" s="444"/>
      <c r="Q70" s="444"/>
      <c r="R70" s="444"/>
      <c r="S70" s="444"/>
      <c r="T70" s="57">
        <f t="shared" ref="T70:T133" si="1">SUM(H70:S70)</f>
        <v>0</v>
      </c>
    </row>
    <row r="71" spans="1:20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Mar 2026'!$A$8:$F$206,6,FALSE)</f>
        <v>Chq Bk</v>
      </c>
      <c r="H71" s="444"/>
      <c r="I71" s="444"/>
      <c r="J71" s="444"/>
      <c r="K71" s="444"/>
      <c r="L71" s="444"/>
      <c r="M71" s="444"/>
      <c r="N71" s="444"/>
      <c r="O71" s="444"/>
      <c r="P71" s="444"/>
      <c r="Q71" s="444"/>
      <c r="R71" s="444"/>
      <c r="S71" s="444"/>
      <c r="T71" s="57">
        <f t="shared" si="1"/>
        <v>0</v>
      </c>
    </row>
    <row r="72" spans="1:20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Mar 2026'!$A$8:$F$206,6,FALSE)</f>
        <v>Chq Bk</v>
      </c>
      <c r="H72" s="444"/>
      <c r="I72" s="444"/>
      <c r="J72" s="444"/>
      <c r="K72" s="444"/>
      <c r="L72" s="444"/>
      <c r="M72" s="444"/>
      <c r="N72" s="444"/>
      <c r="O72" s="444"/>
      <c r="P72" s="444"/>
      <c r="Q72" s="444"/>
      <c r="R72" s="444"/>
      <c r="S72" s="444"/>
      <c r="T72" s="57">
        <f t="shared" si="1"/>
        <v>0</v>
      </c>
    </row>
    <row r="73" spans="1:20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Mar 2026'!$A$8:$F$206,6,FALSE)</f>
        <v>Chq Bk</v>
      </c>
      <c r="H73" s="444"/>
      <c r="I73" s="444"/>
      <c r="J73" s="444"/>
      <c r="K73" s="444"/>
      <c r="L73" s="444"/>
      <c r="M73" s="444"/>
      <c r="N73" s="444"/>
      <c r="O73" s="444"/>
      <c r="P73" s="444"/>
      <c r="Q73" s="444"/>
      <c r="R73" s="444"/>
      <c r="S73" s="444"/>
      <c r="T73" s="57">
        <f t="shared" si="1"/>
        <v>0</v>
      </c>
    </row>
    <row r="74" spans="1:20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Mar 2026'!$A$8:$F$206,6,FALSE)</f>
        <v>Chq Bk</v>
      </c>
      <c r="H74" s="444"/>
      <c r="I74" s="444"/>
      <c r="J74" s="444"/>
      <c r="K74" s="444"/>
      <c r="L74" s="444"/>
      <c r="M74" s="444"/>
      <c r="N74" s="444"/>
      <c r="O74" s="444"/>
      <c r="P74" s="444"/>
      <c r="Q74" s="444"/>
      <c r="R74" s="444"/>
      <c r="S74" s="444"/>
      <c r="T74" s="57">
        <f t="shared" si="1"/>
        <v>0</v>
      </c>
    </row>
    <row r="75" spans="1:20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Mar 2026'!$A$8:$F$206,6,FALSE)</f>
        <v>Chq Bk</v>
      </c>
      <c r="H75" s="444"/>
      <c r="I75" s="444"/>
      <c r="J75" s="444"/>
      <c r="K75" s="444"/>
      <c r="L75" s="444"/>
      <c r="M75" s="444"/>
      <c r="N75" s="444"/>
      <c r="O75" s="444"/>
      <c r="P75" s="444"/>
      <c r="Q75" s="444"/>
      <c r="R75" s="444"/>
      <c r="S75" s="444"/>
      <c r="T75" s="57">
        <f t="shared" si="1"/>
        <v>0</v>
      </c>
    </row>
    <row r="76" spans="1:20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Mar 2026'!$A$8:$F$206,6,FALSE)</f>
        <v>Chq Bk</v>
      </c>
      <c r="H76" s="444"/>
      <c r="I76" s="444"/>
      <c r="J76" s="444"/>
      <c r="K76" s="444"/>
      <c r="L76" s="444"/>
      <c r="M76" s="444"/>
      <c r="N76" s="444"/>
      <c r="O76" s="444"/>
      <c r="P76" s="444"/>
      <c r="Q76" s="444"/>
      <c r="R76" s="444"/>
      <c r="S76" s="444"/>
      <c r="T76" s="57">
        <f t="shared" si="1"/>
        <v>0</v>
      </c>
    </row>
    <row r="77" spans="1:20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Mar 2026'!$A$8:$F$206,6,FALSE)</f>
        <v>Chq Bk</v>
      </c>
      <c r="H77" s="444"/>
      <c r="I77" s="444"/>
      <c r="J77" s="444"/>
      <c r="K77" s="444"/>
      <c r="L77" s="444"/>
      <c r="M77" s="444"/>
      <c r="N77" s="444"/>
      <c r="O77" s="444"/>
      <c r="P77" s="444"/>
      <c r="Q77" s="444"/>
      <c r="R77" s="444"/>
      <c r="S77" s="444"/>
      <c r="T77" s="57">
        <f t="shared" si="1"/>
        <v>0</v>
      </c>
    </row>
    <row r="78" spans="1:20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Mar 2026'!$A$8:$F$206,6,FALSE)</f>
        <v>Chq Bk</v>
      </c>
      <c r="H78" s="444"/>
      <c r="I78" s="444"/>
      <c r="J78" s="444"/>
      <c r="K78" s="444"/>
      <c r="L78" s="444"/>
      <c r="M78" s="444"/>
      <c r="N78" s="444"/>
      <c r="O78" s="444"/>
      <c r="P78" s="444"/>
      <c r="Q78" s="444"/>
      <c r="R78" s="444"/>
      <c r="S78" s="444"/>
      <c r="T78" s="57">
        <f t="shared" si="1"/>
        <v>0</v>
      </c>
    </row>
    <row r="79" spans="1:20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Mar 2026'!$A$8:$F$206,6,FALSE)</f>
        <v>Chq Bk</v>
      </c>
      <c r="H79" s="444"/>
      <c r="I79" s="444"/>
      <c r="J79" s="444"/>
      <c r="K79" s="444"/>
      <c r="L79" s="444"/>
      <c r="M79" s="444"/>
      <c r="N79" s="444"/>
      <c r="O79" s="444"/>
      <c r="P79" s="444"/>
      <c r="Q79" s="444"/>
      <c r="R79" s="444"/>
      <c r="S79" s="444"/>
      <c r="T79" s="57">
        <f t="shared" si="1"/>
        <v>0</v>
      </c>
    </row>
    <row r="80" spans="1:20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Mar 2026'!$A$8:$F$206,6,FALSE)</f>
        <v>Chq Bk</v>
      </c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  <c r="T80" s="57">
        <f t="shared" si="1"/>
        <v>0</v>
      </c>
    </row>
    <row r="81" spans="1:20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Mar 2026'!$A$8:$F$206,6,FALSE)</f>
        <v>Chq Bk</v>
      </c>
      <c r="H81" s="444"/>
      <c r="I81" s="444"/>
      <c r="J81" s="444"/>
      <c r="K81" s="444"/>
      <c r="L81" s="444"/>
      <c r="M81" s="444"/>
      <c r="N81" s="444"/>
      <c r="O81" s="444"/>
      <c r="P81" s="444"/>
      <c r="Q81" s="444"/>
      <c r="R81" s="444"/>
      <c r="S81" s="444"/>
      <c r="T81" s="57">
        <f t="shared" si="1"/>
        <v>0</v>
      </c>
    </row>
    <row r="82" spans="1:20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Mar 2026'!$A$8:$F$206,6,FALSE)</f>
        <v>Chq Bk</v>
      </c>
      <c r="H82" s="444"/>
      <c r="I82" s="444"/>
      <c r="J82" s="444"/>
      <c r="K82" s="444"/>
      <c r="L82" s="444"/>
      <c r="M82" s="444"/>
      <c r="N82" s="444"/>
      <c r="O82" s="444"/>
      <c r="P82" s="444"/>
      <c r="Q82" s="444"/>
      <c r="R82" s="444"/>
      <c r="S82" s="444"/>
      <c r="T82" s="57">
        <f t="shared" si="1"/>
        <v>0</v>
      </c>
    </row>
    <row r="83" spans="1:20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Mar 2026'!$A$8:$F$206,6,FALSE)</f>
        <v>Chq Bk</v>
      </c>
      <c r="H83" s="444"/>
      <c r="I83" s="444"/>
      <c r="J83" s="444">
        <v>60000</v>
      </c>
      <c r="K83" s="444"/>
      <c r="L83" s="444"/>
      <c r="M83" s="444"/>
      <c r="N83" s="444"/>
      <c r="O83" s="444"/>
      <c r="P83" s="444"/>
      <c r="Q83" s="444"/>
      <c r="R83" s="444"/>
      <c r="S83" s="444"/>
      <c r="T83" s="57">
        <f t="shared" si="1"/>
        <v>60000</v>
      </c>
    </row>
    <row r="84" spans="1:20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Mar 2026'!$A$8:$F$206,6,FALSE)</f>
        <v>Chq Bk</v>
      </c>
      <c r="H84" s="444"/>
      <c r="I84" s="444"/>
      <c r="J84" s="444"/>
      <c r="K84" s="444"/>
      <c r="L84" s="444"/>
      <c r="M84" s="444"/>
      <c r="N84" s="444"/>
      <c r="O84" s="444"/>
      <c r="P84" s="444"/>
      <c r="Q84" s="444"/>
      <c r="R84" s="444"/>
      <c r="S84" s="444"/>
      <c r="T84" s="57">
        <f t="shared" si="1"/>
        <v>0</v>
      </c>
    </row>
    <row r="85" spans="1:20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Mar 2026'!$A$8:$F$206,6,FALSE)</f>
        <v>Chq Bk</v>
      </c>
      <c r="H85" s="444"/>
      <c r="I85" s="444"/>
      <c r="J85" s="444"/>
      <c r="K85" s="444"/>
      <c r="L85" s="444"/>
      <c r="M85" s="444"/>
      <c r="N85" s="444"/>
      <c r="O85" s="444"/>
      <c r="P85" s="444"/>
      <c r="Q85" s="444"/>
      <c r="R85" s="444"/>
      <c r="S85" s="444"/>
      <c r="T85" s="57">
        <f t="shared" si="1"/>
        <v>0</v>
      </c>
    </row>
    <row r="86" spans="1:20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Mar 2026'!$A$8:$F$206,6,FALSE)</f>
        <v>Chq Bk</v>
      </c>
      <c r="H86" s="444"/>
      <c r="I86" s="444"/>
      <c r="J86" s="444"/>
      <c r="K86" s="444"/>
      <c r="L86" s="444"/>
      <c r="M86" s="444"/>
      <c r="N86" s="444"/>
      <c r="O86" s="444"/>
      <c r="P86" s="444"/>
      <c r="Q86" s="444"/>
      <c r="R86" s="444"/>
      <c r="S86" s="444"/>
      <c r="T86" s="57">
        <f t="shared" si="1"/>
        <v>0</v>
      </c>
    </row>
    <row r="87" spans="1:20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Mar 2026'!$A$8:$F$206,6,FALSE)</f>
        <v>Chq Bk</v>
      </c>
      <c r="H87" s="444"/>
      <c r="I87" s="444"/>
      <c r="J87" s="444"/>
      <c r="K87" s="444"/>
      <c r="L87" s="444"/>
      <c r="M87" s="444"/>
      <c r="N87" s="444"/>
      <c r="O87" s="444"/>
      <c r="P87" s="444"/>
      <c r="Q87" s="444"/>
      <c r="R87" s="444"/>
      <c r="S87" s="444"/>
      <c r="T87" s="57">
        <f t="shared" si="1"/>
        <v>0</v>
      </c>
    </row>
    <row r="88" spans="1:20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Mar 2026'!$A$8:$F$206,6,FALSE)</f>
        <v>#N/A</v>
      </c>
      <c r="H88" s="444"/>
      <c r="I88" s="444"/>
      <c r="J88" s="444"/>
      <c r="K88" s="444"/>
      <c r="L88" s="444"/>
      <c r="M88" s="444"/>
      <c r="N88" s="444"/>
      <c r="O88" s="444"/>
      <c r="P88" s="444"/>
      <c r="Q88" s="444"/>
      <c r="R88" s="444"/>
      <c r="S88" s="444"/>
      <c r="T88" s="57">
        <f t="shared" si="1"/>
        <v>0</v>
      </c>
    </row>
    <row r="89" spans="1:20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Mar 2026'!$A$8:$F$206,6,FALSE)</f>
        <v>Chq Bk</v>
      </c>
      <c r="H89" s="444"/>
      <c r="I89" s="444"/>
      <c r="J89" s="444"/>
      <c r="K89" s="444"/>
      <c r="L89" s="444"/>
      <c r="M89" s="444"/>
      <c r="N89" s="444"/>
      <c r="O89" s="444"/>
      <c r="P89" s="444"/>
      <c r="Q89" s="444"/>
      <c r="R89" s="444"/>
      <c r="S89" s="444"/>
      <c r="T89" s="57">
        <f t="shared" si="1"/>
        <v>0</v>
      </c>
    </row>
    <row r="90" spans="1:20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Mar 2026'!$A$8:$F$206,6,FALSE)</f>
        <v>Chq Bk</v>
      </c>
      <c r="H90" s="444"/>
      <c r="I90" s="444"/>
      <c r="J90" s="444"/>
      <c r="K90" s="444"/>
      <c r="L90" s="444"/>
      <c r="M90" s="444"/>
      <c r="N90" s="444"/>
      <c r="O90" s="444"/>
      <c r="P90" s="444"/>
      <c r="Q90" s="444"/>
      <c r="R90" s="444"/>
      <c r="S90" s="444"/>
      <c r="T90" s="57">
        <f t="shared" si="1"/>
        <v>0</v>
      </c>
    </row>
    <row r="91" spans="1:20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Mar 2026'!$A$8:$F$206,6,FALSE)</f>
        <v>Chq Bk</v>
      </c>
      <c r="H91" s="444"/>
      <c r="I91" s="444"/>
      <c r="J91" s="444"/>
      <c r="K91" s="444"/>
      <c r="L91" s="444"/>
      <c r="M91" s="444"/>
      <c r="N91" s="444"/>
      <c r="O91" s="444"/>
      <c r="P91" s="444"/>
      <c r="Q91" s="444"/>
      <c r="R91" s="444"/>
      <c r="S91" s="444"/>
      <c r="T91" s="57">
        <f t="shared" si="1"/>
        <v>0</v>
      </c>
    </row>
    <row r="92" spans="1:20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Mar 2026'!$A$8:$F$206,6,FALSE)</f>
        <v>Chq Bk</v>
      </c>
      <c r="H92" s="444"/>
      <c r="I92" s="444"/>
      <c r="J92" s="444"/>
      <c r="K92" s="444"/>
      <c r="L92" s="444"/>
      <c r="M92" s="444"/>
      <c r="N92" s="444"/>
      <c r="O92" s="444"/>
      <c r="P92" s="444"/>
      <c r="Q92" s="444"/>
      <c r="R92" s="444"/>
      <c r="S92" s="444"/>
      <c r="T92" s="57">
        <f t="shared" si="1"/>
        <v>0</v>
      </c>
    </row>
    <row r="93" spans="1:20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Mar 2026'!$A$8:$F$206,6,FALSE)</f>
        <v>Chq Bk</v>
      </c>
      <c r="H93" s="444"/>
      <c r="I93" s="444"/>
      <c r="J93" s="444"/>
      <c r="K93" s="444"/>
      <c r="L93" s="444"/>
      <c r="M93" s="444"/>
      <c r="N93" s="444"/>
      <c r="O93" s="444"/>
      <c r="P93" s="444"/>
      <c r="Q93" s="444"/>
      <c r="R93" s="444"/>
      <c r="S93" s="444"/>
      <c r="T93" s="57">
        <f t="shared" si="1"/>
        <v>0</v>
      </c>
    </row>
    <row r="94" spans="1:20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Mar 2026'!$A$8:$F$206,6,FALSE)</f>
        <v>Chq Bk</v>
      </c>
      <c r="H94" s="444"/>
      <c r="I94" s="444"/>
      <c r="J94" s="444"/>
      <c r="K94" s="444"/>
      <c r="L94" s="444"/>
      <c r="M94" s="444"/>
      <c r="N94" s="444"/>
      <c r="O94" s="444"/>
      <c r="P94" s="444"/>
      <c r="Q94" s="444"/>
      <c r="R94" s="444"/>
      <c r="S94" s="444"/>
      <c r="T94" s="57">
        <f t="shared" si="1"/>
        <v>0</v>
      </c>
    </row>
    <row r="95" spans="1:20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Mar 2026'!$A$8:$F$206,6,FALSE)</f>
        <v>Chq Bk</v>
      </c>
      <c r="H95" s="444"/>
      <c r="I95" s="444"/>
      <c r="J95" s="444"/>
      <c r="K95" s="444"/>
      <c r="L95" s="444"/>
      <c r="M95" s="444"/>
      <c r="N95" s="444"/>
      <c r="O95" s="444"/>
      <c r="P95" s="444"/>
      <c r="Q95" s="444"/>
      <c r="R95" s="444"/>
      <c r="S95" s="444"/>
      <c r="T95" s="57">
        <f t="shared" si="1"/>
        <v>0</v>
      </c>
    </row>
    <row r="96" spans="1:20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Mar 2026'!$A$8:$F$206,6,FALSE)</f>
        <v>Chq Bk</v>
      </c>
      <c r="H96" s="444"/>
      <c r="I96" s="444"/>
      <c r="J96" s="444"/>
      <c r="K96" s="444"/>
      <c r="L96" s="444"/>
      <c r="M96" s="444"/>
      <c r="N96" s="444"/>
      <c r="O96" s="444"/>
      <c r="P96" s="444"/>
      <c r="Q96" s="444"/>
      <c r="R96" s="444"/>
      <c r="S96" s="444"/>
      <c r="T96" s="57">
        <f t="shared" si="1"/>
        <v>0</v>
      </c>
    </row>
    <row r="97" spans="1:20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Mar 2026'!$A$8:$F$206,6,FALSE)</f>
        <v>Academy</v>
      </c>
      <c r="H97" s="444"/>
      <c r="I97" s="444"/>
      <c r="J97" s="444"/>
      <c r="K97" s="444"/>
      <c r="L97" s="444"/>
      <c r="M97" s="444"/>
      <c r="N97" s="444"/>
      <c r="O97" s="444"/>
      <c r="P97" s="444"/>
      <c r="Q97" s="444"/>
      <c r="R97" s="444"/>
      <c r="S97" s="444"/>
      <c r="T97" s="57">
        <f t="shared" si="1"/>
        <v>0</v>
      </c>
    </row>
    <row r="98" spans="1:20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Mar 2026'!$A$8:$F$206,6,FALSE)</f>
        <v>Chq Bk</v>
      </c>
      <c r="H98" s="444"/>
      <c r="I98" s="444"/>
      <c r="J98" s="444"/>
      <c r="K98" s="444"/>
      <c r="L98" s="444"/>
      <c r="M98" s="444"/>
      <c r="N98" s="444"/>
      <c r="O98" s="444"/>
      <c r="P98" s="444"/>
      <c r="Q98" s="444"/>
      <c r="R98" s="444"/>
      <c r="S98" s="444"/>
      <c r="T98" s="57">
        <f t="shared" si="1"/>
        <v>0</v>
      </c>
    </row>
    <row r="99" spans="1:20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Mar 2026'!$A$8:$F$206,6,FALSE)</f>
        <v>Chq Bk</v>
      </c>
      <c r="H99" s="444"/>
      <c r="I99" s="444"/>
      <c r="J99" s="444"/>
      <c r="K99" s="444"/>
      <c r="L99" s="444"/>
      <c r="M99" s="444"/>
      <c r="N99" s="444"/>
      <c r="O99" s="444"/>
      <c r="P99" s="444"/>
      <c r="Q99" s="444"/>
      <c r="R99" s="444"/>
      <c r="S99" s="444"/>
      <c r="T99" s="57">
        <f t="shared" si="1"/>
        <v>0</v>
      </c>
    </row>
    <row r="100" spans="1:20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Mar 2026'!$A$8:$F$206,6,FALSE)</f>
        <v>Chq Bk</v>
      </c>
      <c r="H100" s="444"/>
      <c r="I100" s="444"/>
      <c r="J100" s="444"/>
      <c r="K100" s="444"/>
      <c r="L100" s="444"/>
      <c r="M100" s="444"/>
      <c r="N100" s="444"/>
      <c r="O100" s="444"/>
      <c r="P100" s="444"/>
      <c r="Q100" s="444"/>
      <c r="R100" s="444"/>
      <c r="S100" s="444"/>
      <c r="T100" s="57">
        <f t="shared" si="1"/>
        <v>0</v>
      </c>
    </row>
    <row r="101" spans="1:20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Mar 2026'!$A$8:$F$206,6,FALSE)</f>
        <v>Chq Bk</v>
      </c>
      <c r="H101" s="444"/>
      <c r="I101" s="444"/>
      <c r="J101" s="444"/>
      <c r="K101" s="444"/>
      <c r="L101" s="444"/>
      <c r="M101" s="444"/>
      <c r="N101" s="444"/>
      <c r="O101" s="444"/>
      <c r="P101" s="444"/>
      <c r="Q101" s="444"/>
      <c r="R101" s="444"/>
      <c r="S101" s="444"/>
      <c r="T101" s="57">
        <f t="shared" si="1"/>
        <v>0</v>
      </c>
    </row>
    <row r="102" spans="1:20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Mar 2026'!$A$8:$F$206,6,FALSE)</f>
        <v>Chq Bk</v>
      </c>
      <c r="H102" s="444"/>
      <c r="I102" s="444"/>
      <c r="J102" s="444"/>
      <c r="K102" s="444"/>
      <c r="L102" s="444"/>
      <c r="M102" s="444"/>
      <c r="N102" s="444"/>
      <c r="O102" s="444"/>
      <c r="P102" s="444"/>
      <c r="Q102" s="444"/>
      <c r="R102" s="444"/>
      <c r="S102" s="444"/>
      <c r="T102" s="57">
        <f t="shared" si="1"/>
        <v>0</v>
      </c>
    </row>
    <row r="103" spans="1:20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Mar 2026'!$A$8:$F$206,6,FALSE)</f>
        <v>Chq Bk</v>
      </c>
      <c r="H103" s="444"/>
      <c r="I103" s="444"/>
      <c r="J103" s="444"/>
      <c r="K103" s="444"/>
      <c r="L103" s="444"/>
      <c r="M103" s="444"/>
      <c r="N103" s="444"/>
      <c r="O103" s="444"/>
      <c r="P103" s="444"/>
      <c r="Q103" s="444"/>
      <c r="R103" s="444"/>
      <c r="S103" s="444"/>
      <c r="T103" s="57">
        <f t="shared" si="1"/>
        <v>0</v>
      </c>
    </row>
    <row r="104" spans="1:20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Mar 2026'!$A$8:$F$206,6,FALSE)</f>
        <v>Chq Bk</v>
      </c>
      <c r="H104" s="444"/>
      <c r="I104" s="444"/>
      <c r="J104" s="444"/>
      <c r="K104" s="444"/>
      <c r="L104" s="444"/>
      <c r="M104" s="444"/>
      <c r="N104" s="444"/>
      <c r="O104" s="444"/>
      <c r="P104" s="444"/>
      <c r="Q104" s="444"/>
      <c r="R104" s="444"/>
      <c r="S104" s="444"/>
      <c r="T104" s="57">
        <f t="shared" si="1"/>
        <v>0</v>
      </c>
    </row>
    <row r="105" spans="1:20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Mar 2026'!$A$8:$F$206,6,FALSE)</f>
        <v>Chq Bk</v>
      </c>
      <c r="H105" s="444"/>
      <c r="I105" s="444"/>
      <c r="J105" s="444"/>
      <c r="K105" s="444"/>
      <c r="L105" s="444"/>
      <c r="M105" s="444"/>
      <c r="N105" s="444"/>
      <c r="O105" s="444"/>
      <c r="P105" s="444"/>
      <c r="Q105" s="444"/>
      <c r="R105" s="444"/>
      <c r="S105" s="444"/>
      <c r="T105" s="57">
        <f t="shared" si="1"/>
        <v>0</v>
      </c>
    </row>
    <row r="106" spans="1:20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Mar 2026'!$A$8:$F$206,6,FALSE)</f>
        <v>Chq Bk</v>
      </c>
      <c r="H106" s="444"/>
      <c r="I106" s="444"/>
      <c r="J106" s="444"/>
      <c r="K106" s="444"/>
      <c r="L106" s="444"/>
      <c r="M106" s="444"/>
      <c r="N106" s="444"/>
      <c r="O106" s="444"/>
      <c r="P106" s="444"/>
      <c r="Q106" s="444"/>
      <c r="R106" s="444"/>
      <c r="S106" s="444"/>
      <c r="T106" s="57">
        <f t="shared" si="1"/>
        <v>0</v>
      </c>
    </row>
    <row r="107" spans="1:20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Mar 2026'!$A$8:$F$206,6,FALSE)</f>
        <v>Chq Bk</v>
      </c>
      <c r="H107" s="444"/>
      <c r="I107" s="444"/>
      <c r="J107" s="444"/>
      <c r="K107" s="444"/>
      <c r="L107" s="444"/>
      <c r="M107" s="444"/>
      <c r="N107" s="444"/>
      <c r="O107" s="444"/>
      <c r="P107" s="444"/>
      <c r="Q107" s="444"/>
      <c r="R107" s="444"/>
      <c r="S107" s="444"/>
      <c r="T107" s="57">
        <f t="shared" si="1"/>
        <v>0</v>
      </c>
    </row>
    <row r="108" spans="1:20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Mar 2026'!$A$8:$F$206,6,FALSE)</f>
        <v>Chq Bk</v>
      </c>
      <c r="H108" s="444"/>
      <c r="I108" s="444"/>
      <c r="J108" s="444"/>
      <c r="K108" s="444"/>
      <c r="L108" s="444"/>
      <c r="M108" s="444"/>
      <c r="N108" s="444"/>
      <c r="O108" s="444"/>
      <c r="P108" s="444"/>
      <c r="Q108" s="444"/>
      <c r="R108" s="444"/>
      <c r="S108" s="444"/>
      <c r="T108" s="57">
        <f t="shared" si="1"/>
        <v>0</v>
      </c>
    </row>
    <row r="109" spans="1:20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Mar 2026'!$A$8:$F$206,6,FALSE)</f>
        <v>Chq Bk</v>
      </c>
      <c r="H109" s="444"/>
      <c r="I109" s="444"/>
      <c r="J109" s="444"/>
      <c r="K109" s="444"/>
      <c r="L109" s="444"/>
      <c r="M109" s="444"/>
      <c r="N109" s="444"/>
      <c r="O109" s="444"/>
      <c r="P109" s="444"/>
      <c r="Q109" s="444"/>
      <c r="R109" s="444"/>
      <c r="S109" s="444"/>
      <c r="T109" s="57">
        <f t="shared" si="1"/>
        <v>0</v>
      </c>
    </row>
    <row r="110" spans="1:20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Mar 2026'!$A$8:$F$206,6,FALSE)</f>
        <v>Chq Bk</v>
      </c>
      <c r="H110" s="444"/>
      <c r="I110" s="444"/>
      <c r="J110" s="444"/>
      <c r="K110" s="444"/>
      <c r="L110" s="444"/>
      <c r="M110" s="444"/>
      <c r="N110" s="444"/>
      <c r="O110" s="444"/>
      <c r="P110" s="444"/>
      <c r="Q110" s="444"/>
      <c r="R110" s="444"/>
      <c r="S110" s="444"/>
      <c r="T110" s="57">
        <f t="shared" si="1"/>
        <v>0</v>
      </c>
    </row>
    <row r="111" spans="1:20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Mar 2026'!$A$8:$F$206,6,FALSE)</f>
        <v>Chq Bk</v>
      </c>
      <c r="H111" s="444"/>
      <c r="I111" s="444"/>
      <c r="J111" s="444"/>
      <c r="K111" s="444"/>
      <c r="L111" s="444"/>
      <c r="M111" s="444"/>
      <c r="N111" s="444"/>
      <c r="O111" s="444"/>
      <c r="P111" s="444"/>
      <c r="Q111" s="444"/>
      <c r="R111" s="444"/>
      <c r="S111" s="444"/>
      <c r="T111" s="57">
        <f t="shared" si="1"/>
        <v>0</v>
      </c>
    </row>
    <row r="112" spans="1:20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Mar 2026'!$A$8:$F$206,6,FALSE)</f>
        <v>Chq Bk</v>
      </c>
      <c r="H112" s="444"/>
      <c r="I112" s="444"/>
      <c r="J112" s="444">
        <v>75000</v>
      </c>
      <c r="K112" s="444"/>
      <c r="L112" s="444"/>
      <c r="M112" s="444"/>
      <c r="N112" s="444"/>
      <c r="O112" s="444"/>
      <c r="P112" s="444"/>
      <c r="Q112" s="444"/>
      <c r="R112" s="444"/>
      <c r="S112" s="444"/>
      <c r="T112" s="57">
        <f t="shared" si="1"/>
        <v>75000</v>
      </c>
    </row>
    <row r="113" spans="1:20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Mar 2026'!$A$8:$F$206,6,FALSE)</f>
        <v>Chq Bk</v>
      </c>
      <c r="H113" s="444"/>
      <c r="I113" s="444"/>
      <c r="J113" s="444"/>
      <c r="K113" s="444"/>
      <c r="L113" s="444"/>
      <c r="M113" s="444"/>
      <c r="N113" s="444"/>
      <c r="O113" s="444"/>
      <c r="P113" s="444"/>
      <c r="Q113" s="444"/>
      <c r="R113" s="444"/>
      <c r="S113" s="444"/>
      <c r="T113" s="57">
        <f t="shared" si="1"/>
        <v>0</v>
      </c>
    </row>
    <row r="114" spans="1:20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Mar 2026'!$A$8:$F$206,6,FALSE)</f>
        <v>Chq Bk</v>
      </c>
      <c r="H114" s="444"/>
      <c r="I114" s="444"/>
      <c r="J114" s="444"/>
      <c r="K114" s="444"/>
      <c r="L114" s="444"/>
      <c r="M114" s="444"/>
      <c r="N114" s="444"/>
      <c r="O114" s="444"/>
      <c r="P114" s="444"/>
      <c r="Q114" s="444"/>
      <c r="R114" s="444"/>
      <c r="S114" s="444"/>
      <c r="T114" s="57">
        <f t="shared" si="1"/>
        <v>0</v>
      </c>
    </row>
    <row r="115" spans="1:20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Mar 2026'!$A$8:$F$206,6,FALSE)</f>
        <v>Chq Bk</v>
      </c>
      <c r="H115" s="444"/>
      <c r="I115" s="444"/>
      <c r="J115" s="444"/>
      <c r="K115" s="444"/>
      <c r="L115" s="444"/>
      <c r="M115" s="444"/>
      <c r="N115" s="444"/>
      <c r="O115" s="444"/>
      <c r="P115" s="444"/>
      <c r="Q115" s="444"/>
      <c r="R115" s="444"/>
      <c r="S115" s="444"/>
      <c r="T115" s="57">
        <f t="shared" si="1"/>
        <v>0</v>
      </c>
    </row>
    <row r="116" spans="1:20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Mar 2026'!$A$8:$F$206,6,FALSE)</f>
        <v>Chq Bk</v>
      </c>
      <c r="H116" s="444">
        <v>40000</v>
      </c>
      <c r="I116" s="444"/>
      <c r="J116" s="444">
        <f>-H116</f>
        <v>-40000</v>
      </c>
      <c r="K116" s="444"/>
      <c r="L116" s="444"/>
      <c r="M116" s="444"/>
      <c r="N116" s="444"/>
      <c r="O116" s="444"/>
      <c r="P116" s="444"/>
      <c r="Q116" s="444"/>
      <c r="R116" s="444"/>
      <c r="S116" s="444"/>
      <c r="T116" s="57">
        <f t="shared" si="1"/>
        <v>0</v>
      </c>
    </row>
    <row r="117" spans="1:20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Mar 2026'!$A$8:$F$206,6,FALSE)</f>
        <v>Chq Bk</v>
      </c>
      <c r="H117" s="444"/>
      <c r="I117" s="444"/>
      <c r="J117" s="444"/>
      <c r="K117" s="444"/>
      <c r="L117" s="444"/>
      <c r="M117" s="444"/>
      <c r="N117" s="444"/>
      <c r="O117" s="444"/>
      <c r="P117" s="444"/>
      <c r="Q117" s="444"/>
      <c r="R117" s="444"/>
      <c r="S117" s="444"/>
      <c r="T117" s="57">
        <f t="shared" si="1"/>
        <v>0</v>
      </c>
    </row>
    <row r="118" spans="1:20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Mar 2026'!$A$8:$F$206,6,FALSE)</f>
        <v>Chq Bk</v>
      </c>
      <c r="H118" s="444"/>
      <c r="I118" s="444"/>
      <c r="J118" s="444"/>
      <c r="K118" s="444"/>
      <c r="L118" s="444"/>
      <c r="M118" s="444"/>
      <c r="N118" s="444"/>
      <c r="O118" s="444"/>
      <c r="P118" s="444"/>
      <c r="Q118" s="444"/>
      <c r="R118" s="444"/>
      <c r="S118" s="444"/>
      <c r="T118" s="57">
        <f t="shared" si="1"/>
        <v>0</v>
      </c>
    </row>
    <row r="119" spans="1:20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Mar 2026'!$A$8:$F$206,6,FALSE)</f>
        <v>Chq Bk</v>
      </c>
      <c r="H119" s="444"/>
      <c r="I119" s="444"/>
      <c r="J119" s="444"/>
      <c r="K119" s="444"/>
      <c r="L119" s="444"/>
      <c r="M119" s="444"/>
      <c r="N119" s="444"/>
      <c r="O119" s="444"/>
      <c r="P119" s="444"/>
      <c r="Q119" s="444"/>
      <c r="R119" s="444"/>
      <c r="S119" s="444"/>
      <c r="T119" s="57">
        <f t="shared" si="1"/>
        <v>0</v>
      </c>
    </row>
    <row r="120" spans="1:20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Mar 2026'!$A$8:$F$206,6,FALSE)</f>
        <v>Chq Bk</v>
      </c>
      <c r="H120" s="444"/>
      <c r="I120" s="444"/>
      <c r="J120" s="444"/>
      <c r="K120" s="444"/>
      <c r="L120" s="444"/>
      <c r="M120" s="444"/>
      <c r="N120" s="444"/>
      <c r="O120" s="444"/>
      <c r="P120" s="444"/>
      <c r="Q120" s="444"/>
      <c r="R120" s="444"/>
      <c r="S120" s="444"/>
      <c r="T120" s="57">
        <f t="shared" si="1"/>
        <v>0</v>
      </c>
    </row>
    <row r="121" spans="1:20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Mar 2026'!$A$8:$F$206,6,FALSE)</f>
        <v>Chq Bk</v>
      </c>
      <c r="H121" s="444"/>
      <c r="I121" s="444"/>
      <c r="J121" s="444"/>
      <c r="K121" s="444"/>
      <c r="L121" s="444"/>
      <c r="M121" s="444"/>
      <c r="N121" s="444"/>
      <c r="O121" s="444"/>
      <c r="P121" s="444"/>
      <c r="Q121" s="444"/>
      <c r="R121" s="444"/>
      <c r="S121" s="444"/>
      <c r="T121" s="57">
        <f t="shared" si="1"/>
        <v>0</v>
      </c>
    </row>
    <row r="122" spans="1:20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Mar 2026'!$A$8:$F$206,6,FALSE)</f>
        <v>Chq Bk</v>
      </c>
      <c r="H122" s="444"/>
      <c r="I122" s="444"/>
      <c r="J122" s="444"/>
      <c r="K122" s="444"/>
      <c r="L122" s="444"/>
      <c r="M122" s="444"/>
      <c r="N122" s="444"/>
      <c r="O122" s="444"/>
      <c r="P122" s="444"/>
      <c r="Q122" s="444"/>
      <c r="R122" s="444"/>
      <c r="S122" s="444"/>
      <c r="T122" s="57">
        <f t="shared" si="1"/>
        <v>0</v>
      </c>
    </row>
    <row r="123" spans="1:20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Mar 2026'!$A$8:$F$206,6,FALSE)</f>
        <v>Chq Bk</v>
      </c>
      <c r="H123" s="444"/>
      <c r="I123" s="444"/>
      <c r="J123" s="444"/>
      <c r="K123" s="444"/>
      <c r="L123" s="444"/>
      <c r="M123" s="444"/>
      <c r="N123" s="444"/>
      <c r="O123" s="444"/>
      <c r="P123" s="444"/>
      <c r="Q123" s="444"/>
      <c r="R123" s="444"/>
      <c r="S123" s="444"/>
      <c r="T123" s="57">
        <f t="shared" si="1"/>
        <v>0</v>
      </c>
    </row>
    <row r="124" spans="1:20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Mar 2026'!$A$8:$F$206,6,FALSE)</f>
        <v>Chq Bk</v>
      </c>
      <c r="H124" s="444"/>
      <c r="I124" s="444"/>
      <c r="J124" s="444"/>
      <c r="K124" s="444"/>
      <c r="L124" s="444"/>
      <c r="M124" s="444"/>
      <c r="N124" s="444"/>
      <c r="O124" s="444"/>
      <c r="P124" s="444"/>
      <c r="Q124" s="444"/>
      <c r="R124" s="444"/>
      <c r="S124" s="444"/>
      <c r="T124" s="57">
        <f t="shared" si="1"/>
        <v>0</v>
      </c>
    </row>
    <row r="125" spans="1:20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Mar 2026'!$A$8:$F$206,6,FALSE)</f>
        <v>Chq Bk</v>
      </c>
      <c r="H125" s="444"/>
      <c r="I125" s="444"/>
      <c r="J125" s="444"/>
      <c r="K125" s="444"/>
      <c r="L125" s="444"/>
      <c r="M125" s="444"/>
      <c r="N125" s="444"/>
      <c r="O125" s="444"/>
      <c r="P125" s="444"/>
      <c r="Q125" s="444"/>
      <c r="R125" s="444"/>
      <c r="S125" s="444"/>
      <c r="T125" s="57">
        <f t="shared" si="1"/>
        <v>0</v>
      </c>
    </row>
    <row r="126" spans="1:20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Mar 2026'!$A$8:$F$206,6,FALSE)</f>
        <v>Chq Bk</v>
      </c>
      <c r="H126" s="444"/>
      <c r="I126" s="444"/>
      <c r="J126" s="444"/>
      <c r="K126" s="444"/>
      <c r="L126" s="444"/>
      <c r="M126" s="444"/>
      <c r="N126" s="444"/>
      <c r="O126" s="444"/>
      <c r="P126" s="444"/>
      <c r="Q126" s="444"/>
      <c r="R126" s="444"/>
      <c r="S126" s="444"/>
      <c r="T126" s="57">
        <f t="shared" si="1"/>
        <v>0</v>
      </c>
    </row>
    <row r="127" spans="1:20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Mar 2026'!$A$8:$F$206,6,FALSE)</f>
        <v>Chq Bk</v>
      </c>
      <c r="H127" s="444"/>
      <c r="I127" s="444"/>
      <c r="J127" s="444"/>
      <c r="K127" s="444"/>
      <c r="L127" s="444"/>
      <c r="M127" s="444"/>
      <c r="N127" s="444"/>
      <c r="O127" s="444"/>
      <c r="P127" s="444"/>
      <c r="Q127" s="444"/>
      <c r="R127" s="444"/>
      <c r="S127" s="444"/>
      <c r="T127" s="57">
        <f t="shared" si="1"/>
        <v>0</v>
      </c>
    </row>
    <row r="128" spans="1:20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Mar 2026'!$A$8:$F$206,6,FALSE)</f>
        <v>Chq Bk</v>
      </c>
      <c r="H128" s="444"/>
      <c r="I128" s="444"/>
      <c r="J128" s="444"/>
      <c r="K128" s="444"/>
      <c r="L128" s="444"/>
      <c r="M128" s="444"/>
      <c r="N128" s="444"/>
      <c r="O128" s="444"/>
      <c r="P128" s="444"/>
      <c r="Q128" s="444"/>
      <c r="R128" s="444"/>
      <c r="S128" s="444"/>
      <c r="T128" s="57">
        <f t="shared" si="1"/>
        <v>0</v>
      </c>
    </row>
    <row r="129" spans="1:20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Mar 2026'!$A$8:$F$206,6,FALSE)</f>
        <v>Chq Bk</v>
      </c>
      <c r="H129" s="444"/>
      <c r="I129" s="444"/>
      <c r="J129" s="444"/>
      <c r="K129" s="444"/>
      <c r="L129" s="444"/>
      <c r="M129" s="444"/>
      <c r="N129" s="444"/>
      <c r="O129" s="444"/>
      <c r="P129" s="444"/>
      <c r="Q129" s="444"/>
      <c r="R129" s="444"/>
      <c r="S129" s="444"/>
      <c r="T129" s="57">
        <f t="shared" si="1"/>
        <v>0</v>
      </c>
    </row>
    <row r="130" spans="1:20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Mar 2026'!$A$8:$F$206,6,FALSE)</f>
        <v>Chq Bk</v>
      </c>
      <c r="H130" s="444"/>
      <c r="I130" s="444"/>
      <c r="J130" s="444"/>
      <c r="K130" s="444"/>
      <c r="L130" s="444"/>
      <c r="M130" s="444"/>
      <c r="N130" s="444"/>
      <c r="O130" s="444"/>
      <c r="P130" s="444"/>
      <c r="Q130" s="444"/>
      <c r="R130" s="444"/>
      <c r="S130" s="444"/>
      <c r="T130" s="57">
        <f t="shared" si="1"/>
        <v>0</v>
      </c>
    </row>
    <row r="131" spans="1:20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Mar 2026'!$A$8:$F$206,6,FALSE)</f>
        <v>Chq Bk</v>
      </c>
      <c r="H131" s="444"/>
      <c r="I131" s="444"/>
      <c r="J131" s="444"/>
      <c r="K131" s="444"/>
      <c r="L131" s="444"/>
      <c r="M131" s="444"/>
      <c r="N131" s="444"/>
      <c r="O131" s="444"/>
      <c r="P131" s="444"/>
      <c r="Q131" s="444"/>
      <c r="R131" s="444"/>
      <c r="S131" s="444"/>
      <c r="T131" s="57">
        <f t="shared" si="1"/>
        <v>0</v>
      </c>
    </row>
    <row r="132" spans="1:20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Mar 2026'!$A$8:$F$206,6,FALSE)</f>
        <v>Chq Bk</v>
      </c>
      <c r="H132" s="444"/>
      <c r="I132" s="444"/>
      <c r="J132" s="444"/>
      <c r="K132" s="444"/>
      <c r="L132" s="444"/>
      <c r="M132" s="444"/>
      <c r="N132" s="444"/>
      <c r="O132" s="444"/>
      <c r="P132" s="444"/>
      <c r="Q132" s="444"/>
      <c r="R132" s="444"/>
      <c r="S132" s="444"/>
      <c r="T132" s="57">
        <f t="shared" si="1"/>
        <v>0</v>
      </c>
    </row>
    <row r="133" spans="1:20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Mar 2026'!$A$8:$F$206,6,FALSE)</f>
        <v>Chq Bk</v>
      </c>
      <c r="H133" s="444"/>
      <c r="I133" s="444"/>
      <c r="J133" s="444"/>
      <c r="K133" s="444"/>
      <c r="L133" s="444"/>
      <c r="M133" s="444"/>
      <c r="N133" s="444"/>
      <c r="O133" s="444"/>
      <c r="P133" s="444"/>
      <c r="Q133" s="444"/>
      <c r="R133" s="444"/>
      <c r="S133" s="444"/>
      <c r="T133" s="57">
        <f t="shared" si="1"/>
        <v>0</v>
      </c>
    </row>
    <row r="134" spans="1:20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Mar 2026'!$A$8:$F$206,6,FALSE)</f>
        <v>Chq Bk</v>
      </c>
      <c r="H134" s="444"/>
      <c r="I134" s="444"/>
      <c r="J134" s="444"/>
      <c r="K134" s="444"/>
      <c r="L134" s="444"/>
      <c r="M134" s="444"/>
      <c r="N134" s="444"/>
      <c r="O134" s="444"/>
      <c r="P134" s="444"/>
      <c r="Q134" s="444"/>
      <c r="R134" s="444"/>
      <c r="S134" s="444"/>
      <c r="T134" s="57">
        <f t="shared" ref="T134:T197" si="2">SUM(H134:S134)</f>
        <v>0</v>
      </c>
    </row>
    <row r="135" spans="1:20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Mar 2026'!$A$8:$F$206,6,FALSE)</f>
        <v>Chq Bk</v>
      </c>
      <c r="H135" s="444"/>
      <c r="I135" s="444"/>
      <c r="J135" s="444"/>
      <c r="K135" s="444"/>
      <c r="L135" s="444"/>
      <c r="M135" s="444"/>
      <c r="N135" s="444"/>
      <c r="O135" s="444"/>
      <c r="P135" s="444"/>
      <c r="Q135" s="444"/>
      <c r="R135" s="444"/>
      <c r="S135" s="444"/>
      <c r="T135" s="57">
        <f t="shared" si="2"/>
        <v>0</v>
      </c>
    </row>
    <row r="136" spans="1:20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Mar 2026'!$A$8:$F$206,6,FALSE)</f>
        <v>Chq Bk</v>
      </c>
      <c r="H136" s="444"/>
      <c r="I136" s="444"/>
      <c r="J136" s="444"/>
      <c r="K136" s="444"/>
      <c r="L136" s="444"/>
      <c r="M136" s="444"/>
      <c r="N136" s="444">
        <v>100000</v>
      </c>
      <c r="O136" s="444"/>
      <c r="P136" s="444"/>
      <c r="Q136" s="444"/>
      <c r="R136" s="444"/>
      <c r="S136" s="444"/>
      <c r="T136" s="57">
        <f t="shared" si="2"/>
        <v>100000</v>
      </c>
    </row>
    <row r="137" spans="1:20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Mar 2026'!$A$8:$F$206,6,FALSE)</f>
        <v>Chq Bk</v>
      </c>
      <c r="H137" s="444"/>
      <c r="I137" s="444"/>
      <c r="J137" s="444"/>
      <c r="K137" s="444"/>
      <c r="L137" s="444"/>
      <c r="M137" s="444"/>
      <c r="N137" s="444"/>
      <c r="O137" s="444"/>
      <c r="P137" s="444"/>
      <c r="Q137" s="444"/>
      <c r="R137" s="444"/>
      <c r="S137" s="444"/>
      <c r="T137" s="57">
        <f t="shared" si="2"/>
        <v>0</v>
      </c>
    </row>
    <row r="138" spans="1:20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Mar 2026'!$A$8:$F$206,6,FALSE)</f>
        <v>Chq Bk</v>
      </c>
      <c r="H138" s="444"/>
      <c r="I138" s="444"/>
      <c r="J138" s="444"/>
      <c r="K138" s="444"/>
      <c r="L138" s="444"/>
      <c r="M138" s="444"/>
      <c r="N138" s="444"/>
      <c r="O138" s="444"/>
      <c r="P138" s="444"/>
      <c r="Q138" s="444"/>
      <c r="R138" s="444"/>
      <c r="S138" s="444"/>
      <c r="T138" s="57">
        <f t="shared" si="2"/>
        <v>0</v>
      </c>
    </row>
    <row r="139" spans="1:20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Mar 2026'!$A$8:$F$206,6,FALSE)</f>
        <v>Chq Bk</v>
      </c>
      <c r="H139" s="444"/>
      <c r="I139" s="444"/>
      <c r="J139" s="444"/>
      <c r="K139" s="444"/>
      <c r="L139" s="444"/>
      <c r="M139" s="444"/>
      <c r="N139" s="444"/>
      <c r="O139" s="444"/>
      <c r="P139" s="444"/>
      <c r="Q139" s="444"/>
      <c r="R139" s="444"/>
      <c r="S139" s="444"/>
      <c r="T139" s="57">
        <f t="shared" si="2"/>
        <v>0</v>
      </c>
    </row>
    <row r="140" spans="1:20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Mar 2026'!$A$8:$F$206,6,FALSE)</f>
        <v>Chq Bk</v>
      </c>
      <c r="H140" s="444"/>
      <c r="I140" s="444"/>
      <c r="J140" s="444"/>
      <c r="K140" s="444"/>
      <c r="L140" s="444"/>
      <c r="M140" s="444"/>
      <c r="N140" s="444"/>
      <c r="O140" s="444"/>
      <c r="P140" s="444"/>
      <c r="Q140" s="444"/>
      <c r="R140" s="444"/>
      <c r="S140" s="444"/>
      <c r="T140" s="57">
        <f t="shared" si="2"/>
        <v>0</v>
      </c>
    </row>
    <row r="141" spans="1:20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Mar 2026'!$A$8:$F$206,6,FALSE)</f>
        <v>Chq Bk</v>
      </c>
      <c r="H141" s="444"/>
      <c r="I141" s="444"/>
      <c r="J141" s="444"/>
      <c r="K141" s="444"/>
      <c r="L141" s="444"/>
      <c r="M141" s="444"/>
      <c r="N141" s="444"/>
      <c r="O141" s="444"/>
      <c r="P141" s="444"/>
      <c r="Q141" s="444"/>
      <c r="R141" s="444"/>
      <c r="S141" s="444"/>
      <c r="T141" s="57">
        <f t="shared" si="2"/>
        <v>0</v>
      </c>
    </row>
    <row r="142" spans="1:20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Mar 2026'!$A$8:$F$206,6,FALSE)</f>
        <v>Academy</v>
      </c>
      <c r="H142" s="444"/>
      <c r="I142" s="444"/>
      <c r="J142" s="444"/>
      <c r="K142" s="444"/>
      <c r="L142" s="444"/>
      <c r="M142" s="444"/>
      <c r="N142" s="444"/>
      <c r="O142" s="444"/>
      <c r="P142" s="444"/>
      <c r="Q142" s="444"/>
      <c r="R142" s="444"/>
      <c r="S142" s="444"/>
      <c r="T142" s="57">
        <f t="shared" si="2"/>
        <v>0</v>
      </c>
    </row>
    <row r="143" spans="1:20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Mar 2026'!$A$8:$F$206,6,FALSE)</f>
        <v>Chq Bk</v>
      </c>
      <c r="H143" s="444"/>
      <c r="I143" s="444"/>
      <c r="J143" s="444"/>
      <c r="K143" s="444"/>
      <c r="L143" s="444"/>
      <c r="M143" s="444"/>
      <c r="N143" s="444"/>
      <c r="O143" s="444"/>
      <c r="P143" s="444"/>
      <c r="Q143" s="444"/>
      <c r="R143" s="444"/>
      <c r="S143" s="444"/>
      <c r="T143" s="57">
        <f t="shared" si="2"/>
        <v>0</v>
      </c>
    </row>
    <row r="144" spans="1:20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Mar 2026'!$A$8:$F$206,6,FALSE)</f>
        <v>Chq Bk</v>
      </c>
      <c r="H144" s="444"/>
      <c r="I144" s="444"/>
      <c r="J144" s="444"/>
      <c r="K144" s="444"/>
      <c r="L144" s="444"/>
      <c r="M144" s="444"/>
      <c r="N144" s="444"/>
      <c r="O144" s="444"/>
      <c r="P144" s="444"/>
      <c r="Q144" s="444"/>
      <c r="R144" s="444"/>
      <c r="S144" s="444"/>
      <c r="T144" s="57">
        <f t="shared" si="2"/>
        <v>0</v>
      </c>
    </row>
    <row r="145" spans="1:20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Mar 2026'!$A$8:$F$206,6,FALSE)</f>
        <v>Chq Bk</v>
      </c>
      <c r="H145" s="444"/>
      <c r="I145" s="444"/>
      <c r="J145" s="444"/>
      <c r="K145" s="444"/>
      <c r="L145" s="444"/>
      <c r="M145" s="444"/>
      <c r="N145" s="444"/>
      <c r="O145" s="444"/>
      <c r="P145" s="444"/>
      <c r="Q145" s="444"/>
      <c r="R145" s="444"/>
      <c r="S145" s="444"/>
      <c r="T145" s="57">
        <f t="shared" si="2"/>
        <v>0</v>
      </c>
    </row>
    <row r="146" spans="1:20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Mar 2026'!$A$8:$F$206,6,FALSE)</f>
        <v>Chq Bk</v>
      </c>
      <c r="H146" s="444"/>
      <c r="I146" s="444"/>
      <c r="J146" s="444"/>
      <c r="K146" s="444"/>
      <c r="L146" s="444"/>
      <c r="M146" s="444"/>
      <c r="N146" s="444"/>
      <c r="O146" s="444"/>
      <c r="P146" s="444"/>
      <c r="Q146" s="444"/>
      <c r="R146" s="444"/>
      <c r="S146" s="444"/>
      <c r="T146" s="57">
        <f t="shared" si="2"/>
        <v>0</v>
      </c>
    </row>
    <row r="147" spans="1:20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Mar 2026'!$A$8:$F$206,6,FALSE)</f>
        <v>Chq Bk</v>
      </c>
      <c r="H147" s="444"/>
      <c r="I147" s="444"/>
      <c r="J147" s="444"/>
      <c r="K147" s="444"/>
      <c r="L147" s="444"/>
      <c r="M147" s="444"/>
      <c r="N147" s="444"/>
      <c r="O147" s="444"/>
      <c r="P147" s="444"/>
      <c r="Q147" s="444"/>
      <c r="R147" s="444"/>
      <c r="S147" s="444"/>
      <c r="T147" s="57">
        <f t="shared" si="2"/>
        <v>0</v>
      </c>
    </row>
    <row r="148" spans="1:20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Mar 2026'!$A$8:$F$206,6,FALSE)</f>
        <v>Chq Bk</v>
      </c>
      <c r="H148" s="444"/>
      <c r="I148" s="444"/>
      <c r="J148" s="444"/>
      <c r="K148" s="444"/>
      <c r="L148" s="444"/>
      <c r="M148" s="444"/>
      <c r="N148" s="444"/>
      <c r="O148" s="444"/>
      <c r="P148" s="444"/>
      <c r="Q148" s="444"/>
      <c r="R148" s="444"/>
      <c r="S148" s="444"/>
      <c r="T148" s="57">
        <f t="shared" si="2"/>
        <v>0</v>
      </c>
    </row>
    <row r="149" spans="1:20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Mar 2026'!$A$8:$F$206,6,FALSE)</f>
        <v>Chq Bk</v>
      </c>
      <c r="H149" s="444"/>
      <c r="I149" s="444"/>
      <c r="J149" s="444"/>
      <c r="K149" s="444"/>
      <c r="L149" s="444"/>
      <c r="M149" s="444"/>
      <c r="N149" s="444"/>
      <c r="O149" s="444"/>
      <c r="P149" s="444"/>
      <c r="Q149" s="444"/>
      <c r="R149" s="444"/>
      <c r="S149" s="444"/>
      <c r="T149" s="57">
        <f t="shared" si="2"/>
        <v>0</v>
      </c>
    </row>
    <row r="150" spans="1:20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Mar 2026'!$A$8:$F$206,6,FALSE)</f>
        <v>Chq Bk</v>
      </c>
      <c r="H150" s="444"/>
      <c r="I150" s="444"/>
      <c r="J150" s="444"/>
      <c r="K150" s="444"/>
      <c r="L150" s="444"/>
      <c r="M150" s="444"/>
      <c r="N150" s="444"/>
      <c r="O150" s="444"/>
      <c r="P150" s="444"/>
      <c r="Q150" s="444"/>
      <c r="R150" s="444"/>
      <c r="S150" s="444"/>
      <c r="T150" s="57">
        <f t="shared" si="2"/>
        <v>0</v>
      </c>
    </row>
    <row r="151" spans="1:20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Mar 2026'!$A$8:$F$206,6,FALSE)</f>
        <v>Chq Bk</v>
      </c>
      <c r="H151" s="444"/>
      <c r="I151" s="444"/>
      <c r="J151" s="444"/>
      <c r="K151" s="444"/>
      <c r="L151" s="444"/>
      <c r="M151" s="444"/>
      <c r="N151" s="444"/>
      <c r="O151" s="444"/>
      <c r="P151" s="444"/>
      <c r="Q151" s="444"/>
      <c r="R151" s="444"/>
      <c r="S151" s="444"/>
      <c r="T151" s="57">
        <f t="shared" si="2"/>
        <v>0</v>
      </c>
    </row>
    <row r="152" spans="1:20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Mar 2026'!$A$8:$F$206,6,FALSE)</f>
        <v>Chq Bk</v>
      </c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  <c r="T152" s="57">
        <f t="shared" si="2"/>
        <v>0</v>
      </c>
    </row>
    <row r="153" spans="1:20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Mar 2026'!$A$8:$F$206,6,FALSE)</f>
        <v>Chq Bk</v>
      </c>
      <c r="H153" s="444"/>
      <c r="I153" s="444"/>
      <c r="J153" s="444"/>
      <c r="K153" s="444"/>
      <c r="L153" s="444"/>
      <c r="M153" s="444"/>
      <c r="N153" s="444"/>
      <c r="O153" s="444"/>
      <c r="P153" s="444"/>
      <c r="Q153" s="444"/>
      <c r="R153" s="444"/>
      <c r="S153" s="444"/>
      <c r="T153" s="57">
        <f t="shared" si="2"/>
        <v>0</v>
      </c>
    </row>
    <row r="154" spans="1:20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Mar 2026'!$A$8:$F$206,6,FALSE)</f>
        <v>Chq Bk</v>
      </c>
      <c r="H154" s="444"/>
      <c r="I154" s="444"/>
      <c r="J154" s="444"/>
      <c r="K154" s="444"/>
      <c r="L154" s="444"/>
      <c r="M154" s="444"/>
      <c r="N154" s="444"/>
      <c r="O154" s="444"/>
      <c r="P154" s="444"/>
      <c r="Q154" s="444"/>
      <c r="R154" s="444"/>
      <c r="S154" s="444"/>
      <c r="T154" s="57">
        <f t="shared" si="2"/>
        <v>0</v>
      </c>
    </row>
    <row r="155" spans="1:20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Mar 2026'!$A$8:$F$206,6,FALSE)</f>
        <v>Chq Bk</v>
      </c>
      <c r="H155" s="444"/>
      <c r="I155" s="444"/>
      <c r="J155" s="444"/>
      <c r="K155" s="444"/>
      <c r="L155" s="444"/>
      <c r="M155" s="444"/>
      <c r="N155" s="444"/>
      <c r="O155" s="444"/>
      <c r="P155" s="444"/>
      <c r="Q155" s="444"/>
      <c r="R155" s="444"/>
      <c r="S155" s="444"/>
      <c r="T155" s="57">
        <f t="shared" si="2"/>
        <v>0</v>
      </c>
    </row>
    <row r="156" spans="1:20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Mar 2026'!$A$8:$F$206,6,FALSE)</f>
        <v>Chq Bk</v>
      </c>
      <c r="H156" s="444"/>
      <c r="I156" s="444"/>
      <c r="J156" s="444"/>
      <c r="K156" s="444"/>
      <c r="L156" s="444"/>
      <c r="M156" s="444"/>
      <c r="N156" s="444"/>
      <c r="O156" s="444"/>
      <c r="P156" s="444"/>
      <c r="Q156" s="444"/>
      <c r="R156" s="444"/>
      <c r="S156" s="444"/>
      <c r="T156" s="57">
        <f t="shared" si="2"/>
        <v>0</v>
      </c>
    </row>
    <row r="157" spans="1:20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Mar 2026'!$A$8:$F$206,6,FALSE)</f>
        <v>Chq Bk</v>
      </c>
      <c r="H157" s="444"/>
      <c r="I157" s="444"/>
      <c r="J157" s="444"/>
      <c r="K157" s="444"/>
      <c r="L157" s="444"/>
      <c r="M157" s="444"/>
      <c r="N157" s="444"/>
      <c r="O157" s="444"/>
      <c r="P157" s="444"/>
      <c r="Q157" s="444"/>
      <c r="R157" s="444"/>
      <c r="S157" s="444"/>
      <c r="T157" s="57">
        <f t="shared" si="2"/>
        <v>0</v>
      </c>
    </row>
    <row r="158" spans="1:20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Mar 2026'!$A$8:$F$206,6,FALSE)</f>
        <v>Chq Bk</v>
      </c>
      <c r="H158" s="444"/>
      <c r="I158" s="444"/>
      <c r="J158" s="444"/>
      <c r="K158" s="444"/>
      <c r="L158" s="444"/>
      <c r="M158" s="444"/>
      <c r="N158" s="444"/>
      <c r="O158" s="444"/>
      <c r="P158" s="444"/>
      <c r="Q158" s="444"/>
      <c r="R158" s="444"/>
      <c r="S158" s="444"/>
      <c r="T158" s="57">
        <f t="shared" si="2"/>
        <v>0</v>
      </c>
    </row>
    <row r="159" spans="1:20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Mar 2026'!$A$8:$F$206,6,FALSE)</f>
        <v>Academy</v>
      </c>
      <c r="H159" s="444"/>
      <c r="I159" s="444"/>
      <c r="J159" s="444"/>
      <c r="K159" s="444"/>
      <c r="L159" s="444"/>
      <c r="M159" s="444"/>
      <c r="N159" s="444"/>
      <c r="O159" s="444"/>
      <c r="P159" s="444"/>
      <c r="Q159" s="444"/>
      <c r="R159" s="444"/>
      <c r="S159" s="444"/>
      <c r="T159" s="57">
        <f t="shared" si="2"/>
        <v>0</v>
      </c>
    </row>
    <row r="160" spans="1:20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Mar 2026'!$A$8:$F$206,6,FALSE)</f>
        <v>Chq Bk</v>
      </c>
      <c r="H160" s="444"/>
      <c r="I160" s="444"/>
      <c r="J160" s="444"/>
      <c r="K160" s="444"/>
      <c r="L160" s="444"/>
      <c r="M160" s="444"/>
      <c r="N160" s="444"/>
      <c r="O160" s="444"/>
      <c r="P160" s="444"/>
      <c r="Q160" s="444"/>
      <c r="R160" s="444"/>
      <c r="S160" s="444"/>
      <c r="T160" s="57">
        <f t="shared" si="2"/>
        <v>0</v>
      </c>
    </row>
    <row r="161" spans="1:20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Mar 2026'!$A$8:$F$206,6,FALSE)</f>
        <v>Chq Bk</v>
      </c>
      <c r="H161" s="444"/>
      <c r="I161" s="444"/>
      <c r="J161" s="444"/>
      <c r="K161" s="444"/>
      <c r="L161" s="444"/>
      <c r="M161" s="444"/>
      <c r="N161" s="444"/>
      <c r="O161" s="444"/>
      <c r="P161" s="444"/>
      <c r="Q161" s="444"/>
      <c r="R161" s="444"/>
      <c r="S161" s="444"/>
      <c r="T161" s="57">
        <f t="shared" si="2"/>
        <v>0</v>
      </c>
    </row>
    <row r="162" spans="1:20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Mar 2026'!$A$8:$F$206,6,FALSE)</f>
        <v>Chq Bk</v>
      </c>
      <c r="H162" s="444"/>
      <c r="I162" s="444"/>
      <c r="J162" s="444"/>
      <c r="K162" s="444"/>
      <c r="L162" s="444"/>
      <c r="M162" s="444"/>
      <c r="N162" s="444"/>
      <c r="O162" s="444"/>
      <c r="P162" s="444"/>
      <c r="Q162" s="444"/>
      <c r="R162" s="444"/>
      <c r="S162" s="444"/>
      <c r="T162" s="57">
        <f t="shared" si="2"/>
        <v>0</v>
      </c>
    </row>
    <row r="163" spans="1:20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Mar 2026'!$A$8:$F$206,6,FALSE)</f>
        <v>Chq Bk</v>
      </c>
      <c r="H163" s="444"/>
      <c r="I163" s="444"/>
      <c r="J163" s="444"/>
      <c r="K163" s="444"/>
      <c r="L163" s="444"/>
      <c r="M163" s="444"/>
      <c r="N163" s="444"/>
      <c r="O163" s="444"/>
      <c r="P163" s="444"/>
      <c r="Q163" s="444"/>
      <c r="R163" s="444"/>
      <c r="S163" s="444"/>
      <c r="T163" s="57">
        <f t="shared" si="2"/>
        <v>0</v>
      </c>
    </row>
    <row r="164" spans="1:20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Mar 2026'!$A$8:$F$206,6,FALSE)</f>
        <v>Chq Bk</v>
      </c>
      <c r="H164" s="444"/>
      <c r="I164" s="444"/>
      <c r="J164" s="444"/>
      <c r="K164" s="444"/>
      <c r="L164" s="444"/>
      <c r="M164" s="444"/>
      <c r="N164" s="444"/>
      <c r="O164" s="444"/>
      <c r="P164" s="444"/>
      <c r="Q164" s="444"/>
      <c r="R164" s="444"/>
      <c r="S164" s="444"/>
      <c r="T164" s="57">
        <f t="shared" si="2"/>
        <v>0</v>
      </c>
    </row>
    <row r="165" spans="1:20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Mar 2026'!$A$8:$F$206,6,FALSE)</f>
        <v>Chq Bk</v>
      </c>
      <c r="H165" s="444"/>
      <c r="I165" s="444"/>
      <c r="J165" s="444"/>
      <c r="K165" s="444"/>
      <c r="L165" s="444"/>
      <c r="M165" s="444"/>
      <c r="N165" s="444"/>
      <c r="O165" s="444"/>
      <c r="P165" s="444"/>
      <c r="Q165" s="444"/>
      <c r="R165" s="444"/>
      <c r="S165" s="444"/>
      <c r="T165" s="57">
        <f t="shared" si="2"/>
        <v>0</v>
      </c>
    </row>
    <row r="166" spans="1:20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Mar 2026'!$A$8:$F$206,6,FALSE)</f>
        <v>Chq Bk</v>
      </c>
      <c r="H166" s="444"/>
      <c r="I166" s="444"/>
      <c r="J166" s="444"/>
      <c r="K166" s="444"/>
      <c r="L166" s="444"/>
      <c r="M166" s="444"/>
      <c r="N166" s="444"/>
      <c r="O166" s="444"/>
      <c r="P166" s="444"/>
      <c r="Q166" s="444"/>
      <c r="R166" s="444"/>
      <c r="S166" s="444"/>
      <c r="T166" s="57">
        <f t="shared" si="2"/>
        <v>0</v>
      </c>
    </row>
    <row r="167" spans="1:20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Mar 2026'!$A$8:$F$206,6,FALSE)</f>
        <v>Chq Bk</v>
      </c>
      <c r="H167" s="444"/>
      <c r="I167" s="444"/>
      <c r="J167" s="444"/>
      <c r="K167" s="444"/>
      <c r="L167" s="444"/>
      <c r="M167" s="444"/>
      <c r="N167" s="444"/>
      <c r="O167" s="444"/>
      <c r="P167" s="444"/>
      <c r="Q167" s="444"/>
      <c r="R167" s="444"/>
      <c r="S167" s="444"/>
      <c r="T167" s="57">
        <f t="shared" si="2"/>
        <v>0</v>
      </c>
    </row>
    <row r="168" spans="1:20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Mar 2026'!$A$8:$F$206,6,FALSE)</f>
        <v>Chq Bk</v>
      </c>
      <c r="H168" s="444"/>
      <c r="I168" s="444"/>
      <c r="J168" s="444"/>
      <c r="K168" s="444"/>
      <c r="L168" s="444"/>
      <c r="M168" s="444"/>
      <c r="N168" s="444"/>
      <c r="O168" s="444"/>
      <c r="P168" s="444"/>
      <c r="Q168" s="444"/>
      <c r="R168" s="444"/>
      <c r="S168" s="444"/>
      <c r="T168" s="57">
        <f t="shared" si="2"/>
        <v>0</v>
      </c>
    </row>
    <row r="169" spans="1:20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Mar 2026'!$A$8:$F$206,6,FALSE)</f>
        <v>Chq Bk</v>
      </c>
      <c r="H169" s="444"/>
      <c r="I169" s="444"/>
      <c r="J169" s="444"/>
      <c r="K169" s="444"/>
      <c r="L169" s="444"/>
      <c r="M169" s="444"/>
      <c r="N169" s="444"/>
      <c r="O169" s="444"/>
      <c r="P169" s="444"/>
      <c r="Q169" s="444"/>
      <c r="R169" s="444"/>
      <c r="S169" s="444"/>
      <c r="T169" s="57">
        <f t="shared" si="2"/>
        <v>0</v>
      </c>
    </row>
    <row r="170" spans="1:20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Mar 2026'!$A$8:$F$206,6,FALSE)</f>
        <v>Academy</v>
      </c>
      <c r="H170" s="444"/>
      <c r="I170" s="444"/>
      <c r="J170" s="444"/>
      <c r="K170" s="444"/>
      <c r="L170" s="444"/>
      <c r="M170" s="444"/>
      <c r="N170" s="444"/>
      <c r="O170" s="444"/>
      <c r="P170" s="444"/>
      <c r="Q170" s="444"/>
      <c r="R170" s="444"/>
      <c r="S170" s="444"/>
      <c r="T170" s="57">
        <f t="shared" si="2"/>
        <v>0</v>
      </c>
    </row>
    <row r="171" spans="1:20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Mar 2026'!$A$8:$F$206,6,FALSE)</f>
        <v>Chq Bk</v>
      </c>
      <c r="H171" s="444"/>
      <c r="I171" s="444"/>
      <c r="J171" s="444"/>
      <c r="K171" s="444"/>
      <c r="L171" s="444"/>
      <c r="M171" s="444"/>
      <c r="N171" s="444"/>
      <c r="O171" s="444"/>
      <c r="P171" s="444"/>
      <c r="Q171" s="444"/>
      <c r="R171" s="444"/>
      <c r="S171" s="444"/>
      <c r="T171" s="57">
        <f t="shared" si="2"/>
        <v>0</v>
      </c>
    </row>
    <row r="172" spans="1:20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Mar 2026'!$A$8:$F$206,6,FALSE)</f>
        <v>Chq Bk</v>
      </c>
      <c r="H172" s="444"/>
      <c r="I172" s="444"/>
      <c r="J172" s="444"/>
      <c r="K172" s="444"/>
      <c r="L172" s="444"/>
      <c r="M172" s="444"/>
      <c r="N172" s="444"/>
      <c r="O172" s="444"/>
      <c r="P172" s="444"/>
      <c r="Q172" s="444"/>
      <c r="R172" s="444"/>
      <c r="S172" s="444"/>
      <c r="T172" s="57">
        <f t="shared" si="2"/>
        <v>0</v>
      </c>
    </row>
    <row r="173" spans="1:20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Mar 2026'!$A$8:$F$206,6,FALSE)</f>
        <v>Chq Bk</v>
      </c>
      <c r="H173" s="444"/>
      <c r="I173" s="444"/>
      <c r="J173" s="444"/>
      <c r="K173" s="444"/>
      <c r="L173" s="444"/>
      <c r="M173" s="444"/>
      <c r="N173" s="444"/>
      <c r="O173" s="444"/>
      <c r="P173" s="444"/>
      <c r="Q173" s="444"/>
      <c r="R173" s="444"/>
      <c r="S173" s="444"/>
      <c r="T173" s="57">
        <f t="shared" si="2"/>
        <v>0</v>
      </c>
    </row>
    <row r="174" spans="1:20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Mar 2026'!$A$8:$F$206,6,FALSE)</f>
        <v>Chq Bk</v>
      </c>
      <c r="H174" s="444"/>
      <c r="I174" s="444"/>
      <c r="J174" s="444"/>
      <c r="K174" s="444"/>
      <c r="L174" s="444"/>
      <c r="M174" s="444"/>
      <c r="N174" s="444"/>
      <c r="O174" s="444"/>
      <c r="P174" s="444"/>
      <c r="Q174" s="444"/>
      <c r="R174" s="444"/>
      <c r="S174" s="444"/>
      <c r="T174" s="57">
        <f t="shared" si="2"/>
        <v>0</v>
      </c>
    </row>
    <row r="175" spans="1:20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Mar 2026'!$A$8:$F$206,6,FALSE)</f>
        <v>Chq Bk</v>
      </c>
      <c r="H175" s="444"/>
      <c r="I175" s="444"/>
      <c r="J175" s="444"/>
      <c r="K175" s="444"/>
      <c r="L175" s="444"/>
      <c r="M175" s="444"/>
      <c r="N175" s="444"/>
      <c r="O175" s="444"/>
      <c r="P175" s="444"/>
      <c r="Q175" s="444"/>
      <c r="R175" s="444"/>
      <c r="S175" s="444"/>
      <c r="T175" s="57">
        <f t="shared" si="2"/>
        <v>0</v>
      </c>
    </row>
    <row r="176" spans="1:20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Mar 2026'!$A$8:$F$206,6,FALSE)</f>
        <v>Chq Bk</v>
      </c>
      <c r="H176" s="444"/>
      <c r="I176" s="444"/>
      <c r="J176" s="444"/>
      <c r="K176" s="444"/>
      <c r="L176" s="444"/>
      <c r="M176" s="444"/>
      <c r="N176" s="444"/>
      <c r="O176" s="444"/>
      <c r="P176" s="444"/>
      <c r="Q176" s="444"/>
      <c r="R176" s="444"/>
      <c r="S176" s="444"/>
      <c r="T176" s="57">
        <f t="shared" si="2"/>
        <v>0</v>
      </c>
    </row>
    <row r="177" spans="1:20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Mar 2026'!$A$8:$F$206,6,FALSE)</f>
        <v>Chq Bk</v>
      </c>
      <c r="H177" s="444"/>
      <c r="I177" s="444"/>
      <c r="J177" s="444"/>
      <c r="K177" s="444"/>
      <c r="L177" s="444"/>
      <c r="M177" s="444"/>
      <c r="N177" s="444"/>
      <c r="O177" s="444"/>
      <c r="P177" s="444"/>
      <c r="Q177" s="444"/>
      <c r="R177" s="444"/>
      <c r="S177" s="444"/>
      <c r="T177" s="57">
        <f t="shared" si="2"/>
        <v>0</v>
      </c>
    </row>
    <row r="178" spans="1:20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Mar 2026'!$A$8:$F$206,6,FALSE)</f>
        <v>Chq Bk</v>
      </c>
      <c r="H178" s="444"/>
      <c r="I178" s="444"/>
      <c r="J178" s="444"/>
      <c r="K178" s="444"/>
      <c r="L178" s="444"/>
      <c r="M178" s="444"/>
      <c r="N178" s="444"/>
      <c r="O178" s="444"/>
      <c r="P178" s="444"/>
      <c r="Q178" s="444"/>
      <c r="R178" s="444"/>
      <c r="S178" s="444"/>
      <c r="T178" s="57">
        <f t="shared" si="2"/>
        <v>0</v>
      </c>
    </row>
    <row r="179" spans="1:20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Mar 2026'!$A$8:$F$206,6,FALSE)</f>
        <v>Chq Bk</v>
      </c>
      <c r="H179" s="444"/>
      <c r="I179" s="444"/>
      <c r="J179" s="444"/>
      <c r="K179" s="444"/>
      <c r="L179" s="444"/>
      <c r="M179" s="444"/>
      <c r="N179" s="444"/>
      <c r="O179" s="444"/>
      <c r="P179" s="444"/>
      <c r="Q179" s="444"/>
      <c r="R179" s="444"/>
      <c r="S179" s="444"/>
      <c r="T179" s="57">
        <f t="shared" si="2"/>
        <v>0</v>
      </c>
    </row>
    <row r="180" spans="1:20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Mar 2026'!$A$8:$F$206,6,FALSE)</f>
        <v>Chq Bk</v>
      </c>
      <c r="H180" s="444"/>
      <c r="I180" s="444"/>
      <c r="J180" s="444"/>
      <c r="K180" s="444"/>
      <c r="L180" s="444"/>
      <c r="M180" s="444"/>
      <c r="N180" s="444"/>
      <c r="O180" s="444"/>
      <c r="P180" s="444"/>
      <c r="Q180" s="444"/>
      <c r="R180" s="444"/>
      <c r="S180" s="444"/>
      <c r="T180" s="57">
        <f t="shared" si="2"/>
        <v>0</v>
      </c>
    </row>
    <row r="181" spans="1:20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Mar 2026'!$A$8:$F$206,6,FALSE)</f>
        <v>Chq Bk</v>
      </c>
      <c r="H181" s="444"/>
      <c r="I181" s="444"/>
      <c r="J181" s="444"/>
      <c r="K181" s="444"/>
      <c r="L181" s="444"/>
      <c r="M181" s="444"/>
      <c r="N181" s="444"/>
      <c r="O181" s="444"/>
      <c r="P181" s="444"/>
      <c r="Q181" s="444"/>
      <c r="R181" s="444"/>
      <c r="S181" s="444"/>
      <c r="T181" s="57">
        <f t="shared" si="2"/>
        <v>0</v>
      </c>
    </row>
    <row r="182" spans="1:20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Mar 2026'!$A$8:$F$206,6,FALSE)</f>
        <v>Chq Bk</v>
      </c>
      <c r="H182" s="444"/>
      <c r="I182" s="444"/>
      <c r="J182" s="444"/>
      <c r="K182" s="444"/>
      <c r="L182" s="444"/>
      <c r="M182" s="444"/>
      <c r="N182" s="444"/>
      <c r="O182" s="444"/>
      <c r="P182" s="444"/>
      <c r="Q182" s="444"/>
      <c r="R182" s="444"/>
      <c r="S182" s="444"/>
      <c r="T182" s="57">
        <f t="shared" si="2"/>
        <v>0</v>
      </c>
    </row>
    <row r="183" spans="1:20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Mar 2026'!$A$8:$F$206,6,FALSE)</f>
        <v>Chq Bk</v>
      </c>
      <c r="H183" s="444"/>
      <c r="I183" s="444"/>
      <c r="J183" s="444"/>
      <c r="K183" s="444"/>
      <c r="L183" s="444"/>
      <c r="M183" s="444"/>
      <c r="N183" s="444"/>
      <c r="O183" s="444"/>
      <c r="P183" s="444"/>
      <c r="Q183" s="444"/>
      <c r="R183" s="444"/>
      <c r="S183" s="444"/>
      <c r="T183" s="57">
        <f t="shared" si="2"/>
        <v>0</v>
      </c>
    </row>
    <row r="184" spans="1:20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Mar 2026'!$A$8:$F$206,6,FALSE)</f>
        <v>Chq Bk</v>
      </c>
      <c r="H184" s="444"/>
      <c r="I184" s="444"/>
      <c r="J184" s="444"/>
      <c r="K184" s="444"/>
      <c r="L184" s="444"/>
      <c r="M184" s="444"/>
      <c r="N184" s="444"/>
      <c r="O184" s="444"/>
      <c r="P184" s="444"/>
      <c r="Q184" s="444"/>
      <c r="R184" s="444"/>
      <c r="S184" s="444"/>
      <c r="T184" s="57">
        <f t="shared" si="2"/>
        <v>0</v>
      </c>
    </row>
    <row r="185" spans="1:20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Mar 2026'!$A$8:$F$206,6,FALSE)</f>
        <v>Chq Bk</v>
      </c>
      <c r="H185" s="444"/>
      <c r="I185" s="444">
        <v>219979.31</v>
      </c>
      <c r="J185" s="444">
        <v>86867</v>
      </c>
      <c r="K185" s="444"/>
      <c r="L185" s="444"/>
      <c r="M185" s="444"/>
      <c r="N185" s="444"/>
      <c r="O185" s="444"/>
      <c r="P185" s="444"/>
      <c r="Q185" s="444"/>
      <c r="R185" s="444"/>
      <c r="S185" s="444"/>
      <c r="T185" s="57">
        <f t="shared" si="2"/>
        <v>306846.31</v>
      </c>
    </row>
    <row r="186" spans="1:20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Mar 2026'!$A$8:$F$206,6,FALSE)</f>
        <v>Chq Bk</v>
      </c>
      <c r="H186" s="444"/>
      <c r="I186" s="444"/>
      <c r="J186" s="444"/>
      <c r="K186" s="444"/>
      <c r="L186" s="444"/>
      <c r="M186" s="444"/>
      <c r="N186" s="444"/>
      <c r="O186" s="444"/>
      <c r="P186" s="444"/>
      <c r="Q186" s="444"/>
      <c r="R186" s="444"/>
      <c r="S186" s="444"/>
      <c r="T186" s="57">
        <f t="shared" si="2"/>
        <v>0</v>
      </c>
    </row>
    <row r="187" spans="1:20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Mar 2026'!$A$8:$F$206,6,FALSE)</f>
        <v>Academy</v>
      </c>
      <c r="H187" s="444"/>
      <c r="I187" s="444"/>
      <c r="J187" s="444"/>
      <c r="K187" s="444"/>
      <c r="L187" s="444"/>
      <c r="M187" s="444"/>
      <c r="N187" s="444"/>
      <c r="O187" s="444"/>
      <c r="P187" s="444"/>
      <c r="Q187" s="444"/>
      <c r="R187" s="444"/>
      <c r="S187" s="444"/>
      <c r="T187" s="57">
        <f t="shared" si="2"/>
        <v>0</v>
      </c>
    </row>
    <row r="188" spans="1:20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Mar 2026'!$A$8:$F$206,6,FALSE)</f>
        <v>Chq Bk</v>
      </c>
      <c r="H188" s="444"/>
      <c r="I188" s="444"/>
      <c r="J188" s="444">
        <v>107490.81</v>
      </c>
      <c r="K188" s="444"/>
      <c r="L188" s="444"/>
      <c r="M188" s="444"/>
      <c r="N188" s="444"/>
      <c r="O188" s="444"/>
      <c r="P188" s="444"/>
      <c r="Q188" s="444"/>
      <c r="R188" s="444"/>
      <c r="S188" s="444"/>
      <c r="T188" s="57">
        <f t="shared" si="2"/>
        <v>107490.81</v>
      </c>
    </row>
    <row r="189" spans="1:20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Mar 2026'!$A$8:$F$206,6,FALSE)</f>
        <v>Chq Bk</v>
      </c>
      <c r="H189" s="444"/>
      <c r="I189" s="444"/>
      <c r="J189" s="444"/>
      <c r="K189" s="444"/>
      <c r="L189" s="444"/>
      <c r="M189" s="444"/>
      <c r="N189" s="444"/>
      <c r="O189" s="444"/>
      <c r="P189" s="444"/>
      <c r="Q189" s="444"/>
      <c r="R189" s="444"/>
      <c r="S189" s="444"/>
      <c r="T189" s="57">
        <f t="shared" si="2"/>
        <v>0</v>
      </c>
    </row>
    <row r="190" spans="1:20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Mar 2026'!$A$8:$F$206,6,FALSE)</f>
        <v>Chq Bk</v>
      </c>
      <c r="H190" s="444"/>
      <c r="I190" s="444"/>
      <c r="J190" s="444"/>
      <c r="K190" s="444"/>
      <c r="L190" s="444"/>
      <c r="M190" s="444"/>
      <c r="N190" s="444"/>
      <c r="O190" s="444"/>
      <c r="P190" s="444"/>
      <c r="Q190" s="444"/>
      <c r="R190" s="444"/>
      <c r="S190" s="444"/>
      <c r="T190" s="57">
        <f t="shared" si="2"/>
        <v>0</v>
      </c>
    </row>
    <row r="191" spans="1:20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Mar 2026'!$A$8:$F$206,6,FALSE)</f>
        <v>Chq Bk</v>
      </c>
      <c r="H191" s="444"/>
      <c r="I191" s="444"/>
      <c r="J191" s="444"/>
      <c r="K191" s="444"/>
      <c r="L191" s="444"/>
      <c r="M191" s="444"/>
      <c r="N191" s="444"/>
      <c r="O191" s="444"/>
      <c r="P191" s="444"/>
      <c r="Q191" s="444"/>
      <c r="R191" s="444"/>
      <c r="S191" s="444"/>
      <c r="T191" s="57">
        <f t="shared" si="2"/>
        <v>0</v>
      </c>
    </row>
    <row r="192" spans="1:20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Mar 2026'!$A$8:$F$206,6,FALSE)</f>
        <v>Chq Bk</v>
      </c>
      <c r="H192" s="444"/>
      <c r="I192" s="444"/>
      <c r="J192" s="444"/>
      <c r="K192" s="444"/>
      <c r="L192" s="444"/>
      <c r="M192" s="444"/>
      <c r="N192" s="444"/>
      <c r="O192" s="444"/>
      <c r="P192" s="444"/>
      <c r="Q192" s="444"/>
      <c r="R192" s="444"/>
      <c r="S192" s="444"/>
      <c r="T192" s="57">
        <f t="shared" si="2"/>
        <v>0</v>
      </c>
    </row>
    <row r="193" spans="1:20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Mar 2026'!$A$8:$F$206,6,FALSE)</f>
        <v>Chq Bk</v>
      </c>
      <c r="H193" s="444"/>
      <c r="I193" s="444"/>
      <c r="J193" s="444"/>
      <c r="K193" s="444"/>
      <c r="L193" s="444"/>
      <c r="M193" s="444"/>
      <c r="N193" s="444"/>
      <c r="O193" s="444"/>
      <c r="P193" s="444"/>
      <c r="Q193" s="444"/>
      <c r="R193" s="444">
        <v>60000</v>
      </c>
      <c r="S193" s="444"/>
      <c r="T193" s="57">
        <f t="shared" si="2"/>
        <v>60000</v>
      </c>
    </row>
    <row r="194" spans="1:20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Mar 2026'!$A$8:$F$206,6,FALSE)</f>
        <v>Academy</v>
      </c>
      <c r="H194" s="444"/>
      <c r="I194" s="444"/>
      <c r="J194" s="444"/>
      <c r="K194" s="444"/>
      <c r="L194" s="444"/>
      <c r="M194" s="444"/>
      <c r="N194" s="444"/>
      <c r="O194" s="444"/>
      <c r="P194" s="444"/>
      <c r="Q194" s="444"/>
      <c r="R194" s="444"/>
      <c r="S194" s="444"/>
      <c r="T194" s="57">
        <f t="shared" si="2"/>
        <v>0</v>
      </c>
    </row>
    <row r="195" spans="1:20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Mar 2026'!$A$8:$F$206,6,FALSE)</f>
        <v>Academy</v>
      </c>
      <c r="H195" s="444"/>
      <c r="I195" s="444"/>
      <c r="J195" s="444"/>
      <c r="K195" s="444"/>
      <c r="L195" s="444"/>
      <c r="M195" s="444"/>
      <c r="N195" s="444"/>
      <c r="O195" s="444"/>
      <c r="P195" s="444"/>
      <c r="Q195" s="444"/>
      <c r="R195" s="444"/>
      <c r="S195" s="444"/>
      <c r="T195" s="57">
        <f t="shared" si="2"/>
        <v>0</v>
      </c>
    </row>
    <row r="196" spans="1:20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Mar 2026'!$A$8:$F$206,6,FALSE)</f>
        <v>Academy</v>
      </c>
      <c r="H196" s="444"/>
      <c r="I196" s="444"/>
      <c r="J196" s="444"/>
      <c r="K196" s="444"/>
      <c r="L196" s="444"/>
      <c r="M196" s="444"/>
      <c r="N196" s="444"/>
      <c r="O196" s="444"/>
      <c r="P196" s="444"/>
      <c r="Q196" s="444"/>
      <c r="R196" s="444"/>
      <c r="S196" s="444"/>
      <c r="T196" s="57">
        <f t="shared" si="2"/>
        <v>0</v>
      </c>
    </row>
    <row r="197" spans="1:20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Mar 2026'!$A$8:$F$206,6,FALSE)</f>
        <v>Chq Bk</v>
      </c>
      <c r="H197" s="444"/>
      <c r="I197" s="444"/>
      <c r="J197" s="444"/>
      <c r="K197" s="444"/>
      <c r="L197" s="444"/>
      <c r="M197" s="444"/>
      <c r="N197" s="444"/>
      <c r="O197" s="444"/>
      <c r="P197" s="444"/>
      <c r="Q197" s="444"/>
      <c r="R197" s="444"/>
      <c r="S197" s="444"/>
      <c r="T197" s="57">
        <f t="shared" si="2"/>
        <v>0</v>
      </c>
    </row>
    <row r="198" spans="1:20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Mar 2026'!$A$8:$F$206,6,FALSE)</f>
        <v>Chq Bk</v>
      </c>
      <c r="H198" s="444"/>
      <c r="I198" s="444"/>
      <c r="J198" s="444"/>
      <c r="K198" s="444"/>
      <c r="L198" s="444"/>
      <c r="M198" s="444"/>
      <c r="N198" s="444"/>
      <c r="O198" s="444"/>
      <c r="P198" s="444"/>
      <c r="Q198" s="444"/>
      <c r="R198" s="444"/>
      <c r="S198" s="444"/>
      <c r="T198" s="57">
        <f t="shared" ref="T198:T204" si="3">SUM(H198:S198)</f>
        <v>0</v>
      </c>
    </row>
    <row r="199" spans="1:20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Mar 2026'!$A$8:$F$206,6,FALSE)</f>
        <v>Academy</v>
      </c>
      <c r="H199" s="444"/>
      <c r="I199" s="444"/>
      <c r="J199" s="444"/>
      <c r="K199" s="444"/>
      <c r="L199" s="444"/>
      <c r="M199" s="444"/>
      <c r="N199" s="444"/>
      <c r="O199" s="444"/>
      <c r="P199" s="444"/>
      <c r="Q199" s="444"/>
      <c r="R199" s="444"/>
      <c r="S199" s="444"/>
      <c r="T199" s="57">
        <f t="shared" si="3"/>
        <v>0</v>
      </c>
    </row>
    <row r="200" spans="1:20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Mar 2026'!$A$8:$F$206,6,FALSE)</f>
        <v>Chq Bk</v>
      </c>
      <c r="H200" s="444"/>
      <c r="I200" s="444">
        <v>299542.21000000002</v>
      </c>
      <c r="J200" s="444"/>
      <c r="K200" s="444"/>
      <c r="L200" s="444"/>
      <c r="M200" s="444"/>
      <c r="N200" s="444"/>
      <c r="O200" s="444"/>
      <c r="P200" s="444"/>
      <c r="Q200" s="444"/>
      <c r="R200" s="444"/>
      <c r="S200" s="444"/>
      <c r="T200" s="57">
        <f t="shared" si="3"/>
        <v>299542.21000000002</v>
      </c>
    </row>
    <row r="201" spans="1:20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Mar 2026'!$A$8:$F$206,6,FALSE)</f>
        <v>Academy</v>
      </c>
      <c r="H201" s="444"/>
      <c r="I201" s="444"/>
      <c r="J201" s="444"/>
      <c r="K201" s="444"/>
      <c r="L201" s="444"/>
      <c r="M201" s="444"/>
      <c r="N201" s="444"/>
      <c r="O201" s="444"/>
      <c r="P201" s="444"/>
      <c r="Q201" s="444"/>
      <c r="R201" s="444"/>
      <c r="S201" s="444"/>
      <c r="T201" s="57">
        <f t="shared" si="3"/>
        <v>0</v>
      </c>
    </row>
    <row r="202" spans="1:20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Mar 2026'!$A$8:$F$206,6,FALSE)</f>
        <v>Academy</v>
      </c>
      <c r="H202" s="444"/>
      <c r="I202" s="444"/>
      <c r="J202" s="444"/>
      <c r="K202" s="444"/>
      <c r="L202" s="444"/>
      <c r="M202" s="444"/>
      <c r="N202" s="444"/>
      <c r="O202" s="444"/>
      <c r="P202" s="444"/>
      <c r="Q202" s="444"/>
      <c r="R202" s="444"/>
      <c r="S202" s="444"/>
      <c r="T202" s="57">
        <f t="shared" si="3"/>
        <v>0</v>
      </c>
    </row>
    <row r="203" spans="1:20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Mar 2026'!$A$8:$F$206,6,FALSE)</f>
        <v>Chq Bk</v>
      </c>
      <c r="H203" s="444"/>
      <c r="I203" s="444"/>
      <c r="J203" s="444"/>
      <c r="K203" s="444"/>
      <c r="L203" s="444"/>
      <c r="M203" s="444"/>
      <c r="N203" s="444"/>
      <c r="O203" s="444"/>
      <c r="P203" s="444"/>
      <c r="Q203" s="444"/>
      <c r="R203" s="444"/>
      <c r="S203" s="444"/>
      <c r="T203" s="57">
        <f t="shared" si="3"/>
        <v>0</v>
      </c>
    </row>
    <row r="204" spans="1:20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Mar 2026'!$A$8:$F$206,6,FALSE)</f>
        <v>Chq Bk</v>
      </c>
      <c r="H204" s="444"/>
      <c r="I204" s="444"/>
      <c r="J204" s="444"/>
      <c r="K204" s="444"/>
      <c r="L204" s="444"/>
      <c r="M204" s="444"/>
      <c r="N204" s="444"/>
      <c r="O204" s="444"/>
      <c r="P204" s="444"/>
      <c r="Q204" s="444"/>
      <c r="R204" s="444"/>
      <c r="S204" s="444"/>
      <c r="T204" s="57">
        <f t="shared" si="3"/>
        <v>0</v>
      </c>
    </row>
    <row r="205" spans="1:20">
      <c r="A205" s="202"/>
      <c r="B205" s="192"/>
      <c r="C205" s="192"/>
      <c r="D205" s="196"/>
      <c r="E205" s="193"/>
      <c r="F205" s="215"/>
    </row>
    <row r="207" spans="1:20">
      <c r="H207" s="451">
        <f t="shared" ref="H207:T207" si="4">SUM(H5:H204)</f>
        <v>40000</v>
      </c>
      <c r="I207" s="451">
        <f t="shared" si="4"/>
        <v>519521.52</v>
      </c>
      <c r="J207" s="451">
        <f t="shared" si="4"/>
        <v>1127405.28</v>
      </c>
      <c r="K207" s="451">
        <f t="shared" si="4"/>
        <v>335192</v>
      </c>
      <c r="L207" s="451">
        <f t="shared" si="4"/>
        <v>0</v>
      </c>
      <c r="M207" s="451">
        <f t="shared" si="4"/>
        <v>0</v>
      </c>
      <c r="N207" s="451">
        <f t="shared" si="4"/>
        <v>100000</v>
      </c>
      <c r="O207" s="451">
        <f t="shared" si="4"/>
        <v>0</v>
      </c>
      <c r="P207" s="451">
        <f t="shared" si="4"/>
        <v>755714</v>
      </c>
      <c r="Q207" s="451">
        <f t="shared" si="4"/>
        <v>0</v>
      </c>
      <c r="R207" s="451">
        <f t="shared" si="4"/>
        <v>60000</v>
      </c>
      <c r="S207" s="451">
        <f t="shared" si="4"/>
        <v>0</v>
      </c>
      <c r="T207" s="451">
        <f t="shared" si="4"/>
        <v>2937832.8</v>
      </c>
    </row>
  </sheetData>
  <sheetProtection autoFilter="0"/>
  <autoFilter ref="A4:T204" xr:uid="{CD067C11-F7C1-47EC-823D-82310A4F0FE2}"/>
  <conditionalFormatting sqref="A4:F4 H4:T4 A5:E5 E6:E205">
    <cfRule type="cellIs" dxfId="1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0357-A361-4DA4-A979-EB33998DC558}">
  <sheetPr codeName="Sheet17"/>
  <dimension ref="A1:AK206"/>
  <sheetViews>
    <sheetView topLeftCell="A3" zoomScale="80" zoomScaleNormal="80" workbookViewId="0">
      <pane ySplit="1" topLeftCell="A4" activePane="bottomLeft" state="frozen"/>
      <selection activeCell="D3" sqref="D3"/>
      <selection pane="bottomLeft" activeCell="D204" sqref="D5:D204"/>
    </sheetView>
  </sheetViews>
  <sheetFormatPr defaultRowHeight="14.5"/>
  <cols>
    <col min="1" max="1" width="5.54296875" customWidth="1"/>
    <col min="2" max="2" width="7.7265625" customWidth="1"/>
    <col min="3" max="3" width="7.54296875" customWidth="1"/>
    <col min="4" max="4" width="37.26953125" customWidth="1"/>
    <col min="5" max="5" width="19" customWidth="1"/>
    <col min="6" max="6" width="15.1796875" customWidth="1"/>
    <col min="7" max="7" width="9.1796875" customWidth="1"/>
    <col min="8" max="13" width="13.7265625" customWidth="1"/>
    <col min="14" max="19" width="13.7265625" hidden="1" customWidth="1"/>
    <col min="20" max="20" width="13.7265625" customWidth="1"/>
    <col min="21" max="21" width="3.26953125" style="574" customWidth="1"/>
    <col min="22" max="22" width="9.1796875" customWidth="1"/>
    <col min="27" max="33" width="0" hidden="1" customWidth="1"/>
    <col min="34" max="34" width="11.7265625" customWidth="1"/>
    <col min="35" max="35" width="18.81640625" bestFit="1" customWidth="1"/>
    <col min="36" max="36" width="48.1796875" customWidth="1"/>
  </cols>
  <sheetData>
    <row r="1" spans="1:36">
      <c r="A1" s="1" t="s">
        <v>989</v>
      </c>
      <c r="W1" t="s">
        <v>990</v>
      </c>
      <c r="X1">
        <v>700170</v>
      </c>
    </row>
    <row r="2" spans="1:36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36" ht="15" thickBot="1">
      <c r="H3" s="567" t="s">
        <v>991</v>
      </c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9"/>
      <c r="V3" s="570" t="s">
        <v>992</v>
      </c>
      <c r="W3" s="571"/>
      <c r="X3" s="571"/>
      <c r="Y3" s="571"/>
      <c r="Z3" s="571"/>
      <c r="AA3" s="571"/>
      <c r="AB3" s="571"/>
      <c r="AC3" s="571"/>
      <c r="AD3" s="571"/>
      <c r="AE3" s="571"/>
      <c r="AF3" s="572"/>
      <c r="AG3" s="572"/>
    </row>
    <row r="4" spans="1:36" ht="29.5" thickBot="1">
      <c r="A4" s="363" t="s">
        <v>15</v>
      </c>
      <c r="B4" s="364" t="s">
        <v>16</v>
      </c>
      <c r="C4" s="365" t="s">
        <v>17</v>
      </c>
      <c r="D4" s="366" t="s">
        <v>18</v>
      </c>
      <c r="E4" s="365" t="s">
        <v>19</v>
      </c>
      <c r="F4" s="366" t="s">
        <v>20</v>
      </c>
      <c r="H4" s="565">
        <v>45748</v>
      </c>
      <c r="I4" s="565">
        <v>45778</v>
      </c>
      <c r="J4" s="565">
        <v>45809</v>
      </c>
      <c r="K4" s="565">
        <v>45839</v>
      </c>
      <c r="L4" s="565">
        <v>45870</v>
      </c>
      <c r="M4" s="565" t="s">
        <v>993</v>
      </c>
      <c r="N4" s="565"/>
      <c r="O4" s="565"/>
      <c r="P4" s="565"/>
      <c r="Q4" s="565"/>
      <c r="R4" s="565"/>
      <c r="S4" s="565"/>
      <c r="T4" s="565" t="s">
        <v>479</v>
      </c>
      <c r="V4" s="565" t="s">
        <v>994</v>
      </c>
      <c r="W4" s="565" t="s">
        <v>995</v>
      </c>
      <c r="X4" s="565" t="s">
        <v>996</v>
      </c>
      <c r="Y4" s="565"/>
      <c r="Z4" s="565"/>
      <c r="AA4" s="565" t="s">
        <v>997</v>
      </c>
      <c r="AB4" s="565" t="s">
        <v>998</v>
      </c>
      <c r="AC4" s="565" t="s">
        <v>999</v>
      </c>
      <c r="AD4" s="565" t="s">
        <v>1000</v>
      </c>
      <c r="AE4" s="565" t="s">
        <v>1001</v>
      </c>
      <c r="AF4" s="565" t="s">
        <v>1002</v>
      </c>
      <c r="AG4" s="565" t="s">
        <v>1003</v>
      </c>
      <c r="AH4" s="443"/>
      <c r="AI4" t="s">
        <v>1004</v>
      </c>
      <c r="AJ4" t="s">
        <v>1005</v>
      </c>
    </row>
    <row r="5" spans="1:36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Mar 2026'!$A$8:$F$206,6,FALSE)</f>
        <v>Chq Bk</v>
      </c>
      <c r="H5" s="828">
        <v>56128.509999999987</v>
      </c>
      <c r="I5" s="829">
        <v>54163.929999999993</v>
      </c>
      <c r="J5" s="566">
        <v>1312.6</v>
      </c>
      <c r="K5" s="566">
        <v>374.29000000000008</v>
      </c>
      <c r="L5" s="566">
        <v>1509.98</v>
      </c>
      <c r="M5" s="828">
        <f>SUM(J5:L5)</f>
        <v>3196.87</v>
      </c>
      <c r="N5" s="566"/>
      <c r="O5" s="566"/>
      <c r="P5" s="566"/>
      <c r="Q5" s="566"/>
      <c r="R5" s="566"/>
      <c r="S5" s="566"/>
      <c r="T5" s="566">
        <f>H5+I5+M5</f>
        <v>113489.30999999997</v>
      </c>
      <c r="V5" s="577" t="s">
        <v>1006</v>
      </c>
      <c r="W5" s="577" t="s">
        <v>1006</v>
      </c>
      <c r="X5" s="577" t="s">
        <v>1006</v>
      </c>
      <c r="Y5" s="573"/>
      <c r="Z5" s="573"/>
      <c r="AA5" s="573"/>
      <c r="AB5" s="573"/>
      <c r="AC5" s="573"/>
      <c r="AD5" s="573"/>
      <c r="AE5" s="573"/>
      <c r="AF5" s="573"/>
      <c r="AG5" s="573"/>
      <c r="AI5">
        <v>3100202080</v>
      </c>
      <c r="AJ5" t="str">
        <f>_xlfn.CONCAT("B1-",C5,"-5A02-ED1-JZZZZZ-TV1L0-JZZZ-JXXX")</f>
        <v>B1-AX001-5A02-ED1-JZZZZZ-TV1L0-JZZZ-JXXX</v>
      </c>
    </row>
    <row r="6" spans="1:36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Mar 2026'!$A$8:$F$206,6,FALSE)</f>
        <v>Chq Bk</v>
      </c>
      <c r="H6" s="566">
        <v>0</v>
      </c>
      <c r="I6" s="566">
        <v>0</v>
      </c>
      <c r="J6" s="566">
        <v>0</v>
      </c>
      <c r="K6" s="566">
        <v>0</v>
      </c>
      <c r="L6" s="566">
        <v>0</v>
      </c>
      <c r="M6" s="566">
        <f t="shared" ref="M6:M69" si="0">SUM(J6:L6)</f>
        <v>0</v>
      </c>
      <c r="N6" s="566"/>
      <c r="O6" s="566"/>
      <c r="P6" s="566"/>
      <c r="Q6" s="566"/>
      <c r="R6" s="566"/>
      <c r="S6" s="566"/>
      <c r="T6" s="566">
        <f t="shared" ref="T6:T69" si="1">H6+I6+M6</f>
        <v>0</v>
      </c>
      <c r="V6" s="573" t="s">
        <v>1007</v>
      </c>
      <c r="W6" s="573" t="s">
        <v>1007</v>
      </c>
      <c r="X6" s="573" t="s">
        <v>1007</v>
      </c>
      <c r="Y6" s="573"/>
      <c r="Z6" s="573"/>
      <c r="AA6" s="573"/>
      <c r="AB6" s="573"/>
      <c r="AC6" s="573"/>
      <c r="AD6" s="573"/>
      <c r="AE6" s="573"/>
      <c r="AF6" s="573"/>
      <c r="AG6" s="573"/>
      <c r="AI6">
        <v>3100305426</v>
      </c>
      <c r="AJ6" t="str">
        <f t="shared" ref="AJ6:AJ69" si="2">_xlfn.CONCAT("B1-",C6,"-5A02-ED1-JZZZZZ-TV1L0-JZZZ-JXXX")</f>
        <v>B1-AX085-5A02-ED1-JZZZZZ-TV1L0-JZZZ-JXXX</v>
      </c>
    </row>
    <row r="7" spans="1:36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Mar 2026'!$A$8:$F$206,6,FALSE)</f>
        <v>Chq Bk</v>
      </c>
      <c r="H7" s="828">
        <v>8053.93</v>
      </c>
      <c r="I7" s="829">
        <v>1205.6600000000001</v>
      </c>
      <c r="J7" s="566">
        <v>4266.4799999999996</v>
      </c>
      <c r="K7" s="566">
        <v>-13698.130000000001</v>
      </c>
      <c r="L7" s="566">
        <v>840.42999999999984</v>
      </c>
      <c r="M7" s="566">
        <f t="shared" si="0"/>
        <v>-8591.2200000000012</v>
      </c>
      <c r="N7" s="566"/>
      <c r="O7" s="566"/>
      <c r="P7" s="566"/>
      <c r="Q7" s="566"/>
      <c r="R7" s="566"/>
      <c r="S7" s="566"/>
      <c r="T7" s="566">
        <f t="shared" si="1"/>
        <v>668.36999999999898</v>
      </c>
      <c r="V7" s="577" t="s">
        <v>1006</v>
      </c>
      <c r="W7" s="577" t="s">
        <v>1006</v>
      </c>
      <c r="X7" s="577" t="s">
        <v>1006</v>
      </c>
      <c r="Y7" s="573"/>
      <c r="Z7" s="573"/>
      <c r="AA7" s="573"/>
      <c r="AB7" s="573"/>
      <c r="AC7" s="573"/>
      <c r="AD7" s="573"/>
      <c r="AE7" s="573"/>
      <c r="AF7" s="573"/>
      <c r="AG7" s="573"/>
      <c r="AI7">
        <v>3100061647</v>
      </c>
      <c r="AJ7" t="str">
        <f t="shared" si="2"/>
        <v>B1-AX002-5A02-ED1-JZZZZZ-TV1L0-JZZZ-JXXX</v>
      </c>
    </row>
    <row r="8" spans="1:36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Mar 2026'!$A$8:$F$206,6,FALSE)</f>
        <v>Chq Bk</v>
      </c>
      <c r="H8" s="566">
        <v>0</v>
      </c>
      <c r="I8" s="566">
        <v>0</v>
      </c>
      <c r="J8" s="566">
        <v>0</v>
      </c>
      <c r="K8" s="566">
        <v>0</v>
      </c>
      <c r="L8" s="566">
        <v>0</v>
      </c>
      <c r="M8" s="566">
        <f t="shared" si="0"/>
        <v>0</v>
      </c>
      <c r="N8" s="566"/>
      <c r="O8" s="566"/>
      <c r="P8" s="566"/>
      <c r="Q8" s="566"/>
      <c r="R8" s="566"/>
      <c r="S8" s="566"/>
      <c r="T8" s="566">
        <f t="shared" si="1"/>
        <v>0</v>
      </c>
      <c r="V8" s="573" t="s">
        <v>1007</v>
      </c>
      <c r="W8" s="573" t="s">
        <v>1007</v>
      </c>
      <c r="X8" s="573" t="s">
        <v>1007</v>
      </c>
      <c r="Y8" s="573"/>
      <c r="Z8" s="573"/>
      <c r="AA8" s="573"/>
      <c r="AB8" s="573"/>
      <c r="AC8" s="573"/>
      <c r="AD8" s="573"/>
      <c r="AE8" s="573"/>
      <c r="AF8" s="573"/>
      <c r="AG8" s="573"/>
      <c r="AI8">
        <v>3100022946</v>
      </c>
      <c r="AJ8" t="str">
        <f t="shared" si="2"/>
        <v>B1-AX087-5A02-ED1-JZZZZZ-TV1L0-JZZZ-JXXX</v>
      </c>
    </row>
    <row r="9" spans="1:36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Mar 2026'!$A$8:$F$206,6,FALSE)</f>
        <v>Chq Bk</v>
      </c>
      <c r="H9" s="828">
        <v>238894.94999999998</v>
      </c>
      <c r="I9" s="829">
        <v>235834.91</v>
      </c>
      <c r="J9" s="566">
        <v>225476.23999999996</v>
      </c>
      <c r="K9" s="566">
        <v>222326.49</v>
      </c>
      <c r="L9" s="566">
        <v>258989.6099999999</v>
      </c>
      <c r="M9" s="828">
        <f t="shared" si="0"/>
        <v>706792.33999999985</v>
      </c>
      <c r="N9" s="566"/>
      <c r="O9" s="566"/>
      <c r="P9" s="566"/>
      <c r="Q9" s="566"/>
      <c r="R9" s="566"/>
      <c r="S9" s="566"/>
      <c r="T9" s="566">
        <f t="shared" si="1"/>
        <v>1181522.1999999997</v>
      </c>
      <c r="V9" s="577" t="s">
        <v>1006</v>
      </c>
      <c r="W9" s="577" t="s">
        <v>1006</v>
      </c>
      <c r="X9" s="577" t="s">
        <v>1006</v>
      </c>
      <c r="Y9" s="573"/>
      <c r="Z9" s="573"/>
      <c r="AA9" s="573"/>
      <c r="AB9" s="573"/>
      <c r="AC9" s="573"/>
      <c r="AD9" s="573"/>
      <c r="AE9" s="573"/>
      <c r="AF9" s="573"/>
      <c r="AG9" s="573"/>
      <c r="AI9">
        <v>3100610500</v>
      </c>
      <c r="AJ9" t="str">
        <f t="shared" si="2"/>
        <v>B1-AX004-5A02-ED1-JZZZZZ-TV1L0-JZZZ-JXXX</v>
      </c>
    </row>
    <row r="10" spans="1:36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Mar 2026'!$A$8:$F$206,6,FALSE)</f>
        <v>Chq Bk</v>
      </c>
      <c r="H10" s="828">
        <v>191869.84</v>
      </c>
      <c r="I10" s="829">
        <v>195670.41000000003</v>
      </c>
      <c r="J10" s="566">
        <v>-936.18</v>
      </c>
      <c r="K10" s="566">
        <v>0</v>
      </c>
      <c r="L10" s="566">
        <v>0</v>
      </c>
      <c r="M10" s="566">
        <f t="shared" si="0"/>
        <v>-936.18</v>
      </c>
      <c r="N10" s="566"/>
      <c r="O10" s="566"/>
      <c r="P10" s="566"/>
      <c r="Q10" s="566"/>
      <c r="R10" s="566"/>
      <c r="S10" s="566"/>
      <c r="T10" s="566">
        <f t="shared" si="1"/>
        <v>386604.07</v>
      </c>
      <c r="V10" s="577" t="s">
        <v>1006</v>
      </c>
      <c r="W10" s="577" t="s">
        <v>1006</v>
      </c>
      <c r="X10" s="577" t="s">
        <v>1006</v>
      </c>
      <c r="Y10" s="573"/>
      <c r="Z10" s="573"/>
      <c r="AA10" s="573"/>
      <c r="AB10" s="573"/>
      <c r="AC10" s="573"/>
      <c r="AD10" s="573"/>
      <c r="AE10" s="573"/>
      <c r="AF10" s="573"/>
      <c r="AG10" s="573"/>
      <c r="AI10">
        <v>3100202085</v>
      </c>
      <c r="AJ10" t="str">
        <f t="shared" si="2"/>
        <v>B1-AX006-5A02-ED1-JZZZZZ-TV1L0-JZZZ-JXXX</v>
      </c>
    </row>
    <row r="11" spans="1:36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Mar 2026'!$A$8:$F$206,6,FALSE)</f>
        <v>Chq Bk</v>
      </c>
      <c r="H11" s="828">
        <v>346355.94999999995</v>
      </c>
      <c r="I11" s="829">
        <v>334196.26</v>
      </c>
      <c r="J11" s="566">
        <v>330131.56000000006</v>
      </c>
      <c r="K11" s="566">
        <v>337705.76999999996</v>
      </c>
      <c r="L11" s="566">
        <v>362972.82999999978</v>
      </c>
      <c r="M11" s="828">
        <f t="shared" si="0"/>
        <v>1030810.1599999999</v>
      </c>
      <c r="N11" s="566"/>
      <c r="O11" s="566"/>
      <c r="P11" s="566"/>
      <c r="Q11" s="566"/>
      <c r="R11" s="566"/>
      <c r="S11" s="566"/>
      <c r="T11" s="566">
        <f t="shared" si="1"/>
        <v>1711362.3699999999</v>
      </c>
      <c r="V11" s="577" t="s">
        <v>1006</v>
      </c>
      <c r="W11" s="577" t="s">
        <v>1006</v>
      </c>
      <c r="X11" s="577" t="s">
        <v>1006</v>
      </c>
      <c r="Y11" s="573"/>
      <c r="Z11" s="573"/>
      <c r="AA11" s="573"/>
      <c r="AB11" s="573"/>
      <c r="AC11" s="573"/>
      <c r="AD11" s="573"/>
      <c r="AE11" s="573"/>
      <c r="AF11" s="573"/>
      <c r="AG11" s="573"/>
      <c r="AI11">
        <v>3100611871</v>
      </c>
      <c r="AJ11" t="str">
        <f t="shared" si="2"/>
        <v>B1-AX007-5A02-ED1-JZZZZZ-TV1L0-JZZZ-JXXX</v>
      </c>
    </row>
    <row r="12" spans="1:36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Mar 2026'!$A$8:$F$206,6,FALSE)</f>
        <v>Chq Bk</v>
      </c>
      <c r="H12" s="566">
        <v>0</v>
      </c>
      <c r="I12" s="566">
        <v>0</v>
      </c>
      <c r="J12" s="566">
        <v>0</v>
      </c>
      <c r="K12" s="566">
        <v>0</v>
      </c>
      <c r="L12" s="566">
        <v>0</v>
      </c>
      <c r="M12" s="566">
        <f t="shared" si="0"/>
        <v>0</v>
      </c>
      <c r="N12" s="566"/>
      <c r="O12" s="566"/>
      <c r="P12" s="566"/>
      <c r="Q12" s="566"/>
      <c r="R12" s="566"/>
      <c r="S12" s="566"/>
      <c r="T12" s="566">
        <f t="shared" si="1"/>
        <v>0</v>
      </c>
      <c r="V12" s="573" t="s">
        <v>1007</v>
      </c>
      <c r="W12" s="573" t="s">
        <v>1007</v>
      </c>
      <c r="X12" s="573" t="s">
        <v>1007</v>
      </c>
      <c r="Y12" s="573"/>
      <c r="Z12" s="573"/>
      <c r="AA12" s="573"/>
      <c r="AB12" s="573"/>
      <c r="AC12" s="573"/>
      <c r="AD12" s="573"/>
      <c r="AE12" s="573"/>
      <c r="AF12" s="573"/>
      <c r="AG12" s="573"/>
      <c r="AI12">
        <v>3100468486</v>
      </c>
      <c r="AJ12" t="str">
        <f t="shared" si="2"/>
        <v>B1-AX008-5A02-ED1-JZZZZZ-TV1L0-JZZZ-JXXX</v>
      </c>
    </row>
    <row r="13" spans="1:36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Mar 2026'!$A$8:$F$206,6,FALSE)</f>
        <v>Chq Bk</v>
      </c>
      <c r="H13" s="566">
        <v>0</v>
      </c>
      <c r="I13" s="566">
        <v>0</v>
      </c>
      <c r="J13" s="566">
        <v>0</v>
      </c>
      <c r="K13" s="566">
        <v>0</v>
      </c>
      <c r="L13" s="566">
        <v>0</v>
      </c>
      <c r="M13" s="566">
        <f t="shared" si="0"/>
        <v>0</v>
      </c>
      <c r="N13" s="566"/>
      <c r="O13" s="566"/>
      <c r="P13" s="566"/>
      <c r="Q13" s="566"/>
      <c r="R13" s="566"/>
      <c r="S13" s="566"/>
      <c r="T13" s="566">
        <f t="shared" si="1"/>
        <v>0</v>
      </c>
      <c r="V13" s="573" t="s">
        <v>1007</v>
      </c>
      <c r="W13" s="573" t="s">
        <v>1007</v>
      </c>
      <c r="X13" s="573" t="s">
        <v>1007</v>
      </c>
      <c r="Y13" s="573"/>
      <c r="Z13" s="573"/>
      <c r="AA13" s="573"/>
      <c r="AB13" s="573"/>
      <c r="AC13" s="573"/>
      <c r="AD13" s="573"/>
      <c r="AE13" s="573"/>
      <c r="AF13" s="573"/>
      <c r="AG13" s="573"/>
      <c r="AI13">
        <v>3100049156</v>
      </c>
      <c r="AJ13" t="str">
        <f t="shared" si="2"/>
        <v>B1-AX00E-5A02-ED1-JZZZZZ-TV1L0-JZZZ-JXXX</v>
      </c>
    </row>
    <row r="14" spans="1:36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Mar 2026'!$A$8:$F$206,6,FALSE)</f>
        <v>Chq Bk</v>
      </c>
      <c r="H14" s="566">
        <v>0</v>
      </c>
      <c r="I14" s="828">
        <v>-528</v>
      </c>
      <c r="J14" s="566">
        <v>24.04</v>
      </c>
      <c r="K14" s="566">
        <v>0</v>
      </c>
      <c r="L14" s="566">
        <v>0</v>
      </c>
      <c r="M14" s="828">
        <f t="shared" si="0"/>
        <v>24.04</v>
      </c>
      <c r="N14" s="566"/>
      <c r="O14" s="566"/>
      <c r="P14" s="566"/>
      <c r="Q14" s="566"/>
      <c r="R14" s="566"/>
      <c r="S14" s="566"/>
      <c r="T14" s="566">
        <f t="shared" si="1"/>
        <v>-503.96</v>
      </c>
      <c r="V14" s="573" t="s">
        <v>1007</v>
      </c>
      <c r="W14" s="577" t="s">
        <v>1006</v>
      </c>
      <c r="X14" s="577" t="s">
        <v>1006</v>
      </c>
      <c r="Y14" s="573"/>
      <c r="Z14" s="573"/>
      <c r="AA14" s="573"/>
      <c r="AB14" s="573"/>
      <c r="AC14" s="573"/>
      <c r="AD14" s="573"/>
      <c r="AE14" s="573"/>
      <c r="AF14" s="573"/>
      <c r="AG14" s="573"/>
      <c r="AI14">
        <v>3100472681</v>
      </c>
      <c r="AJ14" t="str">
        <f t="shared" si="2"/>
        <v>B1-AX04L-5A02-ED1-JZZZZZ-TV1L0-JZZZ-JXXX</v>
      </c>
    </row>
    <row r="15" spans="1:36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Mar 2026'!$A$8:$F$206,6,FALSE)</f>
        <v>Chq Bk</v>
      </c>
      <c r="H15" s="828">
        <v>7025.9899999999989</v>
      </c>
      <c r="I15" s="829">
        <v>5522.8899999999994</v>
      </c>
      <c r="J15" s="566">
        <v>4860.97</v>
      </c>
      <c r="K15" s="566">
        <v>4699.6400000000003</v>
      </c>
      <c r="L15" s="566">
        <v>0</v>
      </c>
      <c r="M15" s="828">
        <f t="shared" si="0"/>
        <v>9560.61</v>
      </c>
      <c r="N15" s="566"/>
      <c r="O15" s="566"/>
      <c r="P15" s="566"/>
      <c r="Q15" s="566"/>
      <c r="R15" s="566"/>
      <c r="S15" s="566"/>
      <c r="T15" s="566">
        <f t="shared" si="1"/>
        <v>22109.489999999998</v>
      </c>
      <c r="V15" s="577" t="s">
        <v>1006</v>
      </c>
      <c r="W15" s="577" t="s">
        <v>1006</v>
      </c>
      <c r="X15" s="577" t="s">
        <v>1006</v>
      </c>
      <c r="Y15" s="573"/>
      <c r="Z15" s="573"/>
      <c r="AA15" s="573"/>
      <c r="AB15" s="573"/>
      <c r="AC15" s="573"/>
      <c r="AD15" s="573"/>
      <c r="AE15" s="573"/>
      <c r="AF15" s="573"/>
      <c r="AG15" s="573"/>
      <c r="AI15">
        <v>3100275705</v>
      </c>
      <c r="AJ15" t="str">
        <f t="shared" si="2"/>
        <v>B1-AX04M-5A02-ED1-JZZZZZ-TV1L0-JZZZ-JXXX</v>
      </c>
    </row>
    <row r="16" spans="1:36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Mar 2026'!$A$8:$F$206,6,FALSE)</f>
        <v>Chq Bk</v>
      </c>
      <c r="H16" s="828">
        <v>108406.70000000001</v>
      </c>
      <c r="I16" s="829">
        <v>109906.90000000001</v>
      </c>
      <c r="J16" s="566">
        <v>-69103.48000000001</v>
      </c>
      <c r="K16" s="566">
        <v>-2553</v>
      </c>
      <c r="L16" s="566">
        <v>-36</v>
      </c>
      <c r="M16" s="566">
        <f t="shared" si="0"/>
        <v>-71692.48000000001</v>
      </c>
      <c r="N16" s="566"/>
      <c r="O16" s="566"/>
      <c r="P16" s="566"/>
      <c r="Q16" s="566"/>
      <c r="R16" s="566"/>
      <c r="S16" s="566"/>
      <c r="T16" s="566">
        <f t="shared" si="1"/>
        <v>146621.12000000002</v>
      </c>
      <c r="V16" s="577" t="s">
        <v>1006</v>
      </c>
      <c r="W16" s="577" t="s">
        <v>1006</v>
      </c>
      <c r="X16" s="577" t="s">
        <v>1006</v>
      </c>
      <c r="Y16" s="573"/>
      <c r="Z16" s="573"/>
      <c r="AA16" s="573"/>
      <c r="AB16" s="573"/>
      <c r="AC16" s="573"/>
      <c r="AD16" s="573"/>
      <c r="AE16" s="573"/>
      <c r="AF16" s="573"/>
      <c r="AG16" s="573"/>
      <c r="AI16">
        <v>3100612440</v>
      </c>
      <c r="AJ16" t="str">
        <f t="shared" si="2"/>
        <v>B1-AX00G-5A02-ED1-JZZZZZ-TV1L0-JZZZ-JXXX</v>
      </c>
    </row>
    <row r="17" spans="1:36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Mar 2026'!$A$8:$F$206,6,FALSE)</f>
        <v>Chq Bk</v>
      </c>
      <c r="H17" s="828">
        <v>143518.46</v>
      </c>
      <c r="I17" s="829">
        <v>142117.02000000005</v>
      </c>
      <c r="J17" s="566">
        <v>-140</v>
      </c>
      <c r="K17" s="566">
        <v>59.5</v>
      </c>
      <c r="L17" s="566">
        <v>0</v>
      </c>
      <c r="M17" s="566">
        <f t="shared" si="0"/>
        <v>-80.5</v>
      </c>
      <c r="N17" s="566"/>
      <c r="O17" s="566"/>
      <c r="P17" s="566"/>
      <c r="Q17" s="566"/>
      <c r="R17" s="566"/>
      <c r="S17" s="566"/>
      <c r="T17" s="566">
        <f t="shared" si="1"/>
        <v>285554.98000000004</v>
      </c>
      <c r="V17" s="577" t="s">
        <v>1006</v>
      </c>
      <c r="W17" s="577" t="s">
        <v>1006</v>
      </c>
      <c r="X17" s="577" t="s">
        <v>1006</v>
      </c>
      <c r="Y17" s="573"/>
      <c r="Z17" s="573"/>
      <c r="AA17" s="573"/>
      <c r="AB17" s="573"/>
      <c r="AC17" s="573"/>
      <c r="AD17" s="573"/>
      <c r="AE17" s="573"/>
      <c r="AF17" s="573"/>
      <c r="AG17" s="573"/>
      <c r="AI17">
        <v>3100190027</v>
      </c>
      <c r="AJ17" t="str">
        <f t="shared" si="2"/>
        <v>B1-AX00H-5A02-ED1-JZZZZZ-TV1L0-JZZZ-JXXX</v>
      </c>
    </row>
    <row r="18" spans="1:36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Mar 2026'!$A$8:$F$206,6,FALSE)</f>
        <v>Chq Bk</v>
      </c>
      <c r="H18" s="566">
        <v>0</v>
      </c>
      <c r="I18" s="566">
        <v>0</v>
      </c>
      <c r="J18" s="566">
        <v>0</v>
      </c>
      <c r="K18" s="566">
        <v>0</v>
      </c>
      <c r="L18" s="566">
        <v>0</v>
      </c>
      <c r="M18" s="566">
        <f t="shared" si="0"/>
        <v>0</v>
      </c>
      <c r="N18" s="566"/>
      <c r="O18" s="566"/>
      <c r="P18" s="566"/>
      <c r="Q18" s="566"/>
      <c r="R18" s="566"/>
      <c r="S18" s="566"/>
      <c r="T18" s="566">
        <f t="shared" si="1"/>
        <v>0</v>
      </c>
      <c r="V18" s="573" t="s">
        <v>1007</v>
      </c>
      <c r="W18" s="573" t="s">
        <v>1007</v>
      </c>
      <c r="X18" s="573" t="s">
        <v>1007</v>
      </c>
      <c r="Y18" s="573"/>
      <c r="Z18" s="573"/>
      <c r="AA18" s="573"/>
      <c r="AB18" s="573"/>
      <c r="AC18" s="573"/>
      <c r="AD18" s="573"/>
      <c r="AE18" s="573"/>
      <c r="AF18" s="573"/>
      <c r="AG18" s="573"/>
      <c r="AI18">
        <v>3100017574</v>
      </c>
      <c r="AJ18" t="str">
        <f t="shared" si="2"/>
        <v>B1-AX08C-5A02-ED1-JZZZZZ-TV1L0-JZZZ-JXXX</v>
      </c>
    </row>
    <row r="19" spans="1:36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Mar 2026'!$A$8:$F$206,6,FALSE)</f>
        <v>Chq Bk</v>
      </c>
      <c r="H19" s="828">
        <v>-426.52</v>
      </c>
      <c r="I19" s="828">
        <v>-178.5</v>
      </c>
      <c r="J19" s="566">
        <v>-693</v>
      </c>
      <c r="K19" s="566">
        <v>-89.25</v>
      </c>
      <c r="L19" s="566">
        <v>0</v>
      </c>
      <c r="M19" s="566">
        <f t="shared" si="0"/>
        <v>-782.25</v>
      </c>
      <c r="N19" s="566"/>
      <c r="O19" s="566"/>
      <c r="P19" s="566"/>
      <c r="Q19" s="566"/>
      <c r="R19" s="566"/>
      <c r="S19" s="566"/>
      <c r="T19" s="566">
        <f t="shared" si="1"/>
        <v>-1387.27</v>
      </c>
      <c r="V19" s="577" t="s">
        <v>1006</v>
      </c>
      <c r="W19" s="577" t="s">
        <v>1006</v>
      </c>
      <c r="X19" s="577" t="s">
        <v>1006</v>
      </c>
      <c r="Y19" s="573"/>
      <c r="Z19" s="573"/>
      <c r="AA19" s="573"/>
      <c r="AB19" s="573"/>
      <c r="AC19" s="573"/>
      <c r="AD19" s="573"/>
      <c r="AE19" s="573"/>
      <c r="AF19" s="573"/>
      <c r="AG19" s="573"/>
      <c r="AI19">
        <v>3100620477</v>
      </c>
      <c r="AJ19" t="str">
        <f t="shared" si="2"/>
        <v>B1-AX00R-5A02-ED1-JZZZZZ-TV1L0-JZZZ-JXXX</v>
      </c>
    </row>
    <row r="20" spans="1:36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Mar 2026'!$A$8:$F$206,6,FALSE)</f>
        <v>Chq Bk</v>
      </c>
      <c r="H20" s="566">
        <v>0</v>
      </c>
      <c r="I20" s="566">
        <v>0</v>
      </c>
      <c r="J20" s="566">
        <v>0</v>
      </c>
      <c r="K20" s="566">
        <v>0</v>
      </c>
      <c r="L20" s="566">
        <v>0</v>
      </c>
      <c r="M20" s="566">
        <f t="shared" si="0"/>
        <v>0</v>
      </c>
      <c r="N20" s="566"/>
      <c r="O20" s="566"/>
      <c r="P20" s="566"/>
      <c r="Q20" s="566"/>
      <c r="R20" s="566"/>
      <c r="S20" s="566"/>
      <c r="T20" s="566">
        <f t="shared" si="1"/>
        <v>0</v>
      </c>
      <c r="V20" s="573" t="s">
        <v>1007</v>
      </c>
      <c r="W20" s="573" t="s">
        <v>1007</v>
      </c>
      <c r="X20" s="573" t="s">
        <v>1007</v>
      </c>
      <c r="Y20" s="573"/>
      <c r="Z20" s="573"/>
      <c r="AA20" s="573"/>
      <c r="AB20" s="573"/>
      <c r="AC20" s="573"/>
      <c r="AD20" s="573"/>
      <c r="AE20" s="573"/>
      <c r="AF20" s="573"/>
      <c r="AG20" s="573"/>
      <c r="AI20">
        <v>3100070120</v>
      </c>
      <c r="AJ20" t="str">
        <f t="shared" si="2"/>
        <v>B1-AX08G-5A02-ED1-JZZZZZ-TV1L0-JZZZ-JXXX</v>
      </c>
    </row>
    <row r="21" spans="1:36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Mar 2026'!$A$8:$F$206,6,FALSE)</f>
        <v>Chq Bk</v>
      </c>
      <c r="H21" s="566">
        <v>0</v>
      </c>
      <c r="I21" s="566">
        <v>0</v>
      </c>
      <c r="J21" s="566">
        <v>0</v>
      </c>
      <c r="K21" s="566">
        <v>0</v>
      </c>
      <c r="L21" s="566">
        <v>0</v>
      </c>
      <c r="M21" s="566">
        <f t="shared" si="0"/>
        <v>0</v>
      </c>
      <c r="N21" s="566"/>
      <c r="O21" s="566"/>
      <c r="P21" s="566"/>
      <c r="Q21" s="566"/>
      <c r="R21" s="566"/>
      <c r="S21" s="566"/>
      <c r="T21" s="566">
        <f t="shared" si="1"/>
        <v>0</v>
      </c>
      <c r="V21" s="573" t="s">
        <v>1007</v>
      </c>
      <c r="W21" s="573" t="s">
        <v>1007</v>
      </c>
      <c r="X21" s="573" t="s">
        <v>1007</v>
      </c>
      <c r="Y21" s="573"/>
      <c r="Z21" s="573"/>
      <c r="AA21" s="573"/>
      <c r="AB21" s="573"/>
      <c r="AC21" s="573"/>
      <c r="AD21" s="573"/>
      <c r="AE21" s="573"/>
      <c r="AF21" s="573"/>
      <c r="AG21" s="573"/>
      <c r="AI21">
        <v>3100202131</v>
      </c>
      <c r="AJ21" t="str">
        <f t="shared" si="2"/>
        <v>B1-AX00T-5A02-ED1-JZZZZZ-TV1L0-JZZZ-JXXX</v>
      </c>
    </row>
    <row r="22" spans="1:36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Mar 2026'!$A$8:$F$206,6,FALSE)</f>
        <v>Chq Bk</v>
      </c>
      <c r="H22" s="566">
        <v>0</v>
      </c>
      <c r="I22" s="566">
        <v>0</v>
      </c>
      <c r="J22" s="566">
        <v>0</v>
      </c>
      <c r="K22" s="566">
        <v>0</v>
      </c>
      <c r="L22" s="566">
        <v>0</v>
      </c>
      <c r="M22" s="566">
        <f t="shared" si="0"/>
        <v>0</v>
      </c>
      <c r="N22" s="566"/>
      <c r="O22" s="566"/>
      <c r="P22" s="566"/>
      <c r="Q22" s="566"/>
      <c r="R22" s="566"/>
      <c r="S22" s="566"/>
      <c r="T22" s="566">
        <f t="shared" si="1"/>
        <v>0</v>
      </c>
      <c r="V22" s="573" t="s">
        <v>1007</v>
      </c>
      <c r="W22" s="573" t="s">
        <v>1007</v>
      </c>
      <c r="X22" s="573" t="s">
        <v>1007</v>
      </c>
      <c r="Y22" s="573"/>
      <c r="Z22" s="573"/>
      <c r="AA22" s="573"/>
      <c r="AB22" s="573"/>
      <c r="AC22" s="573"/>
      <c r="AD22" s="573"/>
      <c r="AE22" s="573"/>
      <c r="AF22" s="573"/>
      <c r="AG22" s="573"/>
      <c r="AI22">
        <v>3100017394</v>
      </c>
      <c r="AJ22" t="str">
        <f t="shared" si="2"/>
        <v>B1-AX08J-5A02-ED1-JZZZZZ-TV1L0-JZZZ-JXXX</v>
      </c>
    </row>
    <row r="23" spans="1:36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Mar 2026'!$A$8:$F$206,6,FALSE)</f>
        <v>Chq Bk</v>
      </c>
      <c r="H23" s="566">
        <v>0</v>
      </c>
      <c r="I23" s="566">
        <v>0</v>
      </c>
      <c r="J23" s="566">
        <v>0</v>
      </c>
      <c r="K23" s="566">
        <v>0</v>
      </c>
      <c r="L23" s="566">
        <v>0</v>
      </c>
      <c r="M23" s="566">
        <f t="shared" si="0"/>
        <v>0</v>
      </c>
      <c r="N23" s="566"/>
      <c r="O23" s="566"/>
      <c r="P23" s="566"/>
      <c r="Q23" s="566"/>
      <c r="R23" s="566"/>
      <c r="S23" s="566"/>
      <c r="T23" s="566">
        <f t="shared" si="1"/>
        <v>0</v>
      </c>
      <c r="V23" s="573" t="s">
        <v>1007</v>
      </c>
      <c r="W23" s="573" t="s">
        <v>1007</v>
      </c>
      <c r="X23" s="573" t="s">
        <v>1007</v>
      </c>
      <c r="Y23" s="573"/>
      <c r="Z23" s="573"/>
      <c r="AA23" s="573"/>
      <c r="AB23" s="573"/>
      <c r="AC23" s="573"/>
      <c r="AD23" s="573"/>
      <c r="AE23" s="573"/>
      <c r="AF23" s="573"/>
      <c r="AG23" s="573"/>
      <c r="AI23">
        <v>3100022849</v>
      </c>
      <c r="AJ23" t="str">
        <f t="shared" si="2"/>
        <v>B1-AX08H-5A02-ED1-JZZZZZ-TV1L0-JZZZ-JXXX</v>
      </c>
    </row>
    <row r="24" spans="1:36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Mar 2026'!$A$8:$F$206,6,FALSE)</f>
        <v>Chq Bk</v>
      </c>
      <c r="H24" s="566">
        <v>0</v>
      </c>
      <c r="I24" s="828">
        <v>-4512.0200000000004</v>
      </c>
      <c r="J24" s="566">
        <v>-1248.68</v>
      </c>
      <c r="K24" s="566">
        <v>-2718.61</v>
      </c>
      <c r="L24" s="566">
        <v>0</v>
      </c>
      <c r="M24" s="566">
        <f t="shared" si="0"/>
        <v>-3967.29</v>
      </c>
      <c r="N24" s="566"/>
      <c r="O24" s="566"/>
      <c r="P24" s="566"/>
      <c r="Q24" s="566"/>
      <c r="R24" s="566"/>
      <c r="S24" s="566"/>
      <c r="T24" s="566">
        <f t="shared" si="1"/>
        <v>-8479.3100000000013</v>
      </c>
      <c r="V24" s="573" t="s">
        <v>1007</v>
      </c>
      <c r="W24" s="577" t="s">
        <v>1006</v>
      </c>
      <c r="X24" s="577" t="s">
        <v>1006</v>
      </c>
      <c r="Y24" s="573"/>
      <c r="Z24" s="573"/>
      <c r="AA24" s="573"/>
      <c r="AB24" s="573"/>
      <c r="AC24" s="573"/>
      <c r="AD24" s="573"/>
      <c r="AE24" s="573"/>
      <c r="AF24" s="573"/>
      <c r="AG24" s="573"/>
      <c r="AI24">
        <v>3100619590</v>
      </c>
      <c r="AJ24" t="str">
        <f t="shared" si="2"/>
        <v>B1-AX00X-5A02-ED1-JZZZZZ-TV1L0-JZZZ-JXXX</v>
      </c>
    </row>
    <row r="25" spans="1:36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Mar 2026'!$A$8:$F$206,6,FALSE)</f>
        <v>Chq Bk</v>
      </c>
      <c r="H25" s="828">
        <v>187070.78000000009</v>
      </c>
      <c r="I25" s="829">
        <v>174059.12000000011</v>
      </c>
      <c r="J25" s="566">
        <v>172641.63000000009</v>
      </c>
      <c r="K25" s="566">
        <v>0</v>
      </c>
      <c r="L25" s="566">
        <v>0</v>
      </c>
      <c r="M25" s="828">
        <f t="shared" si="0"/>
        <v>172641.63000000009</v>
      </c>
      <c r="N25" s="566"/>
      <c r="O25" s="566"/>
      <c r="P25" s="566"/>
      <c r="Q25" s="566"/>
      <c r="R25" s="566"/>
      <c r="S25" s="566"/>
      <c r="T25" s="566">
        <f t="shared" si="1"/>
        <v>533771.53000000026</v>
      </c>
      <c r="V25" s="577" t="s">
        <v>1006</v>
      </c>
      <c r="W25" s="577" t="s">
        <v>1006</v>
      </c>
      <c r="X25" s="577" t="s">
        <v>1006</v>
      </c>
      <c r="Y25" s="573"/>
      <c r="Z25" s="573"/>
      <c r="AA25" s="573"/>
      <c r="AB25" s="573"/>
      <c r="AC25" s="573"/>
      <c r="AD25" s="573"/>
      <c r="AE25" s="573"/>
      <c r="AF25" s="573"/>
      <c r="AG25" s="573"/>
      <c r="AI25">
        <v>3100617485</v>
      </c>
      <c r="AJ25" t="str">
        <f t="shared" si="2"/>
        <v>B1-AX00Y-5A02-ED1-JZZZZZ-TV1L0-JZZZ-JXXX</v>
      </c>
    </row>
    <row r="26" spans="1:36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Mar 2026'!$A$8:$F$206,6,FALSE)</f>
        <v>Chq Bk</v>
      </c>
      <c r="H26" s="566">
        <v>0</v>
      </c>
      <c r="I26" s="829">
        <v>646.20000000000005</v>
      </c>
      <c r="J26" s="566">
        <v>25.119999999999997</v>
      </c>
      <c r="K26" s="566">
        <v>0</v>
      </c>
      <c r="L26" s="566">
        <v>144</v>
      </c>
      <c r="M26" s="828">
        <f t="shared" si="0"/>
        <v>169.12</v>
      </c>
      <c r="N26" s="566"/>
      <c r="O26" s="566"/>
      <c r="P26" s="566"/>
      <c r="Q26" s="566"/>
      <c r="R26" s="566"/>
      <c r="S26" s="566"/>
      <c r="T26" s="566">
        <f t="shared" si="1"/>
        <v>815.32</v>
      </c>
      <c r="V26" s="573" t="s">
        <v>1007</v>
      </c>
      <c r="W26" s="577" t="s">
        <v>1006</v>
      </c>
      <c r="X26" s="577" t="s">
        <v>1006</v>
      </c>
      <c r="Y26" s="573"/>
      <c r="Z26" s="573"/>
      <c r="AA26" s="573"/>
      <c r="AB26" s="573"/>
      <c r="AC26" s="573"/>
      <c r="AD26" s="573"/>
      <c r="AE26" s="573"/>
      <c r="AF26" s="573"/>
      <c r="AG26" s="573"/>
      <c r="AI26">
        <v>3100620479</v>
      </c>
      <c r="AJ26" t="str">
        <f t="shared" si="2"/>
        <v>B1-AX00Z-5A02-ED1-JZZZZZ-TV1L0-JZZZ-JXXX</v>
      </c>
    </row>
    <row r="27" spans="1:36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Mar 2026'!$A$8:$F$206,6,FALSE)</f>
        <v>Academy</v>
      </c>
      <c r="H27" s="566">
        <v>0</v>
      </c>
      <c r="I27" s="566">
        <v>0</v>
      </c>
      <c r="J27" s="566">
        <v>0</v>
      </c>
      <c r="K27" s="566">
        <v>0</v>
      </c>
      <c r="L27" s="566">
        <v>0</v>
      </c>
      <c r="M27" s="566">
        <f t="shared" si="0"/>
        <v>0</v>
      </c>
      <c r="N27" s="566"/>
      <c r="O27" s="566"/>
      <c r="P27" s="566"/>
      <c r="Q27" s="566"/>
      <c r="R27" s="566"/>
      <c r="S27" s="566"/>
      <c r="T27" s="566">
        <f t="shared" si="1"/>
        <v>0</v>
      </c>
      <c r="V27" s="573" t="s">
        <v>1007</v>
      </c>
      <c r="W27" s="573" t="s">
        <v>1007</v>
      </c>
      <c r="X27" s="573" t="s">
        <v>1007</v>
      </c>
      <c r="Y27" s="573"/>
      <c r="Z27" s="573"/>
      <c r="AA27" s="573"/>
      <c r="AB27" s="573"/>
      <c r="AC27" s="573"/>
      <c r="AD27" s="573"/>
      <c r="AE27" s="573"/>
      <c r="AF27" s="573"/>
      <c r="AG27" s="573"/>
      <c r="AI27">
        <v>0</v>
      </c>
      <c r="AJ27" t="str">
        <f t="shared" si="2"/>
        <v>B1-AX08N-5A02-ED1-JZZZZZ-TV1L0-JZZZ-JXXX</v>
      </c>
    </row>
    <row r="28" spans="1:36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Mar 2026'!$A$8:$F$206,6,FALSE)</f>
        <v>Academy</v>
      </c>
      <c r="H28" s="566">
        <v>0</v>
      </c>
      <c r="I28" s="566">
        <v>0</v>
      </c>
      <c r="J28" s="566">
        <v>0</v>
      </c>
      <c r="K28" s="566">
        <v>0</v>
      </c>
      <c r="L28" s="566">
        <v>0</v>
      </c>
      <c r="M28" s="566">
        <f t="shared" si="0"/>
        <v>0</v>
      </c>
      <c r="N28" s="566"/>
      <c r="O28" s="566"/>
      <c r="P28" s="566"/>
      <c r="Q28" s="566"/>
      <c r="R28" s="566"/>
      <c r="S28" s="566"/>
      <c r="T28" s="566">
        <f t="shared" si="1"/>
        <v>0</v>
      </c>
      <c r="V28" s="573" t="s">
        <v>1007</v>
      </c>
      <c r="W28" s="573" t="s">
        <v>1007</v>
      </c>
      <c r="X28" s="573" t="s">
        <v>1007</v>
      </c>
      <c r="Y28" s="573"/>
      <c r="Z28" s="573"/>
      <c r="AA28" s="573"/>
      <c r="AB28" s="573"/>
      <c r="AC28" s="573"/>
      <c r="AD28" s="573"/>
      <c r="AE28" s="573"/>
      <c r="AF28" s="573"/>
      <c r="AG28" s="573"/>
      <c r="AI28">
        <v>3100200797</v>
      </c>
      <c r="AJ28" t="str">
        <f t="shared" si="2"/>
        <v>B1-AX010-5A02-ED1-JZZZZZ-TV1L0-JZZZ-JXXX</v>
      </c>
    </row>
    <row r="29" spans="1:36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Mar 2026'!$A$8:$F$206,6,FALSE)</f>
        <v>Chq Bk</v>
      </c>
      <c r="H29" s="828">
        <v>-610</v>
      </c>
      <c r="I29" s="828">
        <v>-3886.16</v>
      </c>
      <c r="J29" s="566">
        <v>-46766</v>
      </c>
      <c r="K29" s="566">
        <v>-635.5</v>
      </c>
      <c r="L29" s="566">
        <v>-56590.969999999994</v>
      </c>
      <c r="M29" s="566">
        <f t="shared" si="0"/>
        <v>-103992.47</v>
      </c>
      <c r="N29" s="566"/>
      <c r="O29" s="566"/>
      <c r="P29" s="566"/>
      <c r="Q29" s="566"/>
      <c r="R29" s="566"/>
      <c r="S29" s="566"/>
      <c r="T29" s="566">
        <f t="shared" si="1"/>
        <v>-108488.63</v>
      </c>
      <c r="V29" s="577" t="s">
        <v>1006</v>
      </c>
      <c r="W29" s="577" t="s">
        <v>1006</v>
      </c>
      <c r="X29" s="577" t="s">
        <v>1006</v>
      </c>
      <c r="Y29" s="573"/>
      <c r="Z29" s="573"/>
      <c r="AA29" s="573"/>
      <c r="AB29" s="573"/>
      <c r="AC29" s="573"/>
      <c r="AD29" s="573"/>
      <c r="AE29" s="573"/>
      <c r="AF29" s="573"/>
      <c r="AG29" s="573"/>
      <c r="AI29">
        <v>3100610507</v>
      </c>
      <c r="AJ29" t="str">
        <f t="shared" si="2"/>
        <v>B1-AX013-5A02-ED1-JZZZZZ-TV1L0-JZZZ-JXXX</v>
      </c>
    </row>
    <row r="30" spans="1:36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Mar 2026'!$A$8:$F$206,6,FALSE)</f>
        <v>Chq Bk</v>
      </c>
      <c r="H30" s="566">
        <v>0</v>
      </c>
      <c r="I30" s="566">
        <v>0</v>
      </c>
      <c r="J30" s="566">
        <v>0</v>
      </c>
      <c r="K30" s="566">
        <v>0</v>
      </c>
      <c r="L30" s="566">
        <v>0</v>
      </c>
      <c r="M30" s="566">
        <f t="shared" si="0"/>
        <v>0</v>
      </c>
      <c r="N30" s="566"/>
      <c r="O30" s="566"/>
      <c r="P30" s="566"/>
      <c r="Q30" s="566"/>
      <c r="R30" s="566"/>
      <c r="S30" s="566"/>
      <c r="T30" s="566">
        <f t="shared" si="1"/>
        <v>0</v>
      </c>
      <c r="V30" s="573" t="s">
        <v>1007</v>
      </c>
      <c r="W30" s="573" t="s">
        <v>1007</v>
      </c>
      <c r="X30" s="573" t="s">
        <v>1007</v>
      </c>
      <c r="Y30" s="573"/>
      <c r="Z30" s="573"/>
      <c r="AA30" s="573"/>
      <c r="AB30" s="573"/>
      <c r="AC30" s="573"/>
      <c r="AD30" s="573"/>
      <c r="AE30" s="573"/>
      <c r="AF30" s="573"/>
      <c r="AG30" s="573"/>
      <c r="AI30">
        <v>3100046844</v>
      </c>
      <c r="AJ30" t="str">
        <f t="shared" si="2"/>
        <v>B1-AX08U-5A02-ED1-JZZZZZ-TV1L0-JZZZ-JXXX</v>
      </c>
    </row>
    <row r="31" spans="1:36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Mar 2026'!$A$8:$F$206,6,FALSE)</f>
        <v>Chq Bk</v>
      </c>
      <c r="H31" s="828">
        <v>89678.01999999999</v>
      </c>
      <c r="I31" s="829">
        <v>89929.010000000024</v>
      </c>
      <c r="J31" s="566">
        <v>-120</v>
      </c>
      <c r="K31" s="566">
        <v>0</v>
      </c>
      <c r="L31" s="566">
        <v>0</v>
      </c>
      <c r="M31" s="566">
        <f t="shared" si="0"/>
        <v>-120</v>
      </c>
      <c r="N31" s="566"/>
      <c r="O31" s="566"/>
      <c r="P31" s="566"/>
      <c r="Q31" s="566"/>
      <c r="R31" s="566"/>
      <c r="S31" s="566"/>
      <c r="T31" s="566">
        <f t="shared" si="1"/>
        <v>179487.03000000003</v>
      </c>
      <c r="V31" s="577" t="s">
        <v>1006</v>
      </c>
      <c r="W31" s="577" t="s">
        <v>1006</v>
      </c>
      <c r="X31" s="577" t="s">
        <v>1006</v>
      </c>
      <c r="Y31" s="573"/>
      <c r="Z31" s="573"/>
      <c r="AA31" s="573"/>
      <c r="AB31" s="573"/>
      <c r="AC31" s="573"/>
      <c r="AD31" s="573"/>
      <c r="AE31" s="573"/>
      <c r="AF31" s="573"/>
      <c r="AG31" s="573"/>
      <c r="AI31">
        <v>3100618534</v>
      </c>
      <c r="AJ31" t="str">
        <f t="shared" si="2"/>
        <v>B1-AX014-5A02-ED1-JZZZZZ-TV1L0-JZZZ-JXXX</v>
      </c>
    </row>
    <row r="32" spans="1:36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Mar 2026'!$A$8:$F$206,6,FALSE)</f>
        <v>Chq Bk</v>
      </c>
      <c r="H32" s="566">
        <v>0</v>
      </c>
      <c r="I32" s="566">
        <v>0</v>
      </c>
      <c r="J32" s="566">
        <v>0</v>
      </c>
      <c r="K32" s="566">
        <v>0</v>
      </c>
      <c r="L32" s="566">
        <v>0</v>
      </c>
      <c r="M32" s="566">
        <f t="shared" si="0"/>
        <v>0</v>
      </c>
      <c r="N32" s="566"/>
      <c r="O32" s="566"/>
      <c r="P32" s="566"/>
      <c r="Q32" s="566"/>
      <c r="R32" s="566"/>
      <c r="S32" s="566"/>
      <c r="T32" s="566">
        <f t="shared" si="1"/>
        <v>0</v>
      </c>
      <c r="V32" s="573" t="s">
        <v>1007</v>
      </c>
      <c r="W32" s="573" t="s">
        <v>1007</v>
      </c>
      <c r="X32" s="573" t="s">
        <v>1007</v>
      </c>
      <c r="Y32" s="573"/>
      <c r="Z32" s="573"/>
      <c r="AA32" s="573"/>
      <c r="AB32" s="573"/>
      <c r="AC32" s="573"/>
      <c r="AD32" s="573"/>
      <c r="AE32" s="573"/>
      <c r="AF32" s="573"/>
      <c r="AG32" s="573"/>
      <c r="AI32">
        <v>3100373094</v>
      </c>
      <c r="AJ32" t="str">
        <f t="shared" si="2"/>
        <v>B1-AX015-5A02-ED1-JZZZZZ-TV1L0-JZZZ-JXXX</v>
      </c>
    </row>
    <row r="33" spans="1:36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Mar 2026'!$A$8:$F$206,6,FALSE)</f>
        <v>Chq Bk</v>
      </c>
      <c r="H33" s="566">
        <v>0</v>
      </c>
      <c r="I33" s="566">
        <v>0</v>
      </c>
      <c r="J33" s="566">
        <v>0</v>
      </c>
      <c r="K33" s="566">
        <v>0</v>
      </c>
      <c r="L33" s="566">
        <v>0</v>
      </c>
      <c r="M33" s="566">
        <f t="shared" si="0"/>
        <v>0</v>
      </c>
      <c r="N33" s="566"/>
      <c r="O33" s="566"/>
      <c r="P33" s="566"/>
      <c r="Q33" s="566"/>
      <c r="R33" s="566"/>
      <c r="S33" s="566"/>
      <c r="T33" s="566">
        <f t="shared" si="1"/>
        <v>0</v>
      </c>
      <c r="V33" s="573" t="s">
        <v>1007</v>
      </c>
      <c r="W33" s="573" t="s">
        <v>1007</v>
      </c>
      <c r="X33" s="573" t="s">
        <v>1007</v>
      </c>
      <c r="Y33" s="573"/>
      <c r="Z33" s="573"/>
      <c r="AA33" s="573"/>
      <c r="AB33" s="573"/>
      <c r="AC33" s="573"/>
      <c r="AD33" s="573"/>
      <c r="AE33" s="573"/>
      <c r="AF33" s="573"/>
      <c r="AG33" s="573"/>
      <c r="AI33">
        <v>3100249686</v>
      </c>
      <c r="AJ33" t="str">
        <f t="shared" si="2"/>
        <v>B1-AX017-5A02-ED1-JZZZZZ-TV1L0-JZZZ-JXXX</v>
      </c>
    </row>
    <row r="34" spans="1:36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Mar 2026'!$A$8:$F$206,6,FALSE)</f>
        <v>Chq Bk</v>
      </c>
      <c r="H34" s="828">
        <v>205430.43</v>
      </c>
      <c r="I34" s="829">
        <v>200819.53</v>
      </c>
      <c r="J34" s="566">
        <v>2269.02</v>
      </c>
      <c r="K34" s="566">
        <v>-48423.41</v>
      </c>
      <c r="L34" s="566">
        <v>2187.450000000003</v>
      </c>
      <c r="M34" s="566">
        <f t="shared" si="0"/>
        <v>-43966.94</v>
      </c>
      <c r="N34" s="566"/>
      <c r="O34" s="566"/>
      <c r="P34" s="566"/>
      <c r="Q34" s="566"/>
      <c r="R34" s="566"/>
      <c r="S34" s="566"/>
      <c r="T34" s="566">
        <f t="shared" si="1"/>
        <v>362283.01999999996</v>
      </c>
      <c r="V34" s="577" t="s">
        <v>1006</v>
      </c>
      <c r="W34" s="577" t="s">
        <v>1006</v>
      </c>
      <c r="X34" s="577" t="s">
        <v>1006</v>
      </c>
      <c r="Y34" s="573"/>
      <c r="Z34" s="573"/>
      <c r="AA34" s="573"/>
      <c r="AB34" s="573"/>
      <c r="AC34" s="573"/>
      <c r="AD34" s="573"/>
      <c r="AE34" s="573"/>
      <c r="AF34" s="573"/>
      <c r="AG34" s="573"/>
      <c r="AI34">
        <v>3100202277</v>
      </c>
      <c r="AJ34" t="str">
        <f t="shared" si="2"/>
        <v>B1-AX018-5A02-ED1-JZZZZZ-TV1L0-JZZZ-JXXX</v>
      </c>
    </row>
    <row r="35" spans="1:36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Mar 2026'!$A$8:$F$206,6,FALSE)</f>
        <v>Chq Bk</v>
      </c>
      <c r="H35" s="566">
        <v>0</v>
      </c>
      <c r="I35" s="566">
        <v>0</v>
      </c>
      <c r="J35" s="566">
        <v>0</v>
      </c>
      <c r="K35" s="566">
        <v>0</v>
      </c>
      <c r="L35" s="566">
        <v>0</v>
      </c>
      <c r="M35" s="566">
        <f t="shared" si="0"/>
        <v>0</v>
      </c>
      <c r="N35" s="566"/>
      <c r="O35" s="566"/>
      <c r="P35" s="566"/>
      <c r="Q35" s="566"/>
      <c r="R35" s="566"/>
      <c r="S35" s="566"/>
      <c r="T35" s="566">
        <f t="shared" si="1"/>
        <v>0</v>
      </c>
      <c r="V35" s="573" t="s">
        <v>1007</v>
      </c>
      <c r="W35" s="573" t="s">
        <v>1007</v>
      </c>
      <c r="X35" s="573" t="s">
        <v>1007</v>
      </c>
      <c r="Y35" s="573"/>
      <c r="Z35" s="573"/>
      <c r="AA35" s="573"/>
      <c r="AB35" s="573"/>
      <c r="AC35" s="573"/>
      <c r="AD35" s="573"/>
      <c r="AE35" s="573"/>
      <c r="AF35" s="573"/>
      <c r="AG35" s="573"/>
      <c r="AI35">
        <v>3100020471</v>
      </c>
      <c r="AJ35" t="str">
        <f t="shared" si="2"/>
        <v>B1-AX08W-5A02-ED1-JZZZZZ-TV1L0-JZZZ-JXXX</v>
      </c>
    </row>
    <row r="36" spans="1:36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Mar 2026'!$A$8:$F$206,6,FALSE)</f>
        <v>Chq Bk</v>
      </c>
      <c r="H36" s="566">
        <v>0</v>
      </c>
      <c r="I36" s="566">
        <v>0</v>
      </c>
      <c r="J36" s="566">
        <v>0</v>
      </c>
      <c r="K36" s="566">
        <v>0</v>
      </c>
      <c r="L36" s="566">
        <v>0</v>
      </c>
      <c r="M36" s="566">
        <f t="shared" si="0"/>
        <v>0</v>
      </c>
      <c r="N36" s="566"/>
      <c r="O36" s="566"/>
      <c r="P36" s="566"/>
      <c r="Q36" s="566"/>
      <c r="R36" s="566"/>
      <c r="S36" s="566"/>
      <c r="T36" s="566">
        <f t="shared" si="1"/>
        <v>0</v>
      </c>
      <c r="V36" s="573" t="s">
        <v>1007</v>
      </c>
      <c r="W36" s="573" t="s">
        <v>1007</v>
      </c>
      <c r="X36" s="573" t="s">
        <v>1007</v>
      </c>
      <c r="Y36" s="573"/>
      <c r="Z36" s="573"/>
      <c r="AA36" s="573"/>
      <c r="AB36" s="573"/>
      <c r="AC36" s="573"/>
      <c r="AD36" s="573"/>
      <c r="AE36" s="573"/>
      <c r="AF36" s="573"/>
      <c r="AG36" s="573"/>
      <c r="AI36">
        <v>3100205621</v>
      </c>
      <c r="AJ36" t="str">
        <f t="shared" si="2"/>
        <v>B1-AX01A-5A02-ED1-JZZZZZ-TV1L0-JZZZ-JXXX</v>
      </c>
    </row>
    <row r="37" spans="1:36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Mar 2026'!$A$8:$F$206,6,FALSE)</f>
        <v>Chq Bk</v>
      </c>
      <c r="H37" s="566">
        <v>0</v>
      </c>
      <c r="I37" s="566">
        <v>0</v>
      </c>
      <c r="J37" s="566">
        <v>0</v>
      </c>
      <c r="K37" s="566">
        <v>0</v>
      </c>
      <c r="L37" s="566">
        <v>0</v>
      </c>
      <c r="M37" s="566">
        <f t="shared" si="0"/>
        <v>0</v>
      </c>
      <c r="N37" s="566"/>
      <c r="O37" s="566"/>
      <c r="P37" s="566"/>
      <c r="Q37" s="566"/>
      <c r="R37" s="566"/>
      <c r="S37" s="566"/>
      <c r="T37" s="566">
        <f t="shared" si="1"/>
        <v>0</v>
      </c>
      <c r="V37" s="573" t="s">
        <v>1007</v>
      </c>
      <c r="W37" s="573" t="s">
        <v>1007</v>
      </c>
      <c r="X37" s="573" t="s">
        <v>1007</v>
      </c>
      <c r="Y37" s="573"/>
      <c r="Z37" s="573"/>
      <c r="AA37" s="573"/>
      <c r="AB37" s="573"/>
      <c r="AC37" s="573"/>
      <c r="AD37" s="573"/>
      <c r="AE37" s="573"/>
      <c r="AF37" s="573"/>
      <c r="AG37" s="573"/>
      <c r="AI37">
        <v>3100045146</v>
      </c>
      <c r="AJ37" t="str">
        <f t="shared" si="2"/>
        <v>B1-AX019-5A02-ED1-JZZZZZ-TV1L0-JZZZ-JXXX</v>
      </c>
    </row>
    <row r="38" spans="1:36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Mar 2026'!$A$8:$F$206,6,FALSE)</f>
        <v>Chq Bk</v>
      </c>
      <c r="H38" s="828">
        <v>-2248.1699999999983</v>
      </c>
      <c r="I38" s="829">
        <v>23340.85</v>
      </c>
      <c r="J38" s="566">
        <v>-6336.0499999999993</v>
      </c>
      <c r="K38" s="566">
        <v>5890.8700000000026</v>
      </c>
      <c r="L38" s="566">
        <v>4858.67</v>
      </c>
      <c r="M38" s="828">
        <f t="shared" si="0"/>
        <v>4413.4900000000034</v>
      </c>
      <c r="N38" s="566"/>
      <c r="O38" s="566"/>
      <c r="P38" s="566"/>
      <c r="Q38" s="566"/>
      <c r="R38" s="566"/>
      <c r="S38" s="566"/>
      <c r="T38" s="566">
        <f t="shared" si="1"/>
        <v>25506.170000000006</v>
      </c>
      <c r="V38" s="577" t="s">
        <v>1006</v>
      </c>
      <c r="W38" s="577" t="s">
        <v>1006</v>
      </c>
      <c r="X38" s="577" t="s">
        <v>1006</v>
      </c>
      <c r="Y38" s="573"/>
      <c r="Z38" s="573"/>
      <c r="AA38" s="573"/>
      <c r="AB38" s="573"/>
      <c r="AC38" s="573"/>
      <c r="AD38" s="573"/>
      <c r="AE38" s="573"/>
      <c r="AF38" s="573"/>
      <c r="AG38" s="573"/>
      <c r="AI38">
        <v>3100443444</v>
      </c>
      <c r="AJ38" t="str">
        <f t="shared" si="2"/>
        <v>B1-AX073-5A02-ED1-JZZZZZ-TV1L0-JZZZ-JXXX</v>
      </c>
    </row>
    <row r="39" spans="1:36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Mar 2026'!$A$8:$F$206,6,FALSE)</f>
        <v>Chq Bk</v>
      </c>
      <c r="H39" s="828">
        <v>2515.0700000000002</v>
      </c>
      <c r="I39" s="829">
        <v>2057.15</v>
      </c>
      <c r="J39" s="566">
        <v>0</v>
      </c>
      <c r="K39" s="566">
        <v>0</v>
      </c>
      <c r="L39" s="566">
        <v>72</v>
      </c>
      <c r="M39" s="828">
        <f t="shared" si="0"/>
        <v>72</v>
      </c>
      <c r="N39" s="566"/>
      <c r="O39" s="566"/>
      <c r="P39" s="566"/>
      <c r="Q39" s="566"/>
      <c r="R39" s="566"/>
      <c r="S39" s="566"/>
      <c r="T39" s="566">
        <f t="shared" si="1"/>
        <v>4644.22</v>
      </c>
      <c r="V39" s="577" t="s">
        <v>1006</v>
      </c>
      <c r="W39" s="577" t="s">
        <v>1006</v>
      </c>
      <c r="X39" s="577" t="s">
        <v>1006</v>
      </c>
      <c r="Y39" s="573"/>
      <c r="Z39" s="573"/>
      <c r="AA39" s="573"/>
      <c r="AB39" s="573"/>
      <c r="AC39" s="573"/>
      <c r="AD39" s="573"/>
      <c r="AE39" s="573"/>
      <c r="AF39" s="573"/>
      <c r="AG39" s="573"/>
      <c r="AI39">
        <v>3100285399</v>
      </c>
      <c r="AJ39" t="str">
        <f t="shared" si="2"/>
        <v>B1-AX01B-5A02-ED1-JZZZZZ-TV1L0-JZZZ-JXXX</v>
      </c>
    </row>
    <row r="40" spans="1:36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Mar 2026'!$A$8:$F$206,6,FALSE)</f>
        <v>Chq Bk</v>
      </c>
      <c r="H40" s="828">
        <v>183664.74999999997</v>
      </c>
      <c r="I40" s="829">
        <v>162334.94</v>
      </c>
      <c r="J40" s="566">
        <v>159830.42000000001</v>
      </c>
      <c r="K40" s="566">
        <v>131801.48999999996</v>
      </c>
      <c r="L40" s="566">
        <v>1753.5699999999979</v>
      </c>
      <c r="M40" s="828">
        <f t="shared" si="0"/>
        <v>293385.48</v>
      </c>
      <c r="N40" s="566"/>
      <c r="O40" s="566"/>
      <c r="P40" s="566"/>
      <c r="Q40" s="566"/>
      <c r="R40" s="566"/>
      <c r="S40" s="566"/>
      <c r="T40" s="566">
        <f t="shared" si="1"/>
        <v>639385.16999999993</v>
      </c>
      <c r="V40" s="577" t="s">
        <v>1006</v>
      </c>
      <c r="W40" s="577" t="s">
        <v>1006</v>
      </c>
      <c r="X40" s="577" t="s">
        <v>1006</v>
      </c>
      <c r="Y40" s="573"/>
      <c r="Z40" s="573"/>
      <c r="AA40" s="573"/>
      <c r="AB40" s="573"/>
      <c r="AC40" s="573"/>
      <c r="AD40" s="573"/>
      <c r="AE40" s="573"/>
      <c r="AF40" s="573"/>
      <c r="AG40" s="573"/>
      <c r="AI40">
        <v>3100264098</v>
      </c>
      <c r="AJ40" t="str">
        <f t="shared" si="2"/>
        <v>B1-AX01D-5A02-ED1-JZZZZZ-TV1L0-JZZZ-JXXX</v>
      </c>
    </row>
    <row r="41" spans="1:36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Mar 2026'!$A$8:$F$206,6,FALSE)</f>
        <v>Chq Bk</v>
      </c>
      <c r="H41" s="828">
        <v>165925.18</v>
      </c>
      <c r="I41" s="829">
        <v>188900.97000000003</v>
      </c>
      <c r="J41" s="566">
        <v>161068.97000000003</v>
      </c>
      <c r="K41" s="566">
        <v>-1453.5</v>
      </c>
      <c r="L41" s="566">
        <v>0</v>
      </c>
      <c r="M41" s="828">
        <f t="shared" si="0"/>
        <v>159615.47000000003</v>
      </c>
      <c r="N41" s="566"/>
      <c r="O41" s="566"/>
      <c r="P41" s="566"/>
      <c r="Q41" s="566"/>
      <c r="R41" s="566"/>
      <c r="S41" s="566"/>
      <c r="T41" s="566">
        <f t="shared" si="1"/>
        <v>514441.62000000005</v>
      </c>
      <c r="V41" s="577" t="s">
        <v>1006</v>
      </c>
      <c r="W41" s="577" t="s">
        <v>1006</v>
      </c>
      <c r="X41" s="577" t="s">
        <v>1006</v>
      </c>
      <c r="Y41" s="573"/>
      <c r="Z41" s="573"/>
      <c r="AA41" s="573"/>
      <c r="AB41" s="573"/>
      <c r="AC41" s="573"/>
      <c r="AD41" s="573"/>
      <c r="AE41" s="573"/>
      <c r="AF41" s="573"/>
      <c r="AG41" s="573"/>
      <c r="AI41">
        <v>3100017817</v>
      </c>
      <c r="AJ41" t="str">
        <f t="shared" si="2"/>
        <v>B1-AX01E-5A02-ED1-JZZZZZ-TV1L0-JZZZ-JXXX</v>
      </c>
    </row>
    <row r="42" spans="1:36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Mar 2026'!$A$8:$F$206,6,FALSE)</f>
        <v>Chq Bk</v>
      </c>
      <c r="H42" s="566">
        <v>0</v>
      </c>
      <c r="I42" s="566">
        <v>0</v>
      </c>
      <c r="J42" s="566">
        <v>0</v>
      </c>
      <c r="K42" s="566">
        <v>0</v>
      </c>
      <c r="L42" s="566">
        <v>0</v>
      </c>
      <c r="M42" s="566">
        <f t="shared" si="0"/>
        <v>0</v>
      </c>
      <c r="N42" s="566"/>
      <c r="O42" s="566"/>
      <c r="P42" s="566"/>
      <c r="Q42" s="566"/>
      <c r="R42" s="566"/>
      <c r="S42" s="566"/>
      <c r="T42" s="566">
        <f t="shared" si="1"/>
        <v>0</v>
      </c>
      <c r="V42" s="573" t="s">
        <v>1007</v>
      </c>
      <c r="W42" s="573" t="s">
        <v>1007</v>
      </c>
      <c r="X42" s="573" t="s">
        <v>1007</v>
      </c>
      <c r="Y42" s="573"/>
      <c r="Z42" s="573"/>
      <c r="AA42" s="573"/>
      <c r="AB42" s="573"/>
      <c r="AC42" s="573"/>
      <c r="AD42" s="573"/>
      <c r="AE42" s="573"/>
      <c r="AF42" s="573"/>
      <c r="AG42" s="573"/>
      <c r="AI42">
        <v>3100236218</v>
      </c>
      <c r="AJ42" t="str">
        <f t="shared" si="2"/>
        <v>B1-AX091-5A02-ED1-JZZZZZ-TV1L0-JZZZ-JXXX</v>
      </c>
    </row>
    <row r="43" spans="1:36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Mar 2026'!$A$8:$F$206,6,FALSE)</f>
        <v>Chq Bk</v>
      </c>
      <c r="H43" s="566">
        <v>0</v>
      </c>
      <c r="I43" s="566">
        <v>0</v>
      </c>
      <c r="J43" s="566">
        <v>0</v>
      </c>
      <c r="K43" s="566">
        <v>0</v>
      </c>
      <c r="L43" s="566">
        <v>0</v>
      </c>
      <c r="M43" s="566">
        <f t="shared" si="0"/>
        <v>0</v>
      </c>
      <c r="N43" s="566"/>
      <c r="O43" s="566"/>
      <c r="P43" s="566"/>
      <c r="Q43" s="566"/>
      <c r="R43" s="566"/>
      <c r="S43" s="566"/>
      <c r="T43" s="566">
        <f t="shared" si="1"/>
        <v>0</v>
      </c>
      <c r="V43" s="573" t="s">
        <v>1007</v>
      </c>
      <c r="W43" s="573" t="s">
        <v>1007</v>
      </c>
      <c r="X43" s="573" t="s">
        <v>1007</v>
      </c>
      <c r="Y43" s="573"/>
      <c r="Z43" s="573"/>
      <c r="AA43" s="573"/>
      <c r="AB43" s="573"/>
      <c r="AC43" s="573"/>
      <c r="AD43" s="573"/>
      <c r="AE43" s="573"/>
      <c r="AF43" s="573"/>
      <c r="AG43" s="573"/>
      <c r="AI43">
        <v>3100021254</v>
      </c>
      <c r="AJ43" t="str">
        <f t="shared" si="2"/>
        <v>B1-AX092-5A02-ED1-JZZZZZ-TV1L0-JZZZ-JXXX</v>
      </c>
    </row>
    <row r="44" spans="1:36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Mar 2026'!$A$8:$F$206,6,FALSE)</f>
        <v>Chq Bk</v>
      </c>
      <c r="H44" s="566">
        <v>0</v>
      </c>
      <c r="I44" s="566">
        <v>0</v>
      </c>
      <c r="J44" s="566">
        <v>0</v>
      </c>
      <c r="K44" s="566">
        <v>0</v>
      </c>
      <c r="L44" s="566">
        <v>0</v>
      </c>
      <c r="M44" s="566">
        <f t="shared" si="0"/>
        <v>0</v>
      </c>
      <c r="N44" s="566"/>
      <c r="O44" s="566"/>
      <c r="P44" s="566"/>
      <c r="Q44" s="566"/>
      <c r="R44" s="566"/>
      <c r="S44" s="566"/>
      <c r="T44" s="566">
        <f t="shared" si="1"/>
        <v>0</v>
      </c>
      <c r="V44" s="573" t="s">
        <v>1007</v>
      </c>
      <c r="W44" s="573" t="s">
        <v>1007</v>
      </c>
      <c r="X44" s="573" t="s">
        <v>1007</v>
      </c>
      <c r="Y44" s="573"/>
      <c r="Z44" s="573"/>
      <c r="AA44" s="573"/>
      <c r="AB44" s="573"/>
      <c r="AC44" s="573"/>
      <c r="AD44" s="573"/>
      <c r="AE44" s="573"/>
      <c r="AF44" s="573"/>
      <c r="AG44" s="573"/>
      <c r="AI44">
        <v>3100023149</v>
      </c>
      <c r="AJ44" t="str">
        <f t="shared" si="2"/>
        <v>B1-AX093-5A02-ED1-JZZZZZ-TV1L0-JZZZ-JXXX</v>
      </c>
    </row>
    <row r="45" spans="1:36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Mar 2026'!$A$8:$F$206,6,FALSE)</f>
        <v>Chq Bk</v>
      </c>
      <c r="H45" s="828">
        <v>186677.87000000002</v>
      </c>
      <c r="I45" s="828">
        <v>-383.3599999999999</v>
      </c>
      <c r="J45" s="566">
        <v>5058.96</v>
      </c>
      <c r="K45" s="566">
        <v>2886.6</v>
      </c>
      <c r="L45" s="566">
        <v>2829.67</v>
      </c>
      <c r="M45" s="828">
        <f t="shared" si="0"/>
        <v>10775.23</v>
      </c>
      <c r="N45" s="566"/>
      <c r="O45" s="566"/>
      <c r="P45" s="566"/>
      <c r="Q45" s="566"/>
      <c r="R45" s="566"/>
      <c r="S45" s="566"/>
      <c r="T45" s="566">
        <f t="shared" si="1"/>
        <v>197069.74000000005</v>
      </c>
      <c r="V45" s="577" t="s">
        <v>1006</v>
      </c>
      <c r="W45" s="577" t="s">
        <v>1006</v>
      </c>
      <c r="X45" s="577" t="s">
        <v>1006</v>
      </c>
      <c r="Y45" s="573"/>
      <c r="Z45" s="573"/>
      <c r="AA45" s="573"/>
      <c r="AB45" s="573"/>
      <c r="AC45" s="573"/>
      <c r="AD45" s="573"/>
      <c r="AE45" s="573"/>
      <c r="AF45" s="573"/>
      <c r="AG45" s="573"/>
      <c r="AI45">
        <v>3100038972</v>
      </c>
      <c r="AJ45" t="str">
        <f t="shared" si="2"/>
        <v>B1-AX01H-5A02-ED1-JZZZZZ-TV1L0-JZZZ-JXXX</v>
      </c>
    </row>
    <row r="46" spans="1:36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Mar 2026'!$A$8:$F$206,6,FALSE)</f>
        <v>Chq Bk</v>
      </c>
      <c r="H46" s="566">
        <v>0</v>
      </c>
      <c r="I46" s="566">
        <v>0</v>
      </c>
      <c r="J46" s="566">
        <v>0</v>
      </c>
      <c r="K46" s="566">
        <v>0</v>
      </c>
      <c r="L46" s="566">
        <v>0</v>
      </c>
      <c r="M46" s="566">
        <f t="shared" si="0"/>
        <v>0</v>
      </c>
      <c r="N46" s="566"/>
      <c r="O46" s="566"/>
      <c r="P46" s="566"/>
      <c r="Q46" s="566"/>
      <c r="R46" s="566"/>
      <c r="S46" s="566"/>
      <c r="T46" s="566">
        <f t="shared" si="1"/>
        <v>0</v>
      </c>
      <c r="V46" s="573" t="s">
        <v>1007</v>
      </c>
      <c r="W46" s="573" t="s">
        <v>1007</v>
      </c>
      <c r="X46" s="573" t="s">
        <v>1007</v>
      </c>
      <c r="Y46" s="573"/>
      <c r="Z46" s="573"/>
      <c r="AA46" s="573"/>
      <c r="AB46" s="573"/>
      <c r="AC46" s="573"/>
      <c r="AD46" s="573"/>
      <c r="AE46" s="573"/>
      <c r="AF46" s="573"/>
      <c r="AG46" s="573"/>
      <c r="AI46">
        <v>3100468489</v>
      </c>
      <c r="AJ46" t="str">
        <f t="shared" si="2"/>
        <v>B1-AX01J-5A02-ED1-JZZZZZ-TV1L0-JZZZ-JXXX</v>
      </c>
    </row>
    <row r="47" spans="1:36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Mar 2026'!$A$8:$F$206,6,FALSE)</f>
        <v>Chq Bk</v>
      </c>
      <c r="H47" s="828">
        <v>1960.4399999999996</v>
      </c>
      <c r="I47" s="829">
        <v>2.7799999999997453</v>
      </c>
      <c r="J47" s="566">
        <v>826.59</v>
      </c>
      <c r="K47" s="566">
        <v>808.45</v>
      </c>
      <c r="L47" s="566">
        <v>1586.96</v>
      </c>
      <c r="M47" s="828">
        <f t="shared" si="0"/>
        <v>3222</v>
      </c>
      <c r="N47" s="566"/>
      <c r="O47" s="566"/>
      <c r="P47" s="566"/>
      <c r="Q47" s="566"/>
      <c r="R47" s="566"/>
      <c r="S47" s="566"/>
      <c r="T47" s="566">
        <f t="shared" si="1"/>
        <v>5185.2199999999993</v>
      </c>
      <c r="V47" s="577" t="s">
        <v>1006</v>
      </c>
      <c r="W47" s="577" t="s">
        <v>1006</v>
      </c>
      <c r="X47" s="577" t="s">
        <v>1006</v>
      </c>
      <c r="Y47" s="573"/>
      <c r="Z47" s="573"/>
      <c r="AA47" s="573"/>
      <c r="AB47" s="573"/>
      <c r="AC47" s="573"/>
      <c r="AD47" s="573"/>
      <c r="AE47" s="573"/>
      <c r="AF47" s="573"/>
      <c r="AG47" s="573"/>
      <c r="AI47">
        <v>3100608568</v>
      </c>
      <c r="AJ47" t="str">
        <f t="shared" si="2"/>
        <v>B1-AX01R-5A02-ED1-JZZZZZ-TV1L0-JZZZ-JXXX</v>
      </c>
    </row>
    <row r="48" spans="1:36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Mar 2026'!$A$8:$F$206,6,FALSE)</f>
        <v>Chq Bk</v>
      </c>
      <c r="H48" s="828">
        <v>148952.61000000007</v>
      </c>
      <c r="I48" s="829">
        <v>144373.88000000003</v>
      </c>
      <c r="J48" s="566">
        <v>141803.26000000007</v>
      </c>
      <c r="K48" s="566">
        <v>144263.77000000005</v>
      </c>
      <c r="L48" s="566">
        <v>154946.83000000005</v>
      </c>
      <c r="M48" s="828">
        <f t="shared" si="0"/>
        <v>441013.86000000022</v>
      </c>
      <c r="N48" s="566"/>
      <c r="O48" s="566"/>
      <c r="P48" s="566"/>
      <c r="Q48" s="566"/>
      <c r="R48" s="566"/>
      <c r="S48" s="566"/>
      <c r="T48" s="566">
        <f t="shared" si="1"/>
        <v>734340.35000000033</v>
      </c>
      <c r="V48" s="577" t="s">
        <v>1006</v>
      </c>
      <c r="W48" s="577" t="s">
        <v>1006</v>
      </c>
      <c r="X48" s="577" t="s">
        <v>1006</v>
      </c>
      <c r="Y48" s="573"/>
      <c r="Z48" s="573"/>
      <c r="AA48" s="573"/>
      <c r="AB48" s="573"/>
      <c r="AC48" s="573"/>
      <c r="AD48" s="573"/>
      <c r="AE48" s="573"/>
      <c r="AF48" s="573"/>
      <c r="AG48" s="573"/>
      <c r="AI48">
        <v>3100612442</v>
      </c>
      <c r="AJ48" t="str">
        <f t="shared" si="2"/>
        <v>B1-AX01T-5A02-ED1-JZZZZZ-TV1L0-JZZZ-JXXX</v>
      </c>
    </row>
    <row r="49" spans="1:36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Mar 2026'!$A$8:$F$206,6,FALSE)</f>
        <v>Chq Bk</v>
      </c>
      <c r="H49" s="828">
        <v>2309.4299999999998</v>
      </c>
      <c r="I49" s="828">
        <v>-19518.28</v>
      </c>
      <c r="J49" s="566">
        <v>292.7</v>
      </c>
      <c r="K49" s="566">
        <v>223.91</v>
      </c>
      <c r="L49" s="566">
        <v>205.77</v>
      </c>
      <c r="M49" s="828">
        <f t="shared" si="0"/>
        <v>722.38</v>
      </c>
      <c r="N49" s="566"/>
      <c r="O49" s="566"/>
      <c r="P49" s="566"/>
      <c r="Q49" s="566"/>
      <c r="R49" s="566"/>
      <c r="S49" s="566"/>
      <c r="T49" s="566">
        <f t="shared" si="1"/>
        <v>-16486.469999999998</v>
      </c>
      <c r="V49" s="577" t="s">
        <v>1006</v>
      </c>
      <c r="W49" s="577" t="s">
        <v>1006</v>
      </c>
      <c r="X49" s="577" t="s">
        <v>1006</v>
      </c>
      <c r="Y49" s="573"/>
      <c r="Z49" s="573"/>
      <c r="AA49" s="573"/>
      <c r="AB49" s="573"/>
      <c r="AC49" s="573"/>
      <c r="AD49" s="573"/>
      <c r="AE49" s="573"/>
      <c r="AF49" s="573"/>
      <c r="AG49" s="573"/>
      <c r="AI49">
        <v>3100201847</v>
      </c>
      <c r="AJ49" t="str">
        <f t="shared" si="2"/>
        <v>B1-AX01X-5A02-ED1-JZZZZZ-TV1L0-JZZZ-JXXX</v>
      </c>
    </row>
    <row r="50" spans="1:36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Mar 2026'!$A$8:$F$206,6,FALSE)</f>
        <v>Chq Bk</v>
      </c>
      <c r="H50" s="828">
        <v>5081.04</v>
      </c>
      <c r="I50" s="829">
        <v>3551.18</v>
      </c>
      <c r="J50" s="566">
        <v>-788.01</v>
      </c>
      <c r="K50" s="566">
        <v>3061.2999999999997</v>
      </c>
      <c r="L50" s="566">
        <v>5136</v>
      </c>
      <c r="M50" s="828">
        <f t="shared" si="0"/>
        <v>7409.29</v>
      </c>
      <c r="N50" s="566"/>
      <c r="O50" s="566"/>
      <c r="P50" s="566"/>
      <c r="Q50" s="566"/>
      <c r="R50" s="566"/>
      <c r="S50" s="566"/>
      <c r="T50" s="566">
        <f t="shared" si="1"/>
        <v>16041.509999999998</v>
      </c>
      <c r="V50" s="577" t="s">
        <v>1006</v>
      </c>
      <c r="W50" s="577" t="s">
        <v>1006</v>
      </c>
      <c r="X50" s="577" t="s">
        <v>1006</v>
      </c>
      <c r="Y50" s="573"/>
      <c r="Z50" s="573"/>
      <c r="AA50" s="573"/>
      <c r="AB50" s="573"/>
      <c r="AC50" s="573"/>
      <c r="AD50" s="573"/>
      <c r="AE50" s="573"/>
      <c r="AF50" s="573"/>
      <c r="AG50" s="573"/>
      <c r="AI50">
        <v>3100201848</v>
      </c>
      <c r="AJ50" t="str">
        <f t="shared" si="2"/>
        <v>B1-AX01W-5A02-ED1-JZZZZZ-TV1L0-JZZZ-JXXX</v>
      </c>
    </row>
    <row r="51" spans="1:36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Mar 2026'!$A$8:$F$206,6,FALSE)</f>
        <v>Chq Bk</v>
      </c>
      <c r="H51" s="566">
        <v>0</v>
      </c>
      <c r="I51" s="566">
        <v>0</v>
      </c>
      <c r="J51" s="566">
        <v>0</v>
      </c>
      <c r="K51" s="566">
        <v>0</v>
      </c>
      <c r="L51" s="566">
        <v>0</v>
      </c>
      <c r="M51" s="566">
        <f t="shared" si="0"/>
        <v>0</v>
      </c>
      <c r="N51" s="566"/>
      <c r="O51" s="566"/>
      <c r="P51" s="566"/>
      <c r="Q51" s="566"/>
      <c r="R51" s="566"/>
      <c r="S51" s="566"/>
      <c r="T51" s="566">
        <f t="shared" si="1"/>
        <v>0</v>
      </c>
      <c r="V51" s="573" t="s">
        <v>1007</v>
      </c>
      <c r="W51" s="573" t="s">
        <v>1007</v>
      </c>
      <c r="X51" s="573" t="s">
        <v>1007</v>
      </c>
      <c r="Y51" s="573"/>
      <c r="Z51" s="573"/>
      <c r="AA51" s="573"/>
      <c r="AB51" s="573"/>
      <c r="AC51" s="573"/>
      <c r="AD51" s="573"/>
      <c r="AE51" s="573"/>
      <c r="AF51" s="573"/>
      <c r="AG51" s="573"/>
      <c r="AI51">
        <v>3100052124</v>
      </c>
      <c r="AJ51" t="str">
        <f t="shared" si="2"/>
        <v>B1-AX01Z-5A02-ED1-JZZZZZ-TV1L0-JZZZ-JXXX</v>
      </c>
    </row>
    <row r="52" spans="1:36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Mar 2026'!$A$8:$F$206,6,FALSE)</f>
        <v>Chq Bk</v>
      </c>
      <c r="H52" s="828">
        <v>186238.13000000003</v>
      </c>
      <c r="I52" s="828">
        <v>-666</v>
      </c>
      <c r="J52" s="566">
        <v>140.13</v>
      </c>
      <c r="K52" s="566">
        <v>-196.29</v>
      </c>
      <c r="L52" s="566">
        <v>0</v>
      </c>
      <c r="M52" s="566">
        <f t="shared" si="0"/>
        <v>-56.16</v>
      </c>
      <c r="N52" s="566"/>
      <c r="O52" s="566"/>
      <c r="P52" s="566"/>
      <c r="Q52" s="566"/>
      <c r="R52" s="566"/>
      <c r="S52" s="566"/>
      <c r="T52" s="566">
        <f t="shared" si="1"/>
        <v>185515.97000000003</v>
      </c>
      <c r="V52" s="577" t="s">
        <v>1006</v>
      </c>
      <c r="W52" s="577" t="s">
        <v>1006</v>
      </c>
      <c r="X52" s="577" t="s">
        <v>1006</v>
      </c>
      <c r="Y52" s="573"/>
      <c r="Z52" s="573"/>
      <c r="AA52" s="573"/>
      <c r="AB52" s="573"/>
      <c r="AC52" s="573"/>
      <c r="AD52" s="573"/>
      <c r="AE52" s="573"/>
      <c r="AF52" s="573"/>
      <c r="AG52" s="573"/>
      <c r="AI52">
        <v>3100201889</v>
      </c>
      <c r="AJ52" t="str">
        <f t="shared" si="2"/>
        <v>B1-AX020-5A02-ED1-JZZZZZ-TV1L0-JZZZ-JXXX</v>
      </c>
    </row>
    <row r="53" spans="1:36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Mar 2026'!$A$8:$F$206,6,FALSE)</f>
        <v>Chq Bk</v>
      </c>
      <c r="H53" s="566">
        <v>0</v>
      </c>
      <c r="I53" s="828">
        <v>-58545.19</v>
      </c>
      <c r="J53" s="566">
        <v>0</v>
      </c>
      <c r="K53" s="566">
        <v>-30334.55</v>
      </c>
      <c r="L53" s="566">
        <v>87379.74</v>
      </c>
      <c r="M53" s="828">
        <f t="shared" si="0"/>
        <v>57045.19</v>
      </c>
      <c r="N53" s="566"/>
      <c r="O53" s="566"/>
      <c r="P53" s="566"/>
      <c r="Q53" s="566"/>
      <c r="R53" s="566"/>
      <c r="S53" s="566"/>
      <c r="T53" s="566">
        <f t="shared" si="1"/>
        <v>-1500</v>
      </c>
      <c r="V53" s="573" t="s">
        <v>1007</v>
      </c>
      <c r="W53" s="577" t="s">
        <v>1006</v>
      </c>
      <c r="X53" s="577" t="s">
        <v>1006</v>
      </c>
      <c r="Y53" s="573"/>
      <c r="Z53" s="573"/>
      <c r="AA53" s="573"/>
      <c r="AB53" s="573"/>
      <c r="AC53" s="573"/>
      <c r="AD53" s="573"/>
      <c r="AE53" s="573"/>
      <c r="AF53" s="573"/>
      <c r="AG53" s="573"/>
      <c r="AI53">
        <v>3100610508</v>
      </c>
      <c r="AJ53" t="str">
        <f t="shared" si="2"/>
        <v>B1-AX021-5A02-ED1-JZZZZZ-TV1L0-JZZZ-JXXX</v>
      </c>
    </row>
    <row r="54" spans="1:36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Mar 2026'!$A$8:$F$206,6,FALSE)</f>
        <v>Chq Bk</v>
      </c>
      <c r="H54" s="828">
        <v>1231.47</v>
      </c>
      <c r="I54" s="829">
        <v>479.65999999999997</v>
      </c>
      <c r="J54" s="566">
        <v>515.42999999999995</v>
      </c>
      <c r="K54" s="566">
        <v>480.28</v>
      </c>
      <c r="L54" s="566">
        <v>464.1</v>
      </c>
      <c r="M54" s="828">
        <f t="shared" si="0"/>
        <v>1459.81</v>
      </c>
      <c r="N54" s="566"/>
      <c r="O54" s="566"/>
      <c r="P54" s="566"/>
      <c r="Q54" s="566"/>
      <c r="R54" s="566"/>
      <c r="S54" s="566"/>
      <c r="T54" s="566">
        <f t="shared" si="1"/>
        <v>3170.94</v>
      </c>
      <c r="V54" s="577" t="s">
        <v>1006</v>
      </c>
      <c r="W54" s="577" t="s">
        <v>1006</v>
      </c>
      <c r="X54" s="577" t="s">
        <v>1006</v>
      </c>
      <c r="Y54" s="573"/>
      <c r="Z54" s="573"/>
      <c r="AA54" s="573"/>
      <c r="AB54" s="573"/>
      <c r="AC54" s="573"/>
      <c r="AD54" s="573"/>
      <c r="AE54" s="573"/>
      <c r="AF54" s="573"/>
      <c r="AG54" s="573"/>
      <c r="AI54">
        <v>3100612443</v>
      </c>
      <c r="AJ54" t="str">
        <f t="shared" si="2"/>
        <v>B1-AX023-5A02-ED1-JZZZZZ-TV1L0-JZZZ-JXXX</v>
      </c>
    </row>
    <row r="55" spans="1:36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Mar 2026'!$A$8:$F$206,6,FALSE)</f>
        <v>Chq Bk</v>
      </c>
      <c r="H55" s="828">
        <v>160199.94000000009</v>
      </c>
      <c r="I55" s="829">
        <v>162285.79000000007</v>
      </c>
      <c r="J55" s="566">
        <v>2465.66</v>
      </c>
      <c r="K55" s="566">
        <v>-12251.630000000001</v>
      </c>
      <c r="L55" s="566">
        <v>14629.44</v>
      </c>
      <c r="M55" s="828">
        <f t="shared" si="0"/>
        <v>4843.4699999999993</v>
      </c>
      <c r="N55" s="566"/>
      <c r="O55" s="566"/>
      <c r="P55" s="566"/>
      <c r="Q55" s="566"/>
      <c r="R55" s="566"/>
      <c r="S55" s="566"/>
      <c r="T55" s="566">
        <f t="shared" si="1"/>
        <v>327329.20000000013</v>
      </c>
      <c r="V55" s="577" t="s">
        <v>1006</v>
      </c>
      <c r="W55" s="577" t="s">
        <v>1006</v>
      </c>
      <c r="X55" s="577" t="s">
        <v>1006</v>
      </c>
      <c r="Y55" s="573"/>
      <c r="Z55" s="573"/>
      <c r="AA55" s="573"/>
      <c r="AB55" s="573"/>
      <c r="AC55" s="573"/>
      <c r="AD55" s="573"/>
      <c r="AE55" s="573"/>
      <c r="AF55" s="573"/>
      <c r="AG55" s="573"/>
      <c r="AI55">
        <v>3100610513</v>
      </c>
      <c r="AJ55" t="str">
        <f t="shared" si="2"/>
        <v>B1-AX026-5A02-ED1-JZZZZZ-TV1L0-JZZZ-JXXX</v>
      </c>
    </row>
    <row r="56" spans="1:36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Mar 2026'!$A$8:$F$206,6,FALSE)</f>
        <v>Chq bk</v>
      </c>
      <c r="H56" s="566">
        <v>0</v>
      </c>
      <c r="I56" s="566">
        <v>0</v>
      </c>
      <c r="J56" s="566">
        <v>0</v>
      </c>
      <c r="K56" s="566">
        <v>0</v>
      </c>
      <c r="L56" s="566">
        <v>0</v>
      </c>
      <c r="M56" s="566">
        <f t="shared" si="0"/>
        <v>0</v>
      </c>
      <c r="N56" s="566"/>
      <c r="O56" s="566"/>
      <c r="P56" s="566"/>
      <c r="Q56" s="566"/>
      <c r="R56" s="566"/>
      <c r="S56" s="566"/>
      <c r="T56" s="566">
        <f t="shared" si="1"/>
        <v>0</v>
      </c>
      <c r="V56" s="573" t="s">
        <v>1007</v>
      </c>
      <c r="W56" s="573" t="s">
        <v>1007</v>
      </c>
      <c r="X56" s="573" t="s">
        <v>1007</v>
      </c>
      <c r="Y56" s="573"/>
      <c r="Z56" s="573"/>
      <c r="AA56" s="573"/>
      <c r="AB56" s="573"/>
      <c r="AC56" s="573"/>
      <c r="AD56" s="573"/>
      <c r="AE56" s="573"/>
      <c r="AF56" s="573"/>
      <c r="AG56" s="573"/>
      <c r="AI56">
        <v>3100293186</v>
      </c>
      <c r="AJ56" t="str">
        <f t="shared" si="2"/>
        <v>B1-AX027-5A02-ED1-JZZZZZ-TV1L0-JZZZ-JXXX</v>
      </c>
    </row>
    <row r="57" spans="1:36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Mar 2026'!$A$8:$F$206,6,FALSE)</f>
        <v>Chq Bk</v>
      </c>
      <c r="H57" s="828">
        <v>101.41</v>
      </c>
      <c r="I57" s="566">
        <v>0</v>
      </c>
      <c r="J57" s="566">
        <v>-945</v>
      </c>
      <c r="K57" s="566">
        <v>0</v>
      </c>
      <c r="L57" s="566">
        <v>0</v>
      </c>
      <c r="M57" s="566">
        <f t="shared" si="0"/>
        <v>-945</v>
      </c>
      <c r="N57" s="566"/>
      <c r="O57" s="566"/>
      <c r="P57" s="566"/>
      <c r="Q57" s="566"/>
      <c r="R57" s="566"/>
      <c r="S57" s="566"/>
      <c r="T57" s="566">
        <f t="shared" si="1"/>
        <v>-843.59</v>
      </c>
      <c r="V57" s="577" t="s">
        <v>1006</v>
      </c>
      <c r="W57" s="573" t="s">
        <v>1007</v>
      </c>
      <c r="X57" s="577" t="s">
        <v>1006</v>
      </c>
      <c r="Y57" s="573"/>
      <c r="Z57" s="573"/>
      <c r="AA57" s="573"/>
      <c r="AB57" s="573"/>
      <c r="AC57" s="573"/>
      <c r="AD57" s="573"/>
      <c r="AE57" s="573"/>
      <c r="AF57" s="573"/>
      <c r="AG57" s="573"/>
      <c r="AI57">
        <v>3100620480</v>
      </c>
      <c r="AJ57" t="str">
        <f t="shared" si="2"/>
        <v>B1-AX028-5A02-ED1-JZZZZZ-TV1L0-JZZZ-JXXX</v>
      </c>
    </row>
    <row r="58" spans="1:36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Mar 2026'!$A$8:$F$206,6,FALSE)</f>
        <v>Chq Bk</v>
      </c>
      <c r="H58" s="828">
        <v>26203.080000000005</v>
      </c>
      <c r="I58" s="829">
        <v>27502.210000000003</v>
      </c>
      <c r="J58" s="566">
        <v>592.64</v>
      </c>
      <c r="K58" s="566">
        <v>366.40999999999997</v>
      </c>
      <c r="L58" s="566">
        <v>625.54</v>
      </c>
      <c r="M58" s="828">
        <f t="shared" si="0"/>
        <v>1584.59</v>
      </c>
      <c r="N58" s="566"/>
      <c r="O58" s="566"/>
      <c r="P58" s="566"/>
      <c r="Q58" s="566"/>
      <c r="R58" s="566"/>
      <c r="S58" s="566"/>
      <c r="T58" s="566">
        <f t="shared" si="1"/>
        <v>55289.880000000005</v>
      </c>
      <c r="V58" s="577" t="s">
        <v>1006</v>
      </c>
      <c r="W58" s="577" t="s">
        <v>1006</v>
      </c>
      <c r="X58" s="577" t="s">
        <v>1006</v>
      </c>
      <c r="Y58" s="573"/>
      <c r="Z58" s="573"/>
      <c r="AA58" s="573"/>
      <c r="AB58" s="573"/>
      <c r="AC58" s="573"/>
      <c r="AD58" s="573"/>
      <c r="AE58" s="573"/>
      <c r="AF58" s="573"/>
      <c r="AG58" s="573"/>
      <c r="AI58">
        <v>3100218370</v>
      </c>
      <c r="AJ58" t="str">
        <f t="shared" si="2"/>
        <v>B1-AX029-5A02-ED1-JZZZZZ-TV1L0-JZZZ-JXXX</v>
      </c>
    </row>
    <row r="59" spans="1:36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Mar 2026'!$A$8:$F$206,6,FALSE)</f>
        <v>Chq Bk</v>
      </c>
      <c r="H59" s="828">
        <v>179153.41</v>
      </c>
      <c r="I59" s="829">
        <v>179989.53</v>
      </c>
      <c r="J59" s="566">
        <v>174771.49</v>
      </c>
      <c r="K59" s="566">
        <v>171952.38</v>
      </c>
      <c r="L59" s="566">
        <v>183283.22</v>
      </c>
      <c r="M59" s="828">
        <f t="shared" si="0"/>
        <v>530007.09</v>
      </c>
      <c r="N59" s="566"/>
      <c r="O59" s="566"/>
      <c r="P59" s="566"/>
      <c r="Q59" s="566"/>
      <c r="R59" s="566"/>
      <c r="S59" s="566"/>
      <c r="T59" s="566">
        <f t="shared" si="1"/>
        <v>889150.03</v>
      </c>
      <c r="V59" s="577" t="s">
        <v>1006</v>
      </c>
      <c r="W59" s="577" t="s">
        <v>1006</v>
      </c>
      <c r="X59" s="577" t="s">
        <v>1006</v>
      </c>
      <c r="Y59" s="573"/>
      <c r="Z59" s="573"/>
      <c r="AA59" s="573"/>
      <c r="AB59" s="573"/>
      <c r="AC59" s="573"/>
      <c r="AD59" s="573"/>
      <c r="AE59" s="573"/>
      <c r="AF59" s="573"/>
      <c r="AG59" s="573"/>
      <c r="AI59">
        <v>3100612521</v>
      </c>
      <c r="AJ59" t="str">
        <f t="shared" si="2"/>
        <v>B1-AX02C-5A02-ED1-JZZZZZ-TV1L0-JZZZ-JXXX</v>
      </c>
    </row>
    <row r="60" spans="1:36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Mar 2026'!$A$8:$F$206,6,FALSE)</f>
        <v>Chq Bk</v>
      </c>
      <c r="H60" s="828">
        <v>268445.53000000003</v>
      </c>
      <c r="I60" s="829">
        <v>264789.06999999995</v>
      </c>
      <c r="J60" s="566">
        <v>260701.55000000008</v>
      </c>
      <c r="K60" s="566">
        <v>264336.55000000005</v>
      </c>
      <c r="L60" s="566">
        <v>281378.6700000001</v>
      </c>
      <c r="M60" s="828">
        <f t="shared" si="0"/>
        <v>806416.77000000025</v>
      </c>
      <c r="N60" s="566"/>
      <c r="O60" s="566"/>
      <c r="P60" s="566"/>
      <c r="Q60" s="566"/>
      <c r="R60" s="566"/>
      <c r="S60" s="566"/>
      <c r="T60" s="566">
        <f t="shared" si="1"/>
        <v>1339651.3700000001</v>
      </c>
      <c r="V60" s="577" t="s">
        <v>1006</v>
      </c>
      <c r="W60" s="577" t="s">
        <v>1006</v>
      </c>
      <c r="X60" s="577" t="s">
        <v>1006</v>
      </c>
      <c r="Y60" s="573"/>
      <c r="Z60" s="573"/>
      <c r="AA60" s="573"/>
      <c r="AB60" s="573"/>
      <c r="AC60" s="573"/>
      <c r="AD60" s="573"/>
      <c r="AE60" s="573"/>
      <c r="AF60" s="573"/>
      <c r="AG60" s="573"/>
      <c r="AI60">
        <v>3100046970</v>
      </c>
      <c r="AJ60" t="str">
        <f t="shared" si="2"/>
        <v>B1-AX02D-5A02-ED1-JZZZZZ-TV1L0-JZZZ-JXXX</v>
      </c>
    </row>
    <row r="61" spans="1:36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Mar 2026'!$A$8:$F$206,6,FALSE)</f>
        <v>Chq Bk</v>
      </c>
      <c r="H61" s="828">
        <v>421.25000000000006</v>
      </c>
      <c r="I61" s="829">
        <v>1342.73</v>
      </c>
      <c r="J61" s="566">
        <v>462.88</v>
      </c>
      <c r="K61" s="566">
        <v>-892.8</v>
      </c>
      <c r="L61" s="566">
        <v>0</v>
      </c>
      <c r="M61" s="566">
        <f t="shared" si="0"/>
        <v>-429.91999999999996</v>
      </c>
      <c r="N61" s="566"/>
      <c r="O61" s="566"/>
      <c r="P61" s="566"/>
      <c r="Q61" s="566"/>
      <c r="R61" s="566"/>
      <c r="S61" s="566"/>
      <c r="T61" s="566">
        <f t="shared" si="1"/>
        <v>1334.06</v>
      </c>
      <c r="V61" s="577" t="s">
        <v>1006</v>
      </c>
      <c r="W61" s="577" t="s">
        <v>1006</v>
      </c>
      <c r="X61" s="577" t="s">
        <v>1006</v>
      </c>
      <c r="Y61" s="573"/>
      <c r="Z61" s="573"/>
      <c r="AA61" s="573"/>
      <c r="AB61" s="573"/>
      <c r="AC61" s="573"/>
      <c r="AD61" s="573"/>
      <c r="AE61" s="573"/>
      <c r="AF61" s="573"/>
      <c r="AG61" s="573"/>
      <c r="AI61">
        <v>3100049872</v>
      </c>
      <c r="AJ61" t="str">
        <f t="shared" si="2"/>
        <v>B1-AX02G-5A02-ED1-JZZZZZ-TV1L0-JZZZ-JXXX</v>
      </c>
    </row>
    <row r="62" spans="1:36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Mar 2026'!$A$8:$F$206,6,FALSE)</f>
        <v>Chq Bk</v>
      </c>
      <c r="H62" s="566">
        <v>0</v>
      </c>
      <c r="I62" s="566">
        <v>0</v>
      </c>
      <c r="J62" s="566">
        <v>0</v>
      </c>
      <c r="K62" s="566">
        <v>0</v>
      </c>
      <c r="L62" s="566">
        <v>0</v>
      </c>
      <c r="M62" s="566">
        <f t="shared" si="0"/>
        <v>0</v>
      </c>
      <c r="N62" s="566"/>
      <c r="O62" s="566"/>
      <c r="P62" s="566"/>
      <c r="Q62" s="566"/>
      <c r="R62" s="566"/>
      <c r="S62" s="566"/>
      <c r="T62" s="566">
        <f t="shared" si="1"/>
        <v>0</v>
      </c>
      <c r="V62" s="573" t="s">
        <v>1007</v>
      </c>
      <c r="W62" s="573" t="s">
        <v>1007</v>
      </c>
      <c r="X62" s="573" t="s">
        <v>1007</v>
      </c>
      <c r="Y62" s="573"/>
      <c r="Z62" s="573"/>
      <c r="AA62" s="573"/>
      <c r="AB62" s="573"/>
      <c r="AC62" s="573"/>
      <c r="AD62" s="573"/>
      <c r="AE62" s="573"/>
      <c r="AF62" s="573"/>
      <c r="AG62" s="573"/>
      <c r="AI62">
        <v>3100454537</v>
      </c>
      <c r="AJ62" t="str">
        <f t="shared" si="2"/>
        <v>B1-AX02H-5A02-ED1-JZZZZZ-TV1L0-JZZZ-JXXX</v>
      </c>
    </row>
    <row r="63" spans="1:36" ht="16.899999999999999" customHeight="1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Mar 2026'!$A$8:$F$206,6,FALSE)</f>
        <v>Chq Bk</v>
      </c>
      <c r="H63" s="828">
        <v>347081.92000000004</v>
      </c>
      <c r="I63" s="829">
        <v>322090.89999999991</v>
      </c>
      <c r="J63" s="566">
        <v>-9361.32</v>
      </c>
      <c r="K63" s="566">
        <v>-81878.209999999992</v>
      </c>
      <c r="L63" s="566">
        <v>76078.05</v>
      </c>
      <c r="M63" s="566">
        <f t="shared" si="0"/>
        <v>-15161.479999999996</v>
      </c>
      <c r="N63" s="566"/>
      <c r="O63" s="566"/>
      <c r="P63" s="566"/>
      <c r="Q63" s="566"/>
      <c r="R63" s="566"/>
      <c r="S63" s="566"/>
      <c r="T63" s="566">
        <f t="shared" si="1"/>
        <v>654011.34</v>
      </c>
      <c r="V63" s="577" t="s">
        <v>1006</v>
      </c>
      <c r="W63" s="577" t="s">
        <v>1006</v>
      </c>
      <c r="X63" s="577" t="s">
        <v>1006</v>
      </c>
      <c r="Y63" s="573"/>
      <c r="Z63" s="573"/>
      <c r="AA63" s="573"/>
      <c r="AB63" s="573"/>
      <c r="AC63" s="573"/>
      <c r="AD63" s="573"/>
      <c r="AE63" s="573"/>
      <c r="AF63" s="573"/>
      <c r="AG63" s="573"/>
      <c r="AH63" s="565"/>
      <c r="AI63">
        <v>3100021253</v>
      </c>
      <c r="AJ63" t="str">
        <f t="shared" si="2"/>
        <v>B1-AX02K-5A02-ED1-JZZZZZ-TV1L0-JZZZ-JXXX</v>
      </c>
    </row>
    <row r="64" spans="1:36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Mar 2026'!$A$8:$F$206,6,FALSE)</f>
        <v>Chq Bk</v>
      </c>
      <c r="H64" s="828">
        <v>3286.35</v>
      </c>
      <c r="I64" s="566">
        <v>0</v>
      </c>
      <c r="J64" s="566">
        <v>26.2</v>
      </c>
      <c r="K64" s="566">
        <v>0</v>
      </c>
      <c r="L64" s="566">
        <v>0</v>
      </c>
      <c r="M64" s="828">
        <f t="shared" si="0"/>
        <v>26.2</v>
      </c>
      <c r="N64" s="566"/>
      <c r="O64" s="566"/>
      <c r="P64" s="566"/>
      <c r="Q64" s="566"/>
      <c r="R64" s="566"/>
      <c r="S64" s="566"/>
      <c r="T64" s="566">
        <f t="shared" si="1"/>
        <v>3312.5499999999997</v>
      </c>
      <c r="V64" s="577" t="s">
        <v>1006</v>
      </c>
      <c r="W64" s="573" t="s">
        <v>1007</v>
      </c>
      <c r="X64" s="577" t="s">
        <v>1006</v>
      </c>
      <c r="Y64" s="573"/>
      <c r="Z64" s="573"/>
      <c r="AA64" s="573"/>
      <c r="AB64" s="573"/>
      <c r="AC64" s="573"/>
      <c r="AD64" s="573"/>
      <c r="AE64" s="573"/>
      <c r="AF64" s="573"/>
      <c r="AG64" s="573"/>
      <c r="AI64">
        <v>3100599591</v>
      </c>
      <c r="AJ64" t="str">
        <f t="shared" si="2"/>
        <v>B1-AX02M-5A02-ED1-JZZZZZ-TV1L0-JZZZ-JXXX</v>
      </c>
    </row>
    <row r="65" spans="1:36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Mar 2026'!$A$8:$F$206,6,FALSE)</f>
        <v>Chq Bk</v>
      </c>
      <c r="H65" s="828">
        <v>46953.329999999994</v>
      </c>
      <c r="I65" s="829">
        <v>47137.070000000007</v>
      </c>
      <c r="J65" s="566">
        <v>-1185.08</v>
      </c>
      <c r="K65" s="566">
        <v>2182.9300000000003</v>
      </c>
      <c r="L65" s="566">
        <v>284.21999999999997</v>
      </c>
      <c r="M65" s="828">
        <f t="shared" si="0"/>
        <v>1282.0700000000004</v>
      </c>
      <c r="N65" s="566"/>
      <c r="O65" s="566"/>
      <c r="P65" s="566"/>
      <c r="Q65" s="566"/>
      <c r="R65" s="566"/>
      <c r="S65" s="566"/>
      <c r="T65" s="566">
        <f t="shared" si="1"/>
        <v>95372.47</v>
      </c>
      <c r="V65" s="577" t="s">
        <v>1006</v>
      </c>
      <c r="W65" s="577" t="s">
        <v>1006</v>
      </c>
      <c r="X65" s="577" t="s">
        <v>1006</v>
      </c>
      <c r="Y65" s="573"/>
      <c r="Z65" s="573"/>
      <c r="AA65" s="573"/>
      <c r="AB65" s="573"/>
      <c r="AC65" s="573"/>
      <c r="AD65" s="573"/>
      <c r="AE65" s="573"/>
      <c r="AF65" s="573"/>
      <c r="AG65" s="573"/>
      <c r="AI65">
        <v>3100201547</v>
      </c>
      <c r="AJ65" t="str">
        <f t="shared" si="2"/>
        <v>B1-AX02P-5A02-ED1-JZZZZZ-TV1L0-JZZZ-JXXX</v>
      </c>
    </row>
    <row r="66" spans="1:36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Mar 2026'!$A$8:$F$206,6,FALSE)</f>
        <v>Chq Bk</v>
      </c>
      <c r="H66" s="828">
        <v>28156.019999999997</v>
      </c>
      <c r="I66" s="829">
        <v>294.58</v>
      </c>
      <c r="J66" s="566">
        <v>316.06</v>
      </c>
      <c r="K66" s="566">
        <v>769.91</v>
      </c>
      <c r="L66" s="566">
        <v>965.18000000000006</v>
      </c>
      <c r="M66" s="828">
        <f t="shared" si="0"/>
        <v>2051.15</v>
      </c>
      <c r="N66" s="566"/>
      <c r="O66" s="566"/>
      <c r="P66" s="566"/>
      <c r="Q66" s="566"/>
      <c r="R66" s="566"/>
      <c r="S66" s="566"/>
      <c r="T66" s="566">
        <f t="shared" si="1"/>
        <v>30501.75</v>
      </c>
      <c r="V66" s="577" t="s">
        <v>1006</v>
      </c>
      <c r="W66" s="577" t="s">
        <v>1006</v>
      </c>
      <c r="X66" s="577" t="s">
        <v>1006</v>
      </c>
      <c r="Y66" s="573"/>
      <c r="Z66" s="573"/>
      <c r="AA66" s="573"/>
      <c r="AB66" s="573"/>
      <c r="AC66" s="573"/>
      <c r="AD66" s="573"/>
      <c r="AE66" s="573"/>
      <c r="AF66" s="573"/>
      <c r="AG66" s="573"/>
      <c r="AI66">
        <v>3100610512</v>
      </c>
      <c r="AJ66" t="str">
        <f t="shared" si="2"/>
        <v>B1-AX02R-5A02-ED1-JZZZZZ-TV1L0-JZZZ-JXXX</v>
      </c>
    </row>
    <row r="67" spans="1:36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Mar 2026'!$A$8:$F$206,6,FALSE)</f>
        <v>Chq Bk</v>
      </c>
      <c r="H67" s="566">
        <v>0</v>
      </c>
      <c r="I67" s="566">
        <v>0</v>
      </c>
      <c r="J67" s="566">
        <v>0</v>
      </c>
      <c r="K67" s="566">
        <v>0</v>
      </c>
      <c r="L67" s="566">
        <v>0</v>
      </c>
      <c r="M67" s="566">
        <f t="shared" si="0"/>
        <v>0</v>
      </c>
      <c r="N67" s="566"/>
      <c r="O67" s="566"/>
      <c r="P67" s="566"/>
      <c r="Q67" s="566"/>
      <c r="R67" s="566"/>
      <c r="S67" s="566"/>
      <c r="T67" s="566">
        <f t="shared" si="1"/>
        <v>0</v>
      </c>
      <c r="V67" s="573" t="s">
        <v>1007</v>
      </c>
      <c r="W67" s="573" t="s">
        <v>1007</v>
      </c>
      <c r="X67" s="573" t="s">
        <v>1007</v>
      </c>
      <c r="Y67" s="573"/>
      <c r="Z67" s="573"/>
      <c r="AA67" s="573"/>
      <c r="AB67" s="573"/>
      <c r="AC67" s="573"/>
      <c r="AD67" s="573"/>
      <c r="AE67" s="573"/>
      <c r="AF67" s="573"/>
      <c r="AG67" s="573"/>
      <c r="AI67">
        <v>3100017375</v>
      </c>
      <c r="AJ67" t="str">
        <f t="shared" si="2"/>
        <v>B1-AX0A1-5A02-ED1-JZZZZZ-TV1L0-JZZZ-JXXX</v>
      </c>
    </row>
    <row r="68" spans="1:36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Mar 2026'!$A$8:$F$206,6,FALSE)</f>
        <v>Chq Bk</v>
      </c>
      <c r="H68" s="566">
        <v>0</v>
      </c>
      <c r="I68" s="566">
        <v>0</v>
      </c>
      <c r="J68" s="566">
        <v>0</v>
      </c>
      <c r="K68" s="566">
        <v>0</v>
      </c>
      <c r="L68" s="566">
        <v>0</v>
      </c>
      <c r="M68" s="566">
        <f t="shared" si="0"/>
        <v>0</v>
      </c>
      <c r="N68" s="566"/>
      <c r="O68" s="566"/>
      <c r="P68" s="566"/>
      <c r="Q68" s="566"/>
      <c r="R68" s="566"/>
      <c r="S68" s="566"/>
      <c r="T68" s="566">
        <f t="shared" si="1"/>
        <v>0</v>
      </c>
      <c r="V68" s="573" t="s">
        <v>1007</v>
      </c>
      <c r="W68" s="573" t="s">
        <v>1007</v>
      </c>
      <c r="X68" s="573" t="s">
        <v>1007</v>
      </c>
      <c r="Y68" s="573"/>
      <c r="Z68" s="573"/>
      <c r="AA68" s="573"/>
      <c r="AB68" s="573"/>
      <c r="AC68" s="573"/>
      <c r="AD68" s="573"/>
      <c r="AE68" s="573"/>
      <c r="AF68" s="573"/>
      <c r="AG68" s="573"/>
      <c r="AI68">
        <v>3100017373</v>
      </c>
      <c r="AJ68" t="str">
        <f t="shared" si="2"/>
        <v>B1-AX0A2-5A02-ED1-JZZZZZ-TV1L0-JZZZ-JXXX</v>
      </c>
    </row>
    <row r="69" spans="1:36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Mar 2026'!$A$8:$F$206,6,FALSE)</f>
        <v>Chq Bk</v>
      </c>
      <c r="H69" s="828">
        <v>-444</v>
      </c>
      <c r="I69" s="828">
        <v>-154.49</v>
      </c>
      <c r="J69" s="566">
        <v>-40984.300000000003</v>
      </c>
      <c r="K69" s="566">
        <v>0</v>
      </c>
      <c r="L69" s="566">
        <v>0</v>
      </c>
      <c r="M69" s="566">
        <f t="shared" si="0"/>
        <v>-40984.300000000003</v>
      </c>
      <c r="N69" s="566"/>
      <c r="O69" s="566"/>
      <c r="P69" s="566"/>
      <c r="Q69" s="566"/>
      <c r="R69" s="566"/>
      <c r="S69" s="566"/>
      <c r="T69" s="566">
        <f t="shared" si="1"/>
        <v>-41582.79</v>
      </c>
      <c r="V69" s="577" t="s">
        <v>1006</v>
      </c>
      <c r="W69" s="577" t="s">
        <v>1006</v>
      </c>
      <c r="X69" s="577" t="s">
        <v>1006</v>
      </c>
      <c r="Y69" s="573"/>
      <c r="Z69" s="573"/>
      <c r="AA69" s="573"/>
      <c r="AB69" s="573"/>
      <c r="AC69" s="573"/>
      <c r="AD69" s="573"/>
      <c r="AE69" s="573"/>
      <c r="AF69" s="573"/>
      <c r="AG69" s="573"/>
      <c r="AI69">
        <v>3100618475</v>
      </c>
      <c r="AJ69" t="str">
        <f t="shared" si="2"/>
        <v>B1-AX02U-5A02-ED1-JZZZZZ-TV1L0-JZZZ-JXXX</v>
      </c>
    </row>
    <row r="70" spans="1:36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Mar 2026'!$A$8:$F$206,6,FALSE)</f>
        <v>Chq Bk</v>
      </c>
      <c r="H70" s="566">
        <v>0</v>
      </c>
      <c r="I70" s="566">
        <v>0</v>
      </c>
      <c r="J70" s="566">
        <v>0</v>
      </c>
      <c r="K70" s="566">
        <v>0</v>
      </c>
      <c r="L70" s="566">
        <v>0</v>
      </c>
      <c r="M70" s="566">
        <f t="shared" ref="M70:M133" si="3">SUM(J70:L70)</f>
        <v>0</v>
      </c>
      <c r="N70" s="566"/>
      <c r="O70" s="566"/>
      <c r="P70" s="566"/>
      <c r="Q70" s="566"/>
      <c r="R70" s="566"/>
      <c r="S70" s="566"/>
      <c r="T70" s="566">
        <f t="shared" ref="T70:T133" si="4">H70+I70+M70</f>
        <v>0</v>
      </c>
      <c r="V70" s="573" t="s">
        <v>1007</v>
      </c>
      <c r="W70" s="573" t="s">
        <v>1007</v>
      </c>
      <c r="X70" s="573" t="s">
        <v>1007</v>
      </c>
      <c r="Y70" s="573"/>
      <c r="Z70" s="573"/>
      <c r="AA70" s="573"/>
      <c r="AB70" s="573"/>
      <c r="AC70" s="573"/>
      <c r="AD70" s="573"/>
      <c r="AE70" s="573"/>
      <c r="AF70" s="573"/>
      <c r="AG70" s="573"/>
      <c r="AI70">
        <v>3100045108</v>
      </c>
      <c r="AJ70" t="str">
        <f t="shared" ref="AJ70:AJ133" si="5">_xlfn.CONCAT("B1-",C70,"-5A02-ED1-JZZZZZ-TV1L0-JZZZ-JXXX")</f>
        <v>B1-AX0A4-5A02-ED1-JZZZZZ-TV1L0-JZZZ-JXXX</v>
      </c>
    </row>
    <row r="71" spans="1:36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Mar 2026'!$A$8:$F$206,6,FALSE)</f>
        <v>Chq Bk</v>
      </c>
      <c r="H71" s="828">
        <v>111775.18999999999</v>
      </c>
      <c r="I71" s="829">
        <v>110575.34000000001</v>
      </c>
      <c r="J71" s="566">
        <v>891.13</v>
      </c>
      <c r="K71" s="566">
        <v>-771.00999999999976</v>
      </c>
      <c r="L71" s="566">
        <v>1717.9499999999998</v>
      </c>
      <c r="M71" s="828">
        <f t="shared" si="3"/>
        <v>1838.0700000000002</v>
      </c>
      <c r="N71" s="566"/>
      <c r="O71" s="566"/>
      <c r="P71" s="566"/>
      <c r="Q71" s="566"/>
      <c r="R71" s="566"/>
      <c r="S71" s="566"/>
      <c r="T71" s="566">
        <f t="shared" si="4"/>
        <v>224188.6</v>
      </c>
      <c r="V71" s="577" t="s">
        <v>1006</v>
      </c>
      <c r="W71" s="577" t="s">
        <v>1006</v>
      </c>
      <c r="X71" s="577" t="s">
        <v>1006</v>
      </c>
      <c r="Y71" s="573"/>
      <c r="Z71" s="573"/>
      <c r="AA71" s="573"/>
      <c r="AB71" s="573"/>
      <c r="AC71" s="573"/>
      <c r="AD71" s="573"/>
      <c r="AE71" s="573"/>
      <c r="AF71" s="573"/>
      <c r="AG71" s="573"/>
      <c r="AI71">
        <v>3100618527</v>
      </c>
      <c r="AJ71" t="str">
        <f t="shared" si="5"/>
        <v>B1-AX02Y-5A02-ED1-JZZZZZ-TV1L0-JZZZ-JXXX</v>
      </c>
    </row>
    <row r="72" spans="1:36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Mar 2026'!$A$8:$F$206,6,FALSE)</f>
        <v>Chq Bk</v>
      </c>
      <c r="H72" s="828">
        <v>37127.549999999996</v>
      </c>
      <c r="I72" s="829">
        <v>34958.710000000006</v>
      </c>
      <c r="J72" s="566">
        <v>0</v>
      </c>
      <c r="K72" s="566">
        <v>0</v>
      </c>
      <c r="L72" s="566">
        <v>0</v>
      </c>
      <c r="M72" s="566">
        <f t="shared" si="3"/>
        <v>0</v>
      </c>
      <c r="N72" s="566"/>
      <c r="O72" s="566"/>
      <c r="P72" s="566"/>
      <c r="Q72" s="566"/>
      <c r="R72" s="566"/>
      <c r="S72" s="566"/>
      <c r="T72" s="566">
        <f t="shared" si="4"/>
        <v>72086.260000000009</v>
      </c>
      <c r="V72" s="577" t="s">
        <v>1006</v>
      </c>
      <c r="W72" s="577" t="s">
        <v>1006</v>
      </c>
      <c r="X72" s="573" t="s">
        <v>1007</v>
      </c>
      <c r="Y72" s="573"/>
      <c r="Z72" s="573"/>
      <c r="AA72" s="573"/>
      <c r="AB72" s="573"/>
      <c r="AC72" s="573"/>
      <c r="AD72" s="573"/>
      <c r="AE72" s="573"/>
      <c r="AF72" s="573"/>
      <c r="AG72" s="573"/>
      <c r="AI72">
        <v>3100202062</v>
      </c>
      <c r="AJ72" t="str">
        <f t="shared" si="5"/>
        <v>B1-AX0A7-5A02-ED1-JZZZZZ-TV1L0-JZZZ-JXXX</v>
      </c>
    </row>
    <row r="73" spans="1:36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Mar 2026'!$A$8:$F$206,6,FALSE)</f>
        <v>Chq Bk</v>
      </c>
      <c r="H73" s="566">
        <v>0</v>
      </c>
      <c r="I73" s="566">
        <v>0</v>
      </c>
      <c r="J73" s="566">
        <v>0</v>
      </c>
      <c r="K73" s="566">
        <v>0</v>
      </c>
      <c r="L73" s="566">
        <v>0</v>
      </c>
      <c r="M73" s="566">
        <f t="shared" si="3"/>
        <v>0</v>
      </c>
      <c r="N73" s="566"/>
      <c r="O73" s="566"/>
      <c r="P73" s="566"/>
      <c r="Q73" s="566"/>
      <c r="R73" s="566"/>
      <c r="S73" s="566"/>
      <c r="T73" s="566">
        <f t="shared" si="4"/>
        <v>0</v>
      </c>
      <c r="V73" s="573" t="s">
        <v>1007</v>
      </c>
      <c r="W73" s="573" t="s">
        <v>1007</v>
      </c>
      <c r="X73" s="573" t="s">
        <v>1007</v>
      </c>
      <c r="Y73" s="573"/>
      <c r="Z73" s="573"/>
      <c r="AA73" s="573"/>
      <c r="AB73" s="573"/>
      <c r="AC73" s="573"/>
      <c r="AD73" s="573"/>
      <c r="AE73" s="573"/>
      <c r="AF73" s="573"/>
      <c r="AG73" s="573"/>
      <c r="AI73">
        <v>3100072495</v>
      </c>
      <c r="AJ73" t="str">
        <f t="shared" si="5"/>
        <v>B1-AX032-5A02-ED1-JZZZZZ-TV1L0-JZZZ-JXXX</v>
      </c>
    </row>
    <row r="74" spans="1:36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Mar 2026'!$A$8:$F$206,6,FALSE)</f>
        <v>Chq Bk</v>
      </c>
      <c r="H74" s="566">
        <v>0</v>
      </c>
      <c r="I74" s="566">
        <v>0</v>
      </c>
      <c r="J74" s="566">
        <v>0</v>
      </c>
      <c r="K74" s="566">
        <v>0</v>
      </c>
      <c r="L74" s="566">
        <v>0</v>
      </c>
      <c r="M74" s="566">
        <f t="shared" si="3"/>
        <v>0</v>
      </c>
      <c r="N74" s="566"/>
      <c r="O74" s="566"/>
      <c r="P74" s="566"/>
      <c r="Q74" s="566"/>
      <c r="R74" s="566"/>
      <c r="S74" s="566"/>
      <c r="T74" s="566">
        <f t="shared" si="4"/>
        <v>0</v>
      </c>
      <c r="V74" s="573" t="s">
        <v>1007</v>
      </c>
      <c r="W74" s="573" t="s">
        <v>1007</v>
      </c>
      <c r="X74" s="573" t="s">
        <v>1007</v>
      </c>
      <c r="Y74" s="573"/>
      <c r="Z74" s="573"/>
      <c r="AA74" s="573"/>
      <c r="AB74" s="573"/>
      <c r="AC74" s="573"/>
      <c r="AD74" s="573"/>
      <c r="AE74" s="573"/>
      <c r="AF74" s="573"/>
      <c r="AG74" s="573"/>
      <c r="AI74">
        <v>3100343329</v>
      </c>
      <c r="AJ74" t="str">
        <f t="shared" si="5"/>
        <v>B1-AX036-5A02-ED1-JZZZZZ-TV1L0-JZZZ-JXXX</v>
      </c>
    </row>
    <row r="75" spans="1:36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Mar 2026'!$A$8:$F$206,6,FALSE)</f>
        <v>Chq Bk</v>
      </c>
      <c r="H75" s="828">
        <v>45939.51999999999</v>
      </c>
      <c r="I75" s="829">
        <v>562.92999999999995</v>
      </c>
      <c r="J75" s="566">
        <v>1258.81</v>
      </c>
      <c r="K75" s="566">
        <v>571.54999999999995</v>
      </c>
      <c r="L75" s="566">
        <v>511.82</v>
      </c>
      <c r="M75" s="828">
        <f t="shared" si="3"/>
        <v>2342.1799999999998</v>
      </c>
      <c r="N75" s="566"/>
      <c r="O75" s="566"/>
      <c r="P75" s="566"/>
      <c r="Q75" s="566"/>
      <c r="R75" s="566"/>
      <c r="S75" s="566"/>
      <c r="T75" s="566">
        <f t="shared" si="4"/>
        <v>48844.62999999999</v>
      </c>
      <c r="V75" s="577" t="s">
        <v>1006</v>
      </c>
      <c r="W75" s="577" t="s">
        <v>1006</v>
      </c>
      <c r="X75" s="577" t="s">
        <v>1006</v>
      </c>
      <c r="Y75" s="573"/>
      <c r="Z75" s="573"/>
      <c r="AA75" s="573"/>
      <c r="AB75" s="573"/>
      <c r="AC75" s="573"/>
      <c r="AD75" s="573"/>
      <c r="AE75" s="573"/>
      <c r="AF75" s="573"/>
      <c r="AG75" s="573"/>
      <c r="AI75">
        <v>3100610511</v>
      </c>
      <c r="AJ75" t="str">
        <f t="shared" si="5"/>
        <v>B1-AX03A-5A02-ED1-JZZZZZ-TV1L0-JZZZ-JXXX</v>
      </c>
    </row>
    <row r="76" spans="1:36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Mar 2026'!$A$8:$F$206,6,FALSE)</f>
        <v>Chq Bk</v>
      </c>
      <c r="H76" s="828">
        <v>5287.7999999999993</v>
      </c>
      <c r="I76" s="829">
        <v>3707.31</v>
      </c>
      <c r="J76" s="566">
        <v>3764.2</v>
      </c>
      <c r="K76" s="566">
        <v>3485.29</v>
      </c>
      <c r="L76" s="566">
        <v>2847.92</v>
      </c>
      <c r="M76" s="828">
        <f t="shared" si="3"/>
        <v>10097.41</v>
      </c>
      <c r="N76" s="566"/>
      <c r="O76" s="566"/>
      <c r="P76" s="566"/>
      <c r="Q76" s="566"/>
      <c r="R76" s="566"/>
      <c r="S76" s="566"/>
      <c r="T76" s="566">
        <f t="shared" si="4"/>
        <v>19092.519999999997</v>
      </c>
      <c r="V76" s="577" t="s">
        <v>1006</v>
      </c>
      <c r="W76" s="577" t="s">
        <v>1006</v>
      </c>
      <c r="X76" s="577" t="s">
        <v>1006</v>
      </c>
      <c r="Y76" s="573"/>
      <c r="Z76" s="573"/>
      <c r="AA76" s="573"/>
      <c r="AB76" s="573"/>
      <c r="AC76" s="573"/>
      <c r="AD76" s="573"/>
      <c r="AE76" s="573"/>
      <c r="AF76" s="573"/>
      <c r="AG76" s="573"/>
      <c r="AI76">
        <v>3100612444</v>
      </c>
      <c r="AJ76" t="str">
        <f t="shared" si="5"/>
        <v>B1-AX03B-5A02-ED1-JZZZZZ-TV1L0-JZZZ-JXXX</v>
      </c>
    </row>
    <row r="77" spans="1:36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Mar 2026'!$A$8:$F$206,6,FALSE)</f>
        <v>Chq Bk</v>
      </c>
      <c r="H77" s="828">
        <v>3008.1</v>
      </c>
      <c r="I77" s="828">
        <v>-168.18</v>
      </c>
      <c r="J77" s="566">
        <v>0</v>
      </c>
      <c r="K77" s="566">
        <v>0</v>
      </c>
      <c r="L77" s="566">
        <v>4892.24</v>
      </c>
      <c r="M77" s="828">
        <f t="shared" si="3"/>
        <v>4892.24</v>
      </c>
      <c r="N77" s="566"/>
      <c r="O77" s="566"/>
      <c r="P77" s="566"/>
      <c r="Q77" s="566"/>
      <c r="R77" s="566"/>
      <c r="S77" s="566"/>
      <c r="T77" s="566">
        <f t="shared" si="4"/>
        <v>7732.16</v>
      </c>
      <c r="V77" s="577" t="s">
        <v>1006</v>
      </c>
      <c r="W77" s="577" t="s">
        <v>1006</v>
      </c>
      <c r="X77" s="577" t="s">
        <v>1006</v>
      </c>
      <c r="Y77" s="573"/>
      <c r="Z77" s="573"/>
      <c r="AA77" s="573"/>
      <c r="AB77" s="573"/>
      <c r="AC77" s="573"/>
      <c r="AD77" s="573"/>
      <c r="AE77" s="573"/>
      <c r="AF77" s="573"/>
      <c r="AG77" s="573"/>
      <c r="AI77">
        <v>3100612451</v>
      </c>
      <c r="AJ77" t="str">
        <f t="shared" si="5"/>
        <v>B1-AX03C-5A02-ED1-JZZZZZ-TV1L0-JZZZ-JXXX</v>
      </c>
    </row>
    <row r="78" spans="1:36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Mar 2026'!$A$8:$F$206,6,FALSE)</f>
        <v>Chq Bk</v>
      </c>
      <c r="H78" s="828">
        <v>99631.799999999988</v>
      </c>
      <c r="I78" s="829">
        <v>98631.64</v>
      </c>
      <c r="J78" s="566">
        <v>260.58000000000015</v>
      </c>
      <c r="K78" s="566">
        <v>1234.1100000000001</v>
      </c>
      <c r="L78" s="566">
        <v>1211.04</v>
      </c>
      <c r="M78" s="828">
        <f t="shared" si="3"/>
        <v>2705.7300000000005</v>
      </c>
      <c r="N78" s="566"/>
      <c r="O78" s="566"/>
      <c r="P78" s="566"/>
      <c r="Q78" s="566"/>
      <c r="R78" s="566"/>
      <c r="S78" s="566"/>
      <c r="T78" s="566">
        <f t="shared" si="4"/>
        <v>200969.17</v>
      </c>
      <c r="V78" s="577" t="s">
        <v>1006</v>
      </c>
      <c r="W78" s="577" t="s">
        <v>1006</v>
      </c>
      <c r="X78" s="577" t="s">
        <v>1006</v>
      </c>
      <c r="Y78" s="573"/>
      <c r="Z78" s="573"/>
      <c r="AA78" s="573"/>
      <c r="AB78" s="573"/>
      <c r="AC78" s="573"/>
      <c r="AD78" s="573"/>
      <c r="AE78" s="573"/>
      <c r="AF78" s="573"/>
      <c r="AG78" s="573"/>
      <c r="AI78">
        <v>3100618528</v>
      </c>
      <c r="AJ78" t="str">
        <f t="shared" si="5"/>
        <v>B1-AX03D-5A02-ED1-JZZZZZ-TV1L0-JZZZ-JXXX</v>
      </c>
    </row>
    <row r="79" spans="1:36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Mar 2026'!$A$8:$F$206,6,FALSE)</f>
        <v>Chq Bk</v>
      </c>
      <c r="H79" s="828">
        <v>18331.04</v>
      </c>
      <c r="I79" s="829">
        <v>6537.15</v>
      </c>
      <c r="J79" s="566">
        <v>6291.68</v>
      </c>
      <c r="K79" s="566">
        <v>5976.97</v>
      </c>
      <c r="L79" s="566">
        <v>5277.17</v>
      </c>
      <c r="M79" s="828">
        <f t="shared" si="3"/>
        <v>17545.82</v>
      </c>
      <c r="N79" s="566"/>
      <c r="O79" s="566"/>
      <c r="P79" s="566"/>
      <c r="Q79" s="566"/>
      <c r="R79" s="566"/>
      <c r="S79" s="566"/>
      <c r="T79" s="566">
        <f t="shared" si="4"/>
        <v>42414.01</v>
      </c>
      <c r="V79" s="577" t="s">
        <v>1006</v>
      </c>
      <c r="W79" s="577" t="s">
        <v>1006</v>
      </c>
      <c r="X79" s="577" t="s">
        <v>1006</v>
      </c>
      <c r="Y79" s="573"/>
      <c r="Z79" s="573"/>
      <c r="AA79" s="573"/>
      <c r="AB79" s="573"/>
      <c r="AC79" s="573"/>
      <c r="AD79" s="573"/>
      <c r="AE79" s="573"/>
      <c r="AF79" s="573"/>
      <c r="AG79" s="573"/>
      <c r="AI79">
        <v>3100619592</v>
      </c>
      <c r="AJ79" t="str">
        <f t="shared" si="5"/>
        <v>B1-AX03K-5A02-ED1-JZZZZZ-TV1L0-JZZZ-JXXX</v>
      </c>
    </row>
    <row r="80" spans="1:36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Mar 2026'!$A$8:$F$206,6,FALSE)</f>
        <v>Chq Bk</v>
      </c>
      <c r="H80" s="566">
        <v>0</v>
      </c>
      <c r="I80" s="566">
        <v>0</v>
      </c>
      <c r="J80" s="566">
        <v>0</v>
      </c>
      <c r="K80" s="566">
        <v>0</v>
      </c>
      <c r="L80" s="566">
        <v>0</v>
      </c>
      <c r="M80" s="566">
        <f t="shared" si="3"/>
        <v>0</v>
      </c>
      <c r="N80" s="566"/>
      <c r="O80" s="566"/>
      <c r="P80" s="566"/>
      <c r="Q80" s="566"/>
      <c r="R80" s="566"/>
      <c r="S80" s="566"/>
      <c r="T80" s="566">
        <f t="shared" si="4"/>
        <v>0</v>
      </c>
      <c r="V80" s="573" t="s">
        <v>1007</v>
      </c>
      <c r="W80" s="573" t="s">
        <v>1007</v>
      </c>
      <c r="X80" s="573" t="s">
        <v>1007</v>
      </c>
      <c r="Y80" s="573"/>
      <c r="Z80" s="573"/>
      <c r="AA80" s="573"/>
      <c r="AB80" s="573"/>
      <c r="AC80" s="573"/>
      <c r="AD80" s="573"/>
      <c r="AE80" s="573"/>
      <c r="AF80" s="573"/>
      <c r="AG80" s="573"/>
      <c r="AI80">
        <v>3100201592</v>
      </c>
      <c r="AJ80" t="str">
        <f t="shared" si="5"/>
        <v>B1-AX03L-5A02-ED1-JZZZZZ-TV1L0-JZZZ-JXXX</v>
      </c>
    </row>
    <row r="81" spans="1:36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Mar 2026'!$A$8:$F$206,6,FALSE)</f>
        <v>Chq Bk</v>
      </c>
      <c r="H81" s="828">
        <v>124593.35</v>
      </c>
      <c r="I81" s="829">
        <v>136446.46</v>
      </c>
      <c r="J81" s="566">
        <v>0</v>
      </c>
      <c r="K81" s="566">
        <v>-36821.79</v>
      </c>
      <c r="L81" s="566">
        <v>37039.69</v>
      </c>
      <c r="M81" s="828">
        <f t="shared" si="3"/>
        <v>217.90000000000146</v>
      </c>
      <c r="N81" s="566"/>
      <c r="O81" s="566"/>
      <c r="P81" s="566"/>
      <c r="Q81" s="566"/>
      <c r="R81" s="566"/>
      <c r="S81" s="566"/>
      <c r="T81" s="566">
        <f t="shared" si="4"/>
        <v>261257.71</v>
      </c>
      <c r="V81" s="577" t="s">
        <v>1006</v>
      </c>
      <c r="W81" s="577" t="s">
        <v>1006</v>
      </c>
      <c r="X81" s="577" t="s">
        <v>1006</v>
      </c>
      <c r="Y81" s="573"/>
      <c r="Z81" s="573"/>
      <c r="AA81" s="573"/>
      <c r="AB81" s="573"/>
      <c r="AC81" s="573"/>
      <c r="AD81" s="573"/>
      <c r="AE81" s="573"/>
      <c r="AF81" s="573"/>
      <c r="AG81" s="573"/>
      <c r="AI81">
        <v>3100201266</v>
      </c>
      <c r="AJ81" t="str">
        <f t="shared" si="5"/>
        <v>B1-AX03M-5A02-ED1-JZZZZZ-TV1L0-JZZZ-JXXX</v>
      </c>
    </row>
    <row r="82" spans="1:36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Mar 2026'!$A$8:$F$206,6,FALSE)</f>
        <v>Chq Bk</v>
      </c>
      <c r="H82" s="566">
        <v>0</v>
      </c>
      <c r="I82" s="566">
        <v>0</v>
      </c>
      <c r="J82" s="566">
        <v>0</v>
      </c>
      <c r="K82" s="566">
        <v>0</v>
      </c>
      <c r="L82" s="566">
        <v>0</v>
      </c>
      <c r="M82" s="566">
        <f t="shared" si="3"/>
        <v>0</v>
      </c>
      <c r="N82" s="566"/>
      <c r="O82" s="566"/>
      <c r="P82" s="566"/>
      <c r="Q82" s="566"/>
      <c r="R82" s="566"/>
      <c r="S82" s="566"/>
      <c r="T82" s="566">
        <f t="shared" si="4"/>
        <v>0</v>
      </c>
      <c r="V82" s="573" t="s">
        <v>1007</v>
      </c>
      <c r="W82" s="573" t="s">
        <v>1007</v>
      </c>
      <c r="X82" s="573" t="s">
        <v>1007</v>
      </c>
      <c r="Y82" s="573"/>
      <c r="Z82" s="573"/>
      <c r="AA82" s="573"/>
      <c r="AB82" s="573"/>
      <c r="AC82" s="573"/>
      <c r="AD82" s="573"/>
      <c r="AE82" s="573"/>
      <c r="AF82" s="573"/>
      <c r="AG82" s="573"/>
      <c r="AI82">
        <v>3100199835</v>
      </c>
      <c r="AJ82" t="str">
        <f t="shared" si="5"/>
        <v>B1-AX0AN-5A02-ED1-JZZZZZ-TV1L0-JZZZ-JXXX</v>
      </c>
    </row>
    <row r="83" spans="1:36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Mar 2026'!$A$8:$F$206,6,FALSE)</f>
        <v>Chq Bk</v>
      </c>
      <c r="H83" s="566">
        <v>0</v>
      </c>
      <c r="I83" s="566">
        <v>0</v>
      </c>
      <c r="J83" s="566">
        <v>0</v>
      </c>
      <c r="K83" s="566">
        <v>0</v>
      </c>
      <c r="L83" s="566">
        <v>0</v>
      </c>
      <c r="M83" s="566">
        <f t="shared" si="3"/>
        <v>0</v>
      </c>
      <c r="N83" s="566"/>
      <c r="O83" s="566"/>
      <c r="P83" s="566"/>
      <c r="Q83" s="566"/>
      <c r="R83" s="566"/>
      <c r="S83" s="566"/>
      <c r="T83" s="566">
        <f t="shared" si="4"/>
        <v>0</v>
      </c>
      <c r="V83" s="573" t="s">
        <v>1007</v>
      </c>
      <c r="W83" s="573" t="s">
        <v>1007</v>
      </c>
      <c r="X83" s="573" t="s">
        <v>1007</v>
      </c>
      <c r="Y83" s="573"/>
      <c r="Z83" s="573"/>
      <c r="AA83" s="573"/>
      <c r="AB83" s="573"/>
      <c r="AC83" s="573"/>
      <c r="AD83" s="573"/>
      <c r="AE83" s="573"/>
      <c r="AF83" s="573"/>
      <c r="AG83" s="573"/>
      <c r="AI83">
        <v>3100201268</v>
      </c>
      <c r="AJ83" t="str">
        <f t="shared" si="5"/>
        <v>B1-AX03N-5A02-ED1-JZZZZZ-TV1L0-JZZZ-JXXX</v>
      </c>
    </row>
    <row r="84" spans="1:36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Mar 2026'!$A$8:$F$206,6,FALSE)</f>
        <v>Chq Bk</v>
      </c>
      <c r="H84" s="566">
        <v>0</v>
      </c>
      <c r="I84" s="566">
        <v>0</v>
      </c>
      <c r="J84" s="566">
        <v>0</v>
      </c>
      <c r="K84" s="566">
        <v>0</v>
      </c>
      <c r="L84" s="566">
        <v>0</v>
      </c>
      <c r="M84" s="566">
        <f t="shared" si="3"/>
        <v>0</v>
      </c>
      <c r="N84" s="566"/>
      <c r="O84" s="566"/>
      <c r="P84" s="566"/>
      <c r="Q84" s="566"/>
      <c r="R84" s="566"/>
      <c r="S84" s="566"/>
      <c r="T84" s="566">
        <f t="shared" si="4"/>
        <v>0</v>
      </c>
      <c r="V84" s="573" t="s">
        <v>1007</v>
      </c>
      <c r="W84" s="573" t="s">
        <v>1007</v>
      </c>
      <c r="X84" s="573" t="s">
        <v>1007</v>
      </c>
      <c r="Y84" s="573"/>
      <c r="Z84" s="573"/>
      <c r="AA84" s="573"/>
      <c r="AB84" s="573"/>
      <c r="AC84" s="573"/>
      <c r="AD84" s="573"/>
      <c r="AE84" s="573"/>
      <c r="AF84" s="573"/>
      <c r="AG84" s="573"/>
      <c r="AI84">
        <v>3100201269</v>
      </c>
      <c r="AJ84" t="str">
        <f t="shared" si="5"/>
        <v>B1-AX03P-5A02-ED1-JZZZZZ-TV1L0-JZZZ-JXXX</v>
      </c>
    </row>
    <row r="85" spans="1:36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Mar 2026'!$A$8:$F$206,6,FALSE)</f>
        <v>Chq Bk</v>
      </c>
      <c r="H85" s="828">
        <v>4517.29</v>
      </c>
      <c r="I85" s="829">
        <v>2714.51</v>
      </c>
      <c r="J85" s="566">
        <v>1264.1799999999998</v>
      </c>
      <c r="K85" s="566">
        <v>2957.7799999999997</v>
      </c>
      <c r="L85" s="566">
        <v>2780.92</v>
      </c>
      <c r="M85" s="828">
        <f t="shared" si="3"/>
        <v>7002.8799999999992</v>
      </c>
      <c r="N85" s="566"/>
      <c r="O85" s="566"/>
      <c r="P85" s="566"/>
      <c r="Q85" s="566"/>
      <c r="R85" s="566"/>
      <c r="S85" s="566"/>
      <c r="T85" s="566">
        <f t="shared" si="4"/>
        <v>14234.68</v>
      </c>
      <c r="V85" s="577" t="s">
        <v>1006</v>
      </c>
      <c r="W85" s="577" t="s">
        <v>1006</v>
      </c>
      <c r="X85" s="577" t="s">
        <v>1006</v>
      </c>
      <c r="Y85" s="573"/>
      <c r="Z85" s="573"/>
      <c r="AA85" s="573"/>
      <c r="AB85" s="573"/>
      <c r="AC85" s="573"/>
      <c r="AD85" s="573"/>
      <c r="AE85" s="573"/>
      <c r="AF85" s="573"/>
      <c r="AG85" s="573"/>
      <c r="AI85">
        <v>3100612446</v>
      </c>
      <c r="AJ85" t="str">
        <f t="shared" si="5"/>
        <v>B1-AX03Q-5A02-ED1-JZZZZZ-TV1L0-JZZZ-JXXX</v>
      </c>
    </row>
    <row r="86" spans="1:36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Mar 2026'!$A$8:$F$206,6,FALSE)</f>
        <v>Chq Bk</v>
      </c>
      <c r="H86" s="828">
        <v>54300.77</v>
      </c>
      <c r="I86" s="829">
        <v>53360.6</v>
      </c>
      <c r="J86" s="566">
        <v>-11514.900000000001</v>
      </c>
      <c r="K86" s="566">
        <v>13.25</v>
      </c>
      <c r="L86" s="566">
        <v>4709.72</v>
      </c>
      <c r="M86" s="566">
        <f t="shared" si="3"/>
        <v>-6791.9300000000012</v>
      </c>
      <c r="N86" s="566"/>
      <c r="O86" s="566"/>
      <c r="P86" s="566"/>
      <c r="Q86" s="566"/>
      <c r="R86" s="566"/>
      <c r="S86" s="566"/>
      <c r="T86" s="566">
        <f t="shared" si="4"/>
        <v>100869.43999999999</v>
      </c>
      <c r="V86" s="577" t="s">
        <v>1006</v>
      </c>
      <c r="W86" s="577" t="s">
        <v>1006</v>
      </c>
      <c r="X86" s="577" t="s">
        <v>1006</v>
      </c>
      <c r="Y86" s="573"/>
      <c r="Z86" s="573"/>
      <c r="AA86" s="573"/>
      <c r="AB86" s="573"/>
      <c r="AC86" s="573"/>
      <c r="AD86" s="573"/>
      <c r="AE86" s="573"/>
      <c r="AF86" s="573"/>
      <c r="AG86" s="573"/>
      <c r="AI86">
        <v>3100612492</v>
      </c>
      <c r="AJ86" t="str">
        <f t="shared" si="5"/>
        <v>B1-AX03W-5A02-ED1-JZZZZZ-TV1L0-JZZZ-JXXX</v>
      </c>
    </row>
    <row r="87" spans="1:36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Mar 2026'!$A$8:$F$206,6,FALSE)</f>
        <v>Chq Bk</v>
      </c>
      <c r="H87" s="566">
        <v>0</v>
      </c>
      <c r="I87" s="566">
        <v>0</v>
      </c>
      <c r="J87" s="566">
        <v>0</v>
      </c>
      <c r="K87" s="566">
        <v>0</v>
      </c>
      <c r="L87" s="566">
        <v>0</v>
      </c>
      <c r="M87" s="566">
        <f t="shared" si="3"/>
        <v>0</v>
      </c>
      <c r="N87" s="566"/>
      <c r="O87" s="566"/>
      <c r="P87" s="566"/>
      <c r="Q87" s="566"/>
      <c r="R87" s="566"/>
      <c r="S87" s="566"/>
      <c r="T87" s="566">
        <f t="shared" si="4"/>
        <v>0</v>
      </c>
      <c r="V87" s="573" t="s">
        <v>1007</v>
      </c>
      <c r="W87" s="573" t="s">
        <v>1007</v>
      </c>
      <c r="X87" s="573" t="s">
        <v>1007</v>
      </c>
      <c r="Y87" s="573"/>
      <c r="Z87" s="573"/>
      <c r="AA87" s="573"/>
      <c r="AB87" s="573"/>
      <c r="AC87" s="573"/>
      <c r="AD87" s="573"/>
      <c r="AE87" s="573"/>
      <c r="AF87" s="573"/>
      <c r="AG87" s="573"/>
      <c r="AI87">
        <v>3100233217</v>
      </c>
      <c r="AJ87" t="str">
        <f t="shared" si="5"/>
        <v>B1-AX03V-5A02-ED1-JZZZZZ-TV1L0-JZZZ-JXXX</v>
      </c>
    </row>
    <row r="88" spans="1:36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Mar 2026'!$A$8:$F$206,6,FALSE)</f>
        <v>#N/A</v>
      </c>
      <c r="H88" s="566">
        <v>0</v>
      </c>
      <c r="I88" s="566">
        <v>0</v>
      </c>
      <c r="J88" s="566">
        <v>0</v>
      </c>
      <c r="K88" s="566">
        <v>0</v>
      </c>
      <c r="L88" s="566">
        <v>0</v>
      </c>
      <c r="M88" s="566">
        <f t="shared" si="3"/>
        <v>0</v>
      </c>
      <c r="N88" s="566"/>
      <c r="O88" s="566"/>
      <c r="P88" s="566"/>
      <c r="Q88" s="566"/>
      <c r="R88" s="566"/>
      <c r="S88" s="566"/>
      <c r="T88" s="566">
        <f t="shared" si="4"/>
        <v>0</v>
      </c>
      <c r="V88" s="573" t="s">
        <v>1007</v>
      </c>
      <c r="W88" s="573" t="s">
        <v>1007</v>
      </c>
      <c r="X88" s="573" t="s">
        <v>1007</v>
      </c>
      <c r="Y88" s="573"/>
      <c r="Z88" s="573"/>
      <c r="AA88" s="573"/>
      <c r="AB88" s="573"/>
      <c r="AC88" s="573"/>
      <c r="AD88" s="573"/>
      <c r="AE88" s="573"/>
      <c r="AF88" s="573"/>
      <c r="AG88" s="573"/>
      <c r="AI88">
        <v>3100044867</v>
      </c>
      <c r="AJ88" t="str">
        <f t="shared" si="5"/>
        <v>B1-AX03X-5A02-ED1-JZZZZZ-TV1L0-JZZZ-JXXX</v>
      </c>
    </row>
    <row r="89" spans="1:36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Mar 2026'!$A$8:$F$206,6,FALSE)</f>
        <v>Chq Bk</v>
      </c>
      <c r="H89" s="828">
        <v>1622.4699999999998</v>
      </c>
      <c r="I89" s="829">
        <v>1796.8400000000001</v>
      </c>
      <c r="J89" s="566">
        <v>-43.789999999999964</v>
      </c>
      <c r="K89" s="566">
        <v>-4032.9700000000003</v>
      </c>
      <c r="L89" s="566">
        <v>1692.78</v>
      </c>
      <c r="M89" s="566">
        <f t="shared" si="3"/>
        <v>-2383.9800000000005</v>
      </c>
      <c r="N89" s="566"/>
      <c r="O89" s="566"/>
      <c r="P89" s="566"/>
      <c r="Q89" s="566"/>
      <c r="R89" s="566"/>
      <c r="S89" s="566"/>
      <c r="T89" s="566">
        <f t="shared" si="4"/>
        <v>1035.3299999999995</v>
      </c>
      <c r="V89" s="577" t="s">
        <v>1006</v>
      </c>
      <c r="W89" s="577" t="s">
        <v>1006</v>
      </c>
      <c r="X89" s="577" t="s">
        <v>1006</v>
      </c>
      <c r="Y89" s="573"/>
      <c r="Z89" s="573"/>
      <c r="AA89" s="573"/>
      <c r="AB89" s="573"/>
      <c r="AC89" s="573"/>
      <c r="AD89" s="573"/>
      <c r="AE89" s="573"/>
      <c r="AF89" s="573"/>
      <c r="AG89" s="573"/>
      <c r="AI89">
        <v>3100610515</v>
      </c>
      <c r="AJ89" t="str">
        <f t="shared" si="5"/>
        <v>B1-AX040-5A02-ED1-JZZZZZ-TV1L0-JZZZ-JXXX</v>
      </c>
    </row>
    <row r="90" spans="1:36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Mar 2026'!$A$8:$F$206,6,FALSE)</f>
        <v>Chq Bk</v>
      </c>
      <c r="H90" s="566">
        <v>0</v>
      </c>
      <c r="I90" s="566">
        <v>0</v>
      </c>
      <c r="J90" s="566">
        <v>0</v>
      </c>
      <c r="K90" s="566">
        <v>0</v>
      </c>
      <c r="L90" s="566">
        <v>0</v>
      </c>
      <c r="M90" s="566">
        <f t="shared" si="3"/>
        <v>0</v>
      </c>
      <c r="N90" s="566"/>
      <c r="O90" s="566"/>
      <c r="P90" s="566"/>
      <c r="Q90" s="566"/>
      <c r="R90" s="566"/>
      <c r="S90" s="566"/>
      <c r="T90" s="566">
        <f t="shared" si="4"/>
        <v>0</v>
      </c>
      <c r="V90" s="573" t="s">
        <v>1007</v>
      </c>
      <c r="W90" s="573" t="s">
        <v>1007</v>
      </c>
      <c r="X90" s="573" t="s">
        <v>1007</v>
      </c>
      <c r="Y90" s="573"/>
      <c r="Z90" s="573"/>
      <c r="AA90" s="573"/>
      <c r="AB90" s="573"/>
      <c r="AC90" s="573"/>
      <c r="AD90" s="573"/>
      <c r="AE90" s="573"/>
      <c r="AF90" s="573"/>
      <c r="AG90" s="573"/>
      <c r="AI90">
        <v>3100201680</v>
      </c>
      <c r="AJ90" t="str">
        <f t="shared" si="5"/>
        <v>B1-AX041-5A02-ED1-JZZZZZ-TV1L0-JZZZ-JXXX</v>
      </c>
    </row>
    <row r="91" spans="1:36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Mar 2026'!$A$8:$F$206,6,FALSE)</f>
        <v>Chq Bk</v>
      </c>
      <c r="H91" s="828">
        <v>-9710.06</v>
      </c>
      <c r="I91" s="828">
        <v>-945.45</v>
      </c>
      <c r="J91" s="566">
        <v>-844.09999999999991</v>
      </c>
      <c r="K91" s="566">
        <v>-875.03</v>
      </c>
      <c r="L91" s="566">
        <v>99.09</v>
      </c>
      <c r="M91" s="566">
        <f t="shared" si="3"/>
        <v>-1620.04</v>
      </c>
      <c r="N91" s="566"/>
      <c r="O91" s="566"/>
      <c r="P91" s="566"/>
      <c r="Q91" s="566"/>
      <c r="R91" s="566"/>
      <c r="S91" s="566"/>
      <c r="T91" s="566">
        <f t="shared" si="4"/>
        <v>-12275.55</v>
      </c>
      <c r="V91" s="577" t="s">
        <v>1006</v>
      </c>
      <c r="W91" s="577" t="s">
        <v>1006</v>
      </c>
      <c r="X91" s="577" t="s">
        <v>1006</v>
      </c>
      <c r="Y91" s="573"/>
      <c r="Z91" s="573"/>
      <c r="AA91" s="573"/>
      <c r="AB91" s="573"/>
      <c r="AC91" s="573"/>
      <c r="AD91" s="573"/>
      <c r="AE91" s="573"/>
      <c r="AF91" s="573"/>
      <c r="AG91" s="573"/>
      <c r="AI91">
        <v>3100620720</v>
      </c>
      <c r="AJ91" t="str">
        <f t="shared" si="5"/>
        <v>B1-AX042-5A02-ED1-JZZZZZ-TV1L0-JZZZ-JXXX</v>
      </c>
    </row>
    <row r="92" spans="1:36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Mar 2026'!$A$8:$F$206,6,FALSE)</f>
        <v>Chq Bk</v>
      </c>
      <c r="H92" s="566">
        <v>0</v>
      </c>
      <c r="I92" s="566">
        <v>0</v>
      </c>
      <c r="J92" s="566">
        <v>0</v>
      </c>
      <c r="K92" s="566">
        <v>0</v>
      </c>
      <c r="L92" s="566">
        <v>0</v>
      </c>
      <c r="M92" s="566">
        <f t="shared" si="3"/>
        <v>0</v>
      </c>
      <c r="N92" s="566"/>
      <c r="O92" s="566"/>
      <c r="P92" s="566"/>
      <c r="Q92" s="566"/>
      <c r="R92" s="566"/>
      <c r="S92" s="566"/>
      <c r="T92" s="566">
        <f t="shared" si="4"/>
        <v>0</v>
      </c>
      <c r="V92" s="573" t="s">
        <v>1007</v>
      </c>
      <c r="W92" s="573" t="s">
        <v>1007</v>
      </c>
      <c r="X92" s="573" t="s">
        <v>1007</v>
      </c>
      <c r="Y92" s="573"/>
      <c r="Z92" s="573"/>
      <c r="AA92" s="573"/>
      <c r="AB92" s="573"/>
      <c r="AC92" s="573"/>
      <c r="AD92" s="573"/>
      <c r="AE92" s="573"/>
      <c r="AF92" s="573"/>
      <c r="AG92" s="573"/>
      <c r="AI92">
        <v>3100019190</v>
      </c>
      <c r="AJ92" t="str">
        <f t="shared" si="5"/>
        <v>B1-AX0AW-5A02-ED1-JZZZZZ-TV1L0-JZZZ-JXXX</v>
      </c>
    </row>
    <row r="93" spans="1:36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Mar 2026'!$A$8:$F$206,6,FALSE)</f>
        <v>Chq Bk</v>
      </c>
      <c r="H93" s="828">
        <v>215507.2600000001</v>
      </c>
      <c r="I93" s="829">
        <v>221139.08000000007</v>
      </c>
      <c r="J93" s="566">
        <v>-5766.93</v>
      </c>
      <c r="K93" s="566">
        <v>1514.7599999999998</v>
      </c>
      <c r="L93" s="566">
        <v>512.49999999999955</v>
      </c>
      <c r="M93" s="566">
        <f t="shared" si="3"/>
        <v>-3739.6700000000005</v>
      </c>
      <c r="N93" s="566"/>
      <c r="O93" s="566"/>
      <c r="P93" s="566"/>
      <c r="Q93" s="566"/>
      <c r="R93" s="566"/>
      <c r="S93" s="566"/>
      <c r="T93" s="566">
        <f t="shared" si="4"/>
        <v>432906.67000000022</v>
      </c>
      <c r="V93" s="577" t="s">
        <v>1006</v>
      </c>
      <c r="W93" s="577" t="s">
        <v>1006</v>
      </c>
      <c r="X93" s="577" t="s">
        <v>1006</v>
      </c>
      <c r="Y93" s="573"/>
      <c r="Z93" s="573"/>
      <c r="AA93" s="573"/>
      <c r="AB93" s="573"/>
      <c r="AC93" s="573"/>
      <c r="AD93" s="573"/>
      <c r="AE93" s="573"/>
      <c r="AF93" s="573"/>
      <c r="AG93" s="573"/>
      <c r="AI93">
        <v>3100611838</v>
      </c>
      <c r="AJ93" t="str">
        <f t="shared" si="5"/>
        <v>B1-AX044-5A02-ED1-JZZZZZ-TV1L0-JZZZ-JXXX</v>
      </c>
    </row>
    <row r="94" spans="1:36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Mar 2026'!$A$8:$F$206,6,FALSE)</f>
        <v>Chq Bk</v>
      </c>
      <c r="H94" s="828">
        <v>194586.63000000003</v>
      </c>
      <c r="I94" s="829">
        <v>3567.7799999999997</v>
      </c>
      <c r="J94" s="566">
        <v>3074.86</v>
      </c>
      <c r="K94" s="566">
        <v>-1989.33</v>
      </c>
      <c r="L94" s="566">
        <v>453.37000000000035</v>
      </c>
      <c r="M94" s="828">
        <f t="shared" si="3"/>
        <v>1538.9000000000005</v>
      </c>
      <c r="N94" s="566"/>
      <c r="O94" s="566"/>
      <c r="P94" s="566"/>
      <c r="Q94" s="566"/>
      <c r="R94" s="566"/>
      <c r="S94" s="566"/>
      <c r="T94" s="566">
        <f t="shared" si="4"/>
        <v>199693.31000000003</v>
      </c>
      <c r="V94" s="577" t="s">
        <v>1006</v>
      </c>
      <c r="W94" s="577" t="s">
        <v>1006</v>
      </c>
      <c r="X94" s="577" t="s">
        <v>1006</v>
      </c>
      <c r="Y94" s="573"/>
      <c r="Z94" s="573"/>
      <c r="AA94" s="573"/>
      <c r="AB94" s="573"/>
      <c r="AC94" s="573"/>
      <c r="AD94" s="573"/>
      <c r="AE94" s="573"/>
      <c r="AF94" s="573"/>
      <c r="AG94" s="573"/>
      <c r="AI94">
        <v>3100611831</v>
      </c>
      <c r="AJ94" t="str">
        <f t="shared" si="5"/>
        <v>B1-AX043-5A02-ED1-JZZZZZ-TV1L0-JZZZ-JXXX</v>
      </c>
    </row>
    <row r="95" spans="1:36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Mar 2026'!$A$8:$F$206,6,FALSE)</f>
        <v>Chq Bk</v>
      </c>
      <c r="H95" s="828">
        <v>102150.65</v>
      </c>
      <c r="I95" s="829">
        <v>3159.5299999999997</v>
      </c>
      <c r="J95" s="566">
        <v>3046.98</v>
      </c>
      <c r="K95" s="566">
        <v>-1054.5</v>
      </c>
      <c r="L95" s="566">
        <v>6922.68</v>
      </c>
      <c r="M95" s="828">
        <f t="shared" si="3"/>
        <v>8915.16</v>
      </c>
      <c r="N95" s="566"/>
      <c r="O95" s="566"/>
      <c r="P95" s="566"/>
      <c r="Q95" s="566"/>
      <c r="R95" s="566"/>
      <c r="S95" s="566"/>
      <c r="T95" s="566">
        <f t="shared" si="4"/>
        <v>114225.34</v>
      </c>
      <c r="V95" s="577" t="s">
        <v>1006</v>
      </c>
      <c r="W95" s="577" t="s">
        <v>1006</v>
      </c>
      <c r="X95" s="577" t="s">
        <v>1006</v>
      </c>
      <c r="Y95" s="573"/>
      <c r="Z95" s="573"/>
      <c r="AA95" s="573"/>
      <c r="AB95" s="573"/>
      <c r="AC95" s="573"/>
      <c r="AD95" s="573"/>
      <c r="AE95" s="573"/>
      <c r="AF95" s="573"/>
      <c r="AG95" s="573"/>
      <c r="AI95">
        <v>3100179960</v>
      </c>
      <c r="AJ95" t="str">
        <f t="shared" si="5"/>
        <v>B1-AX045-5A02-ED1-JZZZZZ-TV1L0-JZZZ-JXXX</v>
      </c>
    </row>
    <row r="96" spans="1:36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Mar 2026'!$A$8:$F$206,6,FALSE)</f>
        <v>Chq Bk</v>
      </c>
      <c r="H96" s="828">
        <v>1095.05</v>
      </c>
      <c r="I96" s="829">
        <v>878.67000000000007</v>
      </c>
      <c r="J96" s="566">
        <v>753.99</v>
      </c>
      <c r="K96" s="566">
        <v>445.71999999999997</v>
      </c>
      <c r="L96" s="566">
        <v>411.13</v>
      </c>
      <c r="M96" s="828">
        <f t="shared" si="3"/>
        <v>1610.8400000000001</v>
      </c>
      <c r="N96" s="566"/>
      <c r="O96" s="566"/>
      <c r="P96" s="566"/>
      <c r="Q96" s="566"/>
      <c r="R96" s="566"/>
      <c r="S96" s="566"/>
      <c r="T96" s="566">
        <f t="shared" si="4"/>
        <v>3584.5600000000004</v>
      </c>
      <c r="V96" s="577" t="s">
        <v>1006</v>
      </c>
      <c r="W96" s="577" t="s">
        <v>1006</v>
      </c>
      <c r="X96" s="577" t="s">
        <v>1006</v>
      </c>
      <c r="Y96" s="573"/>
      <c r="Z96" s="573"/>
      <c r="AA96" s="573"/>
      <c r="AB96" s="573"/>
      <c r="AC96" s="573"/>
      <c r="AD96" s="573"/>
      <c r="AE96" s="573"/>
      <c r="AF96" s="573"/>
      <c r="AG96" s="573"/>
      <c r="AI96">
        <v>3100614495</v>
      </c>
      <c r="AJ96" t="str">
        <f t="shared" si="5"/>
        <v>B1-AX04B-5A02-ED1-JZZZZZ-TV1L0-JZZZ-JXXX</v>
      </c>
    </row>
    <row r="97" spans="1:37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Mar 2026'!$A$8:$F$206,6,FALSE)</f>
        <v>Academy</v>
      </c>
      <c r="H97" s="566">
        <v>0</v>
      </c>
      <c r="I97" s="566">
        <v>0</v>
      </c>
      <c r="J97" s="566">
        <v>0</v>
      </c>
      <c r="K97" s="566">
        <v>0</v>
      </c>
      <c r="L97" s="566">
        <v>0</v>
      </c>
      <c r="M97" s="566">
        <f t="shared" si="3"/>
        <v>0</v>
      </c>
      <c r="N97" s="566"/>
      <c r="O97" s="566"/>
      <c r="P97" s="566"/>
      <c r="Q97" s="566"/>
      <c r="R97" s="566"/>
      <c r="S97" s="566"/>
      <c r="T97" s="566">
        <f t="shared" si="4"/>
        <v>0</v>
      </c>
      <c r="V97" s="573" t="s">
        <v>1007</v>
      </c>
      <c r="W97" s="573" t="s">
        <v>1007</v>
      </c>
      <c r="X97" s="573" t="s">
        <v>1007</v>
      </c>
      <c r="Y97" s="573"/>
      <c r="Z97" s="573"/>
      <c r="AA97" s="573"/>
      <c r="AB97" s="573"/>
      <c r="AC97" s="573"/>
      <c r="AD97" s="573"/>
      <c r="AE97" s="573"/>
      <c r="AF97" s="573"/>
      <c r="AG97" s="573"/>
      <c r="AI97">
        <v>3100201773</v>
      </c>
      <c r="AJ97" t="str">
        <f t="shared" si="5"/>
        <v>B1-AX04C-5A02-ED1-JZZZZZ-TV1L0-JZZZ-JXXX</v>
      </c>
    </row>
    <row r="98" spans="1:37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Mar 2026'!$A$8:$F$206,6,FALSE)</f>
        <v>Chq Bk</v>
      </c>
      <c r="H98" s="828">
        <v>108697.43</v>
      </c>
      <c r="I98" s="829">
        <v>105635.18000000001</v>
      </c>
      <c r="J98" s="566">
        <v>103211.17</v>
      </c>
      <c r="K98" s="566">
        <v>1252.02</v>
      </c>
      <c r="L98" s="566">
        <v>1031.6500000000001</v>
      </c>
      <c r="M98" s="828">
        <f t="shared" si="3"/>
        <v>105494.84</v>
      </c>
      <c r="N98" s="566"/>
      <c r="O98" s="566"/>
      <c r="P98" s="566"/>
      <c r="Q98" s="566"/>
      <c r="R98" s="566"/>
      <c r="S98" s="566"/>
      <c r="T98" s="566">
        <f t="shared" si="4"/>
        <v>319827.44999999995</v>
      </c>
      <c r="V98" s="577" t="s">
        <v>1006</v>
      </c>
      <c r="W98" s="577" t="s">
        <v>1006</v>
      </c>
      <c r="X98" s="577" t="s">
        <v>1006</v>
      </c>
      <c r="Y98" s="573"/>
      <c r="Z98" s="573"/>
      <c r="AA98" s="573"/>
      <c r="AB98" s="573"/>
      <c r="AC98" s="573"/>
      <c r="AD98" s="573"/>
      <c r="AE98" s="573"/>
      <c r="AF98" s="573"/>
      <c r="AG98" s="573"/>
      <c r="AI98">
        <v>3100165639</v>
      </c>
      <c r="AJ98" t="str">
        <f t="shared" si="5"/>
        <v>B1-AX04D-5A02-ED1-JZZZZZ-TV1L0-JZZZ-JXXX</v>
      </c>
    </row>
    <row r="99" spans="1:37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Mar 2026'!$A$8:$F$206,6,FALSE)</f>
        <v>Chq Bk</v>
      </c>
      <c r="H99" s="828">
        <v>94826.050000000032</v>
      </c>
      <c r="I99" s="829">
        <v>85795.69</v>
      </c>
      <c r="J99" s="566">
        <v>87239.47</v>
      </c>
      <c r="K99" s="566">
        <v>90861.11</v>
      </c>
      <c r="L99" s="566">
        <v>94526.890000000014</v>
      </c>
      <c r="M99" s="828">
        <f t="shared" si="3"/>
        <v>272627.47000000003</v>
      </c>
      <c r="N99" s="566"/>
      <c r="O99" s="566"/>
      <c r="P99" s="566"/>
      <c r="Q99" s="566"/>
      <c r="R99" s="566"/>
      <c r="S99" s="566"/>
      <c r="T99" s="566">
        <f t="shared" si="4"/>
        <v>453249.21000000008</v>
      </c>
      <c r="V99" s="577" t="s">
        <v>1006</v>
      </c>
      <c r="W99" s="577" t="s">
        <v>1006</v>
      </c>
      <c r="X99" s="577" t="s">
        <v>1006</v>
      </c>
      <c r="Y99" s="573"/>
      <c r="Z99" s="573"/>
      <c r="AA99" s="573"/>
      <c r="AB99" s="573"/>
      <c r="AC99" s="573"/>
      <c r="AD99" s="573"/>
      <c r="AE99" s="573"/>
      <c r="AF99" s="573"/>
      <c r="AG99" s="573"/>
      <c r="AI99">
        <v>3100618529</v>
      </c>
      <c r="AJ99" t="str">
        <f t="shared" si="5"/>
        <v>B1-AX04E-5A02-ED1-JZZZZZ-TV1L0-JZZZ-JXXX</v>
      </c>
    </row>
    <row r="100" spans="1:37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Mar 2026'!$A$8:$F$206,6,FALSE)</f>
        <v>Chq Bk</v>
      </c>
      <c r="H100" s="828">
        <v>28390.359999999997</v>
      </c>
      <c r="I100" s="829">
        <v>28381.93</v>
      </c>
      <c r="J100" s="566">
        <v>24955.29</v>
      </c>
      <c r="K100" s="566">
        <v>0</v>
      </c>
      <c r="L100" s="566">
        <v>0</v>
      </c>
      <c r="M100" s="828">
        <f t="shared" si="3"/>
        <v>24955.29</v>
      </c>
      <c r="N100" s="566"/>
      <c r="O100" s="566"/>
      <c r="P100" s="566"/>
      <c r="Q100" s="566"/>
      <c r="R100" s="566"/>
      <c r="S100" s="566"/>
      <c r="T100" s="566">
        <f t="shared" si="4"/>
        <v>81727.579999999987</v>
      </c>
      <c r="V100" s="577" t="s">
        <v>1006</v>
      </c>
      <c r="W100" s="577" t="s">
        <v>1006</v>
      </c>
      <c r="X100" s="577" t="s">
        <v>1006</v>
      </c>
      <c r="Y100" s="573"/>
      <c r="Z100" s="573"/>
      <c r="AA100" s="573"/>
      <c r="AB100" s="573"/>
      <c r="AC100" s="573"/>
      <c r="AD100" s="573"/>
      <c r="AE100" s="573"/>
      <c r="AF100" s="573"/>
      <c r="AG100" s="573"/>
      <c r="AI100">
        <v>3100472681</v>
      </c>
      <c r="AJ100" t="str">
        <f t="shared" si="5"/>
        <v>B1-AX04N-5A02-ED1-JZZZZZ-TV1L0-JZZZ-JXXX</v>
      </c>
    </row>
    <row r="101" spans="1:37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Mar 2026'!$A$8:$F$206,6,FALSE)</f>
        <v>Chq Bk</v>
      </c>
      <c r="H101" s="566">
        <v>0</v>
      </c>
      <c r="I101" s="566">
        <v>0</v>
      </c>
      <c r="J101" s="566">
        <v>0</v>
      </c>
      <c r="K101" s="566">
        <v>0</v>
      </c>
      <c r="L101" s="566">
        <v>0</v>
      </c>
      <c r="M101" s="566">
        <f t="shared" si="3"/>
        <v>0</v>
      </c>
      <c r="N101" s="566"/>
      <c r="O101" s="566"/>
      <c r="P101" s="566"/>
      <c r="Q101" s="566"/>
      <c r="R101" s="566"/>
      <c r="S101" s="566"/>
      <c r="T101" s="566">
        <f t="shared" si="4"/>
        <v>0</v>
      </c>
      <c r="V101" s="573" t="s">
        <v>1007</v>
      </c>
      <c r="W101" s="573" t="s">
        <v>1007</v>
      </c>
      <c r="X101" s="573" t="s">
        <v>1007</v>
      </c>
      <c r="Y101" s="573"/>
      <c r="Z101" s="573"/>
      <c r="AA101" s="573"/>
      <c r="AB101" s="573"/>
      <c r="AC101" s="573"/>
      <c r="AD101" s="573"/>
      <c r="AE101" s="573"/>
      <c r="AF101" s="573"/>
      <c r="AG101" s="573"/>
      <c r="AI101">
        <v>3100017007</v>
      </c>
      <c r="AJ101" t="str">
        <f t="shared" si="5"/>
        <v>B1-AX0BD-5A02-ED1-JZZZZZ-TV1L0-JZZZ-JXXX</v>
      </c>
    </row>
    <row r="102" spans="1:37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Mar 2026'!$A$8:$F$206,6,FALSE)</f>
        <v>Chq Bk</v>
      </c>
      <c r="H102" s="828">
        <v>3550.88</v>
      </c>
      <c r="I102" s="829">
        <v>2197.3599999999997</v>
      </c>
      <c r="J102" s="566">
        <v>1755.5</v>
      </c>
      <c r="K102" s="566">
        <v>1083.98</v>
      </c>
      <c r="L102" s="566">
        <v>-458.43999999999983</v>
      </c>
      <c r="M102" s="828">
        <f t="shared" si="3"/>
        <v>2381.04</v>
      </c>
      <c r="N102" s="566"/>
      <c r="O102" s="566"/>
      <c r="P102" s="566"/>
      <c r="Q102" s="566"/>
      <c r="R102" s="566"/>
      <c r="S102" s="566"/>
      <c r="T102" s="566">
        <f t="shared" si="4"/>
        <v>8129.28</v>
      </c>
      <c r="V102" s="577" t="s">
        <v>1006</v>
      </c>
      <c r="W102" s="577" t="s">
        <v>1006</v>
      </c>
      <c r="X102" s="577" t="s">
        <v>1006</v>
      </c>
      <c r="Y102" s="573"/>
      <c r="Z102" s="573"/>
      <c r="AA102" s="573"/>
      <c r="AB102" s="573"/>
      <c r="AC102" s="573"/>
      <c r="AD102" s="573"/>
      <c r="AE102" s="573"/>
      <c r="AF102" s="573"/>
      <c r="AG102" s="573"/>
      <c r="AI102">
        <v>3100611832</v>
      </c>
      <c r="AJ102" t="str">
        <f t="shared" si="5"/>
        <v>B1-AX04W-5A02-ED1-JZZZZZ-TV1L0-JZZZ-JXXX</v>
      </c>
      <c r="AK102" t="s">
        <v>1008</v>
      </c>
    </row>
    <row r="103" spans="1:37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Mar 2026'!$A$8:$F$206,6,FALSE)</f>
        <v>Chq Bk</v>
      </c>
      <c r="H103" s="566">
        <v>0</v>
      </c>
      <c r="I103" s="566">
        <v>0</v>
      </c>
      <c r="J103" s="566">
        <v>-651.6</v>
      </c>
      <c r="K103" s="566">
        <v>0</v>
      </c>
      <c r="L103" s="566">
        <v>0</v>
      </c>
      <c r="M103" s="566">
        <f t="shared" si="3"/>
        <v>-651.6</v>
      </c>
      <c r="N103" s="566"/>
      <c r="O103" s="566"/>
      <c r="P103" s="566"/>
      <c r="Q103" s="566"/>
      <c r="R103" s="566"/>
      <c r="S103" s="566"/>
      <c r="T103" s="566">
        <f t="shared" si="4"/>
        <v>-651.6</v>
      </c>
      <c r="V103" s="573" t="s">
        <v>1007</v>
      </c>
      <c r="W103" s="573" t="s">
        <v>1007</v>
      </c>
      <c r="X103" s="577" t="s">
        <v>1006</v>
      </c>
      <c r="Y103" s="573"/>
      <c r="Z103" s="573"/>
      <c r="AA103" s="573"/>
      <c r="AB103" s="573"/>
      <c r="AC103" s="573"/>
      <c r="AD103" s="573"/>
      <c r="AE103" s="573"/>
      <c r="AF103" s="573"/>
      <c r="AG103" s="573"/>
      <c r="AI103">
        <v>3100619591</v>
      </c>
      <c r="AJ103" t="str">
        <f t="shared" si="5"/>
        <v>B1-AX04X-5A02-ED1-JZZZZZ-TV1L0-JZZZ-JXXX</v>
      </c>
    </row>
    <row r="104" spans="1:37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Mar 2026'!$A$8:$F$206,6,FALSE)</f>
        <v>Chq Bk</v>
      </c>
      <c r="H104" s="828">
        <v>87218.950000000012</v>
      </c>
      <c r="I104" s="828">
        <v>-176.7</v>
      </c>
      <c r="J104" s="566">
        <v>-21.930000000000007</v>
      </c>
      <c r="K104" s="566">
        <v>0</v>
      </c>
      <c r="L104" s="566">
        <v>-56</v>
      </c>
      <c r="M104" s="566">
        <f t="shared" si="3"/>
        <v>-77.930000000000007</v>
      </c>
      <c r="N104" s="566"/>
      <c r="O104" s="566"/>
      <c r="P104" s="566"/>
      <c r="Q104" s="566"/>
      <c r="R104" s="566"/>
      <c r="S104" s="566"/>
      <c r="T104" s="566">
        <f t="shared" si="4"/>
        <v>86964.320000000022</v>
      </c>
      <c r="V104" s="577" t="s">
        <v>1006</v>
      </c>
      <c r="W104" s="577" t="s">
        <v>1006</v>
      </c>
      <c r="X104" s="577" t="s">
        <v>1006</v>
      </c>
      <c r="Y104" s="573"/>
      <c r="Z104" s="573"/>
      <c r="AA104" s="573"/>
      <c r="AB104" s="573"/>
      <c r="AC104" s="573"/>
      <c r="AD104" s="573"/>
      <c r="AE104" s="573"/>
      <c r="AF104" s="573"/>
      <c r="AG104" s="573"/>
      <c r="AI104">
        <v>3100608573</v>
      </c>
      <c r="AJ104" t="str">
        <f t="shared" si="5"/>
        <v>B1-AX04Y-5A02-ED1-JZZZZZ-TV1L0-JZZZ-JXXX</v>
      </c>
    </row>
    <row r="105" spans="1:37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Mar 2026'!$A$8:$F$206,6,FALSE)</f>
        <v>Chq Bk</v>
      </c>
      <c r="H105" s="828">
        <v>5591.95</v>
      </c>
      <c r="I105" s="829">
        <v>2465.17</v>
      </c>
      <c r="J105" s="566">
        <v>4154.7699999999986</v>
      </c>
      <c r="K105" s="566">
        <v>5517.1299999999983</v>
      </c>
      <c r="L105" s="566">
        <v>2651.56</v>
      </c>
      <c r="M105" s="828">
        <f t="shared" si="3"/>
        <v>12323.459999999997</v>
      </c>
      <c r="N105" s="566"/>
      <c r="O105" s="566"/>
      <c r="P105" s="566"/>
      <c r="Q105" s="566"/>
      <c r="R105" s="566"/>
      <c r="S105" s="566"/>
      <c r="T105" s="566">
        <f t="shared" si="4"/>
        <v>20380.579999999998</v>
      </c>
      <c r="V105" s="577" t="s">
        <v>1006</v>
      </c>
      <c r="W105" s="577" t="s">
        <v>1006</v>
      </c>
      <c r="X105" s="577" t="s">
        <v>1006</v>
      </c>
      <c r="Y105" s="573"/>
      <c r="Z105" s="573"/>
      <c r="AA105" s="573"/>
      <c r="AB105" s="573"/>
      <c r="AC105" s="573"/>
      <c r="AD105" s="573"/>
      <c r="AE105" s="573"/>
      <c r="AF105" s="573"/>
      <c r="AG105" s="573"/>
      <c r="AI105">
        <v>3100610517</v>
      </c>
      <c r="AJ105" t="str">
        <f t="shared" si="5"/>
        <v>B1-AX04Z-5A02-ED1-JZZZZZ-TV1L0-JZZZ-JXXX</v>
      </c>
    </row>
    <row r="106" spans="1:37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Mar 2026'!$A$8:$F$206,6,FALSE)</f>
        <v>Chq Bk</v>
      </c>
      <c r="H106" s="828">
        <v>47531.679999999993</v>
      </c>
      <c r="I106" s="829">
        <v>46378.060000000005</v>
      </c>
      <c r="J106" s="566">
        <v>-247.9</v>
      </c>
      <c r="K106" s="566">
        <v>-831.48</v>
      </c>
      <c r="L106" s="566">
        <v>0</v>
      </c>
      <c r="M106" s="566">
        <f t="shared" si="3"/>
        <v>-1079.3800000000001</v>
      </c>
      <c r="N106" s="566"/>
      <c r="O106" s="566"/>
      <c r="P106" s="566"/>
      <c r="Q106" s="566"/>
      <c r="R106" s="566"/>
      <c r="S106" s="566"/>
      <c r="T106" s="566">
        <f t="shared" si="4"/>
        <v>92830.359999999986</v>
      </c>
      <c r="V106" s="577" t="s">
        <v>1006</v>
      </c>
      <c r="W106" s="577" t="s">
        <v>1006</v>
      </c>
      <c r="X106" s="577" t="s">
        <v>1006</v>
      </c>
      <c r="Y106" s="573"/>
      <c r="Z106" s="573"/>
      <c r="AA106" s="573"/>
      <c r="AB106" s="573"/>
      <c r="AC106" s="573"/>
      <c r="AD106" s="573"/>
      <c r="AE106" s="573"/>
      <c r="AF106" s="573"/>
      <c r="AG106" s="573"/>
      <c r="AI106">
        <v>3100484463</v>
      </c>
      <c r="AJ106" t="str">
        <f t="shared" si="5"/>
        <v>B1-AX052-5A02-ED1-JZZZZZ-TV1L0-JZZZ-JXXX</v>
      </c>
    </row>
    <row r="107" spans="1:37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Mar 2026'!$A$8:$F$206,6,FALSE)</f>
        <v>Chq Bk</v>
      </c>
      <c r="H107" s="566">
        <v>0</v>
      </c>
      <c r="I107" s="566">
        <v>0</v>
      </c>
      <c r="J107" s="566">
        <v>0</v>
      </c>
      <c r="K107" s="566">
        <v>0</v>
      </c>
      <c r="L107" s="566">
        <v>0</v>
      </c>
      <c r="M107" s="566">
        <f t="shared" si="3"/>
        <v>0</v>
      </c>
      <c r="N107" s="566"/>
      <c r="O107" s="566"/>
      <c r="P107" s="566"/>
      <c r="Q107" s="566"/>
      <c r="R107" s="566"/>
      <c r="S107" s="566"/>
      <c r="T107" s="566">
        <f t="shared" si="4"/>
        <v>0</v>
      </c>
      <c r="V107" s="573" t="s">
        <v>1007</v>
      </c>
      <c r="W107" s="573" t="s">
        <v>1007</v>
      </c>
      <c r="X107" s="573" t="s">
        <v>1007</v>
      </c>
      <c r="Y107" s="573"/>
      <c r="Z107" s="573"/>
      <c r="AA107" s="573"/>
      <c r="AB107" s="573"/>
      <c r="AC107" s="573"/>
      <c r="AD107" s="573"/>
      <c r="AE107" s="573"/>
      <c r="AF107" s="573"/>
      <c r="AG107" s="573"/>
      <c r="AI107">
        <v>3100201705</v>
      </c>
      <c r="AJ107" t="str">
        <f t="shared" si="5"/>
        <v>B1-AX0BK-5A02-ED1-JZZZZZ-TV1L0-JZZZ-JXXX</v>
      </c>
    </row>
    <row r="108" spans="1:37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Mar 2026'!$A$8:$F$206,6,FALSE)</f>
        <v>Chq Bk</v>
      </c>
      <c r="H108" s="566">
        <v>0</v>
      </c>
      <c r="I108" s="566">
        <v>0</v>
      </c>
      <c r="J108" s="566">
        <v>0</v>
      </c>
      <c r="K108" s="566">
        <v>0</v>
      </c>
      <c r="L108" s="566">
        <v>0</v>
      </c>
      <c r="M108" s="566">
        <f t="shared" si="3"/>
        <v>0</v>
      </c>
      <c r="N108" s="566"/>
      <c r="O108" s="566"/>
      <c r="P108" s="566"/>
      <c r="Q108" s="566"/>
      <c r="R108" s="566"/>
      <c r="S108" s="566"/>
      <c r="T108" s="566">
        <f t="shared" si="4"/>
        <v>0</v>
      </c>
      <c r="V108" s="573" t="s">
        <v>1007</v>
      </c>
      <c r="W108" s="573" t="s">
        <v>1007</v>
      </c>
      <c r="X108" s="573" t="s">
        <v>1007</v>
      </c>
      <c r="Y108" s="573"/>
      <c r="Z108" s="573"/>
      <c r="AA108" s="573"/>
      <c r="AB108" s="573"/>
      <c r="AC108" s="573"/>
      <c r="AD108" s="573"/>
      <c r="AE108" s="573"/>
      <c r="AF108" s="573"/>
      <c r="AG108" s="573"/>
      <c r="AI108">
        <v>3100021339</v>
      </c>
      <c r="AJ108" t="str">
        <f t="shared" si="5"/>
        <v>B1-AX0BL-5A02-ED1-JZZZZZ-TV1L0-JZZZ-JXXX</v>
      </c>
    </row>
    <row r="109" spans="1:37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Mar 2026'!$A$8:$F$206,6,FALSE)</f>
        <v>Chq Bk</v>
      </c>
      <c r="H109" s="828">
        <v>185648.23</v>
      </c>
      <c r="I109" s="829">
        <v>184060.80000000008</v>
      </c>
      <c r="J109" s="566">
        <v>-288</v>
      </c>
      <c r="K109" s="566">
        <v>-5692.42</v>
      </c>
      <c r="L109" s="566">
        <v>-300</v>
      </c>
      <c r="M109" s="566">
        <f t="shared" si="3"/>
        <v>-6280.42</v>
      </c>
      <c r="N109" s="566"/>
      <c r="O109" s="566"/>
      <c r="P109" s="566"/>
      <c r="Q109" s="566"/>
      <c r="R109" s="566"/>
      <c r="S109" s="566"/>
      <c r="T109" s="566">
        <f t="shared" si="4"/>
        <v>363428.6100000001</v>
      </c>
      <c r="V109" s="577" t="s">
        <v>1006</v>
      </c>
      <c r="W109" s="577" t="s">
        <v>1006</v>
      </c>
      <c r="X109" s="577" t="s">
        <v>1006</v>
      </c>
      <c r="Y109" s="573"/>
      <c r="Z109" s="573"/>
      <c r="AA109" s="573"/>
      <c r="AB109" s="573"/>
      <c r="AC109" s="573"/>
      <c r="AD109" s="573"/>
      <c r="AE109" s="573"/>
      <c r="AF109" s="573"/>
      <c r="AG109" s="573"/>
      <c r="AI109">
        <v>3100611833</v>
      </c>
      <c r="AJ109" t="str">
        <f t="shared" si="5"/>
        <v>B1-AX054-5A02-ED1-JZZZZZ-TV1L0-JZZZ-JXXX</v>
      </c>
    </row>
    <row r="110" spans="1:37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Mar 2026'!$A$8:$F$206,6,FALSE)</f>
        <v>Chq Bk</v>
      </c>
      <c r="H110" s="828">
        <v>1813.6699999999996</v>
      </c>
      <c r="I110" s="828">
        <v>-1711.6299999999999</v>
      </c>
      <c r="J110" s="566">
        <v>-2392.92</v>
      </c>
      <c r="K110" s="566">
        <v>-2178.2200000000003</v>
      </c>
      <c r="L110" s="566">
        <v>-823.95</v>
      </c>
      <c r="M110" s="566">
        <f t="shared" si="3"/>
        <v>-5395.09</v>
      </c>
      <c r="N110" s="566"/>
      <c r="O110" s="566"/>
      <c r="P110" s="566"/>
      <c r="Q110" s="566"/>
      <c r="R110" s="566"/>
      <c r="S110" s="566"/>
      <c r="T110" s="566">
        <f t="shared" si="4"/>
        <v>-5293.05</v>
      </c>
      <c r="V110" s="577" t="s">
        <v>1006</v>
      </c>
      <c r="W110" s="577" t="s">
        <v>1006</v>
      </c>
      <c r="X110" s="577" t="s">
        <v>1006</v>
      </c>
      <c r="Y110" s="573"/>
      <c r="Z110" s="573"/>
      <c r="AA110" s="573"/>
      <c r="AB110" s="573"/>
      <c r="AC110" s="573"/>
      <c r="AD110" s="573"/>
      <c r="AE110" s="573"/>
      <c r="AF110" s="573"/>
      <c r="AG110" s="573"/>
      <c r="AI110">
        <v>3100201707</v>
      </c>
      <c r="AJ110" t="str">
        <f t="shared" si="5"/>
        <v>B1-AX055-5A02-ED1-JZZZZZ-TV1L0-JZZZ-JXXX</v>
      </c>
    </row>
    <row r="111" spans="1:37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Mar 2026'!$A$8:$F$206,6,FALSE)</f>
        <v>Chq Bk</v>
      </c>
      <c r="H111" s="566">
        <v>0</v>
      </c>
      <c r="I111" s="566">
        <v>0</v>
      </c>
      <c r="J111" s="566">
        <v>0</v>
      </c>
      <c r="K111" s="566">
        <v>0</v>
      </c>
      <c r="L111" s="566">
        <v>0</v>
      </c>
      <c r="M111" s="566">
        <f t="shared" si="3"/>
        <v>0</v>
      </c>
      <c r="N111" s="566"/>
      <c r="O111" s="566"/>
      <c r="P111" s="566"/>
      <c r="Q111" s="566"/>
      <c r="R111" s="566"/>
      <c r="S111" s="566"/>
      <c r="T111" s="566">
        <f t="shared" si="4"/>
        <v>0</v>
      </c>
      <c r="V111" s="573" t="s">
        <v>1007</v>
      </c>
      <c r="W111" s="573" t="s">
        <v>1007</v>
      </c>
      <c r="X111" s="573" t="s">
        <v>1007</v>
      </c>
      <c r="Y111" s="573"/>
      <c r="Z111" s="573"/>
      <c r="AA111" s="573"/>
      <c r="AB111" s="573"/>
      <c r="AC111" s="573"/>
      <c r="AD111" s="573"/>
      <c r="AE111" s="573"/>
      <c r="AF111" s="573"/>
      <c r="AG111" s="573"/>
      <c r="AI111">
        <v>3100325501</v>
      </c>
      <c r="AJ111" t="str">
        <f t="shared" si="5"/>
        <v>B1-AX056-5A02-ED1-JZZZZZ-TV1L0-JZZZ-JXXX</v>
      </c>
    </row>
    <row r="112" spans="1:37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Mar 2026'!$A$8:$F$206,6,FALSE)</f>
        <v>Chq Bk</v>
      </c>
      <c r="H112" s="566">
        <v>0</v>
      </c>
      <c r="I112" s="566">
        <v>0</v>
      </c>
      <c r="J112" s="566">
        <v>0</v>
      </c>
      <c r="K112" s="566">
        <v>0</v>
      </c>
      <c r="L112" s="566">
        <v>0</v>
      </c>
      <c r="M112" s="566">
        <f t="shared" si="3"/>
        <v>0</v>
      </c>
      <c r="N112" s="566"/>
      <c r="O112" s="566"/>
      <c r="P112" s="566"/>
      <c r="Q112" s="566"/>
      <c r="R112" s="566"/>
      <c r="S112" s="566"/>
      <c r="T112" s="566">
        <f t="shared" si="4"/>
        <v>0</v>
      </c>
      <c r="V112" s="573" t="s">
        <v>1007</v>
      </c>
      <c r="W112" s="573" t="s">
        <v>1007</v>
      </c>
      <c r="X112" s="573" t="s">
        <v>1007</v>
      </c>
      <c r="Y112" s="573"/>
      <c r="Z112" s="573"/>
      <c r="AA112" s="573"/>
      <c r="AB112" s="573"/>
      <c r="AC112" s="573"/>
      <c r="AD112" s="573"/>
      <c r="AE112" s="573"/>
      <c r="AF112" s="573"/>
      <c r="AG112" s="573"/>
      <c r="AI112">
        <v>3100021651</v>
      </c>
      <c r="AJ112" t="str">
        <f t="shared" si="5"/>
        <v>B1-AX0BR-5A02-ED1-JZZZZZ-TV1L0-JZZZ-JXXX</v>
      </c>
    </row>
    <row r="113" spans="1:36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Mar 2026'!$A$8:$F$206,6,FALSE)</f>
        <v>Chq Bk</v>
      </c>
      <c r="H113" s="828">
        <v>8335.8600000000024</v>
      </c>
      <c r="I113" s="566">
        <v>0</v>
      </c>
      <c r="J113" s="566">
        <v>13.1</v>
      </c>
      <c r="K113" s="566">
        <v>-8336.4</v>
      </c>
      <c r="L113" s="566">
        <v>49.16</v>
      </c>
      <c r="M113" s="566">
        <f t="shared" si="3"/>
        <v>-8274.14</v>
      </c>
      <c r="N113" s="566"/>
      <c r="O113" s="566"/>
      <c r="P113" s="566"/>
      <c r="Q113" s="566"/>
      <c r="R113" s="566"/>
      <c r="S113" s="566"/>
      <c r="T113" s="566">
        <f t="shared" si="4"/>
        <v>61.720000000002983</v>
      </c>
      <c r="V113" s="577" t="s">
        <v>1006</v>
      </c>
      <c r="W113" s="573" t="s">
        <v>1007</v>
      </c>
      <c r="X113" s="577" t="s">
        <v>1006</v>
      </c>
      <c r="Y113" s="573"/>
      <c r="Z113" s="573"/>
      <c r="AA113" s="573"/>
      <c r="AB113" s="573"/>
      <c r="AC113" s="573"/>
      <c r="AD113" s="573"/>
      <c r="AE113" s="573"/>
      <c r="AF113" s="573"/>
      <c r="AG113" s="573"/>
      <c r="AI113">
        <v>3100564155</v>
      </c>
      <c r="AJ113" t="str">
        <f t="shared" si="5"/>
        <v>B1-AX059-5A02-ED1-JZZZZZ-TV1L0-JZZZ-JXXX</v>
      </c>
    </row>
    <row r="114" spans="1:36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Mar 2026'!$A$8:$F$206,6,FALSE)</f>
        <v>Chq Bk</v>
      </c>
      <c r="H114" s="828">
        <v>216746.71</v>
      </c>
      <c r="I114" s="829">
        <v>174657.87000000005</v>
      </c>
      <c r="J114" s="566">
        <v>-24876.450000000004</v>
      </c>
      <c r="K114" s="566">
        <v>-35227.82</v>
      </c>
      <c r="L114" s="566">
        <v>24900</v>
      </c>
      <c r="M114" s="566">
        <f t="shared" si="3"/>
        <v>-35204.270000000004</v>
      </c>
      <c r="N114" s="566"/>
      <c r="O114" s="566"/>
      <c r="P114" s="566"/>
      <c r="Q114" s="566"/>
      <c r="R114" s="566"/>
      <c r="S114" s="566"/>
      <c r="T114" s="566">
        <f t="shared" si="4"/>
        <v>356200.31000000006</v>
      </c>
      <c r="V114" s="577" t="s">
        <v>1006</v>
      </c>
      <c r="W114" s="577" t="s">
        <v>1006</v>
      </c>
      <c r="X114" s="577" t="s">
        <v>1006</v>
      </c>
      <c r="Y114" s="573"/>
      <c r="Z114" s="573"/>
      <c r="AA114" s="573"/>
      <c r="AB114" s="573"/>
      <c r="AC114" s="573"/>
      <c r="AD114" s="573"/>
      <c r="AE114" s="573"/>
      <c r="AF114" s="573"/>
      <c r="AG114" s="573"/>
      <c r="AI114">
        <v>3100611835</v>
      </c>
      <c r="AJ114" t="str">
        <f t="shared" si="5"/>
        <v>B1-AX05A-5A02-ED1-JZZZZZ-TV1L0-JZZZ-JXXX</v>
      </c>
    </row>
    <row r="115" spans="1:36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Mar 2026'!$A$8:$F$206,6,FALSE)</f>
        <v>Chq Bk</v>
      </c>
      <c r="H115" s="828">
        <v>364.12</v>
      </c>
      <c r="I115" s="829">
        <v>141.57</v>
      </c>
      <c r="J115" s="566">
        <v>26.2</v>
      </c>
      <c r="K115" s="566">
        <v>0</v>
      </c>
      <c r="L115" s="566">
        <v>-250</v>
      </c>
      <c r="M115" s="566">
        <f t="shared" si="3"/>
        <v>-223.8</v>
      </c>
      <c r="N115" s="566"/>
      <c r="O115" s="566"/>
      <c r="P115" s="566"/>
      <c r="Q115" s="566"/>
      <c r="R115" s="566"/>
      <c r="S115" s="566"/>
      <c r="T115" s="566">
        <f t="shared" si="4"/>
        <v>281.89</v>
      </c>
      <c r="V115" s="577" t="s">
        <v>1006</v>
      </c>
      <c r="W115" s="577" t="s">
        <v>1006</v>
      </c>
      <c r="X115" s="577" t="s">
        <v>1006</v>
      </c>
      <c r="Y115" s="573"/>
      <c r="Z115" s="573"/>
      <c r="AA115" s="573"/>
      <c r="AB115" s="573"/>
      <c r="AC115" s="573"/>
      <c r="AD115" s="573"/>
      <c r="AE115" s="573"/>
      <c r="AF115" s="573"/>
      <c r="AG115" s="573"/>
      <c r="AI115">
        <v>3100532016</v>
      </c>
      <c r="AJ115" t="str">
        <f t="shared" si="5"/>
        <v>B1-AX061-5A02-ED1-JZZZZZ-TV1L0-JZZZ-JXXX</v>
      </c>
    </row>
    <row r="116" spans="1:36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Mar 2026'!$A$8:$F$206,6,FALSE)</f>
        <v>Chq Bk</v>
      </c>
      <c r="H116" s="566">
        <v>0</v>
      </c>
      <c r="I116" s="828">
        <v>-299</v>
      </c>
      <c r="J116" s="566">
        <v>0</v>
      </c>
      <c r="K116" s="566">
        <v>0</v>
      </c>
      <c r="L116" s="566">
        <v>-370</v>
      </c>
      <c r="M116" s="566">
        <f t="shared" si="3"/>
        <v>-370</v>
      </c>
      <c r="N116" s="566"/>
      <c r="O116" s="566"/>
      <c r="P116" s="566"/>
      <c r="Q116" s="566"/>
      <c r="R116" s="566"/>
      <c r="S116" s="566"/>
      <c r="T116" s="566">
        <f t="shared" si="4"/>
        <v>-669</v>
      </c>
      <c r="V116" s="573" t="s">
        <v>1007</v>
      </c>
      <c r="W116" s="577" t="s">
        <v>1006</v>
      </c>
      <c r="X116" s="577" t="s">
        <v>1006</v>
      </c>
      <c r="Y116" s="573"/>
      <c r="Z116" s="573"/>
      <c r="AA116" s="573"/>
      <c r="AB116" s="573"/>
      <c r="AC116" s="573"/>
      <c r="AD116" s="573"/>
      <c r="AE116" s="573"/>
      <c r="AF116" s="573"/>
      <c r="AG116" s="573"/>
      <c r="AI116">
        <v>3100620723</v>
      </c>
      <c r="AJ116" t="str">
        <f t="shared" si="5"/>
        <v>B1-AX05C-5A02-ED1-JZZZZZ-TV1L0-JZZZ-JXXX</v>
      </c>
    </row>
    <row r="117" spans="1:36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Mar 2026'!$A$8:$F$206,6,FALSE)</f>
        <v>Chq Bk</v>
      </c>
      <c r="H117" s="828">
        <v>95833.919999999998</v>
      </c>
      <c r="I117" s="828">
        <v>-1630.41</v>
      </c>
      <c r="J117" s="566">
        <v>-1061.31</v>
      </c>
      <c r="K117" s="566">
        <v>-293.02</v>
      </c>
      <c r="L117" s="566">
        <v>-102.78999999999999</v>
      </c>
      <c r="M117" s="566">
        <f t="shared" si="3"/>
        <v>-1457.12</v>
      </c>
      <c r="N117" s="566"/>
      <c r="O117" s="566"/>
      <c r="P117" s="566"/>
      <c r="Q117" s="566"/>
      <c r="R117" s="566"/>
      <c r="S117" s="566"/>
      <c r="T117" s="566">
        <f t="shared" si="4"/>
        <v>92746.39</v>
      </c>
      <c r="V117" s="577" t="s">
        <v>1006</v>
      </c>
      <c r="W117" s="577" t="s">
        <v>1006</v>
      </c>
      <c r="X117" s="577" t="s">
        <v>1006</v>
      </c>
      <c r="Y117" s="573"/>
      <c r="Z117" s="573"/>
      <c r="AA117" s="573"/>
      <c r="AB117" s="573"/>
      <c r="AC117" s="573"/>
      <c r="AD117" s="573"/>
      <c r="AE117" s="573"/>
      <c r="AF117" s="573"/>
      <c r="AG117" s="573"/>
      <c r="AI117">
        <v>3100544037</v>
      </c>
      <c r="AJ117" t="str">
        <f t="shared" si="5"/>
        <v>B1-AX05E-5A02-ED1-JZZZZZ-TV1L0-JZZZ-JXXX</v>
      </c>
    </row>
    <row r="118" spans="1:36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Mar 2026'!$A$8:$F$206,6,FALSE)</f>
        <v>Chq Bk</v>
      </c>
      <c r="H118" s="828">
        <v>168236.77000000008</v>
      </c>
      <c r="I118" s="829">
        <v>169039.75</v>
      </c>
      <c r="J118" s="566">
        <v>172837.54</v>
      </c>
      <c r="K118" s="566">
        <v>174.15999999999974</v>
      </c>
      <c r="L118" s="566">
        <v>49.17</v>
      </c>
      <c r="M118" s="828">
        <f t="shared" si="3"/>
        <v>173060.87000000002</v>
      </c>
      <c r="N118" s="566"/>
      <c r="O118" s="566"/>
      <c r="P118" s="566"/>
      <c r="Q118" s="566"/>
      <c r="R118" s="566"/>
      <c r="S118" s="566"/>
      <c r="T118" s="566">
        <f t="shared" si="4"/>
        <v>510337.39000000013</v>
      </c>
      <c r="V118" s="577" t="s">
        <v>1006</v>
      </c>
      <c r="W118" s="577" t="s">
        <v>1006</v>
      </c>
      <c r="X118" s="577" t="s">
        <v>1006</v>
      </c>
      <c r="Y118" s="573"/>
      <c r="Z118" s="573"/>
      <c r="AA118" s="573"/>
      <c r="AB118" s="573"/>
      <c r="AC118" s="573"/>
      <c r="AD118" s="573"/>
      <c r="AE118" s="573"/>
      <c r="AF118" s="573"/>
      <c r="AG118" s="573"/>
      <c r="AI118">
        <v>3100612109</v>
      </c>
      <c r="AJ118" t="str">
        <f t="shared" si="5"/>
        <v>B1-AX05H-5A02-ED1-JZZZZZ-TV1L0-JZZZ-JXXX</v>
      </c>
    </row>
    <row r="119" spans="1:36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Mar 2026'!$A$8:$F$206,6,FALSE)</f>
        <v>Chq Bk</v>
      </c>
      <c r="H119" s="828">
        <v>276250.11</v>
      </c>
      <c r="I119" s="829">
        <v>280882.82</v>
      </c>
      <c r="J119" s="566">
        <v>1875.94</v>
      </c>
      <c r="K119" s="566">
        <v>2606.79</v>
      </c>
      <c r="L119" s="566">
        <v>2306.2000000000003</v>
      </c>
      <c r="M119" s="828">
        <f t="shared" si="3"/>
        <v>6788.93</v>
      </c>
      <c r="N119" s="566"/>
      <c r="O119" s="566"/>
      <c r="P119" s="566"/>
      <c r="Q119" s="566"/>
      <c r="R119" s="566"/>
      <c r="S119" s="566"/>
      <c r="T119" s="566">
        <f t="shared" si="4"/>
        <v>563921.86</v>
      </c>
      <c r="V119" s="577" t="s">
        <v>1006</v>
      </c>
      <c r="W119" s="577" t="s">
        <v>1006</v>
      </c>
      <c r="X119" s="577" t="s">
        <v>1006</v>
      </c>
      <c r="Y119" s="573"/>
      <c r="Z119" s="573"/>
      <c r="AA119" s="573"/>
      <c r="AB119" s="573"/>
      <c r="AC119" s="573"/>
      <c r="AD119" s="573"/>
      <c r="AE119" s="573"/>
      <c r="AF119" s="573"/>
      <c r="AG119" s="573"/>
      <c r="AI119">
        <v>3100610518</v>
      </c>
      <c r="AJ119" t="str">
        <f t="shared" si="5"/>
        <v>B1-AX05J-5A02-ED1-JZZZZZ-TV1L0-JZZZ-JXXX</v>
      </c>
    </row>
    <row r="120" spans="1:36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Mar 2026'!$A$8:$F$206,6,FALSE)</f>
        <v>Chq Bk</v>
      </c>
      <c r="H120" s="566">
        <v>0</v>
      </c>
      <c r="I120" s="566">
        <v>0</v>
      </c>
      <c r="J120" s="566">
        <v>0</v>
      </c>
      <c r="K120" s="566">
        <v>0</v>
      </c>
      <c r="L120" s="566">
        <v>0</v>
      </c>
      <c r="M120" s="566">
        <f t="shared" si="3"/>
        <v>0</v>
      </c>
      <c r="N120" s="566"/>
      <c r="O120" s="566"/>
      <c r="P120" s="566"/>
      <c r="Q120" s="566"/>
      <c r="R120" s="566"/>
      <c r="S120" s="566"/>
      <c r="T120" s="566">
        <f t="shared" si="4"/>
        <v>0</v>
      </c>
      <c r="V120" s="573" t="s">
        <v>1007</v>
      </c>
      <c r="W120" s="573" t="s">
        <v>1007</v>
      </c>
      <c r="X120" s="573" t="s">
        <v>1007</v>
      </c>
      <c r="Y120" s="573"/>
      <c r="Z120" s="573"/>
      <c r="AA120" s="573"/>
      <c r="AB120" s="573"/>
      <c r="AC120" s="573"/>
      <c r="AD120" s="573"/>
      <c r="AE120" s="573"/>
      <c r="AF120" s="573"/>
      <c r="AG120" s="573"/>
      <c r="AI120">
        <v>0</v>
      </c>
      <c r="AJ120" t="str">
        <f t="shared" si="5"/>
        <v>B1-AX05K-5A02-ED1-JZZZZZ-TV1L0-JZZZ-JXXX</v>
      </c>
    </row>
    <row r="121" spans="1:36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Mar 2026'!$A$8:$F$206,6,FALSE)</f>
        <v>Chq Bk</v>
      </c>
      <c r="H121" s="828">
        <v>2282.92</v>
      </c>
      <c r="I121" s="829">
        <v>1086.9100000000001</v>
      </c>
      <c r="J121" s="566">
        <v>1352.82</v>
      </c>
      <c r="K121" s="566">
        <v>1408.6599999999999</v>
      </c>
      <c r="L121" s="566">
        <v>339.35</v>
      </c>
      <c r="M121" s="828">
        <f t="shared" si="3"/>
        <v>3100.8299999999995</v>
      </c>
      <c r="N121" s="566"/>
      <c r="O121" s="566"/>
      <c r="P121" s="566"/>
      <c r="Q121" s="566"/>
      <c r="R121" s="566"/>
      <c r="S121" s="566"/>
      <c r="T121" s="566">
        <f t="shared" si="4"/>
        <v>6470.66</v>
      </c>
      <c r="V121" s="577" t="s">
        <v>1006</v>
      </c>
      <c r="W121" s="577" t="s">
        <v>1006</v>
      </c>
      <c r="X121" s="577" t="s">
        <v>1006</v>
      </c>
      <c r="Y121" s="573"/>
      <c r="Z121" s="573"/>
      <c r="AA121" s="573"/>
      <c r="AB121" s="573"/>
      <c r="AC121" s="573"/>
      <c r="AD121" s="573"/>
      <c r="AE121" s="573"/>
      <c r="AF121" s="573"/>
      <c r="AG121" s="573"/>
      <c r="AI121">
        <v>3100612167</v>
      </c>
      <c r="AJ121" t="str">
        <f t="shared" si="5"/>
        <v>B1-AX05L-5A02-ED1-JZZZZZ-TV1L0-JZZZ-JXXX</v>
      </c>
    </row>
    <row r="122" spans="1:36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Mar 2026'!$A$8:$F$206,6,FALSE)</f>
        <v>Chq Bk</v>
      </c>
      <c r="H122" s="828">
        <v>115597.85000000002</v>
      </c>
      <c r="I122" s="829">
        <v>9.5</v>
      </c>
      <c r="J122" s="566">
        <v>-29481.63</v>
      </c>
      <c r="K122" s="566">
        <v>29590.79</v>
      </c>
      <c r="L122" s="566">
        <v>-1245</v>
      </c>
      <c r="M122" s="566">
        <f t="shared" si="3"/>
        <v>-1135.8400000000001</v>
      </c>
      <c r="N122" s="566"/>
      <c r="O122" s="566"/>
      <c r="P122" s="566"/>
      <c r="Q122" s="566"/>
      <c r="R122" s="566"/>
      <c r="S122" s="566"/>
      <c r="T122" s="566">
        <f t="shared" si="4"/>
        <v>114471.51000000002</v>
      </c>
      <c r="V122" s="577" t="s">
        <v>1006</v>
      </c>
      <c r="W122" s="577" t="s">
        <v>1006</v>
      </c>
      <c r="X122" s="577" t="s">
        <v>1006</v>
      </c>
      <c r="Y122" s="573"/>
      <c r="Z122" s="573"/>
      <c r="AA122" s="573"/>
      <c r="AB122" s="573"/>
      <c r="AC122" s="573"/>
      <c r="AD122" s="573"/>
      <c r="AE122" s="573"/>
      <c r="AF122" s="573"/>
      <c r="AG122" s="573"/>
      <c r="AI122">
        <v>3100618530</v>
      </c>
      <c r="AJ122" t="str">
        <f t="shared" si="5"/>
        <v>B1-AX05P-5A02-ED1-JZZZZZ-TV1L0-JZZZ-JXXX</v>
      </c>
    </row>
    <row r="123" spans="1:36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Mar 2026'!$A$8:$F$206,6,FALSE)</f>
        <v>Chq Bk</v>
      </c>
      <c r="H123" s="566">
        <v>0</v>
      </c>
      <c r="I123" s="566">
        <v>0</v>
      </c>
      <c r="J123" s="566">
        <v>0</v>
      </c>
      <c r="K123" s="566">
        <v>0</v>
      </c>
      <c r="L123" s="566">
        <v>0</v>
      </c>
      <c r="M123" s="566">
        <f t="shared" si="3"/>
        <v>0</v>
      </c>
      <c r="N123" s="566"/>
      <c r="O123" s="566"/>
      <c r="P123" s="566"/>
      <c r="Q123" s="566"/>
      <c r="R123" s="566"/>
      <c r="S123" s="566"/>
      <c r="T123" s="566">
        <f t="shared" si="4"/>
        <v>0</v>
      </c>
      <c r="V123" s="573" t="s">
        <v>1007</v>
      </c>
      <c r="W123" s="573" t="s">
        <v>1007</v>
      </c>
      <c r="X123" s="573" t="s">
        <v>1007</v>
      </c>
      <c r="Y123" s="573"/>
      <c r="Z123" s="573"/>
      <c r="AA123" s="573"/>
      <c r="AB123" s="573"/>
      <c r="AC123" s="573"/>
      <c r="AD123" s="573"/>
      <c r="AE123" s="573"/>
      <c r="AF123" s="573"/>
      <c r="AG123" s="573"/>
      <c r="AI123">
        <v>3100044884</v>
      </c>
      <c r="AJ123" t="str">
        <f t="shared" si="5"/>
        <v>B1-AX05Q-5A02-ED1-JZZZZZ-TV1L0-JZZZ-JXXX</v>
      </c>
    </row>
    <row r="124" spans="1:36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Mar 2026'!$A$8:$F$206,6,FALSE)</f>
        <v>Chq Bk</v>
      </c>
      <c r="H124" s="828">
        <v>-119.04</v>
      </c>
      <c r="I124" s="828">
        <v>-78.02</v>
      </c>
      <c r="J124" s="566">
        <v>-143.23000000000002</v>
      </c>
      <c r="K124" s="566">
        <v>-1539.3</v>
      </c>
      <c r="L124" s="566">
        <v>0</v>
      </c>
      <c r="M124" s="566">
        <f t="shared" si="3"/>
        <v>-1682.53</v>
      </c>
      <c r="N124" s="566"/>
      <c r="O124" s="566"/>
      <c r="P124" s="566"/>
      <c r="Q124" s="566"/>
      <c r="R124" s="566"/>
      <c r="S124" s="566"/>
      <c r="T124" s="566">
        <f t="shared" si="4"/>
        <v>-1879.59</v>
      </c>
      <c r="V124" s="577" t="s">
        <v>1006</v>
      </c>
      <c r="W124" s="577" t="s">
        <v>1006</v>
      </c>
      <c r="X124" s="577" t="s">
        <v>1006</v>
      </c>
      <c r="Y124" s="573"/>
      <c r="Z124" s="573"/>
      <c r="AA124" s="573"/>
      <c r="AB124" s="573"/>
      <c r="AC124" s="573"/>
      <c r="AD124" s="573"/>
      <c r="AE124" s="573"/>
      <c r="AF124" s="573"/>
      <c r="AG124" s="573"/>
      <c r="AI124">
        <v>3100599593</v>
      </c>
      <c r="AJ124" t="str">
        <f t="shared" si="5"/>
        <v>B1-AX05U-5A02-ED1-JZZZZZ-TV1L0-JZZZ-JXXX</v>
      </c>
    </row>
    <row r="125" spans="1:36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Mar 2026'!$A$8:$F$206,6,FALSE)</f>
        <v>Chq Bk</v>
      </c>
      <c r="H125" s="828">
        <v>-99</v>
      </c>
      <c r="I125" s="829">
        <v>1798.69</v>
      </c>
      <c r="J125" s="566">
        <v>-8970.2200000000012</v>
      </c>
      <c r="K125" s="566">
        <v>0</v>
      </c>
      <c r="L125" s="566">
        <v>6472.86</v>
      </c>
      <c r="M125" s="566">
        <f t="shared" si="3"/>
        <v>-2497.3600000000015</v>
      </c>
      <c r="N125" s="566"/>
      <c r="O125" s="566"/>
      <c r="P125" s="566"/>
      <c r="Q125" s="566"/>
      <c r="R125" s="566"/>
      <c r="S125" s="566"/>
      <c r="T125" s="566">
        <f t="shared" si="4"/>
        <v>-797.67000000000144</v>
      </c>
      <c r="V125" s="577" t="s">
        <v>1006</v>
      </c>
      <c r="W125" s="577" t="s">
        <v>1006</v>
      </c>
      <c r="X125" s="577" t="s">
        <v>1006</v>
      </c>
      <c r="Y125" s="573"/>
      <c r="Z125" s="573"/>
      <c r="AA125" s="573"/>
      <c r="AB125" s="573"/>
      <c r="AC125" s="573"/>
      <c r="AD125" s="573"/>
      <c r="AE125" s="573"/>
      <c r="AF125" s="573"/>
      <c r="AG125" s="573"/>
      <c r="AI125">
        <v>3100599594</v>
      </c>
      <c r="AJ125" t="str">
        <f t="shared" si="5"/>
        <v>B1-AX05Y-5A02-ED1-JZZZZZ-TV1L0-JZZZ-JXXX</v>
      </c>
    </row>
    <row r="126" spans="1:36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Mar 2026'!$A$8:$F$206,6,FALSE)</f>
        <v>Chq Bk</v>
      </c>
      <c r="H126" s="828">
        <v>185276.98000000004</v>
      </c>
      <c r="I126" s="829">
        <v>196529.03</v>
      </c>
      <c r="J126" s="566">
        <v>186469.38000000003</v>
      </c>
      <c r="K126" s="566">
        <v>197361.78</v>
      </c>
      <c r="L126" s="566">
        <v>207350.75999999998</v>
      </c>
      <c r="M126" s="828">
        <f t="shared" si="3"/>
        <v>591181.92000000004</v>
      </c>
      <c r="N126" s="566"/>
      <c r="O126" s="566"/>
      <c r="P126" s="566"/>
      <c r="Q126" s="566"/>
      <c r="R126" s="566"/>
      <c r="S126" s="566"/>
      <c r="T126" s="566">
        <f t="shared" si="4"/>
        <v>972987.93</v>
      </c>
      <c r="V126" s="577" t="s">
        <v>1006</v>
      </c>
      <c r="W126" s="577" t="s">
        <v>1006</v>
      </c>
      <c r="X126" s="577" t="s">
        <v>1006</v>
      </c>
      <c r="Y126" s="573"/>
      <c r="Z126" s="573"/>
      <c r="AA126" s="573"/>
      <c r="AB126" s="573"/>
      <c r="AC126" s="573"/>
      <c r="AD126" s="573"/>
      <c r="AE126" s="573"/>
      <c r="AF126" s="573"/>
      <c r="AG126" s="573"/>
      <c r="AI126">
        <v>3100201729</v>
      </c>
      <c r="AJ126" t="str">
        <f t="shared" si="5"/>
        <v>B1-AX05Z-5A02-ED1-JZZZZZ-TV1L0-JZZZ-JXXX</v>
      </c>
    </row>
    <row r="127" spans="1:36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Mar 2026'!$A$8:$F$206,6,FALSE)</f>
        <v>Chq Bk</v>
      </c>
      <c r="H127" s="828">
        <v>9058.4600000000009</v>
      </c>
      <c r="I127" s="829">
        <v>3275.37</v>
      </c>
      <c r="J127" s="566">
        <v>-1363.7699999999995</v>
      </c>
      <c r="K127" s="566">
        <v>1728.7199999999993</v>
      </c>
      <c r="L127" s="566">
        <v>1893.6599999999999</v>
      </c>
      <c r="M127" s="828">
        <f t="shared" si="3"/>
        <v>2258.6099999999997</v>
      </c>
      <c r="N127" s="566"/>
      <c r="O127" s="566"/>
      <c r="P127" s="566"/>
      <c r="Q127" s="566"/>
      <c r="R127" s="566"/>
      <c r="S127" s="566"/>
      <c r="T127" s="566">
        <f t="shared" si="4"/>
        <v>14592.440000000002</v>
      </c>
      <c r="V127" s="577" t="s">
        <v>1006</v>
      </c>
      <c r="W127" s="577" t="s">
        <v>1006</v>
      </c>
      <c r="X127" s="577" t="s">
        <v>1006</v>
      </c>
      <c r="Y127" s="573"/>
      <c r="Z127" s="573"/>
      <c r="AA127" s="573"/>
      <c r="AB127" s="573"/>
      <c r="AC127" s="573"/>
      <c r="AD127" s="573"/>
      <c r="AE127" s="573"/>
      <c r="AF127" s="573"/>
      <c r="AG127" s="573"/>
      <c r="AI127">
        <v>3100612279</v>
      </c>
      <c r="AJ127" t="str">
        <f t="shared" si="5"/>
        <v>B1-AX063-5A02-ED1-JZZZZZ-TV1L0-JZZZ-JXXX</v>
      </c>
    </row>
    <row r="128" spans="1:36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Mar 2026'!$A$8:$F$206,6,FALSE)</f>
        <v>Chq Bk</v>
      </c>
      <c r="H128" s="566">
        <v>0</v>
      </c>
      <c r="I128" s="566">
        <v>0</v>
      </c>
      <c r="J128" s="566">
        <v>0</v>
      </c>
      <c r="K128" s="566">
        <v>0</v>
      </c>
      <c r="L128" s="566">
        <v>0</v>
      </c>
      <c r="M128" s="566">
        <f t="shared" si="3"/>
        <v>0</v>
      </c>
      <c r="N128" s="566"/>
      <c r="O128" s="566"/>
      <c r="P128" s="566"/>
      <c r="Q128" s="566"/>
      <c r="R128" s="566"/>
      <c r="S128" s="566"/>
      <c r="T128" s="566">
        <f t="shared" si="4"/>
        <v>0</v>
      </c>
      <c r="V128" s="573" t="s">
        <v>1007</v>
      </c>
      <c r="W128" s="573" t="s">
        <v>1007</v>
      </c>
      <c r="X128" s="573" t="s">
        <v>1007</v>
      </c>
      <c r="Y128" s="573"/>
      <c r="Z128" s="573"/>
      <c r="AA128" s="573"/>
      <c r="AB128" s="573"/>
      <c r="AC128" s="573"/>
      <c r="AD128" s="573"/>
      <c r="AE128" s="573"/>
      <c r="AF128" s="573"/>
      <c r="AG128" s="573"/>
      <c r="AI128">
        <v>0</v>
      </c>
      <c r="AJ128" t="str">
        <f t="shared" si="5"/>
        <v>B1-AX066-5A02-ED1-JZZZZZ-TV1L0-JZZZ-JXXX</v>
      </c>
    </row>
    <row r="129" spans="1:36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Mar 2026'!$A$8:$F$206,6,FALSE)</f>
        <v>Chq Bk</v>
      </c>
      <c r="H129" s="566">
        <v>0</v>
      </c>
      <c r="I129" s="566">
        <v>0</v>
      </c>
      <c r="J129" s="566">
        <v>0</v>
      </c>
      <c r="K129" s="566">
        <v>0</v>
      </c>
      <c r="L129" s="566">
        <v>0</v>
      </c>
      <c r="M129" s="566">
        <f t="shared" si="3"/>
        <v>0</v>
      </c>
      <c r="N129" s="566"/>
      <c r="O129" s="566"/>
      <c r="P129" s="566"/>
      <c r="Q129" s="566"/>
      <c r="R129" s="566"/>
      <c r="S129" s="566"/>
      <c r="T129" s="566">
        <f t="shared" si="4"/>
        <v>0</v>
      </c>
      <c r="V129" s="573" t="s">
        <v>1007</v>
      </c>
      <c r="W129" s="573" t="s">
        <v>1007</v>
      </c>
      <c r="X129" s="573" t="s">
        <v>1007</v>
      </c>
      <c r="Y129" s="573"/>
      <c r="Z129" s="573"/>
      <c r="AA129" s="573"/>
      <c r="AB129" s="573"/>
      <c r="AC129" s="573"/>
      <c r="AD129" s="573"/>
      <c r="AE129" s="573"/>
      <c r="AF129" s="573"/>
      <c r="AG129" s="573"/>
      <c r="AI129">
        <v>3100044887</v>
      </c>
      <c r="AJ129" t="str">
        <f t="shared" si="5"/>
        <v>B1-AX067-5A02-ED1-JZZZZZ-TV1L0-JZZZ-JXXX</v>
      </c>
    </row>
    <row r="130" spans="1:36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Mar 2026'!$A$8:$F$206,6,FALSE)</f>
        <v>Chq Bk</v>
      </c>
      <c r="H130" s="828">
        <v>-1051.0699999999993</v>
      </c>
      <c r="I130" s="829">
        <v>3355</v>
      </c>
      <c r="J130" s="566">
        <v>-13626.99</v>
      </c>
      <c r="K130" s="566">
        <v>-132.96</v>
      </c>
      <c r="L130" s="566">
        <v>0</v>
      </c>
      <c r="M130" s="566">
        <f t="shared" si="3"/>
        <v>-13759.949999999999</v>
      </c>
      <c r="N130" s="566"/>
      <c r="O130" s="566"/>
      <c r="P130" s="566"/>
      <c r="Q130" s="566"/>
      <c r="R130" s="566"/>
      <c r="S130" s="566"/>
      <c r="T130" s="566">
        <f t="shared" si="4"/>
        <v>-11456.019999999999</v>
      </c>
      <c r="V130" s="577" t="s">
        <v>1006</v>
      </c>
      <c r="W130" s="577" t="s">
        <v>1006</v>
      </c>
      <c r="X130" s="577" t="s">
        <v>1006</v>
      </c>
      <c r="Y130" s="573"/>
      <c r="Z130" s="573"/>
      <c r="AA130" s="573"/>
      <c r="AB130" s="573"/>
      <c r="AC130" s="573"/>
      <c r="AD130" s="573"/>
      <c r="AE130" s="573"/>
      <c r="AF130" s="573"/>
      <c r="AG130" s="573"/>
      <c r="AI130">
        <v>3100611836</v>
      </c>
      <c r="AJ130" t="str">
        <f t="shared" si="5"/>
        <v>B1-AX068-5A02-ED1-JZZZZZ-TV1L0-JZZZ-JXXX</v>
      </c>
    </row>
    <row r="131" spans="1:36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Mar 2026'!$A$8:$F$206,6,FALSE)</f>
        <v>Chq Bk</v>
      </c>
      <c r="H131" s="828">
        <v>167599.53999999998</v>
      </c>
      <c r="I131" s="829">
        <v>33042.160000000003</v>
      </c>
      <c r="J131" s="566">
        <v>-3717.79</v>
      </c>
      <c r="K131" s="566">
        <v>-244.14999999999964</v>
      </c>
      <c r="L131" s="566">
        <v>494.74</v>
      </c>
      <c r="M131" s="566">
        <f t="shared" si="3"/>
        <v>-3467.2</v>
      </c>
      <c r="N131" s="566"/>
      <c r="O131" s="566"/>
      <c r="P131" s="566"/>
      <c r="Q131" s="566"/>
      <c r="R131" s="566"/>
      <c r="S131" s="566"/>
      <c r="T131" s="566">
        <f t="shared" si="4"/>
        <v>197174.49999999997</v>
      </c>
      <c r="V131" s="577" t="s">
        <v>1006</v>
      </c>
      <c r="W131" s="577" t="s">
        <v>1006</v>
      </c>
      <c r="X131" s="577" t="s">
        <v>1006</v>
      </c>
      <c r="Y131" s="573"/>
      <c r="Z131" s="573"/>
      <c r="AA131" s="573"/>
      <c r="AB131" s="573"/>
      <c r="AC131" s="573"/>
      <c r="AD131" s="573"/>
      <c r="AE131" s="573"/>
      <c r="AF131" s="573"/>
      <c r="AG131" s="573"/>
      <c r="AI131">
        <v>3100548222</v>
      </c>
      <c r="AJ131" t="str">
        <f t="shared" si="5"/>
        <v>B1-AX069-5A02-ED1-JZZZZZ-TV1L0-JZZZ-JXXX</v>
      </c>
    </row>
    <row r="132" spans="1:36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Mar 2026'!$A$8:$F$206,6,FALSE)</f>
        <v>Chq Bk</v>
      </c>
      <c r="H132" s="566">
        <v>0</v>
      </c>
      <c r="I132" s="829">
        <v>1504.17</v>
      </c>
      <c r="J132" s="566">
        <v>0</v>
      </c>
      <c r="K132" s="566">
        <v>0</v>
      </c>
      <c r="L132" s="566">
        <v>0</v>
      </c>
      <c r="M132" s="566">
        <f t="shared" si="3"/>
        <v>0</v>
      </c>
      <c r="N132" s="566"/>
      <c r="O132" s="566"/>
      <c r="P132" s="566"/>
      <c r="Q132" s="566"/>
      <c r="R132" s="566"/>
      <c r="S132" s="566"/>
      <c r="T132" s="566">
        <f t="shared" si="4"/>
        <v>1504.17</v>
      </c>
      <c r="V132" s="573" t="s">
        <v>1007</v>
      </c>
      <c r="W132" s="577" t="s">
        <v>1006</v>
      </c>
      <c r="X132" s="573" t="s">
        <v>1007</v>
      </c>
      <c r="Y132" s="573"/>
      <c r="Z132" s="573"/>
      <c r="AA132" s="573"/>
      <c r="AB132" s="573"/>
      <c r="AC132" s="573"/>
      <c r="AD132" s="573"/>
      <c r="AE132" s="573"/>
      <c r="AF132" s="573"/>
      <c r="AG132" s="573"/>
      <c r="AI132">
        <v>3100599603</v>
      </c>
      <c r="AJ132" t="str">
        <f t="shared" si="5"/>
        <v>B1-AX06E-5A02-ED1-JZZZZZ-TV1L0-JZZZ-JXXX</v>
      </c>
    </row>
    <row r="133" spans="1:36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Mar 2026'!$A$8:$F$206,6,FALSE)</f>
        <v>Chq Bk</v>
      </c>
      <c r="H133" s="828">
        <v>609.07999999999993</v>
      </c>
      <c r="I133" s="828">
        <v>-378.08</v>
      </c>
      <c r="J133" s="566">
        <v>-26171.679999999997</v>
      </c>
      <c r="K133" s="566">
        <v>26549.759999999998</v>
      </c>
      <c r="L133" s="566">
        <v>805</v>
      </c>
      <c r="M133" s="828">
        <f t="shared" si="3"/>
        <v>1183.0800000000017</v>
      </c>
      <c r="N133" s="566"/>
      <c r="O133" s="566"/>
      <c r="P133" s="566"/>
      <c r="Q133" s="566"/>
      <c r="R133" s="566"/>
      <c r="S133" s="566"/>
      <c r="T133" s="566">
        <f t="shared" si="4"/>
        <v>1414.0800000000017</v>
      </c>
      <c r="V133" s="577" t="s">
        <v>1006</v>
      </c>
      <c r="W133" s="577" t="s">
        <v>1006</v>
      </c>
      <c r="X133" s="577" t="s">
        <v>1006</v>
      </c>
      <c r="Y133" s="573"/>
      <c r="Z133" s="573"/>
      <c r="AA133" s="573"/>
      <c r="AB133" s="573"/>
      <c r="AC133" s="573"/>
      <c r="AD133" s="573"/>
      <c r="AE133" s="573"/>
      <c r="AF133" s="573"/>
      <c r="AG133" s="573"/>
      <c r="AI133">
        <v>3100331261</v>
      </c>
      <c r="AJ133" t="str">
        <f t="shared" si="5"/>
        <v>B1-AX06D-5A02-ED1-JZZZZZ-TV1L0-JZZZ-JXXX</v>
      </c>
    </row>
    <row r="134" spans="1:36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Mar 2026'!$A$8:$F$206,6,FALSE)</f>
        <v>Chq Bk</v>
      </c>
      <c r="H134" s="566">
        <v>0</v>
      </c>
      <c r="I134" s="566">
        <v>0</v>
      </c>
      <c r="J134" s="566">
        <v>0</v>
      </c>
      <c r="K134" s="566">
        <v>0</v>
      </c>
      <c r="L134" s="566">
        <v>0</v>
      </c>
      <c r="M134" s="566">
        <f t="shared" ref="M134:M197" si="6">SUM(J134:L134)</f>
        <v>0</v>
      </c>
      <c r="N134" s="566"/>
      <c r="O134" s="566"/>
      <c r="P134" s="566"/>
      <c r="Q134" s="566"/>
      <c r="R134" s="566"/>
      <c r="S134" s="566"/>
      <c r="T134" s="566">
        <f t="shared" ref="T134:T197" si="7">H134+I134+M134</f>
        <v>0</v>
      </c>
      <c r="V134" s="573" t="s">
        <v>1007</v>
      </c>
      <c r="W134" s="573" t="s">
        <v>1007</v>
      </c>
      <c r="X134" s="573" t="s">
        <v>1007</v>
      </c>
      <c r="Y134" s="573"/>
      <c r="Z134" s="573"/>
      <c r="AA134" s="573"/>
      <c r="AB134" s="573"/>
      <c r="AC134" s="573"/>
      <c r="AD134" s="573"/>
      <c r="AE134" s="573"/>
      <c r="AF134" s="573"/>
      <c r="AG134" s="573"/>
      <c r="AI134">
        <v>3100201895</v>
      </c>
      <c r="AJ134" t="str">
        <f t="shared" ref="AJ134:AJ197" si="8">_xlfn.CONCAT("B1-",C134,"-5A02-ED1-JZZZZZ-TV1L0-JZZZ-JXXX")</f>
        <v>B1-AX06F-5A02-ED1-JZZZZZ-TV1L0-JZZZ-JXXX</v>
      </c>
    </row>
    <row r="135" spans="1:36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Mar 2026'!$A$8:$F$206,6,FALSE)</f>
        <v>Chq Bk</v>
      </c>
      <c r="H135" s="566">
        <v>0</v>
      </c>
      <c r="I135" s="566">
        <v>0</v>
      </c>
      <c r="J135" s="566">
        <v>0</v>
      </c>
      <c r="K135" s="566">
        <v>0</v>
      </c>
      <c r="L135" s="566">
        <v>0</v>
      </c>
      <c r="M135" s="566">
        <f t="shared" si="6"/>
        <v>0</v>
      </c>
      <c r="N135" s="566"/>
      <c r="O135" s="566"/>
      <c r="P135" s="566"/>
      <c r="Q135" s="566"/>
      <c r="R135" s="566"/>
      <c r="S135" s="566"/>
      <c r="T135" s="566">
        <f t="shared" si="7"/>
        <v>0</v>
      </c>
      <c r="V135" s="573" t="s">
        <v>1007</v>
      </c>
      <c r="W135" s="573" t="s">
        <v>1007</v>
      </c>
      <c r="X135" s="573" t="s">
        <v>1007</v>
      </c>
      <c r="Y135" s="573"/>
      <c r="Z135" s="573"/>
      <c r="AA135" s="573"/>
      <c r="AB135" s="573"/>
      <c r="AC135" s="573"/>
      <c r="AD135" s="573"/>
      <c r="AE135" s="573"/>
      <c r="AF135" s="573"/>
      <c r="AG135" s="573"/>
      <c r="AI135">
        <v>0</v>
      </c>
      <c r="AJ135" t="str">
        <f t="shared" si="8"/>
        <v>B1-AX0C4-5A02-ED1-JZZZZZ-TV1L0-JZZZ-JXXX</v>
      </c>
    </row>
    <row r="136" spans="1:36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Mar 2026'!$A$8:$F$206,6,FALSE)</f>
        <v>Chq Bk</v>
      </c>
      <c r="H136" s="566">
        <v>0</v>
      </c>
      <c r="I136" s="566">
        <v>0</v>
      </c>
      <c r="J136" s="566">
        <v>0</v>
      </c>
      <c r="K136" s="566">
        <v>0</v>
      </c>
      <c r="L136" s="566">
        <v>0</v>
      </c>
      <c r="M136" s="566">
        <f t="shared" si="6"/>
        <v>0</v>
      </c>
      <c r="N136" s="566"/>
      <c r="O136" s="566"/>
      <c r="P136" s="566"/>
      <c r="Q136" s="566"/>
      <c r="R136" s="566"/>
      <c r="S136" s="566"/>
      <c r="T136" s="566">
        <f t="shared" si="7"/>
        <v>0</v>
      </c>
      <c r="V136" s="573" t="s">
        <v>1007</v>
      </c>
      <c r="W136" s="573" t="s">
        <v>1007</v>
      </c>
      <c r="X136" s="573" t="s">
        <v>1007</v>
      </c>
      <c r="Y136" s="573"/>
      <c r="Z136" s="573"/>
      <c r="AA136" s="573"/>
      <c r="AB136" s="573"/>
      <c r="AC136" s="573"/>
      <c r="AD136" s="573"/>
      <c r="AE136" s="573"/>
      <c r="AF136" s="573"/>
      <c r="AG136" s="573"/>
      <c r="AI136">
        <v>3100046590</v>
      </c>
      <c r="AJ136" t="str">
        <f t="shared" si="8"/>
        <v>B1-AX06L-5A02-ED1-JZZZZZ-TV1L0-JZZZ-JXXX</v>
      </c>
    </row>
    <row r="137" spans="1:36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Mar 2026'!$A$8:$F$206,6,FALSE)</f>
        <v>Chq Bk</v>
      </c>
      <c r="H137" s="828">
        <v>178923.6</v>
      </c>
      <c r="I137" s="829">
        <v>175029.12000000005</v>
      </c>
      <c r="J137" s="566">
        <v>3834.73</v>
      </c>
      <c r="K137" s="566">
        <v>802.01000000000022</v>
      </c>
      <c r="L137" s="566">
        <v>1170.6300000000001</v>
      </c>
      <c r="M137" s="828">
        <f t="shared" si="6"/>
        <v>5807.37</v>
      </c>
      <c r="N137" s="566"/>
      <c r="O137" s="566"/>
      <c r="P137" s="566"/>
      <c r="Q137" s="566"/>
      <c r="R137" s="566"/>
      <c r="S137" s="566"/>
      <c r="T137" s="566">
        <f t="shared" si="7"/>
        <v>359760.09000000008</v>
      </c>
      <c r="V137" s="577" t="s">
        <v>1006</v>
      </c>
      <c r="W137" s="577" t="s">
        <v>1006</v>
      </c>
      <c r="X137" s="577" t="s">
        <v>1006</v>
      </c>
      <c r="Y137" s="573"/>
      <c r="Z137" s="573"/>
      <c r="AA137" s="573"/>
      <c r="AB137" s="573"/>
      <c r="AC137" s="573"/>
      <c r="AD137" s="573"/>
      <c r="AE137" s="573"/>
      <c r="AF137" s="573"/>
      <c r="AG137" s="573"/>
      <c r="AI137">
        <v>3100612502</v>
      </c>
      <c r="AJ137" t="str">
        <f t="shared" si="8"/>
        <v>B1-AX06N-5A02-ED1-JZZZZZ-TV1L0-JZZZ-JXXX</v>
      </c>
    </row>
    <row r="138" spans="1:36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Mar 2026'!$A$8:$F$206,6,FALSE)</f>
        <v>Chq Bk</v>
      </c>
      <c r="H138" s="828">
        <v>123506.43999999997</v>
      </c>
      <c r="I138" s="829">
        <v>118929.62999999998</v>
      </c>
      <c r="J138" s="566">
        <v>0</v>
      </c>
      <c r="K138" s="566">
        <v>-31094.76</v>
      </c>
      <c r="L138" s="566">
        <v>31094.759999999995</v>
      </c>
      <c r="M138" s="566">
        <f t="shared" si="6"/>
        <v>0</v>
      </c>
      <c r="N138" s="566"/>
      <c r="O138" s="566"/>
      <c r="P138" s="566"/>
      <c r="Q138" s="566"/>
      <c r="R138" s="566"/>
      <c r="S138" s="566"/>
      <c r="T138" s="566">
        <f t="shared" si="7"/>
        <v>242436.06999999995</v>
      </c>
      <c r="V138" s="577" t="s">
        <v>1006</v>
      </c>
      <c r="W138" s="577" t="s">
        <v>1006</v>
      </c>
      <c r="X138" s="573" t="s">
        <v>1007</v>
      </c>
      <c r="Y138" s="573"/>
      <c r="Z138" s="573"/>
      <c r="AA138" s="573"/>
      <c r="AB138" s="573"/>
      <c r="AC138" s="573"/>
      <c r="AD138" s="573"/>
      <c r="AE138" s="573"/>
      <c r="AF138" s="573"/>
      <c r="AG138" s="573"/>
      <c r="AI138">
        <v>3100598438</v>
      </c>
      <c r="AJ138" t="str">
        <f t="shared" si="8"/>
        <v>B1-AX06W-5A02-ED1-JZZZZZ-TV1L0-JZZZ-JXXX</v>
      </c>
    </row>
    <row r="139" spans="1:36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Mar 2026'!$A$8:$F$206,6,FALSE)</f>
        <v>Chq Bk</v>
      </c>
      <c r="H139" s="828">
        <v>4404.34</v>
      </c>
      <c r="I139" s="829">
        <v>2155.2000000000003</v>
      </c>
      <c r="J139" s="566">
        <v>2325.9100000000003</v>
      </c>
      <c r="K139" s="566">
        <v>-61.3599999999999</v>
      </c>
      <c r="L139" s="566">
        <v>1943.5499999999995</v>
      </c>
      <c r="M139" s="828">
        <f t="shared" si="6"/>
        <v>4208.0999999999995</v>
      </c>
      <c r="N139" s="566"/>
      <c r="O139" s="566"/>
      <c r="P139" s="566"/>
      <c r="Q139" s="566"/>
      <c r="R139" s="566"/>
      <c r="S139" s="566"/>
      <c r="T139" s="566">
        <f t="shared" si="7"/>
        <v>10767.64</v>
      </c>
      <c r="V139" s="577" t="s">
        <v>1006</v>
      </c>
      <c r="W139" s="577" t="s">
        <v>1006</v>
      </c>
      <c r="X139" s="577" t="s">
        <v>1006</v>
      </c>
      <c r="Y139" s="573"/>
      <c r="Z139" s="573"/>
      <c r="AA139" s="573"/>
      <c r="AB139" s="573"/>
      <c r="AC139" s="573"/>
      <c r="AD139" s="573"/>
      <c r="AE139" s="573"/>
      <c r="AF139" s="573"/>
      <c r="AG139" s="573"/>
      <c r="AI139">
        <v>3100612497</v>
      </c>
      <c r="AJ139" t="str">
        <f t="shared" si="8"/>
        <v>B1-AX06Y-5A02-ED1-JZZZZZ-TV1L0-JZZZ-JXXX</v>
      </c>
    </row>
    <row r="140" spans="1:36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Mar 2026'!$A$8:$F$206,6,FALSE)</f>
        <v>Chq Bk</v>
      </c>
      <c r="H140" s="828">
        <v>-11.82</v>
      </c>
      <c r="I140" s="566">
        <v>0</v>
      </c>
      <c r="J140" s="566">
        <v>0</v>
      </c>
      <c r="K140" s="566">
        <v>0</v>
      </c>
      <c r="L140" s="566">
        <v>0</v>
      </c>
      <c r="M140" s="566">
        <f t="shared" si="6"/>
        <v>0</v>
      </c>
      <c r="N140" s="566"/>
      <c r="O140" s="566"/>
      <c r="P140" s="566"/>
      <c r="Q140" s="566"/>
      <c r="R140" s="566"/>
      <c r="S140" s="566"/>
      <c r="T140" s="566">
        <f t="shared" si="7"/>
        <v>-11.82</v>
      </c>
      <c r="V140" s="577" t="s">
        <v>1006</v>
      </c>
      <c r="W140" s="573" t="s">
        <v>1007</v>
      </c>
      <c r="X140" s="573" t="s">
        <v>1007</v>
      </c>
      <c r="Y140" s="573"/>
      <c r="Z140" s="573"/>
      <c r="AA140" s="573"/>
      <c r="AB140" s="573"/>
      <c r="AC140" s="573"/>
      <c r="AD140" s="573"/>
      <c r="AE140" s="573"/>
      <c r="AF140" s="573"/>
      <c r="AG140" s="573"/>
      <c r="AI140">
        <v>3100201691</v>
      </c>
      <c r="AJ140" t="str">
        <f t="shared" si="8"/>
        <v>B1-AX072-5A02-ED1-JZZZZZ-TV1L0-JZZZ-JXXX</v>
      </c>
    </row>
    <row r="141" spans="1:36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Mar 2026'!$A$8:$F$206,6,FALSE)</f>
        <v>Chq Bk</v>
      </c>
      <c r="H141" s="828">
        <v>238566.84999999998</v>
      </c>
      <c r="I141" s="829">
        <v>255550.45999999996</v>
      </c>
      <c r="J141" s="566">
        <v>-52393.15</v>
      </c>
      <c r="K141" s="566">
        <v>-52521.99</v>
      </c>
      <c r="L141" s="566">
        <v>105438.19</v>
      </c>
      <c r="M141" s="828">
        <f t="shared" si="6"/>
        <v>523.05000000000291</v>
      </c>
      <c r="N141" s="566"/>
      <c r="O141" s="566"/>
      <c r="P141" s="566"/>
      <c r="Q141" s="566"/>
      <c r="R141" s="566"/>
      <c r="S141" s="566"/>
      <c r="T141" s="566">
        <f t="shared" si="7"/>
        <v>494640.35999999993</v>
      </c>
      <c r="V141" s="577" t="s">
        <v>1006</v>
      </c>
      <c r="W141" s="577" t="s">
        <v>1006</v>
      </c>
      <c r="X141" s="577" t="s">
        <v>1006</v>
      </c>
      <c r="Y141" s="573"/>
      <c r="Z141" s="573"/>
      <c r="AA141" s="573"/>
      <c r="AB141" s="573"/>
      <c r="AC141" s="573"/>
      <c r="AD141" s="573"/>
      <c r="AE141" s="573"/>
      <c r="AF141" s="573"/>
      <c r="AG141" s="573"/>
      <c r="AI141">
        <v>3100053336</v>
      </c>
      <c r="AJ141" t="str">
        <f t="shared" si="8"/>
        <v>B1-AX01M-5A02-ED1-JZZZZZ-TV1L0-JZZZ-JXXX</v>
      </c>
    </row>
    <row r="142" spans="1:36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Mar 2026'!$A$8:$F$206,6,FALSE)</f>
        <v>Academy</v>
      </c>
      <c r="H142" s="566">
        <v>0</v>
      </c>
      <c r="I142" s="566">
        <v>0</v>
      </c>
      <c r="J142" s="566">
        <v>0</v>
      </c>
      <c r="K142" s="566">
        <v>0</v>
      </c>
      <c r="L142" s="566">
        <v>0</v>
      </c>
      <c r="M142" s="566">
        <f t="shared" si="6"/>
        <v>0</v>
      </c>
      <c r="N142" s="566"/>
      <c r="O142" s="566"/>
      <c r="P142" s="566"/>
      <c r="Q142" s="566"/>
      <c r="R142" s="566"/>
      <c r="S142" s="566"/>
      <c r="T142" s="566">
        <f t="shared" si="7"/>
        <v>0</v>
      </c>
      <c r="V142" s="573" t="s">
        <v>1007</v>
      </c>
      <c r="W142" s="573" t="s">
        <v>1007</v>
      </c>
      <c r="X142" s="573" t="s">
        <v>1007</v>
      </c>
      <c r="Y142" s="573"/>
      <c r="Z142" s="573"/>
      <c r="AA142" s="573"/>
      <c r="AB142" s="573"/>
      <c r="AC142" s="573"/>
      <c r="AD142" s="573"/>
      <c r="AE142" s="573"/>
      <c r="AF142" s="573"/>
      <c r="AG142" s="573"/>
      <c r="AI142">
        <v>3100340803</v>
      </c>
      <c r="AJ142" t="str">
        <f t="shared" si="8"/>
        <v>B1-AX049-5A02-ED1-JZZZZZ-TV1L0-JZZZ-JXXX</v>
      </c>
    </row>
    <row r="143" spans="1:36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Mar 2026'!$A$8:$F$206,6,FALSE)</f>
        <v>Chq Bk</v>
      </c>
      <c r="H143" s="828">
        <v>472589.55999999988</v>
      </c>
      <c r="I143" s="829">
        <v>460493.71999999991</v>
      </c>
      <c r="J143" s="566">
        <v>2880.7599999999993</v>
      </c>
      <c r="K143" s="566">
        <v>-3565.1900000000005</v>
      </c>
      <c r="L143" s="566">
        <v>6146.24</v>
      </c>
      <c r="M143" s="828">
        <f t="shared" si="6"/>
        <v>5461.8099999999986</v>
      </c>
      <c r="N143" s="566"/>
      <c r="O143" s="566"/>
      <c r="P143" s="566"/>
      <c r="Q143" s="566"/>
      <c r="R143" s="566"/>
      <c r="S143" s="566"/>
      <c r="T143" s="566">
        <f t="shared" si="7"/>
        <v>938545.08999999985</v>
      </c>
      <c r="V143" s="577" t="s">
        <v>1006</v>
      </c>
      <c r="W143" s="577" t="s">
        <v>1006</v>
      </c>
      <c r="X143" s="577" t="s">
        <v>1006</v>
      </c>
      <c r="Y143" s="573"/>
      <c r="Z143" s="573"/>
      <c r="AA143" s="573"/>
      <c r="AB143" s="573"/>
      <c r="AC143" s="573"/>
      <c r="AD143" s="573"/>
      <c r="AE143" s="573"/>
      <c r="AF143" s="573"/>
      <c r="AG143" s="573"/>
      <c r="AI143">
        <v>3100611879</v>
      </c>
      <c r="AJ143" t="str">
        <f t="shared" si="8"/>
        <v>B1-AX04P-5A02-ED1-JZZZZZ-TV1L0-JZZZ-JXXX</v>
      </c>
    </row>
    <row r="144" spans="1:36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Mar 2026'!$A$8:$F$206,6,FALSE)</f>
        <v>Chq Bk</v>
      </c>
      <c r="H144" s="828">
        <v>6875.4</v>
      </c>
      <c r="I144" s="829">
        <v>4033.4300000000003</v>
      </c>
      <c r="J144" s="566">
        <v>3020.0099999999998</v>
      </c>
      <c r="K144" s="566">
        <v>4073</v>
      </c>
      <c r="L144" s="566">
        <v>3342.59</v>
      </c>
      <c r="M144" s="828">
        <f t="shared" si="6"/>
        <v>10435.6</v>
      </c>
      <c r="N144" s="566"/>
      <c r="O144" s="566"/>
      <c r="P144" s="566"/>
      <c r="Q144" s="566"/>
      <c r="R144" s="566"/>
      <c r="S144" s="566"/>
      <c r="T144" s="566">
        <f t="shared" si="7"/>
        <v>21344.43</v>
      </c>
      <c r="V144" s="577" t="s">
        <v>1006</v>
      </c>
      <c r="W144" s="577" t="s">
        <v>1006</v>
      </c>
      <c r="X144" s="577" t="s">
        <v>1006</v>
      </c>
      <c r="Y144" s="573"/>
      <c r="Z144" s="573"/>
      <c r="AA144" s="573"/>
      <c r="AB144" s="573"/>
      <c r="AC144" s="573"/>
      <c r="AD144" s="573"/>
      <c r="AE144" s="573"/>
      <c r="AF144" s="573"/>
      <c r="AG144" s="573"/>
      <c r="AI144">
        <v>3100202073</v>
      </c>
      <c r="AJ144" t="str">
        <f t="shared" si="8"/>
        <v>B1-AX075-5A02-ED1-JZZZZZ-TV1L0-JZZZ-JXXX</v>
      </c>
    </row>
    <row r="145" spans="1:36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Mar 2026'!$A$8:$F$206,6,FALSE)</f>
        <v>Chq Bk</v>
      </c>
      <c r="H145" s="566">
        <v>0</v>
      </c>
      <c r="I145" s="566">
        <v>0</v>
      </c>
      <c r="J145" s="566">
        <v>0</v>
      </c>
      <c r="K145" s="566">
        <v>0</v>
      </c>
      <c r="L145" s="566">
        <v>0</v>
      </c>
      <c r="M145" s="566">
        <f t="shared" si="6"/>
        <v>0</v>
      </c>
      <c r="N145" s="566"/>
      <c r="O145" s="566"/>
      <c r="P145" s="566"/>
      <c r="Q145" s="566"/>
      <c r="R145" s="566"/>
      <c r="S145" s="566"/>
      <c r="T145" s="566">
        <f t="shared" si="7"/>
        <v>0</v>
      </c>
      <c r="V145" s="573" t="s">
        <v>1007</v>
      </c>
      <c r="W145" s="573" t="s">
        <v>1007</v>
      </c>
      <c r="X145" s="573" t="s">
        <v>1007</v>
      </c>
      <c r="Y145" s="573"/>
      <c r="Z145" s="573"/>
      <c r="AA145" s="573"/>
      <c r="AB145" s="573"/>
      <c r="AC145" s="573"/>
      <c r="AD145" s="573"/>
      <c r="AE145" s="573"/>
      <c r="AF145" s="573"/>
      <c r="AG145" s="573"/>
      <c r="AI145">
        <v>3100305427</v>
      </c>
      <c r="AJ145" t="str">
        <f t="shared" si="8"/>
        <v>B1-AX07A-5A02-ED1-JZZZZZ-TV1L0-JZZZ-JXXX</v>
      </c>
    </row>
    <row r="146" spans="1:36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Mar 2026'!$A$8:$F$206,6,FALSE)</f>
        <v>Chq Bk</v>
      </c>
      <c r="H146" s="566">
        <v>0</v>
      </c>
      <c r="I146" s="566">
        <v>0</v>
      </c>
      <c r="J146" s="566">
        <v>0</v>
      </c>
      <c r="K146" s="566">
        <v>0</v>
      </c>
      <c r="L146" s="566">
        <v>0</v>
      </c>
      <c r="M146" s="566">
        <f t="shared" si="6"/>
        <v>0</v>
      </c>
      <c r="N146" s="566"/>
      <c r="O146" s="566"/>
      <c r="P146" s="566"/>
      <c r="Q146" s="566"/>
      <c r="R146" s="566"/>
      <c r="S146" s="566"/>
      <c r="T146" s="566">
        <f t="shared" si="7"/>
        <v>0</v>
      </c>
      <c r="V146" s="573" t="s">
        <v>1007</v>
      </c>
      <c r="W146" s="573" t="s">
        <v>1007</v>
      </c>
      <c r="X146" s="573" t="s">
        <v>1007</v>
      </c>
      <c r="Y146" s="573"/>
      <c r="Z146" s="573"/>
      <c r="AA146" s="573"/>
      <c r="AB146" s="573"/>
      <c r="AC146" s="573"/>
      <c r="AD146" s="573"/>
      <c r="AE146" s="573"/>
      <c r="AF146" s="573"/>
      <c r="AG146" s="573"/>
      <c r="AI146">
        <v>3100062239</v>
      </c>
      <c r="AJ146" t="str">
        <f t="shared" si="8"/>
        <v>B1-AX0CG-5A02-ED1-JZZZZZ-TV1L0-JZZZ-JXXX</v>
      </c>
    </row>
    <row r="147" spans="1:36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Mar 2026'!$A$8:$F$206,6,FALSE)</f>
        <v>Chq Bk</v>
      </c>
      <c r="H147" s="566">
        <v>0</v>
      </c>
      <c r="I147" s="566">
        <v>0</v>
      </c>
      <c r="J147" s="566">
        <v>0</v>
      </c>
      <c r="K147" s="566">
        <v>0</v>
      </c>
      <c r="L147" s="566">
        <v>0</v>
      </c>
      <c r="M147" s="566">
        <f t="shared" si="6"/>
        <v>0</v>
      </c>
      <c r="N147" s="566"/>
      <c r="O147" s="566"/>
      <c r="P147" s="566"/>
      <c r="Q147" s="566"/>
      <c r="R147" s="566"/>
      <c r="S147" s="566"/>
      <c r="T147" s="566">
        <f t="shared" si="7"/>
        <v>0</v>
      </c>
      <c r="V147" s="573" t="s">
        <v>1007</v>
      </c>
      <c r="W147" s="573" t="s">
        <v>1007</v>
      </c>
      <c r="X147" s="573" t="s">
        <v>1007</v>
      </c>
      <c r="Y147" s="573"/>
      <c r="Z147" s="573"/>
      <c r="AA147" s="573"/>
      <c r="AB147" s="573"/>
      <c r="AC147" s="573"/>
      <c r="AD147" s="573"/>
      <c r="AE147" s="573"/>
      <c r="AF147" s="573"/>
      <c r="AG147" s="573"/>
      <c r="AI147">
        <v>3100018867</v>
      </c>
      <c r="AJ147" t="str">
        <f t="shared" si="8"/>
        <v>B1-AX0CH-5A02-ED1-JZZZZZ-TV1L0-JZZZ-JXXX</v>
      </c>
    </row>
    <row r="148" spans="1:36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Mar 2026'!$A$8:$F$206,6,FALSE)</f>
        <v>Chq Bk</v>
      </c>
      <c r="H148" s="566">
        <v>0</v>
      </c>
      <c r="I148" s="566">
        <v>0</v>
      </c>
      <c r="J148" s="566">
        <v>0</v>
      </c>
      <c r="K148" s="566">
        <v>0</v>
      </c>
      <c r="L148" s="566">
        <v>0</v>
      </c>
      <c r="M148" s="566">
        <f t="shared" si="6"/>
        <v>0</v>
      </c>
      <c r="N148" s="566"/>
      <c r="O148" s="566"/>
      <c r="P148" s="566"/>
      <c r="Q148" s="566"/>
      <c r="R148" s="566"/>
      <c r="S148" s="566"/>
      <c r="T148" s="566">
        <f t="shared" si="7"/>
        <v>0</v>
      </c>
      <c r="V148" s="573" t="s">
        <v>1007</v>
      </c>
      <c r="W148" s="573" t="s">
        <v>1007</v>
      </c>
      <c r="X148" s="573" t="s">
        <v>1007</v>
      </c>
      <c r="Y148" s="573"/>
      <c r="Z148" s="573"/>
      <c r="AA148" s="573"/>
      <c r="AB148" s="573"/>
      <c r="AC148" s="573"/>
      <c r="AD148" s="573"/>
      <c r="AE148" s="573"/>
      <c r="AF148" s="573"/>
      <c r="AG148" s="573"/>
      <c r="AI148">
        <v>3100047515</v>
      </c>
      <c r="AJ148" t="str">
        <f t="shared" si="8"/>
        <v>B1-AX0CJ-5A02-ED1-JZZZZZ-TV1L0-JZZZ-JXXX</v>
      </c>
    </row>
    <row r="149" spans="1:36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Mar 2026'!$A$8:$F$206,6,FALSE)</f>
        <v>Chq Bk</v>
      </c>
      <c r="H149" s="828">
        <v>379226.1399999999</v>
      </c>
      <c r="I149" s="829">
        <v>1353.46</v>
      </c>
      <c r="J149" s="566">
        <v>3991.16</v>
      </c>
      <c r="K149" s="566">
        <v>2005.6499999999996</v>
      </c>
      <c r="L149" s="566">
        <v>4225.08</v>
      </c>
      <c r="M149" s="828">
        <f t="shared" si="6"/>
        <v>10221.89</v>
      </c>
      <c r="N149" s="566"/>
      <c r="O149" s="566"/>
      <c r="P149" s="566"/>
      <c r="Q149" s="566"/>
      <c r="R149" s="566"/>
      <c r="S149" s="566"/>
      <c r="T149" s="566">
        <f t="shared" si="7"/>
        <v>390801.48999999993</v>
      </c>
      <c r="V149" s="577" t="s">
        <v>1006</v>
      </c>
      <c r="W149" s="577" t="s">
        <v>1006</v>
      </c>
      <c r="X149" s="577" t="s">
        <v>1006</v>
      </c>
      <c r="Y149" s="573"/>
      <c r="Z149" s="573"/>
      <c r="AA149" s="573"/>
      <c r="AB149" s="573"/>
      <c r="AC149" s="573"/>
      <c r="AD149" s="573"/>
      <c r="AE149" s="573"/>
      <c r="AF149" s="573"/>
      <c r="AG149" s="573"/>
      <c r="AI149">
        <v>3100611878</v>
      </c>
      <c r="AJ149" t="str">
        <f t="shared" si="8"/>
        <v>B1-AX07B-5A02-ED1-JZZZZZ-TV1L0-JZZZ-JXXX</v>
      </c>
    </row>
    <row r="150" spans="1:36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Mar 2026'!$A$8:$F$206,6,FALSE)</f>
        <v>Chq Bk</v>
      </c>
      <c r="H150" s="828">
        <v>-139.80000000000001</v>
      </c>
      <c r="I150" s="828">
        <v>-31.5</v>
      </c>
      <c r="J150" s="566">
        <v>-988.5</v>
      </c>
      <c r="K150" s="566">
        <v>248</v>
      </c>
      <c r="L150" s="566">
        <v>0</v>
      </c>
      <c r="M150" s="566">
        <f t="shared" si="6"/>
        <v>-740.5</v>
      </c>
      <c r="N150" s="566"/>
      <c r="O150" s="566"/>
      <c r="P150" s="566"/>
      <c r="Q150" s="566"/>
      <c r="R150" s="566"/>
      <c r="S150" s="566"/>
      <c r="T150" s="566">
        <f t="shared" si="7"/>
        <v>-911.8</v>
      </c>
      <c r="V150" s="577" t="s">
        <v>1006</v>
      </c>
      <c r="W150" s="577" t="s">
        <v>1006</v>
      </c>
      <c r="X150" s="577" t="s">
        <v>1006</v>
      </c>
      <c r="Y150" s="573"/>
      <c r="Z150" s="573"/>
      <c r="AA150" s="573"/>
      <c r="AB150" s="573"/>
      <c r="AC150" s="573"/>
      <c r="AD150" s="573"/>
      <c r="AE150" s="573"/>
      <c r="AF150" s="573"/>
      <c r="AG150" s="573"/>
      <c r="AI150">
        <v>3100602470</v>
      </c>
      <c r="AJ150" t="str">
        <f t="shared" si="8"/>
        <v>B1-AX07E-5A02-ED1-JZZZZZ-TV1L0-JZZZ-JXXX</v>
      </c>
    </row>
    <row r="151" spans="1:36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Mar 2026'!$A$8:$F$206,6,FALSE)</f>
        <v>Chq Bk</v>
      </c>
      <c r="H151" s="566">
        <v>0</v>
      </c>
      <c r="I151" s="566">
        <v>0</v>
      </c>
      <c r="J151" s="566">
        <v>0</v>
      </c>
      <c r="K151" s="566">
        <v>0</v>
      </c>
      <c r="L151" s="566">
        <v>0</v>
      </c>
      <c r="M151" s="566">
        <f t="shared" si="6"/>
        <v>0</v>
      </c>
      <c r="N151" s="566"/>
      <c r="O151" s="566"/>
      <c r="P151" s="566"/>
      <c r="Q151" s="566"/>
      <c r="R151" s="566"/>
      <c r="S151" s="566"/>
      <c r="T151" s="566">
        <f t="shared" si="7"/>
        <v>0</v>
      </c>
      <c r="V151" s="573" t="s">
        <v>1007</v>
      </c>
      <c r="W151" s="573" t="s">
        <v>1007</v>
      </c>
      <c r="X151" s="573" t="s">
        <v>1007</v>
      </c>
      <c r="Y151" s="573"/>
      <c r="Z151" s="573"/>
      <c r="AA151" s="573"/>
      <c r="AB151" s="573"/>
      <c r="AC151" s="573"/>
      <c r="AD151" s="573"/>
      <c r="AE151" s="573"/>
      <c r="AF151" s="573"/>
      <c r="AG151" s="573"/>
      <c r="AI151">
        <v>3100021177</v>
      </c>
      <c r="AJ151" t="str">
        <f t="shared" si="8"/>
        <v>B1-AX0CL-5A02-ED1-JZZZZZ-TV1L0-JZZZ-JXXX</v>
      </c>
    </row>
    <row r="152" spans="1:36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Mar 2026'!$A$8:$F$206,6,FALSE)</f>
        <v>Chq Bk</v>
      </c>
      <c r="H152" s="828">
        <v>122579.66</v>
      </c>
      <c r="I152" s="829">
        <v>128188.46999999999</v>
      </c>
      <c r="J152" s="566">
        <v>112817.17</v>
      </c>
      <c r="K152" s="566">
        <v>120971.03999999995</v>
      </c>
      <c r="L152" s="566">
        <v>116336.84999999999</v>
      </c>
      <c r="M152" s="828">
        <f t="shared" si="6"/>
        <v>350125.05999999994</v>
      </c>
      <c r="N152" s="566"/>
      <c r="O152" s="566"/>
      <c r="P152" s="566"/>
      <c r="Q152" s="566"/>
      <c r="R152" s="566"/>
      <c r="S152" s="566"/>
      <c r="T152" s="566">
        <f t="shared" si="7"/>
        <v>600893.18999999994</v>
      </c>
      <c r="V152" s="577" t="s">
        <v>1006</v>
      </c>
      <c r="W152" s="577" t="s">
        <v>1006</v>
      </c>
      <c r="X152" s="577" t="s">
        <v>1006</v>
      </c>
      <c r="Y152" s="573"/>
      <c r="Z152" s="573"/>
      <c r="AA152" s="573"/>
      <c r="AB152" s="573"/>
      <c r="AC152" s="573"/>
      <c r="AD152" s="573"/>
      <c r="AE152" s="573"/>
      <c r="AF152" s="573"/>
      <c r="AG152" s="573"/>
      <c r="AI152">
        <v>3100612224</v>
      </c>
      <c r="AJ152" t="str">
        <f t="shared" si="8"/>
        <v>B1-AX07H-5A02-ED1-JZZZZZ-TV1L0-JZZZ-JXXX</v>
      </c>
    </row>
    <row r="153" spans="1:36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Mar 2026'!$A$8:$F$206,6,FALSE)</f>
        <v>Chq Bk</v>
      </c>
      <c r="H153" s="828">
        <v>42053.72</v>
      </c>
      <c r="I153" s="829">
        <v>43750.859999999993</v>
      </c>
      <c r="J153" s="566">
        <v>0</v>
      </c>
      <c r="K153" s="566">
        <v>-268.68</v>
      </c>
      <c r="L153" s="566">
        <v>0</v>
      </c>
      <c r="M153" s="566">
        <f t="shared" si="6"/>
        <v>-268.68</v>
      </c>
      <c r="N153" s="566"/>
      <c r="O153" s="566"/>
      <c r="P153" s="566"/>
      <c r="Q153" s="566"/>
      <c r="R153" s="566"/>
      <c r="S153" s="566"/>
      <c r="T153" s="566">
        <f t="shared" si="7"/>
        <v>85535.9</v>
      </c>
      <c r="V153" s="577" t="s">
        <v>1006</v>
      </c>
      <c r="W153" s="577" t="s">
        <v>1006</v>
      </c>
      <c r="X153" s="577" t="s">
        <v>1006</v>
      </c>
      <c r="Y153" s="573"/>
      <c r="Z153" s="573"/>
      <c r="AA153" s="573"/>
      <c r="AB153" s="573"/>
      <c r="AC153" s="573"/>
      <c r="AD153" s="573"/>
      <c r="AE153" s="573"/>
      <c r="AF153" s="573"/>
      <c r="AG153" s="573"/>
      <c r="AI153">
        <v>3100205550</v>
      </c>
      <c r="AJ153" t="str">
        <f t="shared" si="8"/>
        <v>B1-AX07K-5A02-ED1-JZZZZZ-TV1L0-JZZZ-JXXX</v>
      </c>
    </row>
    <row r="154" spans="1:36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Mar 2026'!$A$8:$F$206,6,FALSE)</f>
        <v>Chq Bk</v>
      </c>
      <c r="H154" s="566">
        <v>0</v>
      </c>
      <c r="I154" s="566">
        <v>0</v>
      </c>
      <c r="J154" s="566">
        <v>0</v>
      </c>
      <c r="K154" s="566">
        <v>0</v>
      </c>
      <c r="L154" s="566">
        <v>0</v>
      </c>
      <c r="M154" s="566">
        <f t="shared" si="6"/>
        <v>0</v>
      </c>
      <c r="N154" s="566"/>
      <c r="O154" s="566"/>
      <c r="P154" s="566"/>
      <c r="Q154" s="566"/>
      <c r="R154" s="566"/>
      <c r="S154" s="566"/>
      <c r="T154" s="566">
        <f t="shared" si="7"/>
        <v>0</v>
      </c>
      <c r="V154" s="573" t="s">
        <v>1007</v>
      </c>
      <c r="W154" s="573" t="s">
        <v>1007</v>
      </c>
      <c r="X154" s="573" t="s">
        <v>1007</v>
      </c>
      <c r="Y154" s="573"/>
      <c r="Z154" s="573"/>
      <c r="AA154" s="573"/>
      <c r="AB154" s="573"/>
      <c r="AC154" s="573"/>
      <c r="AD154" s="573"/>
      <c r="AE154" s="573"/>
      <c r="AF154" s="573"/>
      <c r="AG154" s="573"/>
      <c r="AI154">
        <v>3100156047</v>
      </c>
      <c r="AJ154" t="str">
        <f t="shared" si="8"/>
        <v>B1-AX07P-5A02-ED1-JZZZZZ-TV1L0-JZZZ-JXXX</v>
      </c>
    </row>
    <row r="155" spans="1:36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Mar 2026'!$A$8:$F$206,6,FALSE)</f>
        <v>Chq Bk</v>
      </c>
      <c r="H155" s="566">
        <v>0</v>
      </c>
      <c r="I155" s="566">
        <v>0</v>
      </c>
      <c r="J155" s="566">
        <v>0</v>
      </c>
      <c r="K155" s="566">
        <v>0</v>
      </c>
      <c r="L155" s="566">
        <v>0</v>
      </c>
      <c r="M155" s="566">
        <f t="shared" si="6"/>
        <v>0</v>
      </c>
      <c r="N155" s="566"/>
      <c r="O155" s="566"/>
      <c r="P155" s="566"/>
      <c r="Q155" s="566"/>
      <c r="R155" s="566"/>
      <c r="S155" s="566"/>
      <c r="T155" s="566">
        <f t="shared" si="7"/>
        <v>0</v>
      </c>
      <c r="V155" s="573" t="s">
        <v>1007</v>
      </c>
      <c r="W155" s="573" t="s">
        <v>1007</v>
      </c>
      <c r="X155" s="573" t="s">
        <v>1007</v>
      </c>
      <c r="Y155" s="573"/>
      <c r="Z155" s="573"/>
      <c r="AA155" s="573"/>
      <c r="AB155" s="573"/>
      <c r="AC155" s="573"/>
      <c r="AD155" s="573"/>
      <c r="AE155" s="573"/>
      <c r="AF155" s="573"/>
      <c r="AG155" s="573"/>
      <c r="AI155">
        <v>3100053572</v>
      </c>
      <c r="AJ155" t="str">
        <f t="shared" si="8"/>
        <v>B1-AX07N-5A02-ED1-JZZZZZ-TV1L0-JZZZ-JXXX</v>
      </c>
    </row>
    <row r="156" spans="1:36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Mar 2026'!$A$8:$F$206,6,FALSE)</f>
        <v>Chq Bk</v>
      </c>
      <c r="H156" s="566">
        <v>0</v>
      </c>
      <c r="I156" s="566">
        <v>0</v>
      </c>
      <c r="J156" s="566">
        <v>0</v>
      </c>
      <c r="K156" s="566">
        <v>0</v>
      </c>
      <c r="L156" s="566">
        <v>0</v>
      </c>
      <c r="M156" s="566">
        <f t="shared" si="6"/>
        <v>0</v>
      </c>
      <c r="N156" s="566"/>
      <c r="O156" s="566"/>
      <c r="P156" s="566"/>
      <c r="Q156" s="566"/>
      <c r="R156" s="566"/>
      <c r="S156" s="566"/>
      <c r="T156" s="566">
        <f t="shared" si="7"/>
        <v>0</v>
      </c>
      <c r="V156" s="573" t="s">
        <v>1007</v>
      </c>
      <c r="W156" s="573" t="s">
        <v>1007</v>
      </c>
      <c r="X156" s="573" t="s">
        <v>1007</v>
      </c>
      <c r="Y156" s="573"/>
      <c r="Z156" s="573"/>
      <c r="AA156" s="573"/>
      <c r="AB156" s="573"/>
      <c r="AC156" s="573"/>
      <c r="AD156" s="573"/>
      <c r="AE156" s="573"/>
      <c r="AF156" s="573"/>
      <c r="AG156" s="573"/>
      <c r="AI156">
        <v>3100201785</v>
      </c>
      <c r="AJ156" t="str">
        <f t="shared" si="8"/>
        <v>B1-AX07Q-5A02-ED1-JZZZZZ-TV1L0-JZZZ-JXXX</v>
      </c>
    </row>
    <row r="157" spans="1:36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Mar 2026'!$A$8:$F$206,6,FALSE)</f>
        <v>Chq Bk</v>
      </c>
      <c r="H157" s="566">
        <v>0</v>
      </c>
      <c r="I157" s="566">
        <v>0</v>
      </c>
      <c r="J157" s="566">
        <v>0</v>
      </c>
      <c r="K157" s="566">
        <v>0</v>
      </c>
      <c r="L157" s="566">
        <v>0</v>
      </c>
      <c r="M157" s="566">
        <f t="shared" si="6"/>
        <v>0</v>
      </c>
      <c r="N157" s="566"/>
      <c r="O157" s="566"/>
      <c r="P157" s="566"/>
      <c r="Q157" s="566"/>
      <c r="R157" s="566"/>
      <c r="S157" s="566"/>
      <c r="T157" s="566">
        <f t="shared" si="7"/>
        <v>0</v>
      </c>
      <c r="V157" s="573" t="s">
        <v>1007</v>
      </c>
      <c r="W157" s="573" t="s">
        <v>1007</v>
      </c>
      <c r="X157" s="573" t="s">
        <v>1007</v>
      </c>
      <c r="Y157" s="573"/>
      <c r="Z157" s="573"/>
      <c r="AA157" s="573"/>
      <c r="AB157" s="573"/>
      <c r="AC157" s="573"/>
      <c r="AD157" s="573"/>
      <c r="AE157" s="573"/>
      <c r="AF157" s="573"/>
      <c r="AG157" s="573"/>
      <c r="AI157">
        <v>3100046237</v>
      </c>
      <c r="AJ157" t="str">
        <f t="shared" si="8"/>
        <v>B1-AX07T-5A02-ED1-JZZZZZ-TV1L0-JZZZ-JXXX</v>
      </c>
    </row>
    <row r="158" spans="1:36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Mar 2026'!$A$8:$F$206,6,FALSE)</f>
        <v>Chq Bk</v>
      </c>
      <c r="H158" s="828">
        <v>7140.4</v>
      </c>
      <c r="I158" s="828">
        <v>-4446.93</v>
      </c>
      <c r="J158" s="566">
        <v>2119.58</v>
      </c>
      <c r="K158" s="566">
        <v>-640</v>
      </c>
      <c r="L158" s="566">
        <v>6771.6099999999988</v>
      </c>
      <c r="M158" s="828">
        <f t="shared" si="6"/>
        <v>8251.1899999999987</v>
      </c>
      <c r="N158" s="566"/>
      <c r="O158" s="566"/>
      <c r="P158" s="566"/>
      <c r="Q158" s="566"/>
      <c r="R158" s="566"/>
      <c r="S158" s="566"/>
      <c r="T158" s="566">
        <f t="shared" si="7"/>
        <v>10944.659999999998</v>
      </c>
      <c r="V158" s="577" t="s">
        <v>1006</v>
      </c>
      <c r="W158" s="577" t="s">
        <v>1006</v>
      </c>
      <c r="X158" s="577" t="s">
        <v>1006</v>
      </c>
      <c r="Y158" s="573"/>
      <c r="Z158" s="573"/>
      <c r="AA158" s="573"/>
      <c r="AB158" s="573"/>
      <c r="AC158" s="573"/>
      <c r="AD158" s="573"/>
      <c r="AE158" s="573"/>
      <c r="AF158" s="573"/>
      <c r="AG158" s="573"/>
      <c r="AI158">
        <v>3100599556</v>
      </c>
      <c r="AJ158" t="str">
        <f t="shared" si="8"/>
        <v>B1-AX07V-5A02-ED1-JZZZZZ-TV1L0-JZZZ-JXXX</v>
      </c>
    </row>
    <row r="159" spans="1:36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Mar 2026'!$A$8:$F$206,6,FALSE)</f>
        <v>Academy</v>
      </c>
      <c r="H159" s="828">
        <v>95831.290000000008</v>
      </c>
      <c r="I159" s="829">
        <v>97961.37000000001</v>
      </c>
      <c r="J159" s="566">
        <v>94985.230000000025</v>
      </c>
      <c r="K159" s="566">
        <v>92471.39</v>
      </c>
      <c r="L159" s="566">
        <v>97337.460000000021</v>
      </c>
      <c r="M159" s="832">
        <f t="shared" si="6"/>
        <v>284794.08000000007</v>
      </c>
      <c r="N159" s="566"/>
      <c r="O159" s="566"/>
      <c r="P159" s="566"/>
      <c r="Q159" s="566"/>
      <c r="R159" s="566"/>
      <c r="S159" s="566"/>
      <c r="T159" s="566">
        <f t="shared" si="7"/>
        <v>478586.74000000011</v>
      </c>
      <c r="V159" s="577" t="s">
        <v>1006</v>
      </c>
      <c r="W159" s="577" t="s">
        <v>1006</v>
      </c>
      <c r="X159" s="573" t="s">
        <v>1007</v>
      </c>
      <c r="Y159" s="573"/>
      <c r="Z159" s="573"/>
      <c r="AA159" s="573"/>
      <c r="AB159" s="573"/>
      <c r="AC159" s="573"/>
      <c r="AD159" s="573"/>
      <c r="AE159" s="573"/>
      <c r="AF159" s="573"/>
      <c r="AG159" s="573"/>
      <c r="AI159">
        <v>3100202001</v>
      </c>
      <c r="AJ159" t="str">
        <f t="shared" si="8"/>
        <v>B1-AX07W-5A02-ED1-JZZZZZ-TV1L0-JZZZ-JXXX</v>
      </c>
    </row>
    <row r="160" spans="1:36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Mar 2026'!$A$8:$F$206,6,FALSE)</f>
        <v>Chq Bk</v>
      </c>
      <c r="H160" s="828">
        <v>132438.44999999998</v>
      </c>
      <c r="I160" s="829">
        <v>128906.03000000001</v>
      </c>
      <c r="J160" s="566">
        <v>129509.38999999998</v>
      </c>
      <c r="K160" s="566">
        <v>132368.58000000002</v>
      </c>
      <c r="L160" s="566">
        <v>136683.28</v>
      </c>
      <c r="M160" s="828">
        <f t="shared" si="6"/>
        <v>398561.25</v>
      </c>
      <c r="N160" s="566"/>
      <c r="O160" s="566"/>
      <c r="P160" s="566"/>
      <c r="Q160" s="566"/>
      <c r="R160" s="566"/>
      <c r="S160" s="566"/>
      <c r="T160" s="566">
        <f t="shared" si="7"/>
        <v>659905.73</v>
      </c>
      <c r="V160" s="577" t="s">
        <v>1006</v>
      </c>
      <c r="W160" s="577" t="s">
        <v>1006</v>
      </c>
      <c r="X160" s="577" t="s">
        <v>1006</v>
      </c>
      <c r="Y160" s="573"/>
      <c r="Z160" s="573"/>
      <c r="AA160" s="573"/>
      <c r="AB160" s="573"/>
      <c r="AC160" s="573"/>
      <c r="AD160" s="573"/>
      <c r="AE160" s="573"/>
      <c r="AF160" s="573"/>
      <c r="AG160" s="573"/>
      <c r="AI160">
        <v>3100599605</v>
      </c>
      <c r="AJ160" t="str">
        <f t="shared" si="8"/>
        <v>B1-AX07X-5A02-ED1-JZZZZZ-TV1L0-JZZZ-JXXX</v>
      </c>
    </row>
    <row r="161" spans="1:36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Mar 2026'!$A$8:$F$206,6,FALSE)</f>
        <v>Chq Bk</v>
      </c>
      <c r="H161" s="566">
        <v>0</v>
      </c>
      <c r="I161" s="566">
        <v>0</v>
      </c>
      <c r="J161" s="566">
        <v>0</v>
      </c>
      <c r="K161" s="566">
        <v>0</v>
      </c>
      <c r="L161" s="566">
        <v>0</v>
      </c>
      <c r="M161" s="566">
        <f t="shared" si="6"/>
        <v>0</v>
      </c>
      <c r="N161" s="566"/>
      <c r="O161" s="566"/>
      <c r="P161" s="566"/>
      <c r="Q161" s="566"/>
      <c r="R161" s="566"/>
      <c r="S161" s="566"/>
      <c r="T161" s="566">
        <f t="shared" si="7"/>
        <v>0</v>
      </c>
      <c r="V161" s="573" t="s">
        <v>1007</v>
      </c>
      <c r="W161" s="573" t="s">
        <v>1007</v>
      </c>
      <c r="X161" s="573" t="s">
        <v>1007</v>
      </c>
      <c r="Y161" s="573"/>
      <c r="Z161" s="573"/>
      <c r="AA161" s="573"/>
      <c r="AB161" s="573"/>
      <c r="AC161" s="573"/>
      <c r="AD161" s="573"/>
      <c r="AE161" s="573"/>
      <c r="AF161" s="573"/>
      <c r="AG161" s="573"/>
      <c r="AI161">
        <v>3100021227</v>
      </c>
      <c r="AJ161" t="str">
        <f t="shared" si="8"/>
        <v>B1-AX0CQ-5A02-ED1-JZZZZZ-TV1L0-JZZZ-JXXX</v>
      </c>
    </row>
    <row r="162" spans="1:36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Mar 2026'!$A$8:$F$206,6,FALSE)</f>
        <v>Chq Bk</v>
      </c>
      <c r="H162" s="566">
        <v>0</v>
      </c>
      <c r="I162" s="566">
        <v>0</v>
      </c>
      <c r="J162" s="566">
        <v>0</v>
      </c>
      <c r="K162" s="566">
        <v>0</v>
      </c>
      <c r="L162" s="566">
        <v>0</v>
      </c>
      <c r="M162" s="566">
        <f t="shared" si="6"/>
        <v>0</v>
      </c>
      <c r="N162" s="566"/>
      <c r="O162" s="566"/>
      <c r="P162" s="566"/>
      <c r="Q162" s="566"/>
      <c r="R162" s="566"/>
      <c r="S162" s="566"/>
      <c r="T162" s="566">
        <f t="shared" si="7"/>
        <v>0</v>
      </c>
      <c r="V162" s="573" t="s">
        <v>1007</v>
      </c>
      <c r="W162" s="573" t="s">
        <v>1007</v>
      </c>
      <c r="X162" s="573" t="s">
        <v>1007</v>
      </c>
      <c r="Y162" s="573"/>
      <c r="Z162" s="573"/>
      <c r="AA162" s="573"/>
      <c r="AB162" s="573"/>
      <c r="AC162" s="573"/>
      <c r="AD162" s="573"/>
      <c r="AE162" s="573"/>
      <c r="AF162" s="573"/>
      <c r="AG162" s="573"/>
      <c r="AI162">
        <v>3100325500</v>
      </c>
      <c r="AJ162" t="str">
        <f t="shared" si="8"/>
        <v>B1-AX07Y-5A02-ED1-JZZZZZ-TV1L0-JZZZ-JXXX</v>
      </c>
    </row>
    <row r="163" spans="1:36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Mar 2026'!$A$8:$F$206,6,FALSE)</f>
        <v>Chq Bk</v>
      </c>
      <c r="H163" s="828">
        <v>5574.98</v>
      </c>
      <c r="I163" s="829">
        <v>7850.84</v>
      </c>
      <c r="J163" s="566">
        <v>-2413.3900000000003</v>
      </c>
      <c r="K163" s="566">
        <v>4531.1400000000003</v>
      </c>
      <c r="L163" s="566">
        <v>4056.4</v>
      </c>
      <c r="M163" s="828">
        <f t="shared" si="6"/>
        <v>6174.15</v>
      </c>
      <c r="N163" s="566"/>
      <c r="O163" s="566"/>
      <c r="P163" s="566"/>
      <c r="Q163" s="566"/>
      <c r="R163" s="566"/>
      <c r="S163" s="566"/>
      <c r="T163" s="566">
        <f t="shared" si="7"/>
        <v>19599.97</v>
      </c>
      <c r="V163" s="577" t="s">
        <v>1006</v>
      </c>
      <c r="W163" s="577" t="s">
        <v>1006</v>
      </c>
      <c r="X163" s="577" t="s">
        <v>1006</v>
      </c>
      <c r="Y163" s="573"/>
      <c r="Z163" s="573"/>
      <c r="AA163" s="573"/>
      <c r="AB163" s="573"/>
      <c r="AC163" s="573"/>
      <c r="AD163" s="573"/>
      <c r="AE163" s="573"/>
      <c r="AF163" s="573"/>
      <c r="AG163" s="573"/>
      <c r="AI163">
        <v>3100567251</v>
      </c>
      <c r="AJ163" t="str">
        <f t="shared" si="8"/>
        <v>B1-AX080-5A02-ED1-JZZZZZ-TV1L0-JZZZ-JXXX</v>
      </c>
    </row>
    <row r="164" spans="1:36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Mar 2026'!$A$8:$F$206,6,FALSE)</f>
        <v>Chq Bk</v>
      </c>
      <c r="H164" s="828">
        <v>218130.4500000001</v>
      </c>
      <c r="I164" s="829">
        <v>224378.52</v>
      </c>
      <c r="J164" s="566">
        <v>222175.19999999998</v>
      </c>
      <c r="K164" s="566">
        <v>218338.73</v>
      </c>
      <c r="L164" s="566">
        <v>98.250000000000227</v>
      </c>
      <c r="M164" s="828">
        <f t="shared" si="6"/>
        <v>440612.18</v>
      </c>
      <c r="N164" s="566"/>
      <c r="O164" s="566"/>
      <c r="P164" s="566"/>
      <c r="Q164" s="566"/>
      <c r="R164" s="566"/>
      <c r="S164" s="566"/>
      <c r="T164" s="566">
        <f t="shared" si="7"/>
        <v>883121.15000000014</v>
      </c>
      <c r="V164" s="577" t="s">
        <v>1006</v>
      </c>
      <c r="W164" s="577" t="s">
        <v>1006</v>
      </c>
      <c r="X164" s="577" t="s">
        <v>1006</v>
      </c>
      <c r="Y164" s="573"/>
      <c r="Z164" s="573"/>
      <c r="AA164" s="573"/>
      <c r="AB164" s="573"/>
      <c r="AC164" s="573"/>
      <c r="AD164" s="573"/>
      <c r="AE164" s="573"/>
      <c r="AF164" s="573"/>
      <c r="AG164" s="573"/>
      <c r="AI164">
        <v>3100612494</v>
      </c>
      <c r="AJ164" t="str">
        <f t="shared" si="8"/>
        <v>B1-AX081-5A02-ED1-JZZZZZ-TV1L0-JZZZ-JXXX</v>
      </c>
    </row>
    <row r="165" spans="1:36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Mar 2026'!$A$8:$F$206,6,FALSE)</f>
        <v>Chq Bk</v>
      </c>
      <c r="H165" s="828">
        <v>222133.7</v>
      </c>
      <c r="I165" s="829">
        <v>199796.66</v>
      </c>
      <c r="J165" s="566">
        <v>203802.28000000006</v>
      </c>
      <c r="K165" s="566">
        <v>199342.59999999998</v>
      </c>
      <c r="L165" s="566">
        <v>221281.80000000008</v>
      </c>
      <c r="M165" s="828">
        <f t="shared" si="6"/>
        <v>624426.68000000005</v>
      </c>
      <c r="N165" s="566"/>
      <c r="O165" s="566"/>
      <c r="P165" s="566"/>
      <c r="Q165" s="566"/>
      <c r="R165" s="566"/>
      <c r="S165" s="566"/>
      <c r="T165" s="566">
        <f t="shared" si="7"/>
        <v>1046357.04</v>
      </c>
      <c r="V165" s="577" t="s">
        <v>1006</v>
      </c>
      <c r="W165" s="577" t="s">
        <v>1006</v>
      </c>
      <c r="X165" s="577" t="s">
        <v>1006</v>
      </c>
      <c r="Y165" s="573"/>
      <c r="Z165" s="573"/>
      <c r="AA165" s="573"/>
      <c r="AB165" s="573"/>
      <c r="AC165" s="573"/>
      <c r="AD165" s="573"/>
      <c r="AE165" s="573"/>
      <c r="AF165" s="573"/>
      <c r="AG165" s="573"/>
      <c r="AI165">
        <v>3100202023</v>
      </c>
      <c r="AJ165" t="str">
        <f t="shared" si="8"/>
        <v>B1-AX083-5A02-ED1-JZZZZZ-TV1L0-JZZZ-JXXX</v>
      </c>
    </row>
    <row r="166" spans="1:36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Mar 2026'!$A$8:$F$206,6,FALSE)</f>
        <v>Chq Bk</v>
      </c>
      <c r="H166" s="566">
        <v>0</v>
      </c>
      <c r="I166" s="829">
        <v>19381.509999999998</v>
      </c>
      <c r="J166" s="566">
        <v>5793.4300000000021</v>
      </c>
      <c r="K166" s="566">
        <v>4779.05</v>
      </c>
      <c r="L166" s="566">
        <v>4584.53</v>
      </c>
      <c r="M166" s="828">
        <f t="shared" si="6"/>
        <v>15157.010000000002</v>
      </c>
      <c r="N166" s="566"/>
      <c r="O166" s="566"/>
      <c r="P166" s="566"/>
      <c r="Q166" s="566"/>
      <c r="R166" s="566"/>
      <c r="S166" s="566"/>
      <c r="T166" s="566">
        <f t="shared" si="7"/>
        <v>34538.520000000004</v>
      </c>
      <c r="V166" s="573" t="s">
        <v>1007</v>
      </c>
      <c r="W166" s="577" t="s">
        <v>1006</v>
      </c>
      <c r="X166" s="577" t="s">
        <v>1006</v>
      </c>
      <c r="Y166" s="573"/>
      <c r="Z166" s="573"/>
      <c r="AA166" s="573"/>
      <c r="AB166" s="573"/>
      <c r="AC166" s="573"/>
      <c r="AD166" s="573"/>
      <c r="AE166" s="573"/>
      <c r="AF166" s="573"/>
      <c r="AG166" s="573"/>
      <c r="AI166">
        <v>3100621689</v>
      </c>
      <c r="AJ166" t="str">
        <f t="shared" si="8"/>
        <v>B1-AX00U-5A02-ED1-JZZZZZ-TV1L0-JZZZ-JXXX</v>
      </c>
    </row>
    <row r="167" spans="1:36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Mar 2026'!$A$8:$F$206,6,FALSE)</f>
        <v>Chq Bk</v>
      </c>
      <c r="H167" s="566">
        <v>0</v>
      </c>
      <c r="I167" s="829">
        <v>163366.80000000002</v>
      </c>
      <c r="J167" s="566">
        <v>-4533.1400000000003</v>
      </c>
      <c r="K167" s="566">
        <v>-10383.31</v>
      </c>
      <c r="L167" s="566">
        <v>12084.92</v>
      </c>
      <c r="M167" s="566">
        <f t="shared" si="6"/>
        <v>-2831.5300000000007</v>
      </c>
      <c r="N167" s="566"/>
      <c r="O167" s="566"/>
      <c r="P167" s="566"/>
      <c r="Q167" s="566"/>
      <c r="R167" s="566"/>
      <c r="S167" s="566"/>
      <c r="T167" s="566">
        <f t="shared" si="7"/>
        <v>160535.27000000002</v>
      </c>
      <c r="V167" s="573" t="s">
        <v>1007</v>
      </c>
      <c r="W167" s="577" t="s">
        <v>1006</v>
      </c>
      <c r="X167" s="577" t="s">
        <v>1006</v>
      </c>
      <c r="Y167" s="573"/>
      <c r="Z167" s="573"/>
      <c r="AA167" s="573"/>
      <c r="AB167" s="573"/>
      <c r="AC167" s="573"/>
      <c r="AD167" s="573"/>
      <c r="AE167" s="573"/>
      <c r="AF167" s="573"/>
      <c r="AG167" s="573"/>
      <c r="AI167">
        <v>3100201733</v>
      </c>
      <c r="AJ167" t="str">
        <f t="shared" si="8"/>
        <v>B1-AX01G-5A02-ED1-JZZZZZ-TV1L0-JZZZ-JXXX</v>
      </c>
    </row>
    <row r="168" spans="1:36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Mar 2026'!$A$8:$F$206,6,FALSE)</f>
        <v>Chq Bk</v>
      </c>
      <c r="H168" s="566">
        <v>0</v>
      </c>
      <c r="I168" s="829">
        <v>128917.58</v>
      </c>
      <c r="J168" s="566">
        <v>-441.72999999999996</v>
      </c>
      <c r="K168" s="566">
        <v>-44.500000000000227</v>
      </c>
      <c r="L168" s="566">
        <v>380.65000000000003</v>
      </c>
      <c r="M168" s="566">
        <f t="shared" si="6"/>
        <v>-105.58000000000015</v>
      </c>
      <c r="N168" s="566"/>
      <c r="O168" s="566"/>
      <c r="P168" s="566"/>
      <c r="Q168" s="566"/>
      <c r="R168" s="566"/>
      <c r="S168" s="566"/>
      <c r="T168" s="566">
        <f t="shared" si="7"/>
        <v>128812</v>
      </c>
      <c r="V168" s="573" t="s">
        <v>1007</v>
      </c>
      <c r="W168" s="577" t="s">
        <v>1006</v>
      </c>
      <c r="X168" s="577" t="s">
        <v>1006</v>
      </c>
      <c r="Y168" s="573"/>
      <c r="Z168" s="573"/>
      <c r="AA168" s="573"/>
      <c r="AB168" s="573"/>
      <c r="AC168" s="573"/>
      <c r="AD168" s="573"/>
      <c r="AE168" s="573"/>
      <c r="AF168" s="573"/>
      <c r="AG168" s="573"/>
      <c r="AI168">
        <v>3100201615</v>
      </c>
      <c r="AJ168" t="str">
        <f t="shared" si="8"/>
        <v>B1-AX03E-5A02-ED1-JZZZZZ-TV1L0-JZZZ-JXXX</v>
      </c>
    </row>
    <row r="169" spans="1:36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Mar 2026'!$A$8:$F$206,6,FALSE)</f>
        <v>Chq Bk</v>
      </c>
      <c r="H169" s="566">
        <v>0</v>
      </c>
      <c r="I169" s="829">
        <v>243116.54</v>
      </c>
      <c r="J169" s="566">
        <v>239900.59000000003</v>
      </c>
      <c r="K169" s="566">
        <v>291.62</v>
      </c>
      <c r="L169" s="566">
        <v>89.999999999999886</v>
      </c>
      <c r="M169" s="566">
        <f t="shared" si="6"/>
        <v>240282.21000000002</v>
      </c>
      <c r="N169" s="566"/>
      <c r="O169" s="566"/>
      <c r="P169" s="566"/>
      <c r="Q169" s="566"/>
      <c r="R169" s="566"/>
      <c r="S169" s="566"/>
      <c r="T169" s="566">
        <f t="shared" si="7"/>
        <v>483398.75</v>
      </c>
      <c r="V169" s="573" t="s">
        <v>1007</v>
      </c>
      <c r="W169" s="577" t="s">
        <v>1006</v>
      </c>
      <c r="X169" s="577" t="s">
        <v>1006</v>
      </c>
      <c r="Y169" s="573"/>
      <c r="Z169" s="573"/>
      <c r="AA169" s="573"/>
      <c r="AB169" s="573"/>
      <c r="AC169" s="573"/>
      <c r="AD169" s="573"/>
      <c r="AE169" s="573"/>
      <c r="AF169" s="573"/>
      <c r="AG169" s="573"/>
      <c r="AI169">
        <v>3100626910</v>
      </c>
      <c r="AJ169" t="str">
        <f t="shared" si="8"/>
        <v>B1-AX03G-5A02-ED1-JZZZZZ-TV1L0-JZZZ-JXXX</v>
      </c>
    </row>
    <row r="170" spans="1:36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Mar 2026'!$A$8:$F$206,6,FALSE)</f>
        <v>Academy</v>
      </c>
      <c r="H170" s="566">
        <v>0</v>
      </c>
      <c r="I170" s="566">
        <v>0</v>
      </c>
      <c r="J170" s="566">
        <v>0</v>
      </c>
      <c r="K170" s="566">
        <v>0</v>
      </c>
      <c r="L170" s="566">
        <v>0</v>
      </c>
      <c r="M170" s="566">
        <f t="shared" si="6"/>
        <v>0</v>
      </c>
      <c r="N170" s="566"/>
      <c r="O170" s="566"/>
      <c r="P170" s="566"/>
      <c r="Q170" s="566"/>
      <c r="R170" s="566"/>
      <c r="S170" s="566"/>
      <c r="T170" s="566">
        <f t="shared" si="7"/>
        <v>0</v>
      </c>
      <c r="V170" s="573" t="s">
        <v>1007</v>
      </c>
      <c r="W170" s="573" t="s">
        <v>1007</v>
      </c>
      <c r="X170" s="573" t="s">
        <v>1007</v>
      </c>
      <c r="Y170" s="573"/>
      <c r="Z170" s="573"/>
      <c r="AA170" s="573"/>
      <c r="AB170" s="573"/>
      <c r="AC170" s="573"/>
      <c r="AD170" s="573"/>
      <c r="AE170" s="573"/>
      <c r="AF170" s="573"/>
      <c r="AG170" s="573"/>
      <c r="AI170">
        <v>3100058958</v>
      </c>
      <c r="AJ170" t="str">
        <f t="shared" si="8"/>
        <v>B1-AX05D-5A02-ED1-JZZZZZ-TV1L0-JZZZ-JXXX</v>
      </c>
    </row>
    <row r="171" spans="1:36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Mar 2026'!$A$8:$F$206,6,FALSE)</f>
        <v>Chq Bk</v>
      </c>
      <c r="H171" s="566">
        <v>0</v>
      </c>
      <c r="I171" s="829">
        <v>68441.64</v>
      </c>
      <c r="J171" s="566">
        <v>-587.66000000000349</v>
      </c>
      <c r="K171" s="566">
        <v>2384.3000000000002</v>
      </c>
      <c r="L171" s="566">
        <v>9582.2900000000009</v>
      </c>
      <c r="M171" s="828">
        <f t="shared" si="6"/>
        <v>11378.929999999997</v>
      </c>
      <c r="N171" s="566"/>
      <c r="O171" s="566"/>
      <c r="P171" s="566"/>
      <c r="Q171" s="566"/>
      <c r="R171" s="566"/>
      <c r="S171" s="566"/>
      <c r="T171" s="566">
        <f t="shared" si="7"/>
        <v>79820.569999999992</v>
      </c>
      <c r="V171" s="573" t="s">
        <v>1007</v>
      </c>
      <c r="W171" s="577" t="s">
        <v>1006</v>
      </c>
      <c r="X171" s="577" t="s">
        <v>1006</v>
      </c>
      <c r="Y171" s="573"/>
      <c r="Z171" s="573"/>
      <c r="AA171" s="573"/>
      <c r="AB171" s="573"/>
      <c r="AC171" s="573"/>
      <c r="AD171" s="573"/>
      <c r="AE171" s="573"/>
      <c r="AF171" s="573"/>
      <c r="AG171" s="573"/>
      <c r="AI171">
        <v>3100257032</v>
      </c>
      <c r="AJ171" t="str">
        <f t="shared" si="8"/>
        <v>B1-AX07D-5A02-ED1-JZZZZZ-TV1L0-JZZZ-JXXX</v>
      </c>
    </row>
    <row r="172" spans="1:36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Mar 2026'!$A$8:$F$206,6,FALSE)</f>
        <v>Chq Bk</v>
      </c>
      <c r="H172" s="566">
        <v>0</v>
      </c>
      <c r="I172" s="829">
        <v>108703.15</v>
      </c>
      <c r="J172" s="566">
        <v>108056.19999999998</v>
      </c>
      <c r="K172" s="566">
        <v>105182.57</v>
      </c>
      <c r="L172" s="566">
        <v>109184.67999999998</v>
      </c>
      <c r="M172" s="828">
        <f t="shared" si="6"/>
        <v>322423.44999999995</v>
      </c>
      <c r="N172" s="566"/>
      <c r="O172" s="566"/>
      <c r="P172" s="566"/>
      <c r="Q172" s="566"/>
      <c r="R172" s="566"/>
      <c r="S172" s="566"/>
      <c r="T172" s="566">
        <f t="shared" si="7"/>
        <v>431126.6</v>
      </c>
      <c r="V172" s="573" t="s">
        <v>1007</v>
      </c>
      <c r="W172" s="577" t="s">
        <v>1006</v>
      </c>
      <c r="X172" s="577" t="s">
        <v>1006</v>
      </c>
      <c r="Y172" s="573"/>
      <c r="Z172" s="573"/>
      <c r="AA172" s="573"/>
      <c r="AB172" s="573"/>
      <c r="AC172" s="573"/>
      <c r="AD172" s="573"/>
      <c r="AE172" s="573"/>
      <c r="AF172" s="573"/>
      <c r="AG172" s="573"/>
      <c r="AI172">
        <v>3100621686</v>
      </c>
      <c r="AJ172" t="str">
        <f t="shared" si="8"/>
        <v>B1-AX07U-5A02-ED1-JZZZZZ-TV1L0-JZZZ-JXXX</v>
      </c>
    </row>
    <row r="173" spans="1:36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Mar 2026'!$A$8:$F$206,6,FALSE)</f>
        <v>Chq Bk</v>
      </c>
      <c r="H173" s="566">
        <v>0</v>
      </c>
      <c r="I173" s="829">
        <v>171278.28000000009</v>
      </c>
      <c r="J173" s="566">
        <v>2272.6899999999996</v>
      </c>
      <c r="K173" s="566">
        <v>-6615.0300000000061</v>
      </c>
      <c r="L173" s="566">
        <v>8222.68</v>
      </c>
      <c r="M173" s="828">
        <f t="shared" si="6"/>
        <v>3880.3399999999938</v>
      </c>
      <c r="N173" s="566"/>
      <c r="O173" s="566"/>
      <c r="P173" s="566"/>
      <c r="Q173" s="566"/>
      <c r="R173" s="566"/>
      <c r="S173" s="566"/>
      <c r="T173" s="566">
        <f t="shared" si="7"/>
        <v>175158.62000000008</v>
      </c>
      <c r="V173" s="573" t="s">
        <v>1007</v>
      </c>
      <c r="W173" s="577" t="s">
        <v>1006</v>
      </c>
      <c r="X173" s="577" t="s">
        <v>1006</v>
      </c>
      <c r="Y173" s="573"/>
      <c r="Z173" s="573"/>
      <c r="AA173" s="573"/>
      <c r="AB173" s="573"/>
      <c r="AC173" s="573"/>
      <c r="AD173" s="573"/>
      <c r="AE173" s="573"/>
      <c r="AF173" s="573"/>
      <c r="AG173" s="573"/>
      <c r="AI173">
        <v>3100621525</v>
      </c>
      <c r="AJ173" t="str">
        <f t="shared" si="8"/>
        <v>B1-AX00C-5A02-ED1-JZZZZZ-TV1L0-JZZZ-JXXX</v>
      </c>
    </row>
    <row r="174" spans="1:36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Mar 2026'!$A$8:$F$206,6,FALSE)</f>
        <v>Chq Bk</v>
      </c>
      <c r="H174" s="566">
        <v>0</v>
      </c>
      <c r="I174" s="566">
        <v>0</v>
      </c>
      <c r="J174" s="566">
        <v>187620.65000000002</v>
      </c>
      <c r="K174" s="566">
        <v>171936.93000000002</v>
      </c>
      <c r="L174" s="566">
        <v>191968.89</v>
      </c>
      <c r="M174" s="828">
        <f t="shared" si="6"/>
        <v>551526.47000000009</v>
      </c>
      <c r="N174" s="566"/>
      <c r="O174" s="566"/>
      <c r="P174" s="566"/>
      <c r="Q174" s="566"/>
      <c r="R174" s="566"/>
      <c r="S174" s="566"/>
      <c r="T174" s="566">
        <f t="shared" si="7"/>
        <v>551526.47000000009</v>
      </c>
      <c r="V174" s="573" t="s">
        <v>1007</v>
      </c>
      <c r="W174" s="573" t="s">
        <v>1007</v>
      </c>
      <c r="X174" s="577" t="s">
        <v>1006</v>
      </c>
      <c r="Y174" s="573"/>
      <c r="Z174" s="573"/>
      <c r="AA174" s="573"/>
      <c r="AB174" s="573"/>
      <c r="AC174" s="573"/>
      <c r="AD174" s="573"/>
      <c r="AE174" s="573"/>
      <c r="AF174" s="573"/>
      <c r="AG174" s="573"/>
      <c r="AI174">
        <v>3100484447</v>
      </c>
      <c r="AJ174" t="str">
        <f t="shared" si="8"/>
        <v>B1-AX00F-5A02-ED1-JZZZZZ-TV1L0-JZZZ-JXXX</v>
      </c>
    </row>
    <row r="175" spans="1:36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Mar 2026'!$A$8:$F$206,6,FALSE)</f>
        <v>Chq Bk</v>
      </c>
      <c r="H175" s="566">
        <v>0</v>
      </c>
      <c r="I175" s="829">
        <v>104062.18999999999</v>
      </c>
      <c r="J175" s="566">
        <v>588.13000000000011</v>
      </c>
      <c r="K175" s="566">
        <v>1777.51</v>
      </c>
      <c r="L175" s="566">
        <v>1644.6000000000001</v>
      </c>
      <c r="M175" s="828">
        <f t="shared" si="6"/>
        <v>4010.2400000000007</v>
      </c>
      <c r="N175" s="566"/>
      <c r="O175" s="566"/>
      <c r="P175" s="566"/>
      <c r="Q175" s="566"/>
      <c r="R175" s="566"/>
      <c r="S175" s="566"/>
      <c r="T175" s="566">
        <f t="shared" si="7"/>
        <v>108072.43</v>
      </c>
      <c r="V175" s="573" t="s">
        <v>1007</v>
      </c>
      <c r="W175" s="577" t="s">
        <v>1006</v>
      </c>
      <c r="X175" s="577" t="s">
        <v>1006</v>
      </c>
      <c r="Y175" s="573"/>
      <c r="Z175" s="573"/>
      <c r="AA175" s="573"/>
      <c r="AB175" s="573"/>
      <c r="AC175" s="573"/>
      <c r="AD175" s="573"/>
      <c r="AE175" s="573"/>
      <c r="AF175" s="573"/>
      <c r="AG175" s="573"/>
      <c r="AI175">
        <v>3100342805</v>
      </c>
      <c r="AJ175" t="str">
        <f t="shared" si="8"/>
        <v>B1-AX00J-5A02-ED1-JZZZZZ-TV1L0-JZZZ-JXXX</v>
      </c>
    </row>
    <row r="176" spans="1:36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Mar 2026'!$A$8:$F$206,6,FALSE)</f>
        <v>Chq Bk</v>
      </c>
      <c r="H176" s="566">
        <v>0</v>
      </c>
      <c r="I176" s="829">
        <v>404326.49000000005</v>
      </c>
      <c r="J176" s="566">
        <v>253632.44999999998</v>
      </c>
      <c r="K176" s="566">
        <v>3910.13</v>
      </c>
      <c r="L176" s="566">
        <v>270339.92999999993</v>
      </c>
      <c r="M176" s="828">
        <f t="shared" si="6"/>
        <v>527882.50999999989</v>
      </c>
      <c r="N176" s="566"/>
      <c r="O176" s="566"/>
      <c r="P176" s="566"/>
      <c r="Q176" s="566"/>
      <c r="R176" s="566"/>
      <c r="S176" s="566"/>
      <c r="T176" s="566">
        <f t="shared" si="7"/>
        <v>932209</v>
      </c>
      <c r="V176" s="573" t="s">
        <v>1007</v>
      </c>
      <c r="W176" s="577" t="s">
        <v>1006</v>
      </c>
      <c r="X176" s="577" t="s">
        <v>1006</v>
      </c>
      <c r="Y176" s="573"/>
      <c r="Z176" s="573"/>
      <c r="AA176" s="573"/>
      <c r="AB176" s="573"/>
      <c r="AC176" s="573"/>
      <c r="AD176" s="573"/>
      <c r="AE176" s="573"/>
      <c r="AF176" s="573"/>
      <c r="AG176" s="573"/>
      <c r="AI176">
        <v>3100184165</v>
      </c>
      <c r="AJ176" t="str">
        <f t="shared" si="8"/>
        <v>B1-AX00Q-5A02-ED1-JZZZZZ-TV1L0-JZZZ-JXXX</v>
      </c>
    </row>
    <row r="177" spans="1:36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Mar 2026'!$A$8:$F$206,6,FALSE)</f>
        <v>Chq Bk</v>
      </c>
      <c r="H177" s="566">
        <v>0</v>
      </c>
      <c r="I177" s="829">
        <v>24670.339999999997</v>
      </c>
      <c r="J177" s="566">
        <v>11452.81</v>
      </c>
      <c r="K177" s="566">
        <v>1661.5</v>
      </c>
      <c r="L177" s="566">
        <v>1816.4600000000005</v>
      </c>
      <c r="M177" s="828">
        <f t="shared" si="6"/>
        <v>14930.77</v>
      </c>
      <c r="N177" s="566"/>
      <c r="O177" s="566"/>
      <c r="P177" s="566"/>
      <c r="Q177" s="566"/>
      <c r="R177" s="566"/>
      <c r="S177" s="566"/>
      <c r="T177" s="566">
        <f t="shared" si="7"/>
        <v>39601.11</v>
      </c>
      <c r="V177" s="573" t="s">
        <v>1007</v>
      </c>
      <c r="W177" s="577" t="s">
        <v>1006</v>
      </c>
      <c r="X177" s="577" t="s">
        <v>1006</v>
      </c>
      <c r="Y177" s="573"/>
      <c r="Z177" s="573"/>
      <c r="AA177" s="573"/>
      <c r="AB177" s="573"/>
      <c r="AC177" s="573"/>
      <c r="AD177" s="573"/>
      <c r="AE177" s="573"/>
      <c r="AF177" s="573"/>
      <c r="AG177" s="573"/>
      <c r="AI177">
        <v>3100017540</v>
      </c>
      <c r="AJ177" t="str">
        <f t="shared" si="8"/>
        <v>B1-AX01Q-5A02-ED1-JZZZZZ-TV1L0-JZZZ-JXXX</v>
      </c>
    </row>
    <row r="178" spans="1:36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Mar 2026'!$A$8:$F$206,6,FALSE)</f>
        <v>Chq Bk</v>
      </c>
      <c r="H178" s="566">
        <v>0</v>
      </c>
      <c r="I178" s="566">
        <v>0</v>
      </c>
      <c r="J178" s="566">
        <v>127711.63999999998</v>
      </c>
      <c r="K178" s="566">
        <v>111731.93</v>
      </c>
      <c r="L178" s="566">
        <v>128683.13999999998</v>
      </c>
      <c r="M178" s="828">
        <f t="shared" si="6"/>
        <v>368126.70999999996</v>
      </c>
      <c r="N178" s="566"/>
      <c r="O178" s="566"/>
      <c r="P178" s="566"/>
      <c r="Q178" s="566"/>
      <c r="R178" s="566"/>
      <c r="S178" s="566"/>
      <c r="T178" s="566">
        <f t="shared" si="7"/>
        <v>368126.70999999996</v>
      </c>
      <c r="V178" s="573" t="s">
        <v>1007</v>
      </c>
      <c r="W178" s="573" t="s">
        <v>1007</v>
      </c>
      <c r="X178" s="577" t="s">
        <v>1006</v>
      </c>
      <c r="Y178" s="573"/>
      <c r="Z178" s="573"/>
      <c r="AA178" s="573"/>
      <c r="AB178" s="573"/>
      <c r="AC178" s="573"/>
      <c r="AD178" s="573"/>
      <c r="AE178" s="573"/>
      <c r="AF178" s="573"/>
      <c r="AG178" s="573"/>
      <c r="AI178">
        <v>3100250715</v>
      </c>
      <c r="AJ178" t="str">
        <f t="shared" si="8"/>
        <v>B1-AX025-5A02-ED1-JZZZZZ-TV1L0-JZZZ-JXXX</v>
      </c>
    </row>
    <row r="179" spans="1:36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Mar 2026'!$A$8:$F$206,6,FALSE)</f>
        <v>Chq Bk</v>
      </c>
      <c r="H179" s="566">
        <v>0</v>
      </c>
      <c r="I179" s="829">
        <v>118126.75</v>
      </c>
      <c r="J179" s="566">
        <v>-1437.4999999999998</v>
      </c>
      <c r="K179" s="566">
        <v>-44806.060000000005</v>
      </c>
      <c r="L179" s="566">
        <v>30461.200000000001</v>
      </c>
      <c r="M179" s="566">
        <f t="shared" si="6"/>
        <v>-15782.360000000004</v>
      </c>
      <c r="N179" s="566"/>
      <c r="O179" s="566"/>
      <c r="P179" s="566"/>
      <c r="Q179" s="566"/>
      <c r="R179" s="566"/>
      <c r="S179" s="566"/>
      <c r="T179" s="566">
        <f t="shared" si="7"/>
        <v>102344.39</v>
      </c>
      <c r="V179" s="573" t="s">
        <v>1007</v>
      </c>
      <c r="W179" s="577" t="s">
        <v>1006</v>
      </c>
      <c r="X179" s="577" t="s">
        <v>1006</v>
      </c>
      <c r="Y179" s="573"/>
      <c r="Z179" s="573"/>
      <c r="AA179" s="573"/>
      <c r="AB179" s="573"/>
      <c r="AC179" s="573"/>
      <c r="AD179" s="573"/>
      <c r="AE179" s="573"/>
      <c r="AF179" s="573"/>
      <c r="AG179" s="573"/>
      <c r="AI179">
        <v>3100201995</v>
      </c>
      <c r="AJ179" t="str">
        <f t="shared" si="8"/>
        <v>B1-AX02F-5A02-ED1-JZZZZZ-TV1L0-JZZZ-JXXX</v>
      </c>
    </row>
    <row r="180" spans="1:36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Mar 2026'!$A$8:$F$206,6,FALSE)</f>
        <v>Chq Bk</v>
      </c>
      <c r="H180" s="566">
        <v>0</v>
      </c>
      <c r="I180" s="829">
        <v>325753.3299999999</v>
      </c>
      <c r="J180" s="566">
        <v>-2303.6400000000003</v>
      </c>
      <c r="K180" s="566">
        <v>-3344.2700000000004</v>
      </c>
      <c r="L180" s="566">
        <v>6409.58</v>
      </c>
      <c r="M180" s="828">
        <f t="shared" si="6"/>
        <v>761.66999999999916</v>
      </c>
      <c r="N180" s="566"/>
      <c r="O180" s="566"/>
      <c r="P180" s="566"/>
      <c r="Q180" s="566"/>
      <c r="R180" s="566"/>
      <c r="S180" s="566"/>
      <c r="T180" s="566">
        <f t="shared" si="7"/>
        <v>326514.99999999988</v>
      </c>
      <c r="V180" s="573" t="s">
        <v>1007</v>
      </c>
      <c r="W180" s="577" t="s">
        <v>1006</v>
      </c>
      <c r="X180" s="577" t="s">
        <v>1006</v>
      </c>
      <c r="Y180" s="573"/>
      <c r="Z180" s="573"/>
      <c r="AA180" s="573"/>
      <c r="AB180" s="573"/>
      <c r="AC180" s="573"/>
      <c r="AD180" s="573"/>
      <c r="AE180" s="573"/>
      <c r="AF180" s="573"/>
      <c r="AG180" s="573"/>
      <c r="AI180">
        <v>3100621824</v>
      </c>
      <c r="AJ180" t="str">
        <f t="shared" si="8"/>
        <v>B1-AX02L-5A02-ED1-JZZZZZ-TV1L0-JZZZ-JXXX</v>
      </c>
    </row>
    <row r="181" spans="1:36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Mar 2026'!$A$8:$F$206,6,FALSE)</f>
        <v>Chq Bk</v>
      </c>
      <c r="H181" s="566">
        <v>0</v>
      </c>
      <c r="I181" s="829">
        <v>53828.97</v>
      </c>
      <c r="J181" s="566">
        <v>57417.969999999994</v>
      </c>
      <c r="K181" s="566">
        <v>56205.80999999999</v>
      </c>
      <c r="L181" s="566">
        <v>63866.139999999978</v>
      </c>
      <c r="M181" s="828">
        <f t="shared" si="6"/>
        <v>177489.91999999995</v>
      </c>
      <c r="N181" s="566"/>
      <c r="O181" s="566"/>
      <c r="P181" s="566"/>
      <c r="Q181" s="566"/>
      <c r="R181" s="566"/>
      <c r="S181" s="566"/>
      <c r="T181" s="566">
        <f t="shared" si="7"/>
        <v>231318.88999999996</v>
      </c>
      <c r="V181" s="573" t="s">
        <v>1007</v>
      </c>
      <c r="W181" s="577" t="s">
        <v>1006</v>
      </c>
      <c r="X181" s="577" t="s">
        <v>1006</v>
      </c>
      <c r="Y181" s="573"/>
      <c r="Z181" s="573"/>
      <c r="AA181" s="573"/>
      <c r="AB181" s="573"/>
      <c r="AC181" s="573"/>
      <c r="AD181" s="573"/>
      <c r="AE181" s="573"/>
      <c r="AF181" s="573"/>
      <c r="AG181" s="573"/>
      <c r="AI181">
        <v>3100189454</v>
      </c>
      <c r="AJ181" t="str">
        <f t="shared" si="8"/>
        <v>B1-AX09P-5A02-ED1-JZZZZZ-TV1L0-JZZZ-JXXX</v>
      </c>
    </row>
    <row r="182" spans="1:36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Mar 2026'!$A$8:$F$206,6,FALSE)</f>
        <v>Chq Bk</v>
      </c>
      <c r="H182" s="566">
        <v>0</v>
      </c>
      <c r="I182" s="829">
        <v>162495.25000000006</v>
      </c>
      <c r="J182" s="566">
        <v>2307.7200000000003</v>
      </c>
      <c r="K182" s="566">
        <v>-10741.05</v>
      </c>
      <c r="L182" s="566">
        <v>10934.05</v>
      </c>
      <c r="M182" s="828">
        <f t="shared" si="6"/>
        <v>2500.7200000000012</v>
      </c>
      <c r="N182" s="566"/>
      <c r="O182" s="566"/>
      <c r="P182" s="566"/>
      <c r="Q182" s="566"/>
      <c r="R182" s="566"/>
      <c r="S182" s="566"/>
      <c r="T182" s="566">
        <f t="shared" si="7"/>
        <v>164995.97000000006</v>
      </c>
      <c r="V182" s="573" t="s">
        <v>1007</v>
      </c>
      <c r="W182" s="577" t="s">
        <v>1006</v>
      </c>
      <c r="X182" s="577" t="s">
        <v>1006</v>
      </c>
      <c r="Y182" s="573"/>
      <c r="Z182" s="573"/>
      <c r="AA182" s="573"/>
      <c r="AB182" s="573"/>
      <c r="AC182" s="573"/>
      <c r="AD182" s="573"/>
      <c r="AE182" s="573"/>
      <c r="AF182" s="573"/>
      <c r="AG182" s="573"/>
      <c r="AI182">
        <v>3100298326</v>
      </c>
      <c r="AJ182" t="str">
        <f t="shared" si="8"/>
        <v>B1-AX02V-5A02-ED1-JZZZZZ-TV1L0-JZZZ-JXXX</v>
      </c>
    </row>
    <row r="183" spans="1:36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Mar 2026'!$A$8:$F$206,6,FALSE)</f>
        <v>Chq Bk</v>
      </c>
      <c r="H183" s="566">
        <v>0</v>
      </c>
      <c r="I183" s="829">
        <v>130169.22</v>
      </c>
      <c r="J183" s="566">
        <v>1361.9499999999998</v>
      </c>
      <c r="K183" s="566">
        <v>-1251.2000000000003</v>
      </c>
      <c r="L183" s="566">
        <v>862.03000000000009</v>
      </c>
      <c r="M183" s="828">
        <f t="shared" si="6"/>
        <v>972.77999999999963</v>
      </c>
      <c r="N183" s="566"/>
      <c r="O183" s="566"/>
      <c r="P183" s="566"/>
      <c r="Q183" s="566"/>
      <c r="R183" s="566"/>
      <c r="S183" s="566"/>
      <c r="T183" s="566">
        <f t="shared" si="7"/>
        <v>131142</v>
      </c>
      <c r="V183" s="573" t="s">
        <v>1007</v>
      </c>
      <c r="W183" s="577" t="s">
        <v>1006</v>
      </c>
      <c r="X183" s="577" t="s">
        <v>1006</v>
      </c>
      <c r="Y183" s="573"/>
      <c r="Z183" s="573"/>
      <c r="AA183" s="573"/>
      <c r="AB183" s="573"/>
      <c r="AC183" s="573"/>
      <c r="AD183" s="573"/>
      <c r="AE183" s="573"/>
      <c r="AF183" s="573"/>
      <c r="AG183" s="573"/>
      <c r="AI183">
        <v>3100621825</v>
      </c>
      <c r="AJ183" t="str">
        <f t="shared" si="8"/>
        <v>B1-AX035-5A02-ED1-JZZZZZ-TV1L0-JZZZ-JXXX</v>
      </c>
    </row>
    <row r="184" spans="1:36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Mar 2026'!$A$8:$F$206,6,FALSE)</f>
        <v>Chq Bk</v>
      </c>
      <c r="H184" s="566">
        <v>0</v>
      </c>
      <c r="I184" s="829">
        <v>301584.45</v>
      </c>
      <c r="J184" s="566">
        <v>1311.43</v>
      </c>
      <c r="K184" s="566">
        <v>-34300.720000000001</v>
      </c>
      <c r="L184" s="566">
        <v>36290.050000000003</v>
      </c>
      <c r="M184" s="828">
        <f t="shared" si="6"/>
        <v>3300.760000000002</v>
      </c>
      <c r="N184" s="566"/>
      <c r="O184" s="566"/>
      <c r="P184" s="566"/>
      <c r="Q184" s="566"/>
      <c r="R184" s="566"/>
      <c r="S184" s="566"/>
      <c r="T184" s="566">
        <f t="shared" si="7"/>
        <v>304885.21000000002</v>
      </c>
      <c r="V184" s="573" t="s">
        <v>1007</v>
      </c>
      <c r="W184" s="577" t="s">
        <v>1006</v>
      </c>
      <c r="X184" s="577" t="s">
        <v>1006</v>
      </c>
      <c r="Y184" s="573"/>
      <c r="Z184" s="573"/>
      <c r="AA184" s="573"/>
      <c r="AB184" s="573"/>
      <c r="AC184" s="573"/>
      <c r="AD184" s="573"/>
      <c r="AE184" s="573"/>
      <c r="AF184" s="573"/>
      <c r="AG184" s="573"/>
      <c r="AI184">
        <v>3100332014</v>
      </c>
      <c r="AJ184" t="str">
        <f t="shared" si="8"/>
        <v>B1-AX037-5A02-ED1-JZZZZZ-TV1L0-JZZZ-JXXX</v>
      </c>
    </row>
    <row r="185" spans="1:36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Mar 2026'!$A$8:$F$206,6,FALSE)</f>
        <v>Chq Bk</v>
      </c>
      <c r="H185" s="566">
        <v>0</v>
      </c>
      <c r="I185" s="829">
        <v>42512.579999999994</v>
      </c>
      <c r="J185" s="566">
        <v>-42665.98</v>
      </c>
      <c r="K185" s="566">
        <v>1276.77</v>
      </c>
      <c r="L185" s="566">
        <v>1017.4</v>
      </c>
      <c r="M185" s="566">
        <f t="shared" si="6"/>
        <v>-40371.810000000005</v>
      </c>
      <c r="N185" s="566"/>
      <c r="O185" s="566"/>
      <c r="P185" s="566"/>
      <c r="Q185" s="566"/>
      <c r="R185" s="566"/>
      <c r="S185" s="566"/>
      <c r="T185" s="566">
        <f t="shared" si="7"/>
        <v>2140.7699999999895</v>
      </c>
      <c r="V185" s="573" t="s">
        <v>1007</v>
      </c>
      <c r="W185" s="577" t="s">
        <v>1006</v>
      </c>
      <c r="X185" s="577" t="s">
        <v>1006</v>
      </c>
      <c r="Y185" s="573"/>
      <c r="Z185" s="573"/>
      <c r="AA185" s="573"/>
      <c r="AB185" s="573"/>
      <c r="AC185" s="573"/>
      <c r="AD185" s="573"/>
      <c r="AE185" s="573"/>
      <c r="AF185" s="573"/>
      <c r="AG185" s="573"/>
      <c r="AI185">
        <v>3100622900</v>
      </c>
      <c r="AJ185" t="str">
        <f t="shared" si="8"/>
        <v>B1-AX03J-5A02-ED1-JZZZZZ-TV1L0-JZZZ-JXXX</v>
      </c>
    </row>
    <row r="186" spans="1:36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Mar 2026'!$A$8:$F$206,6,FALSE)</f>
        <v>Chq Bk</v>
      </c>
      <c r="H186" s="566">
        <v>0</v>
      </c>
      <c r="I186" s="829">
        <v>133749.5</v>
      </c>
      <c r="J186" s="566">
        <v>128913.95000000001</v>
      </c>
      <c r="K186" s="566">
        <v>132143.69000000003</v>
      </c>
      <c r="L186" s="566">
        <v>133778.16</v>
      </c>
      <c r="M186" s="828">
        <f t="shared" si="6"/>
        <v>394835.80000000005</v>
      </c>
      <c r="N186" s="566"/>
      <c r="O186" s="566"/>
      <c r="P186" s="566"/>
      <c r="Q186" s="566"/>
      <c r="R186" s="566"/>
      <c r="S186" s="566"/>
      <c r="T186" s="566">
        <f t="shared" si="7"/>
        <v>528585.30000000005</v>
      </c>
      <c r="V186" s="573" t="s">
        <v>1007</v>
      </c>
      <c r="W186" s="577" t="s">
        <v>1006</v>
      </c>
      <c r="X186" s="577" t="s">
        <v>1006</v>
      </c>
      <c r="Y186" s="573"/>
      <c r="Z186" s="573"/>
      <c r="AA186" s="573"/>
      <c r="AB186" s="573"/>
      <c r="AC186" s="573"/>
      <c r="AD186" s="573"/>
      <c r="AE186" s="573"/>
      <c r="AF186" s="573"/>
      <c r="AG186" s="573"/>
      <c r="AI186">
        <v>3100201664</v>
      </c>
      <c r="AJ186" t="str">
        <f t="shared" si="8"/>
        <v>B1-AX03R-5A02-ED1-JZZZZZ-TV1L0-JZZZ-JXXX</v>
      </c>
    </row>
    <row r="187" spans="1:36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Mar 2026'!$A$8:$F$206,6,FALSE)</f>
        <v>Academy</v>
      </c>
      <c r="H187" s="566">
        <v>0</v>
      </c>
      <c r="I187" s="829">
        <v>281123.2699999999</v>
      </c>
      <c r="J187" s="566">
        <v>-354.64000000000078</v>
      </c>
      <c r="K187" s="566">
        <v>-22134.54</v>
      </c>
      <c r="L187" s="566">
        <v>26714.54</v>
      </c>
      <c r="M187" s="832">
        <f t="shared" si="6"/>
        <v>4225.3600000000006</v>
      </c>
      <c r="N187" s="566"/>
      <c r="O187" s="566"/>
      <c r="P187" s="566"/>
      <c r="Q187" s="566"/>
      <c r="R187" s="566"/>
      <c r="S187" s="566"/>
      <c r="T187" s="566">
        <f t="shared" si="7"/>
        <v>285348.62999999989</v>
      </c>
      <c r="V187" s="573" t="s">
        <v>1007</v>
      </c>
      <c r="W187" s="577" t="s">
        <v>1006</v>
      </c>
      <c r="X187" s="573" t="s">
        <v>1007</v>
      </c>
      <c r="Y187" s="573"/>
      <c r="Z187" s="573"/>
      <c r="AA187" s="573"/>
      <c r="AB187" s="573"/>
      <c r="AC187" s="573"/>
      <c r="AD187" s="573"/>
      <c r="AE187" s="573"/>
      <c r="AF187" s="573"/>
      <c r="AG187" s="573"/>
      <c r="AI187">
        <v>3100621682</v>
      </c>
      <c r="AJ187" t="str">
        <f t="shared" si="8"/>
        <v>B1-AX046-5A02-ED1-JZZZZZ-TV1L0-JZZZ-JXXX</v>
      </c>
    </row>
    <row r="188" spans="1:36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Mar 2026'!$A$8:$F$206,6,FALSE)</f>
        <v>Chq Bk</v>
      </c>
      <c r="H188" s="566">
        <v>0</v>
      </c>
      <c r="I188" s="830">
        <v>29925.329999999994</v>
      </c>
      <c r="J188" s="566">
        <v>40.600000000000023</v>
      </c>
      <c r="K188" s="566">
        <v>494.22</v>
      </c>
      <c r="L188" s="566">
        <v>482.86</v>
      </c>
      <c r="M188" s="828">
        <f t="shared" si="6"/>
        <v>1017.6800000000001</v>
      </c>
      <c r="N188" s="566"/>
      <c r="O188" s="566"/>
      <c r="P188" s="566"/>
      <c r="Q188" s="566"/>
      <c r="R188" s="566"/>
      <c r="S188" s="566"/>
      <c r="T188" s="566">
        <f t="shared" si="7"/>
        <v>30943.009999999995</v>
      </c>
      <c r="V188" s="573" t="s">
        <v>1007</v>
      </c>
      <c r="W188" s="831" t="s">
        <v>1009</v>
      </c>
      <c r="X188" s="577" t="s">
        <v>1006</v>
      </c>
      <c r="Y188" s="573"/>
      <c r="Z188" s="573"/>
      <c r="AA188" s="573"/>
      <c r="AB188" s="573"/>
      <c r="AC188" s="573"/>
      <c r="AD188" s="573"/>
      <c r="AE188" s="573"/>
      <c r="AF188" s="573"/>
      <c r="AG188" s="573"/>
      <c r="AI188">
        <v>3100626918</v>
      </c>
      <c r="AJ188" t="str">
        <f t="shared" si="8"/>
        <v>B1-AX047-5A02-ED1-JZZZZZ-TV1L0-JZZZ-JXXX</v>
      </c>
    </row>
    <row r="189" spans="1:36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Mar 2026'!$A$8:$F$206,6,FALSE)</f>
        <v>Chq Bk</v>
      </c>
      <c r="H189" s="566">
        <v>0</v>
      </c>
      <c r="I189" s="829">
        <v>194139.33</v>
      </c>
      <c r="J189" s="566">
        <v>135809.79</v>
      </c>
      <c r="K189" s="566">
        <v>164947.14000000001</v>
      </c>
      <c r="L189" s="566">
        <v>145915.4</v>
      </c>
      <c r="M189" s="828">
        <f t="shared" si="6"/>
        <v>446672.33000000007</v>
      </c>
      <c r="N189" s="566"/>
      <c r="O189" s="566"/>
      <c r="P189" s="566"/>
      <c r="Q189" s="566"/>
      <c r="R189" s="566"/>
      <c r="S189" s="566"/>
      <c r="T189" s="566">
        <f t="shared" si="7"/>
        <v>640811.66</v>
      </c>
      <c r="V189" s="573" t="s">
        <v>1007</v>
      </c>
      <c r="W189" s="577" t="s">
        <v>1006</v>
      </c>
      <c r="X189" s="577" t="s">
        <v>1006</v>
      </c>
      <c r="Y189" s="573"/>
      <c r="Z189" s="573"/>
      <c r="AA189" s="573"/>
      <c r="AB189" s="573"/>
      <c r="AC189" s="573"/>
      <c r="AD189" s="573"/>
      <c r="AE189" s="573"/>
      <c r="AF189" s="573"/>
      <c r="AG189" s="573"/>
      <c r="AI189">
        <v>3100621721</v>
      </c>
      <c r="AJ189" t="str">
        <f t="shared" si="8"/>
        <v>B1-AX04J-5A02-ED1-JZZZZZ-TV1L0-JZZZ-JXXX</v>
      </c>
    </row>
    <row r="190" spans="1:36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Mar 2026'!$A$8:$F$206,6,FALSE)</f>
        <v>Chq Bk</v>
      </c>
      <c r="H190" s="566">
        <v>0</v>
      </c>
      <c r="I190" s="829">
        <v>116149.19000000002</v>
      </c>
      <c r="J190" s="566">
        <v>102236.31000000003</v>
      </c>
      <c r="K190" s="566">
        <v>98969.73</v>
      </c>
      <c r="L190" s="566">
        <v>104074.99</v>
      </c>
      <c r="M190" s="828">
        <f t="shared" si="6"/>
        <v>305281.03000000003</v>
      </c>
      <c r="N190" s="566"/>
      <c r="O190" s="566"/>
      <c r="P190" s="566"/>
      <c r="Q190" s="566"/>
      <c r="R190" s="566"/>
      <c r="S190" s="566"/>
      <c r="T190" s="566">
        <f t="shared" si="7"/>
        <v>421430.22000000003</v>
      </c>
      <c r="V190" s="573" t="s">
        <v>1007</v>
      </c>
      <c r="W190" s="577" t="s">
        <v>1006</v>
      </c>
      <c r="X190" s="577" t="s">
        <v>1006</v>
      </c>
      <c r="Y190" s="573"/>
      <c r="Z190" s="573"/>
      <c r="AA190" s="573"/>
      <c r="AB190" s="573"/>
      <c r="AC190" s="573"/>
      <c r="AD190" s="573"/>
      <c r="AE190" s="573"/>
      <c r="AF190" s="573"/>
      <c r="AG190" s="573"/>
      <c r="AI190">
        <v>3100621826</v>
      </c>
      <c r="AJ190" t="str">
        <f t="shared" si="8"/>
        <v>B1-AX04K-5A02-ED1-JZZZZZ-TV1L0-JZZZ-JXXX</v>
      </c>
    </row>
    <row r="191" spans="1:36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Mar 2026'!$A$8:$F$206,6,FALSE)</f>
        <v>Chq Bk</v>
      </c>
      <c r="H191" s="566">
        <v>0</v>
      </c>
      <c r="I191" s="829">
        <v>203957.23999999996</v>
      </c>
      <c r="J191" s="566">
        <v>-6814.46</v>
      </c>
      <c r="K191" s="566">
        <v>356</v>
      </c>
      <c r="L191" s="566">
        <v>-1362.49</v>
      </c>
      <c r="M191" s="566">
        <f t="shared" si="6"/>
        <v>-7820.95</v>
      </c>
      <c r="N191" s="566"/>
      <c r="O191" s="566"/>
      <c r="P191" s="566"/>
      <c r="Q191" s="566"/>
      <c r="R191" s="566"/>
      <c r="S191" s="566"/>
      <c r="T191" s="566">
        <f t="shared" si="7"/>
        <v>196136.28999999995</v>
      </c>
      <c r="V191" s="573" t="s">
        <v>1007</v>
      </c>
      <c r="W191" s="577" t="s">
        <v>1006</v>
      </c>
      <c r="X191" s="577" t="s">
        <v>1006</v>
      </c>
      <c r="Y191" s="573"/>
      <c r="Z191" s="573"/>
      <c r="AA191" s="573"/>
      <c r="AB191" s="573"/>
      <c r="AC191" s="573"/>
      <c r="AD191" s="573"/>
      <c r="AE191" s="573"/>
      <c r="AF191" s="573"/>
      <c r="AG191" s="573"/>
      <c r="AI191">
        <v>3100515665</v>
      </c>
      <c r="AJ191" t="str">
        <f t="shared" si="8"/>
        <v>B1-AX04Q-5A02-ED1-JZZZZZ-TV1L0-JZZZ-JXXX</v>
      </c>
    </row>
    <row r="192" spans="1:36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Mar 2026'!$A$8:$F$206,6,FALSE)</f>
        <v>Chq Bk</v>
      </c>
      <c r="H192" s="566">
        <v>0</v>
      </c>
      <c r="I192" s="566">
        <v>0</v>
      </c>
      <c r="J192" s="566">
        <v>152413.21</v>
      </c>
      <c r="K192" s="566">
        <v>141638.98000000007</v>
      </c>
      <c r="L192" s="566">
        <v>162553.10999999999</v>
      </c>
      <c r="M192" s="828">
        <f t="shared" si="6"/>
        <v>456605.30000000005</v>
      </c>
      <c r="N192" s="566"/>
      <c r="O192" s="566"/>
      <c r="P192" s="566"/>
      <c r="Q192" s="566"/>
      <c r="R192" s="566"/>
      <c r="S192" s="566"/>
      <c r="T192" s="566">
        <f t="shared" si="7"/>
        <v>456605.30000000005</v>
      </c>
      <c r="V192" s="573" t="s">
        <v>1007</v>
      </c>
      <c r="W192" s="573" t="s">
        <v>1007</v>
      </c>
      <c r="X192" s="577" t="s">
        <v>1006</v>
      </c>
      <c r="Y192" s="573"/>
      <c r="Z192" s="573"/>
      <c r="AA192" s="573"/>
      <c r="AB192" s="573"/>
      <c r="AC192" s="573"/>
      <c r="AD192" s="573"/>
      <c r="AE192" s="573"/>
      <c r="AF192" s="573"/>
      <c r="AG192" s="573"/>
      <c r="AI192">
        <v>3100480445</v>
      </c>
      <c r="AJ192" t="str">
        <f t="shared" si="8"/>
        <v>B1-AX04V-5A02-ED1-JZZZZZ-TV1L0-JZZZ-JXXX</v>
      </c>
    </row>
    <row r="193" spans="1:36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Mar 2026'!$A$8:$F$206,6,FALSE)</f>
        <v>Chq Bk</v>
      </c>
      <c r="H193" s="566">
        <v>0</v>
      </c>
      <c r="I193" s="829">
        <v>38447.520000000011</v>
      </c>
      <c r="J193" s="566">
        <v>40315.279999999999</v>
      </c>
      <c r="K193" s="566">
        <v>-210.29999999999995</v>
      </c>
      <c r="L193" s="566">
        <v>72</v>
      </c>
      <c r="M193" s="828">
        <f t="shared" si="6"/>
        <v>40176.979999999996</v>
      </c>
      <c r="N193" s="566"/>
      <c r="O193" s="566"/>
      <c r="P193" s="566"/>
      <c r="Q193" s="566"/>
      <c r="R193" s="566"/>
      <c r="S193" s="566"/>
      <c r="T193" s="566">
        <f t="shared" si="7"/>
        <v>78624.5</v>
      </c>
      <c r="V193" s="573" t="s">
        <v>1007</v>
      </c>
      <c r="W193" s="577" t="s">
        <v>1006</v>
      </c>
      <c r="X193" s="577" t="s">
        <v>1006</v>
      </c>
      <c r="Y193" s="573"/>
      <c r="Z193" s="573"/>
      <c r="AA193" s="573"/>
      <c r="AB193" s="573"/>
      <c r="AC193" s="573"/>
      <c r="AD193" s="573"/>
      <c r="AE193" s="573"/>
      <c r="AF193" s="573"/>
      <c r="AG193" s="573"/>
      <c r="AI193">
        <v>3100072707</v>
      </c>
      <c r="AJ193" t="str">
        <f t="shared" si="8"/>
        <v>B1-AX053-5A02-ED1-JZZZZZ-TV1L0-JZZZ-JXXX</v>
      </c>
    </row>
    <row r="194" spans="1:36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Mar 2026'!$A$8:$F$206,6,FALSE)</f>
        <v>Academy</v>
      </c>
      <c r="H194" s="566">
        <v>0</v>
      </c>
      <c r="I194" s="566">
        <v>0</v>
      </c>
      <c r="J194" s="566">
        <v>0</v>
      </c>
      <c r="K194" s="566">
        <v>0</v>
      </c>
      <c r="L194" s="566">
        <v>0</v>
      </c>
      <c r="M194" s="566">
        <f t="shared" si="6"/>
        <v>0</v>
      </c>
      <c r="N194" s="566"/>
      <c r="O194" s="566"/>
      <c r="P194" s="566"/>
      <c r="Q194" s="566"/>
      <c r="R194" s="566"/>
      <c r="S194" s="566"/>
      <c r="T194" s="566">
        <f t="shared" si="7"/>
        <v>0</v>
      </c>
      <c r="V194" s="573" t="s">
        <v>1007</v>
      </c>
      <c r="W194" s="573" t="s">
        <v>1007</v>
      </c>
      <c r="X194" s="573" t="s">
        <v>1007</v>
      </c>
      <c r="Y194" s="573"/>
      <c r="Z194" s="573"/>
      <c r="AA194" s="573"/>
      <c r="AB194" s="573"/>
      <c r="AC194" s="573"/>
      <c r="AD194" s="573"/>
      <c r="AE194" s="573"/>
      <c r="AF194" s="573"/>
      <c r="AG194" s="573"/>
      <c r="AI194">
        <v>3100607498</v>
      </c>
      <c r="AJ194" t="str">
        <f t="shared" si="8"/>
        <v>B1-AX05F-5A02-ED1-JZZZZZ-TV1L0-JZZZ-JXXX</v>
      </c>
    </row>
    <row r="195" spans="1:36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Mar 2026'!$A$8:$F$206,6,FALSE)</f>
        <v>Academy</v>
      </c>
      <c r="H195" s="566">
        <v>0</v>
      </c>
      <c r="I195" s="566">
        <v>0</v>
      </c>
      <c r="J195" s="566">
        <v>0</v>
      </c>
      <c r="K195" s="566">
        <v>0</v>
      </c>
      <c r="L195" s="566">
        <v>0</v>
      </c>
      <c r="M195" s="566">
        <f t="shared" si="6"/>
        <v>0</v>
      </c>
      <c r="N195" s="566"/>
      <c r="O195" s="566"/>
      <c r="P195" s="566"/>
      <c r="Q195" s="566"/>
      <c r="R195" s="566"/>
      <c r="S195" s="566"/>
      <c r="T195" s="566">
        <f t="shared" si="7"/>
        <v>0</v>
      </c>
      <c r="V195" s="573" t="s">
        <v>1007</v>
      </c>
      <c r="W195" s="573" t="s">
        <v>1007</v>
      </c>
      <c r="X195" s="573" t="s">
        <v>1007</v>
      </c>
      <c r="Y195" s="573"/>
      <c r="Z195" s="573"/>
      <c r="AA195" s="573"/>
      <c r="AB195" s="573"/>
      <c r="AC195" s="573"/>
      <c r="AD195" s="573"/>
      <c r="AE195" s="573"/>
      <c r="AF195" s="573"/>
      <c r="AG195" s="573"/>
      <c r="AI195">
        <v>0</v>
      </c>
      <c r="AJ195" t="str">
        <f t="shared" si="8"/>
        <v>B1-AX05N-5A02-ED1-JZZZZZ-TV1L0-JZZZ-JXXX</v>
      </c>
    </row>
    <row r="196" spans="1:36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Mar 2026'!$A$8:$F$206,6,FALSE)</f>
        <v>Academy</v>
      </c>
      <c r="H196" s="566">
        <v>0</v>
      </c>
      <c r="I196" s="566">
        <v>0</v>
      </c>
      <c r="J196" s="566">
        <v>0</v>
      </c>
      <c r="K196" s="566">
        <v>0</v>
      </c>
      <c r="L196" s="566">
        <v>0</v>
      </c>
      <c r="M196" s="566">
        <f t="shared" si="6"/>
        <v>0</v>
      </c>
      <c r="N196" s="566"/>
      <c r="O196" s="566"/>
      <c r="P196" s="566"/>
      <c r="Q196" s="566"/>
      <c r="R196" s="566"/>
      <c r="S196" s="566"/>
      <c r="T196" s="566">
        <f t="shared" si="7"/>
        <v>0</v>
      </c>
      <c r="V196" s="573" t="s">
        <v>1007</v>
      </c>
      <c r="W196" s="573" t="s">
        <v>1007</v>
      </c>
      <c r="X196" s="573" t="s">
        <v>1007</v>
      </c>
      <c r="Y196" s="573"/>
      <c r="Z196" s="573"/>
      <c r="AA196" s="573"/>
      <c r="AB196" s="573"/>
      <c r="AC196" s="573"/>
      <c r="AD196" s="573"/>
      <c r="AE196" s="573"/>
      <c r="AF196" s="573"/>
      <c r="AG196" s="573"/>
      <c r="AI196">
        <v>3100021112</v>
      </c>
      <c r="AJ196" t="str">
        <f t="shared" si="8"/>
        <v>B1-AX05V-5A02-ED1-JZZZZZ-TV1L0-JZZZ-JXXX</v>
      </c>
    </row>
    <row r="197" spans="1:36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Mar 2026'!$A$8:$F$206,6,FALSE)</f>
        <v>Chq Bk</v>
      </c>
      <c r="H197" s="566">
        <v>0</v>
      </c>
      <c r="I197" s="829">
        <v>111051.67000000001</v>
      </c>
      <c r="J197" s="566">
        <v>-2211.8500000000004</v>
      </c>
      <c r="K197" s="566">
        <v>-1784.7199999999998</v>
      </c>
      <c r="L197" s="566">
        <v>661.19</v>
      </c>
      <c r="M197" s="566">
        <f t="shared" si="6"/>
        <v>-3335.38</v>
      </c>
      <c r="N197" s="566"/>
      <c r="O197" s="566"/>
      <c r="P197" s="566"/>
      <c r="Q197" s="566"/>
      <c r="R197" s="566"/>
      <c r="S197" s="566"/>
      <c r="T197" s="566">
        <f t="shared" si="7"/>
        <v>107716.29000000001</v>
      </c>
      <c r="V197" s="573" t="s">
        <v>1007</v>
      </c>
      <c r="W197" s="577" t="s">
        <v>1006</v>
      </c>
      <c r="X197" s="577" t="s">
        <v>1006</v>
      </c>
      <c r="Y197" s="573"/>
      <c r="Z197" s="573"/>
      <c r="AA197" s="573"/>
      <c r="AB197" s="573"/>
      <c r="AC197" s="573"/>
      <c r="AD197" s="573"/>
      <c r="AE197" s="573"/>
      <c r="AF197" s="573"/>
      <c r="AG197" s="573"/>
      <c r="AI197">
        <v>0</v>
      </c>
      <c r="AJ197" t="str">
        <f t="shared" si="8"/>
        <v>B1-AX06B-5A02-ED1-JZZZZZ-TV1L0-JZZZ-JXXX</v>
      </c>
    </row>
    <row r="198" spans="1:36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Mar 2026'!$A$8:$F$206,6,FALSE)</f>
        <v>Chq Bk</v>
      </c>
      <c r="H198" s="566">
        <v>0</v>
      </c>
      <c r="I198" s="829">
        <v>238594.13000000006</v>
      </c>
      <c r="J198" s="566">
        <v>170765.35000000006</v>
      </c>
      <c r="K198" s="566">
        <v>16.809999999999782</v>
      </c>
      <c r="L198" s="566">
        <v>3340</v>
      </c>
      <c r="M198" s="828">
        <f t="shared" ref="M198:M204" si="9">SUM(J198:L198)</f>
        <v>174122.16000000006</v>
      </c>
      <c r="N198" s="566"/>
      <c r="O198" s="566"/>
      <c r="P198" s="566"/>
      <c r="Q198" s="566"/>
      <c r="R198" s="566"/>
      <c r="S198" s="566"/>
      <c r="T198" s="566">
        <f t="shared" ref="T198:T204" si="10">H198+I198+M198</f>
        <v>412716.29000000015</v>
      </c>
      <c r="V198" s="573" t="s">
        <v>1007</v>
      </c>
      <c r="W198" s="577" t="s">
        <v>1006</v>
      </c>
      <c r="X198" s="577" t="s">
        <v>1006</v>
      </c>
      <c r="Y198" s="573"/>
      <c r="Z198" s="573"/>
      <c r="AA198" s="573"/>
      <c r="AB198" s="573"/>
      <c r="AC198" s="573"/>
      <c r="AD198" s="573"/>
      <c r="AE198" s="573"/>
      <c r="AF198" s="573"/>
      <c r="AG198" s="573"/>
      <c r="AI198">
        <v>3100621688</v>
      </c>
      <c r="AJ198" t="str">
        <f t="shared" ref="AJ198:AJ204" si="11">_xlfn.CONCAT("B1-",C198,"-5A02-ED1-JZZZZZ-TV1L0-JZZZ-JXXX")</f>
        <v>B1-AX06H-5A02-ED1-JZZZZZ-TV1L0-JZZZ-JXXX</v>
      </c>
    </row>
    <row r="199" spans="1:36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Mar 2026'!$A$8:$F$206,6,FALSE)</f>
        <v>Academy</v>
      </c>
      <c r="H199" s="566">
        <v>0</v>
      </c>
      <c r="I199" s="566">
        <v>0</v>
      </c>
      <c r="J199" s="566">
        <v>0</v>
      </c>
      <c r="K199" s="566">
        <v>0</v>
      </c>
      <c r="L199" s="566">
        <v>0</v>
      </c>
      <c r="M199" s="566">
        <f t="shared" si="9"/>
        <v>0</v>
      </c>
      <c r="N199" s="566"/>
      <c r="O199" s="566"/>
      <c r="P199" s="566"/>
      <c r="Q199" s="566"/>
      <c r="R199" s="566"/>
      <c r="S199" s="566"/>
      <c r="T199" s="566">
        <f t="shared" si="10"/>
        <v>0</v>
      </c>
      <c r="V199" s="573" t="s">
        <v>1007</v>
      </c>
      <c r="W199" s="573" t="s">
        <v>1007</v>
      </c>
      <c r="X199" s="573" t="s">
        <v>1007</v>
      </c>
      <c r="Y199" s="573"/>
      <c r="Z199" s="573"/>
      <c r="AA199" s="573"/>
      <c r="AB199" s="573"/>
      <c r="AC199" s="573"/>
      <c r="AD199" s="573"/>
      <c r="AE199" s="573"/>
      <c r="AF199" s="573"/>
      <c r="AG199" s="573"/>
      <c r="AI199">
        <v>0</v>
      </c>
      <c r="AJ199" t="str">
        <f t="shared" si="11"/>
        <v>B1-AX06P-5A02-ED1-JZZZZZ-TV1L0-JZZZ-JXXX</v>
      </c>
    </row>
    <row r="200" spans="1:36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Mar 2026'!$A$8:$F$206,6,FALSE)</f>
        <v>Chq Bk</v>
      </c>
      <c r="H200" s="566">
        <v>0</v>
      </c>
      <c r="I200" s="829">
        <v>42114.14</v>
      </c>
      <c r="J200" s="566">
        <v>0</v>
      </c>
      <c r="K200" s="566">
        <v>-1754.7</v>
      </c>
      <c r="L200" s="566">
        <v>0</v>
      </c>
      <c r="M200" s="566">
        <f t="shared" si="9"/>
        <v>-1754.7</v>
      </c>
      <c r="N200" s="566"/>
      <c r="O200" s="566"/>
      <c r="P200" s="566"/>
      <c r="Q200" s="566"/>
      <c r="R200" s="566"/>
      <c r="S200" s="566"/>
      <c r="T200" s="566">
        <f t="shared" si="10"/>
        <v>40359.440000000002</v>
      </c>
      <c r="V200" s="573" t="s">
        <v>1007</v>
      </c>
      <c r="W200" s="577" t="s">
        <v>1006</v>
      </c>
      <c r="X200" s="577" t="s">
        <v>1006</v>
      </c>
      <c r="Y200" s="573"/>
      <c r="Z200" s="573"/>
      <c r="AA200" s="573"/>
      <c r="AB200" s="573"/>
      <c r="AC200" s="573"/>
      <c r="AD200" s="573"/>
      <c r="AE200" s="573"/>
      <c r="AF200" s="573"/>
      <c r="AG200" s="573"/>
      <c r="AI200">
        <v>3100043363</v>
      </c>
      <c r="AJ200" t="str">
        <f t="shared" si="11"/>
        <v>B1-AX06R-5A02-ED1-JZZZZZ-TV1L0-JZZZ-JXXX</v>
      </c>
    </row>
    <row r="201" spans="1:36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Mar 2026'!$A$8:$F$206,6,FALSE)</f>
        <v>Academy</v>
      </c>
      <c r="H201" s="566">
        <v>0</v>
      </c>
      <c r="I201" s="566">
        <v>0</v>
      </c>
      <c r="J201" s="566">
        <v>0</v>
      </c>
      <c r="K201" s="566">
        <v>0</v>
      </c>
      <c r="L201" s="566">
        <v>0</v>
      </c>
      <c r="M201" s="566">
        <f t="shared" si="9"/>
        <v>0</v>
      </c>
      <c r="N201" s="566"/>
      <c r="O201" s="566"/>
      <c r="P201" s="566"/>
      <c r="Q201" s="566"/>
      <c r="R201" s="566"/>
      <c r="S201" s="566"/>
      <c r="T201" s="566">
        <f t="shared" si="10"/>
        <v>0</v>
      </c>
      <c r="V201" s="573" t="s">
        <v>1007</v>
      </c>
      <c r="W201" s="573" t="s">
        <v>1007</v>
      </c>
      <c r="X201" s="573" t="s">
        <v>1007</v>
      </c>
      <c r="Y201" s="573"/>
      <c r="Z201" s="573"/>
      <c r="AA201" s="573"/>
      <c r="AB201" s="573"/>
      <c r="AC201" s="573"/>
      <c r="AD201" s="573"/>
      <c r="AE201" s="573"/>
      <c r="AF201" s="573"/>
      <c r="AG201" s="573"/>
      <c r="AI201">
        <v>0</v>
      </c>
      <c r="AJ201" t="str">
        <f t="shared" si="11"/>
        <v>B1-AX06U-5A02-ED1-JZZZZZ-TV1L0-JZZZ-JXXX</v>
      </c>
    </row>
    <row r="202" spans="1:36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Mar 2026'!$A$8:$F$206,6,FALSE)</f>
        <v>Academy</v>
      </c>
      <c r="H202" s="566">
        <v>0</v>
      </c>
      <c r="I202" s="566">
        <v>0</v>
      </c>
      <c r="J202" s="566">
        <v>0</v>
      </c>
      <c r="K202" s="566">
        <v>0</v>
      </c>
      <c r="L202" s="566">
        <v>0</v>
      </c>
      <c r="M202" s="566">
        <f t="shared" si="9"/>
        <v>0</v>
      </c>
      <c r="N202" s="566"/>
      <c r="O202" s="566"/>
      <c r="P202" s="566"/>
      <c r="Q202" s="566"/>
      <c r="R202" s="566"/>
      <c r="S202" s="566"/>
      <c r="T202" s="566">
        <f t="shared" si="10"/>
        <v>0</v>
      </c>
      <c r="V202" s="573" t="s">
        <v>1007</v>
      </c>
      <c r="W202" s="573" t="s">
        <v>1007</v>
      </c>
      <c r="X202" s="573" t="s">
        <v>1007</v>
      </c>
      <c r="Y202" s="573"/>
      <c r="Z202" s="573"/>
      <c r="AA202" s="573"/>
      <c r="AB202" s="573"/>
      <c r="AC202" s="573"/>
      <c r="AD202" s="573"/>
      <c r="AE202" s="573"/>
      <c r="AF202" s="573"/>
      <c r="AG202" s="573"/>
      <c r="AI202">
        <v>3100421449</v>
      </c>
      <c r="AJ202" t="str">
        <f t="shared" si="11"/>
        <v>B1-AX03Z-5A02-ED1-JZZZZZ-TV1L0-JZZZ-JXXX</v>
      </c>
    </row>
    <row r="203" spans="1:36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Mar 2026'!$A$8:$F$206,6,FALSE)</f>
        <v>Chq Bk</v>
      </c>
      <c r="H203" s="566">
        <v>0</v>
      </c>
      <c r="I203" s="829">
        <v>104887.28</v>
      </c>
      <c r="J203" s="566">
        <v>96975.239999999991</v>
      </c>
      <c r="K203" s="566">
        <v>3149.94</v>
      </c>
      <c r="L203" s="566">
        <v>2182.11</v>
      </c>
      <c r="M203" s="828">
        <f t="shared" si="9"/>
        <v>102307.29</v>
      </c>
      <c r="N203" s="566"/>
      <c r="O203" s="566"/>
      <c r="P203" s="566"/>
      <c r="Q203" s="566"/>
      <c r="R203" s="566"/>
      <c r="S203" s="566"/>
      <c r="T203" s="566">
        <f t="shared" si="10"/>
        <v>207194.57</v>
      </c>
      <c r="V203" s="573" t="s">
        <v>1007</v>
      </c>
      <c r="W203" s="577" t="s">
        <v>1006</v>
      </c>
      <c r="X203" s="577" t="s">
        <v>1006</v>
      </c>
      <c r="Y203" s="573"/>
      <c r="Z203" s="573"/>
      <c r="AA203" s="573"/>
      <c r="AB203" s="573"/>
      <c r="AC203" s="573"/>
      <c r="AD203" s="573"/>
      <c r="AE203" s="573"/>
      <c r="AF203" s="573"/>
      <c r="AG203" s="573"/>
      <c r="AI203">
        <v>3100621827</v>
      </c>
      <c r="AJ203" t="str">
        <f t="shared" si="11"/>
        <v>B1-AX07J-5A02-ED1-JZZZZZ-TV1L0-JZZZ-JXXX</v>
      </c>
    </row>
    <row r="204" spans="1:36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Mar 2026'!$A$8:$F$206,6,FALSE)</f>
        <v>Chq Bk</v>
      </c>
      <c r="H204" s="566">
        <v>0</v>
      </c>
      <c r="I204" s="829">
        <v>187091.77000000002</v>
      </c>
      <c r="J204" s="566">
        <v>919.81999999999971</v>
      </c>
      <c r="K204" s="566">
        <v>3324.07</v>
      </c>
      <c r="L204" s="566">
        <v>64607.65</v>
      </c>
      <c r="M204" s="828">
        <f t="shared" si="9"/>
        <v>68851.540000000008</v>
      </c>
      <c r="N204" s="566"/>
      <c r="O204" s="566"/>
      <c r="P204" s="566"/>
      <c r="Q204" s="566"/>
      <c r="R204" s="566"/>
      <c r="S204" s="566"/>
      <c r="T204" s="566">
        <f t="shared" si="10"/>
        <v>255943.31000000003</v>
      </c>
      <c r="V204" s="573" t="s">
        <v>1007</v>
      </c>
      <c r="W204" s="577" t="s">
        <v>1006</v>
      </c>
      <c r="X204" s="577" t="s">
        <v>1006</v>
      </c>
      <c r="Y204" s="573"/>
      <c r="Z204" s="573"/>
      <c r="AA204" s="573"/>
      <c r="AB204" s="573"/>
      <c r="AC204" s="573"/>
      <c r="AD204" s="573"/>
      <c r="AE204" s="573"/>
      <c r="AF204" s="573"/>
      <c r="AG204" s="573"/>
      <c r="AI204">
        <v>3100621526</v>
      </c>
      <c r="AJ204" t="str">
        <f t="shared" si="11"/>
        <v>B1-AX07L-5A02-ED1-JZZZZZ-TV1L0-JZZZ-JXXX</v>
      </c>
    </row>
    <row r="205" spans="1:36">
      <c r="A205" s="202"/>
      <c r="B205" s="192"/>
      <c r="C205" s="192"/>
      <c r="D205" s="196"/>
      <c r="E205" s="193"/>
      <c r="F205" s="215"/>
    </row>
    <row r="206" spans="1:36">
      <c r="H206" s="451">
        <f>SUM(H5:H205)</f>
        <v>8591043.2800000012</v>
      </c>
      <c r="I206" s="451">
        <f t="shared" ref="I206:T206" si="12">SUM(I5:I205)</f>
        <v>11074924.02</v>
      </c>
      <c r="J206" s="451">
        <f t="shared" si="12"/>
        <v>4436718.9400000013</v>
      </c>
      <c r="K206" s="451">
        <f t="shared" si="12"/>
        <v>2929188.05</v>
      </c>
      <c r="L206" s="451">
        <f t="shared" si="12"/>
        <v>4064209.2299999995</v>
      </c>
      <c r="M206" s="451">
        <f t="shared" si="12"/>
        <v>11430116.219999997</v>
      </c>
      <c r="N206" s="451">
        <f t="shared" si="12"/>
        <v>0</v>
      </c>
      <c r="O206" s="451">
        <f t="shared" si="12"/>
        <v>0</v>
      </c>
      <c r="P206" s="451">
        <f t="shared" si="12"/>
        <v>0</v>
      </c>
      <c r="Q206" s="451">
        <f t="shared" si="12"/>
        <v>0</v>
      </c>
      <c r="R206" s="451">
        <f t="shared" si="12"/>
        <v>0</v>
      </c>
      <c r="S206" s="451">
        <f t="shared" si="12"/>
        <v>0</v>
      </c>
      <c r="T206" s="451">
        <f t="shared" si="12"/>
        <v>31096083.52</v>
      </c>
    </row>
  </sheetData>
  <sheetProtection algorithmName="SHA-512" hashValue="T/sAPWD0ecspfroWYZ7EOeDbEZyfcUuUm0PjLE5xI7cngPDPn9d6w1UQ8PZPNIQ6HdbpCyyM/8SBxDeRR2ypSQ==" saltValue="oB6+qcdHFXCcSoq+Dg9DaA==" spinCount="100000" sheet="1" autoFilter="0"/>
  <autoFilter ref="A4:AJ204" xr:uid="{188E0357-A361-4DA4-A979-EB33998DC558}"/>
  <conditionalFormatting sqref="A4:F4 H4:T4 A5:E5 E6:E205">
    <cfRule type="cellIs" dxfId="9" priority="3" operator="lessThan">
      <formula>0</formula>
    </cfRule>
  </conditionalFormatting>
  <conditionalFormatting sqref="V4:AH4">
    <cfRule type="cellIs" dxfId="8" priority="2" operator="lessThan">
      <formula>0</formula>
    </cfRule>
  </conditionalFormatting>
  <conditionalFormatting sqref="AH63">
    <cfRule type="cellIs" dxfId="7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EBADC-163A-4CDE-AAE2-A1EE7C263F73}">
  <sheetPr codeName="Sheet10">
    <tabColor theme="6" tint="0.59999389629810485"/>
  </sheetPr>
  <dimension ref="A1:AM208"/>
  <sheetViews>
    <sheetView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M8" sqref="AM8:AM207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14.26953125" bestFit="1" customWidth="1"/>
    <col min="8" max="11" width="17.26953125" customWidth="1"/>
    <col min="12" max="13" width="7.54296875" style="280" customWidth="1"/>
    <col min="14" max="14" width="13.81640625" bestFit="1" customWidth="1"/>
    <col min="15" max="15" width="13.54296875" bestFit="1" customWidth="1"/>
    <col min="16" max="16" width="13.81640625" bestFit="1" customWidth="1"/>
    <col min="17" max="17" width="3.453125" style="280" bestFit="1" customWidth="1"/>
    <col min="19" max="20" width="12.453125" bestFit="1" customWidth="1"/>
    <col min="21" max="21" width="9.453125" customWidth="1"/>
    <col min="24" max="24" width="15.81640625" bestFit="1" customWidth="1"/>
    <col min="25" max="25" width="12.26953125" bestFit="1" customWidth="1"/>
    <col min="27" max="27" width="12" customWidth="1"/>
    <col min="28" max="28" width="13.54296875" customWidth="1"/>
    <col min="29" max="29" width="11" bestFit="1" customWidth="1"/>
    <col min="31" max="31" width="13.81640625" bestFit="1" customWidth="1"/>
    <col min="32" max="32" width="14.7265625" customWidth="1"/>
    <col min="33" max="33" width="12.453125" bestFit="1" customWidth="1"/>
    <col min="34" max="34" width="9.81640625" bestFit="1" customWidth="1"/>
    <col min="35" max="35" width="10.81640625" bestFit="1" customWidth="1"/>
    <col min="36" max="36" width="11.54296875" bestFit="1" customWidth="1"/>
    <col min="38" max="39" width="14.26953125" bestFit="1" customWidth="1"/>
  </cols>
  <sheetData>
    <row r="1" spans="1:39">
      <c r="A1" s="1" t="s">
        <v>1053</v>
      </c>
      <c r="B1" s="1"/>
    </row>
    <row r="2" spans="1:39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</row>
    <row r="3" spans="1:39">
      <c r="D3" s="66"/>
      <c r="G3" s="66" t="s">
        <v>1011</v>
      </c>
      <c r="H3" t="s">
        <v>21</v>
      </c>
      <c r="I3" t="s">
        <v>24</v>
      </c>
      <c r="J3" t="s">
        <v>24</v>
      </c>
      <c r="N3" t="s">
        <v>21</v>
      </c>
      <c r="O3" t="s">
        <v>24</v>
      </c>
      <c r="S3" t="s">
        <v>24</v>
      </c>
      <c r="T3" t="s">
        <v>24</v>
      </c>
      <c r="U3" t="s">
        <v>24</v>
      </c>
      <c r="X3" t="s">
        <v>21</v>
      </c>
      <c r="Y3" t="s">
        <v>24</v>
      </c>
      <c r="AA3" t="s">
        <v>21</v>
      </c>
      <c r="AB3" t="s">
        <v>24</v>
      </c>
      <c r="AC3" t="s">
        <v>24</v>
      </c>
      <c r="AE3" t="s">
        <v>21</v>
      </c>
      <c r="AF3" t="s">
        <v>21</v>
      </c>
      <c r="AG3" t="s">
        <v>24</v>
      </c>
      <c r="AH3" t="s">
        <v>21</v>
      </c>
      <c r="AI3" t="s">
        <v>24</v>
      </c>
      <c r="AJ3" t="s">
        <v>24</v>
      </c>
    </row>
    <row r="4" spans="1:39">
      <c r="D4" s="66"/>
      <c r="G4" s="66" t="s">
        <v>1012</v>
      </c>
      <c r="H4" s="420"/>
      <c r="I4" s="420"/>
      <c r="J4" s="420"/>
      <c r="K4" s="420"/>
      <c r="L4" s="324"/>
    </row>
    <row r="5" spans="1:39">
      <c r="D5" s="66"/>
      <c r="G5" s="66"/>
    </row>
    <row r="6" spans="1:39" ht="15.75" customHeight="1" thickBot="1">
      <c r="H6" s="903" t="s">
        <v>4</v>
      </c>
      <c r="I6" s="903"/>
      <c r="J6" s="903"/>
      <c r="K6" s="903"/>
      <c r="L6" s="421"/>
      <c r="N6" s="904" t="s">
        <v>1054</v>
      </c>
      <c r="O6" s="904"/>
      <c r="P6" s="904"/>
      <c r="S6" s="903" t="s">
        <v>4</v>
      </c>
      <c r="T6" s="903"/>
      <c r="U6" s="903"/>
      <c r="V6" s="903"/>
      <c r="X6" s="867" t="s">
        <v>1054</v>
      </c>
      <c r="Y6" s="868"/>
      <c r="AA6" s="903" t="s">
        <v>1192</v>
      </c>
      <c r="AB6" s="903"/>
      <c r="AC6" s="903"/>
      <c r="AE6" s="425" t="s">
        <v>1054</v>
      </c>
      <c r="AF6" s="865" t="s">
        <v>1196</v>
      </c>
      <c r="AG6" s="865" t="s">
        <v>1197</v>
      </c>
      <c r="AH6" s="425" t="s">
        <v>1222</v>
      </c>
      <c r="AI6" s="865" t="s">
        <v>1197</v>
      </c>
      <c r="AJ6" s="425" t="s">
        <v>1232</v>
      </c>
    </row>
    <row r="7" spans="1:39" ht="48" customHeight="1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22" t="s">
        <v>1056</v>
      </c>
      <c r="I7" s="422" t="s">
        <v>1057</v>
      </c>
      <c r="J7" s="422" t="s">
        <v>1058</v>
      </c>
      <c r="K7" s="422" t="s">
        <v>1059</v>
      </c>
      <c r="L7" s="281"/>
      <c r="M7" s="281"/>
      <c r="N7" s="425" t="s">
        <v>1060</v>
      </c>
      <c r="O7" s="425" t="s">
        <v>1061</v>
      </c>
      <c r="P7" s="425" t="s">
        <v>479</v>
      </c>
      <c r="S7" s="422" t="s">
        <v>1062</v>
      </c>
      <c r="T7" s="422" t="s">
        <v>1063</v>
      </c>
      <c r="U7" s="422" t="s">
        <v>1064</v>
      </c>
      <c r="V7" s="422" t="s">
        <v>1065</v>
      </c>
      <c r="X7" s="866" t="s">
        <v>1055</v>
      </c>
      <c r="Y7" s="866" t="s">
        <v>1055</v>
      </c>
      <c r="AA7" s="865" t="s">
        <v>1060</v>
      </c>
      <c r="AB7" s="865" t="s">
        <v>1193</v>
      </c>
      <c r="AC7" s="865" t="s">
        <v>1194</v>
      </c>
      <c r="AE7" s="866" t="s">
        <v>1195</v>
      </c>
      <c r="AF7" s="869" t="s">
        <v>1195</v>
      </c>
      <c r="AG7" s="869" t="s">
        <v>1195</v>
      </c>
      <c r="AH7" s="866" t="s">
        <v>1223</v>
      </c>
      <c r="AI7" s="869" t="s">
        <v>1231</v>
      </c>
      <c r="AJ7" s="866" t="s">
        <v>1231</v>
      </c>
      <c r="AL7" t="s">
        <v>21</v>
      </c>
      <c r="AM7" t="s">
        <v>24</v>
      </c>
    </row>
    <row r="8" spans="1:39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tr">
        <f>VLOOKUP(A8,'Summary Mar 2026'!$A$8:$F$206,6,FALSE)</f>
        <v>Chq Bk</v>
      </c>
      <c r="G8" s="186"/>
      <c r="H8" s="221">
        <v>0</v>
      </c>
      <c r="I8" s="221">
        <v>0</v>
      </c>
      <c r="J8" s="221">
        <v>0</v>
      </c>
      <c r="K8" s="221">
        <f>H8+I8+J8</f>
        <v>0</v>
      </c>
      <c r="L8" s="294"/>
      <c r="M8" s="282"/>
      <c r="N8" s="249">
        <v>0</v>
      </c>
      <c r="O8" s="249">
        <v>0</v>
      </c>
      <c r="P8" s="250">
        <f>N8+O8</f>
        <v>0</v>
      </c>
      <c r="S8" s="221">
        <v>0</v>
      </c>
      <c r="T8" s="221">
        <v>0</v>
      </c>
      <c r="U8" s="221">
        <v>0</v>
      </c>
      <c r="V8" s="221"/>
      <c r="X8" s="221"/>
      <c r="Y8" s="221"/>
      <c r="AA8" s="221"/>
      <c r="AB8" s="221"/>
      <c r="AC8" s="221"/>
      <c r="AE8" s="249"/>
      <c r="AF8" s="249">
        <v>0</v>
      </c>
      <c r="AG8" s="249">
        <v>0</v>
      </c>
      <c r="AH8" s="249"/>
      <c r="AI8" s="873">
        <v>0</v>
      </c>
      <c r="AJ8" s="873">
        <v>0</v>
      </c>
      <c r="AL8" s="223">
        <f>SUMIFS($H8:$K8,$H$3:$K$3,AL$7)+SUMIFS($N8:$P8,$N$3:$P$3,AL$7)+SUMIFS($S8:$V8,$S$3:$V$3,AL$7)+SUMIFS($X8:$AI8,$X$3:$AI$3,AL$7)</f>
        <v>0</v>
      </c>
      <c r="AM8" s="223">
        <f>SUMIFS($H8:$K8,$H$3:$K$3,AM$7)+SUMIFS($N8:$P8,$N$3:$P$3,AM$7)+SUMIFS($S8:$V8,$S$3:$V$3,AM$7)+SUMIFS($X8:$AJ8,$X$3:$AJ$3,AM$7)</f>
        <v>0</v>
      </c>
    </row>
    <row r="9" spans="1:39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3" t="str">
        <f>VLOOKUP(A9,'Summary Mar 2026'!$A$8:$F$206,6,FALSE)</f>
        <v>Chq Bk</v>
      </c>
      <c r="G9" s="33"/>
      <c r="H9" s="221">
        <v>0</v>
      </c>
      <c r="I9" s="221">
        <v>0</v>
      </c>
      <c r="J9" s="221">
        <v>0</v>
      </c>
      <c r="K9" s="221">
        <f t="shared" ref="K9:K72" si="0">H9+I9+J9</f>
        <v>0</v>
      </c>
      <c r="L9" s="294"/>
      <c r="M9" s="282"/>
      <c r="N9" s="249">
        <v>0</v>
      </c>
      <c r="O9" s="249">
        <v>0</v>
      </c>
      <c r="P9" s="250">
        <f t="shared" ref="P9:P72" si="1">N9+O9</f>
        <v>0</v>
      </c>
      <c r="S9" s="221">
        <v>0</v>
      </c>
      <c r="T9" s="221">
        <v>0</v>
      </c>
      <c r="U9" s="221">
        <v>0</v>
      </c>
      <c r="V9" s="221"/>
      <c r="X9" s="221"/>
      <c r="Y9" s="221"/>
      <c r="AA9" s="221"/>
      <c r="AB9" s="221"/>
      <c r="AC9" s="221"/>
      <c r="AE9" s="249"/>
      <c r="AF9" s="249">
        <v>0</v>
      </c>
      <c r="AG9" s="249">
        <v>0</v>
      </c>
      <c r="AH9" s="249"/>
      <c r="AI9" s="873">
        <v>0</v>
      </c>
      <c r="AJ9" s="873">
        <v>0</v>
      </c>
      <c r="AL9" s="223">
        <f t="shared" ref="AL9:AL72" si="2">SUMIFS($H9:$K9,$H$3:$K$3,AL$7)+SUMIFS($N9:$P9,$N$3:$P$3,AL$7)+SUMIFS($S9:$V9,$S$3:$V$3,AL$7)+SUMIFS($X9:$AI9,$X$3:$AI$3,AL$7)</f>
        <v>0</v>
      </c>
      <c r="AM9" s="223">
        <f t="shared" ref="AM9:AM72" si="3">SUMIFS($H9:$K9,$H$3:$K$3,AM$7)+SUMIFS($N9:$P9,$N$3:$P$3,AM$7)+SUMIFS($S9:$V9,$S$3:$V$3,AM$7)+SUMIFS($X9:$AJ9,$X$3:$AJ$3,AM$7)</f>
        <v>0</v>
      </c>
    </row>
    <row r="10" spans="1:39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3" t="str">
        <f>VLOOKUP(A10,'Summary Mar 2026'!$A$8:$F$206,6,FALSE)</f>
        <v>Chq Bk</v>
      </c>
      <c r="G10" s="33"/>
      <c r="H10" s="221">
        <v>0</v>
      </c>
      <c r="I10" s="221">
        <v>0</v>
      </c>
      <c r="J10" s="221">
        <v>0</v>
      </c>
      <c r="K10" s="221">
        <f t="shared" si="0"/>
        <v>0</v>
      </c>
      <c r="L10" s="294"/>
      <c r="M10" s="282"/>
      <c r="N10" s="249">
        <v>0</v>
      </c>
      <c r="O10" s="249">
        <v>0</v>
      </c>
      <c r="P10" s="250">
        <f t="shared" si="1"/>
        <v>0</v>
      </c>
      <c r="S10" s="221">
        <v>0</v>
      </c>
      <c r="T10" s="221">
        <v>0</v>
      </c>
      <c r="U10" s="221">
        <v>0</v>
      </c>
      <c r="V10" s="221"/>
      <c r="X10" s="221"/>
      <c r="Y10" s="221"/>
      <c r="AA10" s="221"/>
      <c r="AB10" s="221"/>
      <c r="AC10" s="221"/>
      <c r="AE10" s="249"/>
      <c r="AF10" s="249">
        <v>0</v>
      </c>
      <c r="AG10" s="249">
        <v>0</v>
      </c>
      <c r="AH10" s="249"/>
      <c r="AI10" s="873">
        <v>0</v>
      </c>
      <c r="AJ10" s="873">
        <v>0</v>
      </c>
      <c r="AL10" s="223">
        <f t="shared" si="2"/>
        <v>0</v>
      </c>
      <c r="AM10" s="223">
        <f t="shared" si="3"/>
        <v>0</v>
      </c>
    </row>
    <row r="11" spans="1:39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3" t="str">
        <f>VLOOKUP(A11,'Summary Mar 2026'!$A$8:$F$206,6,FALSE)</f>
        <v>Chq Bk</v>
      </c>
      <c r="G11" s="33"/>
      <c r="H11" s="221">
        <v>0</v>
      </c>
      <c r="I11" s="221">
        <v>0</v>
      </c>
      <c r="J11" s="221">
        <v>0</v>
      </c>
      <c r="K11" s="221">
        <f t="shared" si="0"/>
        <v>0</v>
      </c>
      <c r="L11" s="294"/>
      <c r="M11" s="282"/>
      <c r="N11" s="249">
        <v>48000</v>
      </c>
      <c r="O11" s="249">
        <v>27728</v>
      </c>
      <c r="P11" s="250">
        <f t="shared" si="1"/>
        <v>75728</v>
      </c>
      <c r="S11" s="221">
        <v>0</v>
      </c>
      <c r="T11" s="221">
        <v>0</v>
      </c>
      <c r="U11" s="221">
        <v>0</v>
      </c>
      <c r="V11" s="221"/>
      <c r="X11" s="221"/>
      <c r="Y11" s="221"/>
      <c r="AA11" s="221"/>
      <c r="AB11" s="221"/>
      <c r="AC11" s="221"/>
      <c r="AE11" s="249"/>
      <c r="AF11" s="249">
        <v>0</v>
      </c>
      <c r="AG11" s="249">
        <v>0</v>
      </c>
      <c r="AH11" s="249"/>
      <c r="AI11" s="873">
        <v>0</v>
      </c>
      <c r="AJ11" s="873">
        <v>14302.69</v>
      </c>
      <c r="AL11" s="223">
        <f t="shared" si="2"/>
        <v>48000</v>
      </c>
      <c r="AM11" s="223">
        <f t="shared" si="3"/>
        <v>42030.69</v>
      </c>
    </row>
    <row r="12" spans="1:39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3" t="str">
        <f>VLOOKUP(A12,'Summary Mar 2026'!$A$8:$F$206,6,FALSE)</f>
        <v>Chq Bk</v>
      </c>
      <c r="G12" s="33"/>
      <c r="H12" s="221">
        <v>0</v>
      </c>
      <c r="I12" s="221">
        <v>0</v>
      </c>
      <c r="J12" s="221">
        <v>0</v>
      </c>
      <c r="K12" s="221">
        <f t="shared" si="0"/>
        <v>0</v>
      </c>
      <c r="L12" s="294"/>
      <c r="M12" s="282"/>
      <c r="N12" s="249">
        <v>272000</v>
      </c>
      <c r="O12" s="249">
        <v>413315.28</v>
      </c>
      <c r="P12" s="250">
        <f t="shared" si="1"/>
        <v>685315.28</v>
      </c>
      <c r="S12" s="221">
        <v>0</v>
      </c>
      <c r="T12" s="221">
        <v>0</v>
      </c>
      <c r="U12" s="221">
        <v>0</v>
      </c>
      <c r="V12" s="221"/>
      <c r="X12" s="221"/>
      <c r="Y12" s="221"/>
      <c r="AA12" s="221"/>
      <c r="AB12" s="221"/>
      <c r="AC12" s="221"/>
      <c r="AE12" s="249"/>
      <c r="AF12" s="249">
        <v>0</v>
      </c>
      <c r="AG12" s="249">
        <v>0</v>
      </c>
      <c r="AH12" s="249"/>
      <c r="AI12" s="873">
        <v>0</v>
      </c>
      <c r="AJ12" s="873">
        <v>-37000</v>
      </c>
      <c r="AL12" s="223">
        <f t="shared" si="2"/>
        <v>272000</v>
      </c>
      <c r="AM12" s="223">
        <f t="shared" si="3"/>
        <v>376315.28</v>
      </c>
    </row>
    <row r="13" spans="1:39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3" t="str">
        <f>VLOOKUP(A13,'Summary Mar 2026'!$A$8:$F$206,6,FALSE)</f>
        <v>Chq Bk</v>
      </c>
      <c r="G13" s="33"/>
      <c r="H13" s="221">
        <v>0</v>
      </c>
      <c r="I13" s="221">
        <v>0</v>
      </c>
      <c r="J13" s="221">
        <v>0</v>
      </c>
      <c r="K13" s="221">
        <f t="shared" si="0"/>
        <v>0</v>
      </c>
      <c r="L13" s="294"/>
      <c r="M13" s="282"/>
      <c r="N13" s="249">
        <v>0</v>
      </c>
      <c r="O13" s="249">
        <v>0</v>
      </c>
      <c r="P13" s="250">
        <f t="shared" si="1"/>
        <v>0</v>
      </c>
      <c r="S13" s="221">
        <v>0</v>
      </c>
      <c r="T13" s="221">
        <v>0</v>
      </c>
      <c r="U13" s="221">
        <v>0</v>
      </c>
      <c r="V13" s="221"/>
      <c r="X13" s="221"/>
      <c r="Y13" s="221"/>
      <c r="AA13" s="221"/>
      <c r="AB13" s="221"/>
      <c r="AC13" s="221"/>
      <c r="AE13" s="249"/>
      <c r="AF13" s="249">
        <v>0</v>
      </c>
      <c r="AG13" s="249">
        <v>0</v>
      </c>
      <c r="AH13" s="249"/>
      <c r="AI13" s="873">
        <v>0</v>
      </c>
      <c r="AJ13" s="873">
        <v>0</v>
      </c>
      <c r="AL13" s="223">
        <f t="shared" si="2"/>
        <v>0</v>
      </c>
      <c r="AM13" s="223">
        <f t="shared" si="3"/>
        <v>0</v>
      </c>
    </row>
    <row r="14" spans="1:39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3" t="str">
        <f>VLOOKUP(A14,'Summary Mar 2026'!$A$8:$F$206,6,FALSE)</f>
        <v>Chq Bk</v>
      </c>
      <c r="G14" s="33"/>
      <c r="H14" s="221">
        <v>0</v>
      </c>
      <c r="I14" s="221">
        <v>0</v>
      </c>
      <c r="J14" s="221">
        <v>0</v>
      </c>
      <c r="K14" s="221">
        <f t="shared" si="0"/>
        <v>0</v>
      </c>
      <c r="L14" s="294"/>
      <c r="M14" s="282"/>
      <c r="N14" s="249">
        <v>60000</v>
      </c>
      <c r="O14" s="249">
        <v>126278.05</v>
      </c>
      <c r="P14" s="250">
        <f t="shared" si="1"/>
        <v>186278.05</v>
      </c>
      <c r="S14" s="221">
        <v>0</v>
      </c>
      <c r="T14" s="221">
        <v>0</v>
      </c>
      <c r="U14" s="221">
        <v>0</v>
      </c>
      <c r="V14" s="221"/>
      <c r="X14" s="221"/>
      <c r="Y14" s="221"/>
      <c r="AA14" s="221"/>
      <c r="AB14" s="221"/>
      <c r="AC14" s="221"/>
      <c r="AE14" s="249"/>
      <c r="AF14" s="249">
        <v>0</v>
      </c>
      <c r="AG14" s="249">
        <v>0</v>
      </c>
      <c r="AH14" s="249"/>
      <c r="AI14" s="873">
        <v>0</v>
      </c>
      <c r="AJ14" s="873">
        <v>-6560.58</v>
      </c>
      <c r="AL14" s="223">
        <f t="shared" si="2"/>
        <v>60000</v>
      </c>
      <c r="AM14" s="223">
        <f t="shared" si="3"/>
        <v>119717.47</v>
      </c>
    </row>
    <row r="15" spans="1:39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3" t="str">
        <f>VLOOKUP(A15,'Summary Mar 2026'!$A$8:$F$206,6,FALSE)</f>
        <v>Chq Bk</v>
      </c>
      <c r="G15" s="33"/>
      <c r="H15" s="221">
        <v>0</v>
      </c>
      <c r="I15" s="221">
        <v>0</v>
      </c>
      <c r="J15" s="221">
        <v>0</v>
      </c>
      <c r="K15" s="221">
        <f t="shared" si="0"/>
        <v>0</v>
      </c>
      <c r="L15" s="294"/>
      <c r="M15" s="282"/>
      <c r="N15" s="249">
        <v>0</v>
      </c>
      <c r="O15" s="249">
        <v>0</v>
      </c>
      <c r="P15" s="250">
        <f t="shared" si="1"/>
        <v>0</v>
      </c>
      <c r="S15" s="221">
        <v>0</v>
      </c>
      <c r="T15" s="221">
        <v>0</v>
      </c>
      <c r="U15" s="221">
        <v>0</v>
      </c>
      <c r="V15" s="221"/>
      <c r="X15" s="221"/>
      <c r="Y15" s="221"/>
      <c r="AA15" s="221"/>
      <c r="AB15" s="221"/>
      <c r="AC15" s="221"/>
      <c r="AE15" s="249"/>
      <c r="AF15" s="249">
        <v>0</v>
      </c>
      <c r="AG15" s="249">
        <v>0</v>
      </c>
      <c r="AH15" s="249"/>
      <c r="AI15" s="873">
        <v>0</v>
      </c>
      <c r="AJ15" s="873">
        <v>0</v>
      </c>
      <c r="AL15" s="223">
        <f t="shared" si="2"/>
        <v>0</v>
      </c>
      <c r="AM15" s="223">
        <f t="shared" si="3"/>
        <v>0</v>
      </c>
    </row>
    <row r="16" spans="1:39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3" t="str">
        <f>VLOOKUP(A16,'Summary Mar 2026'!$A$8:$F$206,6,FALSE)</f>
        <v>Chq Bk</v>
      </c>
      <c r="G16" s="33"/>
      <c r="H16" s="221">
        <v>2078340</v>
      </c>
      <c r="I16" s="221">
        <v>1983252.2036994437</v>
      </c>
      <c r="J16" s="221">
        <v>124080</v>
      </c>
      <c r="K16" s="221">
        <f t="shared" si="0"/>
        <v>4185672.2036994435</v>
      </c>
      <c r="L16" s="294"/>
      <c r="M16" s="282"/>
      <c r="N16" s="249">
        <v>0</v>
      </c>
      <c r="O16" s="249">
        <v>0</v>
      </c>
      <c r="P16" s="250">
        <f t="shared" si="1"/>
        <v>0</v>
      </c>
      <c r="S16" s="221">
        <v>436661.53846153867</v>
      </c>
      <c r="T16" s="221">
        <v>413250</v>
      </c>
      <c r="U16" s="221">
        <v>0</v>
      </c>
      <c r="V16" s="221"/>
      <c r="X16" s="221"/>
      <c r="Y16" s="221"/>
      <c r="AA16" s="221"/>
      <c r="AB16" s="221"/>
      <c r="AC16" s="221"/>
      <c r="AE16" s="249"/>
      <c r="AF16" s="249">
        <v>0</v>
      </c>
      <c r="AG16" s="249">
        <v>631678.44156268472</v>
      </c>
      <c r="AH16" s="249"/>
      <c r="AI16" s="873">
        <v>30000</v>
      </c>
      <c r="AJ16" s="873">
        <v>0</v>
      </c>
      <c r="AL16" s="223">
        <f t="shared" si="2"/>
        <v>2078340</v>
      </c>
      <c r="AM16" s="223">
        <f t="shared" si="3"/>
        <v>3618922.1837236672</v>
      </c>
    </row>
    <row r="17" spans="1:39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3" t="str">
        <f>VLOOKUP(A17,'Summary Mar 2026'!$A$8:$F$206,6,FALSE)</f>
        <v>Chq Bk</v>
      </c>
      <c r="G17" s="33"/>
      <c r="H17" s="221">
        <v>0</v>
      </c>
      <c r="I17" s="221">
        <v>0</v>
      </c>
      <c r="J17" s="221">
        <v>0</v>
      </c>
      <c r="K17" s="221">
        <f t="shared" si="0"/>
        <v>0</v>
      </c>
      <c r="L17" s="294"/>
      <c r="M17" s="282"/>
      <c r="N17" s="249">
        <v>0</v>
      </c>
      <c r="O17" s="249">
        <v>0</v>
      </c>
      <c r="P17" s="250">
        <f t="shared" si="1"/>
        <v>0</v>
      </c>
      <c r="S17" s="221">
        <v>0</v>
      </c>
      <c r="T17" s="221">
        <v>0</v>
      </c>
      <c r="U17" s="221">
        <v>0</v>
      </c>
      <c r="V17" s="221"/>
      <c r="X17" s="221"/>
      <c r="Y17" s="221"/>
      <c r="AA17" s="221"/>
      <c r="AB17" s="221"/>
      <c r="AC17" s="221"/>
      <c r="AE17" s="249"/>
      <c r="AF17" s="249">
        <v>0</v>
      </c>
      <c r="AG17" s="249">
        <v>0</v>
      </c>
      <c r="AH17" s="249"/>
      <c r="AI17" s="873">
        <v>0</v>
      </c>
      <c r="AJ17" s="873">
        <v>0</v>
      </c>
      <c r="AL17" s="223">
        <f t="shared" si="2"/>
        <v>0</v>
      </c>
      <c r="AM17" s="223">
        <f t="shared" si="3"/>
        <v>0</v>
      </c>
    </row>
    <row r="18" spans="1:39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3" t="str">
        <f>VLOOKUP(A18,'Summary Mar 2026'!$A$8:$F$206,6,FALSE)</f>
        <v>Chq Bk</v>
      </c>
      <c r="G18" s="33"/>
      <c r="H18" s="221">
        <v>0</v>
      </c>
      <c r="I18" s="221">
        <v>0</v>
      </c>
      <c r="J18" s="221">
        <v>0</v>
      </c>
      <c r="K18" s="221">
        <f t="shared" si="0"/>
        <v>0</v>
      </c>
      <c r="L18" s="294"/>
      <c r="M18" s="282"/>
      <c r="N18" s="249">
        <v>0</v>
      </c>
      <c r="O18" s="249">
        <v>0</v>
      </c>
      <c r="P18" s="250">
        <f t="shared" si="1"/>
        <v>0</v>
      </c>
      <c r="S18" s="221">
        <v>0</v>
      </c>
      <c r="T18" s="221">
        <v>0</v>
      </c>
      <c r="U18" s="221">
        <v>0</v>
      </c>
      <c r="V18" s="221"/>
      <c r="X18" s="221"/>
      <c r="Y18" s="221"/>
      <c r="AA18" s="221"/>
      <c r="AB18" s="221"/>
      <c r="AC18" s="221"/>
      <c r="AE18" s="249"/>
      <c r="AF18" s="249">
        <v>0</v>
      </c>
      <c r="AG18" s="249">
        <v>0</v>
      </c>
      <c r="AH18" s="249"/>
      <c r="AI18" s="873">
        <v>0</v>
      </c>
      <c r="AJ18" s="873">
        <v>0</v>
      </c>
      <c r="AL18" s="223">
        <f t="shared" si="2"/>
        <v>0</v>
      </c>
      <c r="AM18" s="223">
        <f t="shared" si="3"/>
        <v>0</v>
      </c>
    </row>
    <row r="19" spans="1:39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3" t="str">
        <f>VLOOKUP(A19,'Summary Mar 2026'!$A$8:$F$206,6,FALSE)</f>
        <v>Chq Bk</v>
      </c>
      <c r="G19" s="33"/>
      <c r="H19" s="221">
        <v>0</v>
      </c>
      <c r="I19" s="221">
        <v>0</v>
      </c>
      <c r="J19" s="221">
        <v>0</v>
      </c>
      <c r="K19" s="221">
        <f t="shared" si="0"/>
        <v>0</v>
      </c>
      <c r="L19" s="294"/>
      <c r="M19" s="282"/>
      <c r="N19" s="249">
        <v>0</v>
      </c>
      <c r="O19" s="249">
        <v>0</v>
      </c>
      <c r="P19" s="250">
        <f t="shared" si="1"/>
        <v>0</v>
      </c>
      <c r="S19" s="221">
        <v>0</v>
      </c>
      <c r="T19" s="221">
        <v>0</v>
      </c>
      <c r="U19" s="221">
        <v>0</v>
      </c>
      <c r="V19" s="221"/>
      <c r="X19" s="221"/>
      <c r="Y19" s="221"/>
      <c r="AA19" s="221"/>
      <c r="AB19" s="221"/>
      <c r="AC19" s="221"/>
      <c r="AE19" s="249"/>
      <c r="AF19" s="249">
        <v>0</v>
      </c>
      <c r="AG19" s="249">
        <v>0</v>
      </c>
      <c r="AH19" s="249"/>
      <c r="AI19" s="873">
        <v>0</v>
      </c>
      <c r="AJ19" s="873">
        <v>0</v>
      </c>
      <c r="AL19" s="223">
        <f t="shared" si="2"/>
        <v>0</v>
      </c>
      <c r="AM19" s="223">
        <f t="shared" si="3"/>
        <v>0</v>
      </c>
    </row>
    <row r="20" spans="1:39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3" t="str">
        <f>VLOOKUP(A20,'Summary Mar 2026'!$A$8:$F$206,6,FALSE)</f>
        <v>Chq Bk</v>
      </c>
      <c r="G20" s="33"/>
      <c r="H20" s="221">
        <v>0</v>
      </c>
      <c r="I20" s="221">
        <v>0</v>
      </c>
      <c r="J20" s="221">
        <v>0</v>
      </c>
      <c r="K20" s="221">
        <f t="shared" si="0"/>
        <v>0</v>
      </c>
      <c r="L20" s="294"/>
      <c r="M20" s="282"/>
      <c r="N20" s="249">
        <v>0</v>
      </c>
      <c r="O20" s="249">
        <v>0</v>
      </c>
      <c r="P20" s="250">
        <f t="shared" si="1"/>
        <v>0</v>
      </c>
      <c r="S20" s="221">
        <v>0</v>
      </c>
      <c r="T20" s="221">
        <v>0</v>
      </c>
      <c r="U20" s="221">
        <v>0</v>
      </c>
      <c r="V20" s="221"/>
      <c r="X20" s="221"/>
      <c r="Y20" s="221"/>
      <c r="AA20" s="221"/>
      <c r="AB20" s="221"/>
      <c r="AC20" s="221"/>
      <c r="AE20" s="249"/>
      <c r="AF20" s="249">
        <v>0</v>
      </c>
      <c r="AG20" s="249">
        <v>0</v>
      </c>
      <c r="AH20" s="249">
        <v>15000</v>
      </c>
      <c r="AI20" s="873">
        <v>0</v>
      </c>
      <c r="AJ20" s="873">
        <v>0</v>
      </c>
      <c r="AL20" s="223">
        <f t="shared" si="2"/>
        <v>15000</v>
      </c>
      <c r="AM20" s="223">
        <f t="shared" si="3"/>
        <v>0</v>
      </c>
    </row>
    <row r="21" spans="1:39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3" t="str">
        <f>VLOOKUP(A21,'Summary Mar 2026'!$A$8:$F$206,6,FALSE)</f>
        <v>Chq Bk</v>
      </c>
      <c r="G21" s="33"/>
      <c r="H21" s="221">
        <v>0</v>
      </c>
      <c r="I21" s="221">
        <v>0</v>
      </c>
      <c r="J21" s="221">
        <v>0</v>
      </c>
      <c r="K21" s="221">
        <f t="shared" si="0"/>
        <v>0</v>
      </c>
      <c r="L21" s="294"/>
      <c r="M21" s="282"/>
      <c r="N21" s="249">
        <v>0</v>
      </c>
      <c r="O21" s="249">
        <v>0</v>
      </c>
      <c r="P21" s="250">
        <f t="shared" si="1"/>
        <v>0</v>
      </c>
      <c r="S21" s="221">
        <v>0</v>
      </c>
      <c r="T21" s="221">
        <v>0</v>
      </c>
      <c r="U21" s="221">
        <v>0</v>
      </c>
      <c r="V21" s="221"/>
      <c r="X21" s="221"/>
      <c r="Y21" s="221"/>
      <c r="AA21" s="221"/>
      <c r="AB21" s="221"/>
      <c r="AC21" s="221"/>
      <c r="AE21" s="249"/>
      <c r="AF21" s="249">
        <v>0</v>
      </c>
      <c r="AG21" s="249">
        <v>0</v>
      </c>
      <c r="AH21" s="249"/>
      <c r="AI21" s="873">
        <v>0</v>
      </c>
      <c r="AJ21" s="873">
        <v>0</v>
      </c>
      <c r="AL21" s="223">
        <f t="shared" si="2"/>
        <v>0</v>
      </c>
      <c r="AM21" s="223">
        <f t="shared" si="3"/>
        <v>0</v>
      </c>
    </row>
    <row r="22" spans="1:39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3" t="str">
        <f>VLOOKUP(A22,'Summary Mar 2026'!$A$8:$F$206,6,FALSE)</f>
        <v>Chq Bk</v>
      </c>
      <c r="G22" s="33"/>
      <c r="H22" s="221">
        <v>0</v>
      </c>
      <c r="I22" s="221">
        <v>0</v>
      </c>
      <c r="J22" s="221">
        <v>0</v>
      </c>
      <c r="K22" s="221">
        <f t="shared" si="0"/>
        <v>0</v>
      </c>
      <c r="L22" s="294"/>
      <c r="M22" s="282"/>
      <c r="N22" s="249">
        <v>0</v>
      </c>
      <c r="O22" s="249">
        <v>0</v>
      </c>
      <c r="P22" s="250">
        <f t="shared" si="1"/>
        <v>0</v>
      </c>
      <c r="S22" s="221">
        <v>0</v>
      </c>
      <c r="T22" s="221">
        <v>0</v>
      </c>
      <c r="U22" s="221">
        <v>0</v>
      </c>
      <c r="V22" s="221"/>
      <c r="X22" s="221"/>
      <c r="Y22" s="221"/>
      <c r="AA22" s="221"/>
      <c r="AB22" s="221"/>
      <c r="AC22" s="221"/>
      <c r="AE22" s="249"/>
      <c r="AF22" s="249">
        <v>0</v>
      </c>
      <c r="AG22" s="249">
        <v>0</v>
      </c>
      <c r="AH22" s="249"/>
      <c r="AI22" s="873">
        <v>0</v>
      </c>
      <c r="AJ22" s="873">
        <v>0</v>
      </c>
      <c r="AL22" s="223">
        <f t="shared" si="2"/>
        <v>0</v>
      </c>
      <c r="AM22" s="223">
        <f t="shared" si="3"/>
        <v>0</v>
      </c>
    </row>
    <row r="23" spans="1:39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3" t="str">
        <f>VLOOKUP(A23,'Summary Mar 2026'!$A$8:$F$206,6,FALSE)</f>
        <v>Chq Bk</v>
      </c>
      <c r="G23" s="33"/>
      <c r="H23" s="221">
        <v>0</v>
      </c>
      <c r="I23" s="221">
        <v>0</v>
      </c>
      <c r="J23" s="221">
        <v>0</v>
      </c>
      <c r="K23" s="221">
        <f t="shared" si="0"/>
        <v>0</v>
      </c>
      <c r="L23" s="294"/>
      <c r="M23" s="282"/>
      <c r="N23" s="249">
        <v>132000</v>
      </c>
      <c r="O23" s="249">
        <v>305610.09999999998</v>
      </c>
      <c r="P23" s="250">
        <f t="shared" si="1"/>
        <v>437610.1</v>
      </c>
      <c r="S23" s="221">
        <v>0</v>
      </c>
      <c r="T23" s="221">
        <v>0</v>
      </c>
      <c r="U23" s="221">
        <v>0</v>
      </c>
      <c r="V23" s="221"/>
      <c r="X23" s="221"/>
      <c r="Y23" s="221"/>
      <c r="AA23" s="221"/>
      <c r="AB23" s="221"/>
      <c r="AC23" s="221"/>
      <c r="AE23" s="249"/>
      <c r="AF23" s="249">
        <v>0</v>
      </c>
      <c r="AG23" s="249">
        <v>0</v>
      </c>
      <c r="AH23" s="249"/>
      <c r="AI23" s="873">
        <v>0</v>
      </c>
      <c r="AJ23" s="873">
        <v>-10974.03</v>
      </c>
      <c r="AL23" s="223">
        <f t="shared" si="2"/>
        <v>132000</v>
      </c>
      <c r="AM23" s="223">
        <f t="shared" si="3"/>
        <v>294636.06999999995</v>
      </c>
    </row>
    <row r="24" spans="1:39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3" t="str">
        <f>VLOOKUP(A24,'Summary Mar 2026'!$A$8:$F$206,6,FALSE)</f>
        <v>Chq Bk</v>
      </c>
      <c r="G24" s="33"/>
      <c r="H24" s="221">
        <v>0</v>
      </c>
      <c r="I24" s="221">
        <v>0</v>
      </c>
      <c r="J24" s="221">
        <v>0</v>
      </c>
      <c r="K24" s="221">
        <f t="shared" si="0"/>
        <v>0</v>
      </c>
      <c r="L24" s="294"/>
      <c r="M24" s="282"/>
      <c r="N24" s="249">
        <v>0</v>
      </c>
      <c r="O24" s="249">
        <v>0</v>
      </c>
      <c r="P24" s="250">
        <f t="shared" si="1"/>
        <v>0</v>
      </c>
      <c r="S24" s="221">
        <v>0</v>
      </c>
      <c r="T24" s="221">
        <v>0</v>
      </c>
      <c r="U24" s="221">
        <v>0</v>
      </c>
      <c r="V24" s="221"/>
      <c r="X24" s="221"/>
      <c r="Y24" s="221"/>
      <c r="AA24" s="221"/>
      <c r="AB24" s="221"/>
      <c r="AC24" s="221"/>
      <c r="AE24" s="249"/>
      <c r="AF24" s="249">
        <v>0</v>
      </c>
      <c r="AG24" s="249">
        <v>0</v>
      </c>
      <c r="AH24" s="249"/>
      <c r="AI24" s="873">
        <v>0</v>
      </c>
      <c r="AJ24" s="873">
        <v>0</v>
      </c>
      <c r="AL24" s="223">
        <f t="shared" si="2"/>
        <v>0</v>
      </c>
      <c r="AM24" s="223">
        <f t="shared" si="3"/>
        <v>0</v>
      </c>
    </row>
    <row r="25" spans="1:39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3" t="str">
        <f>VLOOKUP(A25,'Summary Mar 2026'!$A$8:$F$206,6,FALSE)</f>
        <v>Chq Bk</v>
      </c>
      <c r="G25" s="33"/>
      <c r="H25" s="221">
        <v>0</v>
      </c>
      <c r="I25" s="221">
        <v>0</v>
      </c>
      <c r="J25" s="221">
        <v>0</v>
      </c>
      <c r="K25" s="221">
        <f t="shared" si="0"/>
        <v>0</v>
      </c>
      <c r="L25" s="294"/>
      <c r="M25" s="282"/>
      <c r="N25" s="249">
        <v>72000</v>
      </c>
      <c r="O25" s="249">
        <v>208647.07</v>
      </c>
      <c r="P25" s="250">
        <f t="shared" si="1"/>
        <v>280647.07</v>
      </c>
      <c r="S25" s="221">
        <v>0</v>
      </c>
      <c r="T25" s="221">
        <v>0</v>
      </c>
      <c r="U25" s="221">
        <v>0</v>
      </c>
      <c r="V25" s="221"/>
      <c r="X25" s="221"/>
      <c r="Y25" s="221"/>
      <c r="AA25" s="221"/>
      <c r="AB25" s="221"/>
      <c r="AC25" s="221"/>
      <c r="AE25" s="249"/>
      <c r="AF25" s="249">
        <v>0</v>
      </c>
      <c r="AG25" s="249">
        <v>0</v>
      </c>
      <c r="AH25" s="249"/>
      <c r="AI25" s="873">
        <v>0</v>
      </c>
      <c r="AJ25" s="873">
        <v>27653.21</v>
      </c>
      <c r="AL25" s="223">
        <f t="shared" si="2"/>
        <v>72000</v>
      </c>
      <c r="AM25" s="223">
        <f t="shared" si="3"/>
        <v>236300.28</v>
      </c>
    </row>
    <row r="26" spans="1:39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3" t="str">
        <f>VLOOKUP(A26,'Summary Mar 2026'!$A$8:$F$206,6,FALSE)</f>
        <v>Chq Bk</v>
      </c>
      <c r="G26" s="33"/>
      <c r="H26" s="221">
        <v>0</v>
      </c>
      <c r="I26" s="221">
        <v>0</v>
      </c>
      <c r="J26" s="221">
        <v>0</v>
      </c>
      <c r="K26" s="221">
        <f t="shared" si="0"/>
        <v>0</v>
      </c>
      <c r="L26" s="294"/>
      <c r="M26" s="282"/>
      <c r="N26" s="249">
        <v>0</v>
      </c>
      <c r="O26" s="249">
        <v>0</v>
      </c>
      <c r="P26" s="250">
        <f t="shared" si="1"/>
        <v>0</v>
      </c>
      <c r="S26" s="221">
        <v>0</v>
      </c>
      <c r="T26" s="221">
        <v>0</v>
      </c>
      <c r="U26" s="221">
        <v>0</v>
      </c>
      <c r="V26" s="221"/>
      <c r="X26" s="221"/>
      <c r="Y26" s="221"/>
      <c r="AA26" s="221"/>
      <c r="AB26" s="221"/>
      <c r="AC26" s="221"/>
      <c r="AE26" s="249"/>
      <c r="AF26" s="249">
        <v>0</v>
      </c>
      <c r="AG26" s="249">
        <v>0</v>
      </c>
      <c r="AH26" s="249"/>
      <c r="AI26" s="873">
        <v>0</v>
      </c>
      <c r="AJ26" s="873">
        <v>0</v>
      </c>
      <c r="AL26" s="223">
        <f t="shared" si="2"/>
        <v>0</v>
      </c>
      <c r="AM26" s="223">
        <f t="shared" si="3"/>
        <v>0</v>
      </c>
    </row>
    <row r="27" spans="1:39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3" t="str">
        <f>VLOOKUP(A27,'Summary Mar 2026'!$A$8:$F$206,6,FALSE)</f>
        <v>Chq Bk</v>
      </c>
      <c r="G27" s="33"/>
      <c r="H27" s="221">
        <v>0</v>
      </c>
      <c r="I27" s="221">
        <v>0</v>
      </c>
      <c r="J27" s="221">
        <v>0</v>
      </c>
      <c r="K27" s="221">
        <f t="shared" si="0"/>
        <v>0</v>
      </c>
      <c r="L27" s="294"/>
      <c r="M27" s="282"/>
      <c r="N27" s="249">
        <v>0</v>
      </c>
      <c r="O27" s="249">
        <v>0</v>
      </c>
      <c r="P27" s="250">
        <f t="shared" si="1"/>
        <v>0</v>
      </c>
      <c r="S27" s="221">
        <v>0</v>
      </c>
      <c r="T27" s="221">
        <v>0</v>
      </c>
      <c r="U27" s="221">
        <v>0</v>
      </c>
      <c r="V27" s="221"/>
      <c r="X27" s="221"/>
      <c r="Y27" s="221"/>
      <c r="AA27" s="221"/>
      <c r="AB27" s="221"/>
      <c r="AC27" s="221"/>
      <c r="AE27" s="249"/>
      <c r="AF27" s="249">
        <v>0</v>
      </c>
      <c r="AG27" s="249">
        <v>0</v>
      </c>
      <c r="AH27" s="249"/>
      <c r="AI27" s="873">
        <v>0</v>
      </c>
      <c r="AJ27" s="873">
        <v>0</v>
      </c>
      <c r="AL27" s="223">
        <f t="shared" si="2"/>
        <v>0</v>
      </c>
      <c r="AM27" s="223">
        <f t="shared" si="3"/>
        <v>0</v>
      </c>
    </row>
    <row r="28" spans="1:39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3" t="str">
        <f>VLOOKUP(A28,'Summary Mar 2026'!$A$8:$F$206,6,FALSE)</f>
        <v>Chq Bk</v>
      </c>
      <c r="G28" s="33"/>
      <c r="H28" s="221">
        <v>840180</v>
      </c>
      <c r="I28" s="221">
        <v>454179.8939769718</v>
      </c>
      <c r="J28" s="221">
        <v>50160</v>
      </c>
      <c r="K28" s="221">
        <f t="shared" si="0"/>
        <v>1344519.8939769717</v>
      </c>
      <c r="L28" s="294"/>
      <c r="M28" s="282"/>
      <c r="N28" s="249">
        <v>0</v>
      </c>
      <c r="O28" s="249">
        <v>0</v>
      </c>
      <c r="P28" s="250">
        <f t="shared" si="1"/>
        <v>0</v>
      </c>
      <c r="S28" s="221">
        <v>308526.92307692324</v>
      </c>
      <c r="T28" s="221">
        <v>0</v>
      </c>
      <c r="U28" s="221">
        <v>0</v>
      </c>
      <c r="V28" s="221"/>
      <c r="X28" s="221"/>
      <c r="Y28" s="221"/>
      <c r="AA28" s="221"/>
      <c r="AB28" s="221"/>
      <c r="AC28" s="221"/>
      <c r="AE28" s="249"/>
      <c r="AF28" s="249">
        <v>0</v>
      </c>
      <c r="AG28" s="249">
        <v>0</v>
      </c>
      <c r="AH28" s="249"/>
      <c r="AI28" s="873">
        <v>6941.81</v>
      </c>
      <c r="AJ28" s="873">
        <v>0</v>
      </c>
      <c r="AL28" s="223">
        <f t="shared" si="2"/>
        <v>840180</v>
      </c>
      <c r="AM28" s="223">
        <f t="shared" si="3"/>
        <v>819808.62705389503</v>
      </c>
    </row>
    <row r="29" spans="1:39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3" t="str">
        <f>VLOOKUP(A29,'Summary Mar 2026'!$A$8:$F$206,6,FALSE)</f>
        <v>Chq Bk</v>
      </c>
      <c r="G29" s="33"/>
      <c r="H29" s="221">
        <v>0</v>
      </c>
      <c r="I29" s="221">
        <v>0</v>
      </c>
      <c r="J29" s="221">
        <v>0</v>
      </c>
      <c r="K29" s="221">
        <f t="shared" si="0"/>
        <v>0</v>
      </c>
      <c r="L29" s="294"/>
      <c r="M29" s="282"/>
      <c r="N29" s="249">
        <v>0</v>
      </c>
      <c r="O29" s="249">
        <v>0</v>
      </c>
      <c r="P29" s="250">
        <f t="shared" si="1"/>
        <v>0</v>
      </c>
      <c r="S29" s="221">
        <v>0</v>
      </c>
      <c r="T29" s="221">
        <v>0</v>
      </c>
      <c r="U29" s="221">
        <v>0</v>
      </c>
      <c r="V29" s="221"/>
      <c r="X29" s="221"/>
      <c r="Y29" s="221"/>
      <c r="AA29" s="221"/>
      <c r="AB29" s="221"/>
      <c r="AC29" s="221"/>
      <c r="AE29" s="249"/>
      <c r="AF29" s="249">
        <v>0</v>
      </c>
      <c r="AG29" s="249">
        <v>0</v>
      </c>
      <c r="AH29" s="249"/>
      <c r="AI29" s="873">
        <v>0</v>
      </c>
      <c r="AJ29" s="873">
        <v>0</v>
      </c>
      <c r="AL29" s="223">
        <f t="shared" si="2"/>
        <v>0</v>
      </c>
      <c r="AM29" s="223">
        <f t="shared" si="3"/>
        <v>0</v>
      </c>
    </row>
    <row r="30" spans="1:39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3" t="str">
        <f>VLOOKUP(A30,'Summary Mar 2026'!$A$8:$F$206,6,FALSE)</f>
        <v>Academy</v>
      </c>
      <c r="G30" s="33"/>
      <c r="H30" s="221">
        <v>0</v>
      </c>
      <c r="I30" s="221">
        <v>0</v>
      </c>
      <c r="J30" s="221">
        <v>0</v>
      </c>
      <c r="K30" s="221">
        <f t="shared" si="0"/>
        <v>0</v>
      </c>
      <c r="L30" s="294"/>
      <c r="M30" s="282"/>
      <c r="N30" s="249">
        <v>0</v>
      </c>
      <c r="O30" s="249">
        <v>0</v>
      </c>
      <c r="P30" s="250">
        <f t="shared" si="1"/>
        <v>0</v>
      </c>
      <c r="S30" s="221">
        <v>0</v>
      </c>
      <c r="T30" s="221">
        <v>0</v>
      </c>
      <c r="U30" s="221">
        <v>0</v>
      </c>
      <c r="V30" s="221"/>
      <c r="X30" s="221"/>
      <c r="Y30" s="221"/>
      <c r="AA30" s="221"/>
      <c r="AB30" s="221"/>
      <c r="AC30" s="221"/>
      <c r="AE30" s="249"/>
      <c r="AF30" s="249">
        <v>0</v>
      </c>
      <c r="AG30" s="249">
        <v>0</v>
      </c>
      <c r="AH30" s="249"/>
      <c r="AI30" s="873">
        <v>0</v>
      </c>
      <c r="AJ30" s="873">
        <v>0</v>
      </c>
      <c r="AL30" s="223">
        <f t="shared" si="2"/>
        <v>0</v>
      </c>
      <c r="AM30" s="223">
        <f t="shared" si="3"/>
        <v>0</v>
      </c>
    </row>
    <row r="31" spans="1:39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3" t="str">
        <f>VLOOKUP(A31,'Summary Mar 2026'!$A$8:$F$206,6,FALSE)</f>
        <v>Academy</v>
      </c>
      <c r="G31" s="33"/>
      <c r="H31" s="221">
        <v>0</v>
      </c>
      <c r="I31" s="221">
        <v>0</v>
      </c>
      <c r="J31" s="221">
        <v>0</v>
      </c>
      <c r="K31" s="221">
        <f t="shared" si="0"/>
        <v>0</v>
      </c>
      <c r="L31" s="294"/>
      <c r="M31" s="282"/>
      <c r="N31" s="249">
        <v>0</v>
      </c>
      <c r="O31" s="249">
        <v>0</v>
      </c>
      <c r="P31" s="250">
        <f t="shared" si="1"/>
        <v>0</v>
      </c>
      <c r="S31" s="221">
        <v>0</v>
      </c>
      <c r="T31" s="221">
        <v>0</v>
      </c>
      <c r="U31" s="221">
        <v>0</v>
      </c>
      <c r="V31" s="221"/>
      <c r="X31" s="221"/>
      <c r="Y31" s="221"/>
      <c r="AA31" s="221"/>
      <c r="AB31" s="221"/>
      <c r="AC31" s="221"/>
      <c r="AE31" s="249"/>
      <c r="AF31" s="249">
        <v>0</v>
      </c>
      <c r="AG31" s="249">
        <v>0</v>
      </c>
      <c r="AH31" s="249"/>
      <c r="AI31" s="873">
        <v>0</v>
      </c>
      <c r="AJ31" s="873">
        <v>0</v>
      </c>
      <c r="AL31" s="223">
        <f t="shared" si="2"/>
        <v>0</v>
      </c>
      <c r="AM31" s="223">
        <f t="shared" si="3"/>
        <v>0</v>
      </c>
    </row>
    <row r="32" spans="1:39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3" t="str">
        <f>VLOOKUP(A32,'Summary Mar 2026'!$A$8:$F$206,6,FALSE)</f>
        <v>Chq Bk</v>
      </c>
      <c r="G32" s="33"/>
      <c r="H32" s="221">
        <v>0</v>
      </c>
      <c r="I32" s="221">
        <v>0</v>
      </c>
      <c r="J32" s="221">
        <v>0</v>
      </c>
      <c r="K32" s="221">
        <f t="shared" si="0"/>
        <v>0</v>
      </c>
      <c r="L32" s="294"/>
      <c r="M32" s="282"/>
      <c r="N32" s="249">
        <v>0</v>
      </c>
      <c r="O32" s="249">
        <v>0</v>
      </c>
      <c r="P32" s="250">
        <f t="shared" si="1"/>
        <v>0</v>
      </c>
      <c r="S32" s="221">
        <v>0</v>
      </c>
      <c r="T32" s="221">
        <v>0</v>
      </c>
      <c r="U32" s="221">
        <v>0</v>
      </c>
      <c r="V32" s="221"/>
      <c r="X32" s="221"/>
      <c r="Y32" s="221"/>
      <c r="AA32" s="221"/>
      <c r="AB32" s="221"/>
      <c r="AC32" s="221"/>
      <c r="AE32" s="249"/>
      <c r="AF32" s="249">
        <v>0</v>
      </c>
      <c r="AG32" s="249">
        <v>0</v>
      </c>
      <c r="AH32" s="249"/>
      <c r="AI32" s="873">
        <v>0</v>
      </c>
      <c r="AJ32" s="873">
        <v>0</v>
      </c>
      <c r="AL32" s="223">
        <f t="shared" si="2"/>
        <v>0</v>
      </c>
      <c r="AM32" s="223">
        <f t="shared" si="3"/>
        <v>0</v>
      </c>
    </row>
    <row r="33" spans="1:39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3" t="str">
        <f>VLOOKUP(A33,'Summary Mar 2026'!$A$8:$F$206,6,FALSE)</f>
        <v>Chq Bk</v>
      </c>
      <c r="G33" s="33"/>
      <c r="H33" s="221">
        <v>0</v>
      </c>
      <c r="I33" s="221">
        <v>0</v>
      </c>
      <c r="J33" s="221">
        <v>0</v>
      </c>
      <c r="K33" s="221">
        <f t="shared" si="0"/>
        <v>0</v>
      </c>
      <c r="L33" s="294"/>
      <c r="M33" s="282"/>
      <c r="N33" s="249">
        <v>0</v>
      </c>
      <c r="O33" s="249">
        <v>0</v>
      </c>
      <c r="P33" s="250">
        <f t="shared" si="1"/>
        <v>0</v>
      </c>
      <c r="S33" s="221">
        <v>0</v>
      </c>
      <c r="T33" s="221">
        <v>0</v>
      </c>
      <c r="U33" s="221">
        <v>0</v>
      </c>
      <c r="V33" s="221"/>
      <c r="X33" s="221"/>
      <c r="Y33" s="221"/>
      <c r="AA33" s="221"/>
      <c r="AB33" s="221"/>
      <c r="AC33" s="221"/>
      <c r="AE33" s="249"/>
      <c r="AF33" s="249">
        <v>0</v>
      </c>
      <c r="AG33" s="249">
        <v>0</v>
      </c>
      <c r="AH33" s="249"/>
      <c r="AI33" s="873">
        <v>0</v>
      </c>
      <c r="AJ33" s="873">
        <v>0</v>
      </c>
      <c r="AL33" s="223">
        <f t="shared" si="2"/>
        <v>0</v>
      </c>
      <c r="AM33" s="223">
        <f t="shared" si="3"/>
        <v>0</v>
      </c>
    </row>
    <row r="34" spans="1:39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3" t="str">
        <f>VLOOKUP(A34,'Summary Mar 2026'!$A$8:$F$206,6,FALSE)</f>
        <v>Chq Bk</v>
      </c>
      <c r="G34" s="33"/>
      <c r="H34" s="221">
        <v>0</v>
      </c>
      <c r="I34" s="221">
        <v>0</v>
      </c>
      <c r="J34" s="221">
        <v>0</v>
      </c>
      <c r="K34" s="221">
        <f t="shared" si="0"/>
        <v>0</v>
      </c>
      <c r="L34" s="294"/>
      <c r="M34" s="282"/>
      <c r="N34" s="249">
        <v>0</v>
      </c>
      <c r="O34" s="249">
        <v>0</v>
      </c>
      <c r="P34" s="250">
        <f t="shared" si="1"/>
        <v>0</v>
      </c>
      <c r="S34" s="221">
        <v>0</v>
      </c>
      <c r="T34" s="221">
        <v>0</v>
      </c>
      <c r="U34" s="221">
        <v>0</v>
      </c>
      <c r="V34" s="221"/>
      <c r="X34" s="221"/>
      <c r="Y34" s="221"/>
      <c r="AA34" s="221"/>
      <c r="AB34" s="221"/>
      <c r="AC34" s="221"/>
      <c r="AE34" s="249"/>
      <c r="AF34" s="249">
        <v>0</v>
      </c>
      <c r="AG34" s="249">
        <v>0</v>
      </c>
      <c r="AH34" s="249"/>
      <c r="AI34" s="873">
        <v>0</v>
      </c>
      <c r="AJ34" s="873">
        <v>0</v>
      </c>
      <c r="AL34" s="223">
        <f t="shared" si="2"/>
        <v>0</v>
      </c>
      <c r="AM34" s="223">
        <f t="shared" si="3"/>
        <v>0</v>
      </c>
    </row>
    <row r="35" spans="1:39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3" t="str">
        <f>VLOOKUP(A35,'Summary Mar 2026'!$A$8:$F$206,6,FALSE)</f>
        <v>Chq Bk</v>
      </c>
      <c r="G35" s="33"/>
      <c r="H35" s="221">
        <v>0</v>
      </c>
      <c r="I35" s="221">
        <v>0</v>
      </c>
      <c r="J35" s="221">
        <v>0</v>
      </c>
      <c r="K35" s="221">
        <f t="shared" si="0"/>
        <v>0</v>
      </c>
      <c r="L35" s="294"/>
      <c r="M35" s="282"/>
      <c r="N35" s="249">
        <v>0</v>
      </c>
      <c r="O35" s="249">
        <v>0</v>
      </c>
      <c r="P35" s="250">
        <f t="shared" si="1"/>
        <v>0</v>
      </c>
      <c r="S35" s="221">
        <v>0</v>
      </c>
      <c r="T35" s="221">
        <v>0</v>
      </c>
      <c r="U35" s="221">
        <v>0</v>
      </c>
      <c r="V35" s="221"/>
      <c r="X35" s="221"/>
      <c r="Y35" s="221"/>
      <c r="AA35" s="221"/>
      <c r="AB35" s="221"/>
      <c r="AC35" s="221"/>
      <c r="AE35" s="249"/>
      <c r="AF35" s="249">
        <v>0</v>
      </c>
      <c r="AG35" s="249">
        <v>0</v>
      </c>
      <c r="AH35" s="249"/>
      <c r="AI35" s="873">
        <v>0</v>
      </c>
      <c r="AJ35" s="873">
        <v>0</v>
      </c>
      <c r="AL35" s="223">
        <f t="shared" si="2"/>
        <v>0</v>
      </c>
      <c r="AM35" s="223">
        <f t="shared" si="3"/>
        <v>0</v>
      </c>
    </row>
    <row r="36" spans="1:39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3" t="str">
        <f>VLOOKUP(A36,'Summary Mar 2026'!$A$8:$F$206,6,FALSE)</f>
        <v>Chq Bk</v>
      </c>
      <c r="G36" s="33"/>
      <c r="H36" s="221">
        <v>1227105</v>
      </c>
      <c r="I36" s="221">
        <v>1221504.8727485926</v>
      </c>
      <c r="J36" s="221">
        <v>73260</v>
      </c>
      <c r="K36" s="221">
        <f t="shared" si="0"/>
        <v>2521869.8727485929</v>
      </c>
      <c r="L36" s="294"/>
      <c r="M36" s="282"/>
      <c r="N36" s="249">
        <v>0</v>
      </c>
      <c r="O36" s="249">
        <v>0</v>
      </c>
      <c r="P36" s="250">
        <f t="shared" si="1"/>
        <v>0</v>
      </c>
      <c r="S36" s="221">
        <v>138461.53846153861</v>
      </c>
      <c r="T36" s="221">
        <v>0</v>
      </c>
      <c r="U36" s="221">
        <v>0</v>
      </c>
      <c r="V36" s="221"/>
      <c r="X36" s="221"/>
      <c r="Y36" s="221"/>
      <c r="AA36" s="221"/>
      <c r="AB36" s="221"/>
      <c r="AC36" s="221"/>
      <c r="AE36" s="249"/>
      <c r="AF36" s="249">
        <v>0</v>
      </c>
      <c r="AG36" s="249">
        <v>0</v>
      </c>
      <c r="AH36" s="249"/>
      <c r="AI36" s="873">
        <v>-44765.86</v>
      </c>
      <c r="AJ36" s="873">
        <v>0</v>
      </c>
      <c r="AL36" s="223">
        <f t="shared" si="2"/>
        <v>1227105</v>
      </c>
      <c r="AM36" s="223">
        <f t="shared" si="3"/>
        <v>1388460.5512101313</v>
      </c>
    </row>
    <row r="37" spans="1:39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3" t="str">
        <f>VLOOKUP(A37,'Summary Mar 2026'!$A$8:$F$206,6,FALSE)</f>
        <v>Chq Bk</v>
      </c>
      <c r="G37" s="33"/>
      <c r="H37" s="221">
        <v>0</v>
      </c>
      <c r="I37" s="221">
        <v>0</v>
      </c>
      <c r="J37" s="221">
        <v>0</v>
      </c>
      <c r="K37" s="221">
        <f t="shared" si="0"/>
        <v>0</v>
      </c>
      <c r="L37" s="294"/>
      <c r="M37" s="282"/>
      <c r="N37" s="249">
        <v>96000</v>
      </c>
      <c r="O37" s="249">
        <v>180446.55</v>
      </c>
      <c r="P37" s="250">
        <f t="shared" si="1"/>
        <v>276446.55</v>
      </c>
      <c r="S37" s="221">
        <v>0</v>
      </c>
      <c r="T37" s="221">
        <v>0</v>
      </c>
      <c r="U37" s="221">
        <v>0</v>
      </c>
      <c r="V37" s="221"/>
      <c r="X37" s="221"/>
      <c r="Y37" s="221"/>
      <c r="AA37" s="221"/>
      <c r="AB37" s="221"/>
      <c r="AC37" s="221"/>
      <c r="AE37" s="249"/>
      <c r="AF37" s="249">
        <v>0</v>
      </c>
      <c r="AG37" s="249">
        <v>0</v>
      </c>
      <c r="AH37" s="249"/>
      <c r="AI37" s="873">
        <v>0</v>
      </c>
      <c r="AJ37" s="873">
        <v>19203.47</v>
      </c>
      <c r="AL37" s="223">
        <f t="shared" si="2"/>
        <v>96000</v>
      </c>
      <c r="AM37" s="223">
        <f t="shared" si="3"/>
        <v>199650.02</v>
      </c>
    </row>
    <row r="38" spans="1:39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3" t="str">
        <f>VLOOKUP(A38,'Summary Mar 2026'!$A$8:$F$206,6,FALSE)</f>
        <v>Chq Bk</v>
      </c>
      <c r="G38" s="33"/>
      <c r="H38" s="221">
        <v>0</v>
      </c>
      <c r="I38" s="221">
        <v>0</v>
      </c>
      <c r="J38" s="221">
        <v>0</v>
      </c>
      <c r="K38" s="221">
        <f t="shared" si="0"/>
        <v>0</v>
      </c>
      <c r="L38" s="294"/>
      <c r="M38" s="282"/>
      <c r="N38" s="249">
        <v>0</v>
      </c>
      <c r="O38" s="249">
        <v>0</v>
      </c>
      <c r="P38" s="250">
        <f t="shared" si="1"/>
        <v>0</v>
      </c>
      <c r="S38" s="221">
        <v>0</v>
      </c>
      <c r="T38" s="221">
        <v>0</v>
      </c>
      <c r="U38" s="221">
        <v>0</v>
      </c>
      <c r="V38" s="221"/>
      <c r="X38" s="221"/>
      <c r="Y38" s="221"/>
      <c r="AA38" s="221"/>
      <c r="AB38" s="221"/>
      <c r="AC38" s="221"/>
      <c r="AE38" s="249"/>
      <c r="AF38" s="249">
        <v>0</v>
      </c>
      <c r="AG38" s="249">
        <v>0</v>
      </c>
      <c r="AH38" s="249"/>
      <c r="AI38" s="873">
        <v>0</v>
      </c>
      <c r="AJ38" s="873">
        <v>0</v>
      </c>
      <c r="AL38" s="223">
        <f t="shared" si="2"/>
        <v>0</v>
      </c>
      <c r="AM38" s="223">
        <f t="shared" si="3"/>
        <v>0</v>
      </c>
    </row>
    <row r="39" spans="1:39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3" t="str">
        <f>VLOOKUP(A39,'Summary Mar 2026'!$A$8:$F$206,6,FALSE)</f>
        <v>Chq Bk</v>
      </c>
      <c r="G39" s="33"/>
      <c r="H39" s="221">
        <v>0</v>
      </c>
      <c r="I39" s="221">
        <v>0</v>
      </c>
      <c r="J39" s="221">
        <v>0</v>
      </c>
      <c r="K39" s="221">
        <f t="shared" si="0"/>
        <v>0</v>
      </c>
      <c r="L39" s="294"/>
      <c r="M39" s="282"/>
      <c r="N39" s="249">
        <v>0</v>
      </c>
      <c r="O39" s="249">
        <v>0</v>
      </c>
      <c r="P39" s="250">
        <f t="shared" si="1"/>
        <v>0</v>
      </c>
      <c r="S39" s="221">
        <v>0</v>
      </c>
      <c r="T39" s="221">
        <v>0</v>
      </c>
      <c r="U39" s="221">
        <v>0</v>
      </c>
      <c r="V39" s="221"/>
      <c r="X39" s="221"/>
      <c r="Y39" s="221"/>
      <c r="AA39" s="221"/>
      <c r="AB39" s="221"/>
      <c r="AC39" s="221"/>
      <c r="AE39" s="249"/>
      <c r="AF39" s="249">
        <v>0</v>
      </c>
      <c r="AG39" s="249">
        <v>0</v>
      </c>
      <c r="AH39" s="249"/>
      <c r="AI39" s="873">
        <v>0</v>
      </c>
      <c r="AJ39" s="873">
        <v>0</v>
      </c>
      <c r="AL39" s="223">
        <f t="shared" si="2"/>
        <v>0</v>
      </c>
      <c r="AM39" s="223">
        <f t="shared" si="3"/>
        <v>0</v>
      </c>
    </row>
    <row r="40" spans="1:39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3" t="str">
        <f>VLOOKUP(A40,'Summary Mar 2026'!$A$8:$F$206,6,FALSE)</f>
        <v>Chq Bk</v>
      </c>
      <c r="G40" s="33"/>
      <c r="H40" s="221">
        <v>0</v>
      </c>
      <c r="I40" s="221">
        <v>0</v>
      </c>
      <c r="J40" s="221">
        <v>0</v>
      </c>
      <c r="K40" s="221">
        <f t="shared" si="0"/>
        <v>0</v>
      </c>
      <c r="L40" s="294"/>
      <c r="M40" s="282"/>
      <c r="N40" s="249">
        <v>0</v>
      </c>
      <c r="O40" s="249">
        <v>0</v>
      </c>
      <c r="P40" s="250">
        <f t="shared" si="1"/>
        <v>0</v>
      </c>
      <c r="S40" s="221">
        <v>0</v>
      </c>
      <c r="T40" s="221">
        <v>0</v>
      </c>
      <c r="U40" s="221">
        <v>0</v>
      </c>
      <c r="V40" s="221"/>
      <c r="X40" s="221"/>
      <c r="Y40" s="221"/>
      <c r="AA40" s="221"/>
      <c r="AB40" s="221"/>
      <c r="AC40" s="221"/>
      <c r="AE40" s="249"/>
      <c r="AF40" s="249">
        <v>0</v>
      </c>
      <c r="AG40" s="249">
        <v>0</v>
      </c>
      <c r="AH40" s="249"/>
      <c r="AI40" s="873">
        <v>0</v>
      </c>
      <c r="AJ40" s="873">
        <v>0</v>
      </c>
      <c r="AL40" s="223">
        <f t="shared" si="2"/>
        <v>0</v>
      </c>
      <c r="AM40" s="223">
        <f t="shared" si="3"/>
        <v>0</v>
      </c>
    </row>
    <row r="41" spans="1:39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3" t="str">
        <f>VLOOKUP(A41,'Summary Mar 2026'!$A$8:$F$206,6,FALSE)</f>
        <v>Chq Bk</v>
      </c>
      <c r="G41" s="33"/>
      <c r="H41" s="221">
        <v>6600000</v>
      </c>
      <c r="I41" s="221">
        <v>5834587.6799999997</v>
      </c>
      <c r="J41" s="221">
        <v>0</v>
      </c>
      <c r="K41" s="221">
        <f t="shared" si="0"/>
        <v>12434587.68</v>
      </c>
      <c r="L41" s="294"/>
      <c r="M41" s="282"/>
      <c r="N41" s="249">
        <v>0</v>
      </c>
      <c r="O41" s="249">
        <v>0</v>
      </c>
      <c r="P41" s="250">
        <f t="shared" si="1"/>
        <v>0</v>
      </c>
      <c r="S41" s="221">
        <v>0</v>
      </c>
      <c r="T41" s="221">
        <v>0</v>
      </c>
      <c r="U41" s="221">
        <v>0</v>
      </c>
      <c r="V41" s="221"/>
      <c r="X41" s="221"/>
      <c r="Y41" s="221"/>
      <c r="AA41" s="221"/>
      <c r="AB41" s="221"/>
      <c r="AC41" s="221"/>
      <c r="AE41" s="249"/>
      <c r="AF41" s="249">
        <v>0</v>
      </c>
      <c r="AG41" s="249">
        <v>0</v>
      </c>
      <c r="AH41" s="249"/>
      <c r="AI41" s="873">
        <v>0</v>
      </c>
      <c r="AJ41" s="873">
        <v>0</v>
      </c>
      <c r="AL41" s="223">
        <f t="shared" si="2"/>
        <v>6600000</v>
      </c>
      <c r="AM41" s="223">
        <f t="shared" si="3"/>
        <v>5834587.6799999997</v>
      </c>
    </row>
    <row r="42" spans="1:39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3" t="str">
        <f>VLOOKUP(A42,'Summary Mar 2026'!$A$8:$F$206,6,FALSE)</f>
        <v>Chq Bk</v>
      </c>
      <c r="G42" s="33"/>
      <c r="H42" s="221">
        <v>0</v>
      </c>
      <c r="I42" s="221">
        <v>0</v>
      </c>
      <c r="J42" s="221">
        <v>0</v>
      </c>
      <c r="K42" s="221">
        <f t="shared" si="0"/>
        <v>0</v>
      </c>
      <c r="L42" s="294"/>
      <c r="M42" s="282"/>
      <c r="N42" s="249">
        <v>0</v>
      </c>
      <c r="O42" s="249">
        <v>0</v>
      </c>
      <c r="P42" s="250">
        <f t="shared" si="1"/>
        <v>0</v>
      </c>
      <c r="S42" s="221">
        <v>0</v>
      </c>
      <c r="T42" s="221">
        <v>0</v>
      </c>
      <c r="U42" s="221">
        <v>0</v>
      </c>
      <c r="V42" s="221"/>
      <c r="X42" s="221"/>
      <c r="Y42" s="221"/>
      <c r="AA42" s="221"/>
      <c r="AB42" s="221"/>
      <c r="AC42" s="221"/>
      <c r="AE42" s="249"/>
      <c r="AF42" s="249">
        <v>0</v>
      </c>
      <c r="AG42" s="249">
        <v>0</v>
      </c>
      <c r="AH42" s="249"/>
      <c r="AI42" s="873">
        <v>0</v>
      </c>
      <c r="AJ42" s="873">
        <v>0</v>
      </c>
      <c r="AL42" s="223">
        <f t="shared" si="2"/>
        <v>0</v>
      </c>
      <c r="AM42" s="223">
        <f t="shared" si="3"/>
        <v>0</v>
      </c>
    </row>
    <row r="43" spans="1:39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3" t="str">
        <f>VLOOKUP(A43,'Summary Mar 2026'!$A$8:$F$206,6,FALSE)</f>
        <v>Chq Bk</v>
      </c>
      <c r="G43" s="33"/>
      <c r="H43" s="221">
        <v>0</v>
      </c>
      <c r="I43" s="221">
        <v>0</v>
      </c>
      <c r="J43" s="221">
        <v>0</v>
      </c>
      <c r="K43" s="221">
        <f t="shared" si="0"/>
        <v>0</v>
      </c>
      <c r="L43" s="294"/>
      <c r="M43" s="282"/>
      <c r="N43" s="249">
        <v>0</v>
      </c>
      <c r="O43" s="249">
        <v>0</v>
      </c>
      <c r="P43" s="250">
        <f t="shared" si="1"/>
        <v>0</v>
      </c>
      <c r="S43" s="221">
        <v>0</v>
      </c>
      <c r="T43" s="221">
        <v>0</v>
      </c>
      <c r="U43" s="221">
        <v>0</v>
      </c>
      <c r="V43" s="221"/>
      <c r="X43" s="221"/>
      <c r="Y43" s="221"/>
      <c r="AA43" s="221"/>
      <c r="AB43" s="221"/>
      <c r="AC43" s="221"/>
      <c r="AE43" s="249"/>
      <c r="AF43" s="249">
        <v>0</v>
      </c>
      <c r="AG43" s="249">
        <v>0</v>
      </c>
      <c r="AH43" s="249"/>
      <c r="AI43" s="873">
        <v>0</v>
      </c>
      <c r="AJ43" s="873">
        <v>0</v>
      </c>
      <c r="AL43" s="223">
        <f t="shared" si="2"/>
        <v>0</v>
      </c>
      <c r="AM43" s="223">
        <f t="shared" si="3"/>
        <v>0</v>
      </c>
    </row>
    <row r="44" spans="1:39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3" t="str">
        <f>VLOOKUP(A44,'Summary Mar 2026'!$A$8:$F$206,6,FALSE)</f>
        <v>Chq Bk</v>
      </c>
      <c r="G44" s="33"/>
      <c r="H44" s="221">
        <v>0</v>
      </c>
      <c r="I44" s="221">
        <v>0</v>
      </c>
      <c r="J44" s="221">
        <v>0</v>
      </c>
      <c r="K44" s="221">
        <f t="shared" si="0"/>
        <v>0</v>
      </c>
      <c r="L44" s="294"/>
      <c r="M44" s="282"/>
      <c r="N44" s="249">
        <v>0</v>
      </c>
      <c r="O44" s="249">
        <v>0</v>
      </c>
      <c r="P44" s="250">
        <f t="shared" si="1"/>
        <v>0</v>
      </c>
      <c r="S44" s="221">
        <v>0</v>
      </c>
      <c r="T44" s="221">
        <v>0</v>
      </c>
      <c r="U44" s="221">
        <v>0</v>
      </c>
      <c r="V44" s="221"/>
      <c r="X44" s="221"/>
      <c r="Y44" s="221"/>
      <c r="AA44" s="221"/>
      <c r="AB44" s="221"/>
      <c r="AC44" s="221"/>
      <c r="AE44" s="249"/>
      <c r="AF44" s="249">
        <v>0</v>
      </c>
      <c r="AG44" s="249">
        <v>0</v>
      </c>
      <c r="AH44" s="249"/>
      <c r="AI44" s="873">
        <v>0</v>
      </c>
      <c r="AJ44" s="873">
        <v>0</v>
      </c>
      <c r="AL44" s="223">
        <f t="shared" si="2"/>
        <v>0</v>
      </c>
      <c r="AM44" s="223">
        <f t="shared" si="3"/>
        <v>0</v>
      </c>
    </row>
    <row r="45" spans="1:39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3" t="str">
        <f>VLOOKUP(A45,'Summary Mar 2026'!$A$8:$F$206,6,FALSE)</f>
        <v>Chq Bk</v>
      </c>
      <c r="G45" s="33"/>
      <c r="H45" s="221">
        <v>0</v>
      </c>
      <c r="I45" s="221">
        <v>0</v>
      </c>
      <c r="J45" s="221">
        <v>0</v>
      </c>
      <c r="K45" s="221">
        <f t="shared" si="0"/>
        <v>0</v>
      </c>
      <c r="L45" s="294"/>
      <c r="M45" s="282"/>
      <c r="N45" s="249">
        <v>0</v>
      </c>
      <c r="O45" s="249">
        <v>0</v>
      </c>
      <c r="P45" s="250">
        <f t="shared" si="1"/>
        <v>0</v>
      </c>
      <c r="S45" s="221">
        <v>0</v>
      </c>
      <c r="T45" s="221">
        <v>0</v>
      </c>
      <c r="U45" s="221">
        <v>0</v>
      </c>
      <c r="V45" s="221"/>
      <c r="X45" s="221"/>
      <c r="Y45" s="221"/>
      <c r="AA45" s="221"/>
      <c r="AB45" s="221"/>
      <c r="AC45" s="221"/>
      <c r="AE45" s="249"/>
      <c r="AF45" s="249">
        <v>0</v>
      </c>
      <c r="AG45" s="249">
        <v>0</v>
      </c>
      <c r="AH45" s="249"/>
      <c r="AI45" s="873">
        <v>0</v>
      </c>
      <c r="AJ45" s="873">
        <v>0</v>
      </c>
      <c r="AL45" s="223">
        <f t="shared" si="2"/>
        <v>0</v>
      </c>
      <c r="AM45" s="223">
        <f t="shared" si="3"/>
        <v>0</v>
      </c>
    </row>
    <row r="46" spans="1:39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3" t="str">
        <f>VLOOKUP(A46,'Summary Mar 2026'!$A$8:$F$206,6,FALSE)</f>
        <v>Chq Bk</v>
      </c>
      <c r="G46" s="33"/>
      <c r="H46" s="221">
        <v>0</v>
      </c>
      <c r="I46" s="221">
        <v>0</v>
      </c>
      <c r="J46" s="221">
        <v>0</v>
      </c>
      <c r="K46" s="221">
        <f t="shared" si="0"/>
        <v>0</v>
      </c>
      <c r="L46" s="294"/>
      <c r="M46" s="282"/>
      <c r="N46" s="249">
        <v>0</v>
      </c>
      <c r="O46" s="249">
        <v>0</v>
      </c>
      <c r="P46" s="250">
        <f t="shared" si="1"/>
        <v>0</v>
      </c>
      <c r="S46" s="221">
        <v>0</v>
      </c>
      <c r="T46" s="221">
        <v>0</v>
      </c>
      <c r="U46" s="221">
        <v>0</v>
      </c>
      <c r="V46" s="221"/>
      <c r="X46" s="221"/>
      <c r="Y46" s="221"/>
      <c r="AA46" s="221"/>
      <c r="AB46" s="221"/>
      <c r="AC46" s="221"/>
      <c r="AE46" s="249"/>
      <c r="AF46" s="249">
        <v>0</v>
      </c>
      <c r="AG46" s="249">
        <v>0</v>
      </c>
      <c r="AH46" s="249"/>
      <c r="AI46" s="873">
        <v>0</v>
      </c>
      <c r="AJ46" s="873">
        <v>0</v>
      </c>
      <c r="AL46" s="223">
        <f t="shared" si="2"/>
        <v>0</v>
      </c>
      <c r="AM46" s="223">
        <f t="shared" si="3"/>
        <v>0</v>
      </c>
    </row>
    <row r="47" spans="1:39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3" t="str">
        <f>VLOOKUP(A47,'Summary Mar 2026'!$A$8:$F$206,6,FALSE)</f>
        <v>Chq Bk</v>
      </c>
      <c r="G47" s="33"/>
      <c r="H47" s="221">
        <v>0</v>
      </c>
      <c r="I47" s="221">
        <v>0</v>
      </c>
      <c r="J47" s="221">
        <v>0</v>
      </c>
      <c r="K47" s="221">
        <f t="shared" si="0"/>
        <v>0</v>
      </c>
      <c r="L47" s="294"/>
      <c r="M47" s="282"/>
      <c r="N47" s="249">
        <v>0</v>
      </c>
      <c r="O47" s="249">
        <v>0</v>
      </c>
      <c r="P47" s="250">
        <f t="shared" si="1"/>
        <v>0</v>
      </c>
      <c r="S47" s="221">
        <v>0</v>
      </c>
      <c r="T47" s="221">
        <v>0</v>
      </c>
      <c r="U47" s="221">
        <v>0</v>
      </c>
      <c r="V47" s="221"/>
      <c r="X47" s="221"/>
      <c r="Y47" s="221"/>
      <c r="AA47" s="221"/>
      <c r="AB47" s="221"/>
      <c r="AC47" s="221"/>
      <c r="AE47" s="249"/>
      <c r="AF47" s="249">
        <v>0</v>
      </c>
      <c r="AG47" s="249">
        <v>0</v>
      </c>
      <c r="AH47" s="249"/>
      <c r="AI47" s="873">
        <v>0</v>
      </c>
      <c r="AJ47" s="873">
        <v>0</v>
      </c>
      <c r="AL47" s="223">
        <f t="shared" si="2"/>
        <v>0</v>
      </c>
      <c r="AM47" s="223">
        <f t="shared" si="3"/>
        <v>0</v>
      </c>
    </row>
    <row r="48" spans="1:39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3" t="str">
        <f>VLOOKUP(A48,'Summary Mar 2026'!$A$8:$F$206,6,FALSE)</f>
        <v>Chq Bk</v>
      </c>
      <c r="G48" s="33"/>
      <c r="H48" s="221">
        <v>0</v>
      </c>
      <c r="I48" s="221">
        <v>0</v>
      </c>
      <c r="J48" s="221">
        <v>0</v>
      </c>
      <c r="K48" s="221">
        <f t="shared" si="0"/>
        <v>0</v>
      </c>
      <c r="L48" s="294"/>
      <c r="M48" s="282"/>
      <c r="N48" s="249">
        <v>0</v>
      </c>
      <c r="O48" s="249">
        <v>0</v>
      </c>
      <c r="P48" s="250">
        <f t="shared" si="1"/>
        <v>0</v>
      </c>
      <c r="S48" s="221">
        <v>0</v>
      </c>
      <c r="T48" s="221">
        <v>0</v>
      </c>
      <c r="U48" s="221">
        <v>0</v>
      </c>
      <c r="V48" s="221"/>
      <c r="X48" s="221"/>
      <c r="Y48" s="221"/>
      <c r="AA48" s="221"/>
      <c r="AB48" s="221"/>
      <c r="AC48" s="221"/>
      <c r="AE48" s="249"/>
      <c r="AF48" s="249">
        <v>0</v>
      </c>
      <c r="AG48" s="249">
        <v>0</v>
      </c>
      <c r="AH48" s="249"/>
      <c r="AI48" s="873">
        <v>0</v>
      </c>
      <c r="AJ48" s="873">
        <v>0</v>
      </c>
      <c r="AL48" s="223">
        <f t="shared" si="2"/>
        <v>0</v>
      </c>
      <c r="AM48" s="223">
        <f t="shared" si="3"/>
        <v>0</v>
      </c>
    </row>
    <row r="49" spans="1:39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3" t="str">
        <f>VLOOKUP(A49,'Summary Mar 2026'!$A$8:$F$206,6,FALSE)</f>
        <v>Chq Bk</v>
      </c>
      <c r="G49" s="33"/>
      <c r="H49" s="221">
        <v>0</v>
      </c>
      <c r="I49" s="221">
        <v>0</v>
      </c>
      <c r="J49" s="221">
        <v>0</v>
      </c>
      <c r="K49" s="221">
        <f t="shared" si="0"/>
        <v>0</v>
      </c>
      <c r="L49" s="294"/>
      <c r="M49" s="282"/>
      <c r="N49" s="249">
        <v>0</v>
      </c>
      <c r="O49" s="249">
        <v>0</v>
      </c>
      <c r="P49" s="250">
        <f t="shared" si="1"/>
        <v>0</v>
      </c>
      <c r="S49" s="221">
        <v>0</v>
      </c>
      <c r="T49" s="221">
        <v>0</v>
      </c>
      <c r="U49" s="221">
        <v>0</v>
      </c>
      <c r="V49" s="221"/>
      <c r="X49" s="221"/>
      <c r="Y49" s="221"/>
      <c r="AA49" s="221"/>
      <c r="AB49" s="221"/>
      <c r="AC49" s="221"/>
      <c r="AE49" s="249"/>
      <c r="AF49" s="249">
        <v>0</v>
      </c>
      <c r="AG49" s="249">
        <v>0</v>
      </c>
      <c r="AH49" s="249"/>
      <c r="AI49" s="873">
        <v>0</v>
      </c>
      <c r="AJ49" s="873">
        <v>0</v>
      </c>
      <c r="AL49" s="223">
        <f t="shared" si="2"/>
        <v>0</v>
      </c>
      <c r="AM49" s="223">
        <f t="shared" si="3"/>
        <v>0</v>
      </c>
    </row>
    <row r="50" spans="1:39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3" t="str">
        <f>VLOOKUP(A50,'Summary Mar 2026'!$A$8:$F$206,6,FALSE)</f>
        <v>Chq Bk</v>
      </c>
      <c r="G50" s="33"/>
      <c r="H50" s="221">
        <v>0</v>
      </c>
      <c r="I50" s="221">
        <v>0</v>
      </c>
      <c r="J50" s="221">
        <v>0</v>
      </c>
      <c r="K50" s="221">
        <f t="shared" si="0"/>
        <v>0</v>
      </c>
      <c r="L50" s="294"/>
      <c r="M50" s="282"/>
      <c r="N50" s="249">
        <v>0</v>
      </c>
      <c r="O50" s="249">
        <v>0</v>
      </c>
      <c r="P50" s="250">
        <f t="shared" si="1"/>
        <v>0</v>
      </c>
      <c r="S50" s="221">
        <v>0</v>
      </c>
      <c r="T50" s="221">
        <v>0</v>
      </c>
      <c r="U50" s="221">
        <v>0</v>
      </c>
      <c r="V50" s="221"/>
      <c r="X50" s="221"/>
      <c r="Y50" s="221"/>
      <c r="AA50" s="221"/>
      <c r="AB50" s="221"/>
      <c r="AC50" s="221"/>
      <c r="AE50" s="249"/>
      <c r="AF50" s="249">
        <v>0</v>
      </c>
      <c r="AG50" s="249">
        <v>0</v>
      </c>
      <c r="AH50" s="249"/>
      <c r="AI50" s="873">
        <v>0</v>
      </c>
      <c r="AJ50" s="873">
        <v>0</v>
      </c>
      <c r="AL50" s="223">
        <f t="shared" si="2"/>
        <v>0</v>
      </c>
      <c r="AM50" s="223">
        <f t="shared" si="3"/>
        <v>0</v>
      </c>
    </row>
    <row r="51" spans="1:39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3" t="str">
        <f>VLOOKUP(A51,'Summary Mar 2026'!$A$8:$F$206,6,FALSE)</f>
        <v>Chq Bk</v>
      </c>
      <c r="G51" s="33"/>
      <c r="H51" s="221">
        <v>0</v>
      </c>
      <c r="I51" s="221">
        <v>0</v>
      </c>
      <c r="J51" s="221">
        <v>0</v>
      </c>
      <c r="K51" s="221">
        <f t="shared" si="0"/>
        <v>0</v>
      </c>
      <c r="L51" s="294"/>
      <c r="M51" s="282"/>
      <c r="N51" s="249">
        <v>0</v>
      </c>
      <c r="O51" s="249">
        <v>0</v>
      </c>
      <c r="P51" s="250">
        <f t="shared" si="1"/>
        <v>0</v>
      </c>
      <c r="S51" s="221">
        <v>0</v>
      </c>
      <c r="T51" s="221">
        <v>0</v>
      </c>
      <c r="U51" s="221">
        <v>0</v>
      </c>
      <c r="V51" s="221"/>
      <c r="X51" s="221"/>
      <c r="Y51" s="221"/>
      <c r="AA51" s="221"/>
      <c r="AB51" s="221"/>
      <c r="AC51" s="221"/>
      <c r="AE51" s="249"/>
      <c r="AF51" s="249">
        <v>0</v>
      </c>
      <c r="AG51" s="249">
        <v>0</v>
      </c>
      <c r="AH51" s="249"/>
      <c r="AI51" s="873">
        <v>0</v>
      </c>
      <c r="AJ51" s="873">
        <v>0</v>
      </c>
      <c r="AL51" s="223">
        <f t="shared" si="2"/>
        <v>0</v>
      </c>
      <c r="AM51" s="223">
        <f t="shared" si="3"/>
        <v>0</v>
      </c>
    </row>
    <row r="52" spans="1:39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3" t="str">
        <f>VLOOKUP(A52,'Summary Mar 2026'!$A$8:$F$206,6,FALSE)</f>
        <v>Chq Bk</v>
      </c>
      <c r="G52" s="33"/>
      <c r="H52" s="221">
        <v>0</v>
      </c>
      <c r="I52" s="221">
        <v>0</v>
      </c>
      <c r="J52" s="221">
        <v>0</v>
      </c>
      <c r="K52" s="221">
        <f t="shared" si="0"/>
        <v>0</v>
      </c>
      <c r="L52" s="294"/>
      <c r="M52" s="282"/>
      <c r="N52" s="249">
        <v>0</v>
      </c>
      <c r="O52" s="249">
        <v>0</v>
      </c>
      <c r="P52" s="250">
        <f t="shared" si="1"/>
        <v>0</v>
      </c>
      <c r="S52" s="221">
        <v>0</v>
      </c>
      <c r="T52" s="221">
        <v>0</v>
      </c>
      <c r="U52" s="221">
        <v>0</v>
      </c>
      <c r="V52" s="221"/>
      <c r="X52" s="221"/>
      <c r="Y52" s="221"/>
      <c r="AA52" s="221"/>
      <c r="AB52" s="221"/>
      <c r="AC52" s="221"/>
      <c r="AE52" s="249"/>
      <c r="AF52" s="249">
        <v>0</v>
      </c>
      <c r="AG52" s="249">
        <v>0</v>
      </c>
      <c r="AH52" s="249"/>
      <c r="AI52" s="873">
        <v>0</v>
      </c>
      <c r="AJ52" s="873">
        <v>0</v>
      </c>
      <c r="AL52" s="223">
        <f t="shared" si="2"/>
        <v>0</v>
      </c>
      <c r="AM52" s="223">
        <f t="shared" si="3"/>
        <v>0</v>
      </c>
    </row>
    <row r="53" spans="1:39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3" t="str">
        <f>VLOOKUP(A53,'Summary Mar 2026'!$A$8:$F$206,6,FALSE)</f>
        <v>Chq Bk</v>
      </c>
      <c r="G53" s="33"/>
      <c r="H53" s="221">
        <v>0</v>
      </c>
      <c r="I53" s="221">
        <v>0</v>
      </c>
      <c r="J53" s="221">
        <v>0</v>
      </c>
      <c r="K53" s="221">
        <f t="shared" si="0"/>
        <v>0</v>
      </c>
      <c r="L53" s="294"/>
      <c r="M53" s="282"/>
      <c r="N53" s="249">
        <v>0</v>
      </c>
      <c r="O53" s="249">
        <v>0</v>
      </c>
      <c r="P53" s="250">
        <f t="shared" si="1"/>
        <v>0</v>
      </c>
      <c r="S53" s="221">
        <v>0</v>
      </c>
      <c r="T53" s="221">
        <v>0</v>
      </c>
      <c r="U53" s="221">
        <v>0</v>
      </c>
      <c r="V53" s="221"/>
      <c r="X53" s="221"/>
      <c r="Y53" s="221"/>
      <c r="AA53" s="221"/>
      <c r="AB53" s="221"/>
      <c r="AC53" s="221"/>
      <c r="AE53" s="249"/>
      <c r="AF53" s="249">
        <v>0</v>
      </c>
      <c r="AG53" s="249">
        <v>0</v>
      </c>
      <c r="AH53" s="249"/>
      <c r="AI53" s="873">
        <v>0</v>
      </c>
      <c r="AJ53" s="873">
        <v>0</v>
      </c>
      <c r="AL53" s="223">
        <f t="shared" si="2"/>
        <v>0</v>
      </c>
      <c r="AM53" s="223">
        <f t="shared" si="3"/>
        <v>0</v>
      </c>
    </row>
    <row r="54" spans="1:39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3" t="str">
        <f>VLOOKUP(A54,'Summary Mar 2026'!$A$8:$F$206,6,FALSE)</f>
        <v>Chq Bk</v>
      </c>
      <c r="G54" s="33"/>
      <c r="H54" s="221">
        <v>0</v>
      </c>
      <c r="I54" s="221">
        <v>0</v>
      </c>
      <c r="J54" s="221">
        <v>0</v>
      </c>
      <c r="K54" s="221">
        <f t="shared" si="0"/>
        <v>0</v>
      </c>
      <c r="L54" s="294"/>
      <c r="M54" s="282"/>
      <c r="N54" s="249">
        <v>0</v>
      </c>
      <c r="O54" s="249">
        <v>0</v>
      </c>
      <c r="P54" s="250">
        <f t="shared" si="1"/>
        <v>0</v>
      </c>
      <c r="S54" s="221">
        <v>0</v>
      </c>
      <c r="T54" s="221">
        <v>0</v>
      </c>
      <c r="U54" s="221">
        <v>0</v>
      </c>
      <c r="V54" s="221"/>
      <c r="X54" s="221"/>
      <c r="Y54" s="221"/>
      <c r="AA54" s="221"/>
      <c r="AB54" s="221"/>
      <c r="AC54" s="221"/>
      <c r="AE54" s="249"/>
      <c r="AF54" s="249">
        <v>0</v>
      </c>
      <c r="AG54" s="249">
        <v>0</v>
      </c>
      <c r="AH54" s="249"/>
      <c r="AI54" s="873">
        <v>0</v>
      </c>
      <c r="AJ54" s="873">
        <v>0</v>
      </c>
      <c r="AL54" s="223">
        <f t="shared" si="2"/>
        <v>0</v>
      </c>
      <c r="AM54" s="223">
        <f t="shared" si="3"/>
        <v>0</v>
      </c>
    </row>
    <row r="55" spans="1:39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3" t="str">
        <f>VLOOKUP(A55,'Summary Mar 2026'!$A$8:$F$206,6,FALSE)</f>
        <v>Chq Bk</v>
      </c>
      <c r="G55" s="33"/>
      <c r="H55" s="221">
        <v>0</v>
      </c>
      <c r="I55" s="221">
        <v>0</v>
      </c>
      <c r="J55" s="221">
        <v>0</v>
      </c>
      <c r="K55" s="221">
        <f t="shared" si="0"/>
        <v>0</v>
      </c>
      <c r="L55" s="294"/>
      <c r="M55" s="282"/>
      <c r="N55" s="249">
        <v>0</v>
      </c>
      <c r="O55" s="249">
        <v>0</v>
      </c>
      <c r="P55" s="250">
        <f t="shared" si="1"/>
        <v>0</v>
      </c>
      <c r="S55" s="221">
        <v>0</v>
      </c>
      <c r="T55" s="221">
        <v>0</v>
      </c>
      <c r="U55" s="221">
        <v>0</v>
      </c>
      <c r="V55" s="221"/>
      <c r="X55" s="221"/>
      <c r="Y55" s="221"/>
      <c r="AA55" s="221"/>
      <c r="AB55" s="221"/>
      <c r="AC55" s="221"/>
      <c r="AE55" s="249"/>
      <c r="AF55" s="249">
        <v>0</v>
      </c>
      <c r="AG55" s="249">
        <v>0</v>
      </c>
      <c r="AH55" s="249"/>
      <c r="AI55" s="873">
        <v>0</v>
      </c>
      <c r="AJ55" s="873">
        <v>0</v>
      </c>
      <c r="AL55" s="223">
        <f t="shared" si="2"/>
        <v>0</v>
      </c>
      <c r="AM55" s="223">
        <f t="shared" si="3"/>
        <v>0</v>
      </c>
    </row>
    <row r="56" spans="1:39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3" t="str">
        <f>VLOOKUP(A56,'Summary Mar 2026'!$A$8:$F$206,6,FALSE)</f>
        <v>Chq Bk</v>
      </c>
      <c r="G56" s="33"/>
      <c r="H56" s="221">
        <v>1222498.7500000002</v>
      </c>
      <c r="I56" s="221">
        <v>867722.63954547781</v>
      </c>
      <c r="J56" s="221">
        <v>73260</v>
      </c>
      <c r="K56" s="221">
        <f t="shared" si="0"/>
        <v>2163481.3895454779</v>
      </c>
      <c r="L56" s="294"/>
      <c r="M56" s="282"/>
      <c r="N56" s="249">
        <v>0</v>
      </c>
      <c r="O56" s="249">
        <v>0</v>
      </c>
      <c r="P56" s="250">
        <f t="shared" si="1"/>
        <v>0</v>
      </c>
      <c r="S56" s="221">
        <v>431376.92307692324</v>
      </c>
      <c r="T56" s="221">
        <v>170178</v>
      </c>
      <c r="U56" s="221">
        <v>0</v>
      </c>
      <c r="V56" s="221"/>
      <c r="X56" s="221"/>
      <c r="Y56" s="221"/>
      <c r="AA56" s="221"/>
      <c r="AB56" s="221"/>
      <c r="AC56" s="221"/>
      <c r="AE56" s="249"/>
      <c r="AF56" s="249">
        <v>4606.25</v>
      </c>
      <c r="AG56" s="249">
        <v>228048.25378745631</v>
      </c>
      <c r="AH56" s="249"/>
      <c r="AI56" s="873">
        <v>0</v>
      </c>
      <c r="AJ56" s="873">
        <v>0</v>
      </c>
      <c r="AL56" s="223">
        <f t="shared" si="2"/>
        <v>1227105.0000000002</v>
      </c>
      <c r="AM56" s="223">
        <f t="shared" si="3"/>
        <v>1770585.8164098572</v>
      </c>
    </row>
    <row r="57" spans="1:39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3" t="str">
        <f>VLOOKUP(A57,'Summary Mar 2026'!$A$8:$F$206,6,FALSE)</f>
        <v>Chq Bk</v>
      </c>
      <c r="G57" s="33"/>
      <c r="H57" s="221">
        <v>0</v>
      </c>
      <c r="I57" s="221">
        <v>0</v>
      </c>
      <c r="J57" s="221">
        <v>0</v>
      </c>
      <c r="K57" s="221">
        <f t="shared" si="0"/>
        <v>0</v>
      </c>
      <c r="L57" s="294"/>
      <c r="M57" s="282"/>
      <c r="N57" s="249">
        <v>40000</v>
      </c>
      <c r="O57" s="249">
        <v>52959.8</v>
      </c>
      <c r="P57" s="250">
        <f t="shared" si="1"/>
        <v>92959.8</v>
      </c>
      <c r="S57" s="221">
        <v>0</v>
      </c>
      <c r="T57" s="221">
        <v>0</v>
      </c>
      <c r="U57" s="221">
        <v>0</v>
      </c>
      <c r="V57" s="221"/>
      <c r="X57" s="221"/>
      <c r="Y57" s="221"/>
      <c r="AA57" s="221"/>
      <c r="AB57" s="221"/>
      <c r="AC57" s="221"/>
      <c r="AE57" s="249">
        <v>20000</v>
      </c>
      <c r="AF57" s="249">
        <v>0</v>
      </c>
      <c r="AG57" s="249">
        <v>0</v>
      </c>
      <c r="AH57" s="249"/>
      <c r="AI57" s="873">
        <v>0</v>
      </c>
      <c r="AJ57" s="873">
        <v>4554.57</v>
      </c>
      <c r="AL57" s="223">
        <f t="shared" si="2"/>
        <v>60000</v>
      </c>
      <c r="AM57" s="223">
        <f t="shared" si="3"/>
        <v>57514.37</v>
      </c>
    </row>
    <row r="58" spans="1:39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3" t="str">
        <f>VLOOKUP(A58,'Summary Mar 2026'!$A$8:$F$206,6,FALSE)</f>
        <v>Chq Bk</v>
      </c>
      <c r="G58" s="33"/>
      <c r="H58" s="221">
        <v>0</v>
      </c>
      <c r="I58" s="221">
        <v>0</v>
      </c>
      <c r="J58" s="221">
        <v>0</v>
      </c>
      <c r="K58" s="221">
        <f t="shared" si="0"/>
        <v>0</v>
      </c>
      <c r="L58" s="294"/>
      <c r="M58" s="282"/>
      <c r="N58" s="249">
        <v>0</v>
      </c>
      <c r="O58" s="249">
        <v>0</v>
      </c>
      <c r="P58" s="250">
        <f t="shared" si="1"/>
        <v>0</v>
      </c>
      <c r="S58" s="221">
        <v>0</v>
      </c>
      <c r="T58" s="221">
        <v>0</v>
      </c>
      <c r="U58" s="221">
        <v>0</v>
      </c>
      <c r="V58" s="221"/>
      <c r="X58" s="221"/>
      <c r="Y58" s="221"/>
      <c r="AA58" s="221"/>
      <c r="AB58" s="221"/>
      <c r="AC58" s="221"/>
      <c r="AE58" s="249"/>
      <c r="AF58" s="249">
        <v>0</v>
      </c>
      <c r="AG58" s="249">
        <v>0</v>
      </c>
      <c r="AH58" s="249"/>
      <c r="AI58" s="873">
        <v>0</v>
      </c>
      <c r="AJ58" s="873">
        <v>0</v>
      </c>
      <c r="AL58" s="223">
        <f t="shared" si="2"/>
        <v>0</v>
      </c>
      <c r="AM58" s="223">
        <f t="shared" si="3"/>
        <v>0</v>
      </c>
    </row>
    <row r="59" spans="1:39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3" t="str">
        <f>VLOOKUP(A59,'Summary Mar 2026'!$A$8:$F$206,6,FALSE)</f>
        <v>Chq bk</v>
      </c>
      <c r="G59" s="33"/>
      <c r="H59" s="221">
        <v>0</v>
      </c>
      <c r="I59" s="221">
        <v>0</v>
      </c>
      <c r="J59" s="221">
        <v>0</v>
      </c>
      <c r="K59" s="221">
        <f t="shared" si="0"/>
        <v>0</v>
      </c>
      <c r="L59" s="294"/>
      <c r="M59" s="282"/>
      <c r="N59" s="249">
        <v>0</v>
      </c>
      <c r="O59" s="249">
        <v>0</v>
      </c>
      <c r="P59" s="250">
        <f t="shared" si="1"/>
        <v>0</v>
      </c>
      <c r="S59" s="221">
        <v>0</v>
      </c>
      <c r="T59" s="221">
        <v>0</v>
      </c>
      <c r="U59" s="221">
        <v>0</v>
      </c>
      <c r="V59" s="221"/>
      <c r="X59" s="221"/>
      <c r="Y59" s="221"/>
      <c r="AA59" s="221"/>
      <c r="AB59" s="221"/>
      <c r="AC59" s="221"/>
      <c r="AE59" s="249"/>
      <c r="AF59" s="249">
        <v>0</v>
      </c>
      <c r="AG59" s="249">
        <v>0</v>
      </c>
      <c r="AH59" s="249"/>
      <c r="AI59" s="873">
        <v>0</v>
      </c>
      <c r="AJ59" s="873">
        <v>0</v>
      </c>
      <c r="AL59" s="223">
        <f t="shared" si="2"/>
        <v>0</v>
      </c>
      <c r="AM59" s="223">
        <f t="shared" si="3"/>
        <v>0</v>
      </c>
    </row>
    <row r="60" spans="1:39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3" t="str">
        <f>VLOOKUP(A60,'Summary Mar 2026'!$A$8:$F$206,6,FALSE)</f>
        <v>Chq Bk</v>
      </c>
      <c r="G60" s="33"/>
      <c r="H60" s="221">
        <v>0</v>
      </c>
      <c r="I60" s="221">
        <v>0</v>
      </c>
      <c r="J60" s="221">
        <v>0</v>
      </c>
      <c r="K60" s="221">
        <f t="shared" si="0"/>
        <v>0</v>
      </c>
      <c r="L60" s="294"/>
      <c r="M60" s="282"/>
      <c r="N60" s="249">
        <v>0</v>
      </c>
      <c r="O60" s="249">
        <v>0</v>
      </c>
      <c r="P60" s="250">
        <f t="shared" si="1"/>
        <v>0</v>
      </c>
      <c r="S60" s="221">
        <v>0</v>
      </c>
      <c r="T60" s="221">
        <v>0</v>
      </c>
      <c r="U60" s="221">
        <v>0</v>
      </c>
      <c r="V60" s="221"/>
      <c r="X60" s="221"/>
      <c r="Y60" s="221"/>
      <c r="AA60" s="221"/>
      <c r="AB60" s="221"/>
      <c r="AC60" s="221"/>
      <c r="AE60" s="249"/>
      <c r="AF60" s="249">
        <v>0</v>
      </c>
      <c r="AG60" s="249">
        <v>0</v>
      </c>
      <c r="AH60" s="249"/>
      <c r="AI60" s="873">
        <v>0</v>
      </c>
      <c r="AJ60" s="873">
        <v>0</v>
      </c>
      <c r="AL60" s="223">
        <f t="shared" si="2"/>
        <v>0</v>
      </c>
      <c r="AM60" s="223">
        <f t="shared" si="3"/>
        <v>0</v>
      </c>
    </row>
    <row r="61" spans="1:39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3" t="str">
        <f>VLOOKUP(A61,'Summary Mar 2026'!$A$8:$F$206,6,FALSE)</f>
        <v>Chq Bk</v>
      </c>
      <c r="G61" s="33"/>
      <c r="H61" s="221">
        <v>0</v>
      </c>
      <c r="I61" s="221">
        <v>0</v>
      </c>
      <c r="J61" s="221">
        <v>0</v>
      </c>
      <c r="K61" s="221">
        <f t="shared" si="0"/>
        <v>0</v>
      </c>
      <c r="L61" s="294"/>
      <c r="M61" s="282"/>
      <c r="N61" s="249">
        <v>0</v>
      </c>
      <c r="O61" s="249">
        <v>0</v>
      </c>
      <c r="P61" s="250">
        <f t="shared" si="1"/>
        <v>0</v>
      </c>
      <c r="S61" s="221">
        <v>0</v>
      </c>
      <c r="T61" s="221">
        <v>0</v>
      </c>
      <c r="U61" s="221">
        <v>0</v>
      </c>
      <c r="V61" s="221"/>
      <c r="X61" s="221"/>
      <c r="Y61" s="221"/>
      <c r="AA61" s="221"/>
      <c r="AB61" s="221"/>
      <c r="AC61" s="221"/>
      <c r="AE61" s="249"/>
      <c r="AF61" s="249">
        <v>0</v>
      </c>
      <c r="AG61" s="249">
        <v>0</v>
      </c>
      <c r="AH61" s="249"/>
      <c r="AI61" s="873">
        <v>0</v>
      </c>
      <c r="AJ61" s="873">
        <v>0</v>
      </c>
      <c r="AL61" s="223">
        <f t="shared" si="2"/>
        <v>0</v>
      </c>
      <c r="AM61" s="223">
        <f t="shared" si="3"/>
        <v>0</v>
      </c>
    </row>
    <row r="62" spans="1:39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3" t="str">
        <f>VLOOKUP(A62,'Summary Mar 2026'!$A$8:$F$206,6,FALSE)</f>
        <v>Chq Bk</v>
      </c>
      <c r="G62" s="33"/>
      <c r="H62" s="221">
        <v>0</v>
      </c>
      <c r="I62" s="221">
        <v>0</v>
      </c>
      <c r="J62" s="221">
        <v>0</v>
      </c>
      <c r="K62" s="221">
        <f t="shared" si="0"/>
        <v>0</v>
      </c>
      <c r="L62" s="294"/>
      <c r="M62" s="282"/>
      <c r="N62" s="249">
        <v>0</v>
      </c>
      <c r="O62" s="249">
        <v>0</v>
      </c>
      <c r="P62" s="250">
        <f t="shared" si="1"/>
        <v>0</v>
      </c>
      <c r="S62" s="221">
        <v>0</v>
      </c>
      <c r="T62" s="221">
        <v>0</v>
      </c>
      <c r="U62" s="221">
        <v>0</v>
      </c>
      <c r="V62" s="221"/>
      <c r="X62" s="221"/>
      <c r="Y62" s="221"/>
      <c r="AA62" s="221"/>
      <c r="AB62" s="221"/>
      <c r="AC62" s="221"/>
      <c r="AE62" s="249"/>
      <c r="AF62" s="249">
        <v>0</v>
      </c>
      <c r="AG62" s="249">
        <v>0</v>
      </c>
      <c r="AH62" s="249"/>
      <c r="AI62" s="873">
        <v>0</v>
      </c>
      <c r="AJ62" s="873">
        <v>0</v>
      </c>
      <c r="AL62" s="223">
        <f t="shared" si="2"/>
        <v>0</v>
      </c>
      <c r="AM62" s="223">
        <f t="shared" si="3"/>
        <v>0</v>
      </c>
    </row>
    <row r="63" spans="1:39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3" t="str">
        <f>VLOOKUP(A63,'Summary Mar 2026'!$A$8:$F$206,6,FALSE)</f>
        <v>Chq Bk</v>
      </c>
      <c r="G63" s="33"/>
      <c r="H63" s="221">
        <v>0</v>
      </c>
      <c r="I63" s="221">
        <v>0</v>
      </c>
      <c r="J63" s="221">
        <v>0</v>
      </c>
      <c r="K63" s="221">
        <f t="shared" si="0"/>
        <v>0</v>
      </c>
      <c r="L63" s="294"/>
      <c r="M63" s="282"/>
      <c r="N63" s="249">
        <v>0</v>
      </c>
      <c r="O63" s="249">
        <v>0</v>
      </c>
      <c r="P63" s="250">
        <f t="shared" si="1"/>
        <v>0</v>
      </c>
      <c r="S63" s="221">
        <v>0</v>
      </c>
      <c r="T63" s="221">
        <v>0</v>
      </c>
      <c r="U63" s="221">
        <v>0</v>
      </c>
      <c r="V63" s="221"/>
      <c r="X63" s="221"/>
      <c r="Y63" s="221"/>
      <c r="AA63" s="221"/>
      <c r="AB63" s="221"/>
      <c r="AC63" s="221"/>
      <c r="AE63" s="249"/>
      <c r="AF63" s="249">
        <v>0</v>
      </c>
      <c r="AG63" s="249">
        <v>0</v>
      </c>
      <c r="AH63" s="249"/>
      <c r="AI63" s="873">
        <v>0</v>
      </c>
      <c r="AJ63" s="873">
        <v>0</v>
      </c>
      <c r="AL63" s="223">
        <f t="shared" si="2"/>
        <v>0</v>
      </c>
      <c r="AM63" s="223">
        <f t="shared" si="3"/>
        <v>0</v>
      </c>
    </row>
    <row r="64" spans="1:39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3" t="str">
        <f>VLOOKUP(A64,'Summary Mar 2026'!$A$8:$F$206,6,FALSE)</f>
        <v>Chq Bk</v>
      </c>
      <c r="G64" s="33"/>
      <c r="H64" s="221">
        <v>0</v>
      </c>
      <c r="I64" s="221">
        <v>0</v>
      </c>
      <c r="J64" s="221">
        <v>0</v>
      </c>
      <c r="K64" s="221">
        <f t="shared" si="0"/>
        <v>0</v>
      </c>
      <c r="L64" s="294"/>
      <c r="M64" s="282"/>
      <c r="N64" s="249">
        <v>0</v>
      </c>
      <c r="O64" s="249">
        <v>0</v>
      </c>
      <c r="P64" s="250">
        <f t="shared" si="1"/>
        <v>0</v>
      </c>
      <c r="S64" s="221">
        <v>0</v>
      </c>
      <c r="T64" s="221">
        <v>0</v>
      </c>
      <c r="U64" s="221">
        <v>0</v>
      </c>
      <c r="V64" s="221"/>
      <c r="X64" s="221"/>
      <c r="Y64" s="221"/>
      <c r="AA64" s="221"/>
      <c r="AB64" s="221"/>
      <c r="AC64" s="221"/>
      <c r="AE64" s="249"/>
      <c r="AF64" s="249">
        <v>0</v>
      </c>
      <c r="AG64" s="249">
        <v>0</v>
      </c>
      <c r="AH64" s="249"/>
      <c r="AI64" s="873">
        <v>0</v>
      </c>
      <c r="AJ64" s="873">
        <v>0</v>
      </c>
      <c r="AL64" s="223">
        <f t="shared" si="2"/>
        <v>0</v>
      </c>
      <c r="AM64" s="223">
        <f t="shared" si="3"/>
        <v>0</v>
      </c>
    </row>
    <row r="65" spans="1:39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3" t="str">
        <f>VLOOKUP(A65,'Summary Mar 2026'!$A$8:$F$206,6,FALSE)</f>
        <v>Chq Bk</v>
      </c>
      <c r="G65" s="33"/>
      <c r="H65" s="221">
        <v>0</v>
      </c>
      <c r="I65" s="221">
        <v>0</v>
      </c>
      <c r="J65" s="221">
        <v>0</v>
      </c>
      <c r="K65" s="221">
        <f t="shared" si="0"/>
        <v>0</v>
      </c>
      <c r="L65" s="294"/>
      <c r="M65" s="282"/>
      <c r="N65" s="249">
        <v>0</v>
      </c>
      <c r="O65" s="249">
        <v>0</v>
      </c>
      <c r="P65" s="250">
        <f t="shared" si="1"/>
        <v>0</v>
      </c>
      <c r="S65" s="221">
        <v>0</v>
      </c>
      <c r="T65" s="221">
        <v>0</v>
      </c>
      <c r="U65" s="221">
        <v>0</v>
      </c>
      <c r="V65" s="221"/>
      <c r="X65" s="221"/>
      <c r="Y65" s="221"/>
      <c r="AA65" s="221"/>
      <c r="AB65" s="221"/>
      <c r="AC65" s="221"/>
      <c r="AE65" s="249"/>
      <c r="AF65" s="249">
        <v>0</v>
      </c>
      <c r="AG65" s="249">
        <v>0</v>
      </c>
      <c r="AH65" s="249"/>
      <c r="AI65" s="873">
        <v>0</v>
      </c>
      <c r="AJ65" s="873">
        <v>0</v>
      </c>
      <c r="AL65" s="223">
        <f t="shared" si="2"/>
        <v>0</v>
      </c>
      <c r="AM65" s="223">
        <f t="shared" si="3"/>
        <v>0</v>
      </c>
    </row>
    <row r="66" spans="1:39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3" t="str">
        <f>VLOOKUP(A66,'Summary Mar 2026'!$A$8:$F$206,6,FALSE)</f>
        <v>Chq Bk</v>
      </c>
      <c r="G66" s="33"/>
      <c r="H66" s="221">
        <v>2089395</v>
      </c>
      <c r="I66" s="221">
        <v>2065323.3073479142</v>
      </c>
      <c r="J66" s="221">
        <v>131340</v>
      </c>
      <c r="K66" s="221">
        <f t="shared" si="0"/>
        <v>4286058.3073479142</v>
      </c>
      <c r="L66" s="294"/>
      <c r="M66" s="282"/>
      <c r="N66" s="249">
        <v>0</v>
      </c>
      <c r="O66" s="249">
        <v>0</v>
      </c>
      <c r="P66" s="250">
        <f t="shared" si="1"/>
        <v>0</v>
      </c>
      <c r="S66" s="221">
        <v>138461.53846153861</v>
      </c>
      <c r="T66" s="221">
        <v>0</v>
      </c>
      <c r="U66" s="221">
        <v>0</v>
      </c>
      <c r="V66" s="221"/>
      <c r="X66" s="221"/>
      <c r="Y66" s="221"/>
      <c r="AA66" s="221"/>
      <c r="AB66" s="221"/>
      <c r="AC66" s="221"/>
      <c r="AE66" s="249"/>
      <c r="AF66" s="249">
        <v>110550</v>
      </c>
      <c r="AG66" s="249">
        <v>240507.62492770096</v>
      </c>
      <c r="AH66" s="249"/>
      <c r="AI66" s="873">
        <v>20789.61</v>
      </c>
      <c r="AJ66" s="873">
        <v>0</v>
      </c>
      <c r="AL66" s="223">
        <f t="shared" si="2"/>
        <v>2199945</v>
      </c>
      <c r="AM66" s="223">
        <f t="shared" si="3"/>
        <v>2596422.0807371535</v>
      </c>
    </row>
    <row r="67" spans="1:39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3" t="str">
        <f>VLOOKUP(A67,'Summary Mar 2026'!$A$8:$F$206,6,FALSE)</f>
        <v>Chq Bk</v>
      </c>
      <c r="G67" s="33"/>
      <c r="H67" s="221">
        <v>0</v>
      </c>
      <c r="I67" s="221">
        <v>0</v>
      </c>
      <c r="J67" s="221">
        <v>0</v>
      </c>
      <c r="K67" s="221">
        <f t="shared" si="0"/>
        <v>0</v>
      </c>
      <c r="L67" s="294"/>
      <c r="M67" s="282"/>
      <c r="N67" s="249">
        <v>64000</v>
      </c>
      <c r="O67" s="249">
        <v>126696.55999999998</v>
      </c>
      <c r="P67" s="250">
        <f t="shared" si="1"/>
        <v>190696.56</v>
      </c>
      <c r="S67" s="221">
        <v>0</v>
      </c>
      <c r="T67" s="221">
        <v>0</v>
      </c>
      <c r="U67" s="221">
        <v>0</v>
      </c>
      <c r="V67" s="221"/>
      <c r="X67" s="221"/>
      <c r="Y67" s="221"/>
      <c r="AA67" s="221"/>
      <c r="AB67" s="221"/>
      <c r="AC67" s="221"/>
      <c r="AE67" s="249"/>
      <c r="AF67" s="249">
        <v>0</v>
      </c>
      <c r="AG67" s="249">
        <v>0</v>
      </c>
      <c r="AH67" s="249"/>
      <c r="AI67" s="873">
        <v>0</v>
      </c>
      <c r="AJ67" s="873">
        <v>10428.67</v>
      </c>
      <c r="AL67" s="223">
        <f t="shared" si="2"/>
        <v>64000</v>
      </c>
      <c r="AM67" s="223">
        <f t="shared" si="3"/>
        <v>137125.22999999998</v>
      </c>
    </row>
    <row r="68" spans="1:39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3" t="str">
        <f>VLOOKUP(A68,'Summary Mar 2026'!$A$8:$F$206,6,FALSE)</f>
        <v>Chq Bk</v>
      </c>
      <c r="G68" s="33"/>
      <c r="H68" s="221">
        <v>0</v>
      </c>
      <c r="I68" s="221">
        <v>0</v>
      </c>
      <c r="J68" s="221">
        <v>0</v>
      </c>
      <c r="K68" s="221">
        <f t="shared" si="0"/>
        <v>0</v>
      </c>
      <c r="L68" s="294"/>
      <c r="M68" s="282"/>
      <c r="N68" s="249">
        <v>0</v>
      </c>
      <c r="O68" s="249">
        <v>0</v>
      </c>
      <c r="P68" s="250">
        <f t="shared" si="1"/>
        <v>0</v>
      </c>
      <c r="S68" s="221">
        <v>0</v>
      </c>
      <c r="T68" s="221">
        <v>0</v>
      </c>
      <c r="U68" s="221">
        <v>0</v>
      </c>
      <c r="V68" s="221"/>
      <c r="X68" s="221"/>
      <c r="Y68" s="221"/>
      <c r="AA68" s="221"/>
      <c r="AB68" s="221"/>
      <c r="AC68" s="221"/>
      <c r="AE68" s="249"/>
      <c r="AF68" s="249">
        <v>0</v>
      </c>
      <c r="AG68" s="249">
        <v>0</v>
      </c>
      <c r="AH68" s="249"/>
      <c r="AI68" s="873">
        <v>0</v>
      </c>
      <c r="AJ68" s="873">
        <v>0</v>
      </c>
      <c r="AL68" s="223">
        <f t="shared" si="2"/>
        <v>0</v>
      </c>
      <c r="AM68" s="223">
        <f t="shared" si="3"/>
        <v>0</v>
      </c>
    </row>
    <row r="69" spans="1:39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3" t="str">
        <f>VLOOKUP(A69,'Summary Mar 2026'!$A$8:$F$206,6,FALSE)</f>
        <v>Chq Bk</v>
      </c>
      <c r="G69" s="33"/>
      <c r="H69" s="221">
        <v>0</v>
      </c>
      <c r="I69" s="221">
        <v>0</v>
      </c>
      <c r="J69" s="221">
        <v>0</v>
      </c>
      <c r="K69" s="221">
        <f t="shared" si="0"/>
        <v>0</v>
      </c>
      <c r="L69" s="294"/>
      <c r="M69" s="282"/>
      <c r="N69" s="249">
        <v>0</v>
      </c>
      <c r="O69" s="249">
        <v>0</v>
      </c>
      <c r="P69" s="250">
        <f t="shared" si="1"/>
        <v>0</v>
      </c>
      <c r="S69" s="221">
        <v>0</v>
      </c>
      <c r="T69" s="221">
        <v>0</v>
      </c>
      <c r="U69" s="221">
        <v>0</v>
      </c>
      <c r="V69" s="221"/>
      <c r="X69" s="221"/>
      <c r="Y69" s="221"/>
      <c r="AA69" s="221"/>
      <c r="AB69" s="221"/>
      <c r="AC69" s="221"/>
      <c r="AE69" s="249"/>
      <c r="AF69" s="249">
        <v>0</v>
      </c>
      <c r="AG69" s="249">
        <v>0</v>
      </c>
      <c r="AH69" s="249"/>
      <c r="AI69" s="873">
        <v>0</v>
      </c>
      <c r="AJ69" s="873">
        <v>0</v>
      </c>
      <c r="AL69" s="223">
        <f t="shared" si="2"/>
        <v>0</v>
      </c>
      <c r="AM69" s="223">
        <f t="shared" si="3"/>
        <v>0</v>
      </c>
    </row>
    <row r="70" spans="1:39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3" t="str">
        <f>VLOOKUP(A70,'Summary Mar 2026'!$A$8:$F$206,6,FALSE)</f>
        <v>Chq Bk</v>
      </c>
      <c r="G70" s="33"/>
      <c r="H70" s="221">
        <v>0</v>
      </c>
      <c r="I70" s="221">
        <v>0</v>
      </c>
      <c r="J70" s="221">
        <v>0</v>
      </c>
      <c r="K70" s="221">
        <f t="shared" si="0"/>
        <v>0</v>
      </c>
      <c r="L70" s="294"/>
      <c r="M70" s="282"/>
      <c r="N70" s="249">
        <v>0</v>
      </c>
      <c r="O70" s="249">
        <v>0</v>
      </c>
      <c r="P70" s="250">
        <f t="shared" si="1"/>
        <v>0</v>
      </c>
      <c r="S70" s="221">
        <v>0</v>
      </c>
      <c r="T70" s="221">
        <v>0</v>
      </c>
      <c r="U70" s="221">
        <v>0</v>
      </c>
      <c r="V70" s="221"/>
      <c r="X70" s="221"/>
      <c r="Y70" s="221"/>
      <c r="AA70" s="221"/>
      <c r="AB70" s="221"/>
      <c r="AC70" s="221"/>
      <c r="AE70" s="249"/>
      <c r="AF70" s="249">
        <v>0</v>
      </c>
      <c r="AG70" s="249">
        <v>0</v>
      </c>
      <c r="AH70" s="249"/>
      <c r="AI70" s="873">
        <v>0</v>
      </c>
      <c r="AJ70" s="873">
        <v>0</v>
      </c>
      <c r="AL70" s="223">
        <f t="shared" si="2"/>
        <v>0</v>
      </c>
      <c r="AM70" s="223">
        <f t="shared" si="3"/>
        <v>0</v>
      </c>
    </row>
    <row r="71" spans="1:39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3" t="str">
        <f>VLOOKUP(A71,'Summary Mar 2026'!$A$8:$F$206,6,FALSE)</f>
        <v>Chq Bk</v>
      </c>
      <c r="G71" s="33"/>
      <c r="H71" s="221">
        <v>0</v>
      </c>
      <c r="I71" s="221">
        <v>0</v>
      </c>
      <c r="J71" s="221">
        <v>0</v>
      </c>
      <c r="K71" s="221">
        <f t="shared" si="0"/>
        <v>0</v>
      </c>
      <c r="L71" s="294"/>
      <c r="M71" s="282"/>
      <c r="N71" s="249">
        <v>0</v>
      </c>
      <c r="O71" s="249">
        <v>0</v>
      </c>
      <c r="P71" s="250">
        <f t="shared" si="1"/>
        <v>0</v>
      </c>
      <c r="S71" s="221">
        <v>0</v>
      </c>
      <c r="T71" s="221">
        <v>0</v>
      </c>
      <c r="U71" s="221">
        <v>0</v>
      </c>
      <c r="V71" s="221"/>
      <c r="X71" s="221"/>
      <c r="Y71" s="221"/>
      <c r="AA71" s="221"/>
      <c r="AB71" s="221"/>
      <c r="AC71" s="221"/>
      <c r="AE71" s="249"/>
      <c r="AF71" s="249">
        <v>0</v>
      </c>
      <c r="AG71" s="249">
        <v>0</v>
      </c>
      <c r="AH71" s="249"/>
      <c r="AI71" s="873">
        <v>0</v>
      </c>
      <c r="AJ71" s="873">
        <v>0</v>
      </c>
      <c r="AL71" s="223">
        <f t="shared" si="2"/>
        <v>0</v>
      </c>
      <c r="AM71" s="223">
        <f t="shared" si="3"/>
        <v>0</v>
      </c>
    </row>
    <row r="72" spans="1:39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3" t="str">
        <f>VLOOKUP(A72,'Summary Mar 2026'!$A$8:$F$206,6,FALSE)</f>
        <v>Chq Bk</v>
      </c>
      <c r="G72" s="33"/>
      <c r="H72" s="221">
        <v>0</v>
      </c>
      <c r="I72" s="221">
        <v>0</v>
      </c>
      <c r="J72" s="221">
        <v>0</v>
      </c>
      <c r="K72" s="221">
        <f t="shared" si="0"/>
        <v>0</v>
      </c>
      <c r="L72" s="294"/>
      <c r="M72" s="282"/>
      <c r="N72" s="249">
        <v>0</v>
      </c>
      <c r="O72" s="249">
        <v>0</v>
      </c>
      <c r="P72" s="250">
        <f t="shared" si="1"/>
        <v>0</v>
      </c>
      <c r="S72" s="221">
        <v>0</v>
      </c>
      <c r="T72" s="221">
        <v>0</v>
      </c>
      <c r="U72" s="221">
        <v>0</v>
      </c>
      <c r="V72" s="221"/>
      <c r="X72" s="221"/>
      <c r="Y72" s="221"/>
      <c r="AA72" s="221"/>
      <c r="AB72" s="221"/>
      <c r="AC72" s="221"/>
      <c r="AE72" s="249"/>
      <c r="AF72" s="249">
        <v>0</v>
      </c>
      <c r="AG72" s="249">
        <v>0</v>
      </c>
      <c r="AH72" s="249"/>
      <c r="AI72" s="873">
        <v>0</v>
      </c>
      <c r="AJ72" s="873">
        <v>0</v>
      </c>
      <c r="AL72" s="223">
        <f t="shared" si="2"/>
        <v>0</v>
      </c>
      <c r="AM72" s="223">
        <f t="shared" si="3"/>
        <v>0</v>
      </c>
    </row>
    <row r="73" spans="1:39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3" t="str">
        <f>VLOOKUP(A73,'Summary Mar 2026'!$A$8:$F$206,6,FALSE)</f>
        <v>Chq Bk</v>
      </c>
      <c r="G73" s="33"/>
      <c r="H73" s="221">
        <v>0</v>
      </c>
      <c r="I73" s="221">
        <v>0</v>
      </c>
      <c r="J73" s="221">
        <v>0</v>
      </c>
      <c r="K73" s="221">
        <f t="shared" ref="K73:K136" si="4">H73+I73+J73</f>
        <v>0</v>
      </c>
      <c r="L73" s="294"/>
      <c r="M73" s="282"/>
      <c r="N73" s="249">
        <v>0</v>
      </c>
      <c r="O73" s="249">
        <v>0</v>
      </c>
      <c r="P73" s="250">
        <f t="shared" ref="P73:P136" si="5">N73+O73</f>
        <v>0</v>
      </c>
      <c r="S73" s="221">
        <v>0</v>
      </c>
      <c r="T73" s="221">
        <v>0</v>
      </c>
      <c r="U73" s="221">
        <v>0</v>
      </c>
      <c r="V73" s="221"/>
      <c r="X73" s="221"/>
      <c r="Y73" s="221"/>
      <c r="AA73" s="221"/>
      <c r="AB73" s="221"/>
      <c r="AC73" s="221"/>
      <c r="AE73" s="249"/>
      <c r="AF73" s="249">
        <v>0</v>
      </c>
      <c r="AG73" s="249">
        <v>0</v>
      </c>
      <c r="AH73" s="249"/>
      <c r="AI73" s="873">
        <v>0</v>
      </c>
      <c r="AJ73" s="873">
        <v>0</v>
      </c>
      <c r="AL73" s="223">
        <f t="shared" ref="AL73:AL136" si="6">SUMIFS($H73:$K73,$H$3:$K$3,AL$7)+SUMIFS($N73:$P73,$N$3:$P$3,AL$7)+SUMIFS($S73:$V73,$S$3:$V$3,AL$7)+SUMIFS($X73:$AI73,$X$3:$AI$3,AL$7)</f>
        <v>0</v>
      </c>
      <c r="AM73" s="223">
        <f t="shared" ref="AM73:AM136" si="7">SUMIFS($H73:$K73,$H$3:$K$3,AM$7)+SUMIFS($N73:$P73,$N$3:$P$3,AM$7)+SUMIFS($S73:$V73,$S$3:$V$3,AM$7)+SUMIFS($X73:$AJ73,$X$3:$AJ$3,AM$7)</f>
        <v>0</v>
      </c>
    </row>
    <row r="74" spans="1:39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3" t="str">
        <f>VLOOKUP(A74,'Summary Mar 2026'!$A$8:$F$206,6,FALSE)</f>
        <v>Chq Bk</v>
      </c>
      <c r="G74" s="33"/>
      <c r="H74" s="221">
        <v>0</v>
      </c>
      <c r="I74" s="221">
        <v>0</v>
      </c>
      <c r="J74" s="221">
        <v>0</v>
      </c>
      <c r="K74" s="221">
        <f t="shared" si="4"/>
        <v>0</v>
      </c>
      <c r="L74" s="294"/>
      <c r="M74" s="282"/>
      <c r="N74" s="249">
        <v>0</v>
      </c>
      <c r="O74" s="249">
        <v>0</v>
      </c>
      <c r="P74" s="250">
        <f t="shared" si="5"/>
        <v>0</v>
      </c>
      <c r="S74" s="221">
        <v>0</v>
      </c>
      <c r="T74" s="221">
        <v>0</v>
      </c>
      <c r="U74" s="221">
        <v>0</v>
      </c>
      <c r="V74" s="221"/>
      <c r="X74" s="221"/>
      <c r="Y74" s="221"/>
      <c r="AA74" s="221"/>
      <c r="AB74" s="221"/>
      <c r="AC74" s="221"/>
      <c r="AE74" s="249"/>
      <c r="AF74" s="249">
        <v>0</v>
      </c>
      <c r="AG74" s="249">
        <v>0</v>
      </c>
      <c r="AH74" s="249"/>
      <c r="AI74" s="873">
        <v>0</v>
      </c>
      <c r="AJ74" s="873">
        <v>0</v>
      </c>
      <c r="AL74" s="223">
        <f t="shared" si="6"/>
        <v>0</v>
      </c>
      <c r="AM74" s="223">
        <f t="shared" si="7"/>
        <v>0</v>
      </c>
    </row>
    <row r="75" spans="1:39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3" t="str">
        <f>VLOOKUP(A75,'Summary Mar 2026'!$A$8:$F$206,6,FALSE)</f>
        <v>Chq Bk</v>
      </c>
      <c r="G75" s="33"/>
      <c r="H75" s="221">
        <v>0</v>
      </c>
      <c r="I75" s="221">
        <v>0</v>
      </c>
      <c r="J75" s="221">
        <v>0</v>
      </c>
      <c r="K75" s="221">
        <f t="shared" si="4"/>
        <v>0</v>
      </c>
      <c r="L75" s="294"/>
      <c r="M75" s="282"/>
      <c r="N75" s="249">
        <v>0</v>
      </c>
      <c r="O75" s="249">
        <v>0</v>
      </c>
      <c r="P75" s="250">
        <f t="shared" si="5"/>
        <v>0</v>
      </c>
      <c r="S75" s="221">
        <v>0</v>
      </c>
      <c r="T75" s="221">
        <v>0</v>
      </c>
      <c r="U75" s="221">
        <v>0</v>
      </c>
      <c r="V75" s="221"/>
      <c r="X75" s="221"/>
      <c r="Y75" s="221"/>
      <c r="AA75" s="221"/>
      <c r="AB75" s="221"/>
      <c r="AC75" s="221"/>
      <c r="AE75" s="249"/>
      <c r="AF75" s="249">
        <v>0</v>
      </c>
      <c r="AG75" s="249">
        <v>0</v>
      </c>
      <c r="AH75" s="249"/>
      <c r="AI75" s="873">
        <v>0</v>
      </c>
      <c r="AJ75" s="873">
        <v>0</v>
      </c>
      <c r="AL75" s="223">
        <f t="shared" si="6"/>
        <v>0</v>
      </c>
      <c r="AM75" s="223">
        <f t="shared" si="7"/>
        <v>0</v>
      </c>
    </row>
    <row r="76" spans="1:39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3" t="str">
        <f>VLOOKUP(A76,'Summary Mar 2026'!$A$8:$F$206,6,FALSE)</f>
        <v>Chq Bk</v>
      </c>
      <c r="G76" s="33"/>
      <c r="H76" s="221">
        <v>0</v>
      </c>
      <c r="I76" s="221">
        <v>0</v>
      </c>
      <c r="J76" s="221">
        <v>0</v>
      </c>
      <c r="K76" s="221">
        <f t="shared" si="4"/>
        <v>0</v>
      </c>
      <c r="L76" s="294"/>
      <c r="M76" s="282"/>
      <c r="N76" s="249">
        <v>0</v>
      </c>
      <c r="O76" s="249">
        <v>0</v>
      </c>
      <c r="P76" s="250">
        <f t="shared" si="5"/>
        <v>0</v>
      </c>
      <c r="S76" s="221">
        <v>0</v>
      </c>
      <c r="T76" s="221">
        <v>0</v>
      </c>
      <c r="U76" s="221">
        <v>0</v>
      </c>
      <c r="V76" s="221"/>
      <c r="X76" s="221"/>
      <c r="Y76" s="221"/>
      <c r="AA76" s="221"/>
      <c r="AB76" s="221"/>
      <c r="AC76" s="221"/>
      <c r="AE76" s="249"/>
      <c r="AF76" s="249">
        <v>0</v>
      </c>
      <c r="AG76" s="249">
        <v>0</v>
      </c>
      <c r="AH76" s="249"/>
      <c r="AI76" s="873">
        <v>0</v>
      </c>
      <c r="AJ76" s="873">
        <v>0</v>
      </c>
      <c r="AL76" s="223">
        <f t="shared" si="6"/>
        <v>0</v>
      </c>
      <c r="AM76" s="223">
        <f t="shared" si="7"/>
        <v>0</v>
      </c>
    </row>
    <row r="77" spans="1:39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3" t="str">
        <f>VLOOKUP(A77,'Summary Mar 2026'!$A$8:$F$206,6,FALSE)</f>
        <v>Chq Bk</v>
      </c>
      <c r="G77" s="33"/>
      <c r="H77" s="221">
        <v>0</v>
      </c>
      <c r="I77" s="221">
        <v>0</v>
      </c>
      <c r="J77" s="221">
        <v>0</v>
      </c>
      <c r="K77" s="221">
        <f t="shared" si="4"/>
        <v>0</v>
      </c>
      <c r="L77" s="294"/>
      <c r="M77" s="282"/>
      <c r="N77" s="249">
        <v>0</v>
      </c>
      <c r="O77" s="249">
        <v>0</v>
      </c>
      <c r="P77" s="250">
        <f t="shared" si="5"/>
        <v>0</v>
      </c>
      <c r="S77" s="221">
        <v>0</v>
      </c>
      <c r="T77" s="221">
        <v>0</v>
      </c>
      <c r="U77" s="221">
        <v>0</v>
      </c>
      <c r="V77" s="221"/>
      <c r="X77" s="221"/>
      <c r="Y77" s="221"/>
      <c r="AA77" s="221"/>
      <c r="AB77" s="221"/>
      <c r="AC77" s="221"/>
      <c r="AE77" s="249"/>
      <c r="AF77" s="249">
        <v>0</v>
      </c>
      <c r="AG77" s="249">
        <v>0</v>
      </c>
      <c r="AH77" s="249"/>
      <c r="AI77" s="873">
        <v>0</v>
      </c>
      <c r="AJ77" s="873">
        <v>0</v>
      </c>
      <c r="AL77" s="223">
        <f t="shared" si="6"/>
        <v>0</v>
      </c>
      <c r="AM77" s="223">
        <f t="shared" si="7"/>
        <v>0</v>
      </c>
    </row>
    <row r="78" spans="1:39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3" t="str">
        <f>VLOOKUP(A78,'Summary Mar 2026'!$A$8:$F$206,6,FALSE)</f>
        <v>Chq Bk</v>
      </c>
      <c r="G78" s="33"/>
      <c r="H78" s="221">
        <v>0</v>
      </c>
      <c r="I78" s="221">
        <v>0</v>
      </c>
      <c r="J78" s="221">
        <v>0</v>
      </c>
      <c r="K78" s="221">
        <f t="shared" si="4"/>
        <v>0</v>
      </c>
      <c r="L78" s="294"/>
      <c r="M78" s="282"/>
      <c r="N78" s="249">
        <v>0</v>
      </c>
      <c r="O78" s="249">
        <v>0</v>
      </c>
      <c r="P78" s="250">
        <f t="shared" si="5"/>
        <v>0</v>
      </c>
      <c r="S78" s="221">
        <v>0</v>
      </c>
      <c r="T78" s="221">
        <v>0</v>
      </c>
      <c r="U78" s="221">
        <v>0</v>
      </c>
      <c r="V78" s="221"/>
      <c r="X78" s="221"/>
      <c r="Y78" s="221"/>
      <c r="AA78" s="221"/>
      <c r="AB78" s="221"/>
      <c r="AC78" s="221"/>
      <c r="AE78" s="249"/>
      <c r="AF78" s="249">
        <v>0</v>
      </c>
      <c r="AG78" s="249">
        <v>0</v>
      </c>
      <c r="AH78" s="249"/>
      <c r="AI78" s="873">
        <v>0</v>
      </c>
      <c r="AJ78" s="873">
        <v>0</v>
      </c>
      <c r="AL78" s="223">
        <f t="shared" si="6"/>
        <v>0</v>
      </c>
      <c r="AM78" s="223">
        <f t="shared" si="7"/>
        <v>0</v>
      </c>
    </row>
    <row r="79" spans="1:39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3" t="str">
        <f>VLOOKUP(A79,'Summary Mar 2026'!$A$8:$F$206,6,FALSE)</f>
        <v>Chq Bk</v>
      </c>
      <c r="G79" s="33"/>
      <c r="H79" s="221">
        <v>0</v>
      </c>
      <c r="I79" s="221">
        <v>0</v>
      </c>
      <c r="J79" s="221">
        <v>0</v>
      </c>
      <c r="K79" s="221">
        <f t="shared" si="4"/>
        <v>0</v>
      </c>
      <c r="L79" s="294"/>
      <c r="M79" s="282"/>
      <c r="N79" s="249">
        <v>0</v>
      </c>
      <c r="O79" s="249">
        <v>0</v>
      </c>
      <c r="P79" s="250">
        <f t="shared" si="5"/>
        <v>0</v>
      </c>
      <c r="S79" s="221">
        <v>0</v>
      </c>
      <c r="T79" s="221">
        <v>0</v>
      </c>
      <c r="U79" s="221">
        <v>0</v>
      </c>
      <c r="V79" s="221"/>
      <c r="X79" s="221"/>
      <c r="Y79" s="221"/>
      <c r="AA79" s="221"/>
      <c r="AB79" s="221"/>
      <c r="AC79" s="221"/>
      <c r="AE79" s="249"/>
      <c r="AF79" s="249">
        <v>0</v>
      </c>
      <c r="AG79" s="249">
        <v>0</v>
      </c>
      <c r="AH79" s="249"/>
      <c r="AI79" s="873">
        <v>0</v>
      </c>
      <c r="AJ79" s="873">
        <v>0</v>
      </c>
      <c r="AL79" s="223">
        <f t="shared" si="6"/>
        <v>0</v>
      </c>
      <c r="AM79" s="223">
        <f t="shared" si="7"/>
        <v>0</v>
      </c>
    </row>
    <row r="80" spans="1:39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3" t="str">
        <f>VLOOKUP(A80,'Summary Mar 2026'!$A$8:$F$206,6,FALSE)</f>
        <v>Chq Bk</v>
      </c>
      <c r="G80" s="33"/>
      <c r="H80" s="221">
        <v>0</v>
      </c>
      <c r="I80" s="221">
        <v>0</v>
      </c>
      <c r="J80" s="221">
        <v>0</v>
      </c>
      <c r="K80" s="221">
        <f t="shared" si="4"/>
        <v>0</v>
      </c>
      <c r="L80" s="294"/>
      <c r="M80" s="282"/>
      <c r="N80" s="249">
        <v>0</v>
      </c>
      <c r="O80" s="249">
        <v>0</v>
      </c>
      <c r="P80" s="250">
        <f t="shared" si="5"/>
        <v>0</v>
      </c>
      <c r="S80" s="221">
        <v>0</v>
      </c>
      <c r="T80" s="221">
        <v>0</v>
      </c>
      <c r="U80" s="221">
        <v>0</v>
      </c>
      <c r="V80" s="221"/>
      <c r="X80" s="221"/>
      <c r="Y80" s="221"/>
      <c r="AA80" s="221"/>
      <c r="AB80" s="221"/>
      <c r="AC80" s="221"/>
      <c r="AE80" s="249"/>
      <c r="AF80" s="249">
        <v>0</v>
      </c>
      <c r="AG80" s="249">
        <v>0</v>
      </c>
      <c r="AH80" s="249"/>
      <c r="AI80" s="873">
        <v>0</v>
      </c>
      <c r="AJ80" s="873">
        <v>0</v>
      </c>
      <c r="AL80" s="223">
        <f t="shared" si="6"/>
        <v>0</v>
      </c>
      <c r="AM80" s="223">
        <f t="shared" si="7"/>
        <v>0</v>
      </c>
    </row>
    <row r="81" spans="1:39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3" t="str">
        <f>VLOOKUP(A81,'Summary Mar 2026'!$A$8:$F$206,6,FALSE)</f>
        <v>Chq Bk</v>
      </c>
      <c r="G81" s="33"/>
      <c r="H81" s="221">
        <v>0</v>
      </c>
      <c r="I81" s="221">
        <v>0</v>
      </c>
      <c r="J81" s="221">
        <v>0</v>
      </c>
      <c r="K81" s="221">
        <f t="shared" si="4"/>
        <v>0</v>
      </c>
      <c r="L81" s="294"/>
      <c r="M81" s="282"/>
      <c r="N81" s="249">
        <v>0</v>
      </c>
      <c r="O81" s="249">
        <v>0</v>
      </c>
      <c r="P81" s="250">
        <f t="shared" si="5"/>
        <v>0</v>
      </c>
      <c r="S81" s="221">
        <v>0</v>
      </c>
      <c r="T81" s="221">
        <v>0</v>
      </c>
      <c r="U81" s="221">
        <v>0</v>
      </c>
      <c r="V81" s="221"/>
      <c r="X81" s="221"/>
      <c r="Y81" s="221"/>
      <c r="AA81" s="221"/>
      <c r="AB81" s="221"/>
      <c r="AC81" s="221"/>
      <c r="AE81" s="249"/>
      <c r="AF81" s="249">
        <v>0</v>
      </c>
      <c r="AG81" s="249">
        <v>0</v>
      </c>
      <c r="AH81" s="249"/>
      <c r="AI81" s="873">
        <v>0</v>
      </c>
      <c r="AJ81" s="873">
        <v>0</v>
      </c>
      <c r="AL81" s="223">
        <f t="shared" si="6"/>
        <v>0</v>
      </c>
      <c r="AM81" s="223">
        <f t="shared" si="7"/>
        <v>0</v>
      </c>
    </row>
    <row r="82" spans="1:39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3" t="str">
        <f>VLOOKUP(A82,'Summary Mar 2026'!$A$8:$F$206,6,FALSE)</f>
        <v>Chq Bk</v>
      </c>
      <c r="G82" s="33"/>
      <c r="H82" s="221">
        <v>1560597.4999999998</v>
      </c>
      <c r="I82" s="221">
        <v>1413535.3191493826</v>
      </c>
      <c r="J82" s="221">
        <v>93720</v>
      </c>
      <c r="K82" s="221">
        <f t="shared" si="4"/>
        <v>3067852.8191493824</v>
      </c>
      <c r="L82" s="294"/>
      <c r="M82" s="282"/>
      <c r="N82" s="249">
        <v>0</v>
      </c>
      <c r="O82" s="249">
        <v>0</v>
      </c>
      <c r="P82" s="250">
        <f t="shared" si="5"/>
        <v>0</v>
      </c>
      <c r="S82" s="221">
        <v>321126.92307692324</v>
      </c>
      <c r="T82" s="221">
        <v>361242</v>
      </c>
      <c r="U82" s="221">
        <v>0</v>
      </c>
      <c r="V82" s="221"/>
      <c r="X82" s="221"/>
      <c r="Y82" s="221"/>
      <c r="AA82" s="221"/>
      <c r="AB82" s="221"/>
      <c r="AC82" s="221"/>
      <c r="AE82" s="249"/>
      <c r="AF82" s="249">
        <v>9212.5</v>
      </c>
      <c r="AG82" s="249">
        <v>658893.77872182219</v>
      </c>
      <c r="AH82" s="249"/>
      <c r="AI82" s="873">
        <v>65542.67</v>
      </c>
      <c r="AJ82" s="873">
        <v>0</v>
      </c>
      <c r="AL82" s="223">
        <f t="shared" si="6"/>
        <v>1569809.9999999998</v>
      </c>
      <c r="AM82" s="223">
        <f t="shared" si="7"/>
        <v>2914060.6909481282</v>
      </c>
    </row>
    <row r="83" spans="1:39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3" t="str">
        <f>VLOOKUP(A83,'Summary Mar 2026'!$A$8:$F$206,6,FALSE)</f>
        <v>Chq Bk</v>
      </c>
      <c r="G83" s="33"/>
      <c r="H83" s="221">
        <v>0</v>
      </c>
      <c r="I83" s="221">
        <v>0</v>
      </c>
      <c r="J83" s="221">
        <v>0</v>
      </c>
      <c r="K83" s="221">
        <f t="shared" si="4"/>
        <v>0</v>
      </c>
      <c r="L83" s="294"/>
      <c r="M83" s="282"/>
      <c r="N83" s="249">
        <v>0</v>
      </c>
      <c r="O83" s="249">
        <v>0</v>
      </c>
      <c r="P83" s="250">
        <f t="shared" si="5"/>
        <v>0</v>
      </c>
      <c r="S83" s="221">
        <v>0</v>
      </c>
      <c r="T83" s="221">
        <v>0</v>
      </c>
      <c r="U83" s="221">
        <v>0</v>
      </c>
      <c r="V83" s="221"/>
      <c r="X83" s="221"/>
      <c r="Y83" s="221"/>
      <c r="AA83" s="221"/>
      <c r="AB83" s="221"/>
      <c r="AC83" s="221"/>
      <c r="AE83" s="249"/>
      <c r="AF83" s="249">
        <v>0</v>
      </c>
      <c r="AG83" s="249">
        <v>0</v>
      </c>
      <c r="AH83" s="249"/>
      <c r="AI83" s="873">
        <v>0</v>
      </c>
      <c r="AJ83" s="873">
        <v>0</v>
      </c>
      <c r="AL83" s="223">
        <f t="shared" si="6"/>
        <v>0</v>
      </c>
      <c r="AM83" s="223">
        <f t="shared" si="7"/>
        <v>0</v>
      </c>
    </row>
    <row r="84" spans="1:39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3" t="str">
        <f>VLOOKUP(A84,'Summary Mar 2026'!$A$8:$F$206,6,FALSE)</f>
        <v>Chq Bk</v>
      </c>
      <c r="G84" s="33"/>
      <c r="H84" s="221">
        <v>718575</v>
      </c>
      <c r="I84" s="221">
        <v>283663.23202772276</v>
      </c>
      <c r="J84" s="221">
        <v>42900</v>
      </c>
      <c r="K84" s="221">
        <f t="shared" si="4"/>
        <v>1045138.2320277228</v>
      </c>
      <c r="L84" s="294"/>
      <c r="M84" s="282"/>
      <c r="N84" s="249">
        <v>0</v>
      </c>
      <c r="O84" s="249">
        <v>0</v>
      </c>
      <c r="P84" s="250">
        <f t="shared" si="5"/>
        <v>0</v>
      </c>
      <c r="S84" s="221">
        <v>225576.92307692324</v>
      </c>
      <c r="T84" s="221">
        <v>0</v>
      </c>
      <c r="U84" s="221">
        <v>0</v>
      </c>
      <c r="V84" s="221"/>
      <c r="X84" s="221"/>
      <c r="Y84" s="221"/>
      <c r="AA84" s="221"/>
      <c r="AB84" s="221"/>
      <c r="AC84" s="221"/>
      <c r="AE84" s="249"/>
      <c r="AF84" s="249">
        <v>0</v>
      </c>
      <c r="AG84" s="249">
        <v>107176.5678415104</v>
      </c>
      <c r="AH84" s="249"/>
      <c r="AI84" s="873">
        <v>-42977.96</v>
      </c>
      <c r="AJ84" s="873">
        <v>0</v>
      </c>
      <c r="AL84" s="223">
        <f t="shared" si="6"/>
        <v>718575</v>
      </c>
      <c r="AM84" s="223">
        <f t="shared" si="7"/>
        <v>616338.76294615644</v>
      </c>
    </row>
    <row r="85" spans="1:39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3" t="str">
        <f>VLOOKUP(A85,'Summary Mar 2026'!$A$8:$F$206,6,FALSE)</f>
        <v>Chq Bk</v>
      </c>
      <c r="G85" s="33"/>
      <c r="H85" s="221">
        <v>0</v>
      </c>
      <c r="I85" s="221">
        <v>0</v>
      </c>
      <c r="J85" s="221">
        <v>0</v>
      </c>
      <c r="K85" s="221">
        <f t="shared" si="4"/>
        <v>0</v>
      </c>
      <c r="L85" s="294"/>
      <c r="M85" s="282"/>
      <c r="N85" s="249">
        <v>0</v>
      </c>
      <c r="O85" s="249">
        <v>0</v>
      </c>
      <c r="P85" s="250">
        <f t="shared" si="5"/>
        <v>0</v>
      </c>
      <c r="S85" s="221">
        <v>0</v>
      </c>
      <c r="T85" s="221">
        <v>0</v>
      </c>
      <c r="U85" s="221">
        <v>0</v>
      </c>
      <c r="V85" s="221"/>
      <c r="X85" s="221"/>
      <c r="Y85" s="221"/>
      <c r="AA85" s="221"/>
      <c r="AB85" s="221"/>
      <c r="AC85" s="221"/>
      <c r="AE85" s="249"/>
      <c r="AF85" s="249">
        <v>0</v>
      </c>
      <c r="AG85" s="249">
        <v>0</v>
      </c>
      <c r="AH85" s="249"/>
      <c r="AI85" s="873">
        <v>0</v>
      </c>
      <c r="AJ85" s="873">
        <v>0</v>
      </c>
      <c r="AL85" s="223">
        <f t="shared" si="6"/>
        <v>0</v>
      </c>
      <c r="AM85" s="223">
        <f t="shared" si="7"/>
        <v>0</v>
      </c>
    </row>
    <row r="86" spans="1:39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3" t="str">
        <f>VLOOKUP(A86,'Summary Mar 2026'!$A$8:$F$206,6,FALSE)</f>
        <v>Chq Bk</v>
      </c>
      <c r="G86" s="33"/>
      <c r="H86" s="221">
        <v>0</v>
      </c>
      <c r="I86" s="221">
        <v>0</v>
      </c>
      <c r="J86" s="221">
        <v>0</v>
      </c>
      <c r="K86" s="221">
        <f t="shared" si="4"/>
        <v>0</v>
      </c>
      <c r="L86" s="294"/>
      <c r="M86" s="282"/>
      <c r="N86" s="249">
        <v>72000</v>
      </c>
      <c r="O86" s="249">
        <v>109637.69999999998</v>
      </c>
      <c r="P86" s="250">
        <f t="shared" si="5"/>
        <v>181637.69999999998</v>
      </c>
      <c r="S86" s="221">
        <v>0</v>
      </c>
      <c r="T86" s="221">
        <v>0</v>
      </c>
      <c r="U86" s="221">
        <v>0</v>
      </c>
      <c r="V86" s="221"/>
      <c r="X86" s="221"/>
      <c r="Y86" s="221"/>
      <c r="AA86" s="221"/>
      <c r="AB86" s="221"/>
      <c r="AC86" s="221"/>
      <c r="AE86" s="249"/>
      <c r="AF86" s="249">
        <v>0</v>
      </c>
      <c r="AG86" s="249">
        <v>0</v>
      </c>
      <c r="AH86" s="249"/>
      <c r="AI86" s="873">
        <v>0</v>
      </c>
      <c r="AJ86" s="873">
        <v>8575.86</v>
      </c>
      <c r="AL86" s="223">
        <f t="shared" si="6"/>
        <v>72000</v>
      </c>
      <c r="AM86" s="223">
        <f t="shared" si="7"/>
        <v>118213.55999999998</v>
      </c>
    </row>
    <row r="87" spans="1:39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3" t="str">
        <f>VLOOKUP(A87,'Summary Mar 2026'!$A$8:$F$206,6,FALSE)</f>
        <v>Chq Bk</v>
      </c>
      <c r="G87" s="33"/>
      <c r="H87" s="221">
        <v>0</v>
      </c>
      <c r="I87" s="221">
        <v>0</v>
      </c>
      <c r="J87" s="221">
        <v>0</v>
      </c>
      <c r="K87" s="221">
        <f t="shared" si="4"/>
        <v>0</v>
      </c>
      <c r="L87" s="294"/>
      <c r="M87" s="282"/>
      <c r="N87" s="249">
        <v>72000</v>
      </c>
      <c r="O87" s="249">
        <v>157401.04999999999</v>
      </c>
      <c r="P87" s="250">
        <f t="shared" si="5"/>
        <v>229401.05</v>
      </c>
      <c r="S87" s="221">
        <v>0</v>
      </c>
      <c r="T87" s="221">
        <v>0</v>
      </c>
      <c r="U87" s="221">
        <v>0</v>
      </c>
      <c r="V87" s="221"/>
      <c r="X87" s="221"/>
      <c r="Y87" s="221"/>
      <c r="AA87" s="221"/>
      <c r="AB87" s="221"/>
      <c r="AC87" s="221"/>
      <c r="AE87" s="249"/>
      <c r="AF87" s="249">
        <v>0</v>
      </c>
      <c r="AG87" s="249">
        <v>0</v>
      </c>
      <c r="AH87" s="249"/>
      <c r="AI87" s="873">
        <v>0</v>
      </c>
      <c r="AJ87" s="873">
        <v>-30280.1</v>
      </c>
      <c r="AL87" s="223">
        <f t="shared" si="6"/>
        <v>72000</v>
      </c>
      <c r="AM87" s="223">
        <f t="shared" si="7"/>
        <v>127120.94999999998</v>
      </c>
    </row>
    <row r="88" spans="1:39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3" t="str">
        <f>VLOOKUP(A88,'Summary Mar 2026'!$A$8:$F$206,6,FALSE)</f>
        <v>Chq Bk</v>
      </c>
      <c r="G88" s="33"/>
      <c r="H88" s="221">
        <v>0</v>
      </c>
      <c r="I88" s="221">
        <v>0</v>
      </c>
      <c r="J88" s="221">
        <v>0</v>
      </c>
      <c r="K88" s="221">
        <f t="shared" si="4"/>
        <v>0</v>
      </c>
      <c r="L88" s="294"/>
      <c r="M88" s="282"/>
      <c r="N88" s="249">
        <v>0</v>
      </c>
      <c r="O88" s="249">
        <v>0</v>
      </c>
      <c r="P88" s="250">
        <f t="shared" si="5"/>
        <v>0</v>
      </c>
      <c r="S88" s="221">
        <v>0</v>
      </c>
      <c r="T88" s="221">
        <v>0</v>
      </c>
      <c r="U88" s="221">
        <v>0</v>
      </c>
      <c r="V88" s="221"/>
      <c r="X88" s="221"/>
      <c r="Y88" s="221"/>
      <c r="AA88" s="221"/>
      <c r="AB88" s="221"/>
      <c r="AC88" s="221"/>
      <c r="AE88" s="249"/>
      <c r="AF88" s="249">
        <v>0</v>
      </c>
      <c r="AG88" s="249">
        <v>0</v>
      </c>
      <c r="AH88" s="249"/>
      <c r="AI88" s="873">
        <v>0</v>
      </c>
      <c r="AJ88" s="873">
        <v>0</v>
      </c>
      <c r="AL88" s="223">
        <f t="shared" si="6"/>
        <v>0</v>
      </c>
      <c r="AM88" s="223">
        <f t="shared" si="7"/>
        <v>0</v>
      </c>
    </row>
    <row r="89" spans="1:39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3" t="str">
        <f>VLOOKUP(A89,'Summary Mar 2026'!$A$8:$F$206,6,FALSE)</f>
        <v>Chq Bk</v>
      </c>
      <c r="G89" s="33"/>
      <c r="H89" s="221">
        <v>0</v>
      </c>
      <c r="I89" s="221">
        <v>0</v>
      </c>
      <c r="J89" s="221">
        <v>0</v>
      </c>
      <c r="K89" s="221">
        <f t="shared" si="4"/>
        <v>0</v>
      </c>
      <c r="L89" s="294"/>
      <c r="M89" s="282"/>
      <c r="N89" s="249">
        <v>0</v>
      </c>
      <c r="O89" s="249">
        <v>0</v>
      </c>
      <c r="P89" s="250">
        <f t="shared" si="5"/>
        <v>0</v>
      </c>
      <c r="S89" s="221">
        <v>0</v>
      </c>
      <c r="T89" s="221">
        <v>0</v>
      </c>
      <c r="U89" s="221">
        <v>0</v>
      </c>
      <c r="V89" s="221"/>
      <c r="X89" s="221"/>
      <c r="Y89" s="221"/>
      <c r="AA89" s="221"/>
      <c r="AB89" s="221"/>
      <c r="AC89" s="221"/>
      <c r="AE89" s="249"/>
      <c r="AF89" s="249">
        <v>0</v>
      </c>
      <c r="AG89" s="249">
        <v>0</v>
      </c>
      <c r="AH89" s="249"/>
      <c r="AI89" s="873">
        <v>0</v>
      </c>
      <c r="AJ89" s="873">
        <v>0</v>
      </c>
      <c r="AL89" s="223">
        <f t="shared" si="6"/>
        <v>0</v>
      </c>
      <c r="AM89" s="223">
        <f t="shared" si="7"/>
        <v>0</v>
      </c>
    </row>
    <row r="90" spans="1:39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3" t="str">
        <f>VLOOKUP(A90,'Summary Mar 2026'!$A$8:$F$206,6,FALSE)</f>
        <v>Chq Bk</v>
      </c>
      <c r="G90" s="33"/>
      <c r="H90" s="221">
        <v>0</v>
      </c>
      <c r="I90" s="221">
        <v>0</v>
      </c>
      <c r="J90" s="221">
        <v>0</v>
      </c>
      <c r="K90" s="221">
        <f t="shared" si="4"/>
        <v>0</v>
      </c>
      <c r="L90" s="294"/>
      <c r="M90" s="282"/>
      <c r="N90" s="249">
        <v>0</v>
      </c>
      <c r="O90" s="249">
        <v>0</v>
      </c>
      <c r="P90" s="250">
        <f t="shared" si="5"/>
        <v>0</v>
      </c>
      <c r="S90" s="221">
        <v>0</v>
      </c>
      <c r="T90" s="221">
        <v>0</v>
      </c>
      <c r="U90" s="221">
        <v>0</v>
      </c>
      <c r="V90" s="221"/>
      <c r="X90" s="221"/>
      <c r="Y90" s="221"/>
      <c r="AA90" s="221"/>
      <c r="AB90" s="221"/>
      <c r="AC90" s="221"/>
      <c r="AE90" s="249"/>
      <c r="AF90" s="249">
        <v>0</v>
      </c>
      <c r="AG90" s="249">
        <v>0</v>
      </c>
      <c r="AH90" s="249"/>
      <c r="AI90" s="873">
        <v>0</v>
      </c>
      <c r="AJ90" s="873">
        <v>0</v>
      </c>
      <c r="AL90" s="223">
        <f t="shared" si="6"/>
        <v>0</v>
      </c>
      <c r="AM90" s="223">
        <f t="shared" si="7"/>
        <v>0</v>
      </c>
    </row>
    <row r="91" spans="1:39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3" t="str">
        <f>VLOOKUP(A91,'Summary Mar 2026'!$A$8:$F$207,6,FALSE)</f>
        <v>Academy</v>
      </c>
      <c r="G91" s="33"/>
      <c r="H91" s="221">
        <v>0</v>
      </c>
      <c r="I91" s="221">
        <v>0</v>
      </c>
      <c r="J91" s="221">
        <v>0</v>
      </c>
      <c r="K91" s="221">
        <f t="shared" si="4"/>
        <v>0</v>
      </c>
      <c r="L91" s="294"/>
      <c r="M91" s="282"/>
      <c r="N91" s="249">
        <v>0</v>
      </c>
      <c r="O91" s="249">
        <v>0</v>
      </c>
      <c r="P91" s="250">
        <f t="shared" si="5"/>
        <v>0</v>
      </c>
      <c r="S91" s="221">
        <v>0</v>
      </c>
      <c r="T91" s="221">
        <v>0</v>
      </c>
      <c r="U91" s="221">
        <v>0</v>
      </c>
      <c r="V91" s="221"/>
      <c r="X91" s="221"/>
      <c r="Y91" s="221"/>
      <c r="AA91" s="221"/>
      <c r="AB91" s="221"/>
      <c r="AC91" s="221"/>
      <c r="AE91" s="249"/>
      <c r="AF91" s="249">
        <v>0</v>
      </c>
      <c r="AG91" s="249">
        <v>0</v>
      </c>
      <c r="AH91" s="249"/>
      <c r="AI91" s="873">
        <v>0</v>
      </c>
      <c r="AJ91" s="873">
        <v>0</v>
      </c>
      <c r="AL91" s="223">
        <f t="shared" si="6"/>
        <v>0</v>
      </c>
      <c r="AM91" s="223">
        <f t="shared" si="7"/>
        <v>0</v>
      </c>
    </row>
    <row r="92" spans="1:39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3" t="str">
        <f>VLOOKUP(A92,'Summary Mar 2026'!$A$8:$F$206,6,FALSE)</f>
        <v>Chq Bk</v>
      </c>
      <c r="G92" s="33"/>
      <c r="H92" s="221">
        <v>0</v>
      </c>
      <c r="I92" s="221">
        <v>0</v>
      </c>
      <c r="J92" s="221">
        <v>0</v>
      </c>
      <c r="K92" s="221">
        <f t="shared" si="4"/>
        <v>0</v>
      </c>
      <c r="L92" s="294"/>
      <c r="M92" s="282"/>
      <c r="N92" s="249">
        <v>0</v>
      </c>
      <c r="O92" s="249">
        <v>0</v>
      </c>
      <c r="P92" s="250">
        <f t="shared" si="5"/>
        <v>0</v>
      </c>
      <c r="S92" s="221">
        <v>0</v>
      </c>
      <c r="T92" s="221">
        <v>0</v>
      </c>
      <c r="U92" s="221">
        <v>0</v>
      </c>
      <c r="V92" s="221"/>
      <c r="X92" s="221"/>
      <c r="Y92" s="221"/>
      <c r="AA92" s="221"/>
      <c r="AB92" s="221"/>
      <c r="AC92" s="221"/>
      <c r="AE92" s="249"/>
      <c r="AF92" s="249">
        <v>0</v>
      </c>
      <c r="AG92" s="249">
        <v>0</v>
      </c>
      <c r="AH92" s="249"/>
      <c r="AI92" s="873">
        <v>0</v>
      </c>
      <c r="AJ92" s="873">
        <v>0</v>
      </c>
      <c r="AL92" s="223">
        <f t="shared" si="6"/>
        <v>0</v>
      </c>
      <c r="AM92" s="223">
        <f t="shared" si="7"/>
        <v>0</v>
      </c>
    </row>
    <row r="93" spans="1:39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3" t="str">
        <f>VLOOKUP(A93,'Summary Mar 2026'!$A$8:$F$206,6,FALSE)</f>
        <v>Chq Bk</v>
      </c>
      <c r="G93" s="33"/>
      <c r="H93" s="221">
        <v>0</v>
      </c>
      <c r="I93" s="221">
        <v>0</v>
      </c>
      <c r="J93" s="221">
        <v>0</v>
      </c>
      <c r="K93" s="221">
        <f t="shared" si="4"/>
        <v>0</v>
      </c>
      <c r="L93" s="294"/>
      <c r="M93" s="282"/>
      <c r="N93" s="249">
        <v>0</v>
      </c>
      <c r="O93" s="249">
        <v>0</v>
      </c>
      <c r="P93" s="250">
        <f t="shared" si="5"/>
        <v>0</v>
      </c>
      <c r="S93" s="221">
        <v>0</v>
      </c>
      <c r="T93" s="221">
        <v>0</v>
      </c>
      <c r="U93" s="221">
        <v>0</v>
      </c>
      <c r="V93" s="221"/>
      <c r="X93" s="221"/>
      <c r="Y93" s="221"/>
      <c r="AA93" s="221"/>
      <c r="AB93" s="221"/>
      <c r="AC93" s="221"/>
      <c r="AE93" s="249"/>
      <c r="AF93" s="249">
        <v>0</v>
      </c>
      <c r="AG93" s="249">
        <v>0</v>
      </c>
      <c r="AH93" s="249"/>
      <c r="AI93" s="873">
        <v>0</v>
      </c>
      <c r="AJ93" s="873">
        <v>0</v>
      </c>
      <c r="AL93" s="223">
        <f t="shared" si="6"/>
        <v>0</v>
      </c>
      <c r="AM93" s="223">
        <f t="shared" si="7"/>
        <v>0</v>
      </c>
    </row>
    <row r="94" spans="1:39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3" t="str">
        <f>VLOOKUP(A94,'Summary Mar 2026'!$A$8:$F$206,6,FALSE)</f>
        <v>Chq Bk</v>
      </c>
      <c r="G94" s="33"/>
      <c r="H94" s="221">
        <v>0</v>
      </c>
      <c r="I94" s="221">
        <v>0</v>
      </c>
      <c r="J94" s="221">
        <v>0</v>
      </c>
      <c r="K94" s="221">
        <f t="shared" si="4"/>
        <v>0</v>
      </c>
      <c r="L94" s="294"/>
      <c r="M94" s="282"/>
      <c r="N94" s="249">
        <v>0</v>
      </c>
      <c r="O94" s="249">
        <v>0</v>
      </c>
      <c r="P94" s="250">
        <f t="shared" si="5"/>
        <v>0</v>
      </c>
      <c r="S94" s="221">
        <v>0</v>
      </c>
      <c r="T94" s="221">
        <v>0</v>
      </c>
      <c r="U94" s="221">
        <v>0</v>
      </c>
      <c r="V94" s="221"/>
      <c r="X94" s="221"/>
      <c r="Y94" s="221"/>
      <c r="AA94" s="221"/>
      <c r="AB94" s="221"/>
      <c r="AC94" s="221"/>
      <c r="AE94" s="249"/>
      <c r="AF94" s="249">
        <v>0</v>
      </c>
      <c r="AG94" s="249">
        <v>0</v>
      </c>
      <c r="AH94" s="249"/>
      <c r="AI94" s="873">
        <v>0</v>
      </c>
      <c r="AJ94" s="873">
        <v>0</v>
      </c>
      <c r="AL94" s="223">
        <f t="shared" si="6"/>
        <v>0</v>
      </c>
      <c r="AM94" s="223">
        <f t="shared" si="7"/>
        <v>0</v>
      </c>
    </row>
    <row r="95" spans="1:39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3" t="str">
        <f>VLOOKUP(A95,'Summary Mar 2026'!$A$8:$F$206,6,FALSE)</f>
        <v>Chq Bk</v>
      </c>
      <c r="G95" s="33"/>
      <c r="H95" s="221">
        <v>0</v>
      </c>
      <c r="I95" s="221">
        <v>0</v>
      </c>
      <c r="J95" s="221">
        <v>0</v>
      </c>
      <c r="K95" s="221">
        <f t="shared" si="4"/>
        <v>0</v>
      </c>
      <c r="L95" s="294"/>
      <c r="M95" s="282"/>
      <c r="N95" s="249">
        <v>0</v>
      </c>
      <c r="O95" s="249">
        <v>0</v>
      </c>
      <c r="P95" s="250">
        <f t="shared" si="5"/>
        <v>0</v>
      </c>
      <c r="S95" s="221">
        <v>0</v>
      </c>
      <c r="T95" s="221">
        <v>0</v>
      </c>
      <c r="U95" s="221">
        <v>0</v>
      </c>
      <c r="V95" s="221"/>
      <c r="X95" s="221"/>
      <c r="Y95" s="221"/>
      <c r="AA95" s="221"/>
      <c r="AB95" s="221"/>
      <c r="AC95" s="221"/>
      <c r="AE95" s="249"/>
      <c r="AF95" s="249">
        <v>0</v>
      </c>
      <c r="AG95" s="249">
        <v>0</v>
      </c>
      <c r="AH95" s="249"/>
      <c r="AI95" s="873">
        <v>0</v>
      </c>
      <c r="AJ95" s="873">
        <v>0</v>
      </c>
      <c r="AL95" s="223">
        <f t="shared" si="6"/>
        <v>0</v>
      </c>
      <c r="AM95" s="223">
        <f t="shared" si="7"/>
        <v>0</v>
      </c>
    </row>
    <row r="96" spans="1:39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3" t="str">
        <f>VLOOKUP(A96,'Summary Mar 2026'!$A$8:$F$206,6,FALSE)</f>
        <v>Chq Bk</v>
      </c>
      <c r="G96" s="33"/>
      <c r="H96" s="221">
        <v>0</v>
      </c>
      <c r="I96" s="221">
        <v>0</v>
      </c>
      <c r="J96" s="221">
        <v>0</v>
      </c>
      <c r="K96" s="221">
        <f t="shared" si="4"/>
        <v>0</v>
      </c>
      <c r="L96" s="294"/>
      <c r="M96" s="282"/>
      <c r="N96" s="249">
        <v>5833.3333333333339</v>
      </c>
      <c r="O96" s="249">
        <v>19355.580000000002</v>
      </c>
      <c r="P96" s="250">
        <f t="shared" si="5"/>
        <v>25188.913333333338</v>
      </c>
      <c r="S96" s="221">
        <v>0</v>
      </c>
      <c r="T96" s="221">
        <v>0</v>
      </c>
      <c r="U96" s="221">
        <v>0</v>
      </c>
      <c r="V96" s="221"/>
      <c r="X96" s="221"/>
      <c r="Y96" s="221"/>
      <c r="AA96" s="221"/>
      <c r="AB96" s="221"/>
      <c r="AC96" s="221"/>
      <c r="AE96" s="249"/>
      <c r="AF96" s="249">
        <v>0</v>
      </c>
      <c r="AG96" s="249">
        <v>0</v>
      </c>
      <c r="AH96" s="249"/>
      <c r="AI96" s="873">
        <v>0</v>
      </c>
      <c r="AJ96" s="873">
        <v>-11166.68</v>
      </c>
      <c r="AL96" s="223">
        <f t="shared" si="6"/>
        <v>5833.3333333333339</v>
      </c>
      <c r="AM96" s="223">
        <f t="shared" si="7"/>
        <v>8188.9000000000015</v>
      </c>
    </row>
    <row r="97" spans="1:39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3" t="str">
        <f>VLOOKUP(A97,'Summary Mar 2026'!$A$8:$F$206,6,FALSE)</f>
        <v>Chq Bk</v>
      </c>
      <c r="G97" s="33"/>
      <c r="H97" s="221">
        <v>0</v>
      </c>
      <c r="I97" s="221">
        <v>0</v>
      </c>
      <c r="J97" s="221">
        <v>0</v>
      </c>
      <c r="K97" s="221">
        <f t="shared" si="4"/>
        <v>0</v>
      </c>
      <c r="L97" s="294"/>
      <c r="M97" s="282"/>
      <c r="N97" s="249">
        <v>0</v>
      </c>
      <c r="O97" s="249">
        <v>0</v>
      </c>
      <c r="P97" s="250">
        <f t="shared" si="5"/>
        <v>0</v>
      </c>
      <c r="S97" s="221">
        <v>0</v>
      </c>
      <c r="T97" s="221">
        <v>0</v>
      </c>
      <c r="U97" s="221">
        <v>0</v>
      </c>
      <c r="V97" s="221"/>
      <c r="X97" s="221"/>
      <c r="Y97" s="221"/>
      <c r="AA97" s="221"/>
      <c r="AB97" s="221"/>
      <c r="AC97" s="221"/>
      <c r="AE97" s="249"/>
      <c r="AF97" s="249">
        <v>0</v>
      </c>
      <c r="AG97" s="249">
        <v>0</v>
      </c>
      <c r="AH97" s="249"/>
      <c r="AI97" s="873">
        <v>0</v>
      </c>
      <c r="AJ97" s="873">
        <v>0</v>
      </c>
      <c r="AL97" s="223">
        <f t="shared" si="6"/>
        <v>0</v>
      </c>
      <c r="AM97" s="223">
        <f t="shared" si="7"/>
        <v>0</v>
      </c>
    </row>
    <row r="98" spans="1:39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3" t="str">
        <f>VLOOKUP(A98,'Summary Mar 2026'!$A$8:$F$206,6,FALSE)</f>
        <v>Chq Bk</v>
      </c>
      <c r="G98" s="33"/>
      <c r="H98" s="221">
        <v>0</v>
      </c>
      <c r="I98" s="221">
        <v>0</v>
      </c>
      <c r="J98" s="221">
        <v>0</v>
      </c>
      <c r="K98" s="221">
        <f t="shared" si="4"/>
        <v>0</v>
      </c>
      <c r="L98" s="294"/>
      <c r="M98" s="282"/>
      <c r="N98" s="249">
        <v>0</v>
      </c>
      <c r="O98" s="249">
        <v>0</v>
      </c>
      <c r="P98" s="250">
        <f t="shared" si="5"/>
        <v>0</v>
      </c>
      <c r="S98" s="221">
        <v>0</v>
      </c>
      <c r="T98" s="221">
        <v>0</v>
      </c>
      <c r="U98" s="221">
        <v>0</v>
      </c>
      <c r="V98" s="221"/>
      <c r="X98" s="221"/>
      <c r="Y98" s="221"/>
      <c r="AA98" s="221"/>
      <c r="AB98" s="221"/>
      <c r="AC98" s="221"/>
      <c r="AE98" s="249"/>
      <c r="AF98" s="249">
        <v>0</v>
      </c>
      <c r="AG98" s="249">
        <v>0</v>
      </c>
      <c r="AH98" s="249"/>
      <c r="AI98" s="873">
        <v>0</v>
      </c>
      <c r="AJ98" s="873">
        <v>0</v>
      </c>
      <c r="AL98" s="223">
        <f t="shared" si="6"/>
        <v>0</v>
      </c>
      <c r="AM98" s="223">
        <f t="shared" si="7"/>
        <v>0</v>
      </c>
    </row>
    <row r="99" spans="1:39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3" t="str">
        <f>VLOOKUP(A99,'Summary Mar 2026'!$A$8:$F$206,6,FALSE)</f>
        <v>Chq Bk</v>
      </c>
      <c r="G99" s="33"/>
      <c r="H99" s="221">
        <v>0</v>
      </c>
      <c r="I99" s="221">
        <v>0</v>
      </c>
      <c r="J99" s="221">
        <v>0</v>
      </c>
      <c r="K99" s="221">
        <f t="shared" si="4"/>
        <v>0</v>
      </c>
      <c r="L99" s="294"/>
      <c r="M99" s="282"/>
      <c r="N99" s="249">
        <v>0</v>
      </c>
      <c r="O99" s="249">
        <v>0</v>
      </c>
      <c r="P99" s="250">
        <f t="shared" si="5"/>
        <v>0</v>
      </c>
      <c r="S99" s="221">
        <v>0</v>
      </c>
      <c r="T99" s="221">
        <v>0</v>
      </c>
      <c r="U99" s="221">
        <v>0</v>
      </c>
      <c r="V99" s="221"/>
      <c r="X99" s="221"/>
      <c r="Y99" s="221"/>
      <c r="AA99" s="221"/>
      <c r="AB99" s="221"/>
      <c r="AC99" s="221"/>
      <c r="AE99" s="249"/>
      <c r="AF99" s="249">
        <v>0</v>
      </c>
      <c r="AG99" s="249">
        <v>0</v>
      </c>
      <c r="AH99" s="249"/>
      <c r="AI99" s="873">
        <v>0</v>
      </c>
      <c r="AJ99" s="873">
        <v>0</v>
      </c>
      <c r="AL99" s="223">
        <f t="shared" si="6"/>
        <v>0</v>
      </c>
      <c r="AM99" s="223">
        <f t="shared" si="7"/>
        <v>0</v>
      </c>
    </row>
    <row r="100" spans="1:39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3" t="str">
        <f>VLOOKUP(A100,'Summary Mar 2026'!$A$8:$F$206,6,FALSE)</f>
        <v>Academy</v>
      </c>
      <c r="G100" s="33"/>
      <c r="H100" s="221">
        <v>1989900</v>
      </c>
      <c r="I100" s="221">
        <v>1717118.7219655688</v>
      </c>
      <c r="J100" s="221">
        <v>118800</v>
      </c>
      <c r="K100" s="221">
        <f t="shared" si="4"/>
        <v>3825818.7219655691</v>
      </c>
      <c r="L100" s="294"/>
      <c r="M100" s="282"/>
      <c r="N100" s="249">
        <v>0</v>
      </c>
      <c r="O100" s="249">
        <v>0</v>
      </c>
      <c r="P100" s="250">
        <f t="shared" si="5"/>
        <v>0</v>
      </c>
      <c r="S100" s="221">
        <v>397811.53846153867</v>
      </c>
      <c r="T100" s="221">
        <v>0</v>
      </c>
      <c r="U100" s="221">
        <v>0</v>
      </c>
      <c r="V100" s="221"/>
      <c r="X100" s="221"/>
      <c r="Y100" s="221"/>
      <c r="AA100" s="221">
        <v>-994950</v>
      </c>
      <c r="AB100" s="221">
        <v>-858559.360982785</v>
      </c>
      <c r="AC100" s="221">
        <v>-59400</v>
      </c>
      <c r="AE100" s="249"/>
      <c r="AF100" s="249">
        <v>0</v>
      </c>
      <c r="AG100" s="249">
        <v>0</v>
      </c>
      <c r="AH100" s="249"/>
      <c r="AI100" s="873"/>
      <c r="AJ100" s="873">
        <v>0</v>
      </c>
      <c r="AL100" s="223">
        <f t="shared" si="6"/>
        <v>994950</v>
      </c>
      <c r="AM100" s="223">
        <f t="shared" si="7"/>
        <v>1315770.8994443226</v>
      </c>
    </row>
    <row r="101" spans="1:39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3" t="str">
        <f>VLOOKUP(A101,'Summary Mar 2026'!$A$8:$F$206,6,FALSE)</f>
        <v>Chq Bk</v>
      </c>
      <c r="G101" s="33"/>
      <c r="H101" s="221">
        <v>0</v>
      </c>
      <c r="I101" s="221">
        <v>0</v>
      </c>
      <c r="J101" s="221">
        <v>0</v>
      </c>
      <c r="K101" s="221">
        <f t="shared" si="4"/>
        <v>0</v>
      </c>
      <c r="L101" s="294"/>
      <c r="M101" s="282"/>
      <c r="N101" s="249">
        <v>0</v>
      </c>
      <c r="O101" s="249">
        <v>0</v>
      </c>
      <c r="P101" s="250">
        <f t="shared" si="5"/>
        <v>0</v>
      </c>
      <c r="S101" s="221">
        <v>0</v>
      </c>
      <c r="T101" s="221">
        <v>0</v>
      </c>
      <c r="U101" s="221">
        <v>0</v>
      </c>
      <c r="V101" s="221"/>
      <c r="X101" s="221"/>
      <c r="Y101" s="221"/>
      <c r="AA101" s="221"/>
      <c r="AB101" s="221"/>
      <c r="AC101" s="221"/>
      <c r="AE101" s="249"/>
      <c r="AF101" s="249">
        <v>0</v>
      </c>
      <c r="AG101" s="249">
        <v>0</v>
      </c>
      <c r="AH101" s="249"/>
      <c r="AI101" s="873">
        <v>0</v>
      </c>
      <c r="AJ101" s="873">
        <v>0</v>
      </c>
      <c r="AL101" s="223">
        <f t="shared" si="6"/>
        <v>0</v>
      </c>
      <c r="AM101" s="223">
        <f t="shared" si="7"/>
        <v>0</v>
      </c>
    </row>
    <row r="102" spans="1:39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3" t="str">
        <f>VLOOKUP(A102,'Summary Mar 2026'!$A$8:$F$206,6,FALSE)</f>
        <v>Chq Bk</v>
      </c>
      <c r="G102" s="33"/>
      <c r="H102" s="221">
        <v>0</v>
      </c>
      <c r="I102" s="221">
        <v>0</v>
      </c>
      <c r="J102" s="221">
        <v>0</v>
      </c>
      <c r="K102" s="221">
        <f t="shared" si="4"/>
        <v>0</v>
      </c>
      <c r="L102" s="294"/>
      <c r="M102" s="282"/>
      <c r="N102" s="249">
        <v>0</v>
      </c>
      <c r="O102" s="249">
        <v>0</v>
      </c>
      <c r="P102" s="250">
        <f t="shared" si="5"/>
        <v>0</v>
      </c>
      <c r="S102" s="221">
        <v>0</v>
      </c>
      <c r="T102" s="221">
        <v>0</v>
      </c>
      <c r="U102" s="221">
        <v>0</v>
      </c>
      <c r="V102" s="221"/>
      <c r="X102" s="221"/>
      <c r="Y102" s="221"/>
      <c r="AA102" s="221"/>
      <c r="AB102" s="221"/>
      <c r="AC102" s="221"/>
      <c r="AE102" s="249"/>
      <c r="AF102" s="249">
        <v>0</v>
      </c>
      <c r="AG102" s="249">
        <v>0</v>
      </c>
      <c r="AH102" s="249"/>
      <c r="AI102" s="873">
        <v>0</v>
      </c>
      <c r="AJ102" s="873">
        <v>0</v>
      </c>
      <c r="AL102" s="223">
        <f t="shared" si="6"/>
        <v>0</v>
      </c>
      <c r="AM102" s="223">
        <f t="shared" si="7"/>
        <v>0</v>
      </c>
    </row>
    <row r="103" spans="1:39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3" t="str">
        <f>VLOOKUP(A103,'Summary Mar 2026'!$A$8:$F$206,6,FALSE)</f>
        <v>Chq Bk</v>
      </c>
      <c r="G103" s="33"/>
      <c r="H103" s="221">
        <v>0</v>
      </c>
      <c r="I103" s="221">
        <v>0</v>
      </c>
      <c r="J103" s="221">
        <v>0</v>
      </c>
      <c r="K103" s="221">
        <f t="shared" si="4"/>
        <v>0</v>
      </c>
      <c r="L103" s="294"/>
      <c r="M103" s="282"/>
      <c r="N103" s="249">
        <v>0</v>
      </c>
      <c r="O103" s="249">
        <v>0</v>
      </c>
      <c r="P103" s="250">
        <f t="shared" si="5"/>
        <v>0</v>
      </c>
      <c r="S103" s="221">
        <v>0</v>
      </c>
      <c r="T103" s="221">
        <v>0</v>
      </c>
      <c r="U103" s="221">
        <v>0</v>
      </c>
      <c r="V103" s="221"/>
      <c r="X103" s="221"/>
      <c r="Y103" s="221"/>
      <c r="AA103" s="221"/>
      <c r="AB103" s="221"/>
      <c r="AC103" s="221"/>
      <c r="AE103" s="249"/>
      <c r="AF103" s="249">
        <v>0</v>
      </c>
      <c r="AG103" s="249">
        <v>0</v>
      </c>
      <c r="AH103" s="249"/>
      <c r="AI103" s="873">
        <v>0</v>
      </c>
      <c r="AJ103" s="873">
        <v>0</v>
      </c>
      <c r="AL103" s="223">
        <f t="shared" si="6"/>
        <v>0</v>
      </c>
      <c r="AM103" s="223">
        <f t="shared" si="7"/>
        <v>0</v>
      </c>
    </row>
    <row r="104" spans="1:39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3" t="str">
        <f>VLOOKUP(A104,'Summary Mar 2026'!$A$8:$F$206,6,FALSE)</f>
        <v>Chq Bk</v>
      </c>
      <c r="G104" s="33"/>
      <c r="H104" s="221">
        <v>0</v>
      </c>
      <c r="I104" s="221">
        <v>0</v>
      </c>
      <c r="J104" s="221">
        <v>0</v>
      </c>
      <c r="K104" s="221">
        <f t="shared" si="4"/>
        <v>0</v>
      </c>
      <c r="L104" s="294"/>
      <c r="M104" s="282"/>
      <c r="N104" s="249">
        <v>0</v>
      </c>
      <c r="O104" s="249">
        <v>0</v>
      </c>
      <c r="P104" s="250">
        <f t="shared" si="5"/>
        <v>0</v>
      </c>
      <c r="S104" s="221">
        <v>0</v>
      </c>
      <c r="T104" s="221">
        <v>0</v>
      </c>
      <c r="U104" s="221">
        <v>0</v>
      </c>
      <c r="V104" s="221"/>
      <c r="X104" s="221"/>
      <c r="Y104" s="221"/>
      <c r="AA104" s="221"/>
      <c r="AB104" s="221"/>
      <c r="AC104" s="221"/>
      <c r="AE104" s="249"/>
      <c r="AF104" s="249">
        <v>0</v>
      </c>
      <c r="AG104" s="249">
        <v>0</v>
      </c>
      <c r="AH104" s="249"/>
      <c r="AI104" s="873">
        <v>0</v>
      </c>
      <c r="AJ104" s="873">
        <v>0</v>
      </c>
      <c r="AL104" s="223">
        <f t="shared" si="6"/>
        <v>0</v>
      </c>
      <c r="AM104" s="223">
        <f t="shared" si="7"/>
        <v>0</v>
      </c>
    </row>
    <row r="105" spans="1:39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3" t="str">
        <f>VLOOKUP(A105,'Summary Mar 2026'!$A$8:$F$206,6,FALSE)</f>
        <v>Chq Bk</v>
      </c>
      <c r="G105" s="33"/>
      <c r="H105" s="221">
        <v>0</v>
      </c>
      <c r="I105" s="221">
        <v>0</v>
      </c>
      <c r="J105" s="221">
        <v>0</v>
      </c>
      <c r="K105" s="221">
        <f t="shared" si="4"/>
        <v>0</v>
      </c>
      <c r="L105" s="294"/>
      <c r="M105" s="282"/>
      <c r="N105" s="249">
        <v>0</v>
      </c>
      <c r="O105" s="249">
        <v>0</v>
      </c>
      <c r="P105" s="250">
        <f t="shared" si="5"/>
        <v>0</v>
      </c>
      <c r="S105" s="221">
        <v>0</v>
      </c>
      <c r="T105" s="221">
        <v>0</v>
      </c>
      <c r="U105" s="221">
        <v>0</v>
      </c>
      <c r="V105" s="221"/>
      <c r="X105" s="221"/>
      <c r="Y105" s="221"/>
      <c r="AA105" s="221"/>
      <c r="AB105" s="221"/>
      <c r="AC105" s="221"/>
      <c r="AE105" s="249"/>
      <c r="AF105" s="249">
        <v>0</v>
      </c>
      <c r="AG105" s="249">
        <v>0</v>
      </c>
      <c r="AH105" s="249"/>
      <c r="AI105" s="873">
        <v>0</v>
      </c>
      <c r="AJ105" s="873">
        <v>0</v>
      </c>
      <c r="AL105" s="223">
        <f t="shared" si="6"/>
        <v>0</v>
      </c>
      <c r="AM105" s="223">
        <f t="shared" si="7"/>
        <v>0</v>
      </c>
    </row>
    <row r="106" spans="1:39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3" t="str">
        <f>VLOOKUP(A106,'Summary Mar 2026'!$A$8:$F$206,6,FALSE)</f>
        <v>Chq Bk</v>
      </c>
      <c r="G106" s="33"/>
      <c r="H106" s="221">
        <v>0</v>
      </c>
      <c r="I106" s="221">
        <v>0</v>
      </c>
      <c r="J106" s="221">
        <v>0</v>
      </c>
      <c r="K106" s="221">
        <f t="shared" si="4"/>
        <v>0</v>
      </c>
      <c r="L106" s="294"/>
      <c r="M106" s="282"/>
      <c r="N106" s="249">
        <v>0</v>
      </c>
      <c r="O106" s="249">
        <v>0</v>
      </c>
      <c r="P106" s="250">
        <f t="shared" si="5"/>
        <v>0</v>
      </c>
      <c r="S106" s="221">
        <v>0</v>
      </c>
      <c r="T106" s="221">
        <v>0</v>
      </c>
      <c r="U106" s="221">
        <v>0</v>
      </c>
      <c r="V106" s="221"/>
      <c r="X106" s="221"/>
      <c r="Y106" s="221"/>
      <c r="AA106" s="221"/>
      <c r="AB106" s="221"/>
      <c r="AC106" s="221"/>
      <c r="AE106" s="249"/>
      <c r="AF106" s="249">
        <v>0</v>
      </c>
      <c r="AG106" s="249">
        <v>0</v>
      </c>
      <c r="AH106" s="249"/>
      <c r="AI106" s="873">
        <v>0</v>
      </c>
      <c r="AJ106" s="873">
        <v>0</v>
      </c>
      <c r="AL106" s="223">
        <f t="shared" si="6"/>
        <v>0</v>
      </c>
      <c r="AM106" s="223">
        <f t="shared" si="7"/>
        <v>0</v>
      </c>
    </row>
    <row r="107" spans="1:39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3" t="str">
        <f>VLOOKUP(A107,'Summary Mar 2026'!$A$8:$F$206,6,FALSE)</f>
        <v>Chq Bk</v>
      </c>
      <c r="G107" s="33"/>
      <c r="H107" s="221">
        <v>0</v>
      </c>
      <c r="I107" s="221">
        <v>0</v>
      </c>
      <c r="J107" s="221">
        <v>0</v>
      </c>
      <c r="K107" s="221">
        <f t="shared" si="4"/>
        <v>0</v>
      </c>
      <c r="L107" s="294"/>
      <c r="M107" s="282"/>
      <c r="N107" s="249">
        <v>0</v>
      </c>
      <c r="O107" s="249">
        <v>0</v>
      </c>
      <c r="P107" s="250">
        <f t="shared" si="5"/>
        <v>0</v>
      </c>
      <c r="S107" s="221">
        <v>0</v>
      </c>
      <c r="T107" s="221">
        <v>0</v>
      </c>
      <c r="U107" s="221">
        <v>0</v>
      </c>
      <c r="V107" s="221"/>
      <c r="X107" s="221"/>
      <c r="Y107" s="221"/>
      <c r="AA107" s="221"/>
      <c r="AB107" s="221"/>
      <c r="AC107" s="221"/>
      <c r="AE107" s="249"/>
      <c r="AF107" s="249">
        <v>0</v>
      </c>
      <c r="AG107" s="249">
        <v>0</v>
      </c>
      <c r="AH107" s="249"/>
      <c r="AI107" s="873">
        <v>0</v>
      </c>
      <c r="AJ107" s="873">
        <v>0</v>
      </c>
      <c r="AL107" s="223">
        <f t="shared" si="6"/>
        <v>0</v>
      </c>
      <c r="AM107" s="223">
        <f t="shared" si="7"/>
        <v>0</v>
      </c>
    </row>
    <row r="108" spans="1:39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3" t="str">
        <f>VLOOKUP(A108,'Summary Mar 2026'!$A$8:$F$206,6,FALSE)</f>
        <v>Chq Bk</v>
      </c>
      <c r="G108" s="33"/>
      <c r="H108" s="221">
        <v>0</v>
      </c>
      <c r="I108" s="221">
        <v>0</v>
      </c>
      <c r="J108" s="221">
        <v>0</v>
      </c>
      <c r="K108" s="221">
        <f t="shared" si="4"/>
        <v>0</v>
      </c>
      <c r="L108" s="294"/>
      <c r="M108" s="282"/>
      <c r="N108" s="249">
        <v>0</v>
      </c>
      <c r="O108" s="249">
        <v>0</v>
      </c>
      <c r="P108" s="250">
        <f t="shared" si="5"/>
        <v>0</v>
      </c>
      <c r="S108" s="221">
        <v>0</v>
      </c>
      <c r="T108" s="221">
        <v>0</v>
      </c>
      <c r="U108" s="221">
        <v>0</v>
      </c>
      <c r="V108" s="221"/>
      <c r="X108" s="221"/>
      <c r="Y108" s="221"/>
      <c r="AA108" s="221"/>
      <c r="AB108" s="221"/>
      <c r="AC108" s="221"/>
      <c r="AE108" s="249"/>
      <c r="AF108" s="249">
        <v>0</v>
      </c>
      <c r="AG108" s="249">
        <v>0</v>
      </c>
      <c r="AH108" s="249"/>
      <c r="AI108" s="873">
        <v>0</v>
      </c>
      <c r="AJ108" s="873">
        <v>0</v>
      </c>
      <c r="AL108" s="223">
        <f t="shared" si="6"/>
        <v>0</v>
      </c>
      <c r="AM108" s="223">
        <f t="shared" si="7"/>
        <v>0</v>
      </c>
    </row>
    <row r="109" spans="1:39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3" t="str">
        <f>VLOOKUP(A109,'Summary Mar 2026'!$A$8:$F$206,6,FALSE)</f>
        <v>Chq Bk</v>
      </c>
      <c r="G109" s="33"/>
      <c r="H109" s="221">
        <v>0</v>
      </c>
      <c r="I109" s="221">
        <v>0</v>
      </c>
      <c r="J109" s="221">
        <v>0</v>
      </c>
      <c r="K109" s="221">
        <f t="shared" si="4"/>
        <v>0</v>
      </c>
      <c r="L109" s="294"/>
      <c r="M109" s="282"/>
      <c r="N109" s="249">
        <v>0</v>
      </c>
      <c r="O109" s="249">
        <v>0</v>
      </c>
      <c r="P109" s="250">
        <f t="shared" si="5"/>
        <v>0</v>
      </c>
      <c r="S109" s="221">
        <v>0</v>
      </c>
      <c r="T109" s="221">
        <v>0</v>
      </c>
      <c r="U109" s="221">
        <v>0</v>
      </c>
      <c r="V109" s="221"/>
      <c r="X109" s="221"/>
      <c r="Y109" s="221"/>
      <c r="AA109" s="221"/>
      <c r="AB109" s="221"/>
      <c r="AC109" s="221"/>
      <c r="AE109" s="249"/>
      <c r="AF109" s="249">
        <v>0</v>
      </c>
      <c r="AG109" s="249">
        <v>0</v>
      </c>
      <c r="AH109" s="249"/>
      <c r="AI109" s="873">
        <v>0</v>
      </c>
      <c r="AJ109" s="873">
        <v>0</v>
      </c>
      <c r="AL109" s="223">
        <f t="shared" si="6"/>
        <v>0</v>
      </c>
      <c r="AM109" s="223">
        <f t="shared" si="7"/>
        <v>0</v>
      </c>
    </row>
    <row r="110" spans="1:39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3" t="str">
        <f>VLOOKUP(A110,'Summary Mar 2026'!$A$8:$F$206,6,FALSE)</f>
        <v>Chq Bk</v>
      </c>
      <c r="G110" s="33"/>
      <c r="H110" s="221">
        <v>4366725</v>
      </c>
      <c r="I110" s="221">
        <v>2266118.6288956273</v>
      </c>
      <c r="J110" s="221">
        <v>260700</v>
      </c>
      <c r="K110" s="221">
        <f t="shared" si="4"/>
        <v>6893543.6288956273</v>
      </c>
      <c r="L110" s="294"/>
      <c r="M110" s="282"/>
      <c r="N110" s="249">
        <v>0</v>
      </c>
      <c r="O110" s="249">
        <v>0</v>
      </c>
      <c r="P110" s="250">
        <f t="shared" si="5"/>
        <v>0</v>
      </c>
      <c r="S110" s="221">
        <v>212100</v>
      </c>
      <c r="T110" s="221">
        <v>0</v>
      </c>
      <c r="U110" s="221">
        <v>0</v>
      </c>
      <c r="V110" s="221"/>
      <c r="X110" s="221"/>
      <c r="Y110" s="221"/>
      <c r="AA110" s="221"/>
      <c r="AB110" s="221"/>
      <c r="AC110" s="221"/>
      <c r="AE110" s="249"/>
      <c r="AF110" s="249">
        <v>0</v>
      </c>
      <c r="AG110" s="249">
        <v>149038.2588540148</v>
      </c>
      <c r="AH110" s="249"/>
      <c r="AI110" s="873">
        <v>5431.91</v>
      </c>
      <c r="AJ110" s="873">
        <v>0</v>
      </c>
      <c r="AL110" s="223">
        <f t="shared" si="6"/>
        <v>4366725</v>
      </c>
      <c r="AM110" s="223">
        <f t="shared" si="7"/>
        <v>2893388.7977496423</v>
      </c>
    </row>
    <row r="111" spans="1:39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3" t="str">
        <f>VLOOKUP(A111,'Summary Mar 2026'!$A$8:$F$206,6,FALSE)</f>
        <v>Chq Bk</v>
      </c>
      <c r="G111" s="33"/>
      <c r="H111" s="221">
        <v>0</v>
      </c>
      <c r="I111" s="221">
        <v>0</v>
      </c>
      <c r="J111" s="221">
        <v>0</v>
      </c>
      <c r="K111" s="221">
        <f t="shared" si="4"/>
        <v>0</v>
      </c>
      <c r="L111" s="294"/>
      <c r="M111" s="282"/>
      <c r="N111" s="249">
        <v>0</v>
      </c>
      <c r="O111" s="249">
        <v>0</v>
      </c>
      <c r="P111" s="250">
        <f t="shared" si="5"/>
        <v>0</v>
      </c>
      <c r="S111" s="221">
        <v>0</v>
      </c>
      <c r="T111" s="221">
        <v>0</v>
      </c>
      <c r="U111" s="221">
        <v>0</v>
      </c>
      <c r="V111" s="221"/>
      <c r="X111" s="221"/>
      <c r="Y111" s="221"/>
      <c r="AA111" s="221"/>
      <c r="AB111" s="221"/>
      <c r="AC111" s="221"/>
      <c r="AE111" s="249"/>
      <c r="AF111" s="249">
        <v>0</v>
      </c>
      <c r="AG111" s="249">
        <v>0</v>
      </c>
      <c r="AH111" s="249"/>
      <c r="AI111" s="873">
        <v>0</v>
      </c>
      <c r="AJ111" s="873">
        <v>0</v>
      </c>
      <c r="AL111" s="223">
        <f t="shared" si="6"/>
        <v>0</v>
      </c>
      <c r="AM111" s="223">
        <f t="shared" si="7"/>
        <v>0</v>
      </c>
    </row>
    <row r="112" spans="1:39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3" t="str">
        <f>VLOOKUP(A112,'Summary Mar 2026'!$A$8:$F$206,6,FALSE)</f>
        <v>Chq Bk</v>
      </c>
      <c r="G112" s="33"/>
      <c r="H112" s="221">
        <v>0</v>
      </c>
      <c r="I112" s="221">
        <v>0</v>
      </c>
      <c r="J112" s="221">
        <v>0</v>
      </c>
      <c r="K112" s="221">
        <f t="shared" si="4"/>
        <v>0</v>
      </c>
      <c r="L112" s="294"/>
      <c r="M112" s="282"/>
      <c r="N112" s="249">
        <v>0</v>
      </c>
      <c r="O112" s="249">
        <v>0</v>
      </c>
      <c r="P112" s="250">
        <f t="shared" si="5"/>
        <v>0</v>
      </c>
      <c r="S112" s="221">
        <v>0</v>
      </c>
      <c r="T112" s="221">
        <v>0</v>
      </c>
      <c r="U112" s="221">
        <v>0</v>
      </c>
      <c r="V112" s="221"/>
      <c r="X112" s="221"/>
      <c r="Y112" s="221"/>
      <c r="AA112" s="221"/>
      <c r="AB112" s="221"/>
      <c r="AC112" s="221"/>
      <c r="AE112" s="249"/>
      <c r="AF112" s="249">
        <v>0</v>
      </c>
      <c r="AG112" s="249">
        <v>0</v>
      </c>
      <c r="AH112" s="249"/>
      <c r="AI112" s="873">
        <v>0</v>
      </c>
      <c r="AJ112" s="873">
        <v>0</v>
      </c>
      <c r="AL112" s="223">
        <f t="shared" si="6"/>
        <v>0</v>
      </c>
      <c r="AM112" s="223">
        <f t="shared" si="7"/>
        <v>0</v>
      </c>
    </row>
    <row r="113" spans="1:39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3" t="str">
        <f>VLOOKUP(A113,'Summary Mar 2026'!$A$8:$F$206,6,FALSE)</f>
        <v>Chq Bk</v>
      </c>
      <c r="G113" s="33"/>
      <c r="H113" s="221">
        <v>0</v>
      </c>
      <c r="I113" s="221">
        <v>0</v>
      </c>
      <c r="J113" s="221">
        <v>0</v>
      </c>
      <c r="K113" s="221">
        <f t="shared" si="4"/>
        <v>0</v>
      </c>
      <c r="L113" s="294"/>
      <c r="M113" s="282"/>
      <c r="N113" s="249">
        <v>0</v>
      </c>
      <c r="O113" s="249">
        <v>0</v>
      </c>
      <c r="P113" s="250">
        <f t="shared" si="5"/>
        <v>0</v>
      </c>
      <c r="S113" s="221">
        <v>0</v>
      </c>
      <c r="T113" s="221">
        <v>0</v>
      </c>
      <c r="U113" s="221">
        <v>0</v>
      </c>
      <c r="V113" s="221"/>
      <c r="X113" s="221"/>
      <c r="Y113" s="221"/>
      <c r="AA113" s="221"/>
      <c r="AB113" s="221"/>
      <c r="AC113" s="221"/>
      <c r="AE113" s="249"/>
      <c r="AF113" s="249">
        <v>0</v>
      </c>
      <c r="AG113" s="249">
        <v>0</v>
      </c>
      <c r="AH113" s="249"/>
      <c r="AI113" s="873">
        <v>0</v>
      </c>
      <c r="AJ113" s="873">
        <v>0</v>
      </c>
      <c r="AL113" s="223">
        <f t="shared" si="6"/>
        <v>0</v>
      </c>
      <c r="AM113" s="223">
        <f t="shared" si="7"/>
        <v>0</v>
      </c>
    </row>
    <row r="114" spans="1:39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3" t="str">
        <f>VLOOKUP(A114,'Summary Mar 2026'!$A$8:$F$206,6,FALSE)</f>
        <v>Chq Bk</v>
      </c>
      <c r="G114" s="33"/>
      <c r="H114" s="221">
        <v>0</v>
      </c>
      <c r="I114" s="221">
        <v>0</v>
      </c>
      <c r="J114" s="221">
        <v>0</v>
      </c>
      <c r="K114" s="221">
        <f t="shared" si="4"/>
        <v>0</v>
      </c>
      <c r="L114" s="294"/>
      <c r="M114" s="282"/>
      <c r="N114" s="249">
        <v>0</v>
      </c>
      <c r="O114" s="249">
        <v>0</v>
      </c>
      <c r="P114" s="250">
        <f t="shared" si="5"/>
        <v>0</v>
      </c>
      <c r="S114" s="221">
        <v>0</v>
      </c>
      <c r="T114" s="221">
        <v>0</v>
      </c>
      <c r="U114" s="221">
        <v>0</v>
      </c>
      <c r="V114" s="221"/>
      <c r="X114" s="221"/>
      <c r="Y114" s="221"/>
      <c r="AA114" s="221"/>
      <c r="AB114" s="221"/>
      <c r="AC114" s="221"/>
      <c r="AE114" s="249"/>
      <c r="AF114" s="249">
        <v>0</v>
      </c>
      <c r="AG114" s="249">
        <v>0</v>
      </c>
      <c r="AH114" s="249"/>
      <c r="AI114" s="873">
        <v>0</v>
      </c>
      <c r="AJ114" s="873">
        <v>0</v>
      </c>
      <c r="AL114" s="223">
        <f t="shared" si="6"/>
        <v>0</v>
      </c>
      <c r="AM114" s="223">
        <f t="shared" si="7"/>
        <v>0</v>
      </c>
    </row>
    <row r="115" spans="1:39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3" t="str">
        <f>VLOOKUP(A115,'Summary Mar 2026'!$A$8:$F$206,6,FALSE)</f>
        <v>Chq Bk</v>
      </c>
      <c r="G115" s="33"/>
      <c r="H115" s="221">
        <v>0</v>
      </c>
      <c r="I115" s="221">
        <v>0</v>
      </c>
      <c r="J115" s="221">
        <v>0</v>
      </c>
      <c r="K115" s="221">
        <f t="shared" si="4"/>
        <v>0</v>
      </c>
      <c r="L115" s="294"/>
      <c r="M115" s="282"/>
      <c r="N115" s="249">
        <v>0</v>
      </c>
      <c r="O115" s="249">
        <v>0</v>
      </c>
      <c r="P115" s="250">
        <f t="shared" si="5"/>
        <v>0</v>
      </c>
      <c r="S115" s="221">
        <v>0</v>
      </c>
      <c r="T115" s="221">
        <v>0</v>
      </c>
      <c r="U115" s="221">
        <v>0</v>
      </c>
      <c r="V115" s="221"/>
      <c r="X115" s="221"/>
      <c r="Y115" s="221"/>
      <c r="AA115" s="221"/>
      <c r="AB115" s="221"/>
      <c r="AC115" s="221"/>
      <c r="AE115" s="249"/>
      <c r="AF115" s="249">
        <v>0</v>
      </c>
      <c r="AG115" s="249">
        <v>0</v>
      </c>
      <c r="AH115" s="249"/>
      <c r="AI115" s="873">
        <v>0</v>
      </c>
      <c r="AJ115" s="873">
        <v>0</v>
      </c>
      <c r="AL115" s="223">
        <f t="shared" si="6"/>
        <v>0</v>
      </c>
      <c r="AM115" s="223">
        <f t="shared" si="7"/>
        <v>0</v>
      </c>
    </row>
    <row r="116" spans="1:39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3" t="str">
        <f>VLOOKUP(A116,'Summary Mar 2026'!$A$8:$F$206,6,FALSE)</f>
        <v>Chq Bk</v>
      </c>
      <c r="G116" s="33"/>
      <c r="H116" s="221">
        <v>0</v>
      </c>
      <c r="I116" s="221">
        <v>0</v>
      </c>
      <c r="J116" s="221">
        <v>0</v>
      </c>
      <c r="K116" s="221">
        <f t="shared" si="4"/>
        <v>0</v>
      </c>
      <c r="L116" s="294"/>
      <c r="M116" s="282"/>
      <c r="N116" s="249">
        <v>0</v>
      </c>
      <c r="O116" s="249">
        <v>0</v>
      </c>
      <c r="P116" s="250">
        <f t="shared" si="5"/>
        <v>0</v>
      </c>
      <c r="S116" s="221">
        <v>0</v>
      </c>
      <c r="T116" s="221">
        <v>0</v>
      </c>
      <c r="U116" s="221">
        <v>0</v>
      </c>
      <c r="V116" s="221"/>
      <c r="X116" s="221"/>
      <c r="Y116" s="221"/>
      <c r="AA116" s="221"/>
      <c r="AB116" s="221"/>
      <c r="AC116" s="221"/>
      <c r="AE116" s="249"/>
      <c r="AF116" s="249">
        <v>0</v>
      </c>
      <c r="AG116" s="249">
        <v>0</v>
      </c>
      <c r="AH116" s="249"/>
      <c r="AI116" s="873">
        <v>0</v>
      </c>
      <c r="AJ116" s="873">
        <v>0</v>
      </c>
      <c r="AL116" s="223">
        <f t="shared" si="6"/>
        <v>0</v>
      </c>
      <c r="AM116" s="223">
        <f t="shared" si="7"/>
        <v>0</v>
      </c>
    </row>
    <row r="117" spans="1:39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3" t="str">
        <f>VLOOKUP(A117,'Summary Mar 2026'!$A$8:$F$206,6,FALSE)</f>
        <v>Chq Bk</v>
      </c>
      <c r="G117" s="33"/>
      <c r="H117" s="221">
        <v>1188412.5</v>
      </c>
      <c r="I117" s="221">
        <v>1113935.9504908889</v>
      </c>
      <c r="J117" s="221">
        <v>75900</v>
      </c>
      <c r="K117" s="221">
        <f t="shared" si="4"/>
        <v>2378248.4504908891</v>
      </c>
      <c r="L117" s="294"/>
      <c r="M117" s="282"/>
      <c r="N117" s="249">
        <v>0</v>
      </c>
      <c r="O117" s="249">
        <v>0</v>
      </c>
      <c r="P117" s="250">
        <f t="shared" si="5"/>
        <v>0</v>
      </c>
      <c r="S117" s="221">
        <v>190961.53846153861</v>
      </c>
      <c r="T117" s="221">
        <v>0</v>
      </c>
      <c r="U117" s="221">
        <v>0</v>
      </c>
      <c r="V117" s="221"/>
      <c r="X117" s="221"/>
      <c r="Y117" s="221"/>
      <c r="AA117" s="221"/>
      <c r="AB117" s="221"/>
      <c r="AC117" s="221"/>
      <c r="AE117" s="249"/>
      <c r="AF117" s="249">
        <v>82912.5</v>
      </c>
      <c r="AG117" s="249">
        <v>47017.70524503733</v>
      </c>
      <c r="AH117" s="249"/>
      <c r="AI117" s="873">
        <v>50808.94</v>
      </c>
      <c r="AJ117" s="873">
        <v>0</v>
      </c>
      <c r="AL117" s="223">
        <f t="shared" si="6"/>
        <v>1271325</v>
      </c>
      <c r="AM117" s="223">
        <f t="shared" si="7"/>
        <v>1478624.1341974649</v>
      </c>
    </row>
    <row r="118" spans="1:39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3" t="str">
        <f>VLOOKUP(A118,'Summary Mar 2026'!$A$8:$F$206,6,FALSE)</f>
        <v>Chq Bk</v>
      </c>
      <c r="G118" s="33"/>
      <c r="H118" s="221">
        <v>0</v>
      </c>
      <c r="I118" s="221">
        <v>0</v>
      </c>
      <c r="J118" s="221">
        <v>0</v>
      </c>
      <c r="K118" s="221">
        <f t="shared" si="4"/>
        <v>0</v>
      </c>
      <c r="L118" s="294"/>
      <c r="M118" s="282"/>
      <c r="N118" s="249">
        <v>0</v>
      </c>
      <c r="O118" s="249">
        <v>0</v>
      </c>
      <c r="P118" s="250">
        <f t="shared" si="5"/>
        <v>0</v>
      </c>
      <c r="S118" s="221">
        <v>0</v>
      </c>
      <c r="T118" s="221">
        <v>0</v>
      </c>
      <c r="U118" s="221">
        <v>0</v>
      </c>
      <c r="V118" s="221"/>
      <c r="X118" s="221"/>
      <c r="Y118" s="221"/>
      <c r="AA118" s="221"/>
      <c r="AB118" s="221"/>
      <c r="AC118" s="221"/>
      <c r="AE118" s="249"/>
      <c r="AF118" s="249">
        <v>0</v>
      </c>
      <c r="AG118" s="249">
        <v>0</v>
      </c>
      <c r="AH118" s="249"/>
      <c r="AI118" s="873">
        <v>0</v>
      </c>
      <c r="AJ118" s="873">
        <v>0</v>
      </c>
      <c r="AL118" s="223">
        <f t="shared" si="6"/>
        <v>0</v>
      </c>
      <c r="AM118" s="223">
        <f t="shared" si="7"/>
        <v>0</v>
      </c>
    </row>
    <row r="119" spans="1:39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3" t="str">
        <f>VLOOKUP(A119,'Summary Mar 2026'!$A$8:$F$206,6,FALSE)</f>
        <v>Chq Bk</v>
      </c>
      <c r="G119" s="33"/>
      <c r="H119" s="221">
        <v>0</v>
      </c>
      <c r="I119" s="221">
        <v>0</v>
      </c>
      <c r="J119" s="221">
        <v>0</v>
      </c>
      <c r="K119" s="221">
        <f t="shared" si="4"/>
        <v>0</v>
      </c>
      <c r="L119" s="294"/>
      <c r="M119" s="282"/>
      <c r="N119" s="249">
        <v>0</v>
      </c>
      <c r="O119" s="249">
        <v>0</v>
      </c>
      <c r="P119" s="250">
        <f t="shared" si="5"/>
        <v>0</v>
      </c>
      <c r="S119" s="221">
        <v>0</v>
      </c>
      <c r="T119" s="221">
        <v>0</v>
      </c>
      <c r="U119" s="221">
        <v>0</v>
      </c>
      <c r="V119" s="221"/>
      <c r="X119" s="221"/>
      <c r="Y119" s="221"/>
      <c r="AA119" s="221"/>
      <c r="AB119" s="221"/>
      <c r="AC119" s="221"/>
      <c r="AE119" s="249"/>
      <c r="AF119" s="249">
        <v>0</v>
      </c>
      <c r="AG119" s="249">
        <v>0</v>
      </c>
      <c r="AH119" s="249"/>
      <c r="AI119" s="873">
        <v>0</v>
      </c>
      <c r="AJ119" s="873">
        <v>0</v>
      </c>
      <c r="AL119" s="223">
        <f t="shared" si="6"/>
        <v>0</v>
      </c>
      <c r="AM119" s="223">
        <f t="shared" si="7"/>
        <v>0</v>
      </c>
    </row>
    <row r="120" spans="1:39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3" t="str">
        <f>VLOOKUP(A120,'Summary Mar 2026'!$A$8:$F$206,6,FALSE)</f>
        <v>Chq Bk</v>
      </c>
      <c r="G120" s="33"/>
      <c r="H120" s="221">
        <v>0</v>
      </c>
      <c r="I120" s="221">
        <v>0</v>
      </c>
      <c r="J120" s="221">
        <v>0</v>
      </c>
      <c r="K120" s="221">
        <f t="shared" si="4"/>
        <v>0</v>
      </c>
      <c r="L120" s="294"/>
      <c r="M120" s="282"/>
      <c r="N120" s="249">
        <v>0</v>
      </c>
      <c r="O120" s="249">
        <v>0</v>
      </c>
      <c r="P120" s="250">
        <f t="shared" si="5"/>
        <v>0</v>
      </c>
      <c r="S120" s="221">
        <v>0</v>
      </c>
      <c r="T120" s="221">
        <v>0</v>
      </c>
      <c r="U120" s="221">
        <v>0</v>
      </c>
      <c r="V120" s="221"/>
      <c r="X120" s="221"/>
      <c r="Y120" s="221"/>
      <c r="AA120" s="221"/>
      <c r="AB120" s="221"/>
      <c r="AC120" s="221"/>
      <c r="AE120" s="249"/>
      <c r="AF120" s="249">
        <v>0</v>
      </c>
      <c r="AG120" s="249">
        <v>0</v>
      </c>
      <c r="AH120" s="249"/>
      <c r="AI120" s="873">
        <v>0</v>
      </c>
      <c r="AJ120" s="873">
        <v>0</v>
      </c>
      <c r="AL120" s="223">
        <f t="shared" si="6"/>
        <v>0</v>
      </c>
      <c r="AM120" s="223">
        <f t="shared" si="7"/>
        <v>0</v>
      </c>
    </row>
    <row r="121" spans="1:39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3" t="str">
        <f>VLOOKUP(A121,'Summary Mar 2026'!$A$8:$F$206,6,FALSE)</f>
        <v>Chq Bk</v>
      </c>
      <c r="G121" s="33"/>
      <c r="H121" s="221">
        <v>0</v>
      </c>
      <c r="I121" s="221">
        <v>0</v>
      </c>
      <c r="J121" s="221">
        <v>0</v>
      </c>
      <c r="K121" s="221">
        <f t="shared" si="4"/>
        <v>0</v>
      </c>
      <c r="L121" s="294"/>
      <c r="M121" s="282"/>
      <c r="N121" s="249">
        <v>176000</v>
      </c>
      <c r="O121" s="249">
        <v>225682.57</v>
      </c>
      <c r="P121" s="250">
        <f t="shared" si="5"/>
        <v>401682.57</v>
      </c>
      <c r="S121" s="221">
        <v>0</v>
      </c>
      <c r="T121" s="221">
        <v>0</v>
      </c>
      <c r="U121" s="221">
        <v>0</v>
      </c>
      <c r="V121" s="221"/>
      <c r="X121" s="221"/>
      <c r="Y121" s="221"/>
      <c r="AA121" s="221"/>
      <c r="AB121" s="221"/>
      <c r="AC121" s="221"/>
      <c r="AE121" s="249"/>
      <c r="AF121" s="249">
        <v>0</v>
      </c>
      <c r="AG121" s="249">
        <v>0</v>
      </c>
      <c r="AH121" s="249"/>
      <c r="AI121" s="873">
        <v>0</v>
      </c>
      <c r="AJ121" s="873">
        <v>36798.480000000003</v>
      </c>
      <c r="AL121" s="223">
        <f t="shared" si="6"/>
        <v>176000</v>
      </c>
      <c r="AM121" s="223">
        <f t="shared" si="7"/>
        <v>262481.05</v>
      </c>
    </row>
    <row r="122" spans="1:39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3" t="str">
        <f>VLOOKUP(A122,'Summary Mar 2026'!$A$8:$F$206,6,FALSE)</f>
        <v>Chq Bk</v>
      </c>
      <c r="G122" s="33"/>
      <c r="H122" s="221">
        <v>0</v>
      </c>
      <c r="I122" s="221">
        <v>0</v>
      </c>
      <c r="J122" s="221">
        <v>0</v>
      </c>
      <c r="K122" s="221">
        <f t="shared" si="4"/>
        <v>0</v>
      </c>
      <c r="L122" s="294"/>
      <c r="M122" s="282"/>
      <c r="N122" s="249">
        <v>0</v>
      </c>
      <c r="O122" s="249">
        <v>0</v>
      </c>
      <c r="P122" s="250">
        <f t="shared" si="5"/>
        <v>0</v>
      </c>
      <c r="S122" s="221">
        <v>0</v>
      </c>
      <c r="T122" s="221">
        <v>0</v>
      </c>
      <c r="U122" s="221">
        <v>0</v>
      </c>
      <c r="V122" s="221"/>
      <c r="X122" s="221"/>
      <c r="Y122" s="221"/>
      <c r="AA122" s="221"/>
      <c r="AB122" s="221"/>
      <c r="AC122" s="221"/>
      <c r="AE122" s="249"/>
      <c r="AF122" s="249">
        <v>0</v>
      </c>
      <c r="AG122" s="249">
        <v>0</v>
      </c>
      <c r="AH122" s="249"/>
      <c r="AI122" s="873">
        <v>0</v>
      </c>
      <c r="AJ122" s="873">
        <v>0</v>
      </c>
      <c r="AL122" s="223">
        <f t="shared" si="6"/>
        <v>0</v>
      </c>
      <c r="AM122" s="223">
        <f t="shared" si="7"/>
        <v>0</v>
      </c>
    </row>
    <row r="123" spans="1:39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3" t="str">
        <f>VLOOKUP(A123,'Summary Mar 2026'!$A$8:$F$206,6,FALSE)</f>
        <v>Chq Bk</v>
      </c>
      <c r="G123" s="33"/>
      <c r="H123" s="221">
        <v>0</v>
      </c>
      <c r="I123" s="221">
        <v>0</v>
      </c>
      <c r="J123" s="221">
        <v>0</v>
      </c>
      <c r="K123" s="221">
        <f t="shared" si="4"/>
        <v>0</v>
      </c>
      <c r="L123" s="294"/>
      <c r="M123" s="282"/>
      <c r="N123" s="249">
        <v>0</v>
      </c>
      <c r="O123" s="249">
        <v>0</v>
      </c>
      <c r="P123" s="250">
        <f t="shared" si="5"/>
        <v>0</v>
      </c>
      <c r="S123" s="221">
        <v>0</v>
      </c>
      <c r="T123" s="221">
        <v>0</v>
      </c>
      <c r="U123" s="221">
        <v>0</v>
      </c>
      <c r="V123" s="221"/>
      <c r="X123" s="221"/>
      <c r="Y123" s="221"/>
      <c r="AA123" s="221"/>
      <c r="AB123" s="221"/>
      <c r="AC123" s="221"/>
      <c r="AE123" s="249"/>
      <c r="AF123" s="249">
        <v>0</v>
      </c>
      <c r="AG123" s="249">
        <v>0</v>
      </c>
      <c r="AH123" s="249"/>
      <c r="AI123" s="873">
        <v>0</v>
      </c>
      <c r="AJ123" s="873">
        <v>0</v>
      </c>
      <c r="AL123" s="223">
        <f t="shared" si="6"/>
        <v>0</v>
      </c>
      <c r="AM123" s="223">
        <f t="shared" si="7"/>
        <v>0</v>
      </c>
    </row>
    <row r="124" spans="1:39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3" t="str">
        <f>VLOOKUP(A124,'Summary Mar 2026'!$A$8:$F$206,6,FALSE)</f>
        <v>Chq Bk</v>
      </c>
      <c r="G124" s="33"/>
      <c r="H124" s="221">
        <v>0</v>
      </c>
      <c r="I124" s="221">
        <v>0</v>
      </c>
      <c r="J124" s="221">
        <v>0</v>
      </c>
      <c r="K124" s="221">
        <f t="shared" si="4"/>
        <v>0</v>
      </c>
      <c r="L124" s="294"/>
      <c r="M124" s="282"/>
      <c r="N124" s="249">
        <v>0</v>
      </c>
      <c r="O124" s="249">
        <v>0</v>
      </c>
      <c r="P124" s="250">
        <f t="shared" si="5"/>
        <v>0</v>
      </c>
      <c r="S124" s="221">
        <v>0</v>
      </c>
      <c r="T124" s="221">
        <v>0</v>
      </c>
      <c r="U124" s="221">
        <v>0</v>
      </c>
      <c r="V124" s="221"/>
      <c r="X124" s="221"/>
      <c r="Y124" s="221"/>
      <c r="AA124" s="221"/>
      <c r="AB124" s="221"/>
      <c r="AC124" s="221"/>
      <c r="AE124" s="249"/>
      <c r="AF124" s="249">
        <v>0</v>
      </c>
      <c r="AG124" s="249">
        <v>0</v>
      </c>
      <c r="AH124" s="249"/>
      <c r="AI124" s="873">
        <v>0</v>
      </c>
      <c r="AJ124" s="873">
        <v>0</v>
      </c>
      <c r="AL124" s="223">
        <f t="shared" si="6"/>
        <v>0</v>
      </c>
      <c r="AM124" s="223">
        <f t="shared" si="7"/>
        <v>0</v>
      </c>
    </row>
    <row r="125" spans="1:39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3" t="str">
        <f>VLOOKUP(A125,'Summary Mar 2026'!$A$8:$F$206,6,FALSE)</f>
        <v>Chq Bk</v>
      </c>
      <c r="G125" s="33"/>
      <c r="H125" s="221">
        <v>0</v>
      </c>
      <c r="I125" s="221">
        <v>0</v>
      </c>
      <c r="J125" s="221">
        <v>0</v>
      </c>
      <c r="K125" s="221">
        <f t="shared" si="4"/>
        <v>0</v>
      </c>
      <c r="L125" s="294"/>
      <c r="M125" s="282"/>
      <c r="N125" s="249">
        <v>0</v>
      </c>
      <c r="O125" s="249">
        <v>0</v>
      </c>
      <c r="P125" s="250">
        <f t="shared" si="5"/>
        <v>0</v>
      </c>
      <c r="S125" s="221">
        <v>0</v>
      </c>
      <c r="T125" s="221">
        <v>0</v>
      </c>
      <c r="U125" s="221">
        <v>0</v>
      </c>
      <c r="V125" s="221"/>
      <c r="X125" s="221"/>
      <c r="Y125" s="221"/>
      <c r="AA125" s="221"/>
      <c r="AB125" s="221"/>
      <c r="AC125" s="221"/>
      <c r="AE125" s="249"/>
      <c r="AF125" s="249">
        <v>0</v>
      </c>
      <c r="AG125" s="249">
        <v>0</v>
      </c>
      <c r="AH125" s="249"/>
      <c r="AI125" s="873">
        <v>0</v>
      </c>
      <c r="AJ125" s="873">
        <v>0</v>
      </c>
      <c r="AL125" s="223">
        <f t="shared" si="6"/>
        <v>0</v>
      </c>
      <c r="AM125" s="223">
        <f t="shared" si="7"/>
        <v>0</v>
      </c>
    </row>
    <row r="126" spans="1:39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3" t="str">
        <f>VLOOKUP(A126,'Summary Mar 2026'!$A$8:$F$206,6,FALSE)</f>
        <v>Chq Bk</v>
      </c>
      <c r="G126" s="33"/>
      <c r="H126" s="221">
        <v>0</v>
      </c>
      <c r="I126" s="221">
        <v>0</v>
      </c>
      <c r="J126" s="221">
        <v>0</v>
      </c>
      <c r="K126" s="221">
        <f t="shared" si="4"/>
        <v>0</v>
      </c>
      <c r="L126" s="294"/>
      <c r="M126" s="282"/>
      <c r="N126" s="249">
        <v>0</v>
      </c>
      <c r="O126" s="249">
        <v>0</v>
      </c>
      <c r="P126" s="250">
        <f t="shared" si="5"/>
        <v>0</v>
      </c>
      <c r="S126" s="221">
        <v>0</v>
      </c>
      <c r="T126" s="221">
        <v>0</v>
      </c>
      <c r="U126" s="221">
        <v>0</v>
      </c>
      <c r="V126" s="221"/>
      <c r="X126" s="221"/>
      <c r="Y126" s="221"/>
      <c r="AA126" s="221"/>
      <c r="AB126" s="221"/>
      <c r="AC126" s="221"/>
      <c r="AE126" s="249"/>
      <c r="AF126" s="249">
        <v>0</v>
      </c>
      <c r="AG126" s="249">
        <v>0</v>
      </c>
      <c r="AH126" s="249"/>
      <c r="AI126" s="873">
        <v>0</v>
      </c>
      <c r="AJ126" s="873">
        <v>0</v>
      </c>
      <c r="AL126" s="223">
        <f t="shared" si="6"/>
        <v>0</v>
      </c>
      <c r="AM126" s="223">
        <f t="shared" si="7"/>
        <v>0</v>
      </c>
    </row>
    <row r="127" spans="1:39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3" t="str">
        <f>VLOOKUP(A127,'Summary Mar 2026'!$A$8:$F$206,6,FALSE)</f>
        <v>Chq Bk</v>
      </c>
      <c r="G127" s="33"/>
      <c r="H127" s="221">
        <v>0</v>
      </c>
      <c r="I127" s="221">
        <v>0</v>
      </c>
      <c r="J127" s="221">
        <v>0</v>
      </c>
      <c r="K127" s="221">
        <f t="shared" si="4"/>
        <v>0</v>
      </c>
      <c r="L127" s="294"/>
      <c r="M127" s="282"/>
      <c r="N127" s="249">
        <v>0</v>
      </c>
      <c r="O127" s="249">
        <v>0</v>
      </c>
      <c r="P127" s="250">
        <f t="shared" si="5"/>
        <v>0</v>
      </c>
      <c r="S127" s="221">
        <v>0</v>
      </c>
      <c r="T127" s="221">
        <v>0</v>
      </c>
      <c r="U127" s="221">
        <v>0</v>
      </c>
      <c r="V127" s="221"/>
      <c r="X127" s="221"/>
      <c r="Y127" s="221"/>
      <c r="AA127" s="221"/>
      <c r="AB127" s="221"/>
      <c r="AC127" s="221"/>
      <c r="AE127" s="249"/>
      <c r="AF127" s="249">
        <v>0</v>
      </c>
      <c r="AG127" s="249">
        <v>0</v>
      </c>
      <c r="AH127" s="249"/>
      <c r="AI127" s="873">
        <v>0</v>
      </c>
      <c r="AJ127" s="873">
        <v>0</v>
      </c>
      <c r="AL127" s="223">
        <f t="shared" si="6"/>
        <v>0</v>
      </c>
      <c r="AM127" s="223">
        <f t="shared" si="7"/>
        <v>0</v>
      </c>
    </row>
    <row r="128" spans="1:39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3" t="str">
        <f>VLOOKUP(A128,'Summary Mar 2026'!$A$8:$F$206,6,FALSE)</f>
        <v>Chq Bk</v>
      </c>
      <c r="G128" s="33"/>
      <c r="H128" s="221">
        <v>0</v>
      </c>
      <c r="I128" s="221">
        <v>0</v>
      </c>
      <c r="J128" s="221">
        <v>0</v>
      </c>
      <c r="K128" s="221">
        <f t="shared" si="4"/>
        <v>0</v>
      </c>
      <c r="L128" s="294"/>
      <c r="M128" s="282"/>
      <c r="N128" s="249">
        <v>0</v>
      </c>
      <c r="O128" s="249">
        <v>0</v>
      </c>
      <c r="P128" s="250">
        <f t="shared" si="5"/>
        <v>0</v>
      </c>
      <c r="S128" s="221">
        <v>0</v>
      </c>
      <c r="T128" s="221">
        <v>0</v>
      </c>
      <c r="U128" s="221">
        <v>0</v>
      </c>
      <c r="V128" s="221"/>
      <c r="X128" s="221"/>
      <c r="Y128" s="221"/>
      <c r="AA128" s="221"/>
      <c r="AB128" s="221"/>
      <c r="AC128" s="221"/>
      <c r="AE128" s="249"/>
      <c r="AF128" s="249">
        <v>0</v>
      </c>
      <c r="AG128" s="249">
        <v>0</v>
      </c>
      <c r="AH128" s="249"/>
      <c r="AI128" s="873">
        <v>0</v>
      </c>
      <c r="AJ128" s="873">
        <v>0</v>
      </c>
      <c r="AL128" s="223">
        <f t="shared" si="6"/>
        <v>0</v>
      </c>
      <c r="AM128" s="223">
        <f t="shared" si="7"/>
        <v>0</v>
      </c>
    </row>
    <row r="129" spans="1:39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3" t="str">
        <f>VLOOKUP(A129,'Summary Mar 2026'!$A$8:$F$206,6,FALSE)</f>
        <v>Chq Bk</v>
      </c>
      <c r="G129" s="33"/>
      <c r="H129" s="221">
        <v>0</v>
      </c>
      <c r="I129" s="221">
        <v>0</v>
      </c>
      <c r="J129" s="221">
        <v>0</v>
      </c>
      <c r="K129" s="221">
        <f t="shared" si="4"/>
        <v>0</v>
      </c>
      <c r="L129" s="294"/>
      <c r="M129" s="282"/>
      <c r="N129" s="249">
        <v>0</v>
      </c>
      <c r="O129" s="249">
        <v>0</v>
      </c>
      <c r="P129" s="250">
        <f t="shared" si="5"/>
        <v>0</v>
      </c>
      <c r="S129" s="221">
        <v>0</v>
      </c>
      <c r="T129" s="221">
        <v>0</v>
      </c>
      <c r="U129" s="221">
        <v>0</v>
      </c>
      <c r="V129" s="221"/>
      <c r="X129" s="221"/>
      <c r="Y129" s="221"/>
      <c r="AA129" s="221"/>
      <c r="AB129" s="221"/>
      <c r="AC129" s="221"/>
      <c r="AE129" s="249"/>
      <c r="AF129" s="249">
        <v>0</v>
      </c>
      <c r="AG129" s="249">
        <v>0</v>
      </c>
      <c r="AH129" s="249"/>
      <c r="AI129" s="873">
        <v>0</v>
      </c>
      <c r="AJ129" s="873">
        <v>0</v>
      </c>
      <c r="AL129" s="223">
        <f t="shared" si="6"/>
        <v>0</v>
      </c>
      <c r="AM129" s="223">
        <f t="shared" si="7"/>
        <v>0</v>
      </c>
    </row>
    <row r="130" spans="1:39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3" t="str">
        <f>VLOOKUP(A130,'Summary Mar 2026'!$A$8:$F$206,6,FALSE)</f>
        <v>Chq Bk</v>
      </c>
      <c r="G130" s="33"/>
      <c r="H130" s="221">
        <v>0</v>
      </c>
      <c r="I130" s="221">
        <v>0</v>
      </c>
      <c r="J130" s="221">
        <v>0</v>
      </c>
      <c r="K130" s="221">
        <f t="shared" si="4"/>
        <v>0</v>
      </c>
      <c r="L130" s="294"/>
      <c r="M130" s="282"/>
      <c r="N130" s="249">
        <v>0</v>
      </c>
      <c r="O130" s="249">
        <v>0</v>
      </c>
      <c r="P130" s="250">
        <f t="shared" si="5"/>
        <v>0</v>
      </c>
      <c r="S130" s="221">
        <v>0</v>
      </c>
      <c r="T130" s="221">
        <v>0</v>
      </c>
      <c r="U130" s="221">
        <v>0</v>
      </c>
      <c r="V130" s="221"/>
      <c r="X130" s="221"/>
      <c r="Y130" s="221"/>
      <c r="AA130" s="221"/>
      <c r="AB130" s="221"/>
      <c r="AC130" s="221"/>
      <c r="AE130" s="249"/>
      <c r="AF130" s="249">
        <v>0</v>
      </c>
      <c r="AG130" s="249">
        <v>0</v>
      </c>
      <c r="AH130" s="249"/>
      <c r="AI130" s="873">
        <v>0</v>
      </c>
      <c r="AJ130" s="873">
        <v>0</v>
      </c>
      <c r="AL130" s="223">
        <f t="shared" si="6"/>
        <v>0</v>
      </c>
      <c r="AM130" s="223">
        <f t="shared" si="7"/>
        <v>0</v>
      </c>
    </row>
    <row r="131" spans="1:39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3" t="str">
        <f>VLOOKUP(A131,'Summary Mar 2026'!$A$8:$F$206,6,FALSE)</f>
        <v>Chq Bk</v>
      </c>
      <c r="G131" s="33"/>
      <c r="H131" s="221">
        <v>0</v>
      </c>
      <c r="I131" s="221">
        <v>0</v>
      </c>
      <c r="J131" s="221">
        <v>0</v>
      </c>
      <c r="K131" s="221">
        <f t="shared" si="4"/>
        <v>0</v>
      </c>
      <c r="L131" s="294"/>
      <c r="M131" s="282"/>
      <c r="N131" s="249">
        <v>0</v>
      </c>
      <c r="O131" s="249">
        <v>0</v>
      </c>
      <c r="P131" s="250">
        <f t="shared" si="5"/>
        <v>0</v>
      </c>
      <c r="S131" s="221">
        <v>0</v>
      </c>
      <c r="T131" s="221">
        <v>0</v>
      </c>
      <c r="U131" s="221">
        <v>0</v>
      </c>
      <c r="V131" s="221"/>
      <c r="X131" s="221"/>
      <c r="Y131" s="221"/>
      <c r="AA131" s="221"/>
      <c r="AB131" s="221"/>
      <c r="AC131" s="221"/>
      <c r="AE131" s="249"/>
      <c r="AF131" s="249">
        <v>0</v>
      </c>
      <c r="AG131" s="249">
        <v>0</v>
      </c>
      <c r="AH131" s="249"/>
      <c r="AI131" s="873">
        <v>0</v>
      </c>
      <c r="AJ131" s="873">
        <v>0</v>
      </c>
      <c r="AL131" s="223">
        <f t="shared" si="6"/>
        <v>0</v>
      </c>
      <c r="AM131" s="223">
        <f t="shared" si="7"/>
        <v>0</v>
      </c>
    </row>
    <row r="132" spans="1:39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3" t="str">
        <f>VLOOKUP(A132,'Summary Mar 2026'!$A$8:$F$206,6,FALSE)</f>
        <v>Chq Bk</v>
      </c>
      <c r="G132" s="33"/>
      <c r="H132" s="221">
        <v>0</v>
      </c>
      <c r="I132" s="221">
        <v>0</v>
      </c>
      <c r="J132" s="221">
        <v>0</v>
      </c>
      <c r="K132" s="221">
        <f t="shared" si="4"/>
        <v>0</v>
      </c>
      <c r="L132" s="294"/>
      <c r="M132" s="282"/>
      <c r="N132" s="249">
        <v>0</v>
      </c>
      <c r="O132" s="249">
        <v>0</v>
      </c>
      <c r="P132" s="250">
        <f t="shared" si="5"/>
        <v>0</v>
      </c>
      <c r="S132" s="221">
        <v>0</v>
      </c>
      <c r="T132" s="221">
        <v>0</v>
      </c>
      <c r="U132" s="221">
        <v>0</v>
      </c>
      <c r="V132" s="221"/>
      <c r="X132" s="221"/>
      <c r="Y132" s="221"/>
      <c r="AA132" s="221"/>
      <c r="AB132" s="221"/>
      <c r="AC132" s="221"/>
      <c r="AE132" s="249"/>
      <c r="AF132" s="249">
        <v>0</v>
      </c>
      <c r="AG132" s="249">
        <v>0</v>
      </c>
      <c r="AH132" s="249"/>
      <c r="AI132" s="873">
        <v>0</v>
      </c>
      <c r="AJ132" s="873">
        <v>0</v>
      </c>
      <c r="AL132" s="223">
        <f t="shared" si="6"/>
        <v>0</v>
      </c>
      <c r="AM132" s="223">
        <f t="shared" si="7"/>
        <v>0</v>
      </c>
    </row>
    <row r="133" spans="1:39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3" t="str">
        <f>VLOOKUP(A133,'Summary Mar 2026'!$A$8:$F$206,6,FALSE)</f>
        <v>Chq Bk</v>
      </c>
      <c r="G133" s="33"/>
      <c r="H133" s="221">
        <v>0</v>
      </c>
      <c r="I133" s="221">
        <v>0</v>
      </c>
      <c r="J133" s="221">
        <v>0</v>
      </c>
      <c r="K133" s="221">
        <f t="shared" si="4"/>
        <v>0</v>
      </c>
      <c r="L133" s="294"/>
      <c r="M133" s="282"/>
      <c r="N133" s="249">
        <v>0</v>
      </c>
      <c r="O133" s="249">
        <v>0</v>
      </c>
      <c r="P133" s="250">
        <f t="shared" si="5"/>
        <v>0</v>
      </c>
      <c r="S133" s="221">
        <v>0</v>
      </c>
      <c r="T133" s="221">
        <v>0</v>
      </c>
      <c r="U133" s="221">
        <v>0</v>
      </c>
      <c r="V133" s="221"/>
      <c r="X133" s="221"/>
      <c r="Y133" s="221"/>
      <c r="AA133" s="221"/>
      <c r="AB133" s="221"/>
      <c r="AC133" s="221"/>
      <c r="AE133" s="249"/>
      <c r="AF133" s="249">
        <v>0</v>
      </c>
      <c r="AG133" s="249">
        <v>0</v>
      </c>
      <c r="AH133" s="249"/>
      <c r="AI133" s="873">
        <v>0</v>
      </c>
      <c r="AJ133" s="873">
        <v>0</v>
      </c>
      <c r="AL133" s="223">
        <f t="shared" si="6"/>
        <v>0</v>
      </c>
      <c r="AM133" s="223">
        <f t="shared" si="7"/>
        <v>0</v>
      </c>
    </row>
    <row r="134" spans="1:39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3" t="str">
        <f>VLOOKUP(A134,'Summary Mar 2026'!$A$8:$F$206,6,FALSE)</f>
        <v>Chq Bk</v>
      </c>
      <c r="G134" s="33"/>
      <c r="H134" s="221">
        <v>0</v>
      </c>
      <c r="I134" s="221">
        <v>0</v>
      </c>
      <c r="J134" s="221">
        <v>0</v>
      </c>
      <c r="K134" s="221">
        <f t="shared" si="4"/>
        <v>0</v>
      </c>
      <c r="L134" s="294"/>
      <c r="M134" s="282"/>
      <c r="N134" s="249">
        <v>0</v>
      </c>
      <c r="O134" s="249">
        <v>0</v>
      </c>
      <c r="P134" s="250">
        <f t="shared" si="5"/>
        <v>0</v>
      </c>
      <c r="S134" s="221">
        <v>0</v>
      </c>
      <c r="T134" s="221">
        <v>0</v>
      </c>
      <c r="U134" s="221">
        <v>0</v>
      </c>
      <c r="V134" s="221"/>
      <c r="X134" s="221"/>
      <c r="Y134" s="221"/>
      <c r="AA134" s="221"/>
      <c r="AB134" s="221"/>
      <c r="AC134" s="221"/>
      <c r="AE134" s="249"/>
      <c r="AF134" s="249">
        <v>0</v>
      </c>
      <c r="AG134" s="249">
        <v>0</v>
      </c>
      <c r="AH134" s="249"/>
      <c r="AI134" s="873">
        <v>0</v>
      </c>
      <c r="AJ134" s="873">
        <v>0</v>
      </c>
      <c r="AL134" s="223">
        <f t="shared" si="6"/>
        <v>0</v>
      </c>
      <c r="AM134" s="223">
        <f t="shared" si="7"/>
        <v>0</v>
      </c>
    </row>
    <row r="135" spans="1:39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3" t="str">
        <f>VLOOKUP(A135,'Summary Mar 2026'!$A$8:$F$206,6,FALSE)</f>
        <v>Chq Bk</v>
      </c>
      <c r="G135" s="33"/>
      <c r="H135" s="221">
        <v>0</v>
      </c>
      <c r="I135" s="221">
        <v>0</v>
      </c>
      <c r="J135" s="221">
        <v>0</v>
      </c>
      <c r="K135" s="221">
        <f t="shared" si="4"/>
        <v>0</v>
      </c>
      <c r="L135" s="294"/>
      <c r="M135" s="282"/>
      <c r="N135" s="249">
        <v>0</v>
      </c>
      <c r="O135" s="249">
        <v>0</v>
      </c>
      <c r="P135" s="250">
        <f t="shared" si="5"/>
        <v>0</v>
      </c>
      <c r="S135" s="221">
        <v>0</v>
      </c>
      <c r="T135" s="221">
        <v>0</v>
      </c>
      <c r="U135" s="221">
        <v>0</v>
      </c>
      <c r="V135" s="221"/>
      <c r="X135" s="221"/>
      <c r="Y135" s="221"/>
      <c r="AA135" s="221"/>
      <c r="AB135" s="221"/>
      <c r="AC135" s="221"/>
      <c r="AE135" s="249"/>
      <c r="AF135" s="249">
        <v>0</v>
      </c>
      <c r="AG135" s="249">
        <v>0</v>
      </c>
      <c r="AH135" s="249"/>
      <c r="AI135" s="873">
        <v>0</v>
      </c>
      <c r="AJ135" s="873">
        <v>0</v>
      </c>
      <c r="AL135" s="223">
        <f t="shared" si="6"/>
        <v>0</v>
      </c>
      <c r="AM135" s="223">
        <f t="shared" si="7"/>
        <v>0</v>
      </c>
    </row>
    <row r="136" spans="1:39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3" t="str">
        <f>VLOOKUP(A136,'Summary Mar 2026'!$A$8:$F$206,6,FALSE)</f>
        <v>Chq Bk</v>
      </c>
      <c r="G136" s="33"/>
      <c r="H136" s="221">
        <v>0</v>
      </c>
      <c r="I136" s="221">
        <v>0</v>
      </c>
      <c r="J136" s="221">
        <v>0</v>
      </c>
      <c r="K136" s="221">
        <f t="shared" si="4"/>
        <v>0</v>
      </c>
      <c r="L136" s="294"/>
      <c r="M136" s="282"/>
      <c r="N136" s="249">
        <v>0</v>
      </c>
      <c r="O136" s="249">
        <v>0</v>
      </c>
      <c r="P136" s="250">
        <f t="shared" si="5"/>
        <v>0</v>
      </c>
      <c r="S136" s="221">
        <v>0</v>
      </c>
      <c r="T136" s="221">
        <v>0</v>
      </c>
      <c r="U136" s="221">
        <v>0</v>
      </c>
      <c r="V136" s="221"/>
      <c r="X136" s="221"/>
      <c r="Y136" s="221"/>
      <c r="AA136" s="221"/>
      <c r="AB136" s="221"/>
      <c r="AC136" s="221"/>
      <c r="AE136" s="249"/>
      <c r="AF136" s="249">
        <v>0</v>
      </c>
      <c r="AG136" s="249">
        <v>0</v>
      </c>
      <c r="AH136" s="249"/>
      <c r="AI136" s="873">
        <v>0</v>
      </c>
      <c r="AJ136" s="873">
        <v>0</v>
      </c>
      <c r="AL136" s="223">
        <f t="shared" si="6"/>
        <v>0</v>
      </c>
      <c r="AM136" s="223">
        <f t="shared" si="7"/>
        <v>0</v>
      </c>
    </row>
    <row r="137" spans="1:39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3" t="str">
        <f>VLOOKUP(A137,'Summary Mar 2026'!$A$8:$F$206,6,FALSE)</f>
        <v>Chq Bk</v>
      </c>
      <c r="G137" s="33"/>
      <c r="H137" s="221">
        <v>0</v>
      </c>
      <c r="I137" s="221">
        <v>0</v>
      </c>
      <c r="J137" s="221">
        <v>0</v>
      </c>
      <c r="K137" s="221">
        <f t="shared" ref="K137:K200" si="8">H137+I137+J137</f>
        <v>0</v>
      </c>
      <c r="L137" s="294"/>
      <c r="M137" s="282"/>
      <c r="N137" s="249">
        <v>0</v>
      </c>
      <c r="O137" s="249">
        <v>0</v>
      </c>
      <c r="P137" s="250">
        <f t="shared" ref="P137:P200" si="9">N137+O137</f>
        <v>0</v>
      </c>
      <c r="S137" s="221">
        <v>0</v>
      </c>
      <c r="T137" s="221">
        <v>0</v>
      </c>
      <c r="U137" s="221">
        <v>0</v>
      </c>
      <c r="V137" s="221"/>
      <c r="X137" s="221"/>
      <c r="Y137" s="221"/>
      <c r="AA137" s="221"/>
      <c r="AB137" s="221"/>
      <c r="AC137" s="221"/>
      <c r="AE137" s="249"/>
      <c r="AF137" s="249">
        <v>0</v>
      </c>
      <c r="AG137" s="249">
        <v>0</v>
      </c>
      <c r="AH137" s="249"/>
      <c r="AI137" s="873">
        <v>0</v>
      </c>
      <c r="AJ137" s="873">
        <v>0</v>
      </c>
      <c r="AL137" s="223">
        <f t="shared" ref="AL137:AL200" si="10">SUMIFS($H137:$K137,$H$3:$K$3,AL$7)+SUMIFS($N137:$P137,$N$3:$P$3,AL$7)+SUMIFS($S137:$V137,$S$3:$V$3,AL$7)+SUMIFS($X137:$AI137,$X$3:$AI$3,AL$7)</f>
        <v>0</v>
      </c>
      <c r="AM137" s="223">
        <f t="shared" ref="AM137:AM200" si="11">SUMIFS($H137:$K137,$H$3:$K$3,AM$7)+SUMIFS($N137:$P137,$N$3:$P$3,AM$7)+SUMIFS($S137:$V137,$S$3:$V$3,AM$7)+SUMIFS($X137:$AJ137,$X$3:$AJ$3,AM$7)</f>
        <v>0</v>
      </c>
    </row>
    <row r="138" spans="1:39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3" t="str">
        <f>VLOOKUP(A138,'Summary Mar 2026'!$A$8:$F$206,6,FALSE)</f>
        <v>Chq Bk</v>
      </c>
      <c r="G138" s="33"/>
      <c r="H138" s="221">
        <v>0</v>
      </c>
      <c r="I138" s="221">
        <v>0</v>
      </c>
      <c r="J138" s="221">
        <v>0</v>
      </c>
      <c r="K138" s="221">
        <f t="shared" si="8"/>
        <v>0</v>
      </c>
      <c r="L138" s="294"/>
      <c r="M138" s="282"/>
      <c r="N138" s="249">
        <v>0</v>
      </c>
      <c r="O138" s="249">
        <v>0</v>
      </c>
      <c r="P138" s="250">
        <f t="shared" si="9"/>
        <v>0</v>
      </c>
      <c r="S138" s="221">
        <v>0</v>
      </c>
      <c r="T138" s="221">
        <v>0</v>
      </c>
      <c r="U138" s="221">
        <v>0</v>
      </c>
      <c r="V138" s="221"/>
      <c r="X138" s="221"/>
      <c r="Y138" s="221"/>
      <c r="AA138" s="221"/>
      <c r="AB138" s="221"/>
      <c r="AC138" s="221"/>
      <c r="AE138" s="249"/>
      <c r="AF138" s="249">
        <v>0</v>
      </c>
      <c r="AG138" s="249">
        <v>0</v>
      </c>
      <c r="AH138" s="249"/>
      <c r="AI138" s="873">
        <v>0</v>
      </c>
      <c r="AJ138" s="873">
        <v>0</v>
      </c>
      <c r="AL138" s="223">
        <f t="shared" si="10"/>
        <v>0</v>
      </c>
      <c r="AM138" s="223">
        <f t="shared" si="11"/>
        <v>0</v>
      </c>
    </row>
    <row r="139" spans="1:39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3" t="str">
        <f>VLOOKUP(A139,'Summary Mar 2026'!$A$8:$F$206,6,FALSE)</f>
        <v>Chq Bk</v>
      </c>
      <c r="G139" s="33"/>
      <c r="H139" s="221">
        <v>0</v>
      </c>
      <c r="I139" s="221">
        <v>0</v>
      </c>
      <c r="J139" s="221">
        <v>0</v>
      </c>
      <c r="K139" s="221">
        <f t="shared" si="8"/>
        <v>0</v>
      </c>
      <c r="L139" s="294"/>
      <c r="M139" s="282"/>
      <c r="N139" s="249">
        <v>0</v>
      </c>
      <c r="O139" s="249">
        <v>0</v>
      </c>
      <c r="P139" s="250">
        <f t="shared" si="9"/>
        <v>0</v>
      </c>
      <c r="S139" s="221">
        <v>0</v>
      </c>
      <c r="T139" s="221">
        <v>0</v>
      </c>
      <c r="U139" s="221">
        <v>0</v>
      </c>
      <c r="V139" s="221"/>
      <c r="X139" s="221"/>
      <c r="Y139" s="221"/>
      <c r="AA139" s="221"/>
      <c r="AB139" s="221"/>
      <c r="AC139" s="221"/>
      <c r="AE139" s="249"/>
      <c r="AF139" s="249">
        <v>0</v>
      </c>
      <c r="AG139" s="249">
        <v>0</v>
      </c>
      <c r="AH139" s="249"/>
      <c r="AI139" s="873">
        <v>0</v>
      </c>
      <c r="AJ139" s="873">
        <v>0</v>
      </c>
      <c r="AL139" s="223">
        <f t="shared" si="10"/>
        <v>0</v>
      </c>
      <c r="AM139" s="223">
        <f t="shared" si="11"/>
        <v>0</v>
      </c>
    </row>
    <row r="140" spans="1:39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3" t="str">
        <f>VLOOKUP(A140,'Summary Mar 2026'!$A$8:$F$206,6,FALSE)</f>
        <v>Chq Bk</v>
      </c>
      <c r="G140" s="33"/>
      <c r="H140" s="221">
        <v>0</v>
      </c>
      <c r="I140" s="221">
        <v>0</v>
      </c>
      <c r="J140" s="221">
        <v>0</v>
      </c>
      <c r="K140" s="221">
        <f t="shared" si="8"/>
        <v>0</v>
      </c>
      <c r="L140" s="294"/>
      <c r="M140" s="282"/>
      <c r="N140" s="249">
        <v>0</v>
      </c>
      <c r="O140" s="249">
        <v>0</v>
      </c>
      <c r="P140" s="250">
        <f t="shared" si="9"/>
        <v>0</v>
      </c>
      <c r="S140" s="221">
        <v>0</v>
      </c>
      <c r="T140" s="221">
        <v>0</v>
      </c>
      <c r="U140" s="221">
        <v>0</v>
      </c>
      <c r="V140" s="221"/>
      <c r="X140" s="221"/>
      <c r="Y140" s="221"/>
      <c r="AA140" s="221"/>
      <c r="AB140" s="221"/>
      <c r="AC140" s="221"/>
      <c r="AE140" s="249"/>
      <c r="AF140" s="249">
        <v>0</v>
      </c>
      <c r="AG140" s="249">
        <v>0</v>
      </c>
      <c r="AH140" s="249"/>
      <c r="AI140" s="873">
        <v>0</v>
      </c>
      <c r="AJ140" s="873">
        <v>0</v>
      </c>
      <c r="AL140" s="223">
        <f t="shared" si="10"/>
        <v>0</v>
      </c>
      <c r="AM140" s="223">
        <f t="shared" si="11"/>
        <v>0</v>
      </c>
    </row>
    <row r="141" spans="1:39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3" t="str">
        <f>VLOOKUP(A141,'Summary Mar 2026'!$A$8:$F$206,6,FALSE)</f>
        <v>Chq Bk</v>
      </c>
      <c r="G141" s="33"/>
      <c r="H141" s="221">
        <v>0</v>
      </c>
      <c r="I141" s="221">
        <v>0</v>
      </c>
      <c r="J141" s="221">
        <v>0</v>
      </c>
      <c r="K141" s="221">
        <f t="shared" si="8"/>
        <v>0</v>
      </c>
      <c r="L141" s="294"/>
      <c r="M141" s="282"/>
      <c r="N141" s="249">
        <v>0</v>
      </c>
      <c r="O141" s="249">
        <v>0</v>
      </c>
      <c r="P141" s="250">
        <f t="shared" si="9"/>
        <v>0</v>
      </c>
      <c r="S141" s="221">
        <v>0</v>
      </c>
      <c r="T141" s="221">
        <v>0</v>
      </c>
      <c r="U141" s="221">
        <v>0</v>
      </c>
      <c r="V141" s="221"/>
      <c r="X141" s="221"/>
      <c r="Y141" s="221"/>
      <c r="AA141" s="221"/>
      <c r="AB141" s="221"/>
      <c r="AC141" s="221"/>
      <c r="AE141" s="249"/>
      <c r="AF141" s="249">
        <v>0</v>
      </c>
      <c r="AG141" s="249">
        <v>0</v>
      </c>
      <c r="AH141" s="249"/>
      <c r="AI141" s="873">
        <v>0</v>
      </c>
      <c r="AJ141" s="873">
        <v>0</v>
      </c>
      <c r="AL141" s="223">
        <f t="shared" si="10"/>
        <v>0</v>
      </c>
      <c r="AM141" s="223">
        <f t="shared" si="11"/>
        <v>0</v>
      </c>
    </row>
    <row r="142" spans="1:39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3" t="str">
        <f>VLOOKUP(A142,'Summary Mar 2026'!$A$8:$F$206,6,FALSE)</f>
        <v>Chq Bk</v>
      </c>
      <c r="G142" s="33"/>
      <c r="H142" s="221">
        <v>0</v>
      </c>
      <c r="I142" s="221">
        <v>0</v>
      </c>
      <c r="J142" s="221">
        <v>0</v>
      </c>
      <c r="K142" s="221">
        <f t="shared" si="8"/>
        <v>0</v>
      </c>
      <c r="L142" s="294"/>
      <c r="M142" s="282"/>
      <c r="N142" s="249">
        <v>0</v>
      </c>
      <c r="O142" s="249">
        <v>0</v>
      </c>
      <c r="P142" s="250">
        <f t="shared" si="9"/>
        <v>0</v>
      </c>
      <c r="S142" s="221">
        <v>0</v>
      </c>
      <c r="T142" s="221">
        <v>0</v>
      </c>
      <c r="U142" s="221">
        <v>0</v>
      </c>
      <c r="V142" s="221"/>
      <c r="X142" s="221"/>
      <c r="Y142" s="221"/>
      <c r="AA142" s="221"/>
      <c r="AB142" s="221"/>
      <c r="AC142" s="221"/>
      <c r="AE142" s="249"/>
      <c r="AF142" s="249">
        <v>0</v>
      </c>
      <c r="AG142" s="249">
        <v>0</v>
      </c>
      <c r="AH142" s="249"/>
      <c r="AI142" s="873">
        <v>0</v>
      </c>
      <c r="AJ142" s="873">
        <v>0</v>
      </c>
      <c r="AL142" s="223">
        <f t="shared" si="10"/>
        <v>0</v>
      </c>
      <c r="AM142" s="223">
        <f t="shared" si="11"/>
        <v>0</v>
      </c>
    </row>
    <row r="143" spans="1:39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3" t="str">
        <f>VLOOKUP(A143,'Summary Mar 2026'!$A$8:$F$206,6,FALSE)</f>
        <v>Chq Bk</v>
      </c>
      <c r="G143" s="33"/>
      <c r="H143" s="221">
        <v>0</v>
      </c>
      <c r="I143" s="221">
        <v>0</v>
      </c>
      <c r="J143" s="221">
        <v>0</v>
      </c>
      <c r="K143" s="221">
        <f t="shared" si="8"/>
        <v>0</v>
      </c>
      <c r="L143" s="294"/>
      <c r="M143" s="282"/>
      <c r="N143" s="249">
        <v>0</v>
      </c>
      <c r="O143" s="249">
        <v>0</v>
      </c>
      <c r="P143" s="250">
        <f t="shared" si="9"/>
        <v>0</v>
      </c>
      <c r="S143" s="221">
        <v>0</v>
      </c>
      <c r="T143" s="221">
        <v>0</v>
      </c>
      <c r="U143" s="221">
        <v>0</v>
      </c>
      <c r="V143" s="221"/>
      <c r="X143" s="221"/>
      <c r="Y143" s="221"/>
      <c r="AA143" s="221"/>
      <c r="AB143" s="221"/>
      <c r="AC143" s="221"/>
      <c r="AE143" s="249"/>
      <c r="AF143" s="249">
        <v>0</v>
      </c>
      <c r="AG143" s="249">
        <v>0</v>
      </c>
      <c r="AH143" s="249"/>
      <c r="AI143" s="873">
        <v>0</v>
      </c>
      <c r="AJ143" s="873">
        <v>0</v>
      </c>
      <c r="AL143" s="223">
        <f t="shared" si="10"/>
        <v>0</v>
      </c>
      <c r="AM143" s="223">
        <f t="shared" si="11"/>
        <v>0</v>
      </c>
    </row>
    <row r="144" spans="1:39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3" t="str">
        <f>VLOOKUP(A144,'Summary Mar 2026'!$A$8:$F$206,6,FALSE)</f>
        <v>Chq Bk</v>
      </c>
      <c r="G144" s="33"/>
      <c r="H144" s="221">
        <v>1658250</v>
      </c>
      <c r="I144" s="221">
        <v>1152182.6784047389</v>
      </c>
      <c r="J144" s="221">
        <v>99000</v>
      </c>
      <c r="K144" s="221">
        <f t="shared" si="8"/>
        <v>2909432.6784047391</v>
      </c>
      <c r="L144" s="294"/>
      <c r="M144" s="282"/>
      <c r="N144" s="249">
        <v>0</v>
      </c>
      <c r="O144" s="249">
        <v>0</v>
      </c>
      <c r="P144" s="250">
        <f t="shared" si="9"/>
        <v>0</v>
      </c>
      <c r="S144" s="221">
        <v>103846.15384615384</v>
      </c>
      <c r="T144" s="221">
        <v>85526</v>
      </c>
      <c r="U144" s="221">
        <v>0</v>
      </c>
      <c r="V144" s="221"/>
      <c r="X144" s="221"/>
      <c r="Y144" s="221"/>
      <c r="AA144" s="221"/>
      <c r="AB144" s="221"/>
      <c r="AC144" s="221"/>
      <c r="AE144" s="249"/>
      <c r="AF144" s="249">
        <v>0</v>
      </c>
      <c r="AG144" s="249">
        <v>114669.65652604587</v>
      </c>
      <c r="AH144" s="249"/>
      <c r="AI144" s="873">
        <v>135000</v>
      </c>
      <c r="AJ144" s="873">
        <v>0</v>
      </c>
      <c r="AL144" s="223">
        <f t="shared" si="10"/>
        <v>1658250</v>
      </c>
      <c r="AM144" s="223">
        <f t="shared" si="11"/>
        <v>1690224.4887769385</v>
      </c>
    </row>
    <row r="145" spans="1:39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3" t="str">
        <f>VLOOKUP(A145,'Summary Mar 2026'!$A$8:$F$206,6,FALSE)</f>
        <v>Academy</v>
      </c>
      <c r="G145" s="33"/>
      <c r="H145" s="221">
        <v>0</v>
      </c>
      <c r="I145" s="221">
        <v>0</v>
      </c>
      <c r="J145" s="221">
        <v>0</v>
      </c>
      <c r="K145" s="221">
        <f t="shared" si="8"/>
        <v>0</v>
      </c>
      <c r="L145" s="294"/>
      <c r="M145" s="282"/>
      <c r="N145" s="249">
        <v>0</v>
      </c>
      <c r="O145" s="249">
        <v>0</v>
      </c>
      <c r="P145" s="250">
        <f t="shared" si="9"/>
        <v>0</v>
      </c>
      <c r="S145" s="221">
        <v>0</v>
      </c>
      <c r="T145" s="221">
        <v>0</v>
      </c>
      <c r="U145" s="221">
        <v>0</v>
      </c>
      <c r="V145" s="221"/>
      <c r="X145" s="221"/>
      <c r="Y145" s="221"/>
      <c r="AA145" s="221"/>
      <c r="AB145" s="221"/>
      <c r="AC145" s="221"/>
      <c r="AE145" s="249"/>
      <c r="AF145" s="249">
        <v>0</v>
      </c>
      <c r="AG145" s="249">
        <v>0</v>
      </c>
      <c r="AH145" s="249"/>
      <c r="AI145" s="873">
        <v>0</v>
      </c>
      <c r="AJ145" s="873">
        <v>0</v>
      </c>
      <c r="AL145" s="223">
        <f t="shared" si="10"/>
        <v>0</v>
      </c>
      <c r="AM145" s="223">
        <f t="shared" si="11"/>
        <v>0</v>
      </c>
    </row>
    <row r="146" spans="1:39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3" t="str">
        <f>VLOOKUP(A146,'Summary Mar 2026'!$A$8:$F$206,6,FALSE)</f>
        <v>Chq Bk</v>
      </c>
      <c r="G146" s="33"/>
      <c r="H146" s="221">
        <v>2984850</v>
      </c>
      <c r="I146" s="221">
        <v>2751373.9893026031</v>
      </c>
      <c r="J146" s="221">
        <v>178200</v>
      </c>
      <c r="K146" s="221">
        <f t="shared" si="8"/>
        <v>5914423.9893026035</v>
      </c>
      <c r="L146" s="294"/>
      <c r="M146" s="282"/>
      <c r="N146" s="249">
        <v>0</v>
      </c>
      <c r="O146" s="249">
        <v>0</v>
      </c>
      <c r="P146" s="250">
        <f t="shared" si="9"/>
        <v>0</v>
      </c>
      <c r="S146" s="221">
        <v>138461.53846153861</v>
      </c>
      <c r="T146" s="221">
        <v>19596</v>
      </c>
      <c r="U146" s="221">
        <v>0</v>
      </c>
      <c r="V146" s="221"/>
      <c r="X146" s="221"/>
      <c r="Y146" s="221"/>
      <c r="AA146" s="221"/>
      <c r="AB146" s="221"/>
      <c r="AC146" s="221"/>
      <c r="AE146" s="249"/>
      <c r="AF146" s="249">
        <v>0</v>
      </c>
      <c r="AG146" s="249">
        <v>189440.88219113229</v>
      </c>
      <c r="AH146" s="249"/>
      <c r="AI146" s="873">
        <v>100000</v>
      </c>
      <c r="AJ146" s="873">
        <v>0</v>
      </c>
      <c r="AL146" s="223">
        <f t="shared" si="10"/>
        <v>2984850</v>
      </c>
      <c r="AM146" s="223">
        <f t="shared" si="11"/>
        <v>3377072.4099552738</v>
      </c>
    </row>
    <row r="147" spans="1:39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3" t="str">
        <f>VLOOKUP(A147,'Summary Mar 2026'!$A$8:$F$206,6,FALSE)</f>
        <v>Chq Bk</v>
      </c>
      <c r="G147" s="33"/>
      <c r="H147" s="221">
        <v>0</v>
      </c>
      <c r="I147" s="221">
        <v>0</v>
      </c>
      <c r="J147" s="221">
        <v>0</v>
      </c>
      <c r="K147" s="221">
        <f t="shared" si="8"/>
        <v>0</v>
      </c>
      <c r="L147" s="294"/>
      <c r="M147" s="282"/>
      <c r="N147" s="249">
        <v>0</v>
      </c>
      <c r="O147" s="249">
        <v>0</v>
      </c>
      <c r="P147" s="250">
        <f t="shared" si="9"/>
        <v>0</v>
      </c>
      <c r="S147" s="221">
        <v>0</v>
      </c>
      <c r="T147" s="221">
        <v>0</v>
      </c>
      <c r="U147" s="221">
        <v>0</v>
      </c>
      <c r="V147" s="221"/>
      <c r="X147" s="221"/>
      <c r="Y147" s="221"/>
      <c r="AA147" s="221"/>
      <c r="AB147" s="221"/>
      <c r="AC147" s="221"/>
      <c r="AE147" s="249"/>
      <c r="AF147" s="249">
        <v>0</v>
      </c>
      <c r="AG147" s="249">
        <v>0</v>
      </c>
      <c r="AH147" s="249"/>
      <c r="AI147" s="873">
        <v>0</v>
      </c>
      <c r="AJ147" s="873">
        <v>0</v>
      </c>
      <c r="AL147" s="223">
        <f t="shared" si="10"/>
        <v>0</v>
      </c>
      <c r="AM147" s="223">
        <f t="shared" si="11"/>
        <v>0</v>
      </c>
    </row>
    <row r="148" spans="1:39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3" t="str">
        <f>VLOOKUP(A148,'Summary Mar 2026'!$A$8:$F$206,6,FALSE)</f>
        <v>Chq Bk</v>
      </c>
      <c r="G148" s="33"/>
      <c r="H148" s="221">
        <v>3095400</v>
      </c>
      <c r="I148" s="221">
        <v>3380851.3862180552</v>
      </c>
      <c r="J148" s="221">
        <v>191400</v>
      </c>
      <c r="K148" s="221">
        <f t="shared" si="8"/>
        <v>6667651.3862180552</v>
      </c>
      <c r="L148" s="294"/>
      <c r="M148" s="282"/>
      <c r="N148" s="249">
        <v>0</v>
      </c>
      <c r="O148" s="249">
        <v>0</v>
      </c>
      <c r="P148" s="250">
        <f t="shared" si="9"/>
        <v>0</v>
      </c>
      <c r="S148" s="221">
        <v>514221.15384615352</v>
      </c>
      <c r="T148" s="221">
        <v>57514</v>
      </c>
      <c r="U148" s="221">
        <v>0</v>
      </c>
      <c r="V148" s="221"/>
      <c r="X148" s="221"/>
      <c r="Y148" s="221"/>
      <c r="AA148" s="221"/>
      <c r="AB148" s="221"/>
      <c r="AC148" s="221"/>
      <c r="AE148" s="249"/>
      <c r="AF148" s="249">
        <v>110550</v>
      </c>
      <c r="AG148" s="249">
        <v>516846.44551338302</v>
      </c>
      <c r="AH148" s="249"/>
      <c r="AI148" s="873">
        <v>26642.42</v>
      </c>
      <c r="AJ148" s="873">
        <v>0</v>
      </c>
      <c r="AL148" s="223">
        <f t="shared" si="10"/>
        <v>3205950</v>
      </c>
      <c r="AM148" s="223">
        <f t="shared" si="11"/>
        <v>4687475.4055775916</v>
      </c>
    </row>
    <row r="149" spans="1:39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3" t="str">
        <f>VLOOKUP(A149,'Summary Mar 2026'!$A$8:$F$206,6,FALSE)</f>
        <v>Chq Bk</v>
      </c>
      <c r="G149" s="33"/>
      <c r="H149" s="221">
        <v>2520540</v>
      </c>
      <c r="I149" s="221">
        <v>2284046.7826052448</v>
      </c>
      <c r="J149" s="221">
        <v>150480</v>
      </c>
      <c r="K149" s="221">
        <f t="shared" si="8"/>
        <v>4955066.7826052448</v>
      </c>
      <c r="L149" s="294"/>
      <c r="M149" s="282"/>
      <c r="N149" s="249">
        <v>0</v>
      </c>
      <c r="O149" s="249">
        <v>0</v>
      </c>
      <c r="P149" s="250">
        <f t="shared" si="9"/>
        <v>0</v>
      </c>
      <c r="S149" s="221">
        <v>996633.26923076878</v>
      </c>
      <c r="T149" s="221">
        <v>33152</v>
      </c>
      <c r="U149" s="221">
        <v>0</v>
      </c>
      <c r="V149" s="221"/>
      <c r="X149" s="221"/>
      <c r="Y149" s="221"/>
      <c r="AA149" s="221"/>
      <c r="AB149" s="221"/>
      <c r="AC149" s="221"/>
      <c r="AE149" s="249"/>
      <c r="AF149" s="249">
        <v>0</v>
      </c>
      <c r="AG149" s="249">
        <v>-80000</v>
      </c>
      <c r="AH149" s="249"/>
      <c r="AI149" s="873">
        <v>-57488.43</v>
      </c>
      <c r="AJ149" s="873">
        <v>0</v>
      </c>
      <c r="AL149" s="223">
        <f t="shared" si="10"/>
        <v>2520540</v>
      </c>
      <c r="AM149" s="223">
        <f t="shared" si="11"/>
        <v>3326823.6218360136</v>
      </c>
    </row>
    <row r="150" spans="1:39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3" t="str">
        <f>VLOOKUP(A150,'Summary Mar 2026'!$A$8:$F$206,6,FALSE)</f>
        <v>Chq Bk</v>
      </c>
      <c r="G150" s="33"/>
      <c r="H150" s="221">
        <v>0</v>
      </c>
      <c r="I150" s="221">
        <v>0</v>
      </c>
      <c r="J150" s="221">
        <v>0</v>
      </c>
      <c r="K150" s="221">
        <f t="shared" si="8"/>
        <v>0</v>
      </c>
      <c r="L150" s="294"/>
      <c r="M150" s="282"/>
      <c r="N150" s="249">
        <v>0</v>
      </c>
      <c r="O150" s="249">
        <v>0</v>
      </c>
      <c r="P150" s="250">
        <f t="shared" si="9"/>
        <v>0</v>
      </c>
      <c r="S150" s="221">
        <v>0</v>
      </c>
      <c r="T150" s="221">
        <v>0</v>
      </c>
      <c r="U150" s="221">
        <v>0</v>
      </c>
      <c r="V150" s="221"/>
      <c r="X150" s="221"/>
      <c r="Y150" s="221"/>
      <c r="AA150" s="221"/>
      <c r="AB150" s="221"/>
      <c r="AC150" s="221"/>
      <c r="AE150" s="249"/>
      <c r="AF150" s="249">
        <v>0</v>
      </c>
      <c r="AG150" s="249">
        <v>0</v>
      </c>
      <c r="AH150" s="249"/>
      <c r="AI150" s="873">
        <v>0</v>
      </c>
      <c r="AJ150" s="873">
        <v>0</v>
      </c>
      <c r="AL150" s="223">
        <f t="shared" si="10"/>
        <v>0</v>
      </c>
      <c r="AM150" s="223">
        <f t="shared" si="11"/>
        <v>0</v>
      </c>
    </row>
    <row r="151" spans="1:39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3" t="str">
        <f>VLOOKUP(A151,'Summary Mar 2026'!$A$8:$F$206,6,FALSE)</f>
        <v>Chq Bk</v>
      </c>
      <c r="G151" s="33"/>
      <c r="H151" s="221">
        <v>0</v>
      </c>
      <c r="I151" s="221">
        <v>0</v>
      </c>
      <c r="J151" s="221">
        <v>0</v>
      </c>
      <c r="K151" s="221">
        <f t="shared" si="8"/>
        <v>0</v>
      </c>
      <c r="L151" s="294"/>
      <c r="M151" s="282"/>
      <c r="N151" s="249">
        <v>0</v>
      </c>
      <c r="O151" s="249">
        <v>0</v>
      </c>
      <c r="P151" s="250">
        <f t="shared" si="9"/>
        <v>0</v>
      </c>
      <c r="S151" s="221">
        <v>0</v>
      </c>
      <c r="T151" s="221">
        <v>0</v>
      </c>
      <c r="U151" s="221">
        <v>0</v>
      </c>
      <c r="V151" s="221"/>
      <c r="X151" s="221"/>
      <c r="Y151" s="221"/>
      <c r="AA151" s="221"/>
      <c r="AB151" s="221"/>
      <c r="AC151" s="221"/>
      <c r="AE151" s="249"/>
      <c r="AF151" s="249">
        <v>0</v>
      </c>
      <c r="AG151" s="249">
        <v>0</v>
      </c>
      <c r="AH151" s="249"/>
      <c r="AI151" s="873">
        <v>0</v>
      </c>
      <c r="AJ151" s="873">
        <v>0</v>
      </c>
      <c r="AL151" s="223">
        <f t="shared" si="10"/>
        <v>0</v>
      </c>
      <c r="AM151" s="223">
        <f t="shared" si="11"/>
        <v>0</v>
      </c>
    </row>
    <row r="152" spans="1:39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3" t="str">
        <f>VLOOKUP(A152,'Summary Mar 2026'!$A$8:$F$206,6,FALSE)</f>
        <v>Chq Bk</v>
      </c>
      <c r="G152" s="33"/>
      <c r="H152" s="221">
        <v>0</v>
      </c>
      <c r="I152" s="221">
        <v>0</v>
      </c>
      <c r="J152" s="221">
        <v>0</v>
      </c>
      <c r="K152" s="221">
        <f t="shared" si="8"/>
        <v>0</v>
      </c>
      <c r="L152" s="294"/>
      <c r="M152" s="282"/>
      <c r="N152" s="249">
        <v>108000</v>
      </c>
      <c r="O152" s="249">
        <v>187865.65</v>
      </c>
      <c r="P152" s="250">
        <f t="shared" si="9"/>
        <v>295865.65000000002</v>
      </c>
      <c r="S152" s="221">
        <v>0</v>
      </c>
      <c r="T152" s="221">
        <v>0</v>
      </c>
      <c r="U152" s="221">
        <v>0</v>
      </c>
      <c r="V152" s="221"/>
      <c r="X152" s="221"/>
      <c r="Y152" s="221"/>
      <c r="AA152" s="221"/>
      <c r="AB152" s="221"/>
      <c r="AC152" s="221"/>
      <c r="AE152" s="249"/>
      <c r="AF152" s="249">
        <v>0</v>
      </c>
      <c r="AG152" s="249">
        <v>0</v>
      </c>
      <c r="AH152" s="249"/>
      <c r="AI152" s="873">
        <v>0</v>
      </c>
      <c r="AJ152" s="873">
        <v>-6140.49</v>
      </c>
      <c r="AL152" s="223">
        <f t="shared" si="10"/>
        <v>108000</v>
      </c>
      <c r="AM152" s="223">
        <f t="shared" si="11"/>
        <v>181725.16</v>
      </c>
    </row>
    <row r="153" spans="1:39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3" t="str">
        <f>VLOOKUP(A153,'Summary Mar 2026'!$A$8:$F$206,6,FALSE)</f>
        <v>Chq Bk</v>
      </c>
      <c r="G153" s="33"/>
      <c r="H153" s="221">
        <v>0</v>
      </c>
      <c r="I153" s="221">
        <v>0</v>
      </c>
      <c r="J153" s="221">
        <v>0</v>
      </c>
      <c r="K153" s="221">
        <f t="shared" si="8"/>
        <v>0</v>
      </c>
      <c r="L153" s="294"/>
      <c r="M153" s="282"/>
      <c r="N153" s="249">
        <v>0</v>
      </c>
      <c r="O153" s="249">
        <v>0</v>
      </c>
      <c r="P153" s="250">
        <f t="shared" si="9"/>
        <v>0</v>
      </c>
      <c r="S153" s="221">
        <v>0</v>
      </c>
      <c r="T153" s="221">
        <v>0</v>
      </c>
      <c r="U153" s="221">
        <v>0</v>
      </c>
      <c r="V153" s="221"/>
      <c r="X153" s="221"/>
      <c r="Y153" s="221"/>
      <c r="AA153" s="221"/>
      <c r="AB153" s="221"/>
      <c r="AC153" s="221"/>
      <c r="AE153" s="249"/>
      <c r="AF153" s="249">
        <v>0</v>
      </c>
      <c r="AG153" s="249">
        <v>0</v>
      </c>
      <c r="AH153" s="249"/>
      <c r="AI153" s="873">
        <v>0</v>
      </c>
      <c r="AJ153" s="873">
        <v>0</v>
      </c>
      <c r="AL153" s="223">
        <f t="shared" si="10"/>
        <v>0</v>
      </c>
      <c r="AM153" s="223">
        <f t="shared" si="11"/>
        <v>0</v>
      </c>
    </row>
    <row r="154" spans="1:39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3" t="str">
        <f>VLOOKUP(A154,'Summary Mar 2026'!$A$8:$F$206,6,FALSE)</f>
        <v>Chq Bk</v>
      </c>
      <c r="G154" s="33"/>
      <c r="H154" s="221">
        <v>0</v>
      </c>
      <c r="I154" s="221">
        <v>0</v>
      </c>
      <c r="J154" s="221">
        <v>0</v>
      </c>
      <c r="K154" s="221">
        <f t="shared" si="8"/>
        <v>0</v>
      </c>
      <c r="L154" s="294"/>
      <c r="M154" s="282"/>
      <c r="N154" s="249">
        <v>0</v>
      </c>
      <c r="O154" s="249">
        <v>0</v>
      </c>
      <c r="P154" s="250">
        <f t="shared" si="9"/>
        <v>0</v>
      </c>
      <c r="S154" s="221">
        <v>0</v>
      </c>
      <c r="T154" s="221">
        <v>0</v>
      </c>
      <c r="U154" s="221">
        <v>0</v>
      </c>
      <c r="V154" s="221"/>
      <c r="X154" s="221"/>
      <c r="Y154" s="221"/>
      <c r="AA154" s="221"/>
      <c r="AB154" s="221"/>
      <c r="AC154" s="221"/>
      <c r="AE154" s="249"/>
      <c r="AF154" s="249">
        <v>0</v>
      </c>
      <c r="AG154" s="249">
        <v>0</v>
      </c>
      <c r="AH154" s="249"/>
      <c r="AI154" s="873">
        <v>0</v>
      </c>
      <c r="AJ154" s="873">
        <v>0</v>
      </c>
      <c r="AL154" s="223">
        <f t="shared" si="10"/>
        <v>0</v>
      </c>
      <c r="AM154" s="223">
        <f t="shared" si="11"/>
        <v>0</v>
      </c>
    </row>
    <row r="155" spans="1:39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3" t="str">
        <f>VLOOKUP(A155,'Summary Mar 2026'!$A$8:$F$206,6,FALSE)</f>
        <v>Chq Bk</v>
      </c>
      <c r="G155" s="33"/>
      <c r="H155" s="221">
        <v>0</v>
      </c>
      <c r="I155" s="221">
        <v>0</v>
      </c>
      <c r="J155" s="221">
        <v>0</v>
      </c>
      <c r="K155" s="221">
        <f t="shared" si="8"/>
        <v>0</v>
      </c>
      <c r="L155" s="294"/>
      <c r="M155" s="282"/>
      <c r="N155" s="249">
        <v>72000</v>
      </c>
      <c r="O155" s="249">
        <v>130284.09999999998</v>
      </c>
      <c r="P155" s="250">
        <f t="shared" si="9"/>
        <v>202284.09999999998</v>
      </c>
      <c r="S155" s="221">
        <v>0</v>
      </c>
      <c r="T155" s="221">
        <v>0</v>
      </c>
      <c r="U155" s="221">
        <v>0</v>
      </c>
      <c r="V155" s="221"/>
      <c r="X155" s="221"/>
      <c r="Y155" s="221"/>
      <c r="AA155" s="221"/>
      <c r="AB155" s="221"/>
      <c r="AC155" s="221"/>
      <c r="AE155" s="249"/>
      <c r="AF155" s="249">
        <v>0</v>
      </c>
      <c r="AG155" s="249">
        <v>0</v>
      </c>
      <c r="AH155" s="249"/>
      <c r="AI155" s="873">
        <v>0</v>
      </c>
      <c r="AJ155" s="873">
        <v>-20582.330000000002</v>
      </c>
      <c r="AL155" s="223">
        <f t="shared" si="10"/>
        <v>72000</v>
      </c>
      <c r="AM155" s="223">
        <f t="shared" si="11"/>
        <v>109701.76999999997</v>
      </c>
    </row>
    <row r="156" spans="1:39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3" t="str">
        <f>VLOOKUP(A156,'Summary Mar 2026'!$A$8:$F$206,6,FALSE)</f>
        <v>Chq Bk</v>
      </c>
      <c r="G156" s="33"/>
      <c r="H156" s="221">
        <v>0</v>
      </c>
      <c r="I156" s="221">
        <v>0</v>
      </c>
      <c r="J156" s="221">
        <v>0</v>
      </c>
      <c r="K156" s="221">
        <f t="shared" si="8"/>
        <v>0</v>
      </c>
      <c r="L156" s="294"/>
      <c r="M156" s="282"/>
      <c r="N156" s="249">
        <v>0</v>
      </c>
      <c r="O156" s="249">
        <v>0</v>
      </c>
      <c r="P156" s="250">
        <f t="shared" si="9"/>
        <v>0</v>
      </c>
      <c r="S156" s="221">
        <v>0</v>
      </c>
      <c r="T156" s="221">
        <v>0</v>
      </c>
      <c r="U156" s="221">
        <v>0</v>
      </c>
      <c r="V156" s="221"/>
      <c r="X156" s="221"/>
      <c r="Y156" s="221"/>
      <c r="AA156" s="221"/>
      <c r="AB156" s="221"/>
      <c r="AC156" s="221"/>
      <c r="AE156" s="249"/>
      <c r="AF156" s="249">
        <v>0</v>
      </c>
      <c r="AG156" s="249">
        <v>0</v>
      </c>
      <c r="AH156" s="249"/>
      <c r="AI156" s="873">
        <v>0</v>
      </c>
      <c r="AJ156" s="873">
        <v>0</v>
      </c>
      <c r="AL156" s="223">
        <f t="shared" si="10"/>
        <v>0</v>
      </c>
      <c r="AM156" s="223">
        <f t="shared" si="11"/>
        <v>0</v>
      </c>
    </row>
    <row r="157" spans="1:39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3" t="str">
        <f>VLOOKUP(A157,'Summary Mar 2026'!$A$8:$F$206,6,FALSE)</f>
        <v>Chq Bk</v>
      </c>
      <c r="G157" s="33"/>
      <c r="H157" s="221">
        <v>0</v>
      </c>
      <c r="I157" s="221">
        <v>0</v>
      </c>
      <c r="J157" s="221">
        <v>0</v>
      </c>
      <c r="K157" s="221">
        <f t="shared" si="8"/>
        <v>0</v>
      </c>
      <c r="L157" s="294"/>
      <c r="M157" s="282"/>
      <c r="N157" s="249">
        <v>0</v>
      </c>
      <c r="O157" s="249">
        <v>0</v>
      </c>
      <c r="P157" s="250">
        <f t="shared" si="9"/>
        <v>0</v>
      </c>
      <c r="S157" s="221">
        <v>0</v>
      </c>
      <c r="T157" s="221">
        <v>0</v>
      </c>
      <c r="U157" s="221">
        <v>0</v>
      </c>
      <c r="V157" s="221"/>
      <c r="X157" s="221"/>
      <c r="Y157" s="221"/>
      <c r="AA157" s="221"/>
      <c r="AB157" s="221"/>
      <c r="AC157" s="221"/>
      <c r="AE157" s="249"/>
      <c r="AF157" s="249">
        <v>0</v>
      </c>
      <c r="AG157" s="249">
        <v>0</v>
      </c>
      <c r="AH157" s="249"/>
      <c r="AI157" s="873">
        <v>0</v>
      </c>
      <c r="AJ157" s="873">
        <v>0</v>
      </c>
      <c r="AL157" s="223">
        <f t="shared" si="10"/>
        <v>0</v>
      </c>
      <c r="AM157" s="223">
        <f t="shared" si="11"/>
        <v>0</v>
      </c>
    </row>
    <row r="158" spans="1:39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3" t="str">
        <f>VLOOKUP(A158,'Summary Mar 2026'!$A$8:$F$206,6,FALSE)</f>
        <v>Chq Bk</v>
      </c>
      <c r="G158" s="33"/>
      <c r="H158" s="221">
        <v>0</v>
      </c>
      <c r="I158" s="221">
        <v>0</v>
      </c>
      <c r="J158" s="221">
        <v>0</v>
      </c>
      <c r="K158" s="221">
        <f t="shared" si="8"/>
        <v>0</v>
      </c>
      <c r="L158" s="294"/>
      <c r="M158" s="282"/>
      <c r="N158" s="249">
        <v>0</v>
      </c>
      <c r="O158" s="249">
        <v>0</v>
      </c>
      <c r="P158" s="250">
        <f t="shared" si="9"/>
        <v>0</v>
      </c>
      <c r="S158" s="221">
        <v>0</v>
      </c>
      <c r="T158" s="221">
        <v>0</v>
      </c>
      <c r="U158" s="221">
        <v>0</v>
      </c>
      <c r="V158" s="221"/>
      <c r="X158" s="221"/>
      <c r="Y158" s="221"/>
      <c r="AA158" s="221"/>
      <c r="AB158" s="221"/>
      <c r="AC158" s="221"/>
      <c r="AE158" s="249"/>
      <c r="AF158" s="249">
        <v>0</v>
      </c>
      <c r="AG158" s="249">
        <v>0</v>
      </c>
      <c r="AH158" s="249"/>
      <c r="AI158" s="873">
        <v>0</v>
      </c>
      <c r="AJ158" s="873">
        <v>0</v>
      </c>
      <c r="AL158" s="223">
        <f t="shared" si="10"/>
        <v>0</v>
      </c>
      <c r="AM158" s="223">
        <f t="shared" si="11"/>
        <v>0</v>
      </c>
    </row>
    <row r="159" spans="1:39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3" t="str">
        <f>VLOOKUP(A159,'Summary Mar 2026'!$A$8:$F$206,6,FALSE)</f>
        <v>Chq Bk</v>
      </c>
      <c r="G159" s="33"/>
      <c r="H159" s="221">
        <v>0</v>
      </c>
      <c r="I159" s="221">
        <v>0</v>
      </c>
      <c r="J159" s="221">
        <v>0</v>
      </c>
      <c r="K159" s="221">
        <f t="shared" si="8"/>
        <v>0</v>
      </c>
      <c r="L159" s="294"/>
      <c r="M159" s="282"/>
      <c r="N159" s="249">
        <v>0</v>
      </c>
      <c r="O159" s="249">
        <v>0</v>
      </c>
      <c r="P159" s="250">
        <f t="shared" si="9"/>
        <v>0</v>
      </c>
      <c r="S159" s="221">
        <v>0</v>
      </c>
      <c r="T159" s="221">
        <v>0</v>
      </c>
      <c r="U159" s="221">
        <v>0</v>
      </c>
      <c r="V159" s="221"/>
      <c r="X159" s="221"/>
      <c r="Y159" s="221"/>
      <c r="AA159" s="221"/>
      <c r="AB159" s="221"/>
      <c r="AC159" s="221"/>
      <c r="AE159" s="249"/>
      <c r="AF159" s="249">
        <v>0</v>
      </c>
      <c r="AG159" s="249">
        <v>0</v>
      </c>
      <c r="AH159" s="249"/>
      <c r="AI159" s="873">
        <v>0</v>
      </c>
      <c r="AJ159" s="873">
        <v>0</v>
      </c>
      <c r="AL159" s="223">
        <f t="shared" si="10"/>
        <v>0</v>
      </c>
      <c r="AM159" s="223">
        <f t="shared" si="11"/>
        <v>0</v>
      </c>
    </row>
    <row r="160" spans="1:39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3" t="str">
        <f>VLOOKUP(A160,'Summary Mar 2026'!$A$8:$F$206,6,FALSE)</f>
        <v>Chq Bk</v>
      </c>
      <c r="G160" s="33"/>
      <c r="H160" s="221">
        <v>0</v>
      </c>
      <c r="I160" s="221">
        <v>0</v>
      </c>
      <c r="J160" s="221">
        <v>0</v>
      </c>
      <c r="K160" s="221">
        <f t="shared" si="8"/>
        <v>0</v>
      </c>
      <c r="L160" s="294"/>
      <c r="M160" s="282"/>
      <c r="N160" s="249">
        <v>0</v>
      </c>
      <c r="O160" s="249">
        <v>0</v>
      </c>
      <c r="P160" s="250">
        <f t="shared" si="9"/>
        <v>0</v>
      </c>
      <c r="S160" s="221">
        <v>0</v>
      </c>
      <c r="T160" s="221">
        <v>0</v>
      </c>
      <c r="U160" s="221">
        <v>0</v>
      </c>
      <c r="V160" s="221"/>
      <c r="X160" s="221"/>
      <c r="Y160" s="221"/>
      <c r="AA160" s="221"/>
      <c r="AB160" s="221"/>
      <c r="AC160" s="221"/>
      <c r="AE160" s="249"/>
      <c r="AF160" s="249">
        <v>0</v>
      </c>
      <c r="AG160" s="249">
        <v>0</v>
      </c>
      <c r="AH160" s="249"/>
      <c r="AI160" s="873">
        <v>0</v>
      </c>
      <c r="AJ160" s="873">
        <v>0</v>
      </c>
      <c r="AL160" s="223">
        <f t="shared" si="10"/>
        <v>0</v>
      </c>
      <c r="AM160" s="223">
        <f t="shared" si="11"/>
        <v>0</v>
      </c>
    </row>
    <row r="161" spans="1:39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3" t="str">
        <f>VLOOKUP(A161,'Summary Mar 2026'!$A$8:$F$206,6,FALSE)</f>
        <v>Chq Bk</v>
      </c>
      <c r="G161" s="33"/>
      <c r="H161" s="221">
        <v>0</v>
      </c>
      <c r="I161" s="221">
        <v>0</v>
      </c>
      <c r="J161" s="221">
        <v>0</v>
      </c>
      <c r="K161" s="221">
        <f t="shared" si="8"/>
        <v>0</v>
      </c>
      <c r="L161" s="294"/>
      <c r="M161" s="282"/>
      <c r="N161" s="249">
        <v>0</v>
      </c>
      <c r="O161" s="249">
        <v>0</v>
      </c>
      <c r="P161" s="250">
        <f t="shared" si="9"/>
        <v>0</v>
      </c>
      <c r="S161" s="221">
        <v>0</v>
      </c>
      <c r="T161" s="221">
        <v>0</v>
      </c>
      <c r="U161" s="221">
        <v>0</v>
      </c>
      <c r="V161" s="221"/>
      <c r="X161" s="221"/>
      <c r="Y161" s="221"/>
      <c r="AA161" s="221"/>
      <c r="AB161" s="221"/>
      <c r="AC161" s="221"/>
      <c r="AE161" s="249"/>
      <c r="AF161" s="249">
        <v>0</v>
      </c>
      <c r="AG161" s="249">
        <v>0</v>
      </c>
      <c r="AH161" s="249"/>
      <c r="AI161" s="873">
        <v>0</v>
      </c>
      <c r="AJ161" s="873">
        <v>0</v>
      </c>
      <c r="AL161" s="223">
        <f t="shared" si="10"/>
        <v>0</v>
      </c>
      <c r="AM161" s="223">
        <f t="shared" si="11"/>
        <v>0</v>
      </c>
    </row>
    <row r="162" spans="1:39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3" t="str">
        <f>VLOOKUP(A162,'Summary Mar 2026'!$A$8:$F$206,6,FALSE)</f>
        <v>Academy</v>
      </c>
      <c r="G162" s="33"/>
      <c r="H162" s="221">
        <v>0</v>
      </c>
      <c r="I162" s="221">
        <v>0</v>
      </c>
      <c r="J162" s="221">
        <v>0</v>
      </c>
      <c r="K162" s="221">
        <f t="shared" si="8"/>
        <v>0</v>
      </c>
      <c r="L162" s="294"/>
      <c r="M162" s="282"/>
      <c r="N162" s="249">
        <v>0</v>
      </c>
      <c r="O162" s="249">
        <v>0</v>
      </c>
      <c r="P162" s="250">
        <f t="shared" si="9"/>
        <v>0</v>
      </c>
      <c r="S162" s="221">
        <v>0</v>
      </c>
      <c r="T162" s="221">
        <v>0</v>
      </c>
      <c r="U162" s="221">
        <v>0</v>
      </c>
      <c r="V162" s="221"/>
      <c r="X162" s="221"/>
      <c r="Y162" s="221"/>
      <c r="AA162" s="221"/>
      <c r="AB162" s="221"/>
      <c r="AC162" s="221"/>
      <c r="AE162" s="249"/>
      <c r="AF162" s="249">
        <v>0</v>
      </c>
      <c r="AG162" s="249">
        <v>0</v>
      </c>
      <c r="AH162" s="249"/>
      <c r="AI162" s="873">
        <v>0</v>
      </c>
      <c r="AJ162" s="873">
        <v>0</v>
      </c>
      <c r="AL162" s="223">
        <f t="shared" si="10"/>
        <v>0</v>
      </c>
      <c r="AM162" s="223">
        <f t="shared" si="11"/>
        <v>0</v>
      </c>
    </row>
    <row r="163" spans="1:39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3" t="str">
        <f>VLOOKUP(A163,'Summary Mar 2026'!$A$8:$F$206,6,FALSE)</f>
        <v>Chq Bk</v>
      </c>
      <c r="G163" s="33"/>
      <c r="H163" s="221">
        <v>0</v>
      </c>
      <c r="I163" s="221">
        <v>0</v>
      </c>
      <c r="J163" s="221">
        <v>0</v>
      </c>
      <c r="K163" s="221">
        <f t="shared" si="8"/>
        <v>0</v>
      </c>
      <c r="L163" s="294"/>
      <c r="M163" s="282"/>
      <c r="N163" s="249">
        <v>22000</v>
      </c>
      <c r="O163" s="249">
        <v>31800.84</v>
      </c>
      <c r="P163" s="250">
        <f t="shared" si="9"/>
        <v>53800.84</v>
      </c>
      <c r="S163" s="221">
        <v>0</v>
      </c>
      <c r="T163" s="221">
        <v>0</v>
      </c>
      <c r="U163" s="221">
        <v>0</v>
      </c>
      <c r="V163" s="221"/>
      <c r="X163" s="221"/>
      <c r="Y163" s="221"/>
      <c r="AA163" s="221"/>
      <c r="AB163" s="221"/>
      <c r="AC163" s="221"/>
      <c r="AE163" s="249"/>
      <c r="AF163" s="249">
        <v>0</v>
      </c>
      <c r="AG163" s="249">
        <v>0</v>
      </c>
      <c r="AH163" s="249"/>
      <c r="AI163" s="873">
        <v>0</v>
      </c>
      <c r="AJ163" s="873">
        <v>0</v>
      </c>
      <c r="AL163" s="223">
        <f t="shared" si="10"/>
        <v>22000</v>
      </c>
      <c r="AM163" s="223">
        <f t="shared" si="11"/>
        <v>31800.84</v>
      </c>
    </row>
    <row r="164" spans="1:39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3" t="str">
        <f>VLOOKUP(A164,'Summary Mar 2026'!$A$8:$F$206,6,FALSE)</f>
        <v>Chq Bk</v>
      </c>
      <c r="G164" s="33"/>
      <c r="H164" s="221">
        <v>0</v>
      </c>
      <c r="I164" s="221">
        <v>0</v>
      </c>
      <c r="J164" s="221">
        <v>0</v>
      </c>
      <c r="K164" s="221">
        <f t="shared" si="8"/>
        <v>0</v>
      </c>
      <c r="L164" s="294"/>
      <c r="M164" s="282"/>
      <c r="N164" s="249">
        <v>48000</v>
      </c>
      <c r="O164" s="249">
        <v>161039.86000000002</v>
      </c>
      <c r="P164" s="250">
        <f t="shared" si="9"/>
        <v>209039.86000000002</v>
      </c>
      <c r="S164" s="221">
        <v>0</v>
      </c>
      <c r="T164" s="221">
        <v>0</v>
      </c>
      <c r="U164" s="221">
        <v>0</v>
      </c>
      <c r="V164" s="221"/>
      <c r="X164" s="221"/>
      <c r="Y164" s="221"/>
      <c r="AA164" s="221"/>
      <c r="AB164" s="221"/>
      <c r="AC164" s="221"/>
      <c r="AE164" s="249"/>
      <c r="AF164" s="249">
        <v>0</v>
      </c>
      <c r="AG164" s="249">
        <v>0</v>
      </c>
      <c r="AH164" s="249"/>
      <c r="AI164" s="873">
        <v>0</v>
      </c>
      <c r="AJ164" s="873">
        <v>-25366.91</v>
      </c>
      <c r="AL164" s="223">
        <f t="shared" si="10"/>
        <v>48000</v>
      </c>
      <c r="AM164" s="223">
        <f t="shared" si="11"/>
        <v>135672.95000000001</v>
      </c>
    </row>
    <row r="165" spans="1:39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3" t="str">
        <f>VLOOKUP(A165,'Summary Mar 2026'!$A$8:$F$206,6,FALSE)</f>
        <v>Chq Bk</v>
      </c>
      <c r="G165" s="33"/>
      <c r="H165" s="221">
        <v>0</v>
      </c>
      <c r="I165" s="221">
        <v>0</v>
      </c>
      <c r="J165" s="221">
        <v>0</v>
      </c>
      <c r="K165" s="221">
        <f t="shared" si="8"/>
        <v>0</v>
      </c>
      <c r="L165" s="294"/>
      <c r="M165" s="282"/>
      <c r="N165" s="249">
        <v>0</v>
      </c>
      <c r="O165" s="249">
        <v>0</v>
      </c>
      <c r="P165" s="250">
        <f t="shared" si="9"/>
        <v>0</v>
      </c>
      <c r="S165" s="221">
        <v>0</v>
      </c>
      <c r="T165" s="221">
        <v>0</v>
      </c>
      <c r="U165" s="221">
        <v>0</v>
      </c>
      <c r="V165" s="221"/>
      <c r="X165" s="221"/>
      <c r="Y165" s="221"/>
      <c r="AA165" s="221"/>
      <c r="AB165" s="221"/>
      <c r="AC165" s="221"/>
      <c r="AE165" s="249"/>
      <c r="AF165" s="249">
        <v>0</v>
      </c>
      <c r="AG165" s="249">
        <v>0</v>
      </c>
      <c r="AH165" s="249"/>
      <c r="AI165" s="873">
        <v>0</v>
      </c>
      <c r="AJ165" s="873">
        <v>0</v>
      </c>
      <c r="AL165" s="223">
        <f t="shared" si="10"/>
        <v>0</v>
      </c>
      <c r="AM165" s="223">
        <f t="shared" si="11"/>
        <v>0</v>
      </c>
    </row>
    <row r="166" spans="1:39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3" t="str">
        <f>VLOOKUP(A166,'Summary Mar 2026'!$A$8:$F$206,6,FALSE)</f>
        <v>Chq Bk</v>
      </c>
      <c r="G166" s="33"/>
      <c r="H166" s="221">
        <v>0</v>
      </c>
      <c r="I166" s="221">
        <v>0</v>
      </c>
      <c r="J166" s="221">
        <v>0</v>
      </c>
      <c r="K166" s="221">
        <f t="shared" si="8"/>
        <v>0</v>
      </c>
      <c r="L166" s="294"/>
      <c r="M166" s="282"/>
      <c r="N166" s="249">
        <v>0</v>
      </c>
      <c r="O166" s="249">
        <v>0</v>
      </c>
      <c r="P166" s="250">
        <f t="shared" si="9"/>
        <v>0</v>
      </c>
      <c r="S166" s="221">
        <v>0</v>
      </c>
      <c r="T166" s="221">
        <v>0</v>
      </c>
      <c r="U166" s="221">
        <v>0</v>
      </c>
      <c r="V166" s="221"/>
      <c r="X166" s="221"/>
      <c r="Y166" s="221"/>
      <c r="AA166" s="221"/>
      <c r="AB166" s="221"/>
      <c r="AC166" s="221"/>
      <c r="AE166" s="249"/>
      <c r="AF166" s="249">
        <v>0</v>
      </c>
      <c r="AG166" s="249">
        <v>0</v>
      </c>
      <c r="AH166" s="249"/>
      <c r="AI166" s="873">
        <v>0</v>
      </c>
      <c r="AJ166" s="873">
        <v>0</v>
      </c>
      <c r="AL166" s="223">
        <f t="shared" si="10"/>
        <v>0</v>
      </c>
      <c r="AM166" s="223">
        <f t="shared" si="11"/>
        <v>0</v>
      </c>
    </row>
    <row r="167" spans="1:39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3" t="str">
        <f>VLOOKUP(A167,'Summary Mar 2026'!$A$8:$F$206,6,FALSE)</f>
        <v>Chq Bk</v>
      </c>
      <c r="G167" s="33"/>
      <c r="H167" s="221">
        <v>0</v>
      </c>
      <c r="I167" s="221">
        <v>0</v>
      </c>
      <c r="J167" s="221">
        <v>0</v>
      </c>
      <c r="K167" s="221">
        <f t="shared" si="8"/>
        <v>0</v>
      </c>
      <c r="L167" s="294"/>
      <c r="M167" s="282"/>
      <c r="N167" s="249">
        <v>0</v>
      </c>
      <c r="O167" s="249">
        <v>0</v>
      </c>
      <c r="P167" s="250">
        <f t="shared" si="9"/>
        <v>0</v>
      </c>
      <c r="S167" s="221">
        <v>0</v>
      </c>
      <c r="T167" s="221">
        <v>0</v>
      </c>
      <c r="U167" s="221">
        <v>0</v>
      </c>
      <c r="V167" s="221"/>
      <c r="X167" s="221"/>
      <c r="Y167" s="221"/>
      <c r="AA167" s="221"/>
      <c r="AB167" s="221"/>
      <c r="AC167" s="221"/>
      <c r="AE167" s="249"/>
      <c r="AF167" s="249">
        <v>0</v>
      </c>
      <c r="AG167" s="249">
        <v>0</v>
      </c>
      <c r="AH167" s="249"/>
      <c r="AI167" s="873">
        <v>0</v>
      </c>
      <c r="AJ167" s="873">
        <v>0</v>
      </c>
      <c r="AL167" s="223">
        <f t="shared" si="10"/>
        <v>0</v>
      </c>
      <c r="AM167" s="223">
        <f t="shared" si="11"/>
        <v>0</v>
      </c>
    </row>
    <row r="168" spans="1:39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3" t="str">
        <f>VLOOKUP(A168,'Summary Mar 2026'!$A$8:$F$206,6,FALSE)</f>
        <v>Chq Bk</v>
      </c>
      <c r="G168" s="33"/>
      <c r="H168" s="221">
        <v>0</v>
      </c>
      <c r="I168" s="221">
        <v>0</v>
      </c>
      <c r="J168" s="221">
        <v>0</v>
      </c>
      <c r="K168" s="221">
        <f t="shared" si="8"/>
        <v>0</v>
      </c>
      <c r="L168" s="294"/>
      <c r="M168" s="282"/>
      <c r="N168" s="249">
        <v>0</v>
      </c>
      <c r="O168" s="249">
        <v>0</v>
      </c>
      <c r="P168" s="250">
        <f t="shared" si="9"/>
        <v>0</v>
      </c>
      <c r="S168" s="221">
        <v>0</v>
      </c>
      <c r="T168" s="221">
        <v>0</v>
      </c>
      <c r="U168" s="221">
        <v>0</v>
      </c>
      <c r="V168" s="221"/>
      <c r="X168" s="221"/>
      <c r="Y168" s="221"/>
      <c r="AA168" s="221"/>
      <c r="AB168" s="221"/>
      <c r="AC168" s="221"/>
      <c r="AE168" s="249"/>
      <c r="AF168" s="249">
        <v>0</v>
      </c>
      <c r="AG168" s="249">
        <v>0</v>
      </c>
      <c r="AH168" s="249"/>
      <c r="AI168" s="873">
        <v>0</v>
      </c>
      <c r="AJ168" s="873">
        <v>0</v>
      </c>
      <c r="AL168" s="223">
        <f t="shared" si="10"/>
        <v>0</v>
      </c>
      <c r="AM168" s="223">
        <f t="shared" si="11"/>
        <v>0</v>
      </c>
    </row>
    <row r="169" spans="1:39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3" t="str">
        <f>VLOOKUP(A169,'Summary Mar 2026'!$A$8:$F$206,6,FALSE)</f>
        <v>Chq Bk</v>
      </c>
      <c r="G169" s="33"/>
      <c r="H169" s="221">
        <v>0</v>
      </c>
      <c r="I169" s="221">
        <v>0</v>
      </c>
      <c r="J169" s="221">
        <v>0</v>
      </c>
      <c r="K169" s="221">
        <f t="shared" si="8"/>
        <v>0</v>
      </c>
      <c r="L169" s="294"/>
      <c r="M169" s="282"/>
      <c r="N169" s="249">
        <v>0</v>
      </c>
      <c r="O169" s="249">
        <v>0</v>
      </c>
      <c r="P169" s="250">
        <f t="shared" si="9"/>
        <v>0</v>
      </c>
      <c r="S169" s="221">
        <v>0</v>
      </c>
      <c r="T169" s="221">
        <v>0</v>
      </c>
      <c r="U169" s="221">
        <v>0</v>
      </c>
      <c r="V169" s="221"/>
      <c r="X169" s="221"/>
      <c r="Y169" s="221"/>
      <c r="AA169" s="221"/>
      <c r="AB169" s="221"/>
      <c r="AC169" s="221"/>
      <c r="AE169" s="249"/>
      <c r="AF169" s="249">
        <v>0</v>
      </c>
      <c r="AG169" s="249">
        <v>0</v>
      </c>
      <c r="AH169" s="249"/>
      <c r="AI169" s="873">
        <v>0</v>
      </c>
      <c r="AJ169" s="873">
        <v>0</v>
      </c>
      <c r="AL169" s="223">
        <f t="shared" si="10"/>
        <v>0</v>
      </c>
      <c r="AM169" s="223">
        <f t="shared" si="11"/>
        <v>0</v>
      </c>
    </row>
    <row r="170" spans="1:39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3" t="str">
        <f>VLOOKUP(A170,'Summary Mar 2026'!$A$8:$F$206,6,FALSE)</f>
        <v>Chq Bk</v>
      </c>
      <c r="G170" s="33"/>
      <c r="H170" s="221">
        <v>0</v>
      </c>
      <c r="I170" s="221">
        <v>0</v>
      </c>
      <c r="J170" s="221">
        <v>0</v>
      </c>
      <c r="K170" s="221">
        <f t="shared" si="8"/>
        <v>0</v>
      </c>
      <c r="L170" s="294"/>
      <c r="M170" s="282"/>
      <c r="N170" s="249">
        <v>0</v>
      </c>
      <c r="O170" s="249">
        <v>0</v>
      </c>
      <c r="P170" s="250">
        <f t="shared" si="9"/>
        <v>0</v>
      </c>
      <c r="S170" s="221">
        <v>0</v>
      </c>
      <c r="T170" s="221">
        <v>0</v>
      </c>
      <c r="U170" s="221">
        <v>0</v>
      </c>
      <c r="V170" s="221"/>
      <c r="X170" s="221"/>
      <c r="Y170" s="221"/>
      <c r="AA170" s="221"/>
      <c r="AB170" s="221"/>
      <c r="AC170" s="221"/>
      <c r="AE170" s="249"/>
      <c r="AF170" s="249">
        <v>0</v>
      </c>
      <c r="AG170" s="249">
        <v>0</v>
      </c>
      <c r="AH170" s="249"/>
      <c r="AI170" s="873">
        <v>0</v>
      </c>
      <c r="AJ170" s="873">
        <v>0</v>
      </c>
      <c r="AL170" s="223">
        <f t="shared" si="10"/>
        <v>0</v>
      </c>
      <c r="AM170" s="223">
        <f t="shared" si="11"/>
        <v>0</v>
      </c>
    </row>
    <row r="171" spans="1:39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3" t="str">
        <f>VLOOKUP(A171,'Summary Mar 2026'!$A$8:$F$206,6,FALSE)</f>
        <v>Chq Bk</v>
      </c>
      <c r="G171" s="33"/>
      <c r="H171" s="221">
        <v>0</v>
      </c>
      <c r="I171" s="221">
        <v>0</v>
      </c>
      <c r="J171" s="221">
        <v>0</v>
      </c>
      <c r="K171" s="221">
        <f t="shared" si="8"/>
        <v>0</v>
      </c>
      <c r="L171" s="294"/>
      <c r="M171" s="282"/>
      <c r="N171" s="249">
        <v>0</v>
      </c>
      <c r="O171" s="249">
        <v>0</v>
      </c>
      <c r="P171" s="250">
        <f t="shared" si="9"/>
        <v>0</v>
      </c>
      <c r="S171" s="221">
        <v>0</v>
      </c>
      <c r="T171" s="221">
        <v>0</v>
      </c>
      <c r="U171" s="221">
        <v>0</v>
      </c>
      <c r="V171" s="221"/>
      <c r="X171" s="221"/>
      <c r="Y171" s="221"/>
      <c r="AA171" s="221"/>
      <c r="AB171" s="221"/>
      <c r="AC171" s="221"/>
      <c r="AE171" s="249"/>
      <c r="AF171" s="249">
        <v>0</v>
      </c>
      <c r="AG171" s="249">
        <v>0</v>
      </c>
      <c r="AH171" s="249"/>
      <c r="AI171" s="873">
        <v>0</v>
      </c>
      <c r="AJ171" s="873">
        <v>0</v>
      </c>
      <c r="AL171" s="223">
        <f t="shared" si="10"/>
        <v>0</v>
      </c>
      <c r="AM171" s="223">
        <f t="shared" si="11"/>
        <v>0</v>
      </c>
    </row>
    <row r="172" spans="1:39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3" t="str">
        <f>VLOOKUP(A172,'Summary Mar 2026'!$A$8:$F$206,6,FALSE)</f>
        <v>Chq Bk</v>
      </c>
      <c r="G172" s="33"/>
      <c r="H172" s="221">
        <v>1381875</v>
      </c>
      <c r="I172" s="221">
        <v>1337838.6701532204</v>
      </c>
      <c r="J172" s="221">
        <v>82500</v>
      </c>
      <c r="K172" s="221">
        <f t="shared" si="8"/>
        <v>2802213.6701532202</v>
      </c>
      <c r="L172" s="294"/>
      <c r="M172" s="282"/>
      <c r="N172" s="249">
        <v>0</v>
      </c>
      <c r="O172" s="249">
        <v>0</v>
      </c>
      <c r="P172" s="250">
        <f t="shared" si="9"/>
        <v>0</v>
      </c>
      <c r="S172" s="221">
        <v>138461.53846153861</v>
      </c>
      <c r="T172" s="221">
        <v>84882</v>
      </c>
      <c r="U172" s="221">
        <v>0</v>
      </c>
      <c r="V172" s="221"/>
      <c r="X172" s="221"/>
      <c r="Y172" s="221"/>
      <c r="AA172" s="221"/>
      <c r="AB172" s="221"/>
      <c r="AC172" s="221"/>
      <c r="AE172" s="249"/>
      <c r="AF172" s="249">
        <v>0</v>
      </c>
      <c r="AG172" s="249">
        <v>227171.16935932077</v>
      </c>
      <c r="AH172" s="249"/>
      <c r="AI172" s="873">
        <v>3119.21</v>
      </c>
      <c r="AJ172" s="873">
        <v>0</v>
      </c>
      <c r="AL172" s="223">
        <f t="shared" si="10"/>
        <v>1381875</v>
      </c>
      <c r="AM172" s="223">
        <f t="shared" si="11"/>
        <v>1873972.5879740799</v>
      </c>
    </row>
    <row r="173" spans="1:39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3" t="str">
        <f>VLOOKUP(A173,'Summary Mar 2026'!$A$8:$F$206,6,FALSE)</f>
        <v>Academy</v>
      </c>
      <c r="G173" s="33"/>
      <c r="H173" s="221">
        <v>0</v>
      </c>
      <c r="I173" s="221">
        <v>0</v>
      </c>
      <c r="J173" s="221">
        <v>0</v>
      </c>
      <c r="K173" s="221">
        <f t="shared" si="8"/>
        <v>0</v>
      </c>
      <c r="L173" s="294"/>
      <c r="M173" s="282"/>
      <c r="N173" s="249">
        <v>0</v>
      </c>
      <c r="O173" s="249">
        <v>0</v>
      </c>
      <c r="P173" s="250">
        <f t="shared" si="9"/>
        <v>0</v>
      </c>
      <c r="S173" s="221">
        <v>0</v>
      </c>
      <c r="T173" s="221">
        <v>0</v>
      </c>
      <c r="U173" s="221">
        <v>0</v>
      </c>
      <c r="V173" s="221"/>
      <c r="X173" s="221"/>
      <c r="Y173" s="221"/>
      <c r="AA173" s="221"/>
      <c r="AB173" s="221"/>
      <c r="AC173" s="221"/>
      <c r="AE173" s="249"/>
      <c r="AF173" s="249">
        <v>0</v>
      </c>
      <c r="AG173" s="249">
        <v>0</v>
      </c>
      <c r="AH173" s="249"/>
      <c r="AI173" s="873">
        <v>0</v>
      </c>
      <c r="AJ173" s="873">
        <v>0</v>
      </c>
      <c r="AL173" s="223">
        <f t="shared" si="10"/>
        <v>0</v>
      </c>
      <c r="AM173" s="223">
        <f t="shared" si="11"/>
        <v>0</v>
      </c>
    </row>
    <row r="174" spans="1:39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3" t="str">
        <f>VLOOKUP(A174,'Summary Mar 2026'!$A$8:$F$206,6,FALSE)</f>
        <v>Chq Bk</v>
      </c>
      <c r="G174" s="33"/>
      <c r="H174" s="221">
        <v>0</v>
      </c>
      <c r="I174" s="221">
        <v>0</v>
      </c>
      <c r="J174" s="221">
        <v>0</v>
      </c>
      <c r="K174" s="221">
        <f t="shared" si="8"/>
        <v>0</v>
      </c>
      <c r="L174" s="294"/>
      <c r="M174" s="282"/>
      <c r="N174" s="249">
        <v>0</v>
      </c>
      <c r="O174" s="249">
        <v>0</v>
      </c>
      <c r="P174" s="250">
        <f t="shared" si="9"/>
        <v>0</v>
      </c>
      <c r="S174" s="221">
        <v>0</v>
      </c>
      <c r="T174" s="221">
        <v>0</v>
      </c>
      <c r="U174" s="221">
        <v>0</v>
      </c>
      <c r="V174" s="221"/>
      <c r="X174" s="221"/>
      <c r="Y174" s="221"/>
      <c r="AA174" s="221"/>
      <c r="AB174" s="221"/>
      <c r="AC174" s="221"/>
      <c r="AE174" s="249"/>
      <c r="AF174" s="249">
        <v>0</v>
      </c>
      <c r="AG174" s="249">
        <v>0</v>
      </c>
      <c r="AH174" s="249"/>
      <c r="AI174" s="873">
        <v>0</v>
      </c>
      <c r="AJ174" s="873">
        <v>0</v>
      </c>
      <c r="AL174" s="223">
        <f t="shared" si="10"/>
        <v>0</v>
      </c>
      <c r="AM174" s="223">
        <f t="shared" si="11"/>
        <v>0</v>
      </c>
    </row>
    <row r="175" spans="1:39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3" t="str">
        <f>VLOOKUP(A175,'Summary Mar 2026'!$A$8:$F$206,6,FALSE)</f>
        <v>Chq Bk</v>
      </c>
      <c r="G175" s="33"/>
      <c r="H175" s="221">
        <v>0</v>
      </c>
      <c r="I175" s="221">
        <v>0</v>
      </c>
      <c r="J175" s="221">
        <v>0</v>
      </c>
      <c r="K175" s="221">
        <f t="shared" si="8"/>
        <v>0</v>
      </c>
      <c r="L175" s="294"/>
      <c r="M175" s="282"/>
      <c r="N175" s="249">
        <v>0</v>
      </c>
      <c r="O175" s="249">
        <v>0</v>
      </c>
      <c r="P175" s="250">
        <f t="shared" si="9"/>
        <v>0</v>
      </c>
      <c r="S175" s="221">
        <v>0</v>
      </c>
      <c r="T175" s="221">
        <v>0</v>
      </c>
      <c r="U175" s="221">
        <v>0</v>
      </c>
      <c r="V175" s="221"/>
      <c r="X175" s="221"/>
      <c r="Y175" s="221"/>
      <c r="AA175" s="221"/>
      <c r="AB175" s="221"/>
      <c r="AC175" s="221"/>
      <c r="AE175" s="249"/>
      <c r="AF175" s="249">
        <v>0</v>
      </c>
      <c r="AG175" s="249">
        <v>0</v>
      </c>
      <c r="AH175" s="249"/>
      <c r="AI175" s="873">
        <v>0</v>
      </c>
      <c r="AJ175" s="873">
        <v>0</v>
      </c>
      <c r="AL175" s="223">
        <f t="shared" si="10"/>
        <v>0</v>
      </c>
      <c r="AM175" s="223">
        <f t="shared" si="11"/>
        <v>0</v>
      </c>
    </row>
    <row r="176" spans="1:39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3" t="str">
        <f>VLOOKUP(A176,'Summary Mar 2026'!$A$8:$F$206,6,FALSE)</f>
        <v>Chq Bk</v>
      </c>
      <c r="G176" s="33"/>
      <c r="H176" s="221">
        <v>0</v>
      </c>
      <c r="I176" s="221">
        <v>0</v>
      </c>
      <c r="J176" s="221">
        <v>0</v>
      </c>
      <c r="K176" s="221">
        <f t="shared" si="8"/>
        <v>0</v>
      </c>
      <c r="L176" s="294"/>
      <c r="M176" s="282"/>
      <c r="N176" s="249">
        <v>0</v>
      </c>
      <c r="O176" s="249">
        <v>0</v>
      </c>
      <c r="P176" s="250">
        <f t="shared" si="9"/>
        <v>0</v>
      </c>
      <c r="S176" s="221">
        <v>0</v>
      </c>
      <c r="T176" s="221">
        <v>0</v>
      </c>
      <c r="U176" s="221">
        <v>0</v>
      </c>
      <c r="V176" s="221"/>
      <c r="X176" s="221"/>
      <c r="Y176" s="221"/>
      <c r="AA176" s="221"/>
      <c r="AB176" s="221"/>
      <c r="AC176" s="221"/>
      <c r="AE176" s="249"/>
      <c r="AF176" s="249">
        <v>0</v>
      </c>
      <c r="AG176" s="249">
        <v>0</v>
      </c>
      <c r="AH176" s="249"/>
      <c r="AI176" s="873">
        <v>0</v>
      </c>
      <c r="AJ176" s="873">
        <v>0</v>
      </c>
      <c r="AL176" s="223">
        <f t="shared" si="10"/>
        <v>0</v>
      </c>
      <c r="AM176" s="223">
        <f t="shared" si="11"/>
        <v>0</v>
      </c>
    </row>
    <row r="177" spans="1:39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3" t="str">
        <f>VLOOKUP(A177,'Summary Mar 2026'!$A$8:$F$206,6,FALSE)</f>
        <v>Chq Bk</v>
      </c>
      <c r="G177" s="33"/>
      <c r="H177" s="221">
        <v>1039170</v>
      </c>
      <c r="I177" s="221">
        <v>968120.30031933484</v>
      </c>
      <c r="J177" s="221">
        <v>62040</v>
      </c>
      <c r="K177" s="221">
        <f t="shared" si="8"/>
        <v>2069330.300319335</v>
      </c>
      <c r="L177" s="294"/>
      <c r="M177" s="282"/>
      <c r="N177" s="249">
        <v>0</v>
      </c>
      <c r="O177" s="249">
        <v>0</v>
      </c>
      <c r="P177" s="250">
        <f t="shared" si="9"/>
        <v>0</v>
      </c>
      <c r="S177" s="221">
        <v>278076.92307692324</v>
      </c>
      <c r="T177" s="221">
        <v>65163</v>
      </c>
      <c r="U177" s="221">
        <v>0</v>
      </c>
      <c r="V177" s="221"/>
      <c r="X177" s="221"/>
      <c r="Y177" s="221"/>
      <c r="AA177" s="221"/>
      <c r="AB177" s="221"/>
      <c r="AC177" s="221"/>
      <c r="AE177" s="249"/>
      <c r="AF177" s="249">
        <v>0</v>
      </c>
      <c r="AG177" s="249">
        <v>0</v>
      </c>
      <c r="AH177" s="249"/>
      <c r="AI177" s="873">
        <v>70723.600000000006</v>
      </c>
      <c r="AJ177" s="873">
        <v>0</v>
      </c>
      <c r="AL177" s="223">
        <f t="shared" si="10"/>
        <v>1039170</v>
      </c>
      <c r="AM177" s="223">
        <f t="shared" si="11"/>
        <v>1444123.8233962581</v>
      </c>
    </row>
    <row r="178" spans="1:39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3" t="str">
        <f>VLOOKUP(A178,'Summary Mar 2026'!$A$8:$F$206,6,FALSE)</f>
        <v>Chq Bk</v>
      </c>
      <c r="G178" s="33"/>
      <c r="H178" s="221">
        <v>0</v>
      </c>
      <c r="I178" s="221">
        <v>0</v>
      </c>
      <c r="J178" s="221">
        <v>0</v>
      </c>
      <c r="K178" s="221">
        <f t="shared" si="8"/>
        <v>0</v>
      </c>
      <c r="L178" s="294"/>
      <c r="M178" s="282"/>
      <c r="N178" s="249">
        <v>0</v>
      </c>
      <c r="O178" s="249">
        <v>0</v>
      </c>
      <c r="P178" s="250">
        <f t="shared" si="9"/>
        <v>0</v>
      </c>
      <c r="S178" s="221">
        <v>0</v>
      </c>
      <c r="T178" s="221">
        <v>0</v>
      </c>
      <c r="U178" s="221">
        <v>0</v>
      </c>
      <c r="V178" s="221"/>
      <c r="X178" s="221"/>
      <c r="Y178" s="221"/>
      <c r="AA178" s="221"/>
      <c r="AB178" s="221"/>
      <c r="AC178" s="221"/>
      <c r="AE178" s="249"/>
      <c r="AF178" s="249">
        <v>0</v>
      </c>
      <c r="AG178" s="249">
        <v>0</v>
      </c>
      <c r="AH178" s="249"/>
      <c r="AI178" s="873">
        <v>0</v>
      </c>
      <c r="AJ178" s="873">
        <v>0</v>
      </c>
      <c r="AL178" s="223">
        <f t="shared" si="10"/>
        <v>0</v>
      </c>
      <c r="AM178" s="223">
        <f t="shared" si="11"/>
        <v>0</v>
      </c>
    </row>
    <row r="179" spans="1:39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3" t="str">
        <f>VLOOKUP(A179,'Summary Mar 2026'!$A$8:$F$206,6,FALSE)</f>
        <v>Chq Bk</v>
      </c>
      <c r="G179" s="33"/>
      <c r="H179" s="221">
        <v>0</v>
      </c>
      <c r="I179" s="221">
        <v>0</v>
      </c>
      <c r="J179" s="221">
        <v>0</v>
      </c>
      <c r="K179" s="221">
        <f t="shared" si="8"/>
        <v>0</v>
      </c>
      <c r="L179" s="294"/>
      <c r="M179" s="282"/>
      <c r="N179" s="249">
        <v>90000</v>
      </c>
      <c r="O179" s="249">
        <v>140001.84999999998</v>
      </c>
      <c r="P179" s="250">
        <f t="shared" si="9"/>
        <v>230001.84999999998</v>
      </c>
      <c r="S179" s="221">
        <v>0</v>
      </c>
      <c r="T179" s="221">
        <v>0</v>
      </c>
      <c r="U179" s="221">
        <v>0</v>
      </c>
      <c r="V179" s="221"/>
      <c r="X179" s="221"/>
      <c r="Y179" s="221"/>
      <c r="AA179" s="221"/>
      <c r="AB179" s="221"/>
      <c r="AC179" s="221"/>
      <c r="AE179" s="249"/>
      <c r="AF179" s="249">
        <v>0</v>
      </c>
      <c r="AG179" s="249">
        <v>0</v>
      </c>
      <c r="AH179" s="249"/>
      <c r="AI179" s="873">
        <v>0</v>
      </c>
      <c r="AJ179" s="873">
        <v>-17953.61</v>
      </c>
      <c r="AL179" s="223">
        <f t="shared" si="10"/>
        <v>90000</v>
      </c>
      <c r="AM179" s="223">
        <f t="shared" si="11"/>
        <v>122048.23999999998</v>
      </c>
    </row>
    <row r="180" spans="1:39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3" t="str">
        <f>VLOOKUP(A180,'Summary Mar 2026'!$A$8:$F$206,6,FALSE)</f>
        <v>Chq Bk</v>
      </c>
      <c r="G180" s="33"/>
      <c r="H180" s="221">
        <v>0</v>
      </c>
      <c r="I180" s="221">
        <v>0</v>
      </c>
      <c r="J180" s="221">
        <v>0</v>
      </c>
      <c r="K180" s="221">
        <f t="shared" si="8"/>
        <v>0</v>
      </c>
      <c r="L180" s="294"/>
      <c r="M180" s="282"/>
      <c r="N180" s="249">
        <v>0</v>
      </c>
      <c r="O180" s="249">
        <v>0</v>
      </c>
      <c r="P180" s="250">
        <f t="shared" si="9"/>
        <v>0</v>
      </c>
      <c r="S180" s="221">
        <v>0</v>
      </c>
      <c r="T180" s="221">
        <v>0</v>
      </c>
      <c r="U180" s="221">
        <v>0</v>
      </c>
      <c r="V180" s="221"/>
      <c r="X180" s="221"/>
      <c r="Y180" s="221"/>
      <c r="AA180" s="221"/>
      <c r="AB180" s="221"/>
      <c r="AC180" s="221"/>
      <c r="AE180" s="249"/>
      <c r="AF180" s="249">
        <v>0</v>
      </c>
      <c r="AG180" s="249">
        <v>0</v>
      </c>
      <c r="AH180" s="249"/>
      <c r="AI180" s="873">
        <v>0</v>
      </c>
      <c r="AJ180" s="873">
        <v>0</v>
      </c>
      <c r="AL180" s="223">
        <f t="shared" si="10"/>
        <v>0</v>
      </c>
      <c r="AM180" s="223">
        <f t="shared" si="11"/>
        <v>0</v>
      </c>
    </row>
    <row r="181" spans="1:39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3" t="str">
        <f>VLOOKUP(A181,'Summary Mar 2026'!$A$8:$F$206,6,FALSE)</f>
        <v>Chq Bk</v>
      </c>
      <c r="G181" s="33"/>
      <c r="H181" s="221">
        <v>0</v>
      </c>
      <c r="I181" s="221">
        <v>0</v>
      </c>
      <c r="J181" s="221">
        <v>0</v>
      </c>
      <c r="K181" s="221">
        <f t="shared" si="8"/>
        <v>0</v>
      </c>
      <c r="L181" s="294"/>
      <c r="M181" s="282"/>
      <c r="N181" s="249">
        <v>0</v>
      </c>
      <c r="O181" s="249">
        <v>0</v>
      </c>
      <c r="P181" s="250">
        <f t="shared" si="9"/>
        <v>0</v>
      </c>
      <c r="S181" s="221">
        <v>0</v>
      </c>
      <c r="T181" s="221">
        <v>0</v>
      </c>
      <c r="U181" s="221">
        <v>0</v>
      </c>
      <c r="V181" s="221"/>
      <c r="X181" s="221"/>
      <c r="Y181" s="221"/>
      <c r="AA181" s="221"/>
      <c r="AB181" s="221"/>
      <c r="AC181" s="221"/>
      <c r="AE181" s="249"/>
      <c r="AF181" s="249">
        <v>0</v>
      </c>
      <c r="AG181" s="249">
        <v>0</v>
      </c>
      <c r="AH181" s="249"/>
      <c r="AI181" s="873">
        <v>0</v>
      </c>
      <c r="AJ181" s="873">
        <v>0</v>
      </c>
      <c r="AL181" s="223">
        <f t="shared" si="10"/>
        <v>0</v>
      </c>
      <c r="AM181" s="223">
        <f t="shared" si="11"/>
        <v>0</v>
      </c>
    </row>
    <row r="182" spans="1:39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3" t="str">
        <f>VLOOKUP(A182,'Summary Mar 2026'!$A$8:$F$206,6,FALSE)</f>
        <v>Chq Bk</v>
      </c>
      <c r="G182" s="33"/>
      <c r="H182" s="221">
        <v>0</v>
      </c>
      <c r="I182" s="221">
        <v>0</v>
      </c>
      <c r="J182" s="221">
        <v>0</v>
      </c>
      <c r="K182" s="221">
        <f t="shared" si="8"/>
        <v>0</v>
      </c>
      <c r="L182" s="294"/>
      <c r="M182" s="282"/>
      <c r="N182" s="249">
        <v>0</v>
      </c>
      <c r="O182" s="249">
        <v>0</v>
      </c>
      <c r="P182" s="250">
        <f t="shared" si="9"/>
        <v>0</v>
      </c>
      <c r="S182" s="221">
        <v>0</v>
      </c>
      <c r="T182" s="221">
        <v>0</v>
      </c>
      <c r="U182" s="221">
        <v>0</v>
      </c>
      <c r="V182" s="221"/>
      <c r="X182" s="221"/>
      <c r="Y182" s="221"/>
      <c r="AA182" s="221"/>
      <c r="AB182" s="221"/>
      <c r="AC182" s="221"/>
      <c r="AE182" s="249"/>
      <c r="AF182" s="249">
        <v>0</v>
      </c>
      <c r="AG182" s="249">
        <v>0</v>
      </c>
      <c r="AH182" s="249"/>
      <c r="AI182" s="873">
        <v>0</v>
      </c>
      <c r="AJ182" s="873">
        <v>0</v>
      </c>
      <c r="AL182" s="223">
        <f t="shared" si="10"/>
        <v>0</v>
      </c>
      <c r="AM182" s="223">
        <f t="shared" si="11"/>
        <v>0</v>
      </c>
    </row>
    <row r="183" spans="1:39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3" t="str">
        <f>VLOOKUP(A183,'Summary Mar 2026'!$A$8:$F$206,6,FALSE)</f>
        <v>Chq Bk</v>
      </c>
      <c r="G183" s="33"/>
      <c r="H183" s="221">
        <v>0</v>
      </c>
      <c r="I183" s="221">
        <v>0</v>
      </c>
      <c r="J183" s="221">
        <v>0</v>
      </c>
      <c r="K183" s="221">
        <f t="shared" si="8"/>
        <v>0</v>
      </c>
      <c r="L183" s="294"/>
      <c r="M183" s="282"/>
      <c r="N183" s="249">
        <v>0</v>
      </c>
      <c r="O183" s="249">
        <v>0</v>
      </c>
      <c r="P183" s="250">
        <f t="shared" si="9"/>
        <v>0</v>
      </c>
      <c r="S183" s="221">
        <v>0</v>
      </c>
      <c r="T183" s="221">
        <v>0</v>
      </c>
      <c r="U183" s="221">
        <v>0</v>
      </c>
      <c r="V183" s="221"/>
      <c r="X183" s="221"/>
      <c r="Y183" s="221"/>
      <c r="AA183" s="221"/>
      <c r="AB183" s="221"/>
      <c r="AC183" s="221"/>
      <c r="AE183" s="249"/>
      <c r="AF183" s="249">
        <v>0</v>
      </c>
      <c r="AG183" s="249">
        <v>0</v>
      </c>
      <c r="AH183" s="249"/>
      <c r="AI183" s="873">
        <v>0</v>
      </c>
      <c r="AJ183" s="873">
        <v>0</v>
      </c>
      <c r="AL183" s="223">
        <f t="shared" si="10"/>
        <v>0</v>
      </c>
      <c r="AM183" s="223">
        <f t="shared" si="11"/>
        <v>0</v>
      </c>
    </row>
    <row r="184" spans="1:39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3" t="str">
        <f>VLOOKUP(A184,'Summary Mar 2026'!$A$8:$F$206,6,FALSE)</f>
        <v>Chq Bk</v>
      </c>
      <c r="G184" s="33"/>
      <c r="H184" s="221">
        <v>0</v>
      </c>
      <c r="I184" s="221">
        <v>0</v>
      </c>
      <c r="J184" s="221">
        <v>0</v>
      </c>
      <c r="K184" s="221">
        <f t="shared" si="8"/>
        <v>0</v>
      </c>
      <c r="L184" s="294"/>
      <c r="M184" s="282"/>
      <c r="N184" s="249">
        <v>0</v>
      </c>
      <c r="O184" s="249">
        <v>0</v>
      </c>
      <c r="P184" s="250">
        <f t="shared" si="9"/>
        <v>0</v>
      </c>
      <c r="S184" s="221">
        <v>0</v>
      </c>
      <c r="T184" s="221">
        <v>0</v>
      </c>
      <c r="U184" s="221">
        <v>0</v>
      </c>
      <c r="V184" s="221"/>
      <c r="X184" s="221"/>
      <c r="Y184" s="221"/>
      <c r="AA184" s="221"/>
      <c r="AB184" s="221"/>
      <c r="AC184" s="221"/>
      <c r="AE184" s="249"/>
      <c r="AF184" s="249">
        <v>0</v>
      </c>
      <c r="AG184" s="249">
        <v>0</v>
      </c>
      <c r="AH184" s="249"/>
      <c r="AI184" s="873">
        <v>0</v>
      </c>
      <c r="AJ184" s="873">
        <v>0</v>
      </c>
      <c r="AL184" s="223">
        <f t="shared" si="10"/>
        <v>0</v>
      </c>
      <c r="AM184" s="223">
        <f t="shared" si="11"/>
        <v>0</v>
      </c>
    </row>
    <row r="185" spans="1:39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3" t="str">
        <f>VLOOKUP(A185,'Summary Mar 2026'!$A$8:$F$206,6,FALSE)</f>
        <v>Chq Bk</v>
      </c>
      <c r="G185" s="33"/>
      <c r="H185" s="221">
        <v>0</v>
      </c>
      <c r="I185" s="221">
        <v>0</v>
      </c>
      <c r="J185" s="221">
        <v>0</v>
      </c>
      <c r="K185" s="221">
        <f t="shared" si="8"/>
        <v>0</v>
      </c>
      <c r="L185" s="294"/>
      <c r="M185" s="282"/>
      <c r="N185" s="249">
        <v>0</v>
      </c>
      <c r="O185" s="249">
        <v>0</v>
      </c>
      <c r="P185" s="250">
        <f t="shared" si="9"/>
        <v>0</v>
      </c>
      <c r="S185" s="221">
        <v>0</v>
      </c>
      <c r="T185" s="221">
        <v>0</v>
      </c>
      <c r="U185" s="221">
        <v>0</v>
      </c>
      <c r="V185" s="221"/>
      <c r="X185" s="221"/>
      <c r="Y185" s="221"/>
      <c r="AA185" s="221"/>
      <c r="AB185" s="221"/>
      <c r="AC185" s="221"/>
      <c r="AE185" s="249"/>
      <c r="AF185" s="249">
        <v>0</v>
      </c>
      <c r="AG185" s="249">
        <v>0</v>
      </c>
      <c r="AH185" s="249"/>
      <c r="AI185" s="873">
        <v>0</v>
      </c>
      <c r="AJ185" s="873">
        <v>0</v>
      </c>
      <c r="AL185" s="223">
        <f t="shared" si="10"/>
        <v>0</v>
      </c>
      <c r="AM185" s="223">
        <f t="shared" si="11"/>
        <v>0</v>
      </c>
    </row>
    <row r="186" spans="1:39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3" t="str">
        <f>VLOOKUP(A186,'Summary Mar 2026'!$A$8:$F$206,6,FALSE)</f>
        <v>Chq Bk</v>
      </c>
      <c r="G186" s="33"/>
      <c r="H186" s="221">
        <v>0</v>
      </c>
      <c r="I186" s="221">
        <v>0</v>
      </c>
      <c r="J186" s="221">
        <v>0</v>
      </c>
      <c r="K186" s="221">
        <f t="shared" si="8"/>
        <v>0</v>
      </c>
      <c r="L186" s="294"/>
      <c r="M186" s="282"/>
      <c r="N186" s="249">
        <v>0</v>
      </c>
      <c r="O186" s="249">
        <v>0</v>
      </c>
      <c r="P186" s="250">
        <f t="shared" si="9"/>
        <v>0</v>
      </c>
      <c r="S186" s="221">
        <v>0</v>
      </c>
      <c r="T186" s="221">
        <v>0</v>
      </c>
      <c r="U186" s="221">
        <v>0</v>
      </c>
      <c r="V186" s="221"/>
      <c r="X186" s="221"/>
      <c r="Y186" s="221"/>
      <c r="AA186" s="221"/>
      <c r="AB186" s="221"/>
      <c r="AC186" s="221"/>
      <c r="AE186" s="249"/>
      <c r="AF186" s="249">
        <v>0</v>
      </c>
      <c r="AG186" s="249">
        <v>0</v>
      </c>
      <c r="AH186" s="249"/>
      <c r="AI186" s="873">
        <v>0</v>
      </c>
      <c r="AJ186" s="873">
        <v>0</v>
      </c>
      <c r="AL186" s="223">
        <f t="shared" si="10"/>
        <v>0</v>
      </c>
      <c r="AM186" s="223">
        <f t="shared" si="11"/>
        <v>0</v>
      </c>
    </row>
    <row r="187" spans="1:39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3" t="str">
        <f>VLOOKUP(A187,'Summary Mar 2026'!$A$8:$F$206,6,FALSE)</f>
        <v>Chq Bk</v>
      </c>
      <c r="G187" s="33"/>
      <c r="H187" s="221">
        <v>0</v>
      </c>
      <c r="I187" s="221">
        <v>0</v>
      </c>
      <c r="J187" s="221">
        <v>0</v>
      </c>
      <c r="K187" s="221">
        <f t="shared" si="8"/>
        <v>0</v>
      </c>
      <c r="L187" s="294"/>
      <c r="M187" s="282"/>
      <c r="N187" s="249">
        <v>6000</v>
      </c>
      <c r="O187" s="249">
        <v>31281.989999999998</v>
      </c>
      <c r="P187" s="250">
        <f t="shared" si="9"/>
        <v>37281.99</v>
      </c>
      <c r="S187" s="221">
        <v>0</v>
      </c>
      <c r="T187" s="221">
        <v>0</v>
      </c>
      <c r="U187" s="221">
        <v>0</v>
      </c>
      <c r="V187" s="221"/>
      <c r="X187" s="221"/>
      <c r="Y187" s="221"/>
      <c r="AA187" s="221"/>
      <c r="AB187" s="221"/>
      <c r="AC187" s="221"/>
      <c r="AE187" s="249"/>
      <c r="AF187" s="249">
        <v>0</v>
      </c>
      <c r="AG187" s="249">
        <v>0</v>
      </c>
      <c r="AH187" s="249"/>
      <c r="AI187" s="873">
        <v>0</v>
      </c>
      <c r="AJ187" s="873">
        <v>-9347.43</v>
      </c>
      <c r="AL187" s="223">
        <f t="shared" si="10"/>
        <v>6000</v>
      </c>
      <c r="AM187" s="223">
        <f t="shared" si="11"/>
        <v>21934.559999999998</v>
      </c>
    </row>
    <row r="188" spans="1:39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3" t="str">
        <f>VLOOKUP(A188,'Summary Mar 2026'!$A$8:$F$206,6,FALSE)</f>
        <v>Chq Bk</v>
      </c>
      <c r="G188" s="33"/>
      <c r="H188" s="221">
        <v>0</v>
      </c>
      <c r="I188" s="221">
        <v>0</v>
      </c>
      <c r="J188" s="221">
        <v>0</v>
      </c>
      <c r="K188" s="221">
        <f t="shared" si="8"/>
        <v>0</v>
      </c>
      <c r="L188" s="294"/>
      <c r="M188" s="282"/>
      <c r="N188" s="249">
        <v>0</v>
      </c>
      <c r="O188" s="249">
        <v>0</v>
      </c>
      <c r="P188" s="250">
        <f t="shared" si="9"/>
        <v>0</v>
      </c>
      <c r="S188" s="221">
        <v>0</v>
      </c>
      <c r="T188" s="221">
        <v>0</v>
      </c>
      <c r="U188" s="221">
        <v>0</v>
      </c>
      <c r="V188" s="221"/>
      <c r="X188" s="221"/>
      <c r="Y188" s="221"/>
      <c r="AA188" s="221"/>
      <c r="AB188" s="221"/>
      <c r="AC188" s="221"/>
      <c r="AE188" s="249"/>
      <c r="AF188" s="249">
        <v>0</v>
      </c>
      <c r="AG188" s="249">
        <v>0</v>
      </c>
      <c r="AH188" s="249"/>
      <c r="AI188" s="873">
        <v>0</v>
      </c>
      <c r="AJ188" s="873">
        <v>0</v>
      </c>
      <c r="AL188" s="223">
        <f t="shared" si="10"/>
        <v>0</v>
      </c>
      <c r="AM188" s="223">
        <f t="shared" si="11"/>
        <v>0</v>
      </c>
    </row>
    <row r="189" spans="1:39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3" t="str">
        <f>VLOOKUP(A189,'Summary Mar 2026'!$A$8:$F$206,6,FALSE)</f>
        <v>Chq Bk</v>
      </c>
      <c r="G189" s="33"/>
      <c r="H189" s="221">
        <v>0</v>
      </c>
      <c r="I189" s="221">
        <v>0</v>
      </c>
      <c r="J189" s="221">
        <v>0</v>
      </c>
      <c r="K189" s="221">
        <f t="shared" si="8"/>
        <v>0</v>
      </c>
      <c r="L189" s="294"/>
      <c r="M189" s="282"/>
      <c r="N189" s="249">
        <v>0</v>
      </c>
      <c r="O189" s="249">
        <v>0</v>
      </c>
      <c r="P189" s="250">
        <f t="shared" si="9"/>
        <v>0</v>
      </c>
      <c r="S189" s="221">
        <v>0</v>
      </c>
      <c r="T189" s="221">
        <v>0</v>
      </c>
      <c r="U189" s="221">
        <v>0</v>
      </c>
      <c r="V189" s="221"/>
      <c r="X189" s="221"/>
      <c r="Y189" s="221"/>
      <c r="AA189" s="221"/>
      <c r="AB189" s="221"/>
      <c r="AC189" s="221"/>
      <c r="AE189" s="249"/>
      <c r="AF189" s="249">
        <v>0</v>
      </c>
      <c r="AG189" s="249">
        <v>0</v>
      </c>
      <c r="AH189" s="249"/>
      <c r="AI189" s="873">
        <v>0</v>
      </c>
      <c r="AJ189" s="873">
        <v>0</v>
      </c>
      <c r="AL189" s="223">
        <f t="shared" si="10"/>
        <v>0</v>
      </c>
      <c r="AM189" s="223">
        <f t="shared" si="11"/>
        <v>0</v>
      </c>
    </row>
    <row r="190" spans="1:39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3" t="str">
        <f>VLOOKUP(A190,'Summary Mar 2026'!$A$8:$F$206,6,FALSE)</f>
        <v>Academy</v>
      </c>
      <c r="G190" s="33"/>
      <c r="H190" s="221">
        <v>0</v>
      </c>
      <c r="I190" s="221">
        <v>0</v>
      </c>
      <c r="J190" s="221">
        <v>0</v>
      </c>
      <c r="K190" s="221">
        <f t="shared" si="8"/>
        <v>0</v>
      </c>
      <c r="L190" s="294"/>
      <c r="M190" s="282"/>
      <c r="N190" s="249">
        <v>0</v>
      </c>
      <c r="O190" s="249">
        <v>0</v>
      </c>
      <c r="P190" s="250">
        <f t="shared" si="9"/>
        <v>0</v>
      </c>
      <c r="S190" s="221">
        <v>0</v>
      </c>
      <c r="T190" s="221">
        <v>0</v>
      </c>
      <c r="U190" s="221">
        <v>0</v>
      </c>
      <c r="V190" s="221"/>
      <c r="X190" s="221"/>
      <c r="Y190" s="221"/>
      <c r="AA190" s="221"/>
      <c r="AB190" s="221"/>
      <c r="AC190" s="221"/>
      <c r="AE190" s="249"/>
      <c r="AF190" s="249">
        <v>0</v>
      </c>
      <c r="AG190" s="249">
        <v>0</v>
      </c>
      <c r="AH190" s="249"/>
      <c r="AI190" s="873">
        <v>0</v>
      </c>
      <c r="AJ190" s="873">
        <v>0</v>
      </c>
      <c r="AL190" s="223">
        <f t="shared" si="10"/>
        <v>0</v>
      </c>
      <c r="AM190" s="223">
        <f t="shared" si="11"/>
        <v>0</v>
      </c>
    </row>
    <row r="191" spans="1:39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3" t="str">
        <f>VLOOKUP(A191,'Summary Mar 2026'!$A$8:$F$206,6,FALSE)</f>
        <v>Chq Bk</v>
      </c>
      <c r="G191" s="33"/>
      <c r="H191" s="221">
        <v>0</v>
      </c>
      <c r="I191" s="221">
        <v>0</v>
      </c>
      <c r="J191" s="221">
        <v>0</v>
      </c>
      <c r="K191" s="221">
        <f t="shared" si="8"/>
        <v>0</v>
      </c>
      <c r="L191" s="294"/>
      <c r="M191" s="282"/>
      <c r="N191" s="249">
        <v>0</v>
      </c>
      <c r="O191" s="249">
        <v>0</v>
      </c>
      <c r="P191" s="250">
        <f t="shared" si="9"/>
        <v>0</v>
      </c>
      <c r="S191" s="221">
        <v>0</v>
      </c>
      <c r="T191" s="221">
        <v>0</v>
      </c>
      <c r="U191" s="221">
        <v>0</v>
      </c>
      <c r="V191" s="221"/>
      <c r="X191" s="221"/>
      <c r="Y191" s="221"/>
      <c r="AA191" s="221"/>
      <c r="AB191" s="221"/>
      <c r="AC191" s="221"/>
      <c r="AE191" s="249"/>
      <c r="AF191" s="249">
        <v>0</v>
      </c>
      <c r="AG191" s="249">
        <v>0</v>
      </c>
      <c r="AH191" s="249"/>
      <c r="AI191" s="873">
        <v>0</v>
      </c>
      <c r="AJ191" s="873">
        <v>0</v>
      </c>
      <c r="AL191" s="223">
        <f t="shared" si="10"/>
        <v>0</v>
      </c>
      <c r="AM191" s="223">
        <f t="shared" si="11"/>
        <v>0</v>
      </c>
    </row>
    <row r="192" spans="1:39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3" t="str">
        <f>VLOOKUP(A192,'Summary Mar 2026'!$A$8:$F$206,6,FALSE)</f>
        <v>Chq Bk</v>
      </c>
      <c r="G192" s="33"/>
      <c r="H192" s="221">
        <v>0</v>
      </c>
      <c r="I192" s="221">
        <v>0</v>
      </c>
      <c r="J192" s="221">
        <v>0</v>
      </c>
      <c r="K192" s="221">
        <f t="shared" si="8"/>
        <v>0</v>
      </c>
      <c r="L192" s="294"/>
      <c r="M192" s="282"/>
      <c r="N192" s="249">
        <v>0</v>
      </c>
      <c r="O192" s="249">
        <v>0</v>
      </c>
      <c r="P192" s="250">
        <f t="shared" si="9"/>
        <v>0</v>
      </c>
      <c r="S192" s="221">
        <v>0</v>
      </c>
      <c r="T192" s="221">
        <v>0</v>
      </c>
      <c r="U192" s="221">
        <v>0</v>
      </c>
      <c r="V192" s="221"/>
      <c r="X192" s="221"/>
      <c r="Y192" s="221"/>
      <c r="AA192" s="221"/>
      <c r="AB192" s="221"/>
      <c r="AC192" s="221"/>
      <c r="AE192" s="249"/>
      <c r="AF192" s="249">
        <v>0</v>
      </c>
      <c r="AG192" s="249">
        <v>0</v>
      </c>
      <c r="AH192" s="249"/>
      <c r="AI192" s="873">
        <v>0</v>
      </c>
      <c r="AJ192" s="873">
        <v>0</v>
      </c>
      <c r="AL192" s="223">
        <f t="shared" si="10"/>
        <v>0</v>
      </c>
      <c r="AM192" s="223">
        <f t="shared" si="11"/>
        <v>0</v>
      </c>
    </row>
    <row r="193" spans="1:39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3" t="str">
        <f>VLOOKUP(A193,'Summary Mar 2026'!$A$8:$F$206,6,FALSE)</f>
        <v>Chq Bk</v>
      </c>
      <c r="G193" s="33"/>
      <c r="H193" s="221">
        <v>0</v>
      </c>
      <c r="I193" s="221">
        <v>0</v>
      </c>
      <c r="J193" s="221">
        <v>0</v>
      </c>
      <c r="K193" s="221">
        <f t="shared" si="8"/>
        <v>0</v>
      </c>
      <c r="L193" s="294"/>
      <c r="M193" s="282"/>
      <c r="N193" s="249">
        <v>0</v>
      </c>
      <c r="O193" s="249">
        <v>0</v>
      </c>
      <c r="P193" s="250">
        <f t="shared" si="9"/>
        <v>0</v>
      </c>
      <c r="S193" s="221">
        <v>0</v>
      </c>
      <c r="T193" s="221">
        <v>0</v>
      </c>
      <c r="U193" s="221">
        <v>0</v>
      </c>
      <c r="V193" s="221"/>
      <c r="X193" s="221"/>
      <c r="Y193" s="221"/>
      <c r="AA193" s="221"/>
      <c r="AB193" s="221"/>
      <c r="AC193" s="221"/>
      <c r="AE193" s="249"/>
      <c r="AF193" s="249">
        <v>0</v>
      </c>
      <c r="AG193" s="249">
        <v>0</v>
      </c>
      <c r="AH193" s="249"/>
      <c r="AI193" s="873">
        <v>0</v>
      </c>
      <c r="AJ193" s="873">
        <v>0</v>
      </c>
      <c r="AL193" s="223">
        <f t="shared" si="10"/>
        <v>0</v>
      </c>
      <c r="AM193" s="223">
        <f t="shared" si="11"/>
        <v>0</v>
      </c>
    </row>
    <row r="194" spans="1:39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3" t="str">
        <f>VLOOKUP(A194,'Summary Mar 2026'!$A$8:$F$206,6,FALSE)</f>
        <v>Chq Bk</v>
      </c>
      <c r="G194" s="33"/>
      <c r="H194" s="221">
        <v>994950</v>
      </c>
      <c r="I194" s="221">
        <v>512346.79267928575</v>
      </c>
      <c r="J194" s="221">
        <v>59400</v>
      </c>
      <c r="K194" s="221">
        <f t="shared" si="8"/>
        <v>1566696.7926792856</v>
      </c>
      <c r="L194" s="294"/>
      <c r="M194" s="282"/>
      <c r="N194" s="249">
        <v>0</v>
      </c>
      <c r="O194" s="249">
        <v>0</v>
      </c>
      <c r="P194" s="250">
        <f t="shared" si="9"/>
        <v>0</v>
      </c>
      <c r="S194" s="221">
        <v>565076.92307692324</v>
      </c>
      <c r="T194" s="221">
        <v>0</v>
      </c>
      <c r="U194" s="221">
        <v>0</v>
      </c>
      <c r="V194" s="221"/>
      <c r="X194" s="221"/>
      <c r="Y194" s="221"/>
      <c r="AA194" s="221"/>
      <c r="AB194" s="221"/>
      <c r="AC194" s="221"/>
      <c r="AE194" s="249"/>
      <c r="AF194" s="249">
        <v>0</v>
      </c>
      <c r="AG194" s="249">
        <v>98474.712600073311</v>
      </c>
      <c r="AH194" s="249"/>
      <c r="AI194" s="873">
        <v>-72844.399999999994</v>
      </c>
      <c r="AJ194" s="873">
        <v>0</v>
      </c>
      <c r="AL194" s="223">
        <f t="shared" si="10"/>
        <v>994950</v>
      </c>
      <c r="AM194" s="223">
        <f t="shared" si="11"/>
        <v>1162454.0283562825</v>
      </c>
    </row>
    <row r="195" spans="1:39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3" t="str">
        <f>VLOOKUP(A195,'Summary Mar 2026'!$A$8:$F$206,6,FALSE)</f>
        <v>Chq Bk</v>
      </c>
      <c r="G195" s="33"/>
      <c r="H195" s="221">
        <v>0</v>
      </c>
      <c r="I195" s="221">
        <v>0</v>
      </c>
      <c r="J195" s="221">
        <v>0</v>
      </c>
      <c r="K195" s="221">
        <f t="shared" si="8"/>
        <v>0</v>
      </c>
      <c r="L195" s="294"/>
      <c r="M195" s="282"/>
      <c r="N195" s="249">
        <v>0</v>
      </c>
      <c r="O195" s="249">
        <v>0</v>
      </c>
      <c r="P195" s="250">
        <f t="shared" si="9"/>
        <v>0</v>
      </c>
      <c r="S195" s="221">
        <v>0</v>
      </c>
      <c r="T195" s="221">
        <v>0</v>
      </c>
      <c r="U195" s="221">
        <v>0</v>
      </c>
      <c r="V195" s="221"/>
      <c r="X195" s="221"/>
      <c r="Y195" s="221"/>
      <c r="AA195" s="221"/>
      <c r="AB195" s="221"/>
      <c r="AC195" s="221"/>
      <c r="AE195" s="249"/>
      <c r="AF195" s="249">
        <v>0</v>
      </c>
      <c r="AG195" s="249">
        <v>0</v>
      </c>
      <c r="AH195" s="249"/>
      <c r="AI195" s="873">
        <v>0</v>
      </c>
      <c r="AJ195" s="873">
        <v>0</v>
      </c>
      <c r="AL195" s="223">
        <f t="shared" si="10"/>
        <v>0</v>
      </c>
      <c r="AM195" s="223">
        <f t="shared" si="11"/>
        <v>0</v>
      </c>
    </row>
    <row r="196" spans="1:39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3" t="str">
        <f>VLOOKUP(A196,'Summary Mar 2026'!$A$8:$F$206,6,FALSE)</f>
        <v>Chq Bk</v>
      </c>
      <c r="G196" s="33"/>
      <c r="H196" s="221">
        <v>0</v>
      </c>
      <c r="I196" s="221">
        <v>0</v>
      </c>
      <c r="J196" s="221">
        <v>0</v>
      </c>
      <c r="K196" s="221">
        <f t="shared" si="8"/>
        <v>0</v>
      </c>
      <c r="L196" s="294"/>
      <c r="M196" s="282"/>
      <c r="N196" s="249">
        <v>0</v>
      </c>
      <c r="O196" s="249">
        <v>0</v>
      </c>
      <c r="P196" s="250">
        <f t="shared" si="9"/>
        <v>0</v>
      </c>
      <c r="S196" s="221">
        <v>0</v>
      </c>
      <c r="T196" s="221">
        <v>0</v>
      </c>
      <c r="U196" s="221">
        <v>0</v>
      </c>
      <c r="V196" s="221"/>
      <c r="X196" s="221"/>
      <c r="Y196" s="221"/>
      <c r="AA196" s="221"/>
      <c r="AB196" s="221"/>
      <c r="AC196" s="221"/>
      <c r="AE196" s="249"/>
      <c r="AF196" s="249">
        <v>0</v>
      </c>
      <c r="AG196" s="249">
        <v>0</v>
      </c>
      <c r="AH196" s="249"/>
      <c r="AI196" s="873">
        <v>0</v>
      </c>
      <c r="AJ196" s="873">
        <v>0</v>
      </c>
      <c r="AL196" s="223">
        <f t="shared" si="10"/>
        <v>0</v>
      </c>
      <c r="AM196" s="223">
        <f t="shared" si="11"/>
        <v>0</v>
      </c>
    </row>
    <row r="197" spans="1:39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3" t="str">
        <f>VLOOKUP(A197,'Summary Mar 2026'!$A$8:$F$206,6,FALSE)</f>
        <v>Academy</v>
      </c>
      <c r="G197" s="33"/>
      <c r="H197" s="221">
        <v>0</v>
      </c>
      <c r="I197" s="221">
        <v>0</v>
      </c>
      <c r="J197" s="221">
        <v>0</v>
      </c>
      <c r="K197" s="221">
        <f t="shared" si="8"/>
        <v>0</v>
      </c>
      <c r="L197" s="294"/>
      <c r="M197" s="282"/>
      <c r="N197" s="249">
        <v>0</v>
      </c>
      <c r="O197" s="249">
        <v>0</v>
      </c>
      <c r="P197" s="250">
        <f t="shared" si="9"/>
        <v>0</v>
      </c>
      <c r="S197" s="221">
        <v>0</v>
      </c>
      <c r="T197" s="221">
        <v>0</v>
      </c>
      <c r="U197" s="221">
        <v>0</v>
      </c>
      <c r="V197" s="221"/>
      <c r="X197" s="221"/>
      <c r="Y197" s="221"/>
      <c r="AA197" s="221"/>
      <c r="AB197" s="221"/>
      <c r="AC197" s="221"/>
      <c r="AE197" s="249"/>
      <c r="AF197" s="249">
        <v>0</v>
      </c>
      <c r="AG197" s="249">
        <v>0</v>
      </c>
      <c r="AH197" s="249"/>
      <c r="AI197" s="873">
        <v>0</v>
      </c>
      <c r="AJ197" s="873">
        <v>0</v>
      </c>
      <c r="AL197" s="223">
        <f t="shared" si="10"/>
        <v>0</v>
      </c>
      <c r="AM197" s="223">
        <f t="shared" si="11"/>
        <v>0</v>
      </c>
    </row>
    <row r="198" spans="1:39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3" t="str">
        <f>VLOOKUP(A198,'Summary Mar 2026'!$A$8:$F$206,6,FALSE)</f>
        <v>Academy</v>
      </c>
      <c r="G198" s="33"/>
      <c r="H198" s="221">
        <v>0</v>
      </c>
      <c r="I198" s="221">
        <v>0</v>
      </c>
      <c r="J198" s="221">
        <v>0</v>
      </c>
      <c r="K198" s="221">
        <f t="shared" si="8"/>
        <v>0</v>
      </c>
      <c r="L198" s="294"/>
      <c r="M198" s="282"/>
      <c r="N198" s="249">
        <v>0</v>
      </c>
      <c r="O198" s="249">
        <v>0</v>
      </c>
      <c r="P198" s="250">
        <f t="shared" si="9"/>
        <v>0</v>
      </c>
      <c r="S198" s="221">
        <v>0</v>
      </c>
      <c r="T198" s="221">
        <v>0</v>
      </c>
      <c r="U198" s="221">
        <v>0</v>
      </c>
      <c r="V198" s="221"/>
      <c r="X198" s="221"/>
      <c r="Y198" s="221"/>
      <c r="AA198" s="221"/>
      <c r="AB198" s="221"/>
      <c r="AC198" s="221"/>
      <c r="AE198" s="249"/>
      <c r="AF198" s="249">
        <v>0</v>
      </c>
      <c r="AG198" s="249">
        <v>0</v>
      </c>
      <c r="AH198" s="249"/>
      <c r="AI198" s="873">
        <v>0</v>
      </c>
      <c r="AJ198" s="873">
        <v>0</v>
      </c>
      <c r="AL198" s="223">
        <f t="shared" si="10"/>
        <v>0</v>
      </c>
      <c r="AM198" s="223">
        <f t="shared" si="11"/>
        <v>0</v>
      </c>
    </row>
    <row r="199" spans="1:39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3" t="str">
        <f>VLOOKUP(A199,'Summary Mar 2026'!$A$8:$F$206,6,FALSE)</f>
        <v>Academy</v>
      </c>
      <c r="G199" s="33"/>
      <c r="H199" s="221">
        <v>0</v>
      </c>
      <c r="I199" s="221">
        <v>0</v>
      </c>
      <c r="J199" s="221">
        <v>0</v>
      </c>
      <c r="K199" s="221">
        <f t="shared" si="8"/>
        <v>0</v>
      </c>
      <c r="L199" s="294"/>
      <c r="M199" s="282"/>
      <c r="N199" s="249">
        <v>0</v>
      </c>
      <c r="O199" s="249">
        <v>0</v>
      </c>
      <c r="P199" s="250">
        <f t="shared" si="9"/>
        <v>0</v>
      </c>
      <c r="S199" s="221">
        <v>0</v>
      </c>
      <c r="T199" s="221">
        <v>0</v>
      </c>
      <c r="U199" s="221">
        <v>0</v>
      </c>
      <c r="V199" s="221"/>
      <c r="X199" s="221"/>
      <c r="Y199" s="221"/>
      <c r="AA199" s="221"/>
      <c r="AB199" s="221"/>
      <c r="AC199" s="221"/>
      <c r="AE199" s="249"/>
      <c r="AF199" s="249">
        <v>0</v>
      </c>
      <c r="AG199" s="249">
        <v>0</v>
      </c>
      <c r="AH199" s="249"/>
      <c r="AI199" s="873">
        <v>0</v>
      </c>
      <c r="AJ199" s="873">
        <v>0</v>
      </c>
      <c r="AL199" s="223">
        <f t="shared" si="10"/>
        <v>0</v>
      </c>
      <c r="AM199" s="223">
        <f t="shared" si="11"/>
        <v>0</v>
      </c>
    </row>
    <row r="200" spans="1:39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3" t="str">
        <f>VLOOKUP(A200,'Summary Mar 2026'!$A$8:$F$206,6,FALSE)</f>
        <v>Chq Bk</v>
      </c>
      <c r="G200" s="33"/>
      <c r="H200" s="221">
        <v>0</v>
      </c>
      <c r="I200" s="221">
        <v>0</v>
      </c>
      <c r="J200" s="221">
        <v>0</v>
      </c>
      <c r="K200" s="221">
        <f t="shared" si="8"/>
        <v>0</v>
      </c>
      <c r="L200" s="294"/>
      <c r="M200" s="282"/>
      <c r="N200" s="249">
        <v>0</v>
      </c>
      <c r="O200" s="249">
        <v>0</v>
      </c>
      <c r="P200" s="250">
        <f t="shared" si="9"/>
        <v>0</v>
      </c>
      <c r="S200" s="221">
        <v>0</v>
      </c>
      <c r="T200" s="221">
        <v>0</v>
      </c>
      <c r="U200" s="221">
        <v>0</v>
      </c>
      <c r="V200" s="221"/>
      <c r="X200" s="221"/>
      <c r="Y200" s="221"/>
      <c r="AA200" s="221"/>
      <c r="AB200" s="221"/>
      <c r="AC200" s="221"/>
      <c r="AE200" s="249"/>
      <c r="AF200" s="249">
        <v>0</v>
      </c>
      <c r="AG200" s="249">
        <v>0</v>
      </c>
      <c r="AH200" s="249"/>
      <c r="AI200" s="873">
        <v>0</v>
      </c>
      <c r="AJ200" s="873">
        <v>0</v>
      </c>
      <c r="AL200" s="223">
        <f t="shared" si="10"/>
        <v>0</v>
      </c>
      <c r="AM200" s="223">
        <f t="shared" si="11"/>
        <v>0</v>
      </c>
    </row>
    <row r="201" spans="1:39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3" t="str">
        <f>VLOOKUP(A201,'Summary Mar 2026'!$A$8:$F$206,6,FALSE)</f>
        <v>Chq Bk</v>
      </c>
      <c r="G201" s="33"/>
      <c r="H201" s="221">
        <v>0</v>
      </c>
      <c r="I201" s="221">
        <v>0</v>
      </c>
      <c r="J201" s="221">
        <v>0</v>
      </c>
      <c r="K201" s="221">
        <f t="shared" ref="K201:K207" si="12">H201+I201+J201</f>
        <v>0</v>
      </c>
      <c r="L201" s="294"/>
      <c r="M201" s="282"/>
      <c r="N201" s="249">
        <v>0</v>
      </c>
      <c r="O201" s="249">
        <v>0</v>
      </c>
      <c r="P201" s="250">
        <f t="shared" ref="P201:P207" si="13">N201+O201</f>
        <v>0</v>
      </c>
      <c r="S201" s="221">
        <v>0</v>
      </c>
      <c r="T201" s="221">
        <v>0</v>
      </c>
      <c r="U201" s="221">
        <v>0</v>
      </c>
      <c r="V201" s="221"/>
      <c r="X201" s="221"/>
      <c r="Y201" s="221"/>
      <c r="AA201" s="221"/>
      <c r="AB201" s="221"/>
      <c r="AC201" s="221"/>
      <c r="AE201" s="249"/>
      <c r="AF201" s="249">
        <v>0</v>
      </c>
      <c r="AG201" s="249">
        <v>0</v>
      </c>
      <c r="AH201" s="249"/>
      <c r="AI201" s="873">
        <v>0</v>
      </c>
      <c r="AJ201" s="873">
        <v>0</v>
      </c>
      <c r="AL201" s="223">
        <f t="shared" ref="AL201:AL207" si="14">SUMIFS($H201:$K201,$H$3:$K$3,AL$7)+SUMIFS($N201:$P201,$N$3:$P$3,AL$7)+SUMIFS($S201:$V201,$S$3:$V$3,AL$7)+SUMIFS($X201:$AI201,$X$3:$AI$3,AL$7)</f>
        <v>0</v>
      </c>
      <c r="AM201" s="223">
        <f t="shared" ref="AM201:AM207" si="15">SUMIFS($H201:$K201,$H$3:$K$3,AM$7)+SUMIFS($N201:$P201,$N$3:$P$3,AM$7)+SUMIFS($S201:$V201,$S$3:$V$3,AM$7)+SUMIFS($X201:$AJ201,$X$3:$AJ$3,AM$7)</f>
        <v>0</v>
      </c>
    </row>
    <row r="202" spans="1:39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3" t="str">
        <f>VLOOKUP(A202,'Summary Mar 2026'!$A$8:$F$206,6,FALSE)</f>
        <v>Academy</v>
      </c>
      <c r="G202" s="33"/>
      <c r="H202" s="221">
        <v>0</v>
      </c>
      <c r="I202" s="221">
        <v>0</v>
      </c>
      <c r="J202" s="221">
        <v>0</v>
      </c>
      <c r="K202" s="221">
        <f t="shared" si="12"/>
        <v>0</v>
      </c>
      <c r="L202" s="294"/>
      <c r="M202" s="282"/>
      <c r="N202" s="249">
        <v>0</v>
      </c>
      <c r="O202" s="249">
        <v>0</v>
      </c>
      <c r="P202" s="250">
        <f t="shared" si="13"/>
        <v>0</v>
      </c>
      <c r="S202" s="221">
        <v>0</v>
      </c>
      <c r="T202" s="221">
        <v>0</v>
      </c>
      <c r="U202" s="221">
        <v>0</v>
      </c>
      <c r="V202" s="221"/>
      <c r="X202" s="221"/>
      <c r="Y202" s="221"/>
      <c r="AA202" s="221"/>
      <c r="AB202" s="221"/>
      <c r="AC202" s="221"/>
      <c r="AE202" s="249"/>
      <c r="AF202" s="249">
        <v>0</v>
      </c>
      <c r="AG202" s="249">
        <v>0</v>
      </c>
      <c r="AH202" s="249"/>
      <c r="AI202" s="873">
        <v>0</v>
      </c>
      <c r="AJ202" s="873">
        <v>0</v>
      </c>
      <c r="AL202" s="223">
        <f t="shared" si="14"/>
        <v>0</v>
      </c>
      <c r="AM202" s="223">
        <f t="shared" si="15"/>
        <v>0</v>
      </c>
    </row>
    <row r="203" spans="1:39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3" t="str">
        <f>VLOOKUP(A203,'Summary Mar 2026'!$A$8:$F$206,6,FALSE)</f>
        <v>Chq Bk</v>
      </c>
      <c r="G203" s="33"/>
      <c r="H203" s="221">
        <v>0</v>
      </c>
      <c r="I203" s="221">
        <v>0</v>
      </c>
      <c r="J203" s="221">
        <v>0</v>
      </c>
      <c r="K203" s="221">
        <f t="shared" si="12"/>
        <v>0</v>
      </c>
      <c r="L203" s="294"/>
      <c r="M203" s="282"/>
      <c r="N203" s="249">
        <v>0</v>
      </c>
      <c r="O203" s="249">
        <v>0</v>
      </c>
      <c r="P203" s="250">
        <f t="shared" si="13"/>
        <v>0</v>
      </c>
      <c r="S203" s="221">
        <v>0</v>
      </c>
      <c r="T203" s="221">
        <v>0</v>
      </c>
      <c r="U203" s="221">
        <v>0</v>
      </c>
      <c r="V203" s="221"/>
      <c r="X203" s="221"/>
      <c r="Y203" s="221"/>
      <c r="AA203" s="221"/>
      <c r="AB203" s="221"/>
      <c r="AC203" s="221"/>
      <c r="AE203" s="249"/>
      <c r="AF203" s="249">
        <v>0</v>
      </c>
      <c r="AG203" s="249">
        <v>0</v>
      </c>
      <c r="AH203" s="249"/>
      <c r="AI203" s="873">
        <v>0</v>
      </c>
      <c r="AJ203" s="873">
        <v>0</v>
      </c>
      <c r="AL203" s="223">
        <f t="shared" si="14"/>
        <v>0</v>
      </c>
      <c r="AM203" s="223">
        <f t="shared" si="15"/>
        <v>0</v>
      </c>
    </row>
    <row r="204" spans="1:39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3" t="str">
        <f>VLOOKUP(A204,'Summary Mar 2026'!$A$8:$F$206,6,FALSE)</f>
        <v>Academy</v>
      </c>
      <c r="G204" s="33"/>
      <c r="H204" s="221">
        <v>0</v>
      </c>
      <c r="I204" s="221">
        <v>0</v>
      </c>
      <c r="J204" s="221">
        <v>0</v>
      </c>
      <c r="K204" s="221">
        <f t="shared" si="12"/>
        <v>0</v>
      </c>
      <c r="L204" s="294"/>
      <c r="M204" s="282"/>
      <c r="N204" s="249">
        <v>0</v>
      </c>
      <c r="O204" s="249">
        <v>0</v>
      </c>
      <c r="P204" s="250">
        <f t="shared" si="13"/>
        <v>0</v>
      </c>
      <c r="S204" s="221">
        <v>0</v>
      </c>
      <c r="T204" s="221">
        <v>0</v>
      </c>
      <c r="U204" s="221">
        <v>0</v>
      </c>
      <c r="V204" s="221"/>
      <c r="X204" s="221"/>
      <c r="Y204" s="221"/>
      <c r="AA204" s="221"/>
      <c r="AB204" s="221"/>
      <c r="AC204" s="221"/>
      <c r="AE204" s="249"/>
      <c r="AF204" s="249">
        <v>0</v>
      </c>
      <c r="AG204" s="249">
        <v>0</v>
      </c>
      <c r="AH204" s="249"/>
      <c r="AI204" s="873">
        <v>0</v>
      </c>
      <c r="AJ204" s="873">
        <v>0</v>
      </c>
      <c r="AL204" s="223">
        <f t="shared" si="14"/>
        <v>0</v>
      </c>
      <c r="AM204" s="223">
        <f t="shared" si="15"/>
        <v>0</v>
      </c>
    </row>
    <row r="205" spans="1:39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3" t="str">
        <f>VLOOKUP(A205,'Summary Mar 2026'!$A$8:$F$206,6,FALSE)</f>
        <v>Academy</v>
      </c>
      <c r="G205" s="33"/>
      <c r="H205" s="221">
        <v>0</v>
      </c>
      <c r="I205" s="221">
        <v>0</v>
      </c>
      <c r="J205" s="221">
        <v>0</v>
      </c>
      <c r="K205" s="221">
        <f t="shared" si="12"/>
        <v>0</v>
      </c>
      <c r="L205" s="294"/>
      <c r="M205" s="282"/>
      <c r="N205" s="249">
        <v>144000</v>
      </c>
      <c r="O205" s="249">
        <v>213006.50999999998</v>
      </c>
      <c r="P205" s="250">
        <f t="shared" si="13"/>
        <v>357006.51</v>
      </c>
      <c r="S205" s="221">
        <v>0</v>
      </c>
      <c r="T205" s="221">
        <v>0</v>
      </c>
      <c r="U205" s="221">
        <v>0</v>
      </c>
      <c r="V205" s="221"/>
      <c r="X205" s="221">
        <v>-132000</v>
      </c>
      <c r="Y205" s="221">
        <v>-195255.96749999997</v>
      </c>
      <c r="AA205" s="221"/>
      <c r="AB205" s="221"/>
      <c r="AC205" s="221"/>
      <c r="AE205" s="249"/>
      <c r="AF205" s="249">
        <v>0</v>
      </c>
      <c r="AG205" s="249">
        <v>0</v>
      </c>
      <c r="AH205" s="249"/>
      <c r="AI205" s="873">
        <v>0</v>
      </c>
      <c r="AJ205" s="873"/>
      <c r="AL205" s="223">
        <f t="shared" si="14"/>
        <v>12000</v>
      </c>
      <c r="AM205" s="223">
        <f t="shared" si="15"/>
        <v>17750.54250000001</v>
      </c>
    </row>
    <row r="206" spans="1:39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3" t="str">
        <f>VLOOKUP(A206,'Summary Mar 2026'!$A$8:$F$206,6,FALSE)</f>
        <v>Chq Bk</v>
      </c>
      <c r="G206" s="33"/>
      <c r="H206" s="221">
        <v>0</v>
      </c>
      <c r="I206" s="221">
        <v>0</v>
      </c>
      <c r="J206" s="221">
        <v>0</v>
      </c>
      <c r="K206" s="221">
        <f t="shared" si="12"/>
        <v>0</v>
      </c>
      <c r="L206" s="294"/>
      <c r="M206" s="282"/>
      <c r="N206" s="249">
        <v>0</v>
      </c>
      <c r="O206" s="249">
        <v>0</v>
      </c>
      <c r="P206" s="250">
        <f t="shared" si="13"/>
        <v>0</v>
      </c>
      <c r="S206" s="221">
        <v>0</v>
      </c>
      <c r="T206" s="221">
        <v>0</v>
      </c>
      <c r="U206" s="221">
        <v>0</v>
      </c>
      <c r="V206" s="221"/>
      <c r="X206" s="221"/>
      <c r="Y206" s="221"/>
      <c r="AA206" s="221"/>
      <c r="AB206" s="221"/>
      <c r="AC206" s="221"/>
      <c r="AE206" s="249"/>
      <c r="AF206" s="249">
        <v>0</v>
      </c>
      <c r="AG206" s="249">
        <v>0</v>
      </c>
      <c r="AH206" s="249"/>
      <c r="AI206" s="873">
        <v>0</v>
      </c>
      <c r="AJ206" s="873">
        <v>0</v>
      </c>
      <c r="AL206" s="223">
        <f t="shared" si="14"/>
        <v>0</v>
      </c>
      <c r="AM206" s="223">
        <f t="shared" si="15"/>
        <v>0</v>
      </c>
    </row>
    <row r="207" spans="1:39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3" t="str">
        <f>VLOOKUP(A207,'Summary Mar 2026'!$A$8:$F$206,6,FALSE)</f>
        <v>Chq Bk</v>
      </c>
      <c r="G207" s="33"/>
      <c r="H207" s="221">
        <v>0</v>
      </c>
      <c r="I207" s="221">
        <v>0</v>
      </c>
      <c r="J207" s="221">
        <v>0</v>
      </c>
      <c r="K207" s="221">
        <f t="shared" si="12"/>
        <v>0</v>
      </c>
      <c r="L207" s="294"/>
      <c r="M207" s="282"/>
      <c r="N207" s="249">
        <v>0</v>
      </c>
      <c r="O207" s="249">
        <v>0</v>
      </c>
      <c r="P207" s="250">
        <f t="shared" si="13"/>
        <v>0</v>
      </c>
      <c r="S207" s="221">
        <v>0</v>
      </c>
      <c r="T207" s="221">
        <v>0</v>
      </c>
      <c r="U207" s="221">
        <v>0</v>
      </c>
      <c r="V207" s="221"/>
      <c r="X207" s="221"/>
      <c r="Y207" s="221"/>
      <c r="AA207" s="221"/>
      <c r="AB207" s="221"/>
      <c r="AC207" s="221"/>
      <c r="AE207" s="249"/>
      <c r="AF207" s="249">
        <v>0</v>
      </c>
      <c r="AG207" s="249">
        <v>0</v>
      </c>
      <c r="AH207" s="249"/>
      <c r="AI207" s="873">
        <v>0</v>
      </c>
      <c r="AJ207" s="873">
        <v>0</v>
      </c>
      <c r="AL207" s="223">
        <f t="shared" si="14"/>
        <v>0</v>
      </c>
      <c r="AM207" s="223">
        <f t="shared" si="15"/>
        <v>0</v>
      </c>
    </row>
    <row r="208" spans="1:39" s="195" customFormat="1">
      <c r="A208" s="202"/>
      <c r="B208" s="192"/>
      <c r="C208" s="192"/>
      <c r="D208" s="196" t="s">
        <v>479</v>
      </c>
      <c r="E208" s="193"/>
      <c r="F208" s="215"/>
      <c r="G208" s="194"/>
      <c r="H208" s="423">
        <f>SUM(H8:H207)</f>
        <v>37556763.75</v>
      </c>
      <c r="I208" s="423">
        <f>SUM(I8:I207)</f>
        <v>31607703.049530074</v>
      </c>
      <c r="J208" s="423">
        <f>SUM(J8:J207)</f>
        <v>1867140</v>
      </c>
      <c r="K208" s="423">
        <f>SUM(K8:K207)</f>
        <v>71031606.799530074</v>
      </c>
      <c r="L208" s="395"/>
      <c r="M208" s="282"/>
      <c r="N208" s="424">
        <f>SUM(N8:N207)</f>
        <v>1599833.3333333335</v>
      </c>
      <c r="O208" s="424">
        <f>SUM(O8:O207)</f>
        <v>2849039.1100000003</v>
      </c>
      <c r="P208" s="424">
        <f>SUM(P8:P207)</f>
        <v>4448872.4433333334</v>
      </c>
      <c r="Q208" s="280"/>
      <c r="S208" s="424">
        <f>SUM(S8:S207)</f>
        <v>5535842.8846153859</v>
      </c>
      <c r="T208" s="424">
        <f t="shared" ref="T208:V208" si="16">SUM(T8:T207)</f>
        <v>1290503</v>
      </c>
      <c r="U208" s="424">
        <f t="shared" si="16"/>
        <v>0</v>
      </c>
      <c r="V208" s="424">
        <f t="shared" si="16"/>
        <v>0</v>
      </c>
      <c r="X208" s="221"/>
      <c r="Y208" s="221"/>
      <c r="AA208" s="221"/>
      <c r="AB208" s="221"/>
      <c r="AC208" s="221"/>
      <c r="AE208" s="424"/>
      <c r="AF208" s="249">
        <f>SUM(AF8:AF207)</f>
        <v>317831.25</v>
      </c>
      <c r="AG208" s="249">
        <f>SUM(AG8:AG207)</f>
        <v>3128963.4971301821</v>
      </c>
      <c r="AH208" s="249">
        <f>SUM(AH8:AH207)</f>
        <v>15000</v>
      </c>
      <c r="AI208" s="249">
        <f>SUM(AI8:AI207)</f>
        <v>296923.52000000002</v>
      </c>
      <c r="AJ208" s="249">
        <f>SUM(AJ8:AJ207)</f>
        <v>-53855.21</v>
      </c>
      <c r="AL208" s="223">
        <f>SUM(AL8:AL207)</f>
        <v>38382478.333333328</v>
      </c>
      <c r="AM208" s="223">
        <f>SUMIFS($M208:$Q208,$M$3:$Q$3,AM$7)</f>
        <v>2849039.1100000003</v>
      </c>
    </row>
  </sheetData>
  <sheetProtection algorithmName="SHA-512" hashValue="UM8I1jYsb3odIOFuOzIIuqWlWM9gu34TjNWBRkdkORwB6V3/Dhkw4xvEPYwcjnPG0Qxj9C3setLs54EMdfcrsA==" saltValue="Nv8Pd48V4cNHN3HHQGxoZQ==" spinCount="100000" sheet="1" autoFilter="0"/>
  <autoFilter ref="A7:Q208" xr:uid="{775EBADC-163A-4CDE-AAE2-A1EE7C263F73}"/>
  <mergeCells count="4">
    <mergeCell ref="H6:K6"/>
    <mergeCell ref="N6:P6"/>
    <mergeCell ref="S6:V6"/>
    <mergeCell ref="AA6:AC6"/>
  </mergeCells>
  <phoneticPr fontId="94" type="noConversion"/>
  <conditionalFormatting sqref="A7:F7 M7 A8:E8 E9:E208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C715-CAF1-44E8-A16C-304CD5956029}">
  <sheetPr codeName="Sheet8" filterMode="1">
    <tabColor theme="8" tint="0.79998168889431442"/>
  </sheetPr>
  <dimension ref="A1:HX210"/>
  <sheetViews>
    <sheetView zoomScale="80" zoomScaleNormal="80" workbookViewId="0">
      <selection activeCell="K3" sqref="K3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14.26953125" bestFit="1" customWidth="1"/>
    <col min="8" max="8" width="18.54296875" bestFit="1" customWidth="1"/>
    <col min="9" max="9" width="3.26953125" style="280" customWidth="1"/>
    <col min="10" max="10" width="18.81640625" bestFit="1" customWidth="1"/>
    <col min="11" max="11" width="20" bestFit="1" customWidth="1"/>
    <col min="12" max="12" width="16.26953125" bestFit="1" customWidth="1"/>
    <col min="13" max="13" width="17.453125" bestFit="1" customWidth="1"/>
    <col min="14" max="14" width="11.453125" bestFit="1" customWidth="1"/>
    <col min="15" max="15" width="14" customWidth="1"/>
    <col min="16" max="16" width="21.26953125" customWidth="1"/>
    <col min="17" max="17" width="17.26953125" customWidth="1"/>
    <col min="18" max="18" width="2.54296875" style="280" customWidth="1"/>
    <col min="19" max="24" width="17.26953125" customWidth="1"/>
    <col min="25" max="25" width="22" customWidth="1"/>
    <col min="26" max="26" width="13" customWidth="1"/>
    <col min="27" max="27" width="3.26953125" style="280" customWidth="1"/>
    <col min="28" max="28" width="13.1796875" customWidth="1"/>
    <col min="29" max="29" width="13.81640625" customWidth="1"/>
    <col min="30" max="30" width="15" customWidth="1"/>
    <col min="31" max="31" width="13" customWidth="1"/>
    <col min="32" max="32" width="15.26953125" customWidth="1"/>
    <col min="33" max="33" width="14.26953125" customWidth="1"/>
    <col min="34" max="34" width="28.453125" customWidth="1"/>
    <col min="35" max="35" width="13" customWidth="1"/>
    <col min="36" max="36" width="3.26953125" style="280" customWidth="1"/>
    <col min="37" max="39" width="14.453125" customWidth="1"/>
    <col min="40" max="40" width="3.26953125" style="280" customWidth="1"/>
    <col min="41" max="42" width="14.453125" customWidth="1"/>
    <col min="43" max="43" width="16.7265625" customWidth="1"/>
    <col min="44" max="44" width="3.453125" bestFit="1" customWidth="1"/>
    <col min="45" max="45" width="15.54296875" customWidth="1"/>
    <col min="46" max="46" width="15.81640625" customWidth="1"/>
    <col min="47" max="47" width="6.26953125" customWidth="1"/>
    <col min="48" max="48" width="15.26953125" bestFit="1" customWidth="1"/>
    <col min="49" max="49" width="23.7265625" bestFit="1" customWidth="1"/>
    <col min="50" max="50" width="22.1796875" bestFit="1" customWidth="1"/>
    <col min="51" max="51" width="17.453125" bestFit="1" customWidth="1"/>
    <col min="52" max="52" width="20" bestFit="1" customWidth="1"/>
    <col min="53" max="53" width="13.453125" bestFit="1" customWidth="1"/>
    <col min="54" max="54" width="16.26953125" bestFit="1" customWidth="1"/>
    <col min="55" max="55" width="21.26953125" bestFit="1" customWidth="1"/>
    <col min="56" max="56" width="3.453125" customWidth="1"/>
    <col min="57" max="64" width="17.26953125" customWidth="1"/>
    <col min="65" max="65" width="7.453125" bestFit="1" customWidth="1"/>
    <col min="66" max="66" width="5.26953125" customWidth="1"/>
    <col min="67" max="67" width="26" customWidth="1"/>
    <col min="68" max="68" width="27.1796875" customWidth="1"/>
    <col min="69" max="70" width="14.81640625" customWidth="1"/>
    <col min="71" max="71" width="13" customWidth="1"/>
    <col min="72" max="72" width="25.7265625" customWidth="1"/>
    <col min="73" max="73" width="12" customWidth="1"/>
    <col min="74" max="74" width="20.81640625" customWidth="1"/>
    <col min="75" max="75" width="7.453125" bestFit="1" customWidth="1"/>
    <col min="76" max="76" width="13.453125" bestFit="1" customWidth="1"/>
    <col min="77" max="77" width="14.81640625" bestFit="1" customWidth="1"/>
    <col min="78" max="78" width="15" bestFit="1" customWidth="1"/>
    <col min="79" max="79" width="15.81640625" customWidth="1"/>
    <col min="80" max="80" width="23.81640625" customWidth="1"/>
    <col min="81" max="81" width="26" customWidth="1"/>
    <col min="82" max="82" width="27.1796875" customWidth="1"/>
    <col min="83" max="83" width="17.1796875" bestFit="1" customWidth="1"/>
    <col min="84" max="84" width="3.453125" bestFit="1" customWidth="1"/>
    <col min="85" max="85" width="13" customWidth="1"/>
    <col min="86" max="86" width="25.7265625" customWidth="1"/>
    <col min="87" max="87" width="17.453125" bestFit="1" customWidth="1"/>
    <col min="88" max="88" width="20.81640625" customWidth="1"/>
    <col min="89" max="90" width="12.26953125" customWidth="1"/>
    <col min="91" max="91" width="15.1796875" bestFit="1" customWidth="1"/>
    <col min="92" max="92" width="20.1796875" bestFit="1" customWidth="1"/>
    <col min="93" max="93" width="3.453125" bestFit="1" customWidth="1"/>
    <col min="94" max="94" width="14" bestFit="1" customWidth="1"/>
    <col min="95" max="101" width="15.81640625" customWidth="1"/>
    <col min="102" max="102" width="6.26953125" bestFit="1" customWidth="1"/>
    <col min="103" max="103" width="15.26953125" bestFit="1" customWidth="1"/>
    <col min="104" max="110" width="15" customWidth="1"/>
    <col min="111" max="111" width="6.453125" bestFit="1" customWidth="1"/>
    <col min="112" max="112" width="6.54296875" customWidth="1"/>
    <col min="113" max="113" width="11.7265625" bestFit="1" customWidth="1"/>
    <col min="114" max="121" width="15" customWidth="1"/>
    <col min="122" max="122" width="6.54296875" bestFit="1" customWidth="1"/>
    <col min="123" max="130" width="15" customWidth="1"/>
    <col min="131" max="131" width="4.453125" style="280" bestFit="1" customWidth="1"/>
    <col min="132" max="134" width="15.1796875" bestFit="1" customWidth="1"/>
  </cols>
  <sheetData>
    <row r="1" spans="1:232">
      <c r="A1" s="1" t="s">
        <v>1010</v>
      </c>
      <c r="B1" s="1"/>
    </row>
    <row r="2" spans="1:23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  <c r="GX2">
        <v>206</v>
      </c>
      <c r="GY2">
        <v>207</v>
      </c>
      <c r="GZ2">
        <v>208</v>
      </c>
      <c r="HA2">
        <v>209</v>
      </c>
      <c r="HB2">
        <v>210</v>
      </c>
      <c r="HC2">
        <v>211</v>
      </c>
      <c r="HD2">
        <v>212</v>
      </c>
      <c r="HE2">
        <v>213</v>
      </c>
      <c r="HF2">
        <v>214</v>
      </c>
      <c r="HG2">
        <v>215</v>
      </c>
      <c r="HH2">
        <v>216</v>
      </c>
      <c r="HI2">
        <v>217</v>
      </c>
      <c r="HJ2">
        <v>218</v>
      </c>
      <c r="HK2">
        <v>219</v>
      </c>
      <c r="HL2">
        <v>220</v>
      </c>
      <c r="HM2">
        <v>221</v>
      </c>
      <c r="HN2">
        <v>222</v>
      </c>
      <c r="HO2">
        <v>223</v>
      </c>
      <c r="HP2">
        <v>224</v>
      </c>
      <c r="HQ2">
        <v>225</v>
      </c>
      <c r="HR2">
        <v>226</v>
      </c>
      <c r="HS2">
        <v>227</v>
      </c>
      <c r="HT2">
        <v>228</v>
      </c>
      <c r="HU2">
        <v>229</v>
      </c>
      <c r="HV2">
        <v>230</v>
      </c>
      <c r="HW2">
        <v>231</v>
      </c>
      <c r="HX2">
        <v>222</v>
      </c>
    </row>
    <row r="3" spans="1:232" ht="15" thickBot="1">
      <c r="D3" s="66"/>
      <c r="G3" s="66" t="s">
        <v>1011</v>
      </c>
      <c r="AB3" t="s">
        <v>21</v>
      </c>
      <c r="AC3" t="s">
        <v>21</v>
      </c>
      <c r="AD3" t="s">
        <v>21</v>
      </c>
      <c r="AE3" t="s">
        <v>21</v>
      </c>
      <c r="AF3" t="s">
        <v>21</v>
      </c>
      <c r="AG3" t="s">
        <v>24</v>
      </c>
      <c r="AM3" t="s">
        <v>21</v>
      </c>
      <c r="AS3" t="s">
        <v>21</v>
      </c>
      <c r="AV3" t="s">
        <v>21</v>
      </c>
      <c r="AW3" t="s">
        <v>21</v>
      </c>
      <c r="AX3" t="s">
        <v>21</v>
      </c>
      <c r="AY3" t="s">
        <v>21</v>
      </c>
      <c r="AZ3" t="s">
        <v>21</v>
      </c>
      <c r="BA3" t="s">
        <v>24</v>
      </c>
      <c r="BB3" t="s">
        <v>21</v>
      </c>
      <c r="BX3" t="s">
        <v>21</v>
      </c>
      <c r="BY3" t="s">
        <v>21</v>
      </c>
      <c r="BZ3" t="s">
        <v>21</v>
      </c>
      <c r="CA3" t="s">
        <v>21</v>
      </c>
      <c r="CB3" t="s">
        <v>21</v>
      </c>
      <c r="CC3" t="s">
        <v>24</v>
      </c>
      <c r="CD3" t="s">
        <v>21</v>
      </c>
      <c r="CG3" t="s">
        <v>21</v>
      </c>
      <c r="CH3" t="s">
        <v>21</v>
      </c>
      <c r="CI3" t="s">
        <v>21</v>
      </c>
      <c r="CJ3" t="s">
        <v>21</v>
      </c>
      <c r="CK3" t="s">
        <v>21</v>
      </c>
      <c r="CL3" t="s">
        <v>24</v>
      </c>
      <c r="CM3" t="s">
        <v>21</v>
      </c>
    </row>
    <row r="4" spans="1:232" s="1" customFormat="1" ht="15" thickBot="1">
      <c r="A4" s="1" t="s">
        <v>1012</v>
      </c>
      <c r="AV4" s="819" t="s">
        <v>1013</v>
      </c>
      <c r="AW4" s="820"/>
      <c r="AX4" s="820"/>
      <c r="AY4" s="820"/>
      <c r="AZ4" s="820"/>
      <c r="BA4" s="820"/>
      <c r="BB4" s="820"/>
      <c r="BC4" s="820"/>
      <c r="BD4" s="820"/>
      <c r="BE4" s="820"/>
      <c r="BF4" s="820"/>
      <c r="BG4" s="820"/>
      <c r="BH4" s="820"/>
      <c r="BI4" s="820"/>
      <c r="BJ4" s="820"/>
      <c r="BK4" s="820"/>
      <c r="BL4" s="820"/>
      <c r="BM4" s="820"/>
      <c r="BN4" s="820"/>
      <c r="BO4" s="820"/>
      <c r="BP4" s="820"/>
      <c r="BQ4" s="820"/>
      <c r="BR4" s="820"/>
      <c r="BS4" s="820"/>
      <c r="BT4" s="820"/>
      <c r="BU4" s="820"/>
      <c r="BV4" s="821"/>
      <c r="CG4" s="819" t="s">
        <v>1218</v>
      </c>
      <c r="CH4" s="820"/>
      <c r="CI4" s="820"/>
      <c r="CJ4" s="820"/>
      <c r="CK4" s="820"/>
      <c r="CL4" s="820"/>
      <c r="CM4" s="820"/>
      <c r="CN4" s="820"/>
      <c r="CO4" s="820"/>
      <c r="CP4" s="820"/>
      <c r="CQ4" s="820"/>
      <c r="CR4" s="820"/>
      <c r="CS4" s="820"/>
      <c r="CT4" s="820"/>
      <c r="CU4" s="820"/>
      <c r="CV4" s="820"/>
      <c r="CW4" s="820"/>
      <c r="CX4" s="820"/>
      <c r="CY4" s="820"/>
      <c r="CZ4" s="820"/>
      <c r="DA4" s="820"/>
      <c r="DB4" s="820"/>
      <c r="DC4" s="820"/>
      <c r="DD4" s="820"/>
      <c r="DE4" s="820"/>
      <c r="DF4" s="821"/>
    </row>
    <row r="5" spans="1:232" ht="19" thickBot="1">
      <c r="D5" s="66"/>
      <c r="G5" s="66"/>
      <c r="J5" s="415" t="s">
        <v>1014</v>
      </c>
      <c r="K5" s="416"/>
      <c r="L5" s="416"/>
      <c r="M5" s="416"/>
      <c r="N5" s="416"/>
      <c r="O5" s="416"/>
      <c r="P5" s="416"/>
      <c r="Q5" s="416"/>
      <c r="R5" s="417"/>
      <c r="S5" s="416"/>
      <c r="T5" s="416"/>
      <c r="U5" s="416"/>
      <c r="V5" s="416"/>
      <c r="W5" s="416"/>
      <c r="X5" s="416"/>
      <c r="Y5" s="416"/>
      <c r="Z5" s="416"/>
      <c r="AA5" s="417"/>
      <c r="AB5" s="416"/>
      <c r="AC5" s="416"/>
      <c r="AD5" s="416"/>
      <c r="AE5" s="416"/>
      <c r="AF5" s="416"/>
      <c r="AG5" s="416"/>
      <c r="AH5" s="416"/>
      <c r="AI5" s="416"/>
      <c r="AJ5" s="417"/>
      <c r="AK5" s="413"/>
      <c r="AL5" s="413"/>
      <c r="AM5" s="414"/>
      <c r="AN5" s="417"/>
      <c r="AO5" s="413"/>
      <c r="AP5" s="413"/>
      <c r="AQ5" s="414"/>
      <c r="AR5" s="1"/>
      <c r="AV5" s="822" t="s">
        <v>1015</v>
      </c>
      <c r="AW5" s="413"/>
      <c r="AX5" s="413"/>
      <c r="AY5" s="413"/>
      <c r="AZ5" s="413"/>
      <c r="BA5" s="413"/>
      <c r="BB5" s="413"/>
      <c r="BC5" s="414"/>
      <c r="BE5" s="822" t="s">
        <v>1016</v>
      </c>
      <c r="BF5" s="413"/>
      <c r="BG5" s="413"/>
      <c r="BH5" s="413"/>
      <c r="BI5" s="413"/>
      <c r="BJ5" s="413"/>
      <c r="BK5" s="413"/>
      <c r="BL5" s="414"/>
      <c r="BO5" s="822" t="s">
        <v>1017</v>
      </c>
      <c r="BP5" s="413"/>
      <c r="BQ5" s="413"/>
      <c r="BR5" s="413"/>
      <c r="BS5" s="413"/>
      <c r="BT5" s="413"/>
      <c r="BU5" s="413"/>
      <c r="BV5" s="414"/>
      <c r="CC5" s="1"/>
      <c r="CG5" s="822" t="s">
        <v>1015</v>
      </c>
      <c r="CH5" s="413"/>
      <c r="CI5" s="413"/>
      <c r="CJ5" s="413"/>
      <c r="CK5" s="413"/>
      <c r="CL5" s="413"/>
      <c r="CM5" s="413"/>
      <c r="CN5" s="414"/>
      <c r="CP5" s="822" t="s">
        <v>1016</v>
      </c>
      <c r="CQ5" s="413"/>
      <c r="CR5" s="413"/>
      <c r="CS5" s="413"/>
      <c r="CT5" s="413"/>
      <c r="CU5" s="413"/>
      <c r="CV5" s="413"/>
      <c r="CW5" s="414"/>
      <c r="CY5" s="822" t="s">
        <v>1017</v>
      </c>
      <c r="CZ5" s="413"/>
      <c r="DA5" s="413"/>
      <c r="DB5" s="413"/>
      <c r="DC5" s="413"/>
      <c r="DD5" s="413"/>
      <c r="DE5" s="413"/>
      <c r="DF5" s="414"/>
    </row>
    <row r="6" spans="1:232" ht="15" thickBot="1">
      <c r="A6" t="s">
        <v>1018</v>
      </c>
      <c r="I6"/>
      <c r="R6"/>
      <c r="AA6"/>
      <c r="AJ6"/>
      <c r="AN6"/>
      <c r="EA6"/>
    </row>
    <row r="7" spans="1:232" ht="73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28" t="s">
        <v>1019</v>
      </c>
      <c r="I7" s="281"/>
      <c r="J7" s="402" t="s">
        <v>1020</v>
      </c>
      <c r="K7" s="402" t="s">
        <v>1021</v>
      </c>
      <c r="L7" s="402" t="s">
        <v>1022</v>
      </c>
      <c r="M7" s="402" t="s">
        <v>1023</v>
      </c>
      <c r="N7" s="402" t="s">
        <v>1024</v>
      </c>
      <c r="O7" s="402" t="s">
        <v>1025</v>
      </c>
      <c r="P7" s="402" t="s">
        <v>1026</v>
      </c>
      <c r="Q7" s="402" t="s">
        <v>1027</v>
      </c>
      <c r="R7" s="281"/>
      <c r="S7" s="401" t="s">
        <v>1020</v>
      </c>
      <c r="T7" s="401" t="s">
        <v>1028</v>
      </c>
      <c r="U7" s="401" t="s">
        <v>1029</v>
      </c>
      <c r="V7" s="401" t="s">
        <v>1030</v>
      </c>
      <c r="W7" s="401" t="s">
        <v>1031</v>
      </c>
      <c r="X7" s="401" t="s">
        <v>1025</v>
      </c>
      <c r="Y7" s="401" t="s">
        <v>1032</v>
      </c>
      <c r="Z7" s="401" t="s">
        <v>1033</v>
      </c>
      <c r="AA7" s="281"/>
      <c r="AB7" s="403" t="s">
        <v>1020</v>
      </c>
      <c r="AC7" s="403" t="s">
        <v>1034</v>
      </c>
      <c r="AD7" s="403" t="s">
        <v>1035</v>
      </c>
      <c r="AE7" s="403" t="s">
        <v>1036</v>
      </c>
      <c r="AF7" s="403" t="s">
        <v>1037</v>
      </c>
      <c r="AG7" s="403" t="s">
        <v>1025</v>
      </c>
      <c r="AH7" s="403" t="s">
        <v>1038</v>
      </c>
      <c r="AI7" s="403" t="s">
        <v>1039</v>
      </c>
      <c r="AJ7" s="281"/>
      <c r="AK7" s="419" t="s">
        <v>1040</v>
      </c>
      <c r="AL7" s="419" t="s">
        <v>1041</v>
      </c>
      <c r="AM7" s="419" t="s">
        <v>1042</v>
      </c>
      <c r="AN7" s="281"/>
      <c r="AO7" s="418" t="s">
        <v>1043</v>
      </c>
      <c r="AP7" s="418" t="s">
        <v>1044</v>
      </c>
      <c r="AQ7" s="418" t="s">
        <v>1045</v>
      </c>
      <c r="AR7" s="149"/>
      <c r="AS7" s="428" t="s">
        <v>1046</v>
      </c>
      <c r="AT7" s="428" t="s">
        <v>1047</v>
      </c>
      <c r="AU7" s="149"/>
      <c r="AV7" s="402" t="s">
        <v>1020</v>
      </c>
      <c r="AW7" s="402" t="s">
        <v>1021</v>
      </c>
      <c r="AX7" s="402" t="s">
        <v>1022</v>
      </c>
      <c r="AY7" s="402" t="s">
        <v>1023</v>
      </c>
      <c r="AZ7" s="402" t="s">
        <v>1024</v>
      </c>
      <c r="BA7" s="402" t="s">
        <v>1025</v>
      </c>
      <c r="BB7" s="402" t="s">
        <v>1048</v>
      </c>
      <c r="BC7" s="402" t="s">
        <v>1049</v>
      </c>
      <c r="BE7" s="402" t="s">
        <v>1020</v>
      </c>
      <c r="BF7" s="402" t="s">
        <v>1021</v>
      </c>
      <c r="BG7" s="402" t="s">
        <v>1022</v>
      </c>
      <c r="BH7" s="402" t="s">
        <v>1023</v>
      </c>
      <c r="BI7" s="402" t="s">
        <v>1024</v>
      </c>
      <c r="BJ7" s="402" t="s">
        <v>1025</v>
      </c>
      <c r="BK7" s="402" t="s">
        <v>1048</v>
      </c>
      <c r="BL7" s="402" t="s">
        <v>1050</v>
      </c>
      <c r="BO7" s="402" t="s">
        <v>1020</v>
      </c>
      <c r="BP7" s="402" t="s">
        <v>1021</v>
      </c>
      <c r="BQ7" s="402" t="s">
        <v>1022</v>
      </c>
      <c r="BR7" s="402" t="s">
        <v>1023</v>
      </c>
      <c r="BS7" s="402" t="s">
        <v>1024</v>
      </c>
      <c r="BT7" s="402" t="s">
        <v>1025</v>
      </c>
      <c r="BU7" s="402" t="s">
        <v>1048</v>
      </c>
      <c r="BV7" s="402" t="s">
        <v>1051</v>
      </c>
      <c r="BW7" s="396"/>
      <c r="BX7" s="402" t="s">
        <v>1020</v>
      </c>
      <c r="BY7" s="402" t="s">
        <v>1021</v>
      </c>
      <c r="BZ7" s="402" t="s">
        <v>1022</v>
      </c>
      <c r="CA7" s="402" t="s">
        <v>1023</v>
      </c>
      <c r="CB7" s="402" t="s">
        <v>1024</v>
      </c>
      <c r="CC7" s="402" t="s">
        <v>1025</v>
      </c>
      <c r="CD7" s="402" t="s">
        <v>1048</v>
      </c>
      <c r="CE7" s="402" t="s">
        <v>1051</v>
      </c>
      <c r="CF7" s="149"/>
      <c r="CG7" s="401" t="s">
        <v>1020</v>
      </c>
      <c r="CH7" s="401" t="s">
        <v>1028</v>
      </c>
      <c r="CI7" s="401" t="s">
        <v>1029</v>
      </c>
      <c r="CJ7" s="401" t="s">
        <v>1030</v>
      </c>
      <c r="CK7" s="401" t="s">
        <v>1031</v>
      </c>
      <c r="CL7" s="401" t="s">
        <v>1025</v>
      </c>
      <c r="CM7" s="401" t="s">
        <v>1048</v>
      </c>
      <c r="CN7" s="401" t="s">
        <v>1217</v>
      </c>
      <c r="CO7" s="397"/>
      <c r="CP7" s="401" t="s">
        <v>1020</v>
      </c>
      <c r="CQ7" s="401" t="s">
        <v>1028</v>
      </c>
      <c r="CR7" s="401" t="s">
        <v>1029</v>
      </c>
      <c r="CS7" s="401" t="s">
        <v>1030</v>
      </c>
      <c r="CT7" s="401" t="s">
        <v>1031</v>
      </c>
      <c r="CU7" s="401" t="s">
        <v>1025</v>
      </c>
      <c r="CV7" s="401" t="s">
        <v>1048</v>
      </c>
      <c r="CW7" s="401" t="s">
        <v>1217</v>
      </c>
      <c r="CX7" s="208"/>
      <c r="CY7" s="401" t="s">
        <v>1020</v>
      </c>
      <c r="CZ7" s="401" t="s">
        <v>1028</v>
      </c>
      <c r="DA7" s="401" t="s">
        <v>1029</v>
      </c>
      <c r="DB7" s="401" t="s">
        <v>1030</v>
      </c>
      <c r="DC7" s="401" t="s">
        <v>1031</v>
      </c>
      <c r="DD7" s="401" t="s">
        <v>1025</v>
      </c>
      <c r="DE7" s="401" t="s">
        <v>1048</v>
      </c>
      <c r="DF7" s="401" t="s">
        <v>1217</v>
      </c>
      <c r="DG7" s="208"/>
      <c r="DI7" s="208"/>
      <c r="DJ7" s="208"/>
      <c r="DK7" s="208"/>
      <c r="DL7" s="208"/>
      <c r="DM7" s="208"/>
      <c r="DN7" s="208"/>
      <c r="DO7" s="208"/>
      <c r="DP7" s="208"/>
      <c r="DQ7" s="208"/>
      <c r="DS7" s="208"/>
      <c r="DT7" s="208"/>
      <c r="DU7" s="208"/>
      <c r="DV7" s="208"/>
      <c r="DW7" s="208"/>
      <c r="DX7" s="208"/>
      <c r="DY7" s="208"/>
      <c r="DZ7" s="208"/>
      <c r="EB7" s="295" t="s">
        <v>21</v>
      </c>
      <c r="EC7" s="296" t="s">
        <v>24</v>
      </c>
      <c r="ED7" s="297" t="s">
        <v>479</v>
      </c>
    </row>
    <row r="8" spans="1:232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tr">
        <f>VLOOKUP(A8,'Summary Mar 2026'!$A$8:$F$207,6,FALSE)</f>
        <v>Chq Bk</v>
      </c>
      <c r="G8" s="186"/>
      <c r="H8" s="223">
        <v>238873.10056274381</v>
      </c>
      <c r="I8" s="294"/>
      <c r="J8" s="223">
        <v>0</v>
      </c>
      <c r="K8" s="223">
        <v>49783.5</v>
      </c>
      <c r="L8" s="223">
        <v>136858.79999999999</v>
      </c>
      <c r="M8" s="223">
        <v>7215</v>
      </c>
      <c r="N8" s="223">
        <v>223.73684210526318</v>
      </c>
      <c r="O8" s="223">
        <v>1925.3684210526317</v>
      </c>
      <c r="P8" s="33">
        <f>SUM(J8:O8)</f>
        <v>196006.40526315788</v>
      </c>
      <c r="Q8" s="223">
        <f>P8*80%</f>
        <v>156805.12421052632</v>
      </c>
      <c r="R8" s="294"/>
      <c r="S8" s="223">
        <v>0</v>
      </c>
      <c r="T8" s="223">
        <v>47128.38</v>
      </c>
      <c r="U8" s="223">
        <v>59599.8</v>
      </c>
      <c r="V8" s="223">
        <v>5070</v>
      </c>
      <c r="W8" s="223">
        <v>372.89473684210526</v>
      </c>
      <c r="X8" s="223">
        <v>641.78947368421052</v>
      </c>
      <c r="Y8" s="223">
        <f>SUM(S8:X8)</f>
        <v>112812.86421052631</v>
      </c>
      <c r="Z8" s="223">
        <f>Y8*80%</f>
        <v>90250.291368421051</v>
      </c>
      <c r="AA8" s="294"/>
      <c r="AB8" s="398">
        <v>0</v>
      </c>
      <c r="AC8" s="398">
        <v>36279.473684210519</v>
      </c>
      <c r="AD8" s="398">
        <v>92978.905263157896</v>
      </c>
      <c r="AE8" s="398">
        <v>4774.7368421052633</v>
      </c>
      <c r="AF8" s="398">
        <v>326.09418282548472</v>
      </c>
      <c r="AG8" s="398">
        <v>841.86149584487532</v>
      </c>
      <c r="AH8" s="223">
        <f>SUM(AB8:AG8)</f>
        <v>135201.07146814401</v>
      </c>
      <c r="AI8" s="398">
        <f>AH8*80%</f>
        <v>108160.85717451521</v>
      </c>
      <c r="AJ8" s="294"/>
      <c r="AK8" s="398">
        <v>5343</v>
      </c>
      <c r="AL8" s="398">
        <v>3018.5999999999995</v>
      </c>
      <c r="AM8" s="398">
        <v>3531.0315789473684</v>
      </c>
      <c r="AN8" s="294"/>
      <c r="AO8" s="398">
        <f>AK8*80%</f>
        <v>4274.4000000000005</v>
      </c>
      <c r="AP8" s="398">
        <f t="shared" ref="AP8:AQ8" si="0">AL8*80%</f>
        <v>2414.8799999999997</v>
      </c>
      <c r="AQ8" s="398">
        <f t="shared" si="0"/>
        <v>2824.8252631578948</v>
      </c>
      <c r="AR8" s="293"/>
      <c r="AS8" s="293">
        <v>230741.71200913202</v>
      </c>
      <c r="AT8" s="576">
        <f>AS8-H8</f>
        <v>-8131.3885536117887</v>
      </c>
      <c r="AU8" s="293"/>
      <c r="AV8" s="293">
        <v>2324.4</v>
      </c>
      <c r="AW8" s="293">
        <v>49783.5</v>
      </c>
      <c r="AX8" s="293">
        <v>109711.17600000001</v>
      </c>
      <c r="AY8" s="293">
        <v>9165</v>
      </c>
      <c r="AZ8" s="293">
        <v>3430.6315789473683</v>
      </c>
      <c r="BA8" s="293">
        <v>2888.0099999999998</v>
      </c>
      <c r="BB8" s="293">
        <v>4344.5999999999995</v>
      </c>
      <c r="BC8" s="293">
        <f>SUM(AV8:BB8)+AS8</f>
        <v>412389.02958807943</v>
      </c>
      <c r="BE8" s="58">
        <f>AV8-J8</f>
        <v>2324.4</v>
      </c>
      <c r="BF8" s="58">
        <f t="shared" ref="BF8:BJ8" si="1">AW8-K8</f>
        <v>0</v>
      </c>
      <c r="BG8" s="58">
        <f t="shared" si="1"/>
        <v>-27147.623999999982</v>
      </c>
      <c r="BH8" s="58">
        <f t="shared" si="1"/>
        <v>1950</v>
      </c>
      <c r="BI8" s="58">
        <f t="shared" si="1"/>
        <v>3206.894736842105</v>
      </c>
      <c r="BJ8" s="58">
        <f t="shared" si="1"/>
        <v>962.64157894736809</v>
      </c>
      <c r="BK8" s="58">
        <f>BB8-AK8</f>
        <v>-998.40000000000055</v>
      </c>
      <c r="BL8" s="58">
        <f>SUM(BE8:BK8)+AT8</f>
        <v>-27833.476237822295</v>
      </c>
      <c r="BM8" s="33">
        <f>BC8-(P8+H8+BL8+AK8)</f>
        <v>0</v>
      </c>
      <c r="BN8" s="33"/>
      <c r="BO8" s="293">
        <f t="shared" ref="BO8:BO29" si="2">AV8-(J8*80%)</f>
        <v>2324.4</v>
      </c>
      <c r="BP8" s="293">
        <f t="shared" ref="BP8:BP29" si="3">AW8-(K8*80%)</f>
        <v>9956.6999999999971</v>
      </c>
      <c r="BQ8" s="293">
        <f t="shared" ref="BQ8:BQ29" si="4">AX8-(L8*80%)</f>
        <v>224.13600000001315</v>
      </c>
      <c r="BR8" s="293">
        <f t="shared" ref="BR8:BR29" si="5">AY8-(M8*80%)</f>
        <v>3393</v>
      </c>
      <c r="BS8" s="293">
        <f t="shared" ref="BS8:BS29" si="6">AZ8-(N8*80%)</f>
        <v>3251.6421052631576</v>
      </c>
      <c r="BT8" s="293">
        <f t="shared" ref="BT8:BT29" si="7">BA8-(O8*80%)</f>
        <v>1347.7152631578942</v>
      </c>
      <c r="BU8" s="293">
        <f t="shared" ref="BU8:BU29" si="8">BB8-(AK8*80%)</f>
        <v>70.199999999998909</v>
      </c>
      <c r="BV8" s="293">
        <f t="shared" ref="BV8:BV71" si="9">SUM(BO8:BU8)+AT8</f>
        <v>12436.40481480927</v>
      </c>
      <c r="BW8" s="293">
        <f t="shared" ref="BW8:BW71" si="10">(Q8+AO8+AS8+BV8)-BC8-AT8</f>
        <v>-2.9103830456733704E-11</v>
      </c>
      <c r="BX8" s="293">
        <v>0</v>
      </c>
      <c r="BY8" s="293">
        <v>-4978.3499999999985</v>
      </c>
      <c r="BZ8" s="293">
        <v>0</v>
      </c>
      <c r="CA8" s="293">
        <v>0</v>
      </c>
      <c r="CB8" s="293">
        <v>111.86842105263122</v>
      </c>
      <c r="CC8" s="293">
        <v>5553.99</v>
      </c>
      <c r="CD8" s="293">
        <v>345.15000000000055</v>
      </c>
      <c r="CE8" s="293">
        <f>SUM(BX8:CD8)</f>
        <v>1032.6584210526335</v>
      </c>
      <c r="CF8" s="293"/>
      <c r="CG8" s="293">
        <v>0</v>
      </c>
      <c r="CH8" s="293">
        <v>66378</v>
      </c>
      <c r="CI8" s="293">
        <v>60194.100000000006</v>
      </c>
      <c r="CJ8" s="293">
        <v>7215</v>
      </c>
      <c r="CK8" s="293">
        <v>2238.6</v>
      </c>
      <c r="CL8" s="293">
        <v>2814</v>
      </c>
      <c r="CM8" s="293">
        <v>3149.25</v>
      </c>
      <c r="CN8" s="293">
        <f>SUM(CG8:CM8)</f>
        <v>141988.95000000001</v>
      </c>
      <c r="CO8" s="293"/>
      <c r="CP8" s="58">
        <f t="shared" ref="CP8:CU8" si="11">CG8-S8</f>
        <v>0</v>
      </c>
      <c r="CQ8" s="223">
        <f t="shared" si="11"/>
        <v>19249.620000000003</v>
      </c>
      <c r="CR8" s="223">
        <f t="shared" si="11"/>
        <v>594.30000000000291</v>
      </c>
      <c r="CS8" s="223">
        <f t="shared" si="11"/>
        <v>2145</v>
      </c>
      <c r="CT8" s="223">
        <f t="shared" si="11"/>
        <v>1865.7052631578947</v>
      </c>
      <c r="CU8" s="223">
        <f t="shared" si="11"/>
        <v>2172.2105263157896</v>
      </c>
      <c r="CV8" s="223">
        <f>CM8-AL8</f>
        <v>130.65000000000055</v>
      </c>
      <c r="CW8" s="223">
        <f>SUM(CP8:CV8)</f>
        <v>26157.485789473692</v>
      </c>
      <c r="CX8" s="223">
        <f>(Y8+CW8+AL8)-CN8</f>
        <v>0</v>
      </c>
      <c r="CY8" s="58">
        <f t="shared" ref="CY8:DD8" si="12">CG8-(S8*80%)</f>
        <v>0</v>
      </c>
      <c r="CZ8" s="399">
        <f t="shared" si="12"/>
        <v>28675.296000000002</v>
      </c>
      <c r="DA8" s="399">
        <f t="shared" si="12"/>
        <v>12514.260000000002</v>
      </c>
      <c r="DB8" s="399">
        <f t="shared" si="12"/>
        <v>3159</v>
      </c>
      <c r="DC8" s="399">
        <f t="shared" si="12"/>
        <v>1940.2842105263157</v>
      </c>
      <c r="DD8" s="399">
        <f t="shared" si="12"/>
        <v>2300.5684210526315</v>
      </c>
      <c r="DE8" s="399">
        <f>CM8-AP8</f>
        <v>734.37000000000035</v>
      </c>
      <c r="DF8" s="399">
        <f>SUM(CY8:DE8)</f>
        <v>49323.778631578956</v>
      </c>
      <c r="DG8" s="399">
        <f>(Z8+DF8+AP8)-CN8</f>
        <v>0</v>
      </c>
      <c r="DI8" s="399"/>
      <c r="DJ8" s="399"/>
      <c r="DK8" s="399"/>
      <c r="DL8" s="399"/>
      <c r="DM8" s="399"/>
      <c r="DN8" s="399"/>
      <c r="DO8" s="399"/>
      <c r="DP8" s="399"/>
      <c r="DQ8" s="399"/>
      <c r="DS8" s="399"/>
      <c r="DT8" s="399"/>
      <c r="DU8" s="399"/>
      <c r="DV8" s="399"/>
      <c r="DW8" s="399"/>
      <c r="DX8" s="399"/>
      <c r="DY8" s="399"/>
      <c r="DZ8" s="399"/>
      <c r="EB8" s="228">
        <f>((SUMIFS($J8:$AQ8,$J$3:$AQ$3,$EB$7)*80%))+SUMIFS($AS8:$AT8,$AS$3:$AT$3,$EB$7)+SUMIFS($AV8:$CN8,$AV$3:$CN$3,$EB$7)</f>
        <v>654466.83125012927</v>
      </c>
      <c r="EC8" s="228">
        <f>(SUMIFS($J8:$AQ8,$J$3:$AQ$3,$EC$7)*80%)+SUMIFS($AV8:$CN8,$AV$3:$CN$3,$EC$7)</f>
        <v>11929.489196675901</v>
      </c>
      <c r="ED8" s="214">
        <f>EB8+EC8</f>
        <v>666396.32044680521</v>
      </c>
    </row>
    <row r="9" spans="1:232" hidden="1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3" t="str">
        <f>VLOOKUP(A9,'Summary Mar 2026'!$A$8:$F$207,6,FALSE)</f>
        <v>Chq Bk</v>
      </c>
      <c r="G9" s="33"/>
      <c r="H9" s="223">
        <v>0</v>
      </c>
      <c r="I9" s="294"/>
      <c r="J9" s="223">
        <v>0</v>
      </c>
      <c r="K9" s="223">
        <v>0</v>
      </c>
      <c r="L9" s="223">
        <v>0</v>
      </c>
      <c r="M9" s="223">
        <v>0</v>
      </c>
      <c r="N9" s="223">
        <v>0</v>
      </c>
      <c r="O9" s="223">
        <v>0</v>
      </c>
      <c r="P9" s="33">
        <f t="shared" ref="P9:P72" si="13">SUM(J9:O9)</f>
        <v>0</v>
      </c>
      <c r="Q9" s="223">
        <f t="shared" ref="Q9:Q72" si="14">P9*80%</f>
        <v>0</v>
      </c>
      <c r="R9" s="294"/>
      <c r="S9" s="223">
        <v>0</v>
      </c>
      <c r="T9" s="223">
        <v>0</v>
      </c>
      <c r="U9" s="223">
        <v>0</v>
      </c>
      <c r="V9" s="223">
        <v>0</v>
      </c>
      <c r="W9" s="223">
        <v>0</v>
      </c>
      <c r="X9" s="223">
        <v>0</v>
      </c>
      <c r="Y9" s="223">
        <f t="shared" ref="Y9:Y72" si="15">SUM(S9:X9)</f>
        <v>0</v>
      </c>
      <c r="Z9" s="223">
        <f t="shared" ref="Z9:Z72" si="16">Y9*80%</f>
        <v>0</v>
      </c>
      <c r="AA9" s="294"/>
      <c r="AB9" s="398">
        <v>0</v>
      </c>
      <c r="AC9" s="398">
        <v>0</v>
      </c>
      <c r="AD9" s="398">
        <v>0</v>
      </c>
      <c r="AE9" s="398">
        <v>0</v>
      </c>
      <c r="AF9" s="398">
        <v>0</v>
      </c>
      <c r="AG9" s="398">
        <v>0</v>
      </c>
      <c r="AH9" s="223">
        <f t="shared" ref="AH9:AH72" si="17">SUM(AB9:AG9)</f>
        <v>0</v>
      </c>
      <c r="AI9" s="398">
        <f t="shared" ref="AI9:AI72" si="18">AH9*80%</f>
        <v>0</v>
      </c>
      <c r="AJ9" s="294"/>
      <c r="AK9" s="398">
        <v>0</v>
      </c>
      <c r="AL9" s="398">
        <v>0</v>
      </c>
      <c r="AM9" s="398">
        <v>0</v>
      </c>
      <c r="AN9" s="294"/>
      <c r="AO9" s="398">
        <f t="shared" ref="AO9:AO72" si="19">AK9*80%</f>
        <v>0</v>
      </c>
      <c r="AP9" s="398">
        <f t="shared" ref="AP9:AP72" si="20">AL9*80%</f>
        <v>0</v>
      </c>
      <c r="AQ9" s="398">
        <f t="shared" ref="AQ9:AQ72" si="21">AM9*80%</f>
        <v>0</v>
      </c>
      <c r="AR9" s="293"/>
      <c r="AS9" s="293">
        <v>0</v>
      </c>
      <c r="AT9" s="576">
        <f t="shared" ref="AT9:AT72" si="22">AS9-H9</f>
        <v>0</v>
      </c>
      <c r="AU9" s="293"/>
      <c r="AV9" s="293">
        <v>0</v>
      </c>
      <c r="AW9" s="293">
        <v>0</v>
      </c>
      <c r="AX9" s="293">
        <v>0</v>
      </c>
      <c r="AY9" s="293">
        <v>0</v>
      </c>
      <c r="AZ9" s="293">
        <v>0</v>
      </c>
      <c r="BA9" s="293">
        <v>0</v>
      </c>
      <c r="BB9" s="293">
        <v>0</v>
      </c>
      <c r="BC9" s="293">
        <f t="shared" ref="BC9:BC72" si="23">SUM(AV9:BB9)+AS9</f>
        <v>0</v>
      </c>
      <c r="BE9" s="58">
        <f t="shared" ref="BE9:BE72" si="24">AV9-J9</f>
        <v>0</v>
      </c>
      <c r="BF9" s="58">
        <f t="shared" ref="BF9:BF72" si="25">AW9-K9</f>
        <v>0</v>
      </c>
      <c r="BG9" s="58">
        <f t="shared" ref="BG9:BG72" si="26">AX9-L9</f>
        <v>0</v>
      </c>
      <c r="BH9" s="58">
        <f t="shared" ref="BH9:BH72" si="27">AY9-M9</f>
        <v>0</v>
      </c>
      <c r="BI9" s="58">
        <f t="shared" ref="BI9:BI72" si="28">AZ9-N9</f>
        <v>0</v>
      </c>
      <c r="BJ9" s="58">
        <f t="shared" ref="BJ9:BJ72" si="29">BA9-O9</f>
        <v>0</v>
      </c>
      <c r="BK9" s="58">
        <f t="shared" ref="BK9:BK72" si="30">BB9-AK9</f>
        <v>0</v>
      </c>
      <c r="BL9" s="58">
        <f t="shared" ref="BL9:BL72" si="31">SUM(BE9:BK9)+AT9</f>
        <v>0</v>
      </c>
      <c r="BM9" s="33">
        <f t="shared" ref="BM9:BM72" si="32">BC9-(P9+H9+BL9+AK9)</f>
        <v>0</v>
      </c>
      <c r="BN9" s="33"/>
      <c r="BO9" s="293">
        <f t="shared" si="2"/>
        <v>0</v>
      </c>
      <c r="BP9" s="293">
        <f t="shared" si="3"/>
        <v>0</v>
      </c>
      <c r="BQ9" s="293">
        <f t="shared" si="4"/>
        <v>0</v>
      </c>
      <c r="BR9" s="293">
        <f t="shared" si="5"/>
        <v>0</v>
      </c>
      <c r="BS9" s="293">
        <f t="shared" si="6"/>
        <v>0</v>
      </c>
      <c r="BT9" s="293">
        <f t="shared" si="7"/>
        <v>0</v>
      </c>
      <c r="BU9" s="293">
        <f t="shared" si="8"/>
        <v>0</v>
      </c>
      <c r="BV9" s="293">
        <f t="shared" si="9"/>
        <v>0</v>
      </c>
      <c r="BW9" s="293">
        <f t="shared" si="10"/>
        <v>0</v>
      </c>
      <c r="BX9" s="293">
        <v>0</v>
      </c>
      <c r="BY9" s="293">
        <v>0</v>
      </c>
      <c r="BZ9" s="293">
        <v>0</v>
      </c>
      <c r="CA9" s="293">
        <v>0</v>
      </c>
      <c r="CB9" s="293">
        <v>0</v>
      </c>
      <c r="CC9" s="293">
        <v>0</v>
      </c>
      <c r="CD9" s="293">
        <v>0</v>
      </c>
      <c r="CE9" s="293">
        <f t="shared" ref="CE9:CE72" si="33">SUM(BX9:CD9)</f>
        <v>0</v>
      </c>
      <c r="CF9" s="293"/>
      <c r="CG9" s="293">
        <v>0</v>
      </c>
      <c r="CH9" s="293">
        <v>0</v>
      </c>
      <c r="CI9" s="293">
        <v>0</v>
      </c>
      <c r="CJ9" s="293">
        <v>0</v>
      </c>
      <c r="CK9" s="293">
        <v>0</v>
      </c>
      <c r="CL9" s="293">
        <v>0</v>
      </c>
      <c r="CM9" s="293">
        <v>0</v>
      </c>
      <c r="CN9" s="293">
        <f t="shared" ref="CN9:CN72" si="34">SUM(CG9:CM9)</f>
        <v>0</v>
      </c>
      <c r="CO9" s="293"/>
      <c r="CP9" s="58">
        <f t="shared" ref="CP9:CP72" si="35">CG9-S9</f>
        <v>0</v>
      </c>
      <c r="CQ9" s="223">
        <f t="shared" ref="CQ9:CQ72" si="36">CH9-T9</f>
        <v>0</v>
      </c>
      <c r="CR9" s="223">
        <f t="shared" ref="CR9:CR72" si="37">CI9-U9</f>
        <v>0</v>
      </c>
      <c r="CS9" s="223">
        <f t="shared" ref="CS9:CS72" si="38">CJ9-V9</f>
        <v>0</v>
      </c>
      <c r="CT9" s="223">
        <f t="shared" ref="CT9:CT72" si="39">CK9-W9</f>
        <v>0</v>
      </c>
      <c r="CU9" s="223">
        <f t="shared" ref="CU9:CU72" si="40">CL9-X9</f>
        <v>0</v>
      </c>
      <c r="CV9" s="223">
        <f t="shared" ref="CV9:CV72" si="41">CM9-AL9</f>
        <v>0</v>
      </c>
      <c r="CW9" s="223">
        <f t="shared" ref="CW9:CW72" si="42">SUM(CP9:CV9)</f>
        <v>0</v>
      </c>
      <c r="CX9" s="223">
        <f t="shared" ref="CX9:CX72" si="43">(Y9+CW9+AL9)-CN9</f>
        <v>0</v>
      </c>
      <c r="CY9" s="58">
        <f t="shared" ref="CY9:CY72" si="44">CG9-(S9*80%)</f>
        <v>0</v>
      </c>
      <c r="CZ9" s="399">
        <f t="shared" ref="CZ9:CZ72" si="45">CH9-(T9*80%)</f>
        <v>0</v>
      </c>
      <c r="DA9" s="399">
        <f t="shared" ref="DA9:DA72" si="46">CI9-(U9*80%)</f>
        <v>0</v>
      </c>
      <c r="DB9" s="399">
        <f t="shared" ref="DB9:DB72" si="47">CJ9-(V9*80%)</f>
        <v>0</v>
      </c>
      <c r="DC9" s="399">
        <f t="shared" ref="DC9:DC72" si="48">CK9-(W9*80%)</f>
        <v>0</v>
      </c>
      <c r="DD9" s="399">
        <f t="shared" ref="DD9:DD72" si="49">CL9-(X9*80%)</f>
        <v>0</v>
      </c>
      <c r="DE9" s="399">
        <f t="shared" ref="DE9:DE72" si="50">CM9-AP9</f>
        <v>0</v>
      </c>
      <c r="DF9" s="399">
        <f t="shared" ref="DF9:DF72" si="51">SUM(CY9:DE9)</f>
        <v>0</v>
      </c>
      <c r="DG9" s="399">
        <f t="shared" ref="DG9:DG72" si="52">(Z9+DF9+AP9)-CN9</f>
        <v>0</v>
      </c>
      <c r="DI9" s="399"/>
      <c r="DJ9" s="399"/>
      <c r="DK9" s="399"/>
      <c r="DL9" s="399"/>
      <c r="DM9" s="399"/>
      <c r="DN9" s="399"/>
      <c r="DO9" s="399"/>
      <c r="DP9" s="399"/>
      <c r="DQ9" s="399"/>
      <c r="DS9" s="399"/>
      <c r="DT9" s="399"/>
      <c r="DU9" s="399"/>
      <c r="DV9" s="399"/>
      <c r="DW9" s="399"/>
      <c r="DX9" s="399"/>
      <c r="DY9" s="399"/>
      <c r="DZ9" s="399"/>
      <c r="EB9" s="228">
        <f t="shared" ref="EB9:EB72" si="53">((SUMIFS($J9:$AQ9,$J$3:$AQ$3,$EB$7)*80%))+SUMIFS($AS9:$AT9,$AS$3:$AT$3,$EB$7)+SUMIFS($AV9:$CN9,$AV$3:$CN$3,$EB$7)</f>
        <v>0</v>
      </c>
      <c r="EC9" s="228">
        <f t="shared" ref="EC9:EC72" si="54">(SUMIFS($J9:$AQ9,$J$3:$AQ$3,$EC$7)*80%)+SUMIFS($AV9:$CN9,$AV$3:$CN$3,$EC$7)</f>
        <v>0</v>
      </c>
      <c r="ED9" s="214">
        <f t="shared" ref="ED9:ED72" si="55">EB9+EC9</f>
        <v>0</v>
      </c>
    </row>
    <row r="10" spans="1:232" hidden="1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3" t="str">
        <f>VLOOKUP(A10,'Summary Mar 2026'!$A$8:$F$207,6,FALSE)</f>
        <v>Chq Bk</v>
      </c>
      <c r="G10" s="33"/>
      <c r="H10" s="223">
        <v>0</v>
      </c>
      <c r="I10" s="294"/>
      <c r="J10" s="223">
        <v>0</v>
      </c>
      <c r="K10" s="223">
        <v>0</v>
      </c>
      <c r="L10" s="223">
        <v>0</v>
      </c>
      <c r="M10" s="223">
        <v>0</v>
      </c>
      <c r="N10" s="223">
        <v>0</v>
      </c>
      <c r="O10" s="223">
        <v>0</v>
      </c>
      <c r="P10" s="33">
        <f t="shared" si="13"/>
        <v>0</v>
      </c>
      <c r="Q10" s="223">
        <f t="shared" si="14"/>
        <v>0</v>
      </c>
      <c r="R10" s="294"/>
      <c r="S10" s="223">
        <v>0</v>
      </c>
      <c r="T10" s="223">
        <v>0</v>
      </c>
      <c r="U10" s="223">
        <v>0</v>
      </c>
      <c r="V10" s="223">
        <v>0</v>
      </c>
      <c r="W10" s="223">
        <v>0</v>
      </c>
      <c r="X10" s="223">
        <v>0</v>
      </c>
      <c r="Y10" s="223">
        <f t="shared" si="15"/>
        <v>0</v>
      </c>
      <c r="Z10" s="223">
        <f t="shared" si="16"/>
        <v>0</v>
      </c>
      <c r="AA10" s="294"/>
      <c r="AB10" s="398">
        <v>0</v>
      </c>
      <c r="AC10" s="398">
        <v>0</v>
      </c>
      <c r="AD10" s="398">
        <v>0</v>
      </c>
      <c r="AE10" s="398">
        <v>0</v>
      </c>
      <c r="AF10" s="398">
        <v>0</v>
      </c>
      <c r="AG10" s="398">
        <v>0</v>
      </c>
      <c r="AH10" s="223">
        <f t="shared" si="17"/>
        <v>0</v>
      </c>
      <c r="AI10" s="398">
        <f t="shared" si="18"/>
        <v>0</v>
      </c>
      <c r="AJ10" s="294"/>
      <c r="AK10" s="398">
        <v>0</v>
      </c>
      <c r="AL10" s="398">
        <v>0</v>
      </c>
      <c r="AM10" s="398">
        <v>0</v>
      </c>
      <c r="AN10" s="294"/>
      <c r="AO10" s="398">
        <f t="shared" si="19"/>
        <v>0</v>
      </c>
      <c r="AP10" s="398">
        <f t="shared" si="20"/>
        <v>0</v>
      </c>
      <c r="AQ10" s="398">
        <f t="shared" si="21"/>
        <v>0</v>
      </c>
      <c r="AR10" s="293"/>
      <c r="AS10" s="293">
        <v>0</v>
      </c>
      <c r="AT10" s="576">
        <f t="shared" si="22"/>
        <v>0</v>
      </c>
      <c r="AU10" s="293"/>
      <c r="AV10" s="293">
        <v>0</v>
      </c>
      <c r="AW10" s="293">
        <v>0</v>
      </c>
      <c r="AX10" s="293">
        <v>0</v>
      </c>
      <c r="AY10" s="293">
        <v>0</v>
      </c>
      <c r="AZ10" s="293">
        <v>0</v>
      </c>
      <c r="BA10" s="293">
        <v>0</v>
      </c>
      <c r="BB10" s="293">
        <v>0</v>
      </c>
      <c r="BC10" s="293">
        <f t="shared" si="23"/>
        <v>0</v>
      </c>
      <c r="BE10" s="58">
        <f t="shared" si="24"/>
        <v>0</v>
      </c>
      <c r="BF10" s="58">
        <f t="shared" si="25"/>
        <v>0</v>
      </c>
      <c r="BG10" s="58">
        <f t="shared" si="26"/>
        <v>0</v>
      </c>
      <c r="BH10" s="58">
        <f t="shared" si="27"/>
        <v>0</v>
      </c>
      <c r="BI10" s="58">
        <f t="shared" si="28"/>
        <v>0</v>
      </c>
      <c r="BJ10" s="58">
        <f t="shared" si="29"/>
        <v>0</v>
      </c>
      <c r="BK10" s="58">
        <f t="shared" si="30"/>
        <v>0</v>
      </c>
      <c r="BL10" s="58">
        <f t="shared" si="31"/>
        <v>0</v>
      </c>
      <c r="BM10" s="33">
        <f t="shared" si="32"/>
        <v>0</v>
      </c>
      <c r="BN10" s="33"/>
      <c r="BO10" s="293">
        <f t="shared" si="2"/>
        <v>0</v>
      </c>
      <c r="BP10" s="293">
        <f t="shared" si="3"/>
        <v>0</v>
      </c>
      <c r="BQ10" s="293">
        <f t="shared" si="4"/>
        <v>0</v>
      </c>
      <c r="BR10" s="293">
        <f t="shared" si="5"/>
        <v>0</v>
      </c>
      <c r="BS10" s="293">
        <f t="shared" si="6"/>
        <v>0</v>
      </c>
      <c r="BT10" s="293">
        <f t="shared" si="7"/>
        <v>0</v>
      </c>
      <c r="BU10" s="293">
        <f t="shared" si="8"/>
        <v>0</v>
      </c>
      <c r="BV10" s="293">
        <f t="shared" si="9"/>
        <v>0</v>
      </c>
      <c r="BW10" s="293">
        <f t="shared" si="10"/>
        <v>0</v>
      </c>
      <c r="BX10" s="293">
        <v>0</v>
      </c>
      <c r="BY10" s="293">
        <v>0</v>
      </c>
      <c r="BZ10" s="293">
        <v>0</v>
      </c>
      <c r="CA10" s="293">
        <v>0</v>
      </c>
      <c r="CB10" s="293">
        <v>0</v>
      </c>
      <c r="CC10" s="293">
        <v>0</v>
      </c>
      <c r="CD10" s="293">
        <v>0</v>
      </c>
      <c r="CE10" s="293">
        <f t="shared" si="33"/>
        <v>0</v>
      </c>
      <c r="CF10" s="293"/>
      <c r="CG10" s="293">
        <v>0</v>
      </c>
      <c r="CH10" s="293">
        <v>0</v>
      </c>
      <c r="CI10" s="293">
        <v>0</v>
      </c>
      <c r="CJ10" s="293">
        <v>0</v>
      </c>
      <c r="CK10" s="293">
        <v>0</v>
      </c>
      <c r="CL10" s="293">
        <v>0</v>
      </c>
      <c r="CM10" s="293">
        <v>0</v>
      </c>
      <c r="CN10" s="293">
        <f t="shared" si="34"/>
        <v>0</v>
      </c>
      <c r="CO10" s="293"/>
      <c r="CP10" s="58">
        <f t="shared" si="35"/>
        <v>0</v>
      </c>
      <c r="CQ10" s="223">
        <f t="shared" si="36"/>
        <v>0</v>
      </c>
      <c r="CR10" s="223">
        <f t="shared" si="37"/>
        <v>0</v>
      </c>
      <c r="CS10" s="223">
        <f t="shared" si="38"/>
        <v>0</v>
      </c>
      <c r="CT10" s="223">
        <f t="shared" si="39"/>
        <v>0</v>
      </c>
      <c r="CU10" s="223">
        <f t="shared" si="40"/>
        <v>0</v>
      </c>
      <c r="CV10" s="223">
        <f t="shared" si="41"/>
        <v>0</v>
      </c>
      <c r="CW10" s="223">
        <f t="shared" si="42"/>
        <v>0</v>
      </c>
      <c r="CX10" s="223">
        <f t="shared" si="43"/>
        <v>0</v>
      </c>
      <c r="CY10" s="58">
        <f t="shared" si="44"/>
        <v>0</v>
      </c>
      <c r="CZ10" s="399">
        <f t="shared" si="45"/>
        <v>0</v>
      </c>
      <c r="DA10" s="399">
        <f t="shared" si="46"/>
        <v>0</v>
      </c>
      <c r="DB10" s="399">
        <f t="shared" si="47"/>
        <v>0</v>
      </c>
      <c r="DC10" s="399">
        <f t="shared" si="48"/>
        <v>0</v>
      </c>
      <c r="DD10" s="399">
        <f t="shared" si="49"/>
        <v>0</v>
      </c>
      <c r="DE10" s="399">
        <f t="shared" si="50"/>
        <v>0</v>
      </c>
      <c r="DF10" s="399">
        <f t="shared" si="51"/>
        <v>0</v>
      </c>
      <c r="DG10" s="399">
        <f t="shared" si="52"/>
        <v>0</v>
      </c>
      <c r="DI10" s="399"/>
      <c r="DJ10" s="399"/>
      <c r="DK10" s="399"/>
      <c r="DL10" s="399"/>
      <c r="DM10" s="399"/>
      <c r="DN10" s="399"/>
      <c r="DO10" s="399"/>
      <c r="DP10" s="399"/>
      <c r="DQ10" s="399"/>
      <c r="DS10" s="399"/>
      <c r="DT10" s="399"/>
      <c r="DU10" s="399"/>
      <c r="DV10" s="399"/>
      <c r="DW10" s="399"/>
      <c r="DX10" s="399"/>
      <c r="DY10" s="399"/>
      <c r="DZ10" s="399"/>
      <c r="EB10" s="228">
        <f t="shared" si="53"/>
        <v>0</v>
      </c>
      <c r="EC10" s="228">
        <f t="shared" si="54"/>
        <v>0</v>
      </c>
      <c r="ED10" s="214">
        <f t="shared" si="55"/>
        <v>0</v>
      </c>
    </row>
    <row r="11" spans="1:232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3" t="str">
        <f>VLOOKUP(A11,'Summary Mar 2026'!$A$8:$F$207,6,FALSE)</f>
        <v>Chq Bk</v>
      </c>
      <c r="G11" s="33"/>
      <c r="H11" s="223">
        <v>318791.29177519301</v>
      </c>
      <c r="I11" s="294"/>
      <c r="J11" s="223">
        <v>0</v>
      </c>
      <c r="K11" s="223">
        <v>66378</v>
      </c>
      <c r="L11" s="223">
        <v>192043.8</v>
      </c>
      <c r="M11" s="223">
        <v>14820</v>
      </c>
      <c r="N11" s="223">
        <v>5295.105263157895</v>
      </c>
      <c r="O11" s="223">
        <v>1604.4736842105262</v>
      </c>
      <c r="P11" s="33">
        <f t="shared" si="13"/>
        <v>280141.37894736842</v>
      </c>
      <c r="Q11" s="223">
        <f t="shared" si="14"/>
        <v>224113.10315789474</v>
      </c>
      <c r="R11" s="294"/>
      <c r="S11" s="223">
        <v>0</v>
      </c>
      <c r="T11" s="223">
        <v>84631.95</v>
      </c>
      <c r="U11" s="223">
        <v>126704.76000000001</v>
      </c>
      <c r="V11" s="223">
        <v>11505</v>
      </c>
      <c r="W11" s="223">
        <v>4325.5789473684208</v>
      </c>
      <c r="X11" s="223">
        <v>3529.8421052631579</v>
      </c>
      <c r="Y11" s="223">
        <f t="shared" si="15"/>
        <v>230697.13105263159</v>
      </c>
      <c r="Z11" s="223">
        <f t="shared" si="16"/>
        <v>184557.70484210528</v>
      </c>
      <c r="AA11" s="294"/>
      <c r="AB11" s="398">
        <v>0</v>
      </c>
      <c r="AC11" s="398">
        <v>45470.27368421053</v>
      </c>
      <c r="AD11" s="398">
        <v>140851.78105263159</v>
      </c>
      <c r="AE11" s="398">
        <v>10231.57894736842</v>
      </c>
      <c r="AF11" s="398">
        <v>3717.4736842105262</v>
      </c>
      <c r="AG11" s="398">
        <v>1870.8033240997231</v>
      </c>
      <c r="AH11" s="223">
        <f t="shared" si="17"/>
        <v>202141.91069252079</v>
      </c>
      <c r="AI11" s="398">
        <f t="shared" si="18"/>
        <v>161713.52855401664</v>
      </c>
      <c r="AJ11" s="294"/>
      <c r="AK11" s="398">
        <v>5461.95</v>
      </c>
      <c r="AL11" s="398">
        <v>4135.95</v>
      </c>
      <c r="AM11" s="398">
        <v>3785.1157894736843</v>
      </c>
      <c r="AN11" s="294"/>
      <c r="AO11" s="398">
        <f t="shared" si="19"/>
        <v>4369.5600000000004</v>
      </c>
      <c r="AP11" s="398">
        <f t="shared" si="20"/>
        <v>3308.76</v>
      </c>
      <c r="AQ11" s="398">
        <f t="shared" si="21"/>
        <v>3028.0926315789475</v>
      </c>
      <c r="AR11" s="293"/>
      <c r="AS11" s="293">
        <v>318574.29262591311</v>
      </c>
      <c r="AT11" s="576">
        <f t="shared" si="22"/>
        <v>-216.99914927990176</v>
      </c>
      <c r="AU11" s="293"/>
      <c r="AV11" s="293">
        <v>0</v>
      </c>
      <c r="AW11" s="293">
        <v>66378</v>
      </c>
      <c r="AX11" s="293">
        <v>180786.06</v>
      </c>
      <c r="AY11" s="293">
        <v>12285</v>
      </c>
      <c r="AZ11" s="293">
        <v>4549.3157894736842</v>
      </c>
      <c r="BA11" s="293">
        <v>3850.68</v>
      </c>
      <c r="BB11" s="293">
        <v>4502.55</v>
      </c>
      <c r="BC11" s="293">
        <f t="shared" si="23"/>
        <v>590925.89841538679</v>
      </c>
      <c r="BE11" s="58">
        <f t="shared" si="24"/>
        <v>0</v>
      </c>
      <c r="BF11" s="58">
        <f t="shared" si="25"/>
        <v>0</v>
      </c>
      <c r="BG11" s="58">
        <f t="shared" si="26"/>
        <v>-11257.739999999991</v>
      </c>
      <c r="BH11" s="58">
        <f t="shared" si="27"/>
        <v>-2535</v>
      </c>
      <c r="BI11" s="58">
        <f t="shared" si="28"/>
        <v>-745.78947368421086</v>
      </c>
      <c r="BJ11" s="58">
        <f t="shared" si="29"/>
        <v>2246.2063157894736</v>
      </c>
      <c r="BK11" s="58">
        <f t="shared" si="30"/>
        <v>-959.39999999999964</v>
      </c>
      <c r="BL11" s="58">
        <f t="shared" si="31"/>
        <v>-13468.722307174628</v>
      </c>
      <c r="BM11" s="33">
        <f t="shared" si="32"/>
        <v>0</v>
      </c>
      <c r="BN11" s="33"/>
      <c r="BO11" s="293">
        <f t="shared" si="2"/>
        <v>0</v>
      </c>
      <c r="BP11" s="293">
        <f t="shared" si="3"/>
        <v>13275.599999999999</v>
      </c>
      <c r="BQ11" s="293">
        <f t="shared" si="4"/>
        <v>27151.01999999999</v>
      </c>
      <c r="BR11" s="293">
        <f t="shared" si="5"/>
        <v>429</v>
      </c>
      <c r="BS11" s="293">
        <f t="shared" si="6"/>
        <v>313.23157894736778</v>
      </c>
      <c r="BT11" s="293">
        <f t="shared" si="7"/>
        <v>2567.1010526315786</v>
      </c>
      <c r="BU11" s="293">
        <f t="shared" si="8"/>
        <v>132.98999999999978</v>
      </c>
      <c r="BV11" s="293">
        <f t="shared" si="9"/>
        <v>43651.94348229903</v>
      </c>
      <c r="BW11" s="293">
        <f t="shared" si="10"/>
        <v>0</v>
      </c>
      <c r="BX11" s="293">
        <v>0</v>
      </c>
      <c r="BY11" s="293">
        <v>-3318.8999999999942</v>
      </c>
      <c r="BZ11" s="293">
        <v>0</v>
      </c>
      <c r="CA11" s="293">
        <v>0</v>
      </c>
      <c r="CB11" s="293">
        <v>1118.6842105263158</v>
      </c>
      <c r="CC11" s="293">
        <v>7405.32</v>
      </c>
      <c r="CD11" s="293">
        <v>1290.8999999999996</v>
      </c>
      <c r="CE11" s="293">
        <f t="shared" si="33"/>
        <v>6496.004210526321</v>
      </c>
      <c r="CF11" s="293"/>
      <c r="CG11" s="293">
        <v>0</v>
      </c>
      <c r="CH11" s="293">
        <v>100562.67</v>
      </c>
      <c r="CI11" s="293">
        <v>97125.6</v>
      </c>
      <c r="CJ11" s="293">
        <v>9750</v>
      </c>
      <c r="CK11" s="293">
        <v>4178.2</v>
      </c>
      <c r="CL11" s="293">
        <v>4690</v>
      </c>
      <c r="CM11" s="293">
        <v>5026.7099999999991</v>
      </c>
      <c r="CN11" s="293">
        <f t="shared" si="34"/>
        <v>221333.18000000002</v>
      </c>
      <c r="CO11" s="293"/>
      <c r="CP11" s="58">
        <f t="shared" si="35"/>
        <v>0</v>
      </c>
      <c r="CQ11" s="223">
        <f t="shared" si="36"/>
        <v>15930.720000000001</v>
      </c>
      <c r="CR11" s="223">
        <f t="shared" si="37"/>
        <v>-29579.160000000003</v>
      </c>
      <c r="CS11" s="223">
        <f t="shared" si="38"/>
        <v>-1755</v>
      </c>
      <c r="CT11" s="223">
        <f t="shared" si="39"/>
        <v>-147.378947368421</v>
      </c>
      <c r="CU11" s="223">
        <f t="shared" si="40"/>
        <v>1160.1578947368421</v>
      </c>
      <c r="CV11" s="223">
        <f t="shared" si="41"/>
        <v>890.75999999999931</v>
      </c>
      <c r="CW11" s="223">
        <f t="shared" si="42"/>
        <v>-13499.901052631583</v>
      </c>
      <c r="CX11" s="223">
        <f t="shared" si="43"/>
        <v>0</v>
      </c>
      <c r="CY11" s="58">
        <f t="shared" si="44"/>
        <v>0</v>
      </c>
      <c r="CZ11" s="399">
        <f t="shared" si="45"/>
        <v>32857.11</v>
      </c>
      <c r="DA11" s="399">
        <f t="shared" si="46"/>
        <v>-4238.2080000000133</v>
      </c>
      <c r="DB11" s="399">
        <f t="shared" si="47"/>
        <v>546</v>
      </c>
      <c r="DC11" s="399">
        <f t="shared" si="48"/>
        <v>717.73684210526289</v>
      </c>
      <c r="DD11" s="399">
        <f t="shared" si="49"/>
        <v>1866.1263157894737</v>
      </c>
      <c r="DE11" s="399">
        <f t="shared" si="50"/>
        <v>1717.9499999999989</v>
      </c>
      <c r="DF11" s="399">
        <f t="shared" si="51"/>
        <v>33466.715157894723</v>
      </c>
      <c r="DG11" s="399">
        <f t="shared" si="52"/>
        <v>0</v>
      </c>
      <c r="DI11" s="399"/>
      <c r="DJ11" s="399"/>
      <c r="DK11" s="399"/>
      <c r="DL11" s="399"/>
      <c r="DM11" s="399"/>
      <c r="DN11" s="399"/>
      <c r="DO11" s="399"/>
      <c r="DP11" s="399"/>
      <c r="DQ11" s="399"/>
      <c r="DS11" s="399"/>
      <c r="DT11" s="399"/>
      <c r="DU11" s="399"/>
      <c r="DV11" s="399"/>
      <c r="DW11" s="399"/>
      <c r="DX11" s="399"/>
      <c r="DY11" s="399"/>
      <c r="DZ11" s="399"/>
      <c r="EB11" s="228">
        <f t="shared" si="53"/>
        <v>966054.06115222897</v>
      </c>
      <c r="EC11" s="228">
        <f t="shared" si="54"/>
        <v>17442.64265927978</v>
      </c>
      <c r="ED11" s="214">
        <f t="shared" si="55"/>
        <v>983496.70381150872</v>
      </c>
    </row>
    <row r="12" spans="1:232" hidden="1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3" t="str">
        <f>VLOOKUP(A12,'Summary Mar 2026'!$A$8:$F$207,6,FALSE)</f>
        <v>Chq Bk</v>
      </c>
      <c r="G12" s="33"/>
      <c r="H12" s="223">
        <v>0</v>
      </c>
      <c r="I12" s="294"/>
      <c r="J12" s="223">
        <v>0</v>
      </c>
      <c r="K12" s="223">
        <v>0</v>
      </c>
      <c r="L12" s="223">
        <v>0</v>
      </c>
      <c r="M12" s="223">
        <v>0</v>
      </c>
      <c r="N12" s="223">
        <v>0</v>
      </c>
      <c r="O12" s="223">
        <v>0</v>
      </c>
      <c r="P12" s="33">
        <f t="shared" si="13"/>
        <v>0</v>
      </c>
      <c r="Q12" s="223">
        <f t="shared" si="14"/>
        <v>0</v>
      </c>
      <c r="R12" s="294"/>
      <c r="S12" s="223">
        <v>0</v>
      </c>
      <c r="T12" s="223">
        <v>0</v>
      </c>
      <c r="U12" s="223">
        <v>0</v>
      </c>
      <c r="V12" s="223">
        <v>0</v>
      </c>
      <c r="W12" s="223">
        <v>0</v>
      </c>
      <c r="X12" s="223">
        <v>0</v>
      </c>
      <c r="Y12" s="223">
        <f t="shared" si="15"/>
        <v>0</v>
      </c>
      <c r="Z12" s="223">
        <f t="shared" si="16"/>
        <v>0</v>
      </c>
      <c r="AA12" s="294"/>
      <c r="AB12" s="398">
        <v>0</v>
      </c>
      <c r="AC12" s="398">
        <v>0</v>
      </c>
      <c r="AD12" s="398">
        <v>0</v>
      </c>
      <c r="AE12" s="398">
        <v>0</v>
      </c>
      <c r="AF12" s="398">
        <v>0</v>
      </c>
      <c r="AG12" s="398">
        <v>0</v>
      </c>
      <c r="AH12" s="223">
        <f t="shared" si="17"/>
        <v>0</v>
      </c>
      <c r="AI12" s="398">
        <f t="shared" si="18"/>
        <v>0</v>
      </c>
      <c r="AJ12" s="294"/>
      <c r="AK12" s="398">
        <v>0</v>
      </c>
      <c r="AL12" s="398">
        <v>0</v>
      </c>
      <c r="AM12" s="398">
        <v>0</v>
      </c>
      <c r="AN12" s="294"/>
      <c r="AO12" s="398">
        <f t="shared" si="19"/>
        <v>0</v>
      </c>
      <c r="AP12" s="398">
        <f t="shared" si="20"/>
        <v>0</v>
      </c>
      <c r="AQ12" s="398">
        <f t="shared" si="21"/>
        <v>0</v>
      </c>
      <c r="AR12" s="293"/>
      <c r="AS12" s="293">
        <v>0</v>
      </c>
      <c r="AT12" s="576">
        <f t="shared" si="22"/>
        <v>0</v>
      </c>
      <c r="AU12" s="293"/>
      <c r="AV12" s="293">
        <v>0</v>
      </c>
      <c r="AW12" s="293">
        <v>0</v>
      </c>
      <c r="AX12" s="293">
        <v>0</v>
      </c>
      <c r="AY12" s="293">
        <v>0</v>
      </c>
      <c r="AZ12" s="293">
        <v>0</v>
      </c>
      <c r="BA12" s="293">
        <v>0</v>
      </c>
      <c r="BB12" s="293">
        <v>0</v>
      </c>
      <c r="BC12" s="293">
        <f t="shared" si="23"/>
        <v>0</v>
      </c>
      <c r="BE12" s="58">
        <f t="shared" si="24"/>
        <v>0</v>
      </c>
      <c r="BF12" s="58">
        <f t="shared" si="25"/>
        <v>0</v>
      </c>
      <c r="BG12" s="58">
        <f t="shared" si="26"/>
        <v>0</v>
      </c>
      <c r="BH12" s="58">
        <f t="shared" si="27"/>
        <v>0</v>
      </c>
      <c r="BI12" s="58">
        <f t="shared" si="28"/>
        <v>0</v>
      </c>
      <c r="BJ12" s="58">
        <f t="shared" si="29"/>
        <v>0</v>
      </c>
      <c r="BK12" s="58">
        <f t="shared" si="30"/>
        <v>0</v>
      </c>
      <c r="BL12" s="58">
        <f t="shared" si="31"/>
        <v>0</v>
      </c>
      <c r="BM12" s="33">
        <f t="shared" si="32"/>
        <v>0</v>
      </c>
      <c r="BN12" s="33"/>
      <c r="BO12" s="293">
        <f t="shared" si="2"/>
        <v>0</v>
      </c>
      <c r="BP12" s="293">
        <f t="shared" si="3"/>
        <v>0</v>
      </c>
      <c r="BQ12" s="293">
        <f t="shared" si="4"/>
        <v>0</v>
      </c>
      <c r="BR12" s="293">
        <f t="shared" si="5"/>
        <v>0</v>
      </c>
      <c r="BS12" s="293">
        <f t="shared" si="6"/>
        <v>0</v>
      </c>
      <c r="BT12" s="293">
        <f t="shared" si="7"/>
        <v>0</v>
      </c>
      <c r="BU12" s="293">
        <f t="shared" si="8"/>
        <v>0</v>
      </c>
      <c r="BV12" s="293">
        <f t="shared" si="9"/>
        <v>0</v>
      </c>
      <c r="BW12" s="293">
        <f t="shared" si="10"/>
        <v>0</v>
      </c>
      <c r="BX12" s="293">
        <v>0</v>
      </c>
      <c r="BY12" s="293">
        <v>0</v>
      </c>
      <c r="BZ12" s="293">
        <v>0</v>
      </c>
      <c r="CA12" s="293">
        <v>0</v>
      </c>
      <c r="CB12" s="293">
        <v>0</v>
      </c>
      <c r="CC12" s="293">
        <v>0</v>
      </c>
      <c r="CD12" s="293">
        <v>0</v>
      </c>
      <c r="CE12" s="293">
        <f t="shared" si="33"/>
        <v>0</v>
      </c>
      <c r="CF12" s="293"/>
      <c r="CG12" s="293">
        <v>0</v>
      </c>
      <c r="CH12" s="293">
        <v>0</v>
      </c>
      <c r="CI12" s="293">
        <v>0</v>
      </c>
      <c r="CJ12" s="293">
        <v>0</v>
      </c>
      <c r="CK12" s="293">
        <v>0</v>
      </c>
      <c r="CL12" s="293">
        <v>0</v>
      </c>
      <c r="CM12" s="293">
        <v>0</v>
      </c>
      <c r="CN12" s="293">
        <f t="shared" si="34"/>
        <v>0</v>
      </c>
      <c r="CO12" s="293"/>
      <c r="CP12" s="58">
        <f t="shared" si="35"/>
        <v>0</v>
      </c>
      <c r="CQ12" s="223">
        <f t="shared" si="36"/>
        <v>0</v>
      </c>
      <c r="CR12" s="223">
        <f t="shared" si="37"/>
        <v>0</v>
      </c>
      <c r="CS12" s="223">
        <f t="shared" si="38"/>
        <v>0</v>
      </c>
      <c r="CT12" s="223">
        <f t="shared" si="39"/>
        <v>0</v>
      </c>
      <c r="CU12" s="223">
        <f t="shared" si="40"/>
        <v>0</v>
      </c>
      <c r="CV12" s="223">
        <f t="shared" si="41"/>
        <v>0</v>
      </c>
      <c r="CW12" s="223">
        <f t="shared" si="42"/>
        <v>0</v>
      </c>
      <c r="CX12" s="223">
        <f t="shared" si="43"/>
        <v>0</v>
      </c>
      <c r="CY12" s="58">
        <f t="shared" si="44"/>
        <v>0</v>
      </c>
      <c r="CZ12" s="399">
        <f t="shared" si="45"/>
        <v>0</v>
      </c>
      <c r="DA12" s="399">
        <f t="shared" si="46"/>
        <v>0</v>
      </c>
      <c r="DB12" s="399">
        <f t="shared" si="47"/>
        <v>0</v>
      </c>
      <c r="DC12" s="399">
        <f t="shared" si="48"/>
        <v>0</v>
      </c>
      <c r="DD12" s="399">
        <f t="shared" si="49"/>
        <v>0</v>
      </c>
      <c r="DE12" s="399">
        <f t="shared" si="50"/>
        <v>0</v>
      </c>
      <c r="DF12" s="399">
        <f t="shared" si="51"/>
        <v>0</v>
      </c>
      <c r="DG12" s="399">
        <f t="shared" si="52"/>
        <v>0</v>
      </c>
      <c r="DI12" s="399"/>
      <c r="DJ12" s="399"/>
      <c r="DK12" s="399"/>
      <c r="DL12" s="399"/>
      <c r="DM12" s="399"/>
      <c r="DN12" s="399"/>
      <c r="DO12" s="399"/>
      <c r="DP12" s="399"/>
      <c r="DQ12" s="399"/>
      <c r="DS12" s="399"/>
      <c r="DT12" s="399"/>
      <c r="DU12" s="399"/>
      <c r="DV12" s="399"/>
      <c r="DW12" s="399"/>
      <c r="DX12" s="399"/>
      <c r="DY12" s="399"/>
      <c r="DZ12" s="399"/>
      <c r="EB12" s="228">
        <f t="shared" si="53"/>
        <v>0</v>
      </c>
      <c r="EC12" s="228">
        <f t="shared" si="54"/>
        <v>0</v>
      </c>
      <c r="ED12" s="214">
        <f t="shared" si="55"/>
        <v>0</v>
      </c>
    </row>
    <row r="13" spans="1:232" hidden="1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3" t="str">
        <f>VLOOKUP(A13,'Summary Mar 2026'!$A$8:$F$207,6,FALSE)</f>
        <v>Chq Bk</v>
      </c>
      <c r="G13" s="33"/>
      <c r="H13" s="223">
        <v>0</v>
      </c>
      <c r="I13" s="294"/>
      <c r="J13" s="223">
        <v>0</v>
      </c>
      <c r="K13" s="223">
        <v>0</v>
      </c>
      <c r="L13" s="223">
        <v>57392.4</v>
      </c>
      <c r="M13" s="223">
        <v>4290</v>
      </c>
      <c r="N13" s="223">
        <v>0</v>
      </c>
      <c r="O13" s="223">
        <v>0</v>
      </c>
      <c r="P13" s="33">
        <f t="shared" si="13"/>
        <v>61682.400000000001</v>
      </c>
      <c r="Q13" s="223">
        <f t="shared" si="14"/>
        <v>49345.920000000006</v>
      </c>
      <c r="R13" s="294"/>
      <c r="S13" s="223">
        <v>0</v>
      </c>
      <c r="T13" s="223">
        <v>0</v>
      </c>
      <c r="U13" s="223">
        <v>29799.9</v>
      </c>
      <c r="V13" s="223">
        <v>1950</v>
      </c>
      <c r="W13" s="223">
        <v>0</v>
      </c>
      <c r="X13" s="223">
        <v>0</v>
      </c>
      <c r="Y13" s="223">
        <f t="shared" si="15"/>
        <v>31749.9</v>
      </c>
      <c r="Z13" s="223">
        <f t="shared" si="16"/>
        <v>25399.920000000002</v>
      </c>
      <c r="AA13" s="294"/>
      <c r="AB13" s="398">
        <v>0</v>
      </c>
      <c r="AC13" s="398">
        <v>0</v>
      </c>
      <c r="AD13" s="398">
        <v>40859.242105263162</v>
      </c>
      <c r="AE13" s="398">
        <v>2557.894736842105</v>
      </c>
      <c r="AF13" s="398">
        <v>0</v>
      </c>
      <c r="AG13" s="398">
        <v>0</v>
      </c>
      <c r="AH13" s="223">
        <f t="shared" si="17"/>
        <v>43417.136842105268</v>
      </c>
      <c r="AI13" s="398">
        <f t="shared" si="18"/>
        <v>34733.709473684219</v>
      </c>
      <c r="AJ13" s="294"/>
      <c r="AK13" s="398">
        <v>1922.6999999999998</v>
      </c>
      <c r="AL13" s="398">
        <v>1068.5999999999999</v>
      </c>
      <c r="AM13" s="398">
        <v>1313.0526315789473</v>
      </c>
      <c r="AN13" s="294"/>
      <c r="AO13" s="398">
        <f t="shared" si="19"/>
        <v>1538.1599999999999</v>
      </c>
      <c r="AP13" s="398">
        <f t="shared" si="20"/>
        <v>854.88</v>
      </c>
      <c r="AQ13" s="398">
        <f t="shared" si="21"/>
        <v>1050.4421052631578</v>
      </c>
      <c r="AR13" s="293"/>
      <c r="AS13" s="293">
        <v>0</v>
      </c>
      <c r="AT13" s="576">
        <f t="shared" si="22"/>
        <v>0</v>
      </c>
      <c r="AU13" s="293"/>
      <c r="AV13" s="293">
        <v>0</v>
      </c>
      <c r="AW13" s="293">
        <v>0</v>
      </c>
      <c r="AX13" s="293">
        <v>41940.6</v>
      </c>
      <c r="AY13" s="293">
        <v>2925</v>
      </c>
      <c r="AZ13" s="293">
        <v>0</v>
      </c>
      <c r="BA13" s="293">
        <v>0</v>
      </c>
      <c r="BB13" s="293">
        <v>1688.7</v>
      </c>
      <c r="BC13" s="293">
        <f t="shared" si="23"/>
        <v>46554.299999999996</v>
      </c>
      <c r="BE13" s="58">
        <f t="shared" si="24"/>
        <v>0</v>
      </c>
      <c r="BF13" s="58">
        <f t="shared" si="25"/>
        <v>0</v>
      </c>
      <c r="BG13" s="58">
        <f t="shared" si="26"/>
        <v>-15451.800000000003</v>
      </c>
      <c r="BH13" s="58">
        <f t="shared" si="27"/>
        <v>-1365</v>
      </c>
      <c r="BI13" s="58">
        <f t="shared" si="28"/>
        <v>0</v>
      </c>
      <c r="BJ13" s="58">
        <f t="shared" si="29"/>
        <v>0</v>
      </c>
      <c r="BK13" s="58">
        <f t="shared" si="30"/>
        <v>-233.99999999999977</v>
      </c>
      <c r="BL13" s="58">
        <f t="shared" si="31"/>
        <v>-17050.800000000003</v>
      </c>
      <c r="BM13" s="33">
        <f t="shared" si="32"/>
        <v>0</v>
      </c>
      <c r="BN13" s="33"/>
      <c r="BO13" s="293">
        <f t="shared" si="2"/>
        <v>0</v>
      </c>
      <c r="BP13" s="293">
        <f t="shared" si="3"/>
        <v>0</v>
      </c>
      <c r="BQ13" s="293">
        <f t="shared" si="4"/>
        <v>-3973.320000000007</v>
      </c>
      <c r="BR13" s="293">
        <f t="shared" si="5"/>
        <v>-507</v>
      </c>
      <c r="BS13" s="293">
        <f t="shared" si="6"/>
        <v>0</v>
      </c>
      <c r="BT13" s="293">
        <f t="shared" si="7"/>
        <v>0</v>
      </c>
      <c r="BU13" s="293">
        <f t="shared" si="8"/>
        <v>150.54000000000019</v>
      </c>
      <c r="BV13" s="293">
        <f t="shared" si="9"/>
        <v>-4329.780000000007</v>
      </c>
      <c r="BW13" s="293">
        <f t="shared" si="10"/>
        <v>0</v>
      </c>
      <c r="BX13" s="293">
        <v>0</v>
      </c>
      <c r="BY13" s="293">
        <v>0</v>
      </c>
      <c r="BZ13" s="293">
        <v>0</v>
      </c>
      <c r="CA13" s="293">
        <v>0</v>
      </c>
      <c r="CB13" s="293">
        <v>0</v>
      </c>
      <c r="CC13" s="293">
        <v>0</v>
      </c>
      <c r="CD13" s="293">
        <v>0</v>
      </c>
      <c r="CE13" s="293">
        <f t="shared" si="33"/>
        <v>0</v>
      </c>
      <c r="CF13" s="293"/>
      <c r="CG13" s="293">
        <v>0</v>
      </c>
      <c r="CH13" s="293">
        <v>0</v>
      </c>
      <c r="CI13" s="293">
        <v>43044.3</v>
      </c>
      <c r="CJ13" s="293">
        <v>585</v>
      </c>
      <c r="CK13" s="293">
        <v>0</v>
      </c>
      <c r="CL13" s="293">
        <v>0</v>
      </c>
      <c r="CM13" s="293">
        <v>1390.35</v>
      </c>
      <c r="CN13" s="293">
        <f t="shared" si="34"/>
        <v>45019.65</v>
      </c>
      <c r="CO13" s="293"/>
      <c r="CP13" s="58">
        <f t="shared" si="35"/>
        <v>0</v>
      </c>
      <c r="CQ13" s="223">
        <f t="shared" si="36"/>
        <v>0</v>
      </c>
      <c r="CR13" s="223">
        <f t="shared" si="37"/>
        <v>13244.400000000001</v>
      </c>
      <c r="CS13" s="223">
        <f t="shared" si="38"/>
        <v>-1365</v>
      </c>
      <c r="CT13" s="223">
        <f t="shared" si="39"/>
        <v>0</v>
      </c>
      <c r="CU13" s="223">
        <f t="shared" si="40"/>
        <v>0</v>
      </c>
      <c r="CV13" s="223">
        <f t="shared" si="41"/>
        <v>321.75</v>
      </c>
      <c r="CW13" s="223">
        <f t="shared" si="42"/>
        <v>12201.150000000001</v>
      </c>
      <c r="CX13" s="223">
        <f t="shared" si="43"/>
        <v>0</v>
      </c>
      <c r="CY13" s="58">
        <f t="shared" si="44"/>
        <v>0</v>
      </c>
      <c r="CZ13" s="399">
        <f t="shared" si="45"/>
        <v>0</v>
      </c>
      <c r="DA13" s="399">
        <f t="shared" si="46"/>
        <v>19204.38</v>
      </c>
      <c r="DB13" s="399">
        <f t="shared" si="47"/>
        <v>-975</v>
      </c>
      <c r="DC13" s="399">
        <f t="shared" si="48"/>
        <v>0</v>
      </c>
      <c r="DD13" s="399">
        <f t="shared" si="49"/>
        <v>0</v>
      </c>
      <c r="DE13" s="399">
        <f t="shared" si="50"/>
        <v>535.46999999999991</v>
      </c>
      <c r="DF13" s="399">
        <f t="shared" si="51"/>
        <v>18764.850000000002</v>
      </c>
      <c r="DG13" s="399">
        <f t="shared" si="52"/>
        <v>0</v>
      </c>
      <c r="DI13" s="399"/>
      <c r="DJ13" s="399"/>
      <c r="DK13" s="399"/>
      <c r="DL13" s="399"/>
      <c r="DM13" s="399"/>
      <c r="DN13" s="399"/>
      <c r="DO13" s="399"/>
      <c r="DP13" s="399"/>
      <c r="DQ13" s="399"/>
      <c r="DS13" s="399"/>
      <c r="DT13" s="399"/>
      <c r="DU13" s="399"/>
      <c r="DV13" s="399"/>
      <c r="DW13" s="399"/>
      <c r="DX13" s="399"/>
      <c r="DY13" s="399"/>
      <c r="DZ13" s="399"/>
      <c r="EB13" s="228">
        <f t="shared" si="53"/>
        <v>127358.10157894739</v>
      </c>
      <c r="EC13" s="228">
        <f t="shared" si="54"/>
        <v>0</v>
      </c>
      <c r="ED13" s="214">
        <f t="shared" si="55"/>
        <v>127358.10157894739</v>
      </c>
    </row>
    <row r="14" spans="1:232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3" t="str">
        <f>VLOOKUP(A14,'Summary Mar 2026'!$A$8:$F$207,6,FALSE)</f>
        <v>Chq Bk</v>
      </c>
      <c r="G14" s="33"/>
      <c r="H14" s="223">
        <v>0</v>
      </c>
      <c r="I14" s="294"/>
      <c r="J14" s="223">
        <v>0</v>
      </c>
      <c r="K14" s="223">
        <v>0</v>
      </c>
      <c r="L14" s="223">
        <v>100436.7</v>
      </c>
      <c r="M14" s="223">
        <v>3510</v>
      </c>
      <c r="N14" s="223">
        <v>2162.7894736842104</v>
      </c>
      <c r="O14" s="223">
        <v>0</v>
      </c>
      <c r="P14" s="33">
        <f t="shared" si="13"/>
        <v>106109.48947368421</v>
      </c>
      <c r="Q14" s="223">
        <f t="shared" si="14"/>
        <v>84887.59157894738</v>
      </c>
      <c r="R14" s="294"/>
      <c r="S14" s="223">
        <v>0</v>
      </c>
      <c r="T14" s="223">
        <v>0</v>
      </c>
      <c r="U14" s="223">
        <v>67325.700000000012</v>
      </c>
      <c r="V14" s="223">
        <v>1950</v>
      </c>
      <c r="W14" s="223">
        <v>671.21052631578948</v>
      </c>
      <c r="X14" s="223">
        <v>0</v>
      </c>
      <c r="Y14" s="223">
        <f t="shared" si="15"/>
        <v>69946.910526315798</v>
      </c>
      <c r="Z14" s="223">
        <f t="shared" si="16"/>
        <v>55957.528421052644</v>
      </c>
      <c r="AA14" s="294"/>
      <c r="AB14" s="398">
        <v>0</v>
      </c>
      <c r="AC14" s="398">
        <v>0</v>
      </c>
      <c r="AD14" s="398">
        <v>78179.494736842113</v>
      </c>
      <c r="AE14" s="398">
        <v>2671.5789473684213</v>
      </c>
      <c r="AF14" s="398">
        <v>1239.1578947368421</v>
      </c>
      <c r="AG14" s="398">
        <v>0</v>
      </c>
      <c r="AH14" s="223">
        <f t="shared" si="17"/>
        <v>82090.23157894738</v>
      </c>
      <c r="AI14" s="398">
        <f t="shared" si="18"/>
        <v>65672.18526315791</v>
      </c>
      <c r="AJ14" s="294"/>
      <c r="AK14" s="398">
        <v>5832.45</v>
      </c>
      <c r="AL14" s="398">
        <v>3841.5</v>
      </c>
      <c r="AM14" s="398">
        <v>4479.7263157894731</v>
      </c>
      <c r="AN14" s="294"/>
      <c r="AO14" s="398">
        <f t="shared" si="19"/>
        <v>4665.96</v>
      </c>
      <c r="AP14" s="398">
        <f t="shared" si="20"/>
        <v>3073.2000000000003</v>
      </c>
      <c r="AQ14" s="398">
        <f t="shared" si="21"/>
        <v>3583.7810526315789</v>
      </c>
      <c r="AR14" s="293"/>
      <c r="AS14" s="293">
        <v>0</v>
      </c>
      <c r="AT14" s="576">
        <f t="shared" si="22"/>
        <v>0</v>
      </c>
      <c r="AU14" s="293"/>
      <c r="AV14" s="293">
        <v>0</v>
      </c>
      <c r="AW14" s="293">
        <v>0</v>
      </c>
      <c r="AX14" s="293">
        <v>97125.6</v>
      </c>
      <c r="AY14" s="293">
        <v>3315</v>
      </c>
      <c r="AZ14" s="293">
        <v>1267.8421052631579</v>
      </c>
      <c r="BA14" s="293">
        <v>0</v>
      </c>
      <c r="BB14" s="293">
        <v>4898.3999999999996</v>
      </c>
      <c r="BC14" s="293">
        <f t="shared" si="23"/>
        <v>106606.84210526316</v>
      </c>
      <c r="BE14" s="58">
        <f t="shared" si="24"/>
        <v>0</v>
      </c>
      <c r="BF14" s="58">
        <f t="shared" si="25"/>
        <v>0</v>
      </c>
      <c r="BG14" s="58">
        <f t="shared" si="26"/>
        <v>-3311.0999999999913</v>
      </c>
      <c r="BH14" s="58">
        <f t="shared" si="27"/>
        <v>-195</v>
      </c>
      <c r="BI14" s="58">
        <f t="shared" si="28"/>
        <v>-894.94736842105249</v>
      </c>
      <c r="BJ14" s="58">
        <f t="shared" si="29"/>
        <v>0</v>
      </c>
      <c r="BK14" s="58">
        <f t="shared" si="30"/>
        <v>-934.05000000000018</v>
      </c>
      <c r="BL14" s="58">
        <f t="shared" si="31"/>
        <v>-5335.0973684210439</v>
      </c>
      <c r="BM14" s="33">
        <f t="shared" si="32"/>
        <v>0</v>
      </c>
      <c r="BN14" s="33"/>
      <c r="BO14" s="293">
        <f t="shared" si="2"/>
        <v>0</v>
      </c>
      <c r="BP14" s="293">
        <f t="shared" si="3"/>
        <v>0</v>
      </c>
      <c r="BQ14" s="293">
        <f t="shared" si="4"/>
        <v>16776.240000000005</v>
      </c>
      <c r="BR14" s="293">
        <f t="shared" si="5"/>
        <v>507</v>
      </c>
      <c r="BS14" s="293">
        <f t="shared" si="6"/>
        <v>-462.38947368421054</v>
      </c>
      <c r="BT14" s="293">
        <f t="shared" si="7"/>
        <v>0</v>
      </c>
      <c r="BU14" s="293">
        <f t="shared" si="8"/>
        <v>232.4399999999996</v>
      </c>
      <c r="BV14" s="293">
        <f t="shared" si="9"/>
        <v>17053.290526315792</v>
      </c>
      <c r="BW14" s="293">
        <f t="shared" si="10"/>
        <v>1.4551915228366852E-11</v>
      </c>
      <c r="BX14" s="293">
        <v>0</v>
      </c>
      <c r="BY14" s="293">
        <v>0</v>
      </c>
      <c r="BZ14" s="293">
        <v>0</v>
      </c>
      <c r="CA14" s="293">
        <v>0</v>
      </c>
      <c r="CB14" s="293">
        <v>0</v>
      </c>
      <c r="CC14" s="293">
        <v>0</v>
      </c>
      <c r="CD14" s="293">
        <v>592.80000000000109</v>
      </c>
      <c r="CE14" s="293">
        <f t="shared" si="33"/>
        <v>592.80000000000109</v>
      </c>
      <c r="CF14" s="293"/>
      <c r="CG14" s="293">
        <v>0</v>
      </c>
      <c r="CH14" s="293">
        <v>0</v>
      </c>
      <c r="CI14" s="293">
        <v>50770.200000000004</v>
      </c>
      <c r="CJ14" s="293">
        <v>2340</v>
      </c>
      <c r="CK14" s="293">
        <v>895.44</v>
      </c>
      <c r="CL14" s="293">
        <v>0</v>
      </c>
      <c r="CM14" s="293">
        <v>2967.9</v>
      </c>
      <c r="CN14" s="293">
        <f t="shared" si="34"/>
        <v>56973.540000000008</v>
      </c>
      <c r="CO14" s="293"/>
      <c r="CP14" s="58">
        <f t="shared" si="35"/>
        <v>0</v>
      </c>
      <c r="CQ14" s="223">
        <f t="shared" si="36"/>
        <v>0</v>
      </c>
      <c r="CR14" s="223">
        <f t="shared" si="37"/>
        <v>-16555.500000000007</v>
      </c>
      <c r="CS14" s="223">
        <f t="shared" si="38"/>
        <v>390</v>
      </c>
      <c r="CT14" s="223">
        <f t="shared" si="39"/>
        <v>224.22947368421057</v>
      </c>
      <c r="CU14" s="223">
        <f t="shared" si="40"/>
        <v>0</v>
      </c>
      <c r="CV14" s="223">
        <f t="shared" si="41"/>
        <v>-873.59999999999991</v>
      </c>
      <c r="CW14" s="223">
        <f t="shared" si="42"/>
        <v>-16814.870526315797</v>
      </c>
      <c r="CX14" s="223">
        <f t="shared" si="43"/>
        <v>0</v>
      </c>
      <c r="CY14" s="58">
        <f t="shared" si="44"/>
        <v>0</v>
      </c>
      <c r="CZ14" s="399">
        <f t="shared" si="45"/>
        <v>0</v>
      </c>
      <c r="DA14" s="399">
        <f t="shared" si="46"/>
        <v>-3090.3600000000079</v>
      </c>
      <c r="DB14" s="399">
        <f t="shared" si="47"/>
        <v>780</v>
      </c>
      <c r="DC14" s="399">
        <f t="shared" si="48"/>
        <v>358.47157894736847</v>
      </c>
      <c r="DD14" s="399">
        <f t="shared" si="49"/>
        <v>0</v>
      </c>
      <c r="DE14" s="399">
        <f t="shared" si="50"/>
        <v>-105.30000000000018</v>
      </c>
      <c r="DF14" s="399">
        <f t="shared" si="51"/>
        <v>-2057.1884210526396</v>
      </c>
      <c r="DG14" s="399">
        <f t="shared" si="52"/>
        <v>0</v>
      </c>
      <c r="DI14" s="399"/>
      <c r="DJ14" s="399"/>
      <c r="DK14" s="399"/>
      <c r="DL14" s="399"/>
      <c r="DM14" s="399"/>
      <c r="DN14" s="399"/>
      <c r="DO14" s="399"/>
      <c r="DP14" s="399"/>
      <c r="DQ14" s="399"/>
      <c r="DS14" s="399"/>
      <c r="DT14" s="399"/>
      <c r="DU14" s="399"/>
      <c r="DV14" s="399"/>
      <c r="DW14" s="399"/>
      <c r="DX14" s="399"/>
      <c r="DY14" s="399"/>
      <c r="DZ14" s="399"/>
      <c r="EB14" s="228">
        <f t="shared" si="53"/>
        <v>233429.14842105267</v>
      </c>
      <c r="EC14" s="228">
        <f t="shared" si="54"/>
        <v>0</v>
      </c>
      <c r="ED14" s="214">
        <f t="shared" si="55"/>
        <v>233429.14842105267</v>
      </c>
    </row>
    <row r="15" spans="1:232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3" t="str">
        <f>VLOOKUP(A15,'Summary Mar 2026'!$A$8:$F$207,6,FALSE)</f>
        <v>Chq Bk</v>
      </c>
      <c r="G15" s="33"/>
      <c r="H15" s="223">
        <v>0</v>
      </c>
      <c r="I15" s="294"/>
      <c r="J15" s="223">
        <v>0</v>
      </c>
      <c r="K15" s="223">
        <v>0</v>
      </c>
      <c r="L15" s="223">
        <v>83881.200000000012</v>
      </c>
      <c r="M15" s="223">
        <v>4290</v>
      </c>
      <c r="N15" s="223">
        <v>0</v>
      </c>
      <c r="O15" s="223">
        <v>0</v>
      </c>
      <c r="P15" s="33">
        <f t="shared" si="13"/>
        <v>88171.200000000012</v>
      </c>
      <c r="Q15" s="223">
        <f t="shared" si="14"/>
        <v>70536.960000000006</v>
      </c>
      <c r="R15" s="294"/>
      <c r="S15" s="223">
        <v>0</v>
      </c>
      <c r="T15" s="223">
        <v>0</v>
      </c>
      <c r="U15" s="223">
        <v>75051.600000000006</v>
      </c>
      <c r="V15" s="223">
        <v>1365</v>
      </c>
      <c r="W15" s="223">
        <v>522.0526315789474</v>
      </c>
      <c r="X15" s="223">
        <v>0</v>
      </c>
      <c r="Y15" s="223">
        <f t="shared" si="15"/>
        <v>76938.652631578952</v>
      </c>
      <c r="Z15" s="223">
        <f t="shared" si="16"/>
        <v>61550.922105263162</v>
      </c>
      <c r="AA15" s="294"/>
      <c r="AB15" s="398">
        <v>0</v>
      </c>
      <c r="AC15" s="398">
        <v>0</v>
      </c>
      <c r="AD15" s="398">
        <v>71101.515789473691</v>
      </c>
      <c r="AE15" s="398">
        <v>2842.105263157895</v>
      </c>
      <c r="AF15" s="398">
        <v>608.70914127423816</v>
      </c>
      <c r="AG15" s="398">
        <v>0</v>
      </c>
      <c r="AH15" s="223">
        <f t="shared" si="17"/>
        <v>74552.330193905829</v>
      </c>
      <c r="AI15" s="398">
        <f t="shared" si="18"/>
        <v>59641.864155124669</v>
      </c>
      <c r="AJ15" s="294"/>
      <c r="AK15" s="398">
        <v>2683.2</v>
      </c>
      <c r="AL15" s="398">
        <v>2394.6</v>
      </c>
      <c r="AM15" s="398">
        <v>2245.8315789473686</v>
      </c>
      <c r="AN15" s="294"/>
      <c r="AO15" s="398">
        <f t="shared" si="19"/>
        <v>2146.56</v>
      </c>
      <c r="AP15" s="398">
        <f t="shared" si="20"/>
        <v>1915.68</v>
      </c>
      <c r="AQ15" s="398">
        <f t="shared" si="21"/>
        <v>1796.665263157895</v>
      </c>
      <c r="AR15" s="293"/>
      <c r="AS15" s="293">
        <v>0</v>
      </c>
      <c r="AT15" s="576">
        <f t="shared" si="22"/>
        <v>0</v>
      </c>
      <c r="AU15" s="293"/>
      <c r="AV15" s="293">
        <v>0</v>
      </c>
      <c r="AW15" s="293">
        <v>0</v>
      </c>
      <c r="AX15" s="293">
        <v>83881.2</v>
      </c>
      <c r="AY15" s="293">
        <v>5070</v>
      </c>
      <c r="AZ15" s="293">
        <v>1939.0526315789475</v>
      </c>
      <c r="BA15" s="293">
        <v>0</v>
      </c>
      <c r="BB15" s="293">
        <v>2689.0499999999997</v>
      </c>
      <c r="BC15" s="293">
        <f t="shared" si="23"/>
        <v>93579.302631578947</v>
      </c>
      <c r="BE15" s="58">
        <f t="shared" si="24"/>
        <v>0</v>
      </c>
      <c r="BF15" s="58">
        <f t="shared" si="25"/>
        <v>0</v>
      </c>
      <c r="BG15" s="58">
        <f t="shared" si="26"/>
        <v>0</v>
      </c>
      <c r="BH15" s="58">
        <f t="shared" si="27"/>
        <v>780</v>
      </c>
      <c r="BI15" s="58">
        <f t="shared" si="28"/>
        <v>1939.0526315789475</v>
      </c>
      <c r="BJ15" s="58">
        <f t="shared" si="29"/>
        <v>0</v>
      </c>
      <c r="BK15" s="58">
        <f t="shared" si="30"/>
        <v>5.8499999999999091</v>
      </c>
      <c r="BL15" s="58">
        <f t="shared" si="31"/>
        <v>2724.9026315789474</v>
      </c>
      <c r="BM15" s="33">
        <f t="shared" si="32"/>
        <v>0</v>
      </c>
      <c r="BN15" s="33"/>
      <c r="BO15" s="293">
        <f t="shared" si="2"/>
        <v>0</v>
      </c>
      <c r="BP15" s="293">
        <f t="shared" si="3"/>
        <v>0</v>
      </c>
      <c r="BQ15" s="293">
        <f t="shared" si="4"/>
        <v>16776.239999999991</v>
      </c>
      <c r="BR15" s="293">
        <f t="shared" si="5"/>
        <v>1638</v>
      </c>
      <c r="BS15" s="293">
        <f t="shared" si="6"/>
        <v>1939.0526315789475</v>
      </c>
      <c r="BT15" s="293">
        <f t="shared" si="7"/>
        <v>0</v>
      </c>
      <c r="BU15" s="293">
        <f t="shared" si="8"/>
        <v>542.48999999999978</v>
      </c>
      <c r="BV15" s="293">
        <f t="shared" si="9"/>
        <v>20895.782631578935</v>
      </c>
      <c r="BW15" s="293">
        <f t="shared" si="10"/>
        <v>-1.4551915228366852E-11</v>
      </c>
      <c r="BX15" s="293">
        <v>0</v>
      </c>
      <c r="BY15" s="293">
        <v>0</v>
      </c>
      <c r="BZ15" s="293">
        <v>0</v>
      </c>
      <c r="CA15" s="293">
        <v>0</v>
      </c>
      <c r="CB15" s="293">
        <v>0</v>
      </c>
      <c r="CC15" s="293">
        <v>0</v>
      </c>
      <c r="CD15" s="293">
        <v>200.85000000000036</v>
      </c>
      <c r="CE15" s="293">
        <f t="shared" si="33"/>
        <v>200.85000000000036</v>
      </c>
      <c r="CF15" s="293"/>
      <c r="CG15" s="293">
        <v>0</v>
      </c>
      <c r="CH15" s="293">
        <v>0</v>
      </c>
      <c r="CI15" s="293">
        <v>76155.3</v>
      </c>
      <c r="CJ15" s="293">
        <v>3900</v>
      </c>
      <c r="CK15" s="293">
        <v>1604.2</v>
      </c>
      <c r="CL15" s="293">
        <v>0</v>
      </c>
      <c r="CM15" s="293">
        <v>2375.1</v>
      </c>
      <c r="CN15" s="293">
        <f t="shared" si="34"/>
        <v>84034.6</v>
      </c>
      <c r="CO15" s="293"/>
      <c r="CP15" s="58">
        <f t="shared" si="35"/>
        <v>0</v>
      </c>
      <c r="CQ15" s="223">
        <f t="shared" si="36"/>
        <v>0</v>
      </c>
      <c r="CR15" s="223">
        <f t="shared" si="37"/>
        <v>1103.6999999999971</v>
      </c>
      <c r="CS15" s="223">
        <f t="shared" si="38"/>
        <v>2535</v>
      </c>
      <c r="CT15" s="223">
        <f t="shared" si="39"/>
        <v>1082.1473684210528</v>
      </c>
      <c r="CU15" s="223">
        <f t="shared" si="40"/>
        <v>0</v>
      </c>
      <c r="CV15" s="223">
        <f t="shared" si="41"/>
        <v>-19.5</v>
      </c>
      <c r="CW15" s="223">
        <f t="shared" si="42"/>
        <v>4701.3473684210494</v>
      </c>
      <c r="CX15" s="223">
        <f t="shared" si="43"/>
        <v>0</v>
      </c>
      <c r="CY15" s="58">
        <f t="shared" si="44"/>
        <v>0</v>
      </c>
      <c r="CZ15" s="399">
        <f t="shared" si="45"/>
        <v>0</v>
      </c>
      <c r="DA15" s="399">
        <f t="shared" si="46"/>
        <v>16114.019999999997</v>
      </c>
      <c r="DB15" s="399">
        <f t="shared" si="47"/>
        <v>2808</v>
      </c>
      <c r="DC15" s="399">
        <f t="shared" si="48"/>
        <v>1186.5578947368422</v>
      </c>
      <c r="DD15" s="399">
        <f t="shared" si="49"/>
        <v>0</v>
      </c>
      <c r="DE15" s="399">
        <f t="shared" si="50"/>
        <v>459.41999999999985</v>
      </c>
      <c r="DF15" s="399">
        <f t="shared" si="51"/>
        <v>20567.997894736836</v>
      </c>
      <c r="DG15" s="399">
        <f t="shared" si="52"/>
        <v>0</v>
      </c>
      <c r="DI15" s="399"/>
      <c r="DJ15" s="399"/>
      <c r="DK15" s="399"/>
      <c r="DL15" s="399"/>
      <c r="DM15" s="399"/>
      <c r="DN15" s="399"/>
      <c r="DO15" s="399"/>
      <c r="DP15" s="399"/>
      <c r="DQ15" s="399"/>
      <c r="DS15" s="399"/>
      <c r="DT15" s="399"/>
      <c r="DU15" s="399"/>
      <c r="DV15" s="399"/>
      <c r="DW15" s="399"/>
      <c r="DX15" s="399"/>
      <c r="DY15" s="399"/>
      <c r="DZ15" s="399"/>
      <c r="EB15" s="228">
        <f t="shared" si="53"/>
        <v>239253.28204986153</v>
      </c>
      <c r="EC15" s="228">
        <f t="shared" si="54"/>
        <v>0</v>
      </c>
      <c r="ED15" s="214">
        <f t="shared" si="55"/>
        <v>239253.28204986153</v>
      </c>
    </row>
    <row r="16" spans="1:232" hidden="1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3" t="str">
        <f>VLOOKUP(A16,'Summary Mar 2026'!$A$8:$F$207,6,FALSE)</f>
        <v>Chq Bk</v>
      </c>
      <c r="G16" s="33"/>
      <c r="H16" s="223">
        <v>0</v>
      </c>
      <c r="I16" s="294"/>
      <c r="J16" s="223">
        <v>0</v>
      </c>
      <c r="K16" s="223">
        <v>0</v>
      </c>
      <c r="L16" s="223">
        <v>0</v>
      </c>
      <c r="M16" s="223">
        <v>0</v>
      </c>
      <c r="N16" s="223">
        <v>0</v>
      </c>
      <c r="O16" s="223">
        <v>0</v>
      </c>
      <c r="P16" s="33">
        <f t="shared" si="13"/>
        <v>0</v>
      </c>
      <c r="Q16" s="223">
        <f t="shared" si="14"/>
        <v>0</v>
      </c>
      <c r="R16" s="294"/>
      <c r="S16" s="223">
        <v>0</v>
      </c>
      <c r="T16" s="223">
        <v>0</v>
      </c>
      <c r="U16" s="223">
        <v>0</v>
      </c>
      <c r="V16" s="223">
        <v>0</v>
      </c>
      <c r="W16" s="223">
        <v>0</v>
      </c>
      <c r="X16" s="223">
        <v>0</v>
      </c>
      <c r="Y16" s="223">
        <f t="shared" si="15"/>
        <v>0</v>
      </c>
      <c r="Z16" s="223">
        <f t="shared" si="16"/>
        <v>0</v>
      </c>
      <c r="AA16" s="294"/>
      <c r="AB16" s="398">
        <v>0</v>
      </c>
      <c r="AC16" s="398">
        <v>0</v>
      </c>
      <c r="AD16" s="398">
        <v>0</v>
      </c>
      <c r="AE16" s="398">
        <v>0</v>
      </c>
      <c r="AF16" s="398">
        <v>0</v>
      </c>
      <c r="AG16" s="398">
        <v>0</v>
      </c>
      <c r="AH16" s="223">
        <f t="shared" si="17"/>
        <v>0</v>
      </c>
      <c r="AI16" s="398">
        <f t="shared" si="18"/>
        <v>0</v>
      </c>
      <c r="AJ16" s="294"/>
      <c r="AK16" s="398">
        <v>0</v>
      </c>
      <c r="AL16" s="398">
        <v>0</v>
      </c>
      <c r="AM16" s="398">
        <v>0</v>
      </c>
      <c r="AN16" s="294"/>
      <c r="AO16" s="398">
        <f t="shared" si="19"/>
        <v>0</v>
      </c>
      <c r="AP16" s="398">
        <f t="shared" si="20"/>
        <v>0</v>
      </c>
      <c r="AQ16" s="398">
        <f t="shared" si="21"/>
        <v>0</v>
      </c>
      <c r="AR16" s="293"/>
      <c r="AS16" s="293">
        <v>0</v>
      </c>
      <c r="AT16" s="576">
        <f t="shared" si="22"/>
        <v>0</v>
      </c>
      <c r="AU16" s="293"/>
      <c r="AV16" s="293">
        <v>0</v>
      </c>
      <c r="AW16" s="293">
        <v>0</v>
      </c>
      <c r="AX16" s="293">
        <v>0</v>
      </c>
      <c r="AY16" s="293">
        <v>0</v>
      </c>
      <c r="AZ16" s="293">
        <v>0</v>
      </c>
      <c r="BA16" s="293">
        <v>0</v>
      </c>
      <c r="BB16" s="293">
        <v>0</v>
      </c>
      <c r="BC16" s="293">
        <f t="shared" si="23"/>
        <v>0</v>
      </c>
      <c r="BE16" s="58">
        <f t="shared" si="24"/>
        <v>0</v>
      </c>
      <c r="BF16" s="58">
        <f t="shared" si="25"/>
        <v>0</v>
      </c>
      <c r="BG16" s="58">
        <f t="shared" si="26"/>
        <v>0</v>
      </c>
      <c r="BH16" s="58">
        <f t="shared" si="27"/>
        <v>0</v>
      </c>
      <c r="BI16" s="58">
        <f t="shared" si="28"/>
        <v>0</v>
      </c>
      <c r="BJ16" s="58">
        <f t="shared" si="29"/>
        <v>0</v>
      </c>
      <c r="BK16" s="58">
        <f t="shared" si="30"/>
        <v>0</v>
      </c>
      <c r="BL16" s="58">
        <f t="shared" si="31"/>
        <v>0</v>
      </c>
      <c r="BM16" s="33">
        <f t="shared" si="32"/>
        <v>0</v>
      </c>
      <c r="BN16" s="33"/>
      <c r="BO16" s="293">
        <f t="shared" si="2"/>
        <v>0</v>
      </c>
      <c r="BP16" s="293">
        <f t="shared" si="3"/>
        <v>0</v>
      </c>
      <c r="BQ16" s="293">
        <f t="shared" si="4"/>
        <v>0</v>
      </c>
      <c r="BR16" s="293">
        <f t="shared" si="5"/>
        <v>0</v>
      </c>
      <c r="BS16" s="293">
        <f t="shared" si="6"/>
        <v>0</v>
      </c>
      <c r="BT16" s="293">
        <f t="shared" si="7"/>
        <v>0</v>
      </c>
      <c r="BU16" s="293">
        <f t="shared" si="8"/>
        <v>0</v>
      </c>
      <c r="BV16" s="293">
        <f t="shared" si="9"/>
        <v>0</v>
      </c>
      <c r="BW16" s="293">
        <f t="shared" si="10"/>
        <v>0</v>
      </c>
      <c r="BX16" s="293"/>
      <c r="BY16" s="293"/>
      <c r="BZ16" s="293"/>
      <c r="CA16" s="293"/>
      <c r="CB16" s="293"/>
      <c r="CC16" s="293"/>
      <c r="CD16" s="293"/>
      <c r="CE16" s="293"/>
      <c r="CF16" s="293"/>
      <c r="CG16" s="293"/>
      <c r="CH16" s="293"/>
      <c r="CI16" s="293"/>
      <c r="CJ16" s="293"/>
      <c r="CK16" s="293"/>
      <c r="CL16" s="293"/>
      <c r="CM16" s="293"/>
      <c r="CN16" s="293"/>
      <c r="CO16" s="293"/>
      <c r="CP16" s="58">
        <f t="shared" si="35"/>
        <v>0</v>
      </c>
      <c r="CQ16" s="223">
        <f t="shared" si="36"/>
        <v>0</v>
      </c>
      <c r="CR16" s="223">
        <f t="shared" si="37"/>
        <v>0</v>
      </c>
      <c r="CS16" s="223">
        <f t="shared" si="38"/>
        <v>0</v>
      </c>
      <c r="CT16" s="223">
        <f t="shared" si="39"/>
        <v>0</v>
      </c>
      <c r="CU16" s="223">
        <f t="shared" si="40"/>
        <v>0</v>
      </c>
      <c r="CV16" s="223">
        <f t="shared" si="41"/>
        <v>0</v>
      </c>
      <c r="CW16" s="223">
        <f t="shared" si="42"/>
        <v>0</v>
      </c>
      <c r="CX16" s="223">
        <f t="shared" si="43"/>
        <v>0</v>
      </c>
      <c r="CY16" s="58">
        <f t="shared" si="44"/>
        <v>0</v>
      </c>
      <c r="CZ16" s="399">
        <f t="shared" si="45"/>
        <v>0</v>
      </c>
      <c r="DA16" s="399">
        <f t="shared" si="46"/>
        <v>0</v>
      </c>
      <c r="DB16" s="399">
        <f t="shared" si="47"/>
        <v>0</v>
      </c>
      <c r="DC16" s="399">
        <f t="shared" si="48"/>
        <v>0</v>
      </c>
      <c r="DD16" s="399">
        <f t="shared" si="49"/>
        <v>0</v>
      </c>
      <c r="DE16" s="399">
        <f t="shared" si="50"/>
        <v>0</v>
      </c>
      <c r="DF16" s="399">
        <f t="shared" si="51"/>
        <v>0</v>
      </c>
      <c r="DG16" s="399">
        <f t="shared" si="52"/>
        <v>0</v>
      </c>
      <c r="DI16" s="399"/>
      <c r="DJ16" s="399"/>
      <c r="DK16" s="399"/>
      <c r="DL16" s="399"/>
      <c r="DM16" s="399"/>
      <c r="DN16" s="399"/>
      <c r="DO16" s="399"/>
      <c r="DP16" s="399"/>
      <c r="DQ16" s="399"/>
      <c r="DS16" s="399"/>
      <c r="DT16" s="399"/>
      <c r="DU16" s="399"/>
      <c r="DV16" s="399"/>
      <c r="DW16" s="399"/>
      <c r="DX16" s="399"/>
      <c r="DY16" s="399"/>
      <c r="DZ16" s="399"/>
      <c r="EB16" s="228">
        <f t="shared" si="53"/>
        <v>0</v>
      </c>
      <c r="EC16" s="228">
        <f t="shared" si="54"/>
        <v>0</v>
      </c>
      <c r="ED16" s="214">
        <f t="shared" si="55"/>
        <v>0</v>
      </c>
    </row>
    <row r="17" spans="1:134" hidden="1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3" t="str">
        <f>VLOOKUP(A17,'Summary Mar 2026'!$A$8:$F$207,6,FALSE)</f>
        <v>Chq Bk</v>
      </c>
      <c r="G17" s="33"/>
      <c r="H17" s="223">
        <v>0</v>
      </c>
      <c r="I17" s="294"/>
      <c r="J17" s="223">
        <v>0</v>
      </c>
      <c r="K17" s="223">
        <v>0</v>
      </c>
      <c r="L17" s="223">
        <v>0</v>
      </c>
      <c r="M17" s="223">
        <v>0</v>
      </c>
      <c r="N17" s="223">
        <v>0</v>
      </c>
      <c r="O17" s="223">
        <v>0</v>
      </c>
      <c r="P17" s="33">
        <f t="shared" si="13"/>
        <v>0</v>
      </c>
      <c r="Q17" s="223">
        <f t="shared" si="14"/>
        <v>0</v>
      </c>
      <c r="R17" s="294"/>
      <c r="S17" s="223">
        <v>0</v>
      </c>
      <c r="T17" s="223">
        <v>0</v>
      </c>
      <c r="U17" s="223">
        <v>0</v>
      </c>
      <c r="V17" s="223">
        <v>0</v>
      </c>
      <c r="W17" s="223">
        <v>0</v>
      </c>
      <c r="X17" s="223">
        <v>0</v>
      </c>
      <c r="Y17" s="223">
        <f t="shared" si="15"/>
        <v>0</v>
      </c>
      <c r="Z17" s="223">
        <f t="shared" si="16"/>
        <v>0</v>
      </c>
      <c r="AA17" s="294"/>
      <c r="AB17" s="398">
        <v>0</v>
      </c>
      <c r="AC17" s="398">
        <v>0</v>
      </c>
      <c r="AD17" s="398">
        <v>0</v>
      </c>
      <c r="AE17" s="398">
        <v>0</v>
      </c>
      <c r="AF17" s="398">
        <v>0</v>
      </c>
      <c r="AG17" s="398">
        <v>0</v>
      </c>
      <c r="AH17" s="223">
        <f t="shared" si="17"/>
        <v>0</v>
      </c>
      <c r="AI17" s="398">
        <f t="shared" si="18"/>
        <v>0</v>
      </c>
      <c r="AJ17" s="294"/>
      <c r="AK17" s="398">
        <v>0</v>
      </c>
      <c r="AL17" s="398">
        <v>0</v>
      </c>
      <c r="AM17" s="398">
        <v>0</v>
      </c>
      <c r="AN17" s="294"/>
      <c r="AO17" s="398">
        <f t="shared" si="19"/>
        <v>0</v>
      </c>
      <c r="AP17" s="398">
        <f t="shared" si="20"/>
        <v>0</v>
      </c>
      <c r="AQ17" s="398">
        <f t="shared" si="21"/>
        <v>0</v>
      </c>
      <c r="AR17" s="293"/>
      <c r="AS17" s="293">
        <v>0</v>
      </c>
      <c r="AT17" s="576">
        <f t="shared" si="22"/>
        <v>0</v>
      </c>
      <c r="AU17" s="293"/>
      <c r="AV17" s="293">
        <v>0</v>
      </c>
      <c r="AW17" s="293">
        <v>0</v>
      </c>
      <c r="AX17" s="293">
        <v>0</v>
      </c>
      <c r="AY17" s="293">
        <v>0</v>
      </c>
      <c r="AZ17" s="293">
        <v>0</v>
      </c>
      <c r="BA17" s="293">
        <v>0</v>
      </c>
      <c r="BB17" s="293">
        <v>0</v>
      </c>
      <c r="BC17" s="293">
        <f t="shared" si="23"/>
        <v>0</v>
      </c>
      <c r="BE17" s="58">
        <f t="shared" si="24"/>
        <v>0</v>
      </c>
      <c r="BF17" s="58">
        <f t="shared" si="25"/>
        <v>0</v>
      </c>
      <c r="BG17" s="58">
        <f t="shared" si="26"/>
        <v>0</v>
      </c>
      <c r="BH17" s="58">
        <f t="shared" si="27"/>
        <v>0</v>
      </c>
      <c r="BI17" s="58">
        <f t="shared" si="28"/>
        <v>0</v>
      </c>
      <c r="BJ17" s="58">
        <f t="shared" si="29"/>
        <v>0</v>
      </c>
      <c r="BK17" s="58">
        <f t="shared" si="30"/>
        <v>0</v>
      </c>
      <c r="BL17" s="58">
        <f t="shared" si="31"/>
        <v>0</v>
      </c>
      <c r="BM17" s="33">
        <f t="shared" si="32"/>
        <v>0</v>
      </c>
      <c r="BN17" s="33"/>
      <c r="BO17" s="293">
        <f t="shared" si="2"/>
        <v>0</v>
      </c>
      <c r="BP17" s="293">
        <f t="shared" si="3"/>
        <v>0</v>
      </c>
      <c r="BQ17" s="293">
        <f t="shared" si="4"/>
        <v>0</v>
      </c>
      <c r="BR17" s="293">
        <f t="shared" si="5"/>
        <v>0</v>
      </c>
      <c r="BS17" s="293">
        <f t="shared" si="6"/>
        <v>0</v>
      </c>
      <c r="BT17" s="293">
        <f t="shared" si="7"/>
        <v>0</v>
      </c>
      <c r="BU17" s="293">
        <f t="shared" si="8"/>
        <v>0</v>
      </c>
      <c r="BV17" s="293">
        <f t="shared" si="9"/>
        <v>0</v>
      </c>
      <c r="BW17" s="293">
        <f t="shared" si="10"/>
        <v>0</v>
      </c>
      <c r="BX17" s="293">
        <v>0</v>
      </c>
      <c r="BY17" s="293">
        <v>0</v>
      </c>
      <c r="BZ17" s="293">
        <v>0</v>
      </c>
      <c r="CA17" s="293">
        <v>0</v>
      </c>
      <c r="CB17" s="293">
        <v>0</v>
      </c>
      <c r="CC17" s="293">
        <v>0</v>
      </c>
      <c r="CD17" s="293">
        <v>0</v>
      </c>
      <c r="CE17" s="293">
        <f t="shared" si="33"/>
        <v>0</v>
      </c>
      <c r="CF17" s="293"/>
      <c r="CG17" s="293">
        <v>0</v>
      </c>
      <c r="CH17" s="293">
        <v>0</v>
      </c>
      <c r="CI17" s="293">
        <v>0</v>
      </c>
      <c r="CJ17" s="293">
        <v>0</v>
      </c>
      <c r="CK17" s="293">
        <v>0</v>
      </c>
      <c r="CL17" s="293">
        <v>0</v>
      </c>
      <c r="CM17" s="293">
        <v>0</v>
      </c>
      <c r="CN17" s="293">
        <f t="shared" si="34"/>
        <v>0</v>
      </c>
      <c r="CO17" s="293"/>
      <c r="CP17" s="58">
        <f t="shared" si="35"/>
        <v>0</v>
      </c>
      <c r="CQ17" s="223">
        <f t="shared" si="36"/>
        <v>0</v>
      </c>
      <c r="CR17" s="223">
        <f t="shared" si="37"/>
        <v>0</v>
      </c>
      <c r="CS17" s="223">
        <f t="shared" si="38"/>
        <v>0</v>
      </c>
      <c r="CT17" s="223">
        <f t="shared" si="39"/>
        <v>0</v>
      </c>
      <c r="CU17" s="223">
        <f t="shared" si="40"/>
        <v>0</v>
      </c>
      <c r="CV17" s="223">
        <f t="shared" si="41"/>
        <v>0</v>
      </c>
      <c r="CW17" s="223">
        <f t="shared" si="42"/>
        <v>0</v>
      </c>
      <c r="CX17" s="223">
        <f t="shared" si="43"/>
        <v>0</v>
      </c>
      <c r="CY17" s="58">
        <f t="shared" si="44"/>
        <v>0</v>
      </c>
      <c r="CZ17" s="399">
        <f t="shared" si="45"/>
        <v>0</v>
      </c>
      <c r="DA17" s="399">
        <f t="shared" si="46"/>
        <v>0</v>
      </c>
      <c r="DB17" s="399">
        <f t="shared" si="47"/>
        <v>0</v>
      </c>
      <c r="DC17" s="399">
        <f t="shared" si="48"/>
        <v>0</v>
      </c>
      <c r="DD17" s="399">
        <f t="shared" si="49"/>
        <v>0</v>
      </c>
      <c r="DE17" s="399">
        <f t="shared" si="50"/>
        <v>0</v>
      </c>
      <c r="DF17" s="399">
        <f t="shared" si="51"/>
        <v>0</v>
      </c>
      <c r="DG17" s="399">
        <f t="shared" si="52"/>
        <v>0</v>
      </c>
      <c r="DI17" s="399"/>
      <c r="DJ17" s="399"/>
      <c r="DK17" s="399"/>
      <c r="DL17" s="399"/>
      <c r="DM17" s="399"/>
      <c r="DN17" s="399"/>
      <c r="DO17" s="399"/>
      <c r="DP17" s="399"/>
      <c r="DQ17" s="399"/>
      <c r="DS17" s="399"/>
      <c r="DT17" s="399"/>
      <c r="DU17" s="399"/>
      <c r="DV17" s="399"/>
      <c r="DW17" s="399"/>
      <c r="DX17" s="399"/>
      <c r="DY17" s="399"/>
      <c r="DZ17" s="399"/>
      <c r="EB17" s="228">
        <f t="shared" si="53"/>
        <v>0</v>
      </c>
      <c r="EC17" s="228">
        <f t="shared" si="54"/>
        <v>0</v>
      </c>
      <c r="ED17" s="214">
        <f t="shared" si="55"/>
        <v>0</v>
      </c>
    </row>
    <row r="18" spans="1:134" hidden="1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3" t="str">
        <f>VLOOKUP(A18,'Summary Mar 2026'!$A$8:$F$207,6,FALSE)</f>
        <v>Chq Bk</v>
      </c>
      <c r="G18" s="33"/>
      <c r="H18" s="223">
        <v>0</v>
      </c>
      <c r="I18" s="294"/>
      <c r="J18" s="223">
        <v>0</v>
      </c>
      <c r="K18" s="223">
        <v>0</v>
      </c>
      <c r="L18" s="223">
        <v>0</v>
      </c>
      <c r="M18" s="223">
        <v>0</v>
      </c>
      <c r="N18" s="223">
        <v>0</v>
      </c>
      <c r="O18" s="223">
        <v>0</v>
      </c>
      <c r="P18" s="33">
        <f t="shared" si="13"/>
        <v>0</v>
      </c>
      <c r="Q18" s="223">
        <f t="shared" si="14"/>
        <v>0</v>
      </c>
      <c r="R18" s="294"/>
      <c r="S18" s="223">
        <v>0</v>
      </c>
      <c r="T18" s="223">
        <v>0</v>
      </c>
      <c r="U18" s="223">
        <v>0</v>
      </c>
      <c r="V18" s="223">
        <v>0</v>
      </c>
      <c r="W18" s="223">
        <v>0</v>
      </c>
      <c r="X18" s="223">
        <v>0</v>
      </c>
      <c r="Y18" s="223">
        <f t="shared" si="15"/>
        <v>0</v>
      </c>
      <c r="Z18" s="223">
        <f t="shared" si="16"/>
        <v>0</v>
      </c>
      <c r="AA18" s="294"/>
      <c r="AB18" s="398">
        <v>0</v>
      </c>
      <c r="AC18" s="398">
        <v>0</v>
      </c>
      <c r="AD18" s="398">
        <v>0</v>
      </c>
      <c r="AE18" s="398">
        <v>0</v>
      </c>
      <c r="AF18" s="398">
        <v>0</v>
      </c>
      <c r="AG18" s="398">
        <v>0</v>
      </c>
      <c r="AH18" s="223">
        <f t="shared" si="17"/>
        <v>0</v>
      </c>
      <c r="AI18" s="398">
        <f t="shared" si="18"/>
        <v>0</v>
      </c>
      <c r="AJ18" s="294"/>
      <c r="AK18" s="398">
        <v>0</v>
      </c>
      <c r="AL18" s="398">
        <v>0</v>
      </c>
      <c r="AM18" s="398">
        <v>0</v>
      </c>
      <c r="AN18" s="294"/>
      <c r="AO18" s="398">
        <f t="shared" si="19"/>
        <v>0</v>
      </c>
      <c r="AP18" s="398">
        <f t="shared" si="20"/>
        <v>0</v>
      </c>
      <c r="AQ18" s="398">
        <f t="shared" si="21"/>
        <v>0</v>
      </c>
      <c r="AR18" s="293"/>
      <c r="AS18" s="293">
        <v>0</v>
      </c>
      <c r="AT18" s="576">
        <f t="shared" si="22"/>
        <v>0</v>
      </c>
      <c r="AU18" s="293"/>
      <c r="AV18" s="293">
        <v>0</v>
      </c>
      <c r="AW18" s="293">
        <v>0</v>
      </c>
      <c r="AX18" s="293">
        <v>0</v>
      </c>
      <c r="AY18" s="293">
        <v>0</v>
      </c>
      <c r="AZ18" s="293">
        <v>0</v>
      </c>
      <c r="BA18" s="293">
        <v>0</v>
      </c>
      <c r="BB18" s="293">
        <v>0</v>
      </c>
      <c r="BC18" s="293">
        <f t="shared" si="23"/>
        <v>0</v>
      </c>
      <c r="BE18" s="58">
        <f t="shared" si="24"/>
        <v>0</v>
      </c>
      <c r="BF18" s="58">
        <f t="shared" si="25"/>
        <v>0</v>
      </c>
      <c r="BG18" s="58">
        <f t="shared" si="26"/>
        <v>0</v>
      </c>
      <c r="BH18" s="58">
        <f t="shared" si="27"/>
        <v>0</v>
      </c>
      <c r="BI18" s="58">
        <f t="shared" si="28"/>
        <v>0</v>
      </c>
      <c r="BJ18" s="58">
        <f t="shared" si="29"/>
        <v>0</v>
      </c>
      <c r="BK18" s="58">
        <f t="shared" si="30"/>
        <v>0</v>
      </c>
      <c r="BL18" s="58">
        <f t="shared" si="31"/>
        <v>0</v>
      </c>
      <c r="BM18" s="33">
        <f t="shared" si="32"/>
        <v>0</v>
      </c>
      <c r="BN18" s="33"/>
      <c r="BO18" s="293">
        <f t="shared" si="2"/>
        <v>0</v>
      </c>
      <c r="BP18" s="293">
        <f t="shared" si="3"/>
        <v>0</v>
      </c>
      <c r="BQ18" s="293">
        <f t="shared" si="4"/>
        <v>0</v>
      </c>
      <c r="BR18" s="293">
        <f t="shared" si="5"/>
        <v>0</v>
      </c>
      <c r="BS18" s="293">
        <f t="shared" si="6"/>
        <v>0</v>
      </c>
      <c r="BT18" s="293">
        <f t="shared" si="7"/>
        <v>0</v>
      </c>
      <c r="BU18" s="293">
        <f t="shared" si="8"/>
        <v>0</v>
      </c>
      <c r="BV18" s="293">
        <f t="shared" si="9"/>
        <v>0</v>
      </c>
      <c r="BW18" s="293">
        <f t="shared" si="10"/>
        <v>0</v>
      </c>
      <c r="BX18" s="293">
        <v>0</v>
      </c>
      <c r="BY18" s="293">
        <v>0</v>
      </c>
      <c r="BZ18" s="293">
        <v>0</v>
      </c>
      <c r="CA18" s="293">
        <v>0</v>
      </c>
      <c r="CB18" s="293">
        <v>0</v>
      </c>
      <c r="CC18" s="293">
        <v>0</v>
      </c>
      <c r="CD18" s="293">
        <v>0</v>
      </c>
      <c r="CE18" s="293">
        <f t="shared" si="33"/>
        <v>0</v>
      </c>
      <c r="CF18" s="293"/>
      <c r="CG18" s="293">
        <v>0</v>
      </c>
      <c r="CH18" s="293">
        <v>0</v>
      </c>
      <c r="CI18" s="293">
        <v>0</v>
      </c>
      <c r="CJ18" s="293">
        <v>0</v>
      </c>
      <c r="CK18" s="293">
        <v>0</v>
      </c>
      <c r="CL18" s="293">
        <v>0</v>
      </c>
      <c r="CM18" s="293">
        <v>0</v>
      </c>
      <c r="CN18" s="293">
        <f t="shared" si="34"/>
        <v>0</v>
      </c>
      <c r="CO18" s="293"/>
      <c r="CP18" s="58">
        <f t="shared" si="35"/>
        <v>0</v>
      </c>
      <c r="CQ18" s="223">
        <f t="shared" si="36"/>
        <v>0</v>
      </c>
      <c r="CR18" s="223">
        <f t="shared" si="37"/>
        <v>0</v>
      </c>
      <c r="CS18" s="223">
        <f t="shared" si="38"/>
        <v>0</v>
      </c>
      <c r="CT18" s="223">
        <f t="shared" si="39"/>
        <v>0</v>
      </c>
      <c r="CU18" s="223">
        <f t="shared" si="40"/>
        <v>0</v>
      </c>
      <c r="CV18" s="223">
        <f t="shared" si="41"/>
        <v>0</v>
      </c>
      <c r="CW18" s="223">
        <f t="shared" si="42"/>
        <v>0</v>
      </c>
      <c r="CX18" s="223">
        <f t="shared" si="43"/>
        <v>0</v>
      </c>
      <c r="CY18" s="58">
        <f t="shared" si="44"/>
        <v>0</v>
      </c>
      <c r="CZ18" s="399">
        <f t="shared" si="45"/>
        <v>0</v>
      </c>
      <c r="DA18" s="399">
        <f t="shared" si="46"/>
        <v>0</v>
      </c>
      <c r="DB18" s="399">
        <f t="shared" si="47"/>
        <v>0</v>
      </c>
      <c r="DC18" s="399">
        <f t="shared" si="48"/>
        <v>0</v>
      </c>
      <c r="DD18" s="399">
        <f t="shared" si="49"/>
        <v>0</v>
      </c>
      <c r="DE18" s="399">
        <f t="shared" si="50"/>
        <v>0</v>
      </c>
      <c r="DF18" s="399">
        <f t="shared" si="51"/>
        <v>0</v>
      </c>
      <c r="DG18" s="399">
        <f t="shared" si="52"/>
        <v>0</v>
      </c>
      <c r="DI18" s="399"/>
      <c r="DJ18" s="399"/>
      <c r="DK18" s="399"/>
      <c r="DL18" s="399"/>
      <c r="DM18" s="399"/>
      <c r="DN18" s="399"/>
      <c r="DO18" s="399"/>
      <c r="DP18" s="399"/>
      <c r="DQ18" s="399"/>
      <c r="DS18" s="399"/>
      <c r="DT18" s="399"/>
      <c r="DU18" s="399"/>
      <c r="DV18" s="399"/>
      <c r="DW18" s="399"/>
      <c r="DX18" s="399"/>
      <c r="DY18" s="399"/>
      <c r="DZ18" s="399"/>
      <c r="EB18" s="228">
        <f t="shared" si="53"/>
        <v>0</v>
      </c>
      <c r="EC18" s="228">
        <f t="shared" si="54"/>
        <v>0</v>
      </c>
      <c r="ED18" s="214">
        <f t="shared" si="55"/>
        <v>0</v>
      </c>
    </row>
    <row r="19" spans="1:134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3" t="str">
        <f>VLOOKUP(A19,'Summary Mar 2026'!$A$8:$F$207,6,FALSE)</f>
        <v>Chq Bk</v>
      </c>
      <c r="G19" s="33"/>
      <c r="H19" s="223">
        <v>0</v>
      </c>
      <c r="I19" s="294"/>
      <c r="J19" s="223">
        <v>0</v>
      </c>
      <c r="K19" s="223">
        <v>0</v>
      </c>
      <c r="L19" s="223">
        <v>51873.9</v>
      </c>
      <c r="M19" s="223">
        <v>0</v>
      </c>
      <c r="N19" s="223">
        <v>0</v>
      </c>
      <c r="O19" s="223">
        <v>320.89473684210526</v>
      </c>
      <c r="P19" s="33">
        <f t="shared" si="13"/>
        <v>52194.794736842108</v>
      </c>
      <c r="Q19" s="223">
        <f t="shared" si="14"/>
        <v>41755.835789473691</v>
      </c>
      <c r="R19" s="294"/>
      <c r="S19" s="223">
        <v>0</v>
      </c>
      <c r="T19" s="223">
        <v>0</v>
      </c>
      <c r="U19" s="223">
        <v>55185.000000000007</v>
      </c>
      <c r="V19" s="223">
        <v>2340</v>
      </c>
      <c r="W19" s="223">
        <v>894.94736842105272</v>
      </c>
      <c r="X19" s="223">
        <v>641.78947368421052</v>
      </c>
      <c r="Y19" s="223">
        <f t="shared" si="15"/>
        <v>59061.736842105274</v>
      </c>
      <c r="Z19" s="223">
        <f t="shared" si="16"/>
        <v>47249.389473684219</v>
      </c>
      <c r="AA19" s="294"/>
      <c r="AB19" s="398">
        <v>0</v>
      </c>
      <c r="AC19" s="398">
        <v>0</v>
      </c>
      <c r="AD19" s="398">
        <v>45041.684210526313</v>
      </c>
      <c r="AE19" s="398">
        <v>1364.2105263157894</v>
      </c>
      <c r="AF19" s="398">
        <v>521.7506925207756</v>
      </c>
      <c r="AG19" s="398">
        <v>280.62049861495842</v>
      </c>
      <c r="AH19" s="223">
        <f t="shared" si="17"/>
        <v>47208.265927977838</v>
      </c>
      <c r="AI19" s="398">
        <f t="shared" si="18"/>
        <v>37766.612742382269</v>
      </c>
      <c r="AJ19" s="294"/>
      <c r="AK19" s="398">
        <v>2341.9499999999998</v>
      </c>
      <c r="AL19" s="398">
        <v>2382.8999999999996</v>
      </c>
      <c r="AM19" s="398">
        <v>2025.2842105263157</v>
      </c>
      <c r="AN19" s="294"/>
      <c r="AO19" s="398">
        <f t="shared" si="19"/>
        <v>1873.56</v>
      </c>
      <c r="AP19" s="398">
        <f t="shared" si="20"/>
        <v>1906.3199999999997</v>
      </c>
      <c r="AQ19" s="398">
        <f t="shared" si="21"/>
        <v>1620.2273684210527</v>
      </c>
      <c r="AR19" s="293"/>
      <c r="AS19" s="293">
        <v>0</v>
      </c>
      <c r="AT19" s="576">
        <f t="shared" si="22"/>
        <v>0</v>
      </c>
      <c r="AU19" s="293"/>
      <c r="AV19" s="293">
        <v>0</v>
      </c>
      <c r="AW19" s="293">
        <v>0</v>
      </c>
      <c r="AX19" s="293">
        <v>61807.200000000004</v>
      </c>
      <c r="AY19" s="293">
        <v>3120</v>
      </c>
      <c r="AZ19" s="293">
        <v>1193.2631578947369</v>
      </c>
      <c r="BA19" s="293">
        <v>962.67</v>
      </c>
      <c r="BB19" s="293">
        <v>2573.9999999999995</v>
      </c>
      <c r="BC19" s="293">
        <f t="shared" si="23"/>
        <v>69657.133157894743</v>
      </c>
      <c r="BE19" s="58">
        <f t="shared" si="24"/>
        <v>0</v>
      </c>
      <c r="BF19" s="58">
        <f t="shared" si="25"/>
        <v>0</v>
      </c>
      <c r="BG19" s="58">
        <f t="shared" si="26"/>
        <v>9933.3000000000029</v>
      </c>
      <c r="BH19" s="58">
        <f t="shared" si="27"/>
        <v>3120</v>
      </c>
      <c r="BI19" s="58">
        <f t="shared" si="28"/>
        <v>1193.2631578947369</v>
      </c>
      <c r="BJ19" s="58">
        <f t="shared" si="29"/>
        <v>641.77526315789464</v>
      </c>
      <c r="BK19" s="58">
        <f t="shared" si="30"/>
        <v>232.04999999999973</v>
      </c>
      <c r="BL19" s="58">
        <f t="shared" si="31"/>
        <v>15120.388421052634</v>
      </c>
      <c r="BM19" s="33">
        <f t="shared" si="32"/>
        <v>0</v>
      </c>
      <c r="BN19" s="33"/>
      <c r="BO19" s="293">
        <f t="shared" si="2"/>
        <v>0</v>
      </c>
      <c r="BP19" s="293">
        <f t="shared" si="3"/>
        <v>0</v>
      </c>
      <c r="BQ19" s="293">
        <f t="shared" si="4"/>
        <v>20308.080000000002</v>
      </c>
      <c r="BR19" s="293">
        <f t="shared" si="5"/>
        <v>3120</v>
      </c>
      <c r="BS19" s="293">
        <f t="shared" si="6"/>
        <v>1193.2631578947369</v>
      </c>
      <c r="BT19" s="293">
        <f t="shared" si="7"/>
        <v>705.95421052631582</v>
      </c>
      <c r="BU19" s="293">
        <f t="shared" si="8"/>
        <v>700.4399999999996</v>
      </c>
      <c r="BV19" s="293">
        <f t="shared" si="9"/>
        <v>26027.737368421054</v>
      </c>
      <c r="BW19" s="293">
        <f t="shared" si="10"/>
        <v>0</v>
      </c>
      <c r="BX19" s="293">
        <v>0</v>
      </c>
      <c r="BY19" s="293">
        <v>0</v>
      </c>
      <c r="BZ19" s="293">
        <v>0</v>
      </c>
      <c r="CA19" s="293">
        <v>0</v>
      </c>
      <c r="CB19" s="293">
        <v>223.73684210526289</v>
      </c>
      <c r="CC19" s="293">
        <v>1851.33</v>
      </c>
      <c r="CD19" s="293">
        <v>852.15000000000055</v>
      </c>
      <c r="CE19" s="293">
        <f t="shared" si="33"/>
        <v>2927.2168421052634</v>
      </c>
      <c r="CF19" s="293"/>
      <c r="CG19" s="293">
        <v>0</v>
      </c>
      <c r="CH19" s="293">
        <v>0</v>
      </c>
      <c r="CI19" s="293">
        <v>54081.3</v>
      </c>
      <c r="CJ19" s="293">
        <v>2535</v>
      </c>
      <c r="CK19" s="293">
        <v>1081.8600000000001</v>
      </c>
      <c r="CL19" s="293">
        <v>938</v>
      </c>
      <c r="CM19" s="293">
        <v>3024.4500000000003</v>
      </c>
      <c r="CN19" s="293">
        <f t="shared" si="34"/>
        <v>61660.61</v>
      </c>
      <c r="CO19" s="293"/>
      <c r="CP19" s="58">
        <f t="shared" si="35"/>
        <v>0</v>
      </c>
      <c r="CQ19" s="223">
        <f t="shared" si="36"/>
        <v>0</v>
      </c>
      <c r="CR19" s="223">
        <f t="shared" si="37"/>
        <v>-1103.7000000000044</v>
      </c>
      <c r="CS19" s="223">
        <f t="shared" si="38"/>
        <v>195</v>
      </c>
      <c r="CT19" s="223">
        <f t="shared" si="39"/>
        <v>186.91263157894741</v>
      </c>
      <c r="CU19" s="223">
        <f t="shared" si="40"/>
        <v>296.21052631578948</v>
      </c>
      <c r="CV19" s="223">
        <f t="shared" si="41"/>
        <v>641.55000000000064</v>
      </c>
      <c r="CW19" s="223">
        <f t="shared" si="42"/>
        <v>215.97315789473316</v>
      </c>
      <c r="CX19" s="223">
        <f t="shared" si="43"/>
        <v>0</v>
      </c>
      <c r="CY19" s="58">
        <f t="shared" si="44"/>
        <v>0</v>
      </c>
      <c r="CZ19" s="399">
        <f t="shared" si="45"/>
        <v>0</v>
      </c>
      <c r="DA19" s="399">
        <f t="shared" si="46"/>
        <v>9933.2999999999956</v>
      </c>
      <c r="DB19" s="399">
        <f t="shared" si="47"/>
        <v>663</v>
      </c>
      <c r="DC19" s="399">
        <f t="shared" si="48"/>
        <v>365.90210526315786</v>
      </c>
      <c r="DD19" s="399">
        <f t="shared" si="49"/>
        <v>424.56842105263161</v>
      </c>
      <c r="DE19" s="399">
        <f t="shared" si="50"/>
        <v>1118.1300000000006</v>
      </c>
      <c r="DF19" s="399">
        <f t="shared" si="51"/>
        <v>12504.900526315787</v>
      </c>
      <c r="DG19" s="399">
        <f t="shared" si="52"/>
        <v>0</v>
      </c>
      <c r="DI19" s="399"/>
      <c r="DJ19" s="399"/>
      <c r="DK19" s="399"/>
      <c r="DL19" s="399"/>
      <c r="DM19" s="399"/>
      <c r="DN19" s="399"/>
      <c r="DO19" s="399"/>
      <c r="DP19" s="399"/>
      <c r="DQ19" s="399"/>
      <c r="DS19" s="399"/>
      <c r="DT19" s="399"/>
      <c r="DU19" s="399"/>
      <c r="DV19" s="399"/>
      <c r="DW19" s="399"/>
      <c r="DX19" s="399"/>
      <c r="DY19" s="399"/>
      <c r="DZ19" s="399"/>
      <c r="EB19" s="228">
        <f t="shared" si="53"/>
        <v>169655.30371191137</v>
      </c>
      <c r="EC19" s="228">
        <f t="shared" si="54"/>
        <v>3976.4963988919667</v>
      </c>
      <c r="ED19" s="214">
        <f t="shared" si="55"/>
        <v>173631.80011080333</v>
      </c>
    </row>
    <row r="20" spans="1:134" hidden="1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3" t="str">
        <f>VLOOKUP(A20,'Summary Mar 2026'!$A$8:$F$207,6,FALSE)</f>
        <v>Chq Bk</v>
      </c>
      <c r="G20" s="33"/>
      <c r="H20" s="223">
        <v>0</v>
      </c>
      <c r="I20" s="294"/>
      <c r="J20" s="223">
        <v>0</v>
      </c>
      <c r="K20" s="223">
        <v>0</v>
      </c>
      <c r="L20" s="223">
        <v>0</v>
      </c>
      <c r="M20" s="223">
        <v>0</v>
      </c>
      <c r="N20" s="223">
        <v>0</v>
      </c>
      <c r="O20" s="223">
        <v>0</v>
      </c>
      <c r="P20" s="33">
        <f t="shared" si="13"/>
        <v>0</v>
      </c>
      <c r="Q20" s="223">
        <f t="shared" si="14"/>
        <v>0</v>
      </c>
      <c r="R20" s="294"/>
      <c r="S20" s="223">
        <v>0</v>
      </c>
      <c r="T20" s="223">
        <v>0</v>
      </c>
      <c r="U20" s="223">
        <v>0</v>
      </c>
      <c r="V20" s="223">
        <v>0</v>
      </c>
      <c r="W20" s="223">
        <v>0</v>
      </c>
      <c r="X20" s="223">
        <v>0</v>
      </c>
      <c r="Y20" s="223">
        <f t="shared" si="15"/>
        <v>0</v>
      </c>
      <c r="Z20" s="223">
        <f t="shared" si="16"/>
        <v>0</v>
      </c>
      <c r="AA20" s="294"/>
      <c r="AB20" s="398">
        <v>0</v>
      </c>
      <c r="AC20" s="398">
        <v>0</v>
      </c>
      <c r="AD20" s="398">
        <v>0</v>
      </c>
      <c r="AE20" s="398">
        <v>0</v>
      </c>
      <c r="AF20" s="398">
        <v>0</v>
      </c>
      <c r="AG20" s="398">
        <v>0</v>
      </c>
      <c r="AH20" s="223">
        <f t="shared" si="17"/>
        <v>0</v>
      </c>
      <c r="AI20" s="398">
        <f t="shared" si="18"/>
        <v>0</v>
      </c>
      <c r="AJ20" s="294"/>
      <c r="AK20" s="398">
        <v>0</v>
      </c>
      <c r="AL20" s="398">
        <v>0</v>
      </c>
      <c r="AM20" s="398">
        <v>0</v>
      </c>
      <c r="AN20" s="294"/>
      <c r="AO20" s="398">
        <f t="shared" si="19"/>
        <v>0</v>
      </c>
      <c r="AP20" s="398">
        <f t="shared" si="20"/>
        <v>0</v>
      </c>
      <c r="AQ20" s="398">
        <f t="shared" si="21"/>
        <v>0</v>
      </c>
      <c r="AR20" s="293"/>
      <c r="AS20" s="293">
        <v>0</v>
      </c>
      <c r="AT20" s="576">
        <f t="shared" si="22"/>
        <v>0</v>
      </c>
      <c r="AU20" s="293"/>
      <c r="AV20" s="293">
        <v>0</v>
      </c>
      <c r="AW20" s="293">
        <v>0</v>
      </c>
      <c r="AX20" s="293">
        <v>0</v>
      </c>
      <c r="AY20" s="293">
        <v>0</v>
      </c>
      <c r="AZ20" s="293">
        <v>0</v>
      </c>
      <c r="BA20" s="293">
        <v>0</v>
      </c>
      <c r="BB20" s="293">
        <v>0</v>
      </c>
      <c r="BC20" s="293">
        <f t="shared" si="23"/>
        <v>0</v>
      </c>
      <c r="BE20" s="58">
        <f t="shared" si="24"/>
        <v>0</v>
      </c>
      <c r="BF20" s="58">
        <f t="shared" si="25"/>
        <v>0</v>
      </c>
      <c r="BG20" s="58">
        <f t="shared" si="26"/>
        <v>0</v>
      </c>
      <c r="BH20" s="58">
        <f t="shared" si="27"/>
        <v>0</v>
      </c>
      <c r="BI20" s="58">
        <f t="shared" si="28"/>
        <v>0</v>
      </c>
      <c r="BJ20" s="58">
        <f t="shared" si="29"/>
        <v>0</v>
      </c>
      <c r="BK20" s="58">
        <f t="shared" si="30"/>
        <v>0</v>
      </c>
      <c r="BL20" s="58">
        <f t="shared" si="31"/>
        <v>0</v>
      </c>
      <c r="BM20" s="33">
        <f t="shared" si="32"/>
        <v>0</v>
      </c>
      <c r="BN20" s="33"/>
      <c r="BO20" s="293">
        <f t="shared" si="2"/>
        <v>0</v>
      </c>
      <c r="BP20" s="293">
        <f t="shared" si="3"/>
        <v>0</v>
      </c>
      <c r="BQ20" s="293">
        <f t="shared" si="4"/>
        <v>0</v>
      </c>
      <c r="BR20" s="293">
        <f t="shared" si="5"/>
        <v>0</v>
      </c>
      <c r="BS20" s="293">
        <f t="shared" si="6"/>
        <v>0</v>
      </c>
      <c r="BT20" s="293">
        <f t="shared" si="7"/>
        <v>0</v>
      </c>
      <c r="BU20" s="293">
        <f t="shared" si="8"/>
        <v>0</v>
      </c>
      <c r="BV20" s="293">
        <f t="shared" si="9"/>
        <v>0</v>
      </c>
      <c r="BW20" s="293">
        <f t="shared" si="10"/>
        <v>0</v>
      </c>
      <c r="BX20" s="293">
        <v>0</v>
      </c>
      <c r="BY20" s="293">
        <v>0</v>
      </c>
      <c r="BZ20" s="293">
        <v>0</v>
      </c>
      <c r="CA20" s="293">
        <v>0</v>
      </c>
      <c r="CB20" s="293">
        <v>0</v>
      </c>
      <c r="CC20" s="293">
        <v>0</v>
      </c>
      <c r="CD20" s="293">
        <v>0</v>
      </c>
      <c r="CE20" s="293">
        <f t="shared" si="33"/>
        <v>0</v>
      </c>
      <c r="CF20" s="293"/>
      <c r="CG20" s="293">
        <v>0</v>
      </c>
      <c r="CH20" s="293">
        <v>0</v>
      </c>
      <c r="CI20" s="293">
        <v>0</v>
      </c>
      <c r="CJ20" s="293">
        <v>0</v>
      </c>
      <c r="CK20" s="293">
        <v>0</v>
      </c>
      <c r="CL20" s="293">
        <v>0</v>
      </c>
      <c r="CM20" s="293">
        <v>0</v>
      </c>
      <c r="CN20" s="293">
        <f t="shared" si="34"/>
        <v>0</v>
      </c>
      <c r="CO20" s="293"/>
      <c r="CP20" s="58">
        <f t="shared" si="35"/>
        <v>0</v>
      </c>
      <c r="CQ20" s="223">
        <f t="shared" si="36"/>
        <v>0</v>
      </c>
      <c r="CR20" s="223">
        <f t="shared" si="37"/>
        <v>0</v>
      </c>
      <c r="CS20" s="223">
        <f t="shared" si="38"/>
        <v>0</v>
      </c>
      <c r="CT20" s="223">
        <f t="shared" si="39"/>
        <v>0</v>
      </c>
      <c r="CU20" s="223">
        <f t="shared" si="40"/>
        <v>0</v>
      </c>
      <c r="CV20" s="223">
        <f t="shared" si="41"/>
        <v>0</v>
      </c>
      <c r="CW20" s="223">
        <f t="shared" si="42"/>
        <v>0</v>
      </c>
      <c r="CX20" s="223">
        <f t="shared" si="43"/>
        <v>0</v>
      </c>
      <c r="CY20" s="58">
        <f t="shared" si="44"/>
        <v>0</v>
      </c>
      <c r="CZ20" s="399">
        <f t="shared" si="45"/>
        <v>0</v>
      </c>
      <c r="DA20" s="399">
        <f t="shared" si="46"/>
        <v>0</v>
      </c>
      <c r="DB20" s="399">
        <f t="shared" si="47"/>
        <v>0</v>
      </c>
      <c r="DC20" s="399">
        <f t="shared" si="48"/>
        <v>0</v>
      </c>
      <c r="DD20" s="399">
        <f t="shared" si="49"/>
        <v>0</v>
      </c>
      <c r="DE20" s="399">
        <f t="shared" si="50"/>
        <v>0</v>
      </c>
      <c r="DF20" s="399">
        <f t="shared" si="51"/>
        <v>0</v>
      </c>
      <c r="DG20" s="399">
        <f t="shared" si="52"/>
        <v>0</v>
      </c>
      <c r="DI20" s="399"/>
      <c r="DJ20" s="399"/>
      <c r="DK20" s="399"/>
      <c r="DL20" s="399"/>
      <c r="DM20" s="399"/>
      <c r="DN20" s="399"/>
      <c r="DO20" s="399"/>
      <c r="DP20" s="399"/>
      <c r="DQ20" s="399"/>
      <c r="DS20" s="399"/>
      <c r="DT20" s="399"/>
      <c r="DU20" s="399"/>
      <c r="DV20" s="399"/>
      <c r="DW20" s="399"/>
      <c r="DX20" s="399"/>
      <c r="DY20" s="399"/>
      <c r="DZ20" s="399"/>
      <c r="EB20" s="228">
        <f t="shared" si="53"/>
        <v>0</v>
      </c>
      <c r="EC20" s="228">
        <f t="shared" si="54"/>
        <v>0</v>
      </c>
      <c r="ED20" s="214">
        <f t="shared" si="55"/>
        <v>0</v>
      </c>
    </row>
    <row r="21" spans="1:134" hidden="1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3" t="str">
        <f>VLOOKUP(A21,'Summary Mar 2026'!$A$8:$F$207,6,FALSE)</f>
        <v>Chq Bk</v>
      </c>
      <c r="G21" s="33"/>
      <c r="H21" s="223">
        <v>0</v>
      </c>
      <c r="I21" s="294"/>
      <c r="J21" s="223">
        <v>0</v>
      </c>
      <c r="K21" s="223">
        <v>0</v>
      </c>
      <c r="L21" s="223">
        <v>0</v>
      </c>
      <c r="M21" s="223">
        <v>0</v>
      </c>
      <c r="N21" s="223">
        <v>0</v>
      </c>
      <c r="O21" s="223">
        <v>0</v>
      </c>
      <c r="P21" s="33">
        <f t="shared" si="13"/>
        <v>0</v>
      </c>
      <c r="Q21" s="223">
        <f t="shared" si="14"/>
        <v>0</v>
      </c>
      <c r="R21" s="294"/>
      <c r="S21" s="223">
        <v>0</v>
      </c>
      <c r="T21" s="223">
        <v>0</v>
      </c>
      <c r="U21" s="223">
        <v>0</v>
      </c>
      <c r="V21" s="223">
        <v>0</v>
      </c>
      <c r="W21" s="223">
        <v>0</v>
      </c>
      <c r="X21" s="223">
        <v>0</v>
      </c>
      <c r="Y21" s="223">
        <f t="shared" si="15"/>
        <v>0</v>
      </c>
      <c r="Z21" s="223">
        <f t="shared" si="16"/>
        <v>0</v>
      </c>
      <c r="AA21" s="294"/>
      <c r="AB21" s="398">
        <v>0</v>
      </c>
      <c r="AC21" s="398">
        <v>0</v>
      </c>
      <c r="AD21" s="398">
        <v>0</v>
      </c>
      <c r="AE21" s="398">
        <v>0</v>
      </c>
      <c r="AF21" s="398">
        <v>0</v>
      </c>
      <c r="AG21" s="398">
        <v>0</v>
      </c>
      <c r="AH21" s="223">
        <f t="shared" si="17"/>
        <v>0</v>
      </c>
      <c r="AI21" s="398">
        <f t="shared" si="18"/>
        <v>0</v>
      </c>
      <c r="AJ21" s="294"/>
      <c r="AK21" s="398">
        <v>0</v>
      </c>
      <c r="AL21" s="398">
        <v>0</v>
      </c>
      <c r="AM21" s="398">
        <v>0</v>
      </c>
      <c r="AN21" s="294"/>
      <c r="AO21" s="398">
        <f t="shared" si="19"/>
        <v>0</v>
      </c>
      <c r="AP21" s="398">
        <f t="shared" si="20"/>
        <v>0</v>
      </c>
      <c r="AQ21" s="398">
        <f t="shared" si="21"/>
        <v>0</v>
      </c>
      <c r="AR21" s="293"/>
      <c r="AS21" s="293">
        <v>0</v>
      </c>
      <c r="AT21" s="576">
        <f t="shared" si="22"/>
        <v>0</v>
      </c>
      <c r="AU21" s="293"/>
      <c r="AV21" s="293">
        <v>0</v>
      </c>
      <c r="AW21" s="293">
        <v>0</v>
      </c>
      <c r="AX21" s="293">
        <v>0</v>
      </c>
      <c r="AY21" s="293">
        <v>0</v>
      </c>
      <c r="AZ21" s="293">
        <v>0</v>
      </c>
      <c r="BA21" s="293">
        <v>0</v>
      </c>
      <c r="BB21" s="293">
        <v>0</v>
      </c>
      <c r="BC21" s="293">
        <f t="shared" si="23"/>
        <v>0</v>
      </c>
      <c r="BE21" s="58">
        <f t="shared" si="24"/>
        <v>0</v>
      </c>
      <c r="BF21" s="58">
        <f t="shared" si="25"/>
        <v>0</v>
      </c>
      <c r="BG21" s="58">
        <f t="shared" si="26"/>
        <v>0</v>
      </c>
      <c r="BH21" s="58">
        <f t="shared" si="27"/>
        <v>0</v>
      </c>
      <c r="BI21" s="58">
        <f t="shared" si="28"/>
        <v>0</v>
      </c>
      <c r="BJ21" s="58">
        <f t="shared" si="29"/>
        <v>0</v>
      </c>
      <c r="BK21" s="58">
        <f t="shared" si="30"/>
        <v>0</v>
      </c>
      <c r="BL21" s="58">
        <f t="shared" si="31"/>
        <v>0</v>
      </c>
      <c r="BM21" s="33">
        <f t="shared" si="32"/>
        <v>0</v>
      </c>
      <c r="BN21" s="33"/>
      <c r="BO21" s="293">
        <f t="shared" si="2"/>
        <v>0</v>
      </c>
      <c r="BP21" s="293">
        <f t="shared" si="3"/>
        <v>0</v>
      </c>
      <c r="BQ21" s="293">
        <f t="shared" si="4"/>
        <v>0</v>
      </c>
      <c r="BR21" s="293">
        <f t="shared" si="5"/>
        <v>0</v>
      </c>
      <c r="BS21" s="293">
        <f t="shared" si="6"/>
        <v>0</v>
      </c>
      <c r="BT21" s="293">
        <f t="shared" si="7"/>
        <v>0</v>
      </c>
      <c r="BU21" s="293">
        <f t="shared" si="8"/>
        <v>0</v>
      </c>
      <c r="BV21" s="293">
        <f t="shared" si="9"/>
        <v>0</v>
      </c>
      <c r="BW21" s="293">
        <f t="shared" si="10"/>
        <v>0</v>
      </c>
      <c r="BX21" s="293">
        <v>0</v>
      </c>
      <c r="BY21" s="293">
        <v>0</v>
      </c>
      <c r="BZ21" s="293">
        <v>0</v>
      </c>
      <c r="CA21" s="293">
        <v>0</v>
      </c>
      <c r="CB21" s="293">
        <v>0</v>
      </c>
      <c r="CC21" s="293">
        <v>0</v>
      </c>
      <c r="CD21" s="293">
        <v>0</v>
      </c>
      <c r="CE21" s="293">
        <f t="shared" si="33"/>
        <v>0</v>
      </c>
      <c r="CF21" s="293"/>
      <c r="CG21" s="293">
        <v>0</v>
      </c>
      <c r="CH21" s="293">
        <v>0</v>
      </c>
      <c r="CI21" s="293">
        <v>0</v>
      </c>
      <c r="CJ21" s="293">
        <v>0</v>
      </c>
      <c r="CK21" s="293">
        <v>0</v>
      </c>
      <c r="CL21" s="293">
        <v>0</v>
      </c>
      <c r="CM21" s="293">
        <v>0</v>
      </c>
      <c r="CN21" s="293">
        <f t="shared" si="34"/>
        <v>0</v>
      </c>
      <c r="CO21" s="293"/>
      <c r="CP21" s="58">
        <f t="shared" si="35"/>
        <v>0</v>
      </c>
      <c r="CQ21" s="223">
        <f t="shared" si="36"/>
        <v>0</v>
      </c>
      <c r="CR21" s="223">
        <f t="shared" si="37"/>
        <v>0</v>
      </c>
      <c r="CS21" s="223">
        <f t="shared" si="38"/>
        <v>0</v>
      </c>
      <c r="CT21" s="223">
        <f t="shared" si="39"/>
        <v>0</v>
      </c>
      <c r="CU21" s="223">
        <f t="shared" si="40"/>
        <v>0</v>
      </c>
      <c r="CV21" s="223">
        <f t="shared" si="41"/>
        <v>0</v>
      </c>
      <c r="CW21" s="223">
        <f t="shared" si="42"/>
        <v>0</v>
      </c>
      <c r="CX21" s="223">
        <f t="shared" si="43"/>
        <v>0</v>
      </c>
      <c r="CY21" s="58">
        <f t="shared" si="44"/>
        <v>0</v>
      </c>
      <c r="CZ21" s="399">
        <f t="shared" si="45"/>
        <v>0</v>
      </c>
      <c r="DA21" s="399">
        <f t="shared" si="46"/>
        <v>0</v>
      </c>
      <c r="DB21" s="399">
        <f t="shared" si="47"/>
        <v>0</v>
      </c>
      <c r="DC21" s="399">
        <f t="shared" si="48"/>
        <v>0</v>
      </c>
      <c r="DD21" s="399">
        <f t="shared" si="49"/>
        <v>0</v>
      </c>
      <c r="DE21" s="399">
        <f t="shared" si="50"/>
        <v>0</v>
      </c>
      <c r="DF21" s="399">
        <f t="shared" si="51"/>
        <v>0</v>
      </c>
      <c r="DG21" s="399">
        <f t="shared" si="52"/>
        <v>0</v>
      </c>
      <c r="DI21" s="399"/>
      <c r="DJ21" s="399"/>
      <c r="DK21" s="399"/>
      <c r="DL21" s="399"/>
      <c r="DM21" s="399"/>
      <c r="DN21" s="399"/>
      <c r="DO21" s="399"/>
      <c r="DP21" s="399"/>
      <c r="DQ21" s="399"/>
      <c r="DS21" s="399"/>
      <c r="DT21" s="399"/>
      <c r="DU21" s="399"/>
      <c r="DV21" s="399"/>
      <c r="DW21" s="399"/>
      <c r="DX21" s="399"/>
      <c r="DY21" s="399"/>
      <c r="DZ21" s="399"/>
      <c r="EB21" s="228">
        <f t="shared" si="53"/>
        <v>0</v>
      </c>
      <c r="EC21" s="228">
        <f t="shared" si="54"/>
        <v>0</v>
      </c>
      <c r="ED21" s="214">
        <f t="shared" si="55"/>
        <v>0</v>
      </c>
    </row>
    <row r="22" spans="1:134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3" t="str">
        <f>VLOOKUP(A22,'Summary Mar 2026'!$A$8:$F$207,6,FALSE)</f>
        <v>Chq Bk</v>
      </c>
      <c r="G22" s="33"/>
      <c r="H22" s="223">
        <v>297176.81517682609</v>
      </c>
      <c r="I22" s="294"/>
      <c r="J22" s="223">
        <v>0</v>
      </c>
      <c r="K22" s="223">
        <v>84631.95</v>
      </c>
      <c r="L22" s="223">
        <v>122510.7</v>
      </c>
      <c r="M22" s="223">
        <v>19890</v>
      </c>
      <c r="N22" s="223">
        <v>5295.105263157895</v>
      </c>
      <c r="O22" s="223">
        <v>1283.578947368421</v>
      </c>
      <c r="P22" s="33">
        <f t="shared" si="13"/>
        <v>233611.33421052631</v>
      </c>
      <c r="Q22" s="223">
        <f t="shared" si="14"/>
        <v>186889.06736842106</v>
      </c>
      <c r="R22" s="294"/>
      <c r="S22" s="223">
        <v>0</v>
      </c>
      <c r="T22" s="223">
        <v>77994.149999999994</v>
      </c>
      <c r="U22" s="223">
        <v>81673.8</v>
      </c>
      <c r="V22" s="223">
        <v>15405</v>
      </c>
      <c r="W22" s="223">
        <v>3505.2105263157896</v>
      </c>
      <c r="X22" s="223">
        <v>962.68421052631584</v>
      </c>
      <c r="Y22" s="223">
        <f t="shared" si="15"/>
        <v>179540.84473684212</v>
      </c>
      <c r="Z22" s="223">
        <f t="shared" si="16"/>
        <v>143632.67578947369</v>
      </c>
      <c r="AA22" s="294"/>
      <c r="AB22" s="398">
        <v>0</v>
      </c>
      <c r="AC22" s="398">
        <v>67237.957894736843</v>
      </c>
      <c r="AD22" s="398">
        <v>89118.189473684222</v>
      </c>
      <c r="AE22" s="398">
        <v>13187.368421052633</v>
      </c>
      <c r="AF22" s="398">
        <v>3652.2548476454294</v>
      </c>
      <c r="AG22" s="398">
        <v>935.40166204986156</v>
      </c>
      <c r="AH22" s="223">
        <f t="shared" si="17"/>
        <v>174131.17229916903</v>
      </c>
      <c r="AI22" s="398">
        <f t="shared" si="18"/>
        <v>139304.93783933524</v>
      </c>
      <c r="AJ22" s="294"/>
      <c r="AK22" s="398">
        <v>12409.799999999997</v>
      </c>
      <c r="AL22" s="398">
        <v>8944.65</v>
      </c>
      <c r="AM22" s="398">
        <v>8235.8526315789477</v>
      </c>
      <c r="AN22" s="294"/>
      <c r="AO22" s="398">
        <f t="shared" si="19"/>
        <v>9927.8399999999983</v>
      </c>
      <c r="AP22" s="398">
        <f t="shared" si="20"/>
        <v>7155.72</v>
      </c>
      <c r="AQ22" s="398">
        <f t="shared" si="21"/>
        <v>6588.6821052631585</v>
      </c>
      <c r="AR22" s="293"/>
      <c r="AS22" s="293">
        <v>292909.30368287954</v>
      </c>
      <c r="AT22" s="576">
        <f t="shared" si="22"/>
        <v>-4267.511493946542</v>
      </c>
      <c r="AU22" s="293"/>
      <c r="AV22" s="293">
        <v>0</v>
      </c>
      <c r="AW22" s="293">
        <v>84631.95</v>
      </c>
      <c r="AX22" s="293">
        <v>121407</v>
      </c>
      <c r="AY22" s="293">
        <v>19305</v>
      </c>
      <c r="AZ22" s="293">
        <v>5593.4210526315792</v>
      </c>
      <c r="BA22" s="293">
        <v>3529.79</v>
      </c>
      <c r="BB22" s="293">
        <v>10980.449999999999</v>
      </c>
      <c r="BC22" s="293">
        <f t="shared" si="23"/>
        <v>538356.91473551118</v>
      </c>
      <c r="BE22" s="58">
        <f t="shared" si="24"/>
        <v>0</v>
      </c>
      <c r="BF22" s="58">
        <f t="shared" si="25"/>
        <v>0</v>
      </c>
      <c r="BG22" s="58">
        <f t="shared" si="26"/>
        <v>-1103.6999999999971</v>
      </c>
      <c r="BH22" s="58">
        <f t="shared" si="27"/>
        <v>-585</v>
      </c>
      <c r="BI22" s="58">
        <f t="shared" si="28"/>
        <v>298.31578947368416</v>
      </c>
      <c r="BJ22" s="58">
        <f t="shared" si="29"/>
        <v>2246.2110526315792</v>
      </c>
      <c r="BK22" s="58">
        <f t="shared" si="30"/>
        <v>-1429.3499999999985</v>
      </c>
      <c r="BL22" s="58">
        <f t="shared" si="31"/>
        <v>-4841.0346518412744</v>
      </c>
      <c r="BM22" s="33">
        <f t="shared" si="32"/>
        <v>0</v>
      </c>
      <c r="BN22" s="33"/>
      <c r="BO22" s="293">
        <f t="shared" si="2"/>
        <v>0</v>
      </c>
      <c r="BP22" s="293">
        <f t="shared" si="3"/>
        <v>16926.39</v>
      </c>
      <c r="BQ22" s="293">
        <f t="shared" si="4"/>
        <v>23398.440000000002</v>
      </c>
      <c r="BR22" s="293">
        <f t="shared" si="5"/>
        <v>3393</v>
      </c>
      <c r="BS22" s="293">
        <f t="shared" si="6"/>
        <v>1357.3368421052628</v>
      </c>
      <c r="BT22" s="293">
        <f t="shared" si="7"/>
        <v>2502.9268421052629</v>
      </c>
      <c r="BU22" s="293">
        <f t="shared" si="8"/>
        <v>1052.6100000000006</v>
      </c>
      <c r="BV22" s="293">
        <f t="shared" si="9"/>
        <v>44363.192190263988</v>
      </c>
      <c r="BW22" s="293">
        <f t="shared" si="10"/>
        <v>0</v>
      </c>
      <c r="BX22" s="293">
        <v>0</v>
      </c>
      <c r="BY22" s="293">
        <v>-8297.25</v>
      </c>
      <c r="BZ22" s="293">
        <v>0</v>
      </c>
      <c r="CA22" s="293">
        <v>0</v>
      </c>
      <c r="CB22" s="293">
        <v>671.21052631578914</v>
      </c>
      <c r="CC22" s="293">
        <v>6788.21</v>
      </c>
      <c r="CD22" s="293">
        <v>1203.1500000000015</v>
      </c>
      <c r="CE22" s="293">
        <f t="shared" si="33"/>
        <v>365.32052631579063</v>
      </c>
      <c r="CF22" s="293"/>
      <c r="CG22" s="293">
        <v>0</v>
      </c>
      <c r="CH22" s="293">
        <v>87950.85</v>
      </c>
      <c r="CI22" s="293">
        <v>65118.3</v>
      </c>
      <c r="CJ22" s="293">
        <v>12870</v>
      </c>
      <c r="CK22" s="293">
        <v>4663.62</v>
      </c>
      <c r="CL22" s="293">
        <v>2814</v>
      </c>
      <c r="CM22" s="293">
        <v>9012.9</v>
      </c>
      <c r="CN22" s="293">
        <f t="shared" si="34"/>
        <v>182429.67</v>
      </c>
      <c r="CO22" s="293"/>
      <c r="CP22" s="58">
        <f t="shared" si="35"/>
        <v>0</v>
      </c>
      <c r="CQ22" s="223">
        <f t="shared" si="36"/>
        <v>9956.7000000000116</v>
      </c>
      <c r="CR22" s="223">
        <f t="shared" si="37"/>
        <v>-16555.5</v>
      </c>
      <c r="CS22" s="223">
        <f t="shared" si="38"/>
        <v>-2535</v>
      </c>
      <c r="CT22" s="223">
        <f t="shared" si="39"/>
        <v>1158.4094736842103</v>
      </c>
      <c r="CU22" s="223">
        <f t="shared" si="40"/>
        <v>1851.3157894736842</v>
      </c>
      <c r="CV22" s="223">
        <f t="shared" si="41"/>
        <v>68.25</v>
      </c>
      <c r="CW22" s="223">
        <f t="shared" si="42"/>
        <v>-6055.8247368420934</v>
      </c>
      <c r="CX22" s="223">
        <f t="shared" si="43"/>
        <v>0</v>
      </c>
      <c r="CY22" s="58">
        <f t="shared" si="44"/>
        <v>0</v>
      </c>
      <c r="CZ22" s="399">
        <f t="shared" si="45"/>
        <v>25555.530000000006</v>
      </c>
      <c r="DA22" s="399">
        <f t="shared" si="46"/>
        <v>-220.74000000000524</v>
      </c>
      <c r="DB22" s="399">
        <f t="shared" si="47"/>
        <v>546</v>
      </c>
      <c r="DC22" s="399">
        <f t="shared" si="48"/>
        <v>1859.451578947368</v>
      </c>
      <c r="DD22" s="399">
        <f t="shared" si="49"/>
        <v>2043.8526315789472</v>
      </c>
      <c r="DE22" s="399">
        <f t="shared" si="50"/>
        <v>1857.1799999999994</v>
      </c>
      <c r="DF22" s="399">
        <f t="shared" si="51"/>
        <v>31641.274210526313</v>
      </c>
      <c r="DG22" s="399">
        <f t="shared" si="52"/>
        <v>0</v>
      </c>
      <c r="DI22" s="399"/>
      <c r="DJ22" s="399"/>
      <c r="DK22" s="399"/>
      <c r="DL22" s="399"/>
      <c r="DM22" s="399"/>
      <c r="DN22" s="399"/>
      <c r="DO22" s="399"/>
      <c r="DP22" s="399"/>
      <c r="DQ22" s="399"/>
      <c r="DS22" s="399"/>
      <c r="DT22" s="399"/>
      <c r="DU22" s="399"/>
      <c r="DV22" s="399"/>
      <c r="DW22" s="399"/>
      <c r="DX22" s="399"/>
      <c r="DY22" s="399"/>
      <c r="DZ22" s="399"/>
      <c r="EB22" s="228">
        <f t="shared" si="53"/>
        <v>853165.20387678547</v>
      </c>
      <c r="EC22" s="228">
        <f t="shared" si="54"/>
        <v>13880.32132963989</v>
      </c>
      <c r="ED22" s="214">
        <f t="shared" si="55"/>
        <v>867045.52520642534</v>
      </c>
    </row>
    <row r="23" spans="1:134" hidden="1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3" t="str">
        <f>VLOOKUP(A23,'Summary Mar 2026'!$A$8:$F$207,6,FALSE)</f>
        <v>Chq Bk</v>
      </c>
      <c r="G23" s="33"/>
      <c r="H23" s="223">
        <v>0</v>
      </c>
      <c r="I23" s="294"/>
      <c r="J23" s="223">
        <v>0</v>
      </c>
      <c r="K23" s="223">
        <v>0</v>
      </c>
      <c r="L23" s="223">
        <v>57392.400000000009</v>
      </c>
      <c r="M23" s="223">
        <v>585</v>
      </c>
      <c r="N23" s="223">
        <v>0</v>
      </c>
      <c r="O23" s="223">
        <v>0</v>
      </c>
      <c r="P23" s="33">
        <f t="shared" si="13"/>
        <v>57977.400000000009</v>
      </c>
      <c r="Q23" s="223">
        <f t="shared" si="14"/>
        <v>46381.920000000013</v>
      </c>
      <c r="R23" s="294"/>
      <c r="S23" s="223">
        <v>0</v>
      </c>
      <c r="T23" s="223">
        <v>0</v>
      </c>
      <c r="U23" s="223">
        <v>56288.7</v>
      </c>
      <c r="V23" s="223">
        <v>780</v>
      </c>
      <c r="W23" s="223">
        <v>0</v>
      </c>
      <c r="X23" s="223">
        <v>0</v>
      </c>
      <c r="Y23" s="223">
        <f t="shared" si="15"/>
        <v>57068.7</v>
      </c>
      <c r="Z23" s="223">
        <f t="shared" si="16"/>
        <v>45654.96</v>
      </c>
      <c r="AA23" s="294"/>
      <c r="AB23" s="398">
        <v>0</v>
      </c>
      <c r="AC23" s="398">
        <v>0</v>
      </c>
      <c r="AD23" s="398">
        <v>49867.578947368427</v>
      </c>
      <c r="AE23" s="398">
        <v>568.42105263157896</v>
      </c>
      <c r="AF23" s="398">
        <v>0</v>
      </c>
      <c r="AG23" s="398">
        <v>0</v>
      </c>
      <c r="AH23" s="223">
        <f t="shared" si="17"/>
        <v>50436.000000000007</v>
      </c>
      <c r="AI23" s="398">
        <f t="shared" si="18"/>
        <v>40348.80000000001</v>
      </c>
      <c r="AJ23" s="294"/>
      <c r="AK23" s="398">
        <v>181.35</v>
      </c>
      <c r="AL23" s="398">
        <v>15.6</v>
      </c>
      <c r="AM23" s="398">
        <v>114.82105263157895</v>
      </c>
      <c r="AN23" s="294"/>
      <c r="AO23" s="398">
        <f t="shared" si="19"/>
        <v>145.08000000000001</v>
      </c>
      <c r="AP23" s="398">
        <f t="shared" si="20"/>
        <v>12.48</v>
      </c>
      <c r="AQ23" s="398">
        <f t="shared" si="21"/>
        <v>91.856842105263169</v>
      </c>
      <c r="AR23" s="293"/>
      <c r="AS23" s="293">
        <v>0</v>
      </c>
      <c r="AT23" s="576">
        <f t="shared" si="22"/>
        <v>0</v>
      </c>
      <c r="AU23" s="293"/>
      <c r="AV23" s="293">
        <v>0</v>
      </c>
      <c r="AW23" s="293">
        <v>0</v>
      </c>
      <c r="AX23" s="293">
        <v>55185</v>
      </c>
      <c r="AY23" s="293">
        <v>1365</v>
      </c>
      <c r="AZ23" s="293">
        <v>0</v>
      </c>
      <c r="BA23" s="293">
        <v>0</v>
      </c>
      <c r="BB23" s="293">
        <v>15.6</v>
      </c>
      <c r="BC23" s="293">
        <f t="shared" si="23"/>
        <v>56565.599999999999</v>
      </c>
      <c r="BE23" s="58">
        <f t="shared" si="24"/>
        <v>0</v>
      </c>
      <c r="BF23" s="58">
        <f t="shared" si="25"/>
        <v>0</v>
      </c>
      <c r="BG23" s="58">
        <f t="shared" si="26"/>
        <v>-2207.4000000000087</v>
      </c>
      <c r="BH23" s="58">
        <f t="shared" si="27"/>
        <v>780</v>
      </c>
      <c r="BI23" s="58">
        <f t="shared" si="28"/>
        <v>0</v>
      </c>
      <c r="BJ23" s="58">
        <f t="shared" si="29"/>
        <v>0</v>
      </c>
      <c r="BK23" s="58">
        <f t="shared" si="30"/>
        <v>-165.75</v>
      </c>
      <c r="BL23" s="58">
        <f t="shared" si="31"/>
        <v>-1593.1500000000087</v>
      </c>
      <c r="BM23" s="33">
        <f t="shared" si="32"/>
        <v>0</v>
      </c>
      <c r="BN23" s="33"/>
      <c r="BO23" s="293">
        <f t="shared" si="2"/>
        <v>0</v>
      </c>
      <c r="BP23" s="293">
        <f t="shared" si="3"/>
        <v>0</v>
      </c>
      <c r="BQ23" s="293">
        <f t="shared" si="4"/>
        <v>9271.0799999999872</v>
      </c>
      <c r="BR23" s="293">
        <f t="shared" si="5"/>
        <v>897</v>
      </c>
      <c r="BS23" s="293">
        <f t="shared" si="6"/>
        <v>0</v>
      </c>
      <c r="BT23" s="293">
        <f t="shared" si="7"/>
        <v>0</v>
      </c>
      <c r="BU23" s="293">
        <f t="shared" si="8"/>
        <v>-129.48000000000002</v>
      </c>
      <c r="BV23" s="293">
        <f t="shared" si="9"/>
        <v>10038.599999999988</v>
      </c>
      <c r="BW23" s="293">
        <f t="shared" si="10"/>
        <v>7.2759576141834259E-12</v>
      </c>
      <c r="BX23" s="293">
        <v>0</v>
      </c>
      <c r="BY23" s="293">
        <v>0</v>
      </c>
      <c r="BZ23" s="293">
        <v>0</v>
      </c>
      <c r="CA23" s="293">
        <v>0</v>
      </c>
      <c r="CB23" s="293">
        <v>0</v>
      </c>
      <c r="CC23" s="293">
        <v>0</v>
      </c>
      <c r="CD23" s="293">
        <v>0</v>
      </c>
      <c r="CE23" s="293">
        <f t="shared" si="33"/>
        <v>0</v>
      </c>
      <c r="CF23" s="293"/>
      <c r="CG23" s="293">
        <v>0</v>
      </c>
      <c r="CH23" s="293">
        <v>0</v>
      </c>
      <c r="CI23" s="293">
        <v>51873.9</v>
      </c>
      <c r="CJ23" s="293">
        <v>585</v>
      </c>
      <c r="CK23" s="293">
        <v>74.62</v>
      </c>
      <c r="CL23" s="293">
        <v>0</v>
      </c>
      <c r="CM23" s="293">
        <v>310.05</v>
      </c>
      <c r="CN23" s="293">
        <f t="shared" si="34"/>
        <v>52843.570000000007</v>
      </c>
      <c r="CO23" s="293"/>
      <c r="CP23" s="58">
        <f t="shared" si="35"/>
        <v>0</v>
      </c>
      <c r="CQ23" s="223">
        <f t="shared" si="36"/>
        <v>0</v>
      </c>
      <c r="CR23" s="223">
        <f t="shared" si="37"/>
        <v>-4414.7999999999956</v>
      </c>
      <c r="CS23" s="223">
        <f t="shared" si="38"/>
        <v>-195</v>
      </c>
      <c r="CT23" s="223">
        <f t="shared" si="39"/>
        <v>74.62</v>
      </c>
      <c r="CU23" s="223">
        <f t="shared" si="40"/>
        <v>0</v>
      </c>
      <c r="CV23" s="223">
        <f t="shared" si="41"/>
        <v>294.45</v>
      </c>
      <c r="CW23" s="223">
        <f t="shared" si="42"/>
        <v>-4240.7299999999959</v>
      </c>
      <c r="CX23" s="223">
        <f t="shared" si="43"/>
        <v>0</v>
      </c>
      <c r="CY23" s="58">
        <f t="shared" si="44"/>
        <v>0</v>
      </c>
      <c r="CZ23" s="399">
        <f t="shared" si="45"/>
        <v>0</v>
      </c>
      <c r="DA23" s="399">
        <f t="shared" si="46"/>
        <v>6842.9400000000023</v>
      </c>
      <c r="DB23" s="399">
        <f t="shared" si="47"/>
        <v>-39</v>
      </c>
      <c r="DC23" s="399">
        <f t="shared" si="48"/>
        <v>74.62</v>
      </c>
      <c r="DD23" s="399">
        <f t="shared" si="49"/>
        <v>0</v>
      </c>
      <c r="DE23" s="399">
        <f t="shared" si="50"/>
        <v>297.57</v>
      </c>
      <c r="DF23" s="399">
        <f t="shared" si="51"/>
        <v>7176.1300000000019</v>
      </c>
      <c r="DG23" s="399">
        <f t="shared" si="52"/>
        <v>0</v>
      </c>
      <c r="DI23" s="399"/>
      <c r="DJ23" s="399"/>
      <c r="DK23" s="399"/>
      <c r="DL23" s="399"/>
      <c r="DM23" s="399"/>
      <c r="DN23" s="399"/>
      <c r="DO23" s="399"/>
      <c r="DP23" s="399"/>
      <c r="DQ23" s="399"/>
      <c r="DS23" s="399"/>
      <c r="DT23" s="399"/>
      <c r="DU23" s="399"/>
      <c r="DV23" s="399"/>
      <c r="DW23" s="399"/>
      <c r="DX23" s="399"/>
      <c r="DY23" s="399"/>
      <c r="DZ23" s="399"/>
      <c r="EB23" s="228">
        <f t="shared" si="53"/>
        <v>149849.82684210528</v>
      </c>
      <c r="EC23" s="228">
        <f t="shared" si="54"/>
        <v>0</v>
      </c>
      <c r="ED23" s="214">
        <f t="shared" si="55"/>
        <v>149849.82684210528</v>
      </c>
    </row>
    <row r="24" spans="1:134" hidden="1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3" t="str">
        <f>VLOOKUP(A24,'Summary Mar 2026'!$A$8:$F$207,6,FALSE)</f>
        <v>Chq Bk</v>
      </c>
      <c r="G24" s="33"/>
      <c r="H24" s="223">
        <v>0</v>
      </c>
      <c r="I24" s="294"/>
      <c r="J24" s="223">
        <v>0</v>
      </c>
      <c r="K24" s="223">
        <v>0</v>
      </c>
      <c r="L24" s="223">
        <v>0</v>
      </c>
      <c r="M24" s="223">
        <v>0</v>
      </c>
      <c r="N24" s="223">
        <v>0</v>
      </c>
      <c r="O24" s="223">
        <v>0</v>
      </c>
      <c r="P24" s="33">
        <f t="shared" si="13"/>
        <v>0</v>
      </c>
      <c r="Q24" s="223">
        <f t="shared" si="14"/>
        <v>0</v>
      </c>
      <c r="R24" s="294"/>
      <c r="S24" s="223">
        <v>0</v>
      </c>
      <c r="T24" s="223">
        <v>0</v>
      </c>
      <c r="U24" s="223">
        <v>0</v>
      </c>
      <c r="V24" s="223">
        <v>0</v>
      </c>
      <c r="W24" s="223">
        <v>0</v>
      </c>
      <c r="X24" s="223">
        <v>0</v>
      </c>
      <c r="Y24" s="223">
        <f t="shared" si="15"/>
        <v>0</v>
      </c>
      <c r="Z24" s="223">
        <f t="shared" si="16"/>
        <v>0</v>
      </c>
      <c r="AA24" s="294"/>
      <c r="AB24" s="398">
        <v>0</v>
      </c>
      <c r="AC24" s="398">
        <v>0</v>
      </c>
      <c r="AD24" s="398">
        <v>0</v>
      </c>
      <c r="AE24" s="398">
        <v>0</v>
      </c>
      <c r="AF24" s="398">
        <v>0</v>
      </c>
      <c r="AG24" s="398">
        <v>0</v>
      </c>
      <c r="AH24" s="223">
        <f t="shared" si="17"/>
        <v>0</v>
      </c>
      <c r="AI24" s="398">
        <f t="shared" si="18"/>
        <v>0</v>
      </c>
      <c r="AJ24" s="294"/>
      <c r="AK24" s="398">
        <v>0</v>
      </c>
      <c r="AL24" s="398">
        <v>0</v>
      </c>
      <c r="AM24" s="398">
        <v>0</v>
      </c>
      <c r="AN24" s="294"/>
      <c r="AO24" s="398">
        <f t="shared" si="19"/>
        <v>0</v>
      </c>
      <c r="AP24" s="398">
        <f t="shared" si="20"/>
        <v>0</v>
      </c>
      <c r="AQ24" s="398">
        <f t="shared" si="21"/>
        <v>0</v>
      </c>
      <c r="AR24" s="293"/>
      <c r="AS24" s="293">
        <v>0</v>
      </c>
      <c r="AT24" s="576">
        <f t="shared" si="22"/>
        <v>0</v>
      </c>
      <c r="AU24" s="293"/>
      <c r="AV24" s="293">
        <v>0</v>
      </c>
      <c r="AW24" s="293">
        <v>0</v>
      </c>
      <c r="AX24" s="293">
        <v>0</v>
      </c>
      <c r="AY24" s="293">
        <v>0</v>
      </c>
      <c r="AZ24" s="293">
        <v>0</v>
      </c>
      <c r="BA24" s="293">
        <v>0</v>
      </c>
      <c r="BB24" s="293">
        <v>0</v>
      </c>
      <c r="BC24" s="293">
        <f t="shared" si="23"/>
        <v>0</v>
      </c>
      <c r="BE24" s="58">
        <f t="shared" si="24"/>
        <v>0</v>
      </c>
      <c r="BF24" s="58">
        <f t="shared" si="25"/>
        <v>0</v>
      </c>
      <c r="BG24" s="58">
        <f t="shared" si="26"/>
        <v>0</v>
      </c>
      <c r="BH24" s="58">
        <f t="shared" si="27"/>
        <v>0</v>
      </c>
      <c r="BI24" s="58">
        <f t="shared" si="28"/>
        <v>0</v>
      </c>
      <c r="BJ24" s="58">
        <f t="shared" si="29"/>
        <v>0</v>
      </c>
      <c r="BK24" s="58">
        <f t="shared" si="30"/>
        <v>0</v>
      </c>
      <c r="BL24" s="58">
        <f t="shared" si="31"/>
        <v>0</v>
      </c>
      <c r="BM24" s="33">
        <f t="shared" si="32"/>
        <v>0</v>
      </c>
      <c r="BN24" s="33"/>
      <c r="BO24" s="293">
        <f t="shared" si="2"/>
        <v>0</v>
      </c>
      <c r="BP24" s="293">
        <f t="shared" si="3"/>
        <v>0</v>
      </c>
      <c r="BQ24" s="293">
        <f t="shared" si="4"/>
        <v>0</v>
      </c>
      <c r="BR24" s="293">
        <f t="shared" si="5"/>
        <v>0</v>
      </c>
      <c r="BS24" s="293">
        <f t="shared" si="6"/>
        <v>0</v>
      </c>
      <c r="BT24" s="293">
        <f t="shared" si="7"/>
        <v>0</v>
      </c>
      <c r="BU24" s="293">
        <f t="shared" si="8"/>
        <v>0</v>
      </c>
      <c r="BV24" s="293">
        <f t="shared" si="9"/>
        <v>0</v>
      </c>
      <c r="BW24" s="293">
        <f t="shared" si="10"/>
        <v>0</v>
      </c>
      <c r="BX24" s="293">
        <v>0</v>
      </c>
      <c r="BY24" s="293">
        <v>0</v>
      </c>
      <c r="BZ24" s="293">
        <v>0</v>
      </c>
      <c r="CA24" s="293">
        <v>0</v>
      </c>
      <c r="CB24" s="293">
        <v>0</v>
      </c>
      <c r="CC24" s="293">
        <v>0</v>
      </c>
      <c r="CD24" s="293">
        <v>0</v>
      </c>
      <c r="CE24" s="293">
        <f t="shared" si="33"/>
        <v>0</v>
      </c>
      <c r="CF24" s="293"/>
      <c r="CG24" s="293">
        <v>0</v>
      </c>
      <c r="CH24" s="293">
        <v>0</v>
      </c>
      <c r="CI24" s="293">
        <v>0</v>
      </c>
      <c r="CJ24" s="293">
        <v>0</v>
      </c>
      <c r="CK24" s="293">
        <v>0</v>
      </c>
      <c r="CL24" s="293">
        <v>0</v>
      </c>
      <c r="CM24" s="293">
        <v>0</v>
      </c>
      <c r="CN24" s="293">
        <f t="shared" si="34"/>
        <v>0</v>
      </c>
      <c r="CO24" s="293"/>
      <c r="CP24" s="58">
        <f t="shared" si="35"/>
        <v>0</v>
      </c>
      <c r="CQ24" s="223">
        <f t="shared" si="36"/>
        <v>0</v>
      </c>
      <c r="CR24" s="223">
        <f t="shared" si="37"/>
        <v>0</v>
      </c>
      <c r="CS24" s="223">
        <f t="shared" si="38"/>
        <v>0</v>
      </c>
      <c r="CT24" s="223">
        <f t="shared" si="39"/>
        <v>0</v>
      </c>
      <c r="CU24" s="223">
        <f t="shared" si="40"/>
        <v>0</v>
      </c>
      <c r="CV24" s="223">
        <f t="shared" si="41"/>
        <v>0</v>
      </c>
      <c r="CW24" s="223">
        <f t="shared" si="42"/>
        <v>0</v>
      </c>
      <c r="CX24" s="223">
        <f t="shared" si="43"/>
        <v>0</v>
      </c>
      <c r="CY24" s="58">
        <f t="shared" si="44"/>
        <v>0</v>
      </c>
      <c r="CZ24" s="399">
        <f t="shared" si="45"/>
        <v>0</v>
      </c>
      <c r="DA24" s="399">
        <f t="shared" si="46"/>
        <v>0</v>
      </c>
      <c r="DB24" s="399">
        <f t="shared" si="47"/>
        <v>0</v>
      </c>
      <c r="DC24" s="399">
        <f t="shared" si="48"/>
        <v>0</v>
      </c>
      <c r="DD24" s="399">
        <f t="shared" si="49"/>
        <v>0</v>
      </c>
      <c r="DE24" s="399">
        <f t="shared" si="50"/>
        <v>0</v>
      </c>
      <c r="DF24" s="399">
        <f t="shared" si="51"/>
        <v>0</v>
      </c>
      <c r="DG24" s="399">
        <f t="shared" si="52"/>
        <v>0</v>
      </c>
      <c r="DI24" s="399"/>
      <c r="DJ24" s="399"/>
      <c r="DK24" s="399"/>
      <c r="DL24" s="399"/>
      <c r="DM24" s="399"/>
      <c r="DN24" s="399"/>
      <c r="DO24" s="399"/>
      <c r="DP24" s="399"/>
      <c r="DQ24" s="399"/>
      <c r="DS24" s="399"/>
      <c r="DT24" s="399"/>
      <c r="DU24" s="399"/>
      <c r="DV24" s="399"/>
      <c r="DW24" s="399"/>
      <c r="DX24" s="399"/>
      <c r="DY24" s="399"/>
      <c r="DZ24" s="399"/>
      <c r="EB24" s="228">
        <f t="shared" si="53"/>
        <v>0</v>
      </c>
      <c r="EC24" s="228">
        <f t="shared" si="54"/>
        <v>0</v>
      </c>
      <c r="ED24" s="214">
        <f t="shared" si="55"/>
        <v>0</v>
      </c>
    </row>
    <row r="25" spans="1:134" hidden="1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3" t="str">
        <f>VLOOKUP(A25,'Summary Mar 2026'!$A$8:$F$207,6,FALSE)</f>
        <v>Chq Bk</v>
      </c>
      <c r="G25" s="33"/>
      <c r="H25" s="223">
        <v>0</v>
      </c>
      <c r="I25" s="294"/>
      <c r="J25" s="223">
        <v>0</v>
      </c>
      <c r="K25" s="223">
        <v>0</v>
      </c>
      <c r="L25" s="223">
        <v>0</v>
      </c>
      <c r="M25" s="223">
        <v>0</v>
      </c>
      <c r="N25" s="223">
        <v>0</v>
      </c>
      <c r="O25" s="223">
        <v>0</v>
      </c>
      <c r="P25" s="33">
        <f t="shared" si="13"/>
        <v>0</v>
      </c>
      <c r="Q25" s="223">
        <f t="shared" si="14"/>
        <v>0</v>
      </c>
      <c r="R25" s="294"/>
      <c r="S25" s="223">
        <v>0</v>
      </c>
      <c r="T25" s="223">
        <v>0</v>
      </c>
      <c r="U25" s="223">
        <v>0</v>
      </c>
      <c r="V25" s="223">
        <v>0</v>
      </c>
      <c r="W25" s="223">
        <v>0</v>
      </c>
      <c r="X25" s="223">
        <v>0</v>
      </c>
      <c r="Y25" s="223">
        <f t="shared" si="15"/>
        <v>0</v>
      </c>
      <c r="Z25" s="223">
        <f t="shared" si="16"/>
        <v>0</v>
      </c>
      <c r="AA25" s="294"/>
      <c r="AB25" s="398">
        <v>0</v>
      </c>
      <c r="AC25" s="398">
        <v>0</v>
      </c>
      <c r="AD25" s="398">
        <v>0</v>
      </c>
      <c r="AE25" s="398">
        <v>0</v>
      </c>
      <c r="AF25" s="398">
        <v>0</v>
      </c>
      <c r="AG25" s="398">
        <v>0</v>
      </c>
      <c r="AH25" s="223">
        <f t="shared" si="17"/>
        <v>0</v>
      </c>
      <c r="AI25" s="398">
        <f t="shared" si="18"/>
        <v>0</v>
      </c>
      <c r="AJ25" s="294"/>
      <c r="AK25" s="398">
        <v>0</v>
      </c>
      <c r="AL25" s="398">
        <v>0</v>
      </c>
      <c r="AM25" s="398">
        <v>0</v>
      </c>
      <c r="AN25" s="294"/>
      <c r="AO25" s="398">
        <f t="shared" si="19"/>
        <v>0</v>
      </c>
      <c r="AP25" s="398">
        <f t="shared" si="20"/>
        <v>0</v>
      </c>
      <c r="AQ25" s="398">
        <f t="shared" si="21"/>
        <v>0</v>
      </c>
      <c r="AR25" s="293"/>
      <c r="AS25" s="293">
        <v>0</v>
      </c>
      <c r="AT25" s="576">
        <f t="shared" si="22"/>
        <v>0</v>
      </c>
      <c r="AU25" s="293"/>
      <c r="AV25" s="293">
        <v>0</v>
      </c>
      <c r="AW25" s="293">
        <v>0</v>
      </c>
      <c r="AX25" s="293">
        <v>0</v>
      </c>
      <c r="AY25" s="293">
        <v>0</v>
      </c>
      <c r="AZ25" s="293">
        <v>0</v>
      </c>
      <c r="BA25" s="293">
        <v>0</v>
      </c>
      <c r="BB25" s="293">
        <v>0</v>
      </c>
      <c r="BC25" s="293">
        <f t="shared" si="23"/>
        <v>0</v>
      </c>
      <c r="BE25" s="58">
        <f t="shared" si="24"/>
        <v>0</v>
      </c>
      <c r="BF25" s="58">
        <f t="shared" si="25"/>
        <v>0</v>
      </c>
      <c r="BG25" s="58">
        <f t="shared" si="26"/>
        <v>0</v>
      </c>
      <c r="BH25" s="58">
        <f t="shared" si="27"/>
        <v>0</v>
      </c>
      <c r="BI25" s="58">
        <f t="shared" si="28"/>
        <v>0</v>
      </c>
      <c r="BJ25" s="58">
        <f t="shared" si="29"/>
        <v>0</v>
      </c>
      <c r="BK25" s="58">
        <f t="shared" si="30"/>
        <v>0</v>
      </c>
      <c r="BL25" s="58">
        <f t="shared" si="31"/>
        <v>0</v>
      </c>
      <c r="BM25" s="33">
        <f t="shared" si="32"/>
        <v>0</v>
      </c>
      <c r="BN25" s="33"/>
      <c r="BO25" s="293">
        <f t="shared" si="2"/>
        <v>0</v>
      </c>
      <c r="BP25" s="293">
        <f t="shared" si="3"/>
        <v>0</v>
      </c>
      <c r="BQ25" s="293">
        <f t="shared" si="4"/>
        <v>0</v>
      </c>
      <c r="BR25" s="293">
        <f t="shared" si="5"/>
        <v>0</v>
      </c>
      <c r="BS25" s="293">
        <f t="shared" si="6"/>
        <v>0</v>
      </c>
      <c r="BT25" s="293">
        <f t="shared" si="7"/>
        <v>0</v>
      </c>
      <c r="BU25" s="293">
        <f t="shared" si="8"/>
        <v>0</v>
      </c>
      <c r="BV25" s="293">
        <f t="shared" si="9"/>
        <v>0</v>
      </c>
      <c r="BW25" s="293">
        <f t="shared" si="10"/>
        <v>0</v>
      </c>
      <c r="BX25" s="293">
        <v>0</v>
      </c>
      <c r="BY25" s="293">
        <v>0</v>
      </c>
      <c r="BZ25" s="293">
        <v>0</v>
      </c>
      <c r="CA25" s="293">
        <v>0</v>
      </c>
      <c r="CB25" s="293">
        <v>0</v>
      </c>
      <c r="CC25" s="293">
        <v>0</v>
      </c>
      <c r="CD25" s="293">
        <v>0</v>
      </c>
      <c r="CE25" s="293">
        <f t="shared" si="33"/>
        <v>0</v>
      </c>
      <c r="CF25" s="293"/>
      <c r="CG25" s="293">
        <v>0</v>
      </c>
      <c r="CH25" s="293">
        <v>0</v>
      </c>
      <c r="CI25" s="293">
        <v>0</v>
      </c>
      <c r="CJ25" s="293">
        <v>0</v>
      </c>
      <c r="CK25" s="293">
        <v>0</v>
      </c>
      <c r="CL25" s="293">
        <v>0</v>
      </c>
      <c r="CM25" s="293">
        <v>0</v>
      </c>
      <c r="CN25" s="293">
        <f t="shared" si="34"/>
        <v>0</v>
      </c>
      <c r="CO25" s="293"/>
      <c r="CP25" s="58">
        <f t="shared" si="35"/>
        <v>0</v>
      </c>
      <c r="CQ25" s="223">
        <f t="shared" si="36"/>
        <v>0</v>
      </c>
      <c r="CR25" s="223">
        <f t="shared" si="37"/>
        <v>0</v>
      </c>
      <c r="CS25" s="223">
        <f t="shared" si="38"/>
        <v>0</v>
      </c>
      <c r="CT25" s="223">
        <f t="shared" si="39"/>
        <v>0</v>
      </c>
      <c r="CU25" s="223">
        <f t="shared" si="40"/>
        <v>0</v>
      </c>
      <c r="CV25" s="223">
        <f t="shared" si="41"/>
        <v>0</v>
      </c>
      <c r="CW25" s="223">
        <f t="shared" si="42"/>
        <v>0</v>
      </c>
      <c r="CX25" s="223">
        <f t="shared" si="43"/>
        <v>0</v>
      </c>
      <c r="CY25" s="58">
        <f t="shared" si="44"/>
        <v>0</v>
      </c>
      <c r="CZ25" s="399">
        <f t="shared" si="45"/>
        <v>0</v>
      </c>
      <c r="DA25" s="399">
        <f t="shared" si="46"/>
        <v>0</v>
      </c>
      <c r="DB25" s="399">
        <f t="shared" si="47"/>
        <v>0</v>
      </c>
      <c r="DC25" s="399">
        <f t="shared" si="48"/>
        <v>0</v>
      </c>
      <c r="DD25" s="399">
        <f t="shared" si="49"/>
        <v>0</v>
      </c>
      <c r="DE25" s="399">
        <f t="shared" si="50"/>
        <v>0</v>
      </c>
      <c r="DF25" s="399">
        <f t="shared" si="51"/>
        <v>0</v>
      </c>
      <c r="DG25" s="399">
        <f t="shared" si="52"/>
        <v>0</v>
      </c>
      <c r="DI25" s="399"/>
      <c r="DJ25" s="399"/>
      <c r="DK25" s="399"/>
      <c r="DL25" s="399"/>
      <c r="DM25" s="399"/>
      <c r="DN25" s="399"/>
      <c r="DO25" s="399"/>
      <c r="DP25" s="399"/>
      <c r="DQ25" s="399"/>
      <c r="DS25" s="399"/>
      <c r="DT25" s="399"/>
      <c r="DU25" s="399"/>
      <c r="DV25" s="399"/>
      <c r="DW25" s="399"/>
      <c r="DX25" s="399"/>
      <c r="DY25" s="399"/>
      <c r="DZ25" s="399"/>
      <c r="EB25" s="228">
        <f t="shared" si="53"/>
        <v>0</v>
      </c>
      <c r="EC25" s="228">
        <f t="shared" si="54"/>
        <v>0</v>
      </c>
      <c r="ED25" s="214">
        <f t="shared" si="55"/>
        <v>0</v>
      </c>
    </row>
    <row r="26" spans="1:134" hidden="1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3" t="str">
        <f>VLOOKUP(A26,'Summary Mar 2026'!$A$8:$F$207,6,FALSE)</f>
        <v>Chq Bk</v>
      </c>
      <c r="G26" s="33"/>
      <c r="H26" s="223">
        <v>0</v>
      </c>
      <c r="I26" s="294"/>
      <c r="J26" s="223">
        <v>0</v>
      </c>
      <c r="K26" s="223">
        <v>0</v>
      </c>
      <c r="L26" s="223">
        <v>56288.700000000004</v>
      </c>
      <c r="M26" s="223">
        <v>3510</v>
      </c>
      <c r="N26" s="223">
        <v>0</v>
      </c>
      <c r="O26" s="223">
        <v>0</v>
      </c>
      <c r="P26" s="33">
        <f t="shared" si="13"/>
        <v>59798.700000000004</v>
      </c>
      <c r="Q26" s="223">
        <f t="shared" si="14"/>
        <v>47838.960000000006</v>
      </c>
      <c r="R26" s="294"/>
      <c r="S26" s="223">
        <v>0</v>
      </c>
      <c r="T26" s="223">
        <v>0</v>
      </c>
      <c r="U26" s="223">
        <v>57392.4</v>
      </c>
      <c r="V26" s="223">
        <v>3510</v>
      </c>
      <c r="W26" s="223">
        <v>0</v>
      </c>
      <c r="X26" s="223">
        <v>0</v>
      </c>
      <c r="Y26" s="223">
        <f t="shared" si="15"/>
        <v>60902.400000000001</v>
      </c>
      <c r="Z26" s="223">
        <f t="shared" si="16"/>
        <v>48721.920000000006</v>
      </c>
      <c r="AA26" s="294"/>
      <c r="AB26" s="398">
        <v>0</v>
      </c>
      <c r="AC26" s="398">
        <v>0</v>
      </c>
      <c r="AD26" s="398">
        <v>49867.57894736842</v>
      </c>
      <c r="AE26" s="398">
        <v>2955.7894736842109</v>
      </c>
      <c r="AF26" s="398">
        <v>0</v>
      </c>
      <c r="AG26" s="398">
        <v>0</v>
      </c>
      <c r="AH26" s="223">
        <f t="shared" si="17"/>
        <v>52823.368421052633</v>
      </c>
      <c r="AI26" s="398">
        <f t="shared" si="18"/>
        <v>42258.69473684211</v>
      </c>
      <c r="AJ26" s="294"/>
      <c r="AK26" s="398">
        <v>1189.5</v>
      </c>
      <c r="AL26" s="398">
        <v>1010.1</v>
      </c>
      <c r="AM26" s="398">
        <v>1004.4</v>
      </c>
      <c r="AN26" s="294"/>
      <c r="AO26" s="398">
        <f t="shared" si="19"/>
        <v>951.6</v>
      </c>
      <c r="AP26" s="398">
        <f t="shared" si="20"/>
        <v>808.08</v>
      </c>
      <c r="AQ26" s="398">
        <f t="shared" si="21"/>
        <v>803.52</v>
      </c>
      <c r="AR26" s="293"/>
      <c r="AS26" s="293">
        <v>0</v>
      </c>
      <c r="AT26" s="576">
        <f t="shared" si="22"/>
        <v>0</v>
      </c>
      <c r="AU26" s="293"/>
      <c r="AV26" s="293">
        <v>0</v>
      </c>
      <c r="AW26" s="293">
        <v>0</v>
      </c>
      <c r="AX26" s="293">
        <v>57392.4</v>
      </c>
      <c r="AY26" s="293">
        <v>4485</v>
      </c>
      <c r="AZ26" s="293">
        <v>0</v>
      </c>
      <c r="BA26" s="293">
        <v>0</v>
      </c>
      <c r="BB26" s="293">
        <v>928.19999999999993</v>
      </c>
      <c r="BC26" s="293">
        <f t="shared" si="23"/>
        <v>62805.599999999999</v>
      </c>
      <c r="BE26" s="58">
        <f t="shared" si="24"/>
        <v>0</v>
      </c>
      <c r="BF26" s="58">
        <f t="shared" si="25"/>
        <v>0</v>
      </c>
      <c r="BG26" s="58">
        <f t="shared" si="26"/>
        <v>1103.6999999999971</v>
      </c>
      <c r="BH26" s="58">
        <f t="shared" si="27"/>
        <v>975</v>
      </c>
      <c r="BI26" s="58">
        <f t="shared" si="28"/>
        <v>0</v>
      </c>
      <c r="BJ26" s="58">
        <f t="shared" si="29"/>
        <v>0</v>
      </c>
      <c r="BK26" s="58">
        <f t="shared" si="30"/>
        <v>-261.30000000000007</v>
      </c>
      <c r="BL26" s="58">
        <f t="shared" si="31"/>
        <v>1817.3999999999969</v>
      </c>
      <c r="BM26" s="33">
        <f t="shared" si="32"/>
        <v>0</v>
      </c>
      <c r="BN26" s="33"/>
      <c r="BO26" s="293">
        <f t="shared" si="2"/>
        <v>0</v>
      </c>
      <c r="BP26" s="293">
        <f t="shared" si="3"/>
        <v>0</v>
      </c>
      <c r="BQ26" s="293">
        <f t="shared" si="4"/>
        <v>12361.439999999995</v>
      </c>
      <c r="BR26" s="293">
        <f t="shared" si="5"/>
        <v>1677</v>
      </c>
      <c r="BS26" s="293">
        <f t="shared" si="6"/>
        <v>0</v>
      </c>
      <c r="BT26" s="293">
        <f t="shared" si="7"/>
        <v>0</v>
      </c>
      <c r="BU26" s="293">
        <f t="shared" si="8"/>
        <v>-23.400000000000091</v>
      </c>
      <c r="BV26" s="293">
        <f t="shared" si="9"/>
        <v>14015.039999999995</v>
      </c>
      <c r="BW26" s="293">
        <f t="shared" si="10"/>
        <v>0</v>
      </c>
      <c r="BX26" s="293">
        <v>0</v>
      </c>
      <c r="BY26" s="293">
        <v>0</v>
      </c>
      <c r="BZ26" s="293">
        <v>0</v>
      </c>
      <c r="CA26" s="293">
        <v>0</v>
      </c>
      <c r="CB26" s="293">
        <v>0</v>
      </c>
      <c r="CC26" s="293">
        <v>0</v>
      </c>
      <c r="CD26" s="293">
        <v>0</v>
      </c>
      <c r="CE26" s="293">
        <f t="shared" si="33"/>
        <v>0</v>
      </c>
      <c r="CF26" s="293"/>
      <c r="CG26" s="293">
        <v>0</v>
      </c>
      <c r="CH26" s="293">
        <v>0</v>
      </c>
      <c r="CI26" s="293">
        <v>37525.800000000003</v>
      </c>
      <c r="CJ26" s="293">
        <v>1365</v>
      </c>
      <c r="CK26" s="293">
        <v>0</v>
      </c>
      <c r="CL26" s="293">
        <v>0</v>
      </c>
      <c r="CM26" s="293">
        <v>534.29999999999995</v>
      </c>
      <c r="CN26" s="293">
        <f t="shared" si="34"/>
        <v>39425.100000000006</v>
      </c>
      <c r="CO26" s="293"/>
      <c r="CP26" s="58">
        <f t="shared" si="35"/>
        <v>0</v>
      </c>
      <c r="CQ26" s="223">
        <f t="shared" si="36"/>
        <v>0</v>
      </c>
      <c r="CR26" s="223">
        <f t="shared" si="37"/>
        <v>-19866.599999999999</v>
      </c>
      <c r="CS26" s="223">
        <f t="shared" si="38"/>
        <v>-2145</v>
      </c>
      <c r="CT26" s="223">
        <f t="shared" si="39"/>
        <v>0</v>
      </c>
      <c r="CU26" s="223">
        <f t="shared" si="40"/>
        <v>0</v>
      </c>
      <c r="CV26" s="223">
        <f t="shared" si="41"/>
        <v>-475.80000000000007</v>
      </c>
      <c r="CW26" s="223">
        <f t="shared" si="42"/>
        <v>-22487.399999999998</v>
      </c>
      <c r="CX26" s="223">
        <f t="shared" si="43"/>
        <v>0</v>
      </c>
      <c r="CY26" s="58">
        <f t="shared" si="44"/>
        <v>0</v>
      </c>
      <c r="CZ26" s="399">
        <f t="shared" si="45"/>
        <v>0</v>
      </c>
      <c r="DA26" s="399">
        <f t="shared" si="46"/>
        <v>-8388.1200000000026</v>
      </c>
      <c r="DB26" s="399">
        <f t="shared" si="47"/>
        <v>-1443</v>
      </c>
      <c r="DC26" s="399">
        <f t="shared" si="48"/>
        <v>0</v>
      </c>
      <c r="DD26" s="399">
        <f t="shared" si="49"/>
        <v>0</v>
      </c>
      <c r="DE26" s="399">
        <f t="shared" si="50"/>
        <v>-273.78000000000009</v>
      </c>
      <c r="DF26" s="399">
        <f t="shared" si="51"/>
        <v>-10104.900000000003</v>
      </c>
      <c r="DG26" s="399">
        <f t="shared" si="52"/>
        <v>0</v>
      </c>
      <c r="DI26" s="399"/>
      <c r="DJ26" s="399"/>
      <c r="DK26" s="399"/>
      <c r="DL26" s="399"/>
      <c r="DM26" s="399"/>
      <c r="DN26" s="399"/>
      <c r="DO26" s="399"/>
      <c r="DP26" s="399"/>
      <c r="DQ26" s="399"/>
      <c r="DS26" s="399"/>
      <c r="DT26" s="399"/>
      <c r="DU26" s="399"/>
      <c r="DV26" s="399"/>
      <c r="DW26" s="399"/>
      <c r="DX26" s="399"/>
      <c r="DY26" s="399"/>
      <c r="DZ26" s="399"/>
      <c r="EB26" s="228">
        <f t="shared" si="53"/>
        <v>145292.9147368421</v>
      </c>
      <c r="EC26" s="228">
        <f t="shared" si="54"/>
        <v>0</v>
      </c>
      <c r="ED26" s="214">
        <f t="shared" si="55"/>
        <v>145292.9147368421</v>
      </c>
    </row>
    <row r="27" spans="1:134" hidden="1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3" t="str">
        <f>VLOOKUP(A27,'Summary Mar 2026'!$A$8:$F$207,6,FALSE)</f>
        <v>Chq Bk</v>
      </c>
      <c r="G27" s="33"/>
      <c r="H27" s="223">
        <v>0</v>
      </c>
      <c r="I27" s="294"/>
      <c r="J27" s="223">
        <v>0</v>
      </c>
      <c r="K27" s="223">
        <v>0</v>
      </c>
      <c r="L27" s="223">
        <v>0</v>
      </c>
      <c r="M27" s="223">
        <v>0</v>
      </c>
      <c r="N27" s="223">
        <v>0</v>
      </c>
      <c r="O27" s="223">
        <v>0</v>
      </c>
      <c r="P27" s="33">
        <f t="shared" si="13"/>
        <v>0</v>
      </c>
      <c r="Q27" s="223">
        <f t="shared" si="14"/>
        <v>0</v>
      </c>
      <c r="R27" s="294"/>
      <c r="S27" s="223">
        <v>0</v>
      </c>
      <c r="T27" s="223">
        <v>0</v>
      </c>
      <c r="U27" s="223">
        <v>0</v>
      </c>
      <c r="V27" s="223">
        <v>0</v>
      </c>
      <c r="W27" s="223">
        <v>0</v>
      </c>
      <c r="X27" s="223">
        <v>0</v>
      </c>
      <c r="Y27" s="223">
        <f t="shared" si="15"/>
        <v>0</v>
      </c>
      <c r="Z27" s="223">
        <f t="shared" si="16"/>
        <v>0</v>
      </c>
      <c r="AA27" s="294"/>
      <c r="AB27" s="398">
        <v>0</v>
      </c>
      <c r="AC27" s="398">
        <v>0</v>
      </c>
      <c r="AD27" s="398">
        <v>0</v>
      </c>
      <c r="AE27" s="398">
        <v>0</v>
      </c>
      <c r="AF27" s="398">
        <v>0</v>
      </c>
      <c r="AG27" s="398">
        <v>0</v>
      </c>
      <c r="AH27" s="223">
        <f t="shared" si="17"/>
        <v>0</v>
      </c>
      <c r="AI27" s="398">
        <f t="shared" si="18"/>
        <v>0</v>
      </c>
      <c r="AJ27" s="294"/>
      <c r="AK27" s="398">
        <v>0</v>
      </c>
      <c r="AL27" s="398">
        <v>0</v>
      </c>
      <c r="AM27" s="398">
        <v>0</v>
      </c>
      <c r="AN27" s="294"/>
      <c r="AO27" s="398">
        <f t="shared" si="19"/>
        <v>0</v>
      </c>
      <c r="AP27" s="398">
        <f t="shared" si="20"/>
        <v>0</v>
      </c>
      <c r="AQ27" s="398">
        <f t="shared" si="21"/>
        <v>0</v>
      </c>
      <c r="AR27" s="293"/>
      <c r="AS27" s="293">
        <v>0</v>
      </c>
      <c r="AT27" s="576">
        <f t="shared" si="22"/>
        <v>0</v>
      </c>
      <c r="AU27" s="293"/>
      <c r="AV27" s="293">
        <v>0</v>
      </c>
      <c r="AW27" s="293">
        <v>0</v>
      </c>
      <c r="AX27" s="293">
        <v>0</v>
      </c>
      <c r="AY27" s="293">
        <v>0</v>
      </c>
      <c r="AZ27" s="293">
        <v>0</v>
      </c>
      <c r="BA27" s="293">
        <v>0</v>
      </c>
      <c r="BB27" s="293">
        <v>0</v>
      </c>
      <c r="BC27" s="293">
        <f t="shared" si="23"/>
        <v>0</v>
      </c>
      <c r="BE27" s="58">
        <f t="shared" si="24"/>
        <v>0</v>
      </c>
      <c r="BF27" s="58">
        <f t="shared" si="25"/>
        <v>0</v>
      </c>
      <c r="BG27" s="58">
        <f t="shared" si="26"/>
        <v>0</v>
      </c>
      <c r="BH27" s="58">
        <f t="shared" si="27"/>
        <v>0</v>
      </c>
      <c r="BI27" s="58">
        <f t="shared" si="28"/>
        <v>0</v>
      </c>
      <c r="BJ27" s="58">
        <f t="shared" si="29"/>
        <v>0</v>
      </c>
      <c r="BK27" s="58">
        <f t="shared" si="30"/>
        <v>0</v>
      </c>
      <c r="BL27" s="58">
        <f t="shared" si="31"/>
        <v>0</v>
      </c>
      <c r="BM27" s="33">
        <f t="shared" si="32"/>
        <v>0</v>
      </c>
      <c r="BN27" s="33"/>
      <c r="BO27" s="293">
        <f t="shared" si="2"/>
        <v>0</v>
      </c>
      <c r="BP27" s="293">
        <f t="shared" si="3"/>
        <v>0</v>
      </c>
      <c r="BQ27" s="293">
        <f t="shared" si="4"/>
        <v>0</v>
      </c>
      <c r="BR27" s="293">
        <f t="shared" si="5"/>
        <v>0</v>
      </c>
      <c r="BS27" s="293">
        <f t="shared" si="6"/>
        <v>0</v>
      </c>
      <c r="BT27" s="293">
        <f t="shared" si="7"/>
        <v>0</v>
      </c>
      <c r="BU27" s="293">
        <f t="shared" si="8"/>
        <v>0</v>
      </c>
      <c r="BV27" s="293">
        <f t="shared" si="9"/>
        <v>0</v>
      </c>
      <c r="BW27" s="293">
        <f t="shared" si="10"/>
        <v>0</v>
      </c>
      <c r="BX27" s="293">
        <v>0</v>
      </c>
      <c r="BY27" s="293">
        <v>0</v>
      </c>
      <c r="BZ27" s="293">
        <v>0</v>
      </c>
      <c r="CA27" s="293">
        <v>0</v>
      </c>
      <c r="CB27" s="293">
        <v>0</v>
      </c>
      <c r="CC27" s="293">
        <v>0</v>
      </c>
      <c r="CD27" s="293">
        <v>0</v>
      </c>
      <c r="CE27" s="293">
        <f t="shared" si="33"/>
        <v>0</v>
      </c>
      <c r="CF27" s="293"/>
      <c r="CG27" s="293">
        <v>0</v>
      </c>
      <c r="CH27" s="293">
        <v>0</v>
      </c>
      <c r="CI27" s="293">
        <v>0</v>
      </c>
      <c r="CJ27" s="293">
        <v>0</v>
      </c>
      <c r="CK27" s="293">
        <v>0</v>
      </c>
      <c r="CL27" s="293">
        <v>0</v>
      </c>
      <c r="CM27" s="293">
        <v>0</v>
      </c>
      <c r="CN27" s="293">
        <f t="shared" si="34"/>
        <v>0</v>
      </c>
      <c r="CO27" s="293"/>
      <c r="CP27" s="58">
        <f t="shared" si="35"/>
        <v>0</v>
      </c>
      <c r="CQ27" s="223">
        <f t="shared" si="36"/>
        <v>0</v>
      </c>
      <c r="CR27" s="223">
        <f t="shared" si="37"/>
        <v>0</v>
      </c>
      <c r="CS27" s="223">
        <f t="shared" si="38"/>
        <v>0</v>
      </c>
      <c r="CT27" s="223">
        <f t="shared" si="39"/>
        <v>0</v>
      </c>
      <c r="CU27" s="223">
        <f t="shared" si="40"/>
        <v>0</v>
      </c>
      <c r="CV27" s="223">
        <f t="shared" si="41"/>
        <v>0</v>
      </c>
      <c r="CW27" s="223">
        <f t="shared" si="42"/>
        <v>0</v>
      </c>
      <c r="CX27" s="223">
        <f t="shared" si="43"/>
        <v>0</v>
      </c>
      <c r="CY27" s="58">
        <f t="shared" si="44"/>
        <v>0</v>
      </c>
      <c r="CZ27" s="399">
        <f t="shared" si="45"/>
        <v>0</v>
      </c>
      <c r="DA27" s="399">
        <f t="shared" si="46"/>
        <v>0</v>
      </c>
      <c r="DB27" s="399">
        <f t="shared" si="47"/>
        <v>0</v>
      </c>
      <c r="DC27" s="399">
        <f t="shared" si="48"/>
        <v>0</v>
      </c>
      <c r="DD27" s="399">
        <f t="shared" si="49"/>
        <v>0</v>
      </c>
      <c r="DE27" s="399">
        <f t="shared" si="50"/>
        <v>0</v>
      </c>
      <c r="DF27" s="399">
        <f t="shared" si="51"/>
        <v>0</v>
      </c>
      <c r="DG27" s="399">
        <f t="shared" si="52"/>
        <v>0</v>
      </c>
      <c r="DI27" s="399"/>
      <c r="DJ27" s="399"/>
      <c r="DK27" s="399"/>
      <c r="DL27" s="399"/>
      <c r="DM27" s="399"/>
      <c r="DN27" s="399"/>
      <c r="DO27" s="399"/>
      <c r="DP27" s="399"/>
      <c r="DQ27" s="399"/>
      <c r="DS27" s="399"/>
      <c r="DT27" s="399"/>
      <c r="DU27" s="399"/>
      <c r="DV27" s="399"/>
      <c r="DW27" s="399"/>
      <c r="DX27" s="399"/>
      <c r="DY27" s="399"/>
      <c r="DZ27" s="399"/>
      <c r="EB27" s="228">
        <f t="shared" si="53"/>
        <v>0</v>
      </c>
      <c r="EC27" s="228">
        <f t="shared" si="54"/>
        <v>0</v>
      </c>
      <c r="ED27" s="214">
        <f t="shared" si="55"/>
        <v>0</v>
      </c>
    </row>
    <row r="28" spans="1:134" hidden="1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3" t="str">
        <f>VLOOKUP(A28,'Summary Mar 2026'!$A$8:$F$207,6,FALSE)</f>
        <v>Chq Bk</v>
      </c>
      <c r="G28" s="33"/>
      <c r="H28" s="223">
        <v>0</v>
      </c>
      <c r="I28" s="294"/>
      <c r="J28" s="223">
        <v>0</v>
      </c>
      <c r="K28" s="223">
        <v>0</v>
      </c>
      <c r="L28" s="223">
        <v>0</v>
      </c>
      <c r="M28" s="223">
        <v>0</v>
      </c>
      <c r="N28" s="223">
        <v>0</v>
      </c>
      <c r="O28" s="223">
        <v>0</v>
      </c>
      <c r="P28" s="33">
        <f t="shared" si="13"/>
        <v>0</v>
      </c>
      <c r="Q28" s="223">
        <f t="shared" si="14"/>
        <v>0</v>
      </c>
      <c r="R28" s="294"/>
      <c r="S28" s="223">
        <v>0</v>
      </c>
      <c r="T28" s="223">
        <v>0</v>
      </c>
      <c r="U28" s="223">
        <v>0</v>
      </c>
      <c r="V28" s="223">
        <v>0</v>
      </c>
      <c r="W28" s="223">
        <v>0</v>
      </c>
      <c r="X28" s="223">
        <v>0</v>
      </c>
      <c r="Y28" s="223">
        <f t="shared" si="15"/>
        <v>0</v>
      </c>
      <c r="Z28" s="223">
        <f t="shared" si="16"/>
        <v>0</v>
      </c>
      <c r="AA28" s="294"/>
      <c r="AB28" s="398">
        <v>0</v>
      </c>
      <c r="AC28" s="398">
        <v>0</v>
      </c>
      <c r="AD28" s="398">
        <v>0</v>
      </c>
      <c r="AE28" s="398">
        <v>0</v>
      </c>
      <c r="AF28" s="398">
        <v>0</v>
      </c>
      <c r="AG28" s="398">
        <v>0</v>
      </c>
      <c r="AH28" s="223">
        <f t="shared" si="17"/>
        <v>0</v>
      </c>
      <c r="AI28" s="398">
        <f t="shared" si="18"/>
        <v>0</v>
      </c>
      <c r="AJ28" s="294"/>
      <c r="AK28" s="398">
        <v>0</v>
      </c>
      <c r="AL28" s="398">
        <v>0</v>
      </c>
      <c r="AM28" s="398">
        <v>0</v>
      </c>
      <c r="AN28" s="294"/>
      <c r="AO28" s="398">
        <f t="shared" si="19"/>
        <v>0</v>
      </c>
      <c r="AP28" s="398">
        <f t="shared" si="20"/>
        <v>0</v>
      </c>
      <c r="AQ28" s="398">
        <f t="shared" si="21"/>
        <v>0</v>
      </c>
      <c r="AR28" s="293"/>
      <c r="AS28" s="293">
        <v>0</v>
      </c>
      <c r="AT28" s="576">
        <f t="shared" si="22"/>
        <v>0</v>
      </c>
      <c r="AU28" s="293"/>
      <c r="AV28" s="293">
        <v>0</v>
      </c>
      <c r="AW28" s="293">
        <v>0</v>
      </c>
      <c r="AX28" s="293">
        <v>0</v>
      </c>
      <c r="AY28" s="293">
        <v>0</v>
      </c>
      <c r="AZ28" s="293">
        <v>0</v>
      </c>
      <c r="BA28" s="293">
        <v>0</v>
      </c>
      <c r="BB28" s="293">
        <v>0</v>
      </c>
      <c r="BC28" s="293">
        <f t="shared" si="23"/>
        <v>0</v>
      </c>
      <c r="BE28" s="58">
        <f t="shared" si="24"/>
        <v>0</v>
      </c>
      <c r="BF28" s="58">
        <f t="shared" si="25"/>
        <v>0</v>
      </c>
      <c r="BG28" s="58">
        <f t="shared" si="26"/>
        <v>0</v>
      </c>
      <c r="BH28" s="58">
        <f t="shared" si="27"/>
        <v>0</v>
      </c>
      <c r="BI28" s="58">
        <f t="shared" si="28"/>
        <v>0</v>
      </c>
      <c r="BJ28" s="58">
        <f t="shared" si="29"/>
        <v>0</v>
      </c>
      <c r="BK28" s="58">
        <f t="shared" si="30"/>
        <v>0</v>
      </c>
      <c r="BL28" s="58">
        <f t="shared" si="31"/>
        <v>0</v>
      </c>
      <c r="BM28" s="33">
        <f t="shared" si="32"/>
        <v>0</v>
      </c>
      <c r="BN28" s="33"/>
      <c r="BO28" s="293">
        <f t="shared" si="2"/>
        <v>0</v>
      </c>
      <c r="BP28" s="293">
        <f t="shared" si="3"/>
        <v>0</v>
      </c>
      <c r="BQ28" s="293">
        <f t="shared" si="4"/>
        <v>0</v>
      </c>
      <c r="BR28" s="293">
        <f t="shared" si="5"/>
        <v>0</v>
      </c>
      <c r="BS28" s="293">
        <f t="shared" si="6"/>
        <v>0</v>
      </c>
      <c r="BT28" s="293">
        <f t="shared" si="7"/>
        <v>0</v>
      </c>
      <c r="BU28" s="293">
        <f t="shared" si="8"/>
        <v>0</v>
      </c>
      <c r="BV28" s="293">
        <f t="shared" si="9"/>
        <v>0</v>
      </c>
      <c r="BW28" s="293">
        <f t="shared" si="10"/>
        <v>0</v>
      </c>
      <c r="BX28" s="293"/>
      <c r="BY28" s="293"/>
      <c r="BZ28" s="293"/>
      <c r="CA28" s="293"/>
      <c r="CB28" s="293"/>
      <c r="CC28" s="293"/>
      <c r="CD28" s="293"/>
      <c r="CE28" s="293"/>
      <c r="CF28" s="293"/>
      <c r="CG28" s="293"/>
      <c r="CH28" s="293"/>
      <c r="CI28" s="293"/>
      <c r="CJ28" s="293"/>
      <c r="CK28" s="293"/>
      <c r="CL28" s="293"/>
      <c r="CM28" s="293"/>
      <c r="CN28" s="293"/>
      <c r="CO28" s="293"/>
      <c r="CP28" s="58">
        <f t="shared" si="35"/>
        <v>0</v>
      </c>
      <c r="CQ28" s="223">
        <f t="shared" si="36"/>
        <v>0</v>
      </c>
      <c r="CR28" s="223">
        <f t="shared" si="37"/>
        <v>0</v>
      </c>
      <c r="CS28" s="223">
        <f t="shared" si="38"/>
        <v>0</v>
      </c>
      <c r="CT28" s="223">
        <f t="shared" si="39"/>
        <v>0</v>
      </c>
      <c r="CU28" s="223">
        <f t="shared" si="40"/>
        <v>0</v>
      </c>
      <c r="CV28" s="223">
        <f t="shared" si="41"/>
        <v>0</v>
      </c>
      <c r="CW28" s="223">
        <f t="shared" si="42"/>
        <v>0</v>
      </c>
      <c r="CX28" s="223">
        <f t="shared" si="43"/>
        <v>0</v>
      </c>
      <c r="CY28" s="58">
        <f t="shared" si="44"/>
        <v>0</v>
      </c>
      <c r="CZ28" s="399">
        <f t="shared" si="45"/>
        <v>0</v>
      </c>
      <c r="DA28" s="399">
        <f t="shared" si="46"/>
        <v>0</v>
      </c>
      <c r="DB28" s="399">
        <f t="shared" si="47"/>
        <v>0</v>
      </c>
      <c r="DC28" s="399">
        <f t="shared" si="48"/>
        <v>0</v>
      </c>
      <c r="DD28" s="399">
        <f t="shared" si="49"/>
        <v>0</v>
      </c>
      <c r="DE28" s="399">
        <f t="shared" si="50"/>
        <v>0</v>
      </c>
      <c r="DF28" s="399">
        <f t="shared" si="51"/>
        <v>0</v>
      </c>
      <c r="DG28" s="399">
        <f t="shared" si="52"/>
        <v>0</v>
      </c>
      <c r="DI28" s="399"/>
      <c r="DJ28" s="399"/>
      <c r="DK28" s="399"/>
      <c r="DL28" s="399"/>
      <c r="DM28" s="399"/>
      <c r="DN28" s="399"/>
      <c r="DO28" s="399"/>
      <c r="DP28" s="399"/>
      <c r="DQ28" s="399"/>
      <c r="DS28" s="399"/>
      <c r="DT28" s="399"/>
      <c r="DU28" s="399"/>
      <c r="DV28" s="399"/>
      <c r="DW28" s="399"/>
      <c r="DX28" s="399"/>
      <c r="DY28" s="399"/>
      <c r="DZ28" s="399"/>
      <c r="EB28" s="228">
        <f t="shared" si="53"/>
        <v>0</v>
      </c>
      <c r="EC28" s="228">
        <f t="shared" si="54"/>
        <v>0</v>
      </c>
      <c r="ED28" s="214">
        <f t="shared" si="55"/>
        <v>0</v>
      </c>
    </row>
    <row r="29" spans="1:134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3" t="str">
        <f>VLOOKUP(A29,'Summary Mar 2026'!$A$8:$F$207,6,FALSE)</f>
        <v>Chq Bk</v>
      </c>
      <c r="G29" s="33"/>
      <c r="H29" s="223">
        <v>267564.66361026687</v>
      </c>
      <c r="I29" s="294"/>
      <c r="J29" s="223">
        <v>0</v>
      </c>
      <c r="K29" s="223">
        <v>64718.549999999996</v>
      </c>
      <c r="L29" s="223">
        <v>116992.20000000001</v>
      </c>
      <c r="M29" s="223">
        <v>12675</v>
      </c>
      <c r="N29" s="223">
        <v>4847.6315789473683</v>
      </c>
      <c r="O29" s="223">
        <v>641.78947368421052</v>
      </c>
      <c r="P29" s="33">
        <f t="shared" si="13"/>
        <v>199875.17105263157</v>
      </c>
      <c r="Q29" s="223">
        <f t="shared" si="14"/>
        <v>159900.13684210528</v>
      </c>
      <c r="R29" s="294"/>
      <c r="S29" s="223">
        <v>0</v>
      </c>
      <c r="T29" s="223">
        <v>59740.2</v>
      </c>
      <c r="U29" s="223">
        <v>64014.600000000006</v>
      </c>
      <c r="V29" s="223">
        <v>11895</v>
      </c>
      <c r="W29" s="223">
        <v>4474.7368421052633</v>
      </c>
      <c r="X29" s="223">
        <v>641.78947368421052</v>
      </c>
      <c r="Y29" s="223">
        <f t="shared" si="15"/>
        <v>140766.32631578945</v>
      </c>
      <c r="Z29" s="223">
        <f t="shared" si="16"/>
        <v>112613.06105263157</v>
      </c>
      <c r="AA29" s="294"/>
      <c r="AB29" s="398">
        <v>0</v>
      </c>
      <c r="AC29" s="398">
        <v>50307.53684210527</v>
      </c>
      <c r="AD29" s="398">
        <v>83648.84210526316</v>
      </c>
      <c r="AE29" s="398">
        <v>9322.105263157895</v>
      </c>
      <c r="AF29" s="398">
        <v>3521.8171745152354</v>
      </c>
      <c r="AG29" s="398">
        <v>561.24099722991684</v>
      </c>
      <c r="AH29" s="223">
        <f t="shared" si="17"/>
        <v>147361.54238227144</v>
      </c>
      <c r="AI29" s="398">
        <f t="shared" si="18"/>
        <v>117889.23390581715</v>
      </c>
      <c r="AJ29" s="294"/>
      <c r="AK29" s="398">
        <v>12836.85</v>
      </c>
      <c r="AL29" s="398">
        <v>9246.9</v>
      </c>
      <c r="AM29" s="398">
        <v>8834.9684210526302</v>
      </c>
      <c r="AN29" s="294"/>
      <c r="AO29" s="398">
        <f t="shared" si="19"/>
        <v>10269.480000000001</v>
      </c>
      <c r="AP29" s="398">
        <f t="shared" si="20"/>
        <v>7397.52</v>
      </c>
      <c r="AQ29" s="398">
        <f t="shared" si="21"/>
        <v>7067.9747368421049</v>
      </c>
      <c r="AR29" s="293"/>
      <c r="AS29" s="293">
        <v>264383.34203395422</v>
      </c>
      <c r="AT29" s="576">
        <f t="shared" si="22"/>
        <v>-3181.32157631265</v>
      </c>
      <c r="AU29" s="293"/>
      <c r="AV29" s="293">
        <v>0</v>
      </c>
      <c r="AW29" s="293">
        <v>64718.549999999996</v>
      </c>
      <c r="AX29" s="293">
        <v>102644.1</v>
      </c>
      <c r="AY29" s="293">
        <v>15405</v>
      </c>
      <c r="AZ29" s="293">
        <v>5891.7368421052633</v>
      </c>
      <c r="BA29" s="293">
        <v>320.89</v>
      </c>
      <c r="BB29" s="293">
        <v>12306.449999999999</v>
      </c>
      <c r="BC29" s="293">
        <f t="shared" si="23"/>
        <v>465670.06887605949</v>
      </c>
      <c r="BE29" s="58">
        <f t="shared" si="24"/>
        <v>0</v>
      </c>
      <c r="BF29" s="58">
        <f t="shared" si="25"/>
        <v>0</v>
      </c>
      <c r="BG29" s="58">
        <f t="shared" si="26"/>
        <v>-14348.100000000006</v>
      </c>
      <c r="BH29" s="58">
        <f t="shared" si="27"/>
        <v>2730</v>
      </c>
      <c r="BI29" s="58">
        <f t="shared" si="28"/>
        <v>1044.105263157895</v>
      </c>
      <c r="BJ29" s="58">
        <f t="shared" si="29"/>
        <v>-320.89947368421053</v>
      </c>
      <c r="BK29" s="58">
        <f t="shared" si="30"/>
        <v>-530.40000000000146</v>
      </c>
      <c r="BL29" s="58">
        <f t="shared" si="31"/>
        <v>-14606.615786838973</v>
      </c>
      <c r="BM29" s="33">
        <f t="shared" si="32"/>
        <v>0</v>
      </c>
      <c r="BN29" s="33"/>
      <c r="BO29" s="293">
        <f t="shared" si="2"/>
        <v>0</v>
      </c>
      <c r="BP29" s="293">
        <f t="shared" si="3"/>
        <v>12943.71</v>
      </c>
      <c r="BQ29" s="293">
        <f t="shared" si="4"/>
        <v>9050.3399999999965</v>
      </c>
      <c r="BR29" s="293">
        <f t="shared" si="5"/>
        <v>5265</v>
      </c>
      <c r="BS29" s="293">
        <f t="shared" si="6"/>
        <v>2013.6315789473683</v>
      </c>
      <c r="BT29" s="293">
        <f t="shared" si="7"/>
        <v>-192.54157894736841</v>
      </c>
      <c r="BU29" s="293">
        <f t="shared" si="8"/>
        <v>2036.9699999999975</v>
      </c>
      <c r="BV29" s="293">
        <f t="shared" si="9"/>
        <v>27935.78842368734</v>
      </c>
      <c r="BW29" s="293">
        <f t="shared" si="10"/>
        <v>0</v>
      </c>
      <c r="BX29" s="293">
        <v>0</v>
      </c>
      <c r="BY29" s="293">
        <v>-6637.7999999999956</v>
      </c>
      <c r="BZ29" s="293">
        <v>0</v>
      </c>
      <c r="CA29" s="293">
        <v>0</v>
      </c>
      <c r="CB29" s="293">
        <v>0</v>
      </c>
      <c r="CC29" s="293">
        <v>617.11</v>
      </c>
      <c r="CD29" s="293">
        <v>294.45000000000073</v>
      </c>
      <c r="CE29" s="293">
        <f t="shared" si="33"/>
        <v>-5726.2399999999952</v>
      </c>
      <c r="CF29" s="293"/>
      <c r="CG29" s="293">
        <v>0</v>
      </c>
      <c r="CH29" s="293">
        <v>60378.45</v>
      </c>
      <c r="CI29" s="293">
        <v>59599.8</v>
      </c>
      <c r="CJ29" s="293">
        <v>9945</v>
      </c>
      <c r="CK29" s="293">
        <v>3731</v>
      </c>
      <c r="CL29" s="293">
        <v>0</v>
      </c>
      <c r="CM29" s="293">
        <v>8435.7000000000007</v>
      </c>
      <c r="CN29" s="293">
        <f t="shared" si="34"/>
        <v>142089.95000000001</v>
      </c>
      <c r="CO29" s="293"/>
      <c r="CP29" s="58">
        <f t="shared" si="35"/>
        <v>0</v>
      </c>
      <c r="CQ29" s="223">
        <f t="shared" si="36"/>
        <v>638.25</v>
      </c>
      <c r="CR29" s="223">
        <f t="shared" si="37"/>
        <v>-4414.8000000000029</v>
      </c>
      <c r="CS29" s="223">
        <f t="shared" si="38"/>
        <v>-1950</v>
      </c>
      <c r="CT29" s="223">
        <f t="shared" si="39"/>
        <v>-743.73684210526335</v>
      </c>
      <c r="CU29" s="223">
        <f t="shared" si="40"/>
        <v>-641.78947368421052</v>
      </c>
      <c r="CV29" s="223">
        <f t="shared" si="41"/>
        <v>-811.19999999999891</v>
      </c>
      <c r="CW29" s="223">
        <f t="shared" si="42"/>
        <v>-7923.276315789476</v>
      </c>
      <c r="CX29" s="223">
        <f t="shared" si="43"/>
        <v>0</v>
      </c>
      <c r="CY29" s="58">
        <f t="shared" si="44"/>
        <v>0</v>
      </c>
      <c r="CZ29" s="399">
        <f t="shared" si="45"/>
        <v>12586.289999999994</v>
      </c>
      <c r="DA29" s="399">
        <f t="shared" si="46"/>
        <v>8388.1199999999953</v>
      </c>
      <c r="DB29" s="399">
        <f t="shared" si="47"/>
        <v>429</v>
      </c>
      <c r="DC29" s="399">
        <f t="shared" si="48"/>
        <v>151.21052631578914</v>
      </c>
      <c r="DD29" s="399">
        <f t="shared" si="49"/>
        <v>-513.43157894736839</v>
      </c>
      <c r="DE29" s="399">
        <f t="shared" si="50"/>
        <v>1038.1800000000003</v>
      </c>
      <c r="DF29" s="399">
        <f t="shared" si="51"/>
        <v>22079.36894736841</v>
      </c>
      <c r="DG29" s="399">
        <f t="shared" si="52"/>
        <v>0</v>
      </c>
      <c r="DI29" s="399"/>
      <c r="DJ29" s="399"/>
      <c r="DK29" s="399"/>
      <c r="DL29" s="399"/>
      <c r="DM29" s="399"/>
      <c r="DN29" s="399"/>
      <c r="DO29" s="399"/>
      <c r="DP29" s="399"/>
      <c r="DQ29" s="399"/>
      <c r="DS29" s="399"/>
      <c r="DT29" s="399"/>
      <c r="DU29" s="399"/>
      <c r="DV29" s="399"/>
      <c r="DW29" s="399"/>
      <c r="DX29" s="399"/>
      <c r="DY29" s="399"/>
      <c r="DZ29" s="399"/>
      <c r="EB29" s="228">
        <f t="shared" si="53"/>
        <v>725603.99472093489</v>
      </c>
      <c r="EC29" s="228">
        <f t="shared" si="54"/>
        <v>1386.9927977839334</v>
      </c>
      <c r="ED29" s="214">
        <f t="shared" si="55"/>
        <v>726990.98751871882</v>
      </c>
    </row>
    <row r="30" spans="1:134" s="378" customFormat="1" hidden="1">
      <c r="A30" s="777">
        <v>2238</v>
      </c>
      <c r="B30" s="446">
        <v>103288</v>
      </c>
      <c r="C30" s="446" t="s">
        <v>75</v>
      </c>
      <c r="D30" s="446" t="s">
        <v>76</v>
      </c>
      <c r="E30" s="372" t="s">
        <v>32</v>
      </c>
      <c r="F30" s="812" t="str">
        <f>VLOOKUP(A30,'Summary Mar 2026'!$A$8:$F$207,6,FALSE)</f>
        <v>Academy</v>
      </c>
      <c r="G30" s="813"/>
      <c r="H30" s="814">
        <v>0</v>
      </c>
      <c r="I30" s="814"/>
      <c r="J30" s="814">
        <v>0</v>
      </c>
      <c r="K30" s="814">
        <v>0</v>
      </c>
      <c r="L30" s="814">
        <v>54081.3</v>
      </c>
      <c r="M30" s="814">
        <v>1755</v>
      </c>
      <c r="N30" s="814">
        <v>0</v>
      </c>
      <c r="O30" s="814">
        <v>0</v>
      </c>
      <c r="P30" s="813">
        <f t="shared" si="13"/>
        <v>55836.3</v>
      </c>
      <c r="Q30" s="814">
        <f t="shared" si="14"/>
        <v>44669.040000000008</v>
      </c>
      <c r="R30" s="814"/>
      <c r="S30" s="814"/>
      <c r="T30" s="814"/>
      <c r="U30" s="814"/>
      <c r="V30" s="814"/>
      <c r="W30" s="814"/>
      <c r="X30" s="814"/>
      <c r="Y30" s="814"/>
      <c r="Z30" s="814"/>
      <c r="AA30" s="814"/>
      <c r="AB30" s="815"/>
      <c r="AC30" s="815"/>
      <c r="AD30" s="815"/>
      <c r="AE30" s="815"/>
      <c r="AF30" s="815"/>
      <c r="AG30" s="815"/>
      <c r="AH30" s="814"/>
      <c r="AI30" s="815"/>
      <c r="AJ30" s="814"/>
      <c r="AK30" s="815">
        <v>1240.2</v>
      </c>
      <c r="AL30" s="815"/>
      <c r="AM30" s="815"/>
      <c r="AN30" s="814"/>
      <c r="AO30" s="815">
        <f t="shared" si="19"/>
        <v>992.16000000000008</v>
      </c>
      <c r="AP30" s="815">
        <f t="shared" si="20"/>
        <v>0</v>
      </c>
      <c r="AQ30" s="815">
        <f t="shared" si="21"/>
        <v>0</v>
      </c>
      <c r="AR30" s="816"/>
      <c r="AS30" s="816">
        <v>0</v>
      </c>
      <c r="AT30" s="817">
        <f t="shared" si="22"/>
        <v>0</v>
      </c>
      <c r="AU30" s="816"/>
      <c r="AV30" s="293"/>
      <c r="AW30" s="293"/>
      <c r="AX30" s="293"/>
      <c r="AY30" s="293"/>
      <c r="AZ30" s="293"/>
      <c r="BA30" s="293">
        <v>0</v>
      </c>
      <c r="BB30" s="293"/>
      <c r="BC30" s="293">
        <f t="shared" si="23"/>
        <v>0</v>
      </c>
      <c r="BE30" s="58"/>
      <c r="BF30" s="58"/>
      <c r="BG30" s="58"/>
      <c r="BH30" s="58"/>
      <c r="BI30" s="58"/>
      <c r="BJ30" s="58"/>
      <c r="BK30" s="58"/>
      <c r="BL30" s="58"/>
      <c r="BM30" s="33"/>
      <c r="BN30" s="33"/>
      <c r="BO30" s="293"/>
      <c r="BP30" s="293"/>
      <c r="BQ30" s="293"/>
      <c r="BR30" s="293"/>
      <c r="BS30" s="293"/>
      <c r="BT30" s="293"/>
      <c r="BU30" s="293"/>
      <c r="BV30" s="293">
        <f t="shared" si="9"/>
        <v>0</v>
      </c>
      <c r="BW30" s="293"/>
      <c r="BX30" s="293"/>
      <c r="BY30" s="293"/>
      <c r="BZ30" s="293"/>
      <c r="CA30" s="293"/>
      <c r="CB30" s="293"/>
      <c r="CC30" s="293"/>
      <c r="CD30" s="293"/>
      <c r="CE30" s="293"/>
      <c r="CF30" s="293"/>
      <c r="CG30" s="293"/>
      <c r="CH30" s="293">
        <v>0</v>
      </c>
      <c r="CI30" s="293"/>
      <c r="CJ30" s="293"/>
      <c r="CK30" s="293"/>
      <c r="CL30" s="293"/>
      <c r="CM30" s="293"/>
      <c r="CN30" s="293"/>
      <c r="CO30" s="293"/>
      <c r="CP30" s="58"/>
      <c r="CQ30" s="223"/>
      <c r="CR30" s="223"/>
      <c r="CS30" s="223"/>
      <c r="CT30" s="223"/>
      <c r="CU30" s="223"/>
      <c r="CV30" s="223"/>
      <c r="CW30" s="223"/>
      <c r="CX30" s="223">
        <f t="shared" si="43"/>
        <v>0</v>
      </c>
      <c r="CY30" s="58">
        <f t="shared" si="44"/>
        <v>0</v>
      </c>
      <c r="CZ30" s="399">
        <f t="shared" si="45"/>
        <v>0</v>
      </c>
      <c r="DA30" s="399">
        <f t="shared" si="46"/>
        <v>0</v>
      </c>
      <c r="DB30" s="399">
        <f t="shared" si="47"/>
        <v>0</v>
      </c>
      <c r="DC30" s="399">
        <f t="shared" si="48"/>
        <v>0</v>
      </c>
      <c r="DD30" s="399">
        <f t="shared" si="49"/>
        <v>0</v>
      </c>
      <c r="DE30" s="399">
        <f t="shared" si="50"/>
        <v>0</v>
      </c>
      <c r="DF30" s="399">
        <f t="shared" si="51"/>
        <v>0</v>
      </c>
      <c r="DG30" s="399">
        <f t="shared" si="52"/>
        <v>0</v>
      </c>
      <c r="DH30"/>
      <c r="DI30" s="818"/>
      <c r="DJ30" s="818"/>
      <c r="DK30" s="818"/>
      <c r="DL30" s="818"/>
      <c r="DM30" s="818"/>
      <c r="DN30" s="818"/>
      <c r="DO30" s="818"/>
      <c r="DP30" s="818"/>
      <c r="DQ30" s="818"/>
      <c r="DS30" s="818"/>
      <c r="DT30" s="818"/>
      <c r="DU30" s="818"/>
      <c r="DV30" s="818"/>
      <c r="DW30" s="818"/>
      <c r="DX30" s="818"/>
      <c r="DY30" s="818"/>
      <c r="DZ30" s="818"/>
      <c r="EB30" s="228">
        <f>Q30+AO30</f>
        <v>45661.200000000012</v>
      </c>
      <c r="EC30" s="228">
        <f t="shared" si="54"/>
        <v>0</v>
      </c>
      <c r="ED30" s="778">
        <f t="shared" si="55"/>
        <v>45661.200000000012</v>
      </c>
    </row>
    <row r="31" spans="1:134" s="378" customFormat="1" hidden="1">
      <c r="A31" s="777">
        <v>2236</v>
      </c>
      <c r="B31" s="446">
        <v>103286</v>
      </c>
      <c r="C31" s="446" t="s">
        <v>77</v>
      </c>
      <c r="D31" s="446" t="s">
        <v>78</v>
      </c>
      <c r="E31" s="372" t="s">
        <v>32</v>
      </c>
      <c r="F31" s="812" t="str">
        <f>VLOOKUP(A31,'Summary Mar 2026'!$A$8:$F$207,6,FALSE)</f>
        <v>Academy</v>
      </c>
      <c r="G31" s="813"/>
      <c r="H31" s="814">
        <v>0</v>
      </c>
      <c r="I31" s="814"/>
      <c r="J31" s="814">
        <v>0</v>
      </c>
      <c r="K31" s="814">
        <v>0</v>
      </c>
      <c r="L31" s="814">
        <v>0</v>
      </c>
      <c r="M31" s="814">
        <v>0</v>
      </c>
      <c r="N31" s="814">
        <v>0</v>
      </c>
      <c r="O31" s="814">
        <v>0</v>
      </c>
      <c r="P31" s="813">
        <f t="shared" si="13"/>
        <v>0</v>
      </c>
      <c r="Q31" s="814">
        <f t="shared" si="14"/>
        <v>0</v>
      </c>
      <c r="R31" s="814"/>
      <c r="S31" s="814">
        <v>0</v>
      </c>
      <c r="T31" s="814">
        <v>0</v>
      </c>
      <c r="U31" s="814">
        <v>0</v>
      </c>
      <c r="V31" s="814">
        <v>0</v>
      </c>
      <c r="W31" s="814">
        <v>0</v>
      </c>
      <c r="X31" s="814">
        <v>0</v>
      </c>
      <c r="Y31" s="814">
        <f t="shared" si="15"/>
        <v>0</v>
      </c>
      <c r="Z31" s="814">
        <f t="shared" si="16"/>
        <v>0</v>
      </c>
      <c r="AA31" s="814"/>
      <c r="AB31" s="815">
        <v>0</v>
      </c>
      <c r="AC31" s="815">
        <v>0</v>
      </c>
      <c r="AD31" s="815">
        <v>0</v>
      </c>
      <c r="AE31" s="815">
        <v>0</v>
      </c>
      <c r="AF31" s="815">
        <v>0</v>
      </c>
      <c r="AG31" s="815">
        <v>0</v>
      </c>
      <c r="AH31" s="814">
        <f t="shared" si="17"/>
        <v>0</v>
      </c>
      <c r="AI31" s="815">
        <f t="shared" si="18"/>
        <v>0</v>
      </c>
      <c r="AJ31" s="814"/>
      <c r="AK31" s="815">
        <v>0</v>
      </c>
      <c r="AL31" s="815">
        <v>0</v>
      </c>
      <c r="AM31" s="815">
        <v>0</v>
      </c>
      <c r="AN31" s="814"/>
      <c r="AO31" s="815">
        <f t="shared" si="19"/>
        <v>0</v>
      </c>
      <c r="AP31" s="815">
        <f t="shared" si="20"/>
        <v>0</v>
      </c>
      <c r="AQ31" s="815">
        <f t="shared" si="21"/>
        <v>0</v>
      </c>
      <c r="AR31" s="816"/>
      <c r="AS31" s="816">
        <v>0</v>
      </c>
      <c r="AT31" s="817">
        <f t="shared" si="22"/>
        <v>0</v>
      </c>
      <c r="AU31" s="816"/>
      <c r="AV31" s="293">
        <v>0</v>
      </c>
      <c r="AW31" s="293">
        <v>0</v>
      </c>
      <c r="AX31" s="293">
        <v>0</v>
      </c>
      <c r="AY31" s="293">
        <v>0</v>
      </c>
      <c r="AZ31" s="293">
        <v>0</v>
      </c>
      <c r="BA31" s="293">
        <v>0</v>
      </c>
      <c r="BB31" s="293">
        <v>0</v>
      </c>
      <c r="BC31" s="293">
        <f t="shared" si="23"/>
        <v>0</v>
      </c>
      <c r="BE31" s="58">
        <f t="shared" si="24"/>
        <v>0</v>
      </c>
      <c r="BF31" s="58">
        <f t="shared" si="25"/>
        <v>0</v>
      </c>
      <c r="BG31" s="58">
        <f t="shared" si="26"/>
        <v>0</v>
      </c>
      <c r="BH31" s="58">
        <f t="shared" si="27"/>
        <v>0</v>
      </c>
      <c r="BI31" s="58">
        <f t="shared" si="28"/>
        <v>0</v>
      </c>
      <c r="BJ31" s="58">
        <f t="shared" si="29"/>
        <v>0</v>
      </c>
      <c r="BK31" s="58">
        <f t="shared" si="30"/>
        <v>0</v>
      </c>
      <c r="BL31" s="58">
        <f t="shared" si="31"/>
        <v>0</v>
      </c>
      <c r="BM31" s="33">
        <f t="shared" si="32"/>
        <v>0</v>
      </c>
      <c r="BN31" s="33"/>
      <c r="BO31" s="293">
        <f t="shared" ref="BO31:BO62" si="56">AV31-(J31*80%)</f>
        <v>0</v>
      </c>
      <c r="BP31" s="293">
        <f t="shared" ref="BP31:BP62" si="57">AW31-(K31*80%)</f>
        <v>0</v>
      </c>
      <c r="BQ31" s="293">
        <f t="shared" ref="BQ31:BQ62" si="58">AX31-(L31*80%)</f>
        <v>0</v>
      </c>
      <c r="BR31" s="293">
        <f t="shared" ref="BR31:BR62" si="59">AY31-(M31*80%)</f>
        <v>0</v>
      </c>
      <c r="BS31" s="293">
        <f t="shared" ref="BS31:BS62" si="60">AZ31-(N31*80%)</f>
        <v>0</v>
      </c>
      <c r="BT31" s="293">
        <f t="shared" ref="BT31:BT62" si="61">BA31-(O31*80%)</f>
        <v>0</v>
      </c>
      <c r="BU31" s="293">
        <f t="shared" ref="BU31:BU62" si="62">BB31-(AK31*80%)</f>
        <v>0</v>
      </c>
      <c r="BV31" s="293">
        <f t="shared" si="9"/>
        <v>0</v>
      </c>
      <c r="BW31" s="293">
        <f t="shared" si="10"/>
        <v>0</v>
      </c>
      <c r="BX31" s="293"/>
      <c r="BY31" s="293"/>
      <c r="BZ31" s="293"/>
      <c r="CA31" s="293"/>
      <c r="CB31" s="293"/>
      <c r="CC31" s="293"/>
      <c r="CD31" s="293"/>
      <c r="CE31" s="293"/>
      <c r="CF31" s="293"/>
      <c r="CG31" s="293"/>
      <c r="CH31" s="293">
        <v>0</v>
      </c>
      <c r="CI31" s="293"/>
      <c r="CJ31" s="293"/>
      <c r="CK31" s="293"/>
      <c r="CL31" s="293"/>
      <c r="CM31" s="293"/>
      <c r="CN31" s="293"/>
      <c r="CO31" s="293"/>
      <c r="CP31" s="58"/>
      <c r="CQ31" s="223"/>
      <c r="CR31" s="223"/>
      <c r="CS31" s="223"/>
      <c r="CT31" s="223"/>
      <c r="CU31" s="223"/>
      <c r="CV31" s="223"/>
      <c r="CW31" s="223"/>
      <c r="CX31" s="223">
        <f t="shared" si="43"/>
        <v>0</v>
      </c>
      <c r="CY31" s="58">
        <f t="shared" si="44"/>
        <v>0</v>
      </c>
      <c r="CZ31" s="399">
        <f t="shared" si="45"/>
        <v>0</v>
      </c>
      <c r="DA31" s="399">
        <f t="shared" si="46"/>
        <v>0</v>
      </c>
      <c r="DB31" s="399">
        <f t="shared" si="47"/>
        <v>0</v>
      </c>
      <c r="DC31" s="399">
        <f t="shared" si="48"/>
        <v>0</v>
      </c>
      <c r="DD31" s="399">
        <f t="shared" si="49"/>
        <v>0</v>
      </c>
      <c r="DE31" s="399">
        <f t="shared" si="50"/>
        <v>0</v>
      </c>
      <c r="DF31" s="399">
        <f t="shared" si="51"/>
        <v>0</v>
      </c>
      <c r="DG31" s="399">
        <f t="shared" si="52"/>
        <v>0</v>
      </c>
      <c r="DH31"/>
      <c r="DI31" s="818"/>
      <c r="DJ31" s="818"/>
      <c r="DK31" s="818"/>
      <c r="DL31" s="818"/>
      <c r="DM31" s="818"/>
      <c r="DN31" s="818"/>
      <c r="DO31" s="818"/>
      <c r="DP31" s="818"/>
      <c r="DQ31" s="818"/>
      <c r="DS31" s="818"/>
      <c r="DT31" s="818"/>
      <c r="DU31" s="818"/>
      <c r="DV31" s="818"/>
      <c r="DW31" s="818"/>
      <c r="DX31" s="818"/>
      <c r="DY31" s="818"/>
      <c r="DZ31" s="818"/>
      <c r="EB31" s="228">
        <f t="shared" si="53"/>
        <v>0</v>
      </c>
      <c r="EC31" s="228">
        <f t="shared" si="54"/>
        <v>0</v>
      </c>
      <c r="ED31" s="778">
        <f t="shared" si="55"/>
        <v>0</v>
      </c>
    </row>
    <row r="32" spans="1:134" hidden="1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3" t="str">
        <f>VLOOKUP(A32,'Summary Mar 2026'!$A$8:$F$207,6,FALSE)</f>
        <v>Chq Bk</v>
      </c>
      <c r="G32" s="33"/>
      <c r="H32" s="223">
        <v>0</v>
      </c>
      <c r="I32" s="294"/>
      <c r="J32" s="223">
        <v>0</v>
      </c>
      <c r="K32" s="223">
        <v>0</v>
      </c>
      <c r="L32" s="223">
        <v>46355.4</v>
      </c>
      <c r="M32" s="223">
        <v>2535</v>
      </c>
      <c r="N32" s="223">
        <v>0</v>
      </c>
      <c r="O32" s="223">
        <v>0</v>
      </c>
      <c r="P32" s="33">
        <f t="shared" si="13"/>
        <v>48890.400000000001</v>
      </c>
      <c r="Q32" s="223">
        <f t="shared" si="14"/>
        <v>39112.32</v>
      </c>
      <c r="R32" s="294"/>
      <c r="S32" s="223">
        <v>0</v>
      </c>
      <c r="T32" s="223">
        <v>0</v>
      </c>
      <c r="U32" s="223">
        <v>25385.100000000002</v>
      </c>
      <c r="V32" s="223">
        <v>390</v>
      </c>
      <c r="W32" s="223">
        <v>0</v>
      </c>
      <c r="X32" s="223">
        <v>0</v>
      </c>
      <c r="Y32" s="223">
        <f t="shared" si="15"/>
        <v>25775.100000000002</v>
      </c>
      <c r="Z32" s="223">
        <f t="shared" si="16"/>
        <v>20620.080000000002</v>
      </c>
      <c r="AA32" s="294"/>
      <c r="AB32" s="398">
        <v>0</v>
      </c>
      <c r="AC32" s="398">
        <v>0</v>
      </c>
      <c r="AD32" s="398">
        <v>33459.53684210527</v>
      </c>
      <c r="AE32" s="398">
        <v>1364.2105263157894</v>
      </c>
      <c r="AF32" s="398">
        <v>0</v>
      </c>
      <c r="AG32" s="398">
        <v>0</v>
      </c>
      <c r="AH32" s="223">
        <f t="shared" si="17"/>
        <v>34823.747368421056</v>
      </c>
      <c r="AI32" s="398">
        <f t="shared" si="18"/>
        <v>27858.997894736847</v>
      </c>
      <c r="AJ32" s="294"/>
      <c r="AK32" s="398">
        <v>0</v>
      </c>
      <c r="AL32" s="398">
        <v>56.55</v>
      </c>
      <c r="AM32" s="398">
        <v>16.484210526315788</v>
      </c>
      <c r="AN32" s="294"/>
      <c r="AO32" s="398">
        <f t="shared" si="19"/>
        <v>0</v>
      </c>
      <c r="AP32" s="398">
        <f t="shared" si="20"/>
        <v>45.24</v>
      </c>
      <c r="AQ32" s="398">
        <f t="shared" si="21"/>
        <v>13.187368421052632</v>
      </c>
      <c r="AR32" s="293"/>
      <c r="AS32" s="293">
        <v>0</v>
      </c>
      <c r="AT32" s="576">
        <f t="shared" si="22"/>
        <v>0</v>
      </c>
      <c r="AU32" s="293"/>
      <c r="AV32" s="293">
        <v>0</v>
      </c>
      <c r="AW32" s="293">
        <v>0</v>
      </c>
      <c r="AX32" s="293">
        <v>33111</v>
      </c>
      <c r="AY32" s="293">
        <v>1560</v>
      </c>
      <c r="AZ32" s="293">
        <v>0</v>
      </c>
      <c r="BA32" s="293">
        <v>0</v>
      </c>
      <c r="BB32" s="293">
        <v>56.55</v>
      </c>
      <c r="BC32" s="293">
        <f t="shared" si="23"/>
        <v>34727.550000000003</v>
      </c>
      <c r="BE32" s="58">
        <f t="shared" si="24"/>
        <v>0</v>
      </c>
      <c r="BF32" s="58">
        <f t="shared" si="25"/>
        <v>0</v>
      </c>
      <c r="BG32" s="58">
        <f t="shared" si="26"/>
        <v>-13244.400000000001</v>
      </c>
      <c r="BH32" s="58">
        <f t="shared" si="27"/>
        <v>-975</v>
      </c>
      <c r="BI32" s="58">
        <f t="shared" si="28"/>
        <v>0</v>
      </c>
      <c r="BJ32" s="58">
        <f t="shared" si="29"/>
        <v>0</v>
      </c>
      <c r="BK32" s="58">
        <f t="shared" si="30"/>
        <v>56.55</v>
      </c>
      <c r="BL32" s="58">
        <f t="shared" si="31"/>
        <v>-14162.850000000002</v>
      </c>
      <c r="BM32" s="33">
        <f t="shared" si="32"/>
        <v>0</v>
      </c>
      <c r="BN32" s="33"/>
      <c r="BO32" s="293">
        <f t="shared" si="56"/>
        <v>0</v>
      </c>
      <c r="BP32" s="293">
        <f t="shared" si="57"/>
        <v>0</v>
      </c>
      <c r="BQ32" s="293">
        <f t="shared" si="58"/>
        <v>-3973.3199999999997</v>
      </c>
      <c r="BR32" s="293">
        <f t="shared" si="59"/>
        <v>-468</v>
      </c>
      <c r="BS32" s="293">
        <f t="shared" si="60"/>
        <v>0</v>
      </c>
      <c r="BT32" s="293">
        <f t="shared" si="61"/>
        <v>0</v>
      </c>
      <c r="BU32" s="293">
        <f t="shared" si="62"/>
        <v>56.55</v>
      </c>
      <c r="BV32" s="293">
        <f t="shared" si="9"/>
        <v>-4384.7699999999995</v>
      </c>
      <c r="BW32" s="293">
        <f t="shared" si="10"/>
        <v>0</v>
      </c>
      <c r="BX32" s="293">
        <v>0</v>
      </c>
      <c r="BY32" s="293">
        <v>0</v>
      </c>
      <c r="BZ32" s="293">
        <v>0</v>
      </c>
      <c r="CA32" s="293">
        <v>0</v>
      </c>
      <c r="CB32" s="293">
        <v>0</v>
      </c>
      <c r="CC32" s="293">
        <v>0</v>
      </c>
      <c r="CD32" s="293">
        <v>0</v>
      </c>
      <c r="CE32" s="293">
        <f t="shared" si="33"/>
        <v>0</v>
      </c>
      <c r="CF32" s="293"/>
      <c r="CG32" s="293">
        <v>0</v>
      </c>
      <c r="CH32" s="293">
        <v>0</v>
      </c>
      <c r="CI32" s="293">
        <v>25385.100000000002</v>
      </c>
      <c r="CJ32" s="293">
        <v>975</v>
      </c>
      <c r="CK32" s="293">
        <v>0</v>
      </c>
      <c r="CL32" s="293">
        <v>0</v>
      </c>
      <c r="CM32" s="293">
        <v>15.6</v>
      </c>
      <c r="CN32" s="293">
        <f t="shared" si="34"/>
        <v>26375.7</v>
      </c>
      <c r="CO32" s="293"/>
      <c r="CP32" s="58">
        <f t="shared" si="35"/>
        <v>0</v>
      </c>
      <c r="CQ32" s="223">
        <f t="shared" si="36"/>
        <v>0</v>
      </c>
      <c r="CR32" s="223">
        <f t="shared" si="37"/>
        <v>0</v>
      </c>
      <c r="CS32" s="223">
        <f t="shared" si="38"/>
        <v>585</v>
      </c>
      <c r="CT32" s="223">
        <f t="shared" si="39"/>
        <v>0</v>
      </c>
      <c r="CU32" s="223">
        <f t="shared" si="40"/>
        <v>0</v>
      </c>
      <c r="CV32" s="223">
        <f t="shared" si="41"/>
        <v>-40.949999999999996</v>
      </c>
      <c r="CW32" s="223">
        <f t="shared" si="42"/>
        <v>544.04999999999995</v>
      </c>
      <c r="CX32" s="223">
        <f t="shared" si="43"/>
        <v>0</v>
      </c>
      <c r="CY32" s="58">
        <f t="shared" si="44"/>
        <v>0</v>
      </c>
      <c r="CZ32" s="399">
        <f t="shared" si="45"/>
        <v>0</v>
      </c>
      <c r="DA32" s="399">
        <f t="shared" si="46"/>
        <v>5077.0200000000004</v>
      </c>
      <c r="DB32" s="399">
        <f t="shared" si="47"/>
        <v>663</v>
      </c>
      <c r="DC32" s="399">
        <f t="shared" si="48"/>
        <v>0</v>
      </c>
      <c r="DD32" s="399">
        <f t="shared" si="49"/>
        <v>0</v>
      </c>
      <c r="DE32" s="399">
        <f t="shared" si="50"/>
        <v>-29.64</v>
      </c>
      <c r="DF32" s="399">
        <f t="shared" si="51"/>
        <v>5710.38</v>
      </c>
      <c r="DG32" s="399">
        <f t="shared" si="52"/>
        <v>0</v>
      </c>
      <c r="DI32" s="399"/>
      <c r="DJ32" s="399"/>
      <c r="DK32" s="399"/>
      <c r="DL32" s="399"/>
      <c r="DM32" s="399"/>
      <c r="DN32" s="399"/>
      <c r="DO32" s="399"/>
      <c r="DP32" s="399"/>
      <c r="DQ32" s="399"/>
      <c r="DS32" s="399"/>
      <c r="DT32" s="399"/>
      <c r="DU32" s="399"/>
      <c r="DV32" s="399"/>
      <c r="DW32" s="399"/>
      <c r="DX32" s="399"/>
      <c r="DY32" s="399"/>
      <c r="DZ32" s="399"/>
      <c r="EB32" s="228">
        <f t="shared" si="53"/>
        <v>88975.43526315791</v>
      </c>
      <c r="EC32" s="228">
        <f t="shared" si="54"/>
        <v>0</v>
      </c>
      <c r="ED32" s="214">
        <f t="shared" si="55"/>
        <v>88975.43526315791</v>
      </c>
    </row>
    <row r="33" spans="1:134" hidden="1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3" t="str">
        <f>VLOOKUP(A33,'Summary Mar 2026'!$A$8:$F$207,6,FALSE)</f>
        <v>Chq Bk</v>
      </c>
      <c r="G33" s="33"/>
      <c r="H33" s="223">
        <v>0</v>
      </c>
      <c r="I33" s="294"/>
      <c r="J33" s="223">
        <v>0</v>
      </c>
      <c r="K33" s="223">
        <v>0</v>
      </c>
      <c r="L33" s="223">
        <v>0</v>
      </c>
      <c r="M33" s="223">
        <v>0</v>
      </c>
      <c r="N33" s="223">
        <v>0</v>
      </c>
      <c r="O33" s="223">
        <v>0</v>
      </c>
      <c r="P33" s="33">
        <f t="shared" si="13"/>
        <v>0</v>
      </c>
      <c r="Q33" s="223">
        <f t="shared" si="14"/>
        <v>0</v>
      </c>
      <c r="R33" s="294"/>
      <c r="S33" s="223">
        <v>0</v>
      </c>
      <c r="T33" s="223">
        <v>0</v>
      </c>
      <c r="U33" s="223">
        <v>0</v>
      </c>
      <c r="V33" s="223">
        <v>0</v>
      </c>
      <c r="W33" s="223">
        <v>0</v>
      </c>
      <c r="X33" s="223">
        <v>0</v>
      </c>
      <c r="Y33" s="223">
        <f t="shared" si="15"/>
        <v>0</v>
      </c>
      <c r="Z33" s="223">
        <f t="shared" si="16"/>
        <v>0</v>
      </c>
      <c r="AA33" s="294"/>
      <c r="AB33" s="398">
        <v>0</v>
      </c>
      <c r="AC33" s="398">
        <v>0</v>
      </c>
      <c r="AD33" s="398">
        <v>0</v>
      </c>
      <c r="AE33" s="398">
        <v>0</v>
      </c>
      <c r="AF33" s="398">
        <v>0</v>
      </c>
      <c r="AG33" s="398">
        <v>0</v>
      </c>
      <c r="AH33" s="223">
        <f t="shared" si="17"/>
        <v>0</v>
      </c>
      <c r="AI33" s="398">
        <f t="shared" si="18"/>
        <v>0</v>
      </c>
      <c r="AJ33" s="294"/>
      <c r="AK33" s="398">
        <v>0</v>
      </c>
      <c r="AL33" s="398">
        <v>0</v>
      </c>
      <c r="AM33" s="398">
        <v>0</v>
      </c>
      <c r="AN33" s="294"/>
      <c r="AO33" s="398">
        <f t="shared" si="19"/>
        <v>0</v>
      </c>
      <c r="AP33" s="398">
        <f t="shared" si="20"/>
        <v>0</v>
      </c>
      <c r="AQ33" s="398">
        <f t="shared" si="21"/>
        <v>0</v>
      </c>
      <c r="AR33" s="293"/>
      <c r="AS33" s="293">
        <v>0</v>
      </c>
      <c r="AT33" s="576">
        <f t="shared" si="22"/>
        <v>0</v>
      </c>
      <c r="AU33" s="293"/>
      <c r="AV33" s="293">
        <v>0</v>
      </c>
      <c r="AW33" s="293">
        <v>0</v>
      </c>
      <c r="AX33" s="293">
        <v>0</v>
      </c>
      <c r="AY33" s="293">
        <v>0</v>
      </c>
      <c r="AZ33" s="293">
        <v>0</v>
      </c>
      <c r="BA33" s="293">
        <v>0</v>
      </c>
      <c r="BB33" s="293">
        <v>0</v>
      </c>
      <c r="BC33" s="293">
        <f t="shared" si="23"/>
        <v>0</v>
      </c>
      <c r="BE33" s="58">
        <f t="shared" si="24"/>
        <v>0</v>
      </c>
      <c r="BF33" s="58">
        <f t="shared" si="25"/>
        <v>0</v>
      </c>
      <c r="BG33" s="58">
        <f t="shared" si="26"/>
        <v>0</v>
      </c>
      <c r="BH33" s="58">
        <f t="shared" si="27"/>
        <v>0</v>
      </c>
      <c r="BI33" s="58">
        <f t="shared" si="28"/>
        <v>0</v>
      </c>
      <c r="BJ33" s="58">
        <f t="shared" si="29"/>
        <v>0</v>
      </c>
      <c r="BK33" s="58">
        <f t="shared" si="30"/>
        <v>0</v>
      </c>
      <c r="BL33" s="58">
        <f t="shared" si="31"/>
        <v>0</v>
      </c>
      <c r="BM33" s="33">
        <f t="shared" si="32"/>
        <v>0</v>
      </c>
      <c r="BN33" s="33"/>
      <c r="BO33" s="293">
        <f t="shared" si="56"/>
        <v>0</v>
      </c>
      <c r="BP33" s="293">
        <f t="shared" si="57"/>
        <v>0</v>
      </c>
      <c r="BQ33" s="293">
        <f t="shared" si="58"/>
        <v>0</v>
      </c>
      <c r="BR33" s="293">
        <f t="shared" si="59"/>
        <v>0</v>
      </c>
      <c r="BS33" s="293">
        <f t="shared" si="60"/>
        <v>0</v>
      </c>
      <c r="BT33" s="293">
        <f t="shared" si="61"/>
        <v>0</v>
      </c>
      <c r="BU33" s="293">
        <f t="shared" si="62"/>
        <v>0</v>
      </c>
      <c r="BV33" s="293">
        <f t="shared" si="9"/>
        <v>0</v>
      </c>
      <c r="BW33" s="293">
        <f t="shared" si="10"/>
        <v>0</v>
      </c>
      <c r="BX33" s="293">
        <v>0</v>
      </c>
      <c r="BY33" s="293">
        <v>0</v>
      </c>
      <c r="BZ33" s="293">
        <v>0</v>
      </c>
      <c r="CA33" s="293">
        <v>0</v>
      </c>
      <c r="CB33" s="293">
        <v>0</v>
      </c>
      <c r="CC33" s="293">
        <v>0</v>
      </c>
      <c r="CD33" s="293">
        <v>0</v>
      </c>
      <c r="CE33" s="293">
        <f t="shared" si="33"/>
        <v>0</v>
      </c>
      <c r="CF33" s="293"/>
      <c r="CG33" s="293">
        <v>0</v>
      </c>
      <c r="CH33" s="293">
        <v>0</v>
      </c>
      <c r="CI33" s="293">
        <v>0</v>
      </c>
      <c r="CJ33" s="293">
        <v>0</v>
      </c>
      <c r="CK33" s="293">
        <v>0</v>
      </c>
      <c r="CL33" s="293">
        <v>0</v>
      </c>
      <c r="CM33" s="293">
        <v>0</v>
      </c>
      <c r="CN33" s="293">
        <f t="shared" si="34"/>
        <v>0</v>
      </c>
      <c r="CO33" s="293"/>
      <c r="CP33" s="58">
        <f t="shared" si="35"/>
        <v>0</v>
      </c>
      <c r="CQ33" s="223">
        <f t="shared" si="36"/>
        <v>0</v>
      </c>
      <c r="CR33" s="223">
        <f t="shared" si="37"/>
        <v>0</v>
      </c>
      <c r="CS33" s="223">
        <f t="shared" si="38"/>
        <v>0</v>
      </c>
      <c r="CT33" s="223">
        <f t="shared" si="39"/>
        <v>0</v>
      </c>
      <c r="CU33" s="223">
        <f t="shared" si="40"/>
        <v>0</v>
      </c>
      <c r="CV33" s="223">
        <f t="shared" si="41"/>
        <v>0</v>
      </c>
      <c r="CW33" s="223">
        <f t="shared" si="42"/>
        <v>0</v>
      </c>
      <c r="CX33" s="223">
        <f t="shared" si="43"/>
        <v>0</v>
      </c>
      <c r="CY33" s="58">
        <f t="shared" si="44"/>
        <v>0</v>
      </c>
      <c r="CZ33" s="399">
        <f t="shared" si="45"/>
        <v>0</v>
      </c>
      <c r="DA33" s="399">
        <f t="shared" si="46"/>
        <v>0</v>
      </c>
      <c r="DB33" s="399">
        <f t="shared" si="47"/>
        <v>0</v>
      </c>
      <c r="DC33" s="399">
        <f t="shared" si="48"/>
        <v>0</v>
      </c>
      <c r="DD33" s="399">
        <f t="shared" si="49"/>
        <v>0</v>
      </c>
      <c r="DE33" s="399">
        <f t="shared" si="50"/>
        <v>0</v>
      </c>
      <c r="DF33" s="399">
        <f t="shared" si="51"/>
        <v>0</v>
      </c>
      <c r="DG33" s="399">
        <f t="shared" si="52"/>
        <v>0</v>
      </c>
      <c r="DI33" s="399"/>
      <c r="DJ33" s="399"/>
      <c r="DK33" s="399"/>
      <c r="DL33" s="399"/>
      <c r="DM33" s="399"/>
      <c r="DN33" s="399"/>
      <c r="DO33" s="399"/>
      <c r="DP33" s="399"/>
      <c r="DQ33" s="399"/>
      <c r="DS33" s="399"/>
      <c r="DT33" s="399"/>
      <c r="DU33" s="399"/>
      <c r="DV33" s="399"/>
      <c r="DW33" s="399"/>
      <c r="DX33" s="399"/>
      <c r="DY33" s="399"/>
      <c r="DZ33" s="399"/>
      <c r="EB33" s="228">
        <f t="shared" si="53"/>
        <v>0</v>
      </c>
      <c r="EC33" s="228">
        <f t="shared" si="54"/>
        <v>0</v>
      </c>
      <c r="ED33" s="214">
        <f t="shared" si="55"/>
        <v>0</v>
      </c>
    </row>
    <row r="34" spans="1:134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3" t="str">
        <f>VLOOKUP(A34,'Summary Mar 2026'!$A$8:$F$207,6,FALSE)</f>
        <v>Chq Bk</v>
      </c>
      <c r="G34" s="33"/>
      <c r="H34" s="223">
        <v>317257.64521137776</v>
      </c>
      <c r="I34" s="294"/>
      <c r="J34" s="223">
        <v>0</v>
      </c>
      <c r="K34" s="223">
        <v>49783.5</v>
      </c>
      <c r="L34" s="223">
        <v>166658.70000000001</v>
      </c>
      <c r="M34" s="223">
        <v>11115</v>
      </c>
      <c r="N34" s="223">
        <v>3579.7894736842109</v>
      </c>
      <c r="O34" s="223">
        <v>2567.1578947368421</v>
      </c>
      <c r="P34" s="33">
        <f t="shared" si="13"/>
        <v>233704.14736842108</v>
      </c>
      <c r="Q34" s="223">
        <f t="shared" si="14"/>
        <v>186963.31789473689</v>
      </c>
      <c r="R34" s="294"/>
      <c r="S34" s="223">
        <v>0</v>
      </c>
      <c r="T34" s="223">
        <v>109523.7</v>
      </c>
      <c r="U34" s="223">
        <v>102644.1</v>
      </c>
      <c r="V34" s="223">
        <v>17550</v>
      </c>
      <c r="W34" s="223">
        <v>6637.5263157894742</v>
      </c>
      <c r="X34" s="223">
        <v>1925.3684210526317</v>
      </c>
      <c r="Y34" s="223">
        <f t="shared" si="15"/>
        <v>238280.6947368421</v>
      </c>
      <c r="Z34" s="223">
        <f t="shared" si="16"/>
        <v>190624.5557894737</v>
      </c>
      <c r="AA34" s="294"/>
      <c r="AB34" s="398">
        <v>0</v>
      </c>
      <c r="AC34" s="398">
        <v>63851.873684210528</v>
      </c>
      <c r="AD34" s="398">
        <v>124829.81052631579</v>
      </c>
      <c r="AE34" s="398">
        <v>12675.78947368421</v>
      </c>
      <c r="AF34" s="398">
        <v>3913.1301939058167</v>
      </c>
      <c r="AG34" s="398">
        <v>1870.8033240997231</v>
      </c>
      <c r="AH34" s="223">
        <f t="shared" si="17"/>
        <v>207141.40720221607</v>
      </c>
      <c r="AI34" s="398">
        <f t="shared" si="18"/>
        <v>165713.12576177286</v>
      </c>
      <c r="AJ34" s="294"/>
      <c r="AK34" s="398">
        <v>12376.65</v>
      </c>
      <c r="AL34" s="398">
        <v>9553.0499999999975</v>
      </c>
      <c r="AM34" s="398">
        <v>8881.5789473684199</v>
      </c>
      <c r="AN34" s="294"/>
      <c r="AO34" s="398">
        <f t="shared" si="19"/>
        <v>9901.32</v>
      </c>
      <c r="AP34" s="398">
        <f t="shared" si="20"/>
        <v>7642.4399999999987</v>
      </c>
      <c r="AQ34" s="398">
        <f t="shared" si="21"/>
        <v>7105.2631578947367</v>
      </c>
      <c r="AR34" s="293"/>
      <c r="AS34" s="293">
        <v>321128.5611417786</v>
      </c>
      <c r="AT34" s="576">
        <f t="shared" si="22"/>
        <v>3870.9159304008354</v>
      </c>
      <c r="AU34" s="293"/>
      <c r="AV34" s="293">
        <v>0</v>
      </c>
      <c r="AW34" s="293">
        <v>49783.5</v>
      </c>
      <c r="AX34" s="293">
        <v>171073.5</v>
      </c>
      <c r="AY34" s="293">
        <v>17160</v>
      </c>
      <c r="AZ34" s="293">
        <v>6562.9473684210525</v>
      </c>
      <c r="BA34" s="293">
        <v>2888.0099999999998</v>
      </c>
      <c r="BB34" s="293">
        <v>10360.35</v>
      </c>
      <c r="BC34" s="293">
        <f t="shared" si="23"/>
        <v>578956.86851019971</v>
      </c>
      <c r="BE34" s="58">
        <f t="shared" si="24"/>
        <v>0</v>
      </c>
      <c r="BF34" s="58">
        <f t="shared" si="25"/>
        <v>0</v>
      </c>
      <c r="BG34" s="58">
        <f t="shared" si="26"/>
        <v>4414.7999999999884</v>
      </c>
      <c r="BH34" s="58">
        <f t="shared" si="27"/>
        <v>6045</v>
      </c>
      <c r="BI34" s="58">
        <f t="shared" si="28"/>
        <v>2983.1578947368416</v>
      </c>
      <c r="BJ34" s="58">
        <f t="shared" si="29"/>
        <v>320.85210526315768</v>
      </c>
      <c r="BK34" s="58">
        <f t="shared" si="30"/>
        <v>-2016.2999999999993</v>
      </c>
      <c r="BL34" s="58">
        <f t="shared" si="31"/>
        <v>15618.425930400823</v>
      </c>
      <c r="BM34" s="33">
        <f t="shared" si="32"/>
        <v>0</v>
      </c>
      <c r="BN34" s="33"/>
      <c r="BO34" s="293">
        <f t="shared" si="56"/>
        <v>0</v>
      </c>
      <c r="BP34" s="293">
        <f t="shared" si="57"/>
        <v>9956.6999999999971</v>
      </c>
      <c r="BQ34" s="293">
        <f t="shared" si="58"/>
        <v>37746.539999999979</v>
      </c>
      <c r="BR34" s="293">
        <f t="shared" si="59"/>
        <v>8268</v>
      </c>
      <c r="BS34" s="293">
        <f t="shared" si="60"/>
        <v>3699.1157894736834</v>
      </c>
      <c r="BT34" s="293">
        <f t="shared" si="61"/>
        <v>834.28368421052619</v>
      </c>
      <c r="BU34" s="293">
        <f t="shared" si="62"/>
        <v>459.03000000000065</v>
      </c>
      <c r="BV34" s="293">
        <f t="shared" si="9"/>
        <v>64834.585404085017</v>
      </c>
      <c r="BW34" s="293">
        <f t="shared" si="10"/>
        <v>0</v>
      </c>
      <c r="BX34" s="293">
        <v>0</v>
      </c>
      <c r="BY34" s="293">
        <v>13275.599999999999</v>
      </c>
      <c r="BZ34" s="293">
        <v>0</v>
      </c>
      <c r="CA34" s="293">
        <v>0</v>
      </c>
      <c r="CB34" s="293">
        <v>1006.8157894736842</v>
      </c>
      <c r="CC34" s="293">
        <v>5553.99</v>
      </c>
      <c r="CD34" s="293">
        <v>2441.3999999999978</v>
      </c>
      <c r="CE34" s="293">
        <f t="shared" si="33"/>
        <v>22277.805789473681</v>
      </c>
      <c r="CF34" s="293"/>
      <c r="CG34" s="293">
        <v>0</v>
      </c>
      <c r="CH34" s="293">
        <v>69696.899999999994</v>
      </c>
      <c r="CI34" s="293">
        <v>131340.29999999999</v>
      </c>
      <c r="CJ34" s="293">
        <v>10530</v>
      </c>
      <c r="CK34" s="293">
        <v>1044.1599999999999</v>
      </c>
      <c r="CL34" s="293">
        <v>1876</v>
      </c>
      <c r="CM34" s="293">
        <v>13716.3</v>
      </c>
      <c r="CN34" s="293">
        <f t="shared" si="34"/>
        <v>228203.65999999997</v>
      </c>
      <c r="CO34" s="293"/>
      <c r="CP34" s="58">
        <f t="shared" si="35"/>
        <v>0</v>
      </c>
      <c r="CQ34" s="223">
        <f t="shared" si="36"/>
        <v>-39826.800000000003</v>
      </c>
      <c r="CR34" s="223">
        <f t="shared" si="37"/>
        <v>28696.199999999983</v>
      </c>
      <c r="CS34" s="223">
        <f t="shared" si="38"/>
        <v>-7020</v>
      </c>
      <c r="CT34" s="223">
        <f t="shared" si="39"/>
        <v>-5593.3663157894744</v>
      </c>
      <c r="CU34" s="223">
        <f t="shared" si="40"/>
        <v>-49.368421052631675</v>
      </c>
      <c r="CV34" s="223">
        <f t="shared" si="41"/>
        <v>4163.2500000000018</v>
      </c>
      <c r="CW34" s="223">
        <f t="shared" si="42"/>
        <v>-19630.084736842124</v>
      </c>
      <c r="CX34" s="223">
        <f t="shared" si="43"/>
        <v>0</v>
      </c>
      <c r="CY34" s="58">
        <f t="shared" si="44"/>
        <v>0</v>
      </c>
      <c r="CZ34" s="399">
        <f t="shared" si="45"/>
        <v>-17922.060000000012</v>
      </c>
      <c r="DA34" s="399">
        <f t="shared" si="46"/>
        <v>49225.019999999975</v>
      </c>
      <c r="DB34" s="399">
        <f t="shared" si="47"/>
        <v>-3510</v>
      </c>
      <c r="DC34" s="399">
        <f t="shared" si="48"/>
        <v>-4265.8610526315797</v>
      </c>
      <c r="DD34" s="399">
        <f t="shared" si="49"/>
        <v>335.70526315789448</v>
      </c>
      <c r="DE34" s="399">
        <f t="shared" si="50"/>
        <v>6073.8600000000006</v>
      </c>
      <c r="DF34" s="399">
        <f t="shared" si="51"/>
        <v>29936.66421052628</v>
      </c>
      <c r="DG34" s="399">
        <f t="shared" si="52"/>
        <v>0</v>
      </c>
      <c r="DI34" s="399"/>
      <c r="DJ34" s="399"/>
      <c r="DK34" s="399"/>
      <c r="DL34" s="399"/>
      <c r="DM34" s="399"/>
      <c r="DN34" s="399"/>
      <c r="DO34" s="399"/>
      <c r="DP34" s="399"/>
      <c r="DQ34" s="399"/>
      <c r="DS34" s="399"/>
      <c r="DT34" s="399"/>
      <c r="DU34" s="399"/>
      <c r="DV34" s="399"/>
      <c r="DW34" s="399"/>
      <c r="DX34" s="399"/>
      <c r="DY34" s="399"/>
      <c r="DZ34" s="399"/>
      <c r="EB34" s="228">
        <f t="shared" si="53"/>
        <v>990442.08056006115</v>
      </c>
      <c r="EC34" s="228">
        <f t="shared" si="54"/>
        <v>11814.642659279778</v>
      </c>
      <c r="ED34" s="214">
        <f t="shared" si="55"/>
        <v>1002256.7232193409</v>
      </c>
    </row>
    <row r="35" spans="1:134" hidden="1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3" t="str">
        <f>VLOOKUP(A35,'Summary Mar 2026'!$A$8:$F$207,6,FALSE)</f>
        <v>Chq Bk</v>
      </c>
      <c r="G35" s="33"/>
      <c r="H35" s="223">
        <v>0</v>
      </c>
      <c r="I35" s="294"/>
      <c r="J35" s="223">
        <v>0</v>
      </c>
      <c r="K35" s="223">
        <v>0</v>
      </c>
      <c r="L35" s="223">
        <v>0</v>
      </c>
      <c r="M35" s="223">
        <v>0</v>
      </c>
      <c r="N35" s="223">
        <v>0</v>
      </c>
      <c r="O35" s="223">
        <v>0</v>
      </c>
      <c r="P35" s="33">
        <f t="shared" si="13"/>
        <v>0</v>
      </c>
      <c r="Q35" s="223">
        <f t="shared" si="14"/>
        <v>0</v>
      </c>
      <c r="R35" s="294"/>
      <c r="S35" s="223">
        <v>0</v>
      </c>
      <c r="T35" s="223">
        <v>0</v>
      </c>
      <c r="U35" s="223">
        <v>0</v>
      </c>
      <c r="V35" s="223">
        <v>0</v>
      </c>
      <c r="W35" s="223">
        <v>0</v>
      </c>
      <c r="X35" s="223">
        <v>0</v>
      </c>
      <c r="Y35" s="223">
        <f t="shared" si="15"/>
        <v>0</v>
      </c>
      <c r="Z35" s="223">
        <f t="shared" si="16"/>
        <v>0</v>
      </c>
      <c r="AA35" s="294"/>
      <c r="AB35" s="398">
        <v>0</v>
      </c>
      <c r="AC35" s="398">
        <v>0</v>
      </c>
      <c r="AD35" s="398">
        <v>0</v>
      </c>
      <c r="AE35" s="398">
        <v>0</v>
      </c>
      <c r="AF35" s="398">
        <v>0</v>
      </c>
      <c r="AG35" s="398">
        <v>0</v>
      </c>
      <c r="AH35" s="223">
        <f t="shared" si="17"/>
        <v>0</v>
      </c>
      <c r="AI35" s="398">
        <f t="shared" si="18"/>
        <v>0</v>
      </c>
      <c r="AJ35" s="294"/>
      <c r="AK35" s="398">
        <v>0</v>
      </c>
      <c r="AL35" s="398">
        <v>0</v>
      </c>
      <c r="AM35" s="398">
        <v>0</v>
      </c>
      <c r="AN35" s="294"/>
      <c r="AO35" s="398">
        <f t="shared" si="19"/>
        <v>0</v>
      </c>
      <c r="AP35" s="398">
        <f t="shared" si="20"/>
        <v>0</v>
      </c>
      <c r="AQ35" s="398">
        <f t="shared" si="21"/>
        <v>0</v>
      </c>
      <c r="AR35" s="293"/>
      <c r="AS35" s="293">
        <v>0</v>
      </c>
      <c r="AT35" s="576">
        <f t="shared" si="22"/>
        <v>0</v>
      </c>
      <c r="AU35" s="293"/>
      <c r="AV35" s="293">
        <v>0</v>
      </c>
      <c r="AW35" s="293">
        <v>0</v>
      </c>
      <c r="AX35" s="293">
        <v>0</v>
      </c>
      <c r="AY35" s="293">
        <v>0</v>
      </c>
      <c r="AZ35" s="293">
        <v>0</v>
      </c>
      <c r="BA35" s="293">
        <v>0</v>
      </c>
      <c r="BB35" s="293">
        <v>0</v>
      </c>
      <c r="BC35" s="293">
        <f t="shared" si="23"/>
        <v>0</v>
      </c>
      <c r="BE35" s="58">
        <f t="shared" si="24"/>
        <v>0</v>
      </c>
      <c r="BF35" s="58">
        <f t="shared" si="25"/>
        <v>0</v>
      </c>
      <c r="BG35" s="58">
        <f t="shared" si="26"/>
        <v>0</v>
      </c>
      <c r="BH35" s="58">
        <f t="shared" si="27"/>
        <v>0</v>
      </c>
      <c r="BI35" s="58">
        <f t="shared" si="28"/>
        <v>0</v>
      </c>
      <c r="BJ35" s="58">
        <f t="shared" si="29"/>
        <v>0</v>
      </c>
      <c r="BK35" s="58">
        <f t="shared" si="30"/>
        <v>0</v>
      </c>
      <c r="BL35" s="58">
        <f t="shared" si="31"/>
        <v>0</v>
      </c>
      <c r="BM35" s="33">
        <f t="shared" si="32"/>
        <v>0</v>
      </c>
      <c r="BN35" s="33"/>
      <c r="BO35" s="293">
        <f t="shared" si="56"/>
        <v>0</v>
      </c>
      <c r="BP35" s="293">
        <f t="shared" si="57"/>
        <v>0</v>
      </c>
      <c r="BQ35" s="293">
        <f t="shared" si="58"/>
        <v>0</v>
      </c>
      <c r="BR35" s="293">
        <f t="shared" si="59"/>
        <v>0</v>
      </c>
      <c r="BS35" s="293">
        <f t="shared" si="60"/>
        <v>0</v>
      </c>
      <c r="BT35" s="293">
        <f t="shared" si="61"/>
        <v>0</v>
      </c>
      <c r="BU35" s="293">
        <f t="shared" si="62"/>
        <v>0</v>
      </c>
      <c r="BV35" s="293">
        <f t="shared" si="9"/>
        <v>0</v>
      </c>
      <c r="BW35" s="293">
        <f t="shared" si="10"/>
        <v>0</v>
      </c>
      <c r="BX35" s="293">
        <v>0</v>
      </c>
      <c r="BY35" s="293">
        <v>0</v>
      </c>
      <c r="BZ35" s="293">
        <v>0</v>
      </c>
      <c r="CA35" s="293">
        <v>0</v>
      </c>
      <c r="CB35" s="293">
        <v>0</v>
      </c>
      <c r="CC35" s="293">
        <v>0</v>
      </c>
      <c r="CD35" s="293">
        <v>0</v>
      </c>
      <c r="CE35" s="293">
        <f t="shared" si="33"/>
        <v>0</v>
      </c>
      <c r="CF35" s="293"/>
      <c r="CG35" s="293">
        <v>0</v>
      </c>
      <c r="CH35" s="293">
        <v>0</v>
      </c>
      <c r="CI35" s="293">
        <v>0</v>
      </c>
      <c r="CJ35" s="293">
        <v>0</v>
      </c>
      <c r="CK35" s="293">
        <v>0</v>
      </c>
      <c r="CL35" s="293">
        <v>0</v>
      </c>
      <c r="CM35" s="293">
        <v>0</v>
      </c>
      <c r="CN35" s="293">
        <f t="shared" si="34"/>
        <v>0</v>
      </c>
      <c r="CO35" s="293"/>
      <c r="CP35" s="58">
        <f t="shared" si="35"/>
        <v>0</v>
      </c>
      <c r="CQ35" s="223">
        <f t="shared" si="36"/>
        <v>0</v>
      </c>
      <c r="CR35" s="223">
        <f t="shared" si="37"/>
        <v>0</v>
      </c>
      <c r="CS35" s="223">
        <f t="shared" si="38"/>
        <v>0</v>
      </c>
      <c r="CT35" s="223">
        <f t="shared" si="39"/>
        <v>0</v>
      </c>
      <c r="CU35" s="223">
        <f t="shared" si="40"/>
        <v>0</v>
      </c>
      <c r="CV35" s="223">
        <f t="shared" si="41"/>
        <v>0</v>
      </c>
      <c r="CW35" s="223">
        <f t="shared" si="42"/>
        <v>0</v>
      </c>
      <c r="CX35" s="223">
        <f t="shared" si="43"/>
        <v>0</v>
      </c>
      <c r="CY35" s="58">
        <f t="shared" si="44"/>
        <v>0</v>
      </c>
      <c r="CZ35" s="399">
        <f t="shared" si="45"/>
        <v>0</v>
      </c>
      <c r="DA35" s="399">
        <f t="shared" si="46"/>
        <v>0</v>
      </c>
      <c r="DB35" s="399">
        <f t="shared" si="47"/>
        <v>0</v>
      </c>
      <c r="DC35" s="399">
        <f t="shared" si="48"/>
        <v>0</v>
      </c>
      <c r="DD35" s="399">
        <f t="shared" si="49"/>
        <v>0</v>
      </c>
      <c r="DE35" s="399">
        <f t="shared" si="50"/>
        <v>0</v>
      </c>
      <c r="DF35" s="399">
        <f t="shared" si="51"/>
        <v>0</v>
      </c>
      <c r="DG35" s="399">
        <f t="shared" si="52"/>
        <v>0</v>
      </c>
      <c r="DI35" s="399"/>
      <c r="DJ35" s="399"/>
      <c r="DK35" s="399"/>
      <c r="DL35" s="399"/>
      <c r="DM35" s="399"/>
      <c r="DN35" s="399"/>
      <c r="DO35" s="399"/>
      <c r="DP35" s="399"/>
      <c r="DQ35" s="399"/>
      <c r="DS35" s="399"/>
      <c r="DT35" s="399"/>
      <c r="DU35" s="399"/>
      <c r="DV35" s="399"/>
      <c r="DW35" s="399"/>
      <c r="DX35" s="399"/>
      <c r="DY35" s="399"/>
      <c r="DZ35" s="399"/>
      <c r="EB35" s="228">
        <f t="shared" si="53"/>
        <v>0</v>
      </c>
      <c r="EC35" s="228">
        <f t="shared" si="54"/>
        <v>0</v>
      </c>
      <c r="ED35" s="214">
        <f t="shared" si="55"/>
        <v>0</v>
      </c>
    </row>
    <row r="36" spans="1:134" hidden="1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3" t="str">
        <f>VLOOKUP(A36,'Summary Mar 2026'!$A$8:$F$207,6,FALSE)</f>
        <v>Chq Bk</v>
      </c>
      <c r="G36" s="33"/>
      <c r="H36" s="223">
        <v>0</v>
      </c>
      <c r="I36" s="294"/>
      <c r="J36" s="223">
        <v>0</v>
      </c>
      <c r="K36" s="223">
        <v>0</v>
      </c>
      <c r="L36" s="223">
        <v>0</v>
      </c>
      <c r="M36" s="223">
        <v>0</v>
      </c>
      <c r="N36" s="223">
        <v>0</v>
      </c>
      <c r="O36" s="223">
        <v>0</v>
      </c>
      <c r="P36" s="33">
        <f t="shared" si="13"/>
        <v>0</v>
      </c>
      <c r="Q36" s="223">
        <f t="shared" si="14"/>
        <v>0</v>
      </c>
      <c r="R36" s="294"/>
      <c r="S36" s="223">
        <v>0</v>
      </c>
      <c r="T36" s="223">
        <v>0</v>
      </c>
      <c r="U36" s="223">
        <v>0</v>
      </c>
      <c r="V36" s="223">
        <v>0</v>
      </c>
      <c r="W36" s="223">
        <v>0</v>
      </c>
      <c r="X36" s="223">
        <v>0</v>
      </c>
      <c r="Y36" s="223">
        <f t="shared" si="15"/>
        <v>0</v>
      </c>
      <c r="Z36" s="223">
        <f t="shared" si="16"/>
        <v>0</v>
      </c>
      <c r="AA36" s="294"/>
      <c r="AB36" s="398">
        <v>0</v>
      </c>
      <c r="AC36" s="398">
        <v>0</v>
      </c>
      <c r="AD36" s="398">
        <v>0</v>
      </c>
      <c r="AE36" s="398">
        <v>0</v>
      </c>
      <c r="AF36" s="398">
        <v>0</v>
      </c>
      <c r="AG36" s="398">
        <v>0</v>
      </c>
      <c r="AH36" s="223">
        <f t="shared" si="17"/>
        <v>0</v>
      </c>
      <c r="AI36" s="398">
        <f t="shared" si="18"/>
        <v>0</v>
      </c>
      <c r="AJ36" s="294"/>
      <c r="AK36" s="398">
        <v>0</v>
      </c>
      <c r="AL36" s="398">
        <v>0</v>
      </c>
      <c r="AM36" s="398">
        <v>0</v>
      </c>
      <c r="AN36" s="294"/>
      <c r="AO36" s="398">
        <f t="shared" si="19"/>
        <v>0</v>
      </c>
      <c r="AP36" s="398">
        <f t="shared" si="20"/>
        <v>0</v>
      </c>
      <c r="AQ36" s="398">
        <f t="shared" si="21"/>
        <v>0</v>
      </c>
      <c r="AR36" s="293"/>
      <c r="AS36" s="293">
        <v>0</v>
      </c>
      <c r="AT36" s="576">
        <f t="shared" si="22"/>
        <v>0</v>
      </c>
      <c r="AU36" s="293"/>
      <c r="AV36" s="293">
        <v>0</v>
      </c>
      <c r="AW36" s="293">
        <v>0</v>
      </c>
      <c r="AX36" s="293">
        <v>0</v>
      </c>
      <c r="AY36" s="293">
        <v>0</v>
      </c>
      <c r="AZ36" s="293">
        <v>0</v>
      </c>
      <c r="BA36" s="293">
        <v>0</v>
      </c>
      <c r="BB36" s="293">
        <v>0</v>
      </c>
      <c r="BC36" s="293">
        <f t="shared" si="23"/>
        <v>0</v>
      </c>
      <c r="BE36" s="58">
        <f t="shared" si="24"/>
        <v>0</v>
      </c>
      <c r="BF36" s="58">
        <f t="shared" si="25"/>
        <v>0</v>
      </c>
      <c r="BG36" s="58">
        <f t="shared" si="26"/>
        <v>0</v>
      </c>
      <c r="BH36" s="58">
        <f t="shared" si="27"/>
        <v>0</v>
      </c>
      <c r="BI36" s="58">
        <f t="shared" si="28"/>
        <v>0</v>
      </c>
      <c r="BJ36" s="58">
        <f t="shared" si="29"/>
        <v>0</v>
      </c>
      <c r="BK36" s="58">
        <f t="shared" si="30"/>
        <v>0</v>
      </c>
      <c r="BL36" s="58">
        <f t="shared" si="31"/>
        <v>0</v>
      </c>
      <c r="BM36" s="33">
        <f t="shared" si="32"/>
        <v>0</v>
      </c>
      <c r="BN36" s="33"/>
      <c r="BO36" s="293">
        <f t="shared" si="56"/>
        <v>0</v>
      </c>
      <c r="BP36" s="293">
        <f t="shared" si="57"/>
        <v>0</v>
      </c>
      <c r="BQ36" s="293">
        <f t="shared" si="58"/>
        <v>0</v>
      </c>
      <c r="BR36" s="293">
        <f t="shared" si="59"/>
        <v>0</v>
      </c>
      <c r="BS36" s="293">
        <f t="shared" si="60"/>
        <v>0</v>
      </c>
      <c r="BT36" s="293">
        <f t="shared" si="61"/>
        <v>0</v>
      </c>
      <c r="BU36" s="293">
        <f t="shared" si="62"/>
        <v>0</v>
      </c>
      <c r="BV36" s="293">
        <f t="shared" si="9"/>
        <v>0</v>
      </c>
      <c r="BW36" s="293">
        <f t="shared" si="10"/>
        <v>0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CM36" s="293"/>
      <c r="CN36" s="293"/>
      <c r="CO36" s="293"/>
      <c r="CP36" s="58">
        <f t="shared" si="35"/>
        <v>0</v>
      </c>
      <c r="CQ36" s="223">
        <f t="shared" si="36"/>
        <v>0</v>
      </c>
      <c r="CR36" s="223">
        <f t="shared" si="37"/>
        <v>0</v>
      </c>
      <c r="CS36" s="223">
        <f t="shared" si="38"/>
        <v>0</v>
      </c>
      <c r="CT36" s="223">
        <f t="shared" si="39"/>
        <v>0</v>
      </c>
      <c r="CU36" s="223">
        <f t="shared" si="40"/>
        <v>0</v>
      </c>
      <c r="CV36" s="223">
        <f t="shared" si="41"/>
        <v>0</v>
      </c>
      <c r="CW36" s="223">
        <f t="shared" si="42"/>
        <v>0</v>
      </c>
      <c r="CX36" s="223">
        <f t="shared" si="43"/>
        <v>0</v>
      </c>
      <c r="CY36" s="58">
        <f t="shared" si="44"/>
        <v>0</v>
      </c>
      <c r="CZ36" s="399">
        <f t="shared" si="45"/>
        <v>0</v>
      </c>
      <c r="DA36" s="399">
        <f t="shared" si="46"/>
        <v>0</v>
      </c>
      <c r="DB36" s="399">
        <f t="shared" si="47"/>
        <v>0</v>
      </c>
      <c r="DC36" s="399">
        <f t="shared" si="48"/>
        <v>0</v>
      </c>
      <c r="DD36" s="399">
        <f t="shared" si="49"/>
        <v>0</v>
      </c>
      <c r="DE36" s="399">
        <f t="shared" si="50"/>
        <v>0</v>
      </c>
      <c r="DF36" s="399">
        <f t="shared" si="51"/>
        <v>0</v>
      </c>
      <c r="DG36" s="399">
        <f t="shared" si="52"/>
        <v>0</v>
      </c>
      <c r="DI36" s="399"/>
      <c r="DJ36" s="399"/>
      <c r="DK36" s="399"/>
      <c r="DL36" s="399"/>
      <c r="DM36" s="399"/>
      <c r="DN36" s="399"/>
      <c r="DO36" s="399"/>
      <c r="DP36" s="399"/>
      <c r="DQ36" s="399"/>
      <c r="DS36" s="399"/>
      <c r="DT36" s="399"/>
      <c r="DU36" s="399"/>
      <c r="DV36" s="399"/>
      <c r="DW36" s="399"/>
      <c r="DX36" s="399"/>
      <c r="DY36" s="399"/>
      <c r="DZ36" s="399"/>
      <c r="EB36" s="228">
        <f t="shared" si="53"/>
        <v>0</v>
      </c>
      <c r="EC36" s="228">
        <f t="shared" si="54"/>
        <v>0</v>
      </c>
      <c r="ED36" s="214">
        <f t="shared" si="55"/>
        <v>0</v>
      </c>
    </row>
    <row r="37" spans="1:134" hidden="1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3" t="str">
        <f>VLOOKUP(A37,'Summary Mar 2026'!$A$8:$F$207,6,FALSE)</f>
        <v>Chq Bk</v>
      </c>
      <c r="G37" s="33"/>
      <c r="H37" s="223">
        <v>0</v>
      </c>
      <c r="I37" s="294"/>
      <c r="J37" s="223">
        <v>0</v>
      </c>
      <c r="K37" s="223">
        <v>0</v>
      </c>
      <c r="L37" s="223">
        <v>28696.2</v>
      </c>
      <c r="M37" s="223">
        <v>975</v>
      </c>
      <c r="N37" s="223">
        <v>0</v>
      </c>
      <c r="O37" s="223">
        <v>0</v>
      </c>
      <c r="P37" s="33">
        <f t="shared" si="13"/>
        <v>29671.200000000001</v>
      </c>
      <c r="Q37" s="223">
        <f t="shared" si="14"/>
        <v>23736.960000000003</v>
      </c>
      <c r="R37" s="294"/>
      <c r="S37" s="223">
        <v>0</v>
      </c>
      <c r="T37" s="223">
        <v>0</v>
      </c>
      <c r="U37" s="223">
        <v>27592.5</v>
      </c>
      <c r="V37" s="223">
        <v>585</v>
      </c>
      <c r="W37" s="223">
        <v>74.578947368421055</v>
      </c>
      <c r="X37" s="223">
        <v>0</v>
      </c>
      <c r="Y37" s="223">
        <f t="shared" si="15"/>
        <v>28252.07894736842</v>
      </c>
      <c r="Z37" s="223">
        <f t="shared" si="16"/>
        <v>22601.663157894738</v>
      </c>
      <c r="AA37" s="294"/>
      <c r="AB37" s="398">
        <v>0</v>
      </c>
      <c r="AC37" s="398">
        <v>0</v>
      </c>
      <c r="AD37" s="398">
        <v>24772.926315789478</v>
      </c>
      <c r="AE37" s="398">
        <v>682.10526315789468</v>
      </c>
      <c r="AF37" s="398">
        <v>21.739612188365648</v>
      </c>
      <c r="AG37" s="398">
        <v>0</v>
      </c>
      <c r="AH37" s="223">
        <f t="shared" si="17"/>
        <v>25476.771191135736</v>
      </c>
      <c r="AI37" s="398">
        <f t="shared" si="18"/>
        <v>20381.416952908592</v>
      </c>
      <c r="AJ37" s="294"/>
      <c r="AK37" s="398">
        <v>0</v>
      </c>
      <c r="AL37" s="398">
        <v>87.75</v>
      </c>
      <c r="AM37" s="398">
        <v>25.578947368421051</v>
      </c>
      <c r="AN37" s="294"/>
      <c r="AO37" s="398">
        <f t="shared" si="19"/>
        <v>0</v>
      </c>
      <c r="AP37" s="398">
        <f t="shared" si="20"/>
        <v>70.2</v>
      </c>
      <c r="AQ37" s="398">
        <f t="shared" si="21"/>
        <v>20.463157894736842</v>
      </c>
      <c r="AR37" s="293"/>
      <c r="AS37" s="293">
        <v>0</v>
      </c>
      <c r="AT37" s="576">
        <f t="shared" si="22"/>
        <v>0</v>
      </c>
      <c r="AU37" s="293"/>
      <c r="AV37" s="293">
        <v>0</v>
      </c>
      <c r="AW37" s="293">
        <v>0</v>
      </c>
      <c r="AX37" s="293">
        <v>28696.2</v>
      </c>
      <c r="AY37" s="293">
        <v>585</v>
      </c>
      <c r="AZ37" s="293">
        <v>149.15789473684211</v>
      </c>
      <c r="BA37" s="293">
        <v>0</v>
      </c>
      <c r="BB37" s="293">
        <v>87.75</v>
      </c>
      <c r="BC37" s="293">
        <f t="shared" si="23"/>
        <v>29518.107894736844</v>
      </c>
      <c r="BE37" s="58">
        <f t="shared" si="24"/>
        <v>0</v>
      </c>
      <c r="BF37" s="58">
        <f t="shared" si="25"/>
        <v>0</v>
      </c>
      <c r="BG37" s="58">
        <f t="shared" si="26"/>
        <v>0</v>
      </c>
      <c r="BH37" s="58">
        <f t="shared" si="27"/>
        <v>-390</v>
      </c>
      <c r="BI37" s="58">
        <f t="shared" si="28"/>
        <v>149.15789473684211</v>
      </c>
      <c r="BJ37" s="58">
        <f t="shared" si="29"/>
        <v>0</v>
      </c>
      <c r="BK37" s="58">
        <f t="shared" si="30"/>
        <v>87.75</v>
      </c>
      <c r="BL37" s="58">
        <f t="shared" si="31"/>
        <v>-153.09210526315789</v>
      </c>
      <c r="BM37" s="33">
        <f t="shared" si="32"/>
        <v>0</v>
      </c>
      <c r="BN37" s="33"/>
      <c r="BO37" s="293">
        <f t="shared" si="56"/>
        <v>0</v>
      </c>
      <c r="BP37" s="293">
        <f t="shared" si="57"/>
        <v>0</v>
      </c>
      <c r="BQ37" s="293">
        <f t="shared" si="58"/>
        <v>5739.239999999998</v>
      </c>
      <c r="BR37" s="293">
        <f t="shared" si="59"/>
        <v>-195</v>
      </c>
      <c r="BS37" s="293">
        <f t="shared" si="60"/>
        <v>149.15789473684211</v>
      </c>
      <c r="BT37" s="293">
        <f t="shared" si="61"/>
        <v>0</v>
      </c>
      <c r="BU37" s="293">
        <f t="shared" si="62"/>
        <v>87.75</v>
      </c>
      <c r="BV37" s="293">
        <f t="shared" si="9"/>
        <v>5781.1478947368405</v>
      </c>
      <c r="BW37" s="293">
        <f t="shared" si="10"/>
        <v>0</v>
      </c>
      <c r="BX37" s="293">
        <v>0</v>
      </c>
      <c r="BY37" s="293">
        <v>0</v>
      </c>
      <c r="BZ37" s="293">
        <v>0</v>
      </c>
      <c r="CA37" s="293">
        <v>0</v>
      </c>
      <c r="CB37" s="293">
        <v>0</v>
      </c>
      <c r="CC37" s="293">
        <v>0</v>
      </c>
      <c r="CD37" s="293">
        <v>0</v>
      </c>
      <c r="CE37" s="293">
        <f t="shared" si="33"/>
        <v>0</v>
      </c>
      <c r="CF37" s="293"/>
      <c r="CG37" s="293">
        <v>0</v>
      </c>
      <c r="CH37" s="293">
        <v>0</v>
      </c>
      <c r="CI37" s="293">
        <v>23177.7</v>
      </c>
      <c r="CJ37" s="293">
        <v>195</v>
      </c>
      <c r="CK37" s="293">
        <v>0</v>
      </c>
      <c r="CL37" s="293">
        <v>0</v>
      </c>
      <c r="CM37" s="293">
        <v>56.55</v>
      </c>
      <c r="CN37" s="293">
        <f t="shared" si="34"/>
        <v>23429.25</v>
      </c>
      <c r="CO37" s="293"/>
      <c r="CP37" s="58">
        <f t="shared" si="35"/>
        <v>0</v>
      </c>
      <c r="CQ37" s="223">
        <f t="shared" si="36"/>
        <v>0</v>
      </c>
      <c r="CR37" s="223">
        <f t="shared" si="37"/>
        <v>-4414.7999999999993</v>
      </c>
      <c r="CS37" s="223">
        <f t="shared" si="38"/>
        <v>-390</v>
      </c>
      <c r="CT37" s="223">
        <f t="shared" si="39"/>
        <v>-74.578947368421055</v>
      </c>
      <c r="CU37" s="223">
        <f t="shared" si="40"/>
        <v>0</v>
      </c>
      <c r="CV37" s="223">
        <f t="shared" si="41"/>
        <v>-31.200000000000003</v>
      </c>
      <c r="CW37" s="223">
        <f t="shared" si="42"/>
        <v>-4910.5789473684199</v>
      </c>
      <c r="CX37" s="223">
        <f t="shared" si="43"/>
        <v>0</v>
      </c>
      <c r="CY37" s="58">
        <f t="shared" si="44"/>
        <v>0</v>
      </c>
      <c r="CZ37" s="399">
        <f t="shared" si="45"/>
        <v>0</v>
      </c>
      <c r="DA37" s="399">
        <f t="shared" si="46"/>
        <v>1103.7000000000007</v>
      </c>
      <c r="DB37" s="399">
        <f t="shared" si="47"/>
        <v>-273</v>
      </c>
      <c r="DC37" s="399">
        <f t="shared" si="48"/>
        <v>-59.663157894736848</v>
      </c>
      <c r="DD37" s="399">
        <f t="shared" si="49"/>
        <v>0</v>
      </c>
      <c r="DE37" s="399">
        <f t="shared" si="50"/>
        <v>-13.650000000000006</v>
      </c>
      <c r="DF37" s="399">
        <f t="shared" si="51"/>
        <v>757.3868421052639</v>
      </c>
      <c r="DG37" s="399">
        <f t="shared" si="52"/>
        <v>0</v>
      </c>
      <c r="DI37" s="399"/>
      <c r="DJ37" s="399"/>
      <c r="DK37" s="399"/>
      <c r="DL37" s="399"/>
      <c r="DM37" s="399"/>
      <c r="DN37" s="399"/>
      <c r="DO37" s="399"/>
      <c r="DP37" s="399"/>
      <c r="DQ37" s="399"/>
      <c r="DS37" s="399"/>
      <c r="DT37" s="399"/>
      <c r="DU37" s="399"/>
      <c r="DV37" s="399"/>
      <c r="DW37" s="399"/>
      <c r="DX37" s="399"/>
      <c r="DY37" s="399"/>
      <c r="DZ37" s="399"/>
      <c r="EB37" s="228">
        <f t="shared" si="53"/>
        <v>73349.238005540174</v>
      </c>
      <c r="EC37" s="228">
        <f t="shared" si="54"/>
        <v>0</v>
      </c>
      <c r="ED37" s="214">
        <f t="shared" si="55"/>
        <v>73349.238005540174</v>
      </c>
    </row>
    <row r="38" spans="1:134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3" t="str">
        <f>VLOOKUP(A38,'Summary Mar 2026'!$A$8:$F$207,6,FALSE)</f>
        <v>Chq Bk</v>
      </c>
      <c r="G38" s="33"/>
      <c r="H38" s="223">
        <v>0</v>
      </c>
      <c r="I38" s="294"/>
      <c r="J38" s="223">
        <v>0</v>
      </c>
      <c r="K38" s="223">
        <v>0</v>
      </c>
      <c r="L38" s="223">
        <v>50770.2</v>
      </c>
      <c r="M38" s="223">
        <v>390</v>
      </c>
      <c r="N38" s="223">
        <v>149.15789473684211</v>
      </c>
      <c r="O38" s="223">
        <v>320.89473684210526</v>
      </c>
      <c r="P38" s="33">
        <f t="shared" si="13"/>
        <v>51630.252631578944</v>
      </c>
      <c r="Q38" s="223">
        <f t="shared" si="14"/>
        <v>41304.202105263161</v>
      </c>
      <c r="R38" s="294"/>
      <c r="S38" s="223">
        <v>0</v>
      </c>
      <c r="T38" s="223">
        <v>0</v>
      </c>
      <c r="U38" s="223">
        <v>49666.5</v>
      </c>
      <c r="V38" s="223">
        <v>390</v>
      </c>
      <c r="W38" s="223">
        <v>149.15789473684211</v>
      </c>
      <c r="X38" s="223">
        <v>0</v>
      </c>
      <c r="Y38" s="223">
        <f t="shared" si="15"/>
        <v>50205.65789473684</v>
      </c>
      <c r="Z38" s="223">
        <f t="shared" si="16"/>
        <v>40164.526315789473</v>
      </c>
      <c r="AA38" s="294"/>
      <c r="AB38" s="398">
        <v>0</v>
      </c>
      <c r="AC38" s="398">
        <v>0</v>
      </c>
      <c r="AD38" s="398">
        <v>43754.778947368424</v>
      </c>
      <c r="AE38" s="398">
        <v>284.21052631578948</v>
      </c>
      <c r="AF38" s="398">
        <v>108.69806094182825</v>
      </c>
      <c r="AG38" s="398">
        <v>93.54016620498615</v>
      </c>
      <c r="AH38" s="223">
        <f t="shared" si="17"/>
        <v>44241.227700831027</v>
      </c>
      <c r="AI38" s="398">
        <f t="shared" si="18"/>
        <v>35392.982160664826</v>
      </c>
      <c r="AJ38" s="294"/>
      <c r="AK38" s="398">
        <v>0</v>
      </c>
      <c r="AL38" s="398">
        <v>15.6</v>
      </c>
      <c r="AM38" s="398">
        <v>4.5473684210526315</v>
      </c>
      <c r="AN38" s="294"/>
      <c r="AO38" s="398">
        <f t="shared" si="19"/>
        <v>0</v>
      </c>
      <c r="AP38" s="398">
        <f t="shared" si="20"/>
        <v>12.48</v>
      </c>
      <c r="AQ38" s="398">
        <f t="shared" si="21"/>
        <v>3.6378947368421053</v>
      </c>
      <c r="AR38" s="293"/>
      <c r="AS38" s="293">
        <v>0</v>
      </c>
      <c r="AT38" s="576">
        <f t="shared" si="22"/>
        <v>0</v>
      </c>
      <c r="AU38" s="293"/>
      <c r="AV38" s="293">
        <v>0</v>
      </c>
      <c r="AW38" s="293">
        <v>0</v>
      </c>
      <c r="AX38" s="293">
        <v>49666.5</v>
      </c>
      <c r="AY38" s="293">
        <v>390</v>
      </c>
      <c r="AZ38" s="293">
        <v>149.15789473684211</v>
      </c>
      <c r="BA38" s="293">
        <v>0</v>
      </c>
      <c r="BB38" s="293">
        <v>15.6</v>
      </c>
      <c r="BC38" s="293">
        <f t="shared" si="23"/>
        <v>50221.257894736838</v>
      </c>
      <c r="BE38" s="58">
        <f t="shared" si="24"/>
        <v>0</v>
      </c>
      <c r="BF38" s="58">
        <f t="shared" si="25"/>
        <v>0</v>
      </c>
      <c r="BG38" s="58">
        <f t="shared" si="26"/>
        <v>-1103.6999999999971</v>
      </c>
      <c r="BH38" s="58">
        <f t="shared" si="27"/>
        <v>0</v>
      </c>
      <c r="BI38" s="58">
        <f t="shared" si="28"/>
        <v>0</v>
      </c>
      <c r="BJ38" s="58">
        <f t="shared" si="29"/>
        <v>-320.89473684210526</v>
      </c>
      <c r="BK38" s="58">
        <f t="shared" si="30"/>
        <v>15.6</v>
      </c>
      <c r="BL38" s="58">
        <f t="shared" si="31"/>
        <v>-1408.9947368421024</v>
      </c>
      <c r="BM38" s="33">
        <f t="shared" si="32"/>
        <v>0</v>
      </c>
      <c r="BN38" s="33"/>
      <c r="BO38" s="293">
        <f t="shared" si="56"/>
        <v>0</v>
      </c>
      <c r="BP38" s="293">
        <f t="shared" si="57"/>
        <v>0</v>
      </c>
      <c r="BQ38" s="293">
        <f t="shared" si="58"/>
        <v>9050.3399999999965</v>
      </c>
      <c r="BR38" s="293">
        <f t="shared" si="59"/>
        <v>78</v>
      </c>
      <c r="BS38" s="293">
        <f t="shared" si="60"/>
        <v>29.831578947368413</v>
      </c>
      <c r="BT38" s="293">
        <f t="shared" si="61"/>
        <v>-256.7157894736842</v>
      </c>
      <c r="BU38" s="293">
        <f t="shared" si="62"/>
        <v>15.6</v>
      </c>
      <c r="BV38" s="293">
        <f t="shared" si="9"/>
        <v>8917.0557894736812</v>
      </c>
      <c r="BW38" s="293">
        <f t="shared" si="10"/>
        <v>7.2759576141834259E-12</v>
      </c>
      <c r="BX38" s="293">
        <v>0</v>
      </c>
      <c r="BY38" s="293">
        <v>0</v>
      </c>
      <c r="BZ38" s="293">
        <v>0</v>
      </c>
      <c r="CA38" s="293">
        <v>0</v>
      </c>
      <c r="CB38" s="293">
        <v>223.73684210526315</v>
      </c>
      <c r="CC38" s="293">
        <v>0</v>
      </c>
      <c r="CD38" s="293">
        <v>0</v>
      </c>
      <c r="CE38" s="293">
        <f t="shared" si="33"/>
        <v>223.73684210526315</v>
      </c>
      <c r="CF38" s="293"/>
      <c r="CG38" s="293">
        <v>0</v>
      </c>
      <c r="CH38" s="293">
        <v>0</v>
      </c>
      <c r="CI38" s="293">
        <v>55185</v>
      </c>
      <c r="CJ38" s="293">
        <v>585</v>
      </c>
      <c r="CK38" s="293">
        <v>149.24</v>
      </c>
      <c r="CL38" s="293">
        <v>0</v>
      </c>
      <c r="CM38" s="293">
        <v>56.55</v>
      </c>
      <c r="CN38" s="293">
        <f t="shared" si="34"/>
        <v>55975.79</v>
      </c>
      <c r="CO38" s="293"/>
      <c r="CP38" s="58">
        <f t="shared" si="35"/>
        <v>0</v>
      </c>
      <c r="CQ38" s="223">
        <f t="shared" si="36"/>
        <v>0</v>
      </c>
      <c r="CR38" s="223">
        <f t="shared" si="37"/>
        <v>5518.5</v>
      </c>
      <c r="CS38" s="223">
        <f t="shared" si="38"/>
        <v>195</v>
      </c>
      <c r="CT38" s="223">
        <f t="shared" si="39"/>
        <v>8.2105263157899344E-2</v>
      </c>
      <c r="CU38" s="223">
        <f t="shared" si="40"/>
        <v>0</v>
      </c>
      <c r="CV38" s="223">
        <f t="shared" si="41"/>
        <v>40.949999999999996</v>
      </c>
      <c r="CW38" s="223">
        <f t="shared" si="42"/>
        <v>5754.532105263158</v>
      </c>
      <c r="CX38" s="223">
        <f t="shared" si="43"/>
        <v>0</v>
      </c>
      <c r="CY38" s="58">
        <f t="shared" si="44"/>
        <v>0</v>
      </c>
      <c r="CZ38" s="399">
        <f t="shared" si="45"/>
        <v>0</v>
      </c>
      <c r="DA38" s="399">
        <f t="shared" si="46"/>
        <v>15451.799999999996</v>
      </c>
      <c r="DB38" s="399">
        <f t="shared" si="47"/>
        <v>273</v>
      </c>
      <c r="DC38" s="399">
        <f t="shared" si="48"/>
        <v>29.913684210526313</v>
      </c>
      <c r="DD38" s="399">
        <f t="shared" si="49"/>
        <v>0</v>
      </c>
      <c r="DE38" s="399">
        <f t="shared" si="50"/>
        <v>44.069999999999993</v>
      </c>
      <c r="DF38" s="399">
        <f t="shared" si="51"/>
        <v>15798.783684210523</v>
      </c>
      <c r="DG38" s="399">
        <f t="shared" si="52"/>
        <v>0</v>
      </c>
      <c r="DI38" s="399"/>
      <c r="DJ38" s="399"/>
      <c r="DK38" s="399"/>
      <c r="DL38" s="399"/>
      <c r="DM38" s="399"/>
      <c r="DN38" s="399"/>
      <c r="DO38" s="399"/>
      <c r="DP38" s="399"/>
      <c r="DQ38" s="399"/>
      <c r="DS38" s="399"/>
      <c r="DT38" s="399"/>
      <c r="DU38" s="399"/>
      <c r="DV38" s="399"/>
      <c r="DW38" s="399"/>
      <c r="DX38" s="399"/>
      <c r="DY38" s="399"/>
      <c r="DZ38" s="399"/>
      <c r="EB38" s="228">
        <f t="shared" si="53"/>
        <v>141742.57265927977</v>
      </c>
      <c r="EC38" s="228">
        <f t="shared" si="54"/>
        <v>74.832132963988926</v>
      </c>
      <c r="ED38" s="214">
        <f t="shared" si="55"/>
        <v>141817.40479224376</v>
      </c>
    </row>
    <row r="39" spans="1:134" hidden="1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3" t="str">
        <f>VLOOKUP(A39,'Summary Mar 2026'!$A$8:$F$207,6,FALSE)</f>
        <v>Chq Bk</v>
      </c>
      <c r="G39" s="33"/>
      <c r="H39" s="223">
        <v>0</v>
      </c>
      <c r="I39" s="294"/>
      <c r="J39" s="223">
        <v>0</v>
      </c>
      <c r="K39" s="223">
        <v>0</v>
      </c>
      <c r="L39" s="223">
        <v>26488.799999999999</v>
      </c>
      <c r="M39" s="223">
        <v>2535</v>
      </c>
      <c r="N39" s="223">
        <v>969.52631578947376</v>
      </c>
      <c r="O39" s="223">
        <v>0</v>
      </c>
      <c r="P39" s="33">
        <f t="shared" si="13"/>
        <v>29993.326315789473</v>
      </c>
      <c r="Q39" s="223">
        <f t="shared" si="14"/>
        <v>23994.661052631578</v>
      </c>
      <c r="R39" s="294"/>
      <c r="S39" s="223">
        <v>0</v>
      </c>
      <c r="T39" s="223">
        <v>0</v>
      </c>
      <c r="U39" s="223">
        <v>12140.7</v>
      </c>
      <c r="V39" s="223">
        <v>975</v>
      </c>
      <c r="W39" s="223">
        <v>372.89473684210526</v>
      </c>
      <c r="X39" s="223">
        <v>0</v>
      </c>
      <c r="Y39" s="223">
        <f t="shared" si="15"/>
        <v>13488.594736842106</v>
      </c>
      <c r="Z39" s="223">
        <f t="shared" si="16"/>
        <v>10790.875789473685</v>
      </c>
      <c r="AA39" s="294"/>
      <c r="AB39" s="398">
        <v>0</v>
      </c>
      <c r="AC39" s="398">
        <v>0</v>
      </c>
      <c r="AD39" s="398">
        <v>18209.709473684208</v>
      </c>
      <c r="AE39" s="398">
        <v>1648.4210526315792</v>
      </c>
      <c r="AF39" s="398">
        <v>630.44875346260392</v>
      </c>
      <c r="AG39" s="398">
        <v>0</v>
      </c>
      <c r="AH39" s="223">
        <f t="shared" si="17"/>
        <v>20488.579279778391</v>
      </c>
      <c r="AI39" s="398">
        <f t="shared" si="18"/>
        <v>16390.863423822713</v>
      </c>
      <c r="AJ39" s="294"/>
      <c r="AK39" s="398">
        <v>2244.4500000000003</v>
      </c>
      <c r="AL39" s="398">
        <v>998.4</v>
      </c>
      <c r="AM39" s="398">
        <v>1532.8042105263157</v>
      </c>
      <c r="AN39" s="294"/>
      <c r="AO39" s="398">
        <f t="shared" si="19"/>
        <v>1795.5600000000004</v>
      </c>
      <c r="AP39" s="398">
        <f t="shared" si="20"/>
        <v>798.72</v>
      </c>
      <c r="AQ39" s="398">
        <f t="shared" si="21"/>
        <v>1226.2433684210525</v>
      </c>
      <c r="AR39" s="293"/>
      <c r="AS39" s="293">
        <v>0</v>
      </c>
      <c r="AT39" s="576">
        <f t="shared" si="22"/>
        <v>0</v>
      </c>
      <c r="AU39" s="293"/>
      <c r="AV39" s="293">
        <v>0</v>
      </c>
      <c r="AW39" s="293">
        <v>0</v>
      </c>
      <c r="AX39" s="293">
        <v>17659.2</v>
      </c>
      <c r="AY39" s="293">
        <v>1755</v>
      </c>
      <c r="AZ39" s="293">
        <v>671.21052631578948</v>
      </c>
      <c r="BA39" s="293">
        <v>0</v>
      </c>
      <c r="BB39" s="293">
        <v>1515.1499999999999</v>
      </c>
      <c r="BC39" s="293">
        <f t="shared" si="23"/>
        <v>21600.560526315792</v>
      </c>
      <c r="BE39" s="58">
        <f t="shared" si="24"/>
        <v>0</v>
      </c>
      <c r="BF39" s="58">
        <f t="shared" si="25"/>
        <v>0</v>
      </c>
      <c r="BG39" s="58">
        <f t="shared" si="26"/>
        <v>-8829.5999999999985</v>
      </c>
      <c r="BH39" s="58">
        <f t="shared" si="27"/>
        <v>-780</v>
      </c>
      <c r="BI39" s="58">
        <f t="shared" si="28"/>
        <v>-298.31578947368428</v>
      </c>
      <c r="BJ39" s="58">
        <f t="shared" si="29"/>
        <v>0</v>
      </c>
      <c r="BK39" s="58">
        <f t="shared" si="30"/>
        <v>-729.30000000000041</v>
      </c>
      <c r="BL39" s="58">
        <f t="shared" si="31"/>
        <v>-10637.215789473685</v>
      </c>
      <c r="BM39" s="33">
        <f t="shared" si="32"/>
        <v>0</v>
      </c>
      <c r="BN39" s="33"/>
      <c r="BO39" s="293">
        <f t="shared" si="56"/>
        <v>0</v>
      </c>
      <c r="BP39" s="293">
        <f t="shared" si="57"/>
        <v>0</v>
      </c>
      <c r="BQ39" s="293">
        <f t="shared" si="58"/>
        <v>-3531.84</v>
      </c>
      <c r="BR39" s="293">
        <f t="shared" si="59"/>
        <v>-273</v>
      </c>
      <c r="BS39" s="293">
        <f t="shared" si="60"/>
        <v>-104.41052631578953</v>
      </c>
      <c r="BT39" s="293">
        <f t="shared" si="61"/>
        <v>0</v>
      </c>
      <c r="BU39" s="293">
        <f t="shared" si="62"/>
        <v>-280.41000000000054</v>
      </c>
      <c r="BV39" s="293">
        <f t="shared" si="9"/>
        <v>-4189.6605263157899</v>
      </c>
      <c r="BW39" s="293">
        <f t="shared" si="10"/>
        <v>-3.637978807091713E-12</v>
      </c>
      <c r="BX39" s="293">
        <v>0</v>
      </c>
      <c r="BY39" s="293">
        <v>0</v>
      </c>
      <c r="BZ39" s="293">
        <v>0</v>
      </c>
      <c r="CA39" s="293">
        <v>0</v>
      </c>
      <c r="CB39" s="293">
        <v>0</v>
      </c>
      <c r="CC39" s="293">
        <v>0</v>
      </c>
      <c r="CD39" s="293">
        <v>0</v>
      </c>
      <c r="CE39" s="293">
        <f t="shared" si="33"/>
        <v>0</v>
      </c>
      <c r="CF39" s="293"/>
      <c r="CG39" s="293">
        <v>0</v>
      </c>
      <c r="CH39" s="293">
        <v>0</v>
      </c>
      <c r="CI39" s="293">
        <v>9933.3000000000011</v>
      </c>
      <c r="CJ39" s="293">
        <v>390</v>
      </c>
      <c r="CK39" s="293">
        <v>149.24</v>
      </c>
      <c r="CL39" s="293">
        <v>0</v>
      </c>
      <c r="CM39" s="293">
        <v>1070.55</v>
      </c>
      <c r="CN39" s="293">
        <f t="shared" si="34"/>
        <v>11543.09</v>
      </c>
      <c r="CO39" s="293"/>
      <c r="CP39" s="58">
        <f t="shared" si="35"/>
        <v>0</v>
      </c>
      <c r="CQ39" s="223">
        <f t="shared" si="36"/>
        <v>0</v>
      </c>
      <c r="CR39" s="223">
        <f t="shared" si="37"/>
        <v>-2207.3999999999996</v>
      </c>
      <c r="CS39" s="223">
        <f t="shared" si="38"/>
        <v>-585</v>
      </c>
      <c r="CT39" s="223">
        <f t="shared" si="39"/>
        <v>-223.65473684210525</v>
      </c>
      <c r="CU39" s="223">
        <f t="shared" si="40"/>
        <v>0</v>
      </c>
      <c r="CV39" s="223">
        <f t="shared" si="41"/>
        <v>72.149999999999977</v>
      </c>
      <c r="CW39" s="223">
        <f t="shared" si="42"/>
        <v>-2943.9047368421047</v>
      </c>
      <c r="CX39" s="223">
        <f t="shared" si="43"/>
        <v>0</v>
      </c>
      <c r="CY39" s="58">
        <f t="shared" si="44"/>
        <v>0</v>
      </c>
      <c r="CZ39" s="399">
        <f t="shared" si="45"/>
        <v>0</v>
      </c>
      <c r="DA39" s="399">
        <f t="shared" si="46"/>
        <v>220.73999999999978</v>
      </c>
      <c r="DB39" s="399">
        <f t="shared" si="47"/>
        <v>-390</v>
      </c>
      <c r="DC39" s="399">
        <f t="shared" si="48"/>
        <v>-149.07578947368421</v>
      </c>
      <c r="DD39" s="399">
        <f t="shared" si="49"/>
        <v>0</v>
      </c>
      <c r="DE39" s="399">
        <f t="shared" si="50"/>
        <v>271.82999999999993</v>
      </c>
      <c r="DF39" s="399">
        <f t="shared" si="51"/>
        <v>-46.505789473684501</v>
      </c>
      <c r="DG39" s="399">
        <f t="shared" si="52"/>
        <v>0</v>
      </c>
      <c r="DI39" s="399"/>
      <c r="DJ39" s="399"/>
      <c r="DK39" s="399"/>
      <c r="DL39" s="399"/>
      <c r="DM39" s="399"/>
      <c r="DN39" s="399"/>
      <c r="DO39" s="399"/>
      <c r="DP39" s="399"/>
      <c r="DQ39" s="399"/>
      <c r="DS39" s="399"/>
      <c r="DT39" s="399"/>
      <c r="DU39" s="399"/>
      <c r="DV39" s="399"/>
      <c r="DW39" s="399"/>
      <c r="DX39" s="399"/>
      <c r="DY39" s="399"/>
      <c r="DZ39" s="399"/>
      <c r="EB39" s="228">
        <f t="shared" si="53"/>
        <v>50760.757318559561</v>
      </c>
      <c r="EC39" s="228">
        <f t="shared" si="54"/>
        <v>0</v>
      </c>
      <c r="ED39" s="214">
        <f t="shared" si="55"/>
        <v>50760.757318559561</v>
      </c>
    </row>
    <row r="40" spans="1:134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3" t="str">
        <f>VLOOKUP(A40,'Summary Mar 2026'!$A$8:$F$207,6,FALSE)</f>
        <v>Chq Bk</v>
      </c>
      <c r="G40" s="33"/>
      <c r="H40" s="223">
        <v>0</v>
      </c>
      <c r="I40" s="294"/>
      <c r="J40" s="223">
        <v>0</v>
      </c>
      <c r="K40" s="223">
        <v>0</v>
      </c>
      <c r="L40" s="223">
        <v>48562.8</v>
      </c>
      <c r="M40" s="223">
        <v>3510</v>
      </c>
      <c r="N40" s="223">
        <v>1342.421052631579</v>
      </c>
      <c r="O40" s="223">
        <v>0</v>
      </c>
      <c r="P40" s="33">
        <f t="shared" si="13"/>
        <v>53415.221052631583</v>
      </c>
      <c r="Q40" s="223">
        <f t="shared" si="14"/>
        <v>42732.176842105269</v>
      </c>
      <c r="R40" s="294"/>
      <c r="S40" s="223">
        <v>0</v>
      </c>
      <c r="T40" s="223">
        <v>0</v>
      </c>
      <c r="U40" s="223">
        <v>46355.4</v>
      </c>
      <c r="V40" s="223">
        <v>3315</v>
      </c>
      <c r="W40" s="223">
        <v>1267.8421052631579</v>
      </c>
      <c r="X40" s="223">
        <v>0</v>
      </c>
      <c r="Y40" s="223">
        <f t="shared" si="15"/>
        <v>50938.242105263162</v>
      </c>
      <c r="Z40" s="223">
        <f t="shared" si="16"/>
        <v>40750.593684210529</v>
      </c>
      <c r="AA40" s="294"/>
      <c r="AB40" s="398">
        <v>0</v>
      </c>
      <c r="AC40" s="398">
        <v>0</v>
      </c>
      <c r="AD40" s="398">
        <v>41502.69473684211</v>
      </c>
      <c r="AE40" s="398">
        <v>2898.9473684210525</v>
      </c>
      <c r="AF40" s="398">
        <v>1108.720221606648</v>
      </c>
      <c r="AG40" s="398">
        <v>0</v>
      </c>
      <c r="AH40" s="223">
        <f t="shared" si="17"/>
        <v>45510.362326869814</v>
      </c>
      <c r="AI40" s="398">
        <f t="shared" si="18"/>
        <v>36408.289861495854</v>
      </c>
      <c r="AJ40" s="294"/>
      <c r="AK40" s="398">
        <v>2080.6499999999996</v>
      </c>
      <c r="AL40" s="398">
        <v>1774.5</v>
      </c>
      <c r="AM40" s="398">
        <v>1746.757894736842</v>
      </c>
      <c r="AN40" s="294"/>
      <c r="AO40" s="398">
        <f t="shared" si="19"/>
        <v>1664.5199999999998</v>
      </c>
      <c r="AP40" s="398">
        <f t="shared" si="20"/>
        <v>1419.6000000000001</v>
      </c>
      <c r="AQ40" s="398">
        <f t="shared" si="21"/>
        <v>1397.4063157894736</v>
      </c>
      <c r="AR40" s="293"/>
      <c r="AS40" s="293">
        <v>0</v>
      </c>
      <c r="AT40" s="576">
        <f t="shared" si="22"/>
        <v>0</v>
      </c>
      <c r="AU40" s="293"/>
      <c r="AV40" s="293">
        <v>0</v>
      </c>
      <c r="AW40" s="293">
        <v>0</v>
      </c>
      <c r="AX40" s="293">
        <v>49666.5</v>
      </c>
      <c r="AY40" s="293">
        <v>3900</v>
      </c>
      <c r="AZ40" s="293">
        <v>1491.578947368421</v>
      </c>
      <c r="BA40" s="293">
        <v>0</v>
      </c>
      <c r="BB40" s="293">
        <v>2068.9499999999998</v>
      </c>
      <c r="BC40" s="293">
        <f t="shared" si="23"/>
        <v>57127.028947368417</v>
      </c>
      <c r="BE40" s="58">
        <f t="shared" si="24"/>
        <v>0</v>
      </c>
      <c r="BF40" s="58">
        <f t="shared" si="25"/>
        <v>0</v>
      </c>
      <c r="BG40" s="58">
        <f t="shared" si="26"/>
        <v>1103.6999999999971</v>
      </c>
      <c r="BH40" s="58">
        <f t="shared" si="27"/>
        <v>390</v>
      </c>
      <c r="BI40" s="58">
        <f t="shared" si="28"/>
        <v>149.15789473684208</v>
      </c>
      <c r="BJ40" s="58">
        <f t="shared" si="29"/>
        <v>0</v>
      </c>
      <c r="BK40" s="58">
        <f t="shared" si="30"/>
        <v>-11.699999999999818</v>
      </c>
      <c r="BL40" s="58">
        <f t="shared" si="31"/>
        <v>1631.1578947368394</v>
      </c>
      <c r="BM40" s="33">
        <f t="shared" si="32"/>
        <v>0</v>
      </c>
      <c r="BN40" s="33"/>
      <c r="BO40" s="293">
        <f t="shared" si="56"/>
        <v>0</v>
      </c>
      <c r="BP40" s="293">
        <f t="shared" si="57"/>
        <v>0</v>
      </c>
      <c r="BQ40" s="293">
        <f t="shared" si="58"/>
        <v>10816.259999999995</v>
      </c>
      <c r="BR40" s="293">
        <f t="shared" si="59"/>
        <v>1092</v>
      </c>
      <c r="BS40" s="293">
        <f t="shared" si="60"/>
        <v>417.64210526315787</v>
      </c>
      <c r="BT40" s="293">
        <f t="shared" si="61"/>
        <v>0</v>
      </c>
      <c r="BU40" s="293">
        <f t="shared" si="62"/>
        <v>404.43000000000006</v>
      </c>
      <c r="BV40" s="293">
        <f t="shared" si="9"/>
        <v>12730.332105263153</v>
      </c>
      <c r="BW40" s="293">
        <f t="shared" si="10"/>
        <v>0</v>
      </c>
      <c r="BX40" s="293">
        <v>0</v>
      </c>
      <c r="BY40" s="293">
        <v>0</v>
      </c>
      <c r="BZ40" s="293">
        <v>0</v>
      </c>
      <c r="CA40" s="293">
        <v>0</v>
      </c>
      <c r="CB40" s="293">
        <v>559.34210526315815</v>
      </c>
      <c r="CC40" s="293">
        <v>0</v>
      </c>
      <c r="CD40" s="293">
        <v>577.19999999999982</v>
      </c>
      <c r="CE40" s="293">
        <f t="shared" si="33"/>
        <v>1136.542105263158</v>
      </c>
      <c r="CF40" s="293"/>
      <c r="CG40" s="293">
        <v>0</v>
      </c>
      <c r="CH40" s="293">
        <v>0</v>
      </c>
      <c r="CI40" s="293">
        <v>53198.34</v>
      </c>
      <c r="CJ40" s="293">
        <v>2730</v>
      </c>
      <c r="CK40" s="293">
        <v>1491.88</v>
      </c>
      <c r="CL40" s="293">
        <v>0</v>
      </c>
      <c r="CM40" s="293">
        <v>2651.9999999999995</v>
      </c>
      <c r="CN40" s="293">
        <f t="shared" si="34"/>
        <v>60072.219999999994</v>
      </c>
      <c r="CO40" s="293"/>
      <c r="CP40" s="58">
        <f t="shared" si="35"/>
        <v>0</v>
      </c>
      <c r="CQ40" s="223">
        <f t="shared" si="36"/>
        <v>0</v>
      </c>
      <c r="CR40" s="223">
        <f t="shared" si="37"/>
        <v>6842.9399999999951</v>
      </c>
      <c r="CS40" s="223">
        <f t="shared" si="38"/>
        <v>-585</v>
      </c>
      <c r="CT40" s="223">
        <f t="shared" si="39"/>
        <v>224.03789473684219</v>
      </c>
      <c r="CU40" s="223">
        <f t="shared" si="40"/>
        <v>0</v>
      </c>
      <c r="CV40" s="223">
        <f t="shared" si="41"/>
        <v>877.49999999999955</v>
      </c>
      <c r="CW40" s="223">
        <f t="shared" si="42"/>
        <v>7359.4778947368377</v>
      </c>
      <c r="CX40" s="223">
        <f t="shared" si="43"/>
        <v>0</v>
      </c>
      <c r="CY40" s="58">
        <f t="shared" si="44"/>
        <v>0</v>
      </c>
      <c r="CZ40" s="399">
        <f t="shared" si="45"/>
        <v>0</v>
      </c>
      <c r="DA40" s="399">
        <f t="shared" si="46"/>
        <v>16114.019999999997</v>
      </c>
      <c r="DB40" s="399">
        <f t="shared" si="47"/>
        <v>78</v>
      </c>
      <c r="DC40" s="399">
        <f t="shared" si="48"/>
        <v>477.60631578947368</v>
      </c>
      <c r="DD40" s="399">
        <f t="shared" si="49"/>
        <v>0</v>
      </c>
      <c r="DE40" s="399">
        <f t="shared" si="50"/>
        <v>1232.3999999999994</v>
      </c>
      <c r="DF40" s="399">
        <f t="shared" si="51"/>
        <v>17902.02631578947</v>
      </c>
      <c r="DG40" s="399">
        <f t="shared" si="52"/>
        <v>0</v>
      </c>
      <c r="DI40" s="399"/>
      <c r="DJ40" s="399"/>
      <c r="DK40" s="399"/>
      <c r="DL40" s="399"/>
      <c r="DM40" s="399"/>
      <c r="DN40" s="399"/>
      <c r="DO40" s="399"/>
      <c r="DP40" s="399"/>
      <c r="DQ40" s="399"/>
      <c r="DS40" s="399"/>
      <c r="DT40" s="399"/>
      <c r="DU40" s="399"/>
      <c r="DV40" s="399"/>
      <c r="DW40" s="399"/>
      <c r="DX40" s="399"/>
      <c r="DY40" s="399"/>
      <c r="DZ40" s="399"/>
      <c r="EB40" s="228">
        <f t="shared" si="53"/>
        <v>156141.48722991691</v>
      </c>
      <c r="EC40" s="228">
        <f t="shared" si="54"/>
        <v>0</v>
      </c>
      <c r="ED40" s="214">
        <f t="shared" si="55"/>
        <v>156141.48722991691</v>
      </c>
    </row>
    <row r="41" spans="1:134" hidden="1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3" t="str">
        <f>VLOOKUP(A41,'Summary Mar 2026'!$A$8:$F$207,6,FALSE)</f>
        <v>Chq Bk</v>
      </c>
      <c r="G41" s="33"/>
      <c r="H41" s="223">
        <v>0</v>
      </c>
      <c r="I41" s="294"/>
      <c r="J41" s="223">
        <v>0</v>
      </c>
      <c r="K41" s="223">
        <v>0</v>
      </c>
      <c r="L41" s="223">
        <v>0</v>
      </c>
      <c r="M41" s="223">
        <v>0</v>
      </c>
      <c r="N41" s="223">
        <v>0</v>
      </c>
      <c r="O41" s="223">
        <v>0</v>
      </c>
      <c r="P41" s="33">
        <f t="shared" si="13"/>
        <v>0</v>
      </c>
      <c r="Q41" s="223">
        <f t="shared" si="14"/>
        <v>0</v>
      </c>
      <c r="R41" s="294"/>
      <c r="S41" s="223">
        <v>0</v>
      </c>
      <c r="T41" s="223">
        <v>0</v>
      </c>
      <c r="U41" s="223">
        <v>0</v>
      </c>
      <c r="V41" s="223">
        <v>0</v>
      </c>
      <c r="W41" s="223">
        <v>0</v>
      </c>
      <c r="X41" s="223">
        <v>0</v>
      </c>
      <c r="Y41" s="223">
        <f t="shared" si="15"/>
        <v>0</v>
      </c>
      <c r="Z41" s="223">
        <f t="shared" si="16"/>
        <v>0</v>
      </c>
      <c r="AA41" s="294"/>
      <c r="AB41" s="398">
        <v>0</v>
      </c>
      <c r="AC41" s="398">
        <v>0</v>
      </c>
      <c r="AD41" s="398">
        <v>0</v>
      </c>
      <c r="AE41" s="398">
        <v>0</v>
      </c>
      <c r="AF41" s="398">
        <v>0</v>
      </c>
      <c r="AG41" s="398">
        <v>0</v>
      </c>
      <c r="AH41" s="223">
        <f t="shared" si="17"/>
        <v>0</v>
      </c>
      <c r="AI41" s="398">
        <f t="shared" si="18"/>
        <v>0</v>
      </c>
      <c r="AJ41" s="294"/>
      <c r="AK41" s="398">
        <v>0</v>
      </c>
      <c r="AL41" s="398">
        <v>0</v>
      </c>
      <c r="AM41" s="398">
        <v>0</v>
      </c>
      <c r="AN41" s="294"/>
      <c r="AO41" s="398">
        <f t="shared" si="19"/>
        <v>0</v>
      </c>
      <c r="AP41" s="398">
        <f t="shared" si="20"/>
        <v>0</v>
      </c>
      <c r="AQ41" s="398">
        <f t="shared" si="21"/>
        <v>0</v>
      </c>
      <c r="AR41" s="293"/>
      <c r="AS41" s="293">
        <v>0</v>
      </c>
      <c r="AT41" s="576">
        <f t="shared" si="22"/>
        <v>0</v>
      </c>
      <c r="AU41" s="293"/>
      <c r="AV41" s="293">
        <v>0</v>
      </c>
      <c r="AW41" s="293">
        <v>0</v>
      </c>
      <c r="AX41" s="293">
        <v>0</v>
      </c>
      <c r="AY41" s="293">
        <v>0</v>
      </c>
      <c r="AZ41" s="293">
        <v>0</v>
      </c>
      <c r="BA41" s="293">
        <v>0</v>
      </c>
      <c r="BB41" s="293">
        <v>0</v>
      </c>
      <c r="BC41" s="293">
        <f t="shared" si="23"/>
        <v>0</v>
      </c>
      <c r="BE41" s="58">
        <f t="shared" si="24"/>
        <v>0</v>
      </c>
      <c r="BF41" s="58">
        <f t="shared" si="25"/>
        <v>0</v>
      </c>
      <c r="BG41" s="58">
        <f t="shared" si="26"/>
        <v>0</v>
      </c>
      <c r="BH41" s="58">
        <f t="shared" si="27"/>
        <v>0</v>
      </c>
      <c r="BI41" s="58">
        <f t="shared" si="28"/>
        <v>0</v>
      </c>
      <c r="BJ41" s="58">
        <f t="shared" si="29"/>
        <v>0</v>
      </c>
      <c r="BK41" s="58">
        <f t="shared" si="30"/>
        <v>0</v>
      </c>
      <c r="BL41" s="58">
        <f t="shared" si="31"/>
        <v>0</v>
      </c>
      <c r="BM41" s="33">
        <f t="shared" si="32"/>
        <v>0</v>
      </c>
      <c r="BN41" s="33"/>
      <c r="BO41" s="293">
        <f t="shared" si="56"/>
        <v>0</v>
      </c>
      <c r="BP41" s="293">
        <f t="shared" si="57"/>
        <v>0</v>
      </c>
      <c r="BQ41" s="293">
        <f t="shared" si="58"/>
        <v>0</v>
      </c>
      <c r="BR41" s="293">
        <f t="shared" si="59"/>
        <v>0</v>
      </c>
      <c r="BS41" s="293">
        <f t="shared" si="60"/>
        <v>0</v>
      </c>
      <c r="BT41" s="293">
        <f t="shared" si="61"/>
        <v>0</v>
      </c>
      <c r="BU41" s="293">
        <f t="shared" si="62"/>
        <v>0</v>
      </c>
      <c r="BV41" s="293">
        <f t="shared" si="9"/>
        <v>0</v>
      </c>
      <c r="BW41" s="293">
        <f t="shared" si="10"/>
        <v>0</v>
      </c>
      <c r="BX41" s="293">
        <v>0</v>
      </c>
      <c r="BY41" s="293">
        <v>0</v>
      </c>
      <c r="BZ41" s="293">
        <v>0</v>
      </c>
      <c r="CA41" s="293">
        <v>0</v>
      </c>
      <c r="CB41" s="293">
        <v>0</v>
      </c>
      <c r="CC41" s="293">
        <v>0</v>
      </c>
      <c r="CD41" s="293">
        <v>0</v>
      </c>
      <c r="CE41" s="293">
        <f t="shared" si="33"/>
        <v>0</v>
      </c>
      <c r="CF41" s="293"/>
      <c r="CG41" s="293">
        <v>0</v>
      </c>
      <c r="CH41" s="293">
        <v>0</v>
      </c>
      <c r="CI41" s="293">
        <v>0</v>
      </c>
      <c r="CJ41" s="293">
        <v>0</v>
      </c>
      <c r="CK41" s="293">
        <v>0</v>
      </c>
      <c r="CL41" s="293">
        <v>0</v>
      </c>
      <c r="CM41" s="293">
        <v>0</v>
      </c>
      <c r="CN41" s="293">
        <f t="shared" si="34"/>
        <v>0</v>
      </c>
      <c r="CO41" s="293"/>
      <c r="CP41" s="58">
        <f t="shared" si="35"/>
        <v>0</v>
      </c>
      <c r="CQ41" s="223">
        <f t="shared" si="36"/>
        <v>0</v>
      </c>
      <c r="CR41" s="223">
        <f t="shared" si="37"/>
        <v>0</v>
      </c>
      <c r="CS41" s="223">
        <f t="shared" si="38"/>
        <v>0</v>
      </c>
      <c r="CT41" s="223">
        <f t="shared" si="39"/>
        <v>0</v>
      </c>
      <c r="CU41" s="223">
        <f t="shared" si="40"/>
        <v>0</v>
      </c>
      <c r="CV41" s="223">
        <f t="shared" si="41"/>
        <v>0</v>
      </c>
      <c r="CW41" s="223">
        <f t="shared" si="42"/>
        <v>0</v>
      </c>
      <c r="CX41" s="223">
        <f t="shared" si="43"/>
        <v>0</v>
      </c>
      <c r="CY41" s="58">
        <f t="shared" si="44"/>
        <v>0</v>
      </c>
      <c r="CZ41" s="399">
        <f t="shared" si="45"/>
        <v>0</v>
      </c>
      <c r="DA41" s="399">
        <f t="shared" si="46"/>
        <v>0</v>
      </c>
      <c r="DB41" s="399">
        <f t="shared" si="47"/>
        <v>0</v>
      </c>
      <c r="DC41" s="399">
        <f t="shared" si="48"/>
        <v>0</v>
      </c>
      <c r="DD41" s="399">
        <f t="shared" si="49"/>
        <v>0</v>
      </c>
      <c r="DE41" s="399">
        <f t="shared" si="50"/>
        <v>0</v>
      </c>
      <c r="DF41" s="399">
        <f t="shared" si="51"/>
        <v>0</v>
      </c>
      <c r="DG41" s="399">
        <f t="shared" si="52"/>
        <v>0</v>
      </c>
      <c r="DI41" s="399"/>
      <c r="DJ41" s="399"/>
      <c r="DK41" s="399"/>
      <c r="DL41" s="399"/>
      <c r="DM41" s="399"/>
      <c r="DN41" s="399"/>
      <c r="DO41" s="399"/>
      <c r="DP41" s="399"/>
      <c r="DQ41" s="399"/>
      <c r="DS41" s="399"/>
      <c r="DT41" s="399"/>
      <c r="DU41" s="399"/>
      <c r="DV41" s="399"/>
      <c r="DW41" s="399"/>
      <c r="DX41" s="399"/>
      <c r="DY41" s="399"/>
      <c r="DZ41" s="399"/>
      <c r="EB41" s="228">
        <f t="shared" si="53"/>
        <v>0</v>
      </c>
      <c r="EC41" s="228">
        <f t="shared" si="54"/>
        <v>0</v>
      </c>
      <c r="ED41" s="214">
        <f t="shared" si="55"/>
        <v>0</v>
      </c>
    </row>
    <row r="42" spans="1:134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3" t="str">
        <f>VLOOKUP(A42,'Summary Mar 2026'!$A$8:$F$207,6,FALSE)</f>
        <v>Chq Bk</v>
      </c>
      <c r="G42" s="33"/>
      <c r="H42" s="223">
        <v>0</v>
      </c>
      <c r="I42" s="294"/>
      <c r="J42" s="223">
        <v>0</v>
      </c>
      <c r="K42" s="223">
        <v>0</v>
      </c>
      <c r="L42" s="223">
        <v>114784.8</v>
      </c>
      <c r="M42" s="223">
        <v>4680</v>
      </c>
      <c r="N42" s="223">
        <v>0</v>
      </c>
      <c r="O42" s="223">
        <v>641.78947368421052</v>
      </c>
      <c r="P42" s="33">
        <f t="shared" si="13"/>
        <v>120106.58947368422</v>
      </c>
      <c r="Q42" s="223">
        <f t="shared" si="14"/>
        <v>96085.271578947373</v>
      </c>
      <c r="R42" s="294"/>
      <c r="S42" s="223">
        <v>0</v>
      </c>
      <c r="T42" s="223">
        <v>0</v>
      </c>
      <c r="U42" s="223">
        <v>70636.800000000003</v>
      </c>
      <c r="V42" s="223">
        <v>2600</v>
      </c>
      <c r="W42" s="223">
        <v>74.578947368421055</v>
      </c>
      <c r="X42" s="223">
        <v>0</v>
      </c>
      <c r="Y42" s="223">
        <f t="shared" si="15"/>
        <v>73311.37894736843</v>
      </c>
      <c r="Z42" s="223">
        <f t="shared" si="16"/>
        <v>58649.103157894744</v>
      </c>
      <c r="AA42" s="294"/>
      <c r="AB42" s="398">
        <v>0</v>
      </c>
      <c r="AC42" s="398">
        <v>0</v>
      </c>
      <c r="AD42" s="398">
        <v>82040.210526315772</v>
      </c>
      <c r="AE42" s="398">
        <v>3296.8421052631584</v>
      </c>
      <c r="AF42" s="398">
        <v>21.739612188365648</v>
      </c>
      <c r="AG42" s="398">
        <v>5460</v>
      </c>
      <c r="AH42" s="223">
        <f t="shared" si="17"/>
        <v>90818.792243767297</v>
      </c>
      <c r="AI42" s="398">
        <f t="shared" si="18"/>
        <v>72655.033795013835</v>
      </c>
      <c r="AJ42" s="294"/>
      <c r="AK42" s="398">
        <v>6405.7499999999991</v>
      </c>
      <c r="AL42" s="398">
        <v>4529.8499999999995</v>
      </c>
      <c r="AM42" s="398">
        <v>4853.1789473684203</v>
      </c>
      <c r="AN42" s="294"/>
      <c r="AO42" s="398">
        <f t="shared" si="19"/>
        <v>5124.5999999999995</v>
      </c>
      <c r="AP42" s="398">
        <f t="shared" si="20"/>
        <v>3623.8799999999997</v>
      </c>
      <c r="AQ42" s="398">
        <f t="shared" si="21"/>
        <v>3882.5431578947364</v>
      </c>
      <c r="AR42" s="293"/>
      <c r="AS42" s="293">
        <v>0</v>
      </c>
      <c r="AT42" s="576">
        <f t="shared" si="22"/>
        <v>0</v>
      </c>
      <c r="AU42" s="293"/>
      <c r="AV42" s="293">
        <v>0</v>
      </c>
      <c r="AW42" s="293">
        <v>0</v>
      </c>
      <c r="AX42" s="293">
        <v>104682.26600000002</v>
      </c>
      <c r="AY42" s="293">
        <v>6240</v>
      </c>
      <c r="AZ42" s="293">
        <v>0</v>
      </c>
      <c r="BA42" s="293">
        <v>0</v>
      </c>
      <c r="BB42" s="293">
        <v>6398.6389999999992</v>
      </c>
      <c r="BC42" s="293">
        <f t="shared" si="23"/>
        <v>117320.90500000001</v>
      </c>
      <c r="BE42" s="58">
        <f t="shared" si="24"/>
        <v>0</v>
      </c>
      <c r="BF42" s="58">
        <f t="shared" si="25"/>
        <v>0</v>
      </c>
      <c r="BG42" s="58">
        <f t="shared" si="26"/>
        <v>-10102.533999999985</v>
      </c>
      <c r="BH42" s="58">
        <f t="shared" si="27"/>
        <v>1560</v>
      </c>
      <c r="BI42" s="58">
        <f t="shared" si="28"/>
        <v>0</v>
      </c>
      <c r="BJ42" s="58">
        <f t="shared" si="29"/>
        <v>-641.78947368421052</v>
      </c>
      <c r="BK42" s="58">
        <f t="shared" si="30"/>
        <v>-7.1109999999998763</v>
      </c>
      <c r="BL42" s="58">
        <f t="shared" si="31"/>
        <v>-9191.4344736841958</v>
      </c>
      <c r="BM42" s="33">
        <f t="shared" si="32"/>
        <v>0</v>
      </c>
      <c r="BN42" s="33"/>
      <c r="BO42" s="293">
        <f t="shared" si="56"/>
        <v>0</v>
      </c>
      <c r="BP42" s="293">
        <f t="shared" si="57"/>
        <v>0</v>
      </c>
      <c r="BQ42" s="293">
        <f t="shared" si="58"/>
        <v>12854.426000000007</v>
      </c>
      <c r="BR42" s="293">
        <f t="shared" si="59"/>
        <v>2496</v>
      </c>
      <c r="BS42" s="293">
        <f t="shared" si="60"/>
        <v>0</v>
      </c>
      <c r="BT42" s="293">
        <f t="shared" si="61"/>
        <v>-513.43157894736839</v>
      </c>
      <c r="BU42" s="293">
        <f t="shared" si="62"/>
        <v>1274.0389999999998</v>
      </c>
      <c r="BV42" s="293">
        <f t="shared" si="9"/>
        <v>16111.033421052638</v>
      </c>
      <c r="BW42" s="293">
        <f t="shared" si="10"/>
        <v>0</v>
      </c>
      <c r="BX42" s="293">
        <v>0</v>
      </c>
      <c r="BY42" s="293">
        <v>0</v>
      </c>
      <c r="BZ42" s="293">
        <v>0</v>
      </c>
      <c r="CA42" s="293">
        <v>0</v>
      </c>
      <c r="CB42" s="293">
        <v>0</v>
      </c>
      <c r="CC42" s="293">
        <v>0</v>
      </c>
      <c r="CD42" s="293">
        <v>401.70000000000073</v>
      </c>
      <c r="CE42" s="293">
        <f t="shared" si="33"/>
        <v>401.70000000000073</v>
      </c>
      <c r="CF42" s="293"/>
      <c r="CG42" s="293">
        <v>0</v>
      </c>
      <c r="CH42" s="293">
        <v>0</v>
      </c>
      <c r="CI42" s="293">
        <v>53073.254000000001</v>
      </c>
      <c r="CJ42" s="293">
        <v>2145</v>
      </c>
      <c r="CK42" s="293">
        <v>410.28</v>
      </c>
      <c r="CL42" s="293">
        <v>0</v>
      </c>
      <c r="CM42" s="293">
        <v>3694.3009999999999</v>
      </c>
      <c r="CN42" s="293">
        <f t="shared" si="34"/>
        <v>59322.834999999999</v>
      </c>
      <c r="CO42" s="293"/>
      <c r="CP42" s="58">
        <f t="shared" si="35"/>
        <v>0</v>
      </c>
      <c r="CQ42" s="223">
        <f t="shared" si="36"/>
        <v>0</v>
      </c>
      <c r="CR42" s="223">
        <f t="shared" si="37"/>
        <v>-17563.546000000002</v>
      </c>
      <c r="CS42" s="223">
        <f t="shared" si="38"/>
        <v>-455</v>
      </c>
      <c r="CT42" s="223">
        <f t="shared" si="39"/>
        <v>335.70105263157893</v>
      </c>
      <c r="CU42" s="223">
        <f t="shared" si="40"/>
        <v>0</v>
      </c>
      <c r="CV42" s="223">
        <f t="shared" si="41"/>
        <v>-835.54899999999952</v>
      </c>
      <c r="CW42" s="223">
        <f t="shared" si="42"/>
        <v>-18518.393947368422</v>
      </c>
      <c r="CX42" s="223">
        <f t="shared" si="43"/>
        <v>0</v>
      </c>
      <c r="CY42" s="58">
        <f t="shared" si="44"/>
        <v>0</v>
      </c>
      <c r="CZ42" s="399">
        <f t="shared" si="45"/>
        <v>0</v>
      </c>
      <c r="DA42" s="399">
        <f t="shared" si="46"/>
        <v>-3436.1860000000015</v>
      </c>
      <c r="DB42" s="399">
        <f t="shared" si="47"/>
        <v>65</v>
      </c>
      <c r="DC42" s="399">
        <f t="shared" si="48"/>
        <v>350.61684210526312</v>
      </c>
      <c r="DD42" s="399">
        <f t="shared" si="49"/>
        <v>0</v>
      </c>
      <c r="DE42" s="399">
        <f t="shared" si="50"/>
        <v>70.421000000000276</v>
      </c>
      <c r="DF42" s="399">
        <f t="shared" si="51"/>
        <v>-2950.1481578947382</v>
      </c>
      <c r="DG42" s="399">
        <f t="shared" si="52"/>
        <v>0</v>
      </c>
      <c r="DI42" s="399"/>
      <c r="DJ42" s="399"/>
      <c r="DK42" s="399"/>
      <c r="DL42" s="399"/>
      <c r="DM42" s="399"/>
      <c r="DN42" s="399"/>
      <c r="DO42" s="399"/>
      <c r="DP42" s="399"/>
      <c r="DQ42" s="399"/>
      <c r="DS42" s="399"/>
      <c r="DT42" s="399"/>
      <c r="DU42" s="399"/>
      <c r="DV42" s="399"/>
      <c r="DW42" s="399"/>
      <c r="DX42" s="399"/>
      <c r="DY42" s="399"/>
      <c r="DZ42" s="399"/>
      <c r="EB42" s="228">
        <f t="shared" si="53"/>
        <v>249215.0169529086</v>
      </c>
      <c r="EC42" s="228">
        <f t="shared" si="54"/>
        <v>4368</v>
      </c>
      <c r="ED42" s="214">
        <f t="shared" si="55"/>
        <v>253583.0169529086</v>
      </c>
    </row>
    <row r="43" spans="1:134" hidden="1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3" t="str">
        <f>VLOOKUP(A43,'Summary Mar 2026'!$A$8:$F$207,6,FALSE)</f>
        <v>Chq Bk</v>
      </c>
      <c r="G43" s="33"/>
      <c r="H43" s="223">
        <v>0</v>
      </c>
      <c r="I43" s="294"/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0</v>
      </c>
      <c r="P43" s="33">
        <f t="shared" si="13"/>
        <v>0</v>
      </c>
      <c r="Q43" s="223">
        <f t="shared" si="14"/>
        <v>0</v>
      </c>
      <c r="R43" s="294"/>
      <c r="S43" s="223">
        <v>0</v>
      </c>
      <c r="T43" s="223">
        <v>0</v>
      </c>
      <c r="U43" s="223">
        <v>0</v>
      </c>
      <c r="V43" s="223">
        <v>0</v>
      </c>
      <c r="W43" s="223">
        <v>0</v>
      </c>
      <c r="X43" s="223">
        <v>0</v>
      </c>
      <c r="Y43" s="223">
        <f t="shared" si="15"/>
        <v>0</v>
      </c>
      <c r="Z43" s="223">
        <f t="shared" si="16"/>
        <v>0</v>
      </c>
      <c r="AA43" s="294"/>
      <c r="AB43" s="398">
        <v>0</v>
      </c>
      <c r="AC43" s="398">
        <v>0</v>
      </c>
      <c r="AD43" s="398">
        <v>0</v>
      </c>
      <c r="AE43" s="398">
        <v>0</v>
      </c>
      <c r="AF43" s="398">
        <v>0</v>
      </c>
      <c r="AG43" s="398">
        <v>0</v>
      </c>
      <c r="AH43" s="223">
        <f t="shared" si="17"/>
        <v>0</v>
      </c>
      <c r="AI43" s="398">
        <f t="shared" si="18"/>
        <v>0</v>
      </c>
      <c r="AJ43" s="294"/>
      <c r="AK43" s="398">
        <v>0</v>
      </c>
      <c r="AL43" s="398">
        <v>0</v>
      </c>
      <c r="AM43" s="398">
        <v>0</v>
      </c>
      <c r="AN43" s="294"/>
      <c r="AO43" s="398">
        <f t="shared" si="19"/>
        <v>0</v>
      </c>
      <c r="AP43" s="398">
        <f t="shared" si="20"/>
        <v>0</v>
      </c>
      <c r="AQ43" s="398">
        <f t="shared" si="21"/>
        <v>0</v>
      </c>
      <c r="AR43" s="293"/>
      <c r="AS43" s="293">
        <v>0</v>
      </c>
      <c r="AT43" s="576">
        <f t="shared" si="22"/>
        <v>0</v>
      </c>
      <c r="AU43" s="293"/>
      <c r="AV43" s="293">
        <v>0</v>
      </c>
      <c r="AW43" s="293">
        <v>0</v>
      </c>
      <c r="AX43" s="293">
        <v>0</v>
      </c>
      <c r="AY43" s="293">
        <v>0</v>
      </c>
      <c r="AZ43" s="293">
        <v>0</v>
      </c>
      <c r="BA43" s="293">
        <v>0</v>
      </c>
      <c r="BB43" s="293">
        <v>0</v>
      </c>
      <c r="BC43" s="293">
        <f t="shared" si="23"/>
        <v>0</v>
      </c>
      <c r="BE43" s="58">
        <f t="shared" si="24"/>
        <v>0</v>
      </c>
      <c r="BF43" s="58">
        <f t="shared" si="25"/>
        <v>0</v>
      </c>
      <c r="BG43" s="58">
        <f t="shared" si="26"/>
        <v>0</v>
      </c>
      <c r="BH43" s="58">
        <f t="shared" si="27"/>
        <v>0</v>
      </c>
      <c r="BI43" s="58">
        <f t="shared" si="28"/>
        <v>0</v>
      </c>
      <c r="BJ43" s="58">
        <f t="shared" si="29"/>
        <v>0</v>
      </c>
      <c r="BK43" s="58">
        <f t="shared" si="30"/>
        <v>0</v>
      </c>
      <c r="BL43" s="58">
        <f t="shared" si="31"/>
        <v>0</v>
      </c>
      <c r="BM43" s="33">
        <f t="shared" si="32"/>
        <v>0</v>
      </c>
      <c r="BN43" s="33"/>
      <c r="BO43" s="293">
        <f t="shared" si="56"/>
        <v>0</v>
      </c>
      <c r="BP43" s="293">
        <f t="shared" si="57"/>
        <v>0</v>
      </c>
      <c r="BQ43" s="293">
        <f t="shared" si="58"/>
        <v>0</v>
      </c>
      <c r="BR43" s="293">
        <f t="shared" si="59"/>
        <v>0</v>
      </c>
      <c r="BS43" s="293">
        <f t="shared" si="60"/>
        <v>0</v>
      </c>
      <c r="BT43" s="293">
        <f t="shared" si="61"/>
        <v>0</v>
      </c>
      <c r="BU43" s="293">
        <f t="shared" si="62"/>
        <v>0</v>
      </c>
      <c r="BV43" s="293">
        <f t="shared" si="9"/>
        <v>0</v>
      </c>
      <c r="BW43" s="293">
        <f t="shared" si="10"/>
        <v>0</v>
      </c>
      <c r="BX43" s="293">
        <v>0</v>
      </c>
      <c r="BY43" s="293">
        <v>0</v>
      </c>
      <c r="BZ43" s="293">
        <v>0</v>
      </c>
      <c r="CA43" s="293">
        <v>0</v>
      </c>
      <c r="CB43" s="293">
        <v>0</v>
      </c>
      <c r="CC43" s="293">
        <v>0</v>
      </c>
      <c r="CD43" s="293">
        <v>0</v>
      </c>
      <c r="CE43" s="293">
        <f t="shared" si="33"/>
        <v>0</v>
      </c>
      <c r="CF43" s="293"/>
      <c r="CG43" s="293">
        <v>0</v>
      </c>
      <c r="CH43" s="293">
        <v>0</v>
      </c>
      <c r="CI43" s="293">
        <v>0</v>
      </c>
      <c r="CJ43" s="293">
        <v>0</v>
      </c>
      <c r="CK43" s="293">
        <v>0</v>
      </c>
      <c r="CL43" s="293">
        <v>0</v>
      </c>
      <c r="CM43" s="293">
        <v>0</v>
      </c>
      <c r="CN43" s="293">
        <f t="shared" si="34"/>
        <v>0</v>
      </c>
      <c r="CO43" s="293"/>
      <c r="CP43" s="58">
        <f t="shared" si="35"/>
        <v>0</v>
      </c>
      <c r="CQ43" s="223">
        <f t="shared" si="36"/>
        <v>0</v>
      </c>
      <c r="CR43" s="223">
        <f t="shared" si="37"/>
        <v>0</v>
      </c>
      <c r="CS43" s="223">
        <f t="shared" si="38"/>
        <v>0</v>
      </c>
      <c r="CT43" s="223">
        <f t="shared" si="39"/>
        <v>0</v>
      </c>
      <c r="CU43" s="223">
        <f t="shared" si="40"/>
        <v>0</v>
      </c>
      <c r="CV43" s="223">
        <f t="shared" si="41"/>
        <v>0</v>
      </c>
      <c r="CW43" s="223">
        <f t="shared" si="42"/>
        <v>0</v>
      </c>
      <c r="CX43" s="223">
        <f t="shared" si="43"/>
        <v>0</v>
      </c>
      <c r="CY43" s="58">
        <f t="shared" si="44"/>
        <v>0</v>
      </c>
      <c r="CZ43" s="399">
        <f t="shared" si="45"/>
        <v>0</v>
      </c>
      <c r="DA43" s="399">
        <f t="shared" si="46"/>
        <v>0</v>
      </c>
      <c r="DB43" s="399">
        <f t="shared" si="47"/>
        <v>0</v>
      </c>
      <c r="DC43" s="399">
        <f t="shared" si="48"/>
        <v>0</v>
      </c>
      <c r="DD43" s="399">
        <f t="shared" si="49"/>
        <v>0</v>
      </c>
      <c r="DE43" s="399">
        <f t="shared" si="50"/>
        <v>0</v>
      </c>
      <c r="DF43" s="399">
        <f t="shared" si="51"/>
        <v>0</v>
      </c>
      <c r="DG43" s="399">
        <f t="shared" si="52"/>
        <v>0</v>
      </c>
      <c r="DI43" s="399"/>
      <c r="DJ43" s="399"/>
      <c r="DK43" s="399"/>
      <c r="DL43" s="399"/>
      <c r="DM43" s="399"/>
      <c r="DN43" s="399"/>
      <c r="DO43" s="399"/>
      <c r="DP43" s="399"/>
      <c r="DQ43" s="399"/>
      <c r="DS43" s="399"/>
      <c r="DT43" s="399"/>
      <c r="DU43" s="399"/>
      <c r="DV43" s="399"/>
      <c r="DW43" s="399"/>
      <c r="DX43" s="399"/>
      <c r="DY43" s="399"/>
      <c r="DZ43" s="399"/>
      <c r="EB43" s="228">
        <f t="shared" si="53"/>
        <v>0</v>
      </c>
      <c r="EC43" s="228">
        <f t="shared" si="54"/>
        <v>0</v>
      </c>
      <c r="ED43" s="214">
        <f t="shared" si="55"/>
        <v>0</v>
      </c>
    </row>
    <row r="44" spans="1:134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3" t="str">
        <f>VLOOKUP(A44,'Summary Mar 2026'!$A$8:$F$207,6,FALSE)</f>
        <v>Chq Bk</v>
      </c>
      <c r="G44" s="33"/>
      <c r="H44" s="223">
        <v>0</v>
      </c>
      <c r="I44" s="294"/>
      <c r="J44" s="223">
        <v>0</v>
      </c>
      <c r="K44" s="223">
        <v>0</v>
      </c>
      <c r="L44" s="223">
        <v>55185</v>
      </c>
      <c r="M44" s="223">
        <v>1170</v>
      </c>
      <c r="N44" s="223">
        <v>0</v>
      </c>
      <c r="O44" s="223">
        <v>0</v>
      </c>
      <c r="P44" s="33">
        <f t="shared" si="13"/>
        <v>56355</v>
      </c>
      <c r="Q44" s="223">
        <f t="shared" si="14"/>
        <v>45084</v>
      </c>
      <c r="R44" s="294"/>
      <c r="S44" s="223">
        <v>0</v>
      </c>
      <c r="T44" s="223">
        <v>0</v>
      </c>
      <c r="U44" s="223">
        <v>45251.700000000004</v>
      </c>
      <c r="V44" s="223">
        <v>1365</v>
      </c>
      <c r="W44" s="223">
        <v>0</v>
      </c>
      <c r="X44" s="223">
        <v>0</v>
      </c>
      <c r="Y44" s="223">
        <f t="shared" si="15"/>
        <v>46616.700000000004</v>
      </c>
      <c r="Z44" s="223">
        <f t="shared" si="16"/>
        <v>37293.360000000008</v>
      </c>
      <c r="AA44" s="294"/>
      <c r="AB44" s="398">
        <v>0</v>
      </c>
      <c r="AC44" s="398">
        <v>0</v>
      </c>
      <c r="AD44" s="398">
        <v>45363.410526315798</v>
      </c>
      <c r="AE44" s="398">
        <v>1023.1578947368421</v>
      </c>
      <c r="AF44" s="398">
        <v>0</v>
      </c>
      <c r="AG44" s="398">
        <v>0</v>
      </c>
      <c r="AH44" s="223">
        <f t="shared" si="17"/>
        <v>46386.568421052638</v>
      </c>
      <c r="AI44" s="398">
        <f t="shared" si="18"/>
        <v>37109.254736842115</v>
      </c>
      <c r="AJ44" s="294"/>
      <c r="AK44" s="398">
        <v>87.75</v>
      </c>
      <c r="AL44" s="398">
        <v>72.149999999999991</v>
      </c>
      <c r="AM44" s="398">
        <v>72.189473684210526</v>
      </c>
      <c r="AN44" s="294"/>
      <c r="AO44" s="398">
        <f t="shared" si="19"/>
        <v>70.2</v>
      </c>
      <c r="AP44" s="398">
        <f t="shared" si="20"/>
        <v>57.72</v>
      </c>
      <c r="AQ44" s="398">
        <f t="shared" si="21"/>
        <v>57.751578947368422</v>
      </c>
      <c r="AR44" s="293"/>
      <c r="AS44" s="293">
        <v>0</v>
      </c>
      <c r="AT44" s="576">
        <f t="shared" si="22"/>
        <v>0</v>
      </c>
      <c r="AU44" s="293"/>
      <c r="AV44" s="293">
        <v>0</v>
      </c>
      <c r="AW44" s="293">
        <v>0</v>
      </c>
      <c r="AX44" s="293">
        <v>46355.400000000009</v>
      </c>
      <c r="AY44" s="293">
        <v>1950</v>
      </c>
      <c r="AZ44" s="293">
        <v>74.578947368421055</v>
      </c>
      <c r="BA44" s="293">
        <v>0</v>
      </c>
      <c r="BB44" s="293">
        <v>72.149999999999991</v>
      </c>
      <c r="BC44" s="293">
        <f t="shared" si="23"/>
        <v>48452.12894736843</v>
      </c>
      <c r="BE44" s="58">
        <f t="shared" si="24"/>
        <v>0</v>
      </c>
      <c r="BF44" s="58">
        <f t="shared" si="25"/>
        <v>0</v>
      </c>
      <c r="BG44" s="58">
        <f t="shared" si="26"/>
        <v>-8829.5999999999913</v>
      </c>
      <c r="BH44" s="58">
        <f t="shared" si="27"/>
        <v>780</v>
      </c>
      <c r="BI44" s="58">
        <f t="shared" si="28"/>
        <v>74.578947368421055</v>
      </c>
      <c r="BJ44" s="58">
        <f t="shared" si="29"/>
        <v>0</v>
      </c>
      <c r="BK44" s="58">
        <f t="shared" si="30"/>
        <v>-15.600000000000009</v>
      </c>
      <c r="BL44" s="58">
        <f t="shared" si="31"/>
        <v>-7990.6210526315708</v>
      </c>
      <c r="BM44" s="33">
        <f t="shared" si="32"/>
        <v>0</v>
      </c>
      <c r="BN44" s="33"/>
      <c r="BO44" s="293">
        <f t="shared" si="56"/>
        <v>0</v>
      </c>
      <c r="BP44" s="293">
        <f t="shared" si="57"/>
        <v>0</v>
      </c>
      <c r="BQ44" s="293">
        <f t="shared" si="58"/>
        <v>2207.4000000000087</v>
      </c>
      <c r="BR44" s="293">
        <f t="shared" si="59"/>
        <v>1014</v>
      </c>
      <c r="BS44" s="293">
        <f t="shared" si="60"/>
        <v>74.578947368421055</v>
      </c>
      <c r="BT44" s="293">
        <f t="shared" si="61"/>
        <v>0</v>
      </c>
      <c r="BU44" s="293">
        <f t="shared" si="62"/>
        <v>1.9499999999999886</v>
      </c>
      <c r="BV44" s="293">
        <f t="shared" si="9"/>
        <v>3297.9289473684298</v>
      </c>
      <c r="BW44" s="293">
        <f t="shared" si="10"/>
        <v>0</v>
      </c>
      <c r="BX44" s="293">
        <v>0</v>
      </c>
      <c r="BY44" s="293">
        <v>0</v>
      </c>
      <c r="BZ44" s="293">
        <v>0</v>
      </c>
      <c r="CA44" s="293">
        <v>0</v>
      </c>
      <c r="CB44" s="293">
        <v>111.86842105263158</v>
      </c>
      <c r="CC44" s="293">
        <v>0</v>
      </c>
      <c r="CD44" s="293">
        <v>0</v>
      </c>
      <c r="CE44" s="293">
        <f t="shared" si="33"/>
        <v>111.86842105263158</v>
      </c>
      <c r="CF44" s="293"/>
      <c r="CG44" s="293">
        <v>0</v>
      </c>
      <c r="CH44" s="293">
        <v>0</v>
      </c>
      <c r="CI44" s="293">
        <v>55185</v>
      </c>
      <c r="CJ44" s="293">
        <v>585</v>
      </c>
      <c r="CK44" s="293">
        <v>74.62</v>
      </c>
      <c r="CL44" s="293">
        <v>0</v>
      </c>
      <c r="CM44" s="293">
        <v>113.1</v>
      </c>
      <c r="CN44" s="293">
        <f t="shared" si="34"/>
        <v>55957.72</v>
      </c>
      <c r="CO44" s="293"/>
      <c r="CP44" s="58">
        <f t="shared" si="35"/>
        <v>0</v>
      </c>
      <c r="CQ44" s="223">
        <f t="shared" si="36"/>
        <v>0</v>
      </c>
      <c r="CR44" s="223">
        <f t="shared" si="37"/>
        <v>9933.2999999999956</v>
      </c>
      <c r="CS44" s="223">
        <f t="shared" si="38"/>
        <v>-780</v>
      </c>
      <c r="CT44" s="223">
        <f t="shared" si="39"/>
        <v>74.62</v>
      </c>
      <c r="CU44" s="223">
        <f t="shared" si="40"/>
        <v>0</v>
      </c>
      <c r="CV44" s="223">
        <f t="shared" si="41"/>
        <v>40.950000000000003</v>
      </c>
      <c r="CW44" s="223">
        <f t="shared" si="42"/>
        <v>9268.8699999999972</v>
      </c>
      <c r="CX44" s="223">
        <f t="shared" si="43"/>
        <v>0</v>
      </c>
      <c r="CY44" s="58">
        <f t="shared" si="44"/>
        <v>0</v>
      </c>
      <c r="CZ44" s="399">
        <f t="shared" si="45"/>
        <v>0</v>
      </c>
      <c r="DA44" s="399">
        <f t="shared" si="46"/>
        <v>18983.639999999992</v>
      </c>
      <c r="DB44" s="399">
        <f t="shared" si="47"/>
        <v>-507</v>
      </c>
      <c r="DC44" s="399">
        <f t="shared" si="48"/>
        <v>74.62</v>
      </c>
      <c r="DD44" s="399">
        <f t="shared" si="49"/>
        <v>0</v>
      </c>
      <c r="DE44" s="399">
        <f t="shared" si="50"/>
        <v>55.379999999999995</v>
      </c>
      <c r="DF44" s="399">
        <f t="shared" si="51"/>
        <v>18606.639999999992</v>
      </c>
      <c r="DG44" s="399">
        <f t="shared" si="52"/>
        <v>0</v>
      </c>
      <c r="DI44" s="399"/>
      <c r="DJ44" s="399"/>
      <c r="DK44" s="399"/>
      <c r="DL44" s="399"/>
      <c r="DM44" s="399"/>
      <c r="DN44" s="399"/>
      <c r="DO44" s="399"/>
      <c r="DP44" s="399"/>
      <c r="DQ44" s="399"/>
      <c r="DS44" s="399"/>
      <c r="DT44" s="399"/>
      <c r="DU44" s="399"/>
      <c r="DV44" s="399"/>
      <c r="DW44" s="399"/>
      <c r="DX44" s="399"/>
      <c r="DY44" s="399"/>
      <c r="DZ44" s="399"/>
      <c r="EB44" s="228">
        <f t="shared" si="53"/>
        <v>141688.72368421053</v>
      </c>
      <c r="EC44" s="228">
        <f t="shared" si="54"/>
        <v>0</v>
      </c>
      <c r="ED44" s="214">
        <f t="shared" si="55"/>
        <v>141688.72368421053</v>
      </c>
    </row>
    <row r="45" spans="1:134" hidden="1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3" t="str">
        <f>VLOOKUP(A45,'Summary Mar 2026'!$A$8:$F$207,6,FALSE)</f>
        <v>Chq Bk</v>
      </c>
      <c r="G45" s="33"/>
      <c r="H45" s="223">
        <v>0</v>
      </c>
      <c r="I45" s="294"/>
      <c r="J45" s="223">
        <v>0</v>
      </c>
      <c r="K45" s="223">
        <v>0</v>
      </c>
      <c r="L45" s="223">
        <v>0</v>
      </c>
      <c r="M45" s="223">
        <v>0</v>
      </c>
      <c r="N45" s="223">
        <v>0</v>
      </c>
      <c r="O45" s="223">
        <v>0</v>
      </c>
      <c r="P45" s="33">
        <f t="shared" si="13"/>
        <v>0</v>
      </c>
      <c r="Q45" s="223">
        <f t="shared" si="14"/>
        <v>0</v>
      </c>
      <c r="R45" s="294"/>
      <c r="S45" s="223">
        <v>0</v>
      </c>
      <c r="T45" s="223">
        <v>0</v>
      </c>
      <c r="U45" s="223">
        <v>0</v>
      </c>
      <c r="V45" s="223">
        <v>0</v>
      </c>
      <c r="W45" s="223">
        <v>0</v>
      </c>
      <c r="X45" s="223">
        <v>0</v>
      </c>
      <c r="Y45" s="223">
        <f t="shared" si="15"/>
        <v>0</v>
      </c>
      <c r="Z45" s="223">
        <f t="shared" si="16"/>
        <v>0</v>
      </c>
      <c r="AA45" s="294"/>
      <c r="AB45" s="398">
        <v>0</v>
      </c>
      <c r="AC45" s="398">
        <v>0</v>
      </c>
      <c r="AD45" s="398">
        <v>0</v>
      </c>
      <c r="AE45" s="398">
        <v>0</v>
      </c>
      <c r="AF45" s="398">
        <v>0</v>
      </c>
      <c r="AG45" s="398">
        <v>0</v>
      </c>
      <c r="AH45" s="223">
        <f t="shared" si="17"/>
        <v>0</v>
      </c>
      <c r="AI45" s="398">
        <f t="shared" si="18"/>
        <v>0</v>
      </c>
      <c r="AJ45" s="294"/>
      <c r="AK45" s="398">
        <v>0</v>
      </c>
      <c r="AL45" s="398">
        <v>0</v>
      </c>
      <c r="AM45" s="398">
        <v>0</v>
      </c>
      <c r="AN45" s="294"/>
      <c r="AO45" s="398">
        <f t="shared" si="19"/>
        <v>0</v>
      </c>
      <c r="AP45" s="398">
        <f t="shared" si="20"/>
        <v>0</v>
      </c>
      <c r="AQ45" s="398">
        <f t="shared" si="21"/>
        <v>0</v>
      </c>
      <c r="AR45" s="293"/>
      <c r="AS45" s="293">
        <v>0</v>
      </c>
      <c r="AT45" s="576">
        <f t="shared" si="22"/>
        <v>0</v>
      </c>
      <c r="AU45" s="293"/>
      <c r="AV45" s="293">
        <v>0</v>
      </c>
      <c r="AW45" s="293">
        <v>0</v>
      </c>
      <c r="AX45" s="293">
        <v>0</v>
      </c>
      <c r="AY45" s="293">
        <v>0</v>
      </c>
      <c r="AZ45" s="293">
        <v>0</v>
      </c>
      <c r="BA45" s="293">
        <v>0</v>
      </c>
      <c r="BB45" s="293">
        <v>0</v>
      </c>
      <c r="BC45" s="293">
        <f t="shared" si="23"/>
        <v>0</v>
      </c>
      <c r="BE45" s="58">
        <f t="shared" si="24"/>
        <v>0</v>
      </c>
      <c r="BF45" s="58">
        <f t="shared" si="25"/>
        <v>0</v>
      </c>
      <c r="BG45" s="58">
        <f t="shared" si="26"/>
        <v>0</v>
      </c>
      <c r="BH45" s="58">
        <f t="shared" si="27"/>
        <v>0</v>
      </c>
      <c r="BI45" s="58">
        <f t="shared" si="28"/>
        <v>0</v>
      </c>
      <c r="BJ45" s="58">
        <f t="shared" si="29"/>
        <v>0</v>
      </c>
      <c r="BK45" s="58">
        <f t="shared" si="30"/>
        <v>0</v>
      </c>
      <c r="BL45" s="58">
        <f t="shared" si="31"/>
        <v>0</v>
      </c>
      <c r="BM45" s="33">
        <f t="shared" si="32"/>
        <v>0</v>
      </c>
      <c r="BN45" s="33"/>
      <c r="BO45" s="293">
        <f t="shared" si="56"/>
        <v>0</v>
      </c>
      <c r="BP45" s="293">
        <f t="shared" si="57"/>
        <v>0</v>
      </c>
      <c r="BQ45" s="293">
        <f t="shared" si="58"/>
        <v>0</v>
      </c>
      <c r="BR45" s="293">
        <f t="shared" si="59"/>
        <v>0</v>
      </c>
      <c r="BS45" s="293">
        <f t="shared" si="60"/>
        <v>0</v>
      </c>
      <c r="BT45" s="293">
        <f t="shared" si="61"/>
        <v>0</v>
      </c>
      <c r="BU45" s="293">
        <f t="shared" si="62"/>
        <v>0</v>
      </c>
      <c r="BV45" s="293">
        <f t="shared" si="9"/>
        <v>0</v>
      </c>
      <c r="BW45" s="293">
        <f t="shared" si="10"/>
        <v>0</v>
      </c>
      <c r="BX45" s="293">
        <v>0</v>
      </c>
      <c r="BY45" s="293">
        <v>0</v>
      </c>
      <c r="BZ45" s="293">
        <v>0</v>
      </c>
      <c r="CA45" s="293">
        <v>0</v>
      </c>
      <c r="CB45" s="293">
        <v>0</v>
      </c>
      <c r="CC45" s="293">
        <v>0</v>
      </c>
      <c r="CD45" s="293">
        <v>0</v>
      </c>
      <c r="CE45" s="293">
        <f t="shared" si="33"/>
        <v>0</v>
      </c>
      <c r="CF45" s="293"/>
      <c r="CG45" s="293">
        <v>0</v>
      </c>
      <c r="CH45" s="293">
        <v>0</v>
      </c>
      <c r="CI45" s="293">
        <v>0</v>
      </c>
      <c r="CJ45" s="293">
        <v>0</v>
      </c>
      <c r="CK45" s="293">
        <v>0</v>
      </c>
      <c r="CL45" s="293">
        <v>0</v>
      </c>
      <c r="CM45" s="293">
        <v>0</v>
      </c>
      <c r="CN45" s="293">
        <f t="shared" si="34"/>
        <v>0</v>
      </c>
      <c r="CO45" s="293"/>
      <c r="CP45" s="58">
        <f t="shared" si="35"/>
        <v>0</v>
      </c>
      <c r="CQ45" s="223">
        <f t="shared" si="36"/>
        <v>0</v>
      </c>
      <c r="CR45" s="223">
        <f t="shared" si="37"/>
        <v>0</v>
      </c>
      <c r="CS45" s="223">
        <f t="shared" si="38"/>
        <v>0</v>
      </c>
      <c r="CT45" s="223">
        <f t="shared" si="39"/>
        <v>0</v>
      </c>
      <c r="CU45" s="223">
        <f t="shared" si="40"/>
        <v>0</v>
      </c>
      <c r="CV45" s="223">
        <f t="shared" si="41"/>
        <v>0</v>
      </c>
      <c r="CW45" s="223">
        <f t="shared" si="42"/>
        <v>0</v>
      </c>
      <c r="CX45" s="223">
        <f t="shared" si="43"/>
        <v>0</v>
      </c>
      <c r="CY45" s="58">
        <f t="shared" si="44"/>
        <v>0</v>
      </c>
      <c r="CZ45" s="399">
        <f t="shared" si="45"/>
        <v>0</v>
      </c>
      <c r="DA45" s="399">
        <f t="shared" si="46"/>
        <v>0</v>
      </c>
      <c r="DB45" s="399">
        <f t="shared" si="47"/>
        <v>0</v>
      </c>
      <c r="DC45" s="399">
        <f t="shared" si="48"/>
        <v>0</v>
      </c>
      <c r="DD45" s="399">
        <f t="shared" si="49"/>
        <v>0</v>
      </c>
      <c r="DE45" s="399">
        <f t="shared" si="50"/>
        <v>0</v>
      </c>
      <c r="DF45" s="399">
        <f t="shared" si="51"/>
        <v>0</v>
      </c>
      <c r="DG45" s="399">
        <f t="shared" si="52"/>
        <v>0</v>
      </c>
      <c r="DI45" s="399"/>
      <c r="DJ45" s="399"/>
      <c r="DK45" s="399"/>
      <c r="DL45" s="399"/>
      <c r="DM45" s="399"/>
      <c r="DN45" s="399"/>
      <c r="DO45" s="399"/>
      <c r="DP45" s="399"/>
      <c r="DQ45" s="399"/>
      <c r="DS45" s="399"/>
      <c r="DT45" s="399"/>
      <c r="DU45" s="399"/>
      <c r="DV45" s="399"/>
      <c r="DW45" s="399"/>
      <c r="DX45" s="399"/>
      <c r="DY45" s="399"/>
      <c r="DZ45" s="399"/>
      <c r="EB45" s="228">
        <f t="shared" si="53"/>
        <v>0</v>
      </c>
      <c r="EC45" s="228">
        <f t="shared" si="54"/>
        <v>0</v>
      </c>
      <c r="ED45" s="214">
        <f t="shared" si="55"/>
        <v>0</v>
      </c>
    </row>
    <row r="46" spans="1:134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3" t="str">
        <f>VLOOKUP(A46,'Summary Mar 2026'!$A$8:$F$207,6,FALSE)</f>
        <v>Chq Bk</v>
      </c>
      <c r="G46" s="33"/>
      <c r="H46" s="223">
        <v>0</v>
      </c>
      <c r="I46" s="294"/>
      <c r="J46" s="223">
        <v>0</v>
      </c>
      <c r="K46" s="223">
        <v>0</v>
      </c>
      <c r="L46" s="223">
        <v>55185</v>
      </c>
      <c r="M46" s="223">
        <v>1950</v>
      </c>
      <c r="N46" s="223">
        <v>671.21052631578948</v>
      </c>
      <c r="O46" s="223">
        <v>0</v>
      </c>
      <c r="P46" s="33">
        <f t="shared" si="13"/>
        <v>57806.210526315786</v>
      </c>
      <c r="Q46" s="223">
        <f t="shared" si="14"/>
        <v>46244.968421052632</v>
      </c>
      <c r="R46" s="294"/>
      <c r="S46" s="223">
        <v>0</v>
      </c>
      <c r="T46" s="223">
        <v>0</v>
      </c>
      <c r="U46" s="223">
        <v>52977.600000000006</v>
      </c>
      <c r="V46" s="223">
        <v>1170</v>
      </c>
      <c r="W46" s="223">
        <v>223.73684210526318</v>
      </c>
      <c r="X46" s="223">
        <v>0</v>
      </c>
      <c r="Y46" s="223">
        <f t="shared" si="15"/>
        <v>54371.336842105266</v>
      </c>
      <c r="Z46" s="223">
        <f t="shared" si="16"/>
        <v>43497.069473684212</v>
      </c>
      <c r="AA46" s="294"/>
      <c r="AB46" s="398">
        <v>0</v>
      </c>
      <c r="AC46" s="398">
        <v>0</v>
      </c>
      <c r="AD46" s="398">
        <v>47293.768421052628</v>
      </c>
      <c r="AE46" s="398">
        <v>1477.8947368421054</v>
      </c>
      <c r="AF46" s="398">
        <v>260.8753462603878</v>
      </c>
      <c r="AG46" s="398">
        <v>93.54016620498615</v>
      </c>
      <c r="AH46" s="223">
        <f t="shared" si="17"/>
        <v>49126.078670360104</v>
      </c>
      <c r="AI46" s="398">
        <f t="shared" si="18"/>
        <v>39300.862936288089</v>
      </c>
      <c r="AJ46" s="294"/>
      <c r="AK46" s="398">
        <v>547.94999999999993</v>
      </c>
      <c r="AL46" s="398">
        <v>1168.05</v>
      </c>
      <c r="AM46" s="398">
        <v>729.28421052631563</v>
      </c>
      <c r="AN46" s="294"/>
      <c r="AO46" s="398">
        <f t="shared" si="19"/>
        <v>438.35999999999996</v>
      </c>
      <c r="AP46" s="398">
        <f t="shared" si="20"/>
        <v>934.44</v>
      </c>
      <c r="AQ46" s="398">
        <f t="shared" si="21"/>
        <v>583.42736842105251</v>
      </c>
      <c r="AR46" s="293"/>
      <c r="AS46" s="293">
        <v>0</v>
      </c>
      <c r="AT46" s="576">
        <f t="shared" si="22"/>
        <v>0</v>
      </c>
      <c r="AU46" s="293"/>
      <c r="AV46" s="293">
        <v>0</v>
      </c>
      <c r="AW46" s="293">
        <v>0</v>
      </c>
      <c r="AX46" s="293">
        <v>55185</v>
      </c>
      <c r="AY46" s="293">
        <v>1560</v>
      </c>
      <c r="AZ46" s="293">
        <v>149.15789473684211</v>
      </c>
      <c r="BA46" s="293">
        <v>0</v>
      </c>
      <c r="BB46" s="293">
        <v>992.55</v>
      </c>
      <c r="BC46" s="293">
        <f t="shared" si="23"/>
        <v>57886.707894736843</v>
      </c>
      <c r="BE46" s="58">
        <f t="shared" si="24"/>
        <v>0</v>
      </c>
      <c r="BF46" s="58">
        <f t="shared" si="25"/>
        <v>0</v>
      </c>
      <c r="BG46" s="58">
        <f t="shared" si="26"/>
        <v>0</v>
      </c>
      <c r="BH46" s="58">
        <f t="shared" si="27"/>
        <v>-390</v>
      </c>
      <c r="BI46" s="58">
        <f t="shared" si="28"/>
        <v>-522.0526315789474</v>
      </c>
      <c r="BJ46" s="58">
        <f t="shared" si="29"/>
        <v>0</v>
      </c>
      <c r="BK46" s="58">
        <f t="shared" si="30"/>
        <v>444.6</v>
      </c>
      <c r="BL46" s="58">
        <f t="shared" si="31"/>
        <v>-467.45263157894738</v>
      </c>
      <c r="BM46" s="33">
        <f t="shared" si="32"/>
        <v>0</v>
      </c>
      <c r="BN46" s="33"/>
      <c r="BO46" s="293">
        <f t="shared" si="56"/>
        <v>0</v>
      </c>
      <c r="BP46" s="293">
        <f t="shared" si="57"/>
        <v>0</v>
      </c>
      <c r="BQ46" s="293">
        <f t="shared" si="58"/>
        <v>11037</v>
      </c>
      <c r="BR46" s="293">
        <f t="shared" si="59"/>
        <v>0</v>
      </c>
      <c r="BS46" s="293">
        <f t="shared" si="60"/>
        <v>-387.8105263157895</v>
      </c>
      <c r="BT46" s="293">
        <f t="shared" si="61"/>
        <v>0</v>
      </c>
      <c r="BU46" s="293">
        <f t="shared" si="62"/>
        <v>554.19000000000005</v>
      </c>
      <c r="BV46" s="293">
        <f t="shared" si="9"/>
        <v>11203.379473684212</v>
      </c>
      <c r="BW46" s="293">
        <f t="shared" si="10"/>
        <v>0</v>
      </c>
      <c r="BX46" s="293">
        <v>0</v>
      </c>
      <c r="BY46" s="293">
        <v>0</v>
      </c>
      <c r="BZ46" s="293">
        <v>0</v>
      </c>
      <c r="CA46" s="293">
        <v>0</v>
      </c>
      <c r="CB46" s="293">
        <v>111.86842105263153</v>
      </c>
      <c r="CC46" s="293">
        <v>0</v>
      </c>
      <c r="CD46" s="293">
        <v>134.55000000000018</v>
      </c>
      <c r="CE46" s="293">
        <f t="shared" si="33"/>
        <v>246.41842105263171</v>
      </c>
      <c r="CF46" s="293"/>
      <c r="CG46" s="293">
        <v>0</v>
      </c>
      <c r="CH46" s="293">
        <v>0</v>
      </c>
      <c r="CI46" s="293">
        <v>52977.600000000006</v>
      </c>
      <c r="CJ46" s="293">
        <v>1365</v>
      </c>
      <c r="CK46" s="293">
        <v>634.14</v>
      </c>
      <c r="CL46" s="293">
        <v>938</v>
      </c>
      <c r="CM46" s="293">
        <v>698.09999999999991</v>
      </c>
      <c r="CN46" s="293">
        <f t="shared" si="34"/>
        <v>56612.840000000004</v>
      </c>
      <c r="CO46" s="293"/>
      <c r="CP46" s="58">
        <f t="shared" si="35"/>
        <v>0</v>
      </c>
      <c r="CQ46" s="223">
        <f t="shared" si="36"/>
        <v>0</v>
      </c>
      <c r="CR46" s="223">
        <f t="shared" si="37"/>
        <v>0</v>
      </c>
      <c r="CS46" s="223">
        <f t="shared" si="38"/>
        <v>195</v>
      </c>
      <c r="CT46" s="223">
        <f t="shared" si="39"/>
        <v>410.40315789473681</v>
      </c>
      <c r="CU46" s="223">
        <f t="shared" si="40"/>
        <v>938</v>
      </c>
      <c r="CV46" s="223">
        <f t="shared" si="41"/>
        <v>-469.95000000000005</v>
      </c>
      <c r="CW46" s="223">
        <f t="shared" si="42"/>
        <v>1073.4531578947367</v>
      </c>
      <c r="CX46" s="223">
        <f t="shared" si="43"/>
        <v>0</v>
      </c>
      <c r="CY46" s="58">
        <f t="shared" si="44"/>
        <v>0</v>
      </c>
      <c r="CZ46" s="399">
        <f t="shared" si="45"/>
        <v>0</v>
      </c>
      <c r="DA46" s="399">
        <f t="shared" si="46"/>
        <v>10595.519999999997</v>
      </c>
      <c r="DB46" s="399">
        <f t="shared" si="47"/>
        <v>429</v>
      </c>
      <c r="DC46" s="399">
        <f t="shared" si="48"/>
        <v>455.15052631578942</v>
      </c>
      <c r="DD46" s="399">
        <f t="shared" si="49"/>
        <v>938</v>
      </c>
      <c r="DE46" s="399">
        <f t="shared" si="50"/>
        <v>-236.34000000000015</v>
      </c>
      <c r="DF46" s="399">
        <f t="shared" si="51"/>
        <v>12181.330526315785</v>
      </c>
      <c r="DG46" s="399">
        <f t="shared" si="52"/>
        <v>0</v>
      </c>
      <c r="DI46" s="399"/>
      <c r="DJ46" s="399"/>
      <c r="DK46" s="399"/>
      <c r="DL46" s="399"/>
      <c r="DM46" s="399"/>
      <c r="DN46" s="399"/>
      <c r="DO46" s="399"/>
      <c r="DP46" s="399"/>
      <c r="DQ46" s="399"/>
      <c r="DS46" s="399"/>
      <c r="DT46" s="399"/>
      <c r="DU46" s="399"/>
      <c r="DV46" s="399"/>
      <c r="DW46" s="399"/>
      <c r="DX46" s="399"/>
      <c r="DY46" s="399"/>
      <c r="DZ46" s="399"/>
      <c r="EB46" s="228">
        <f t="shared" si="53"/>
        <v>153617.42448753462</v>
      </c>
      <c r="EC46" s="228">
        <f t="shared" si="54"/>
        <v>1012.8321329639889</v>
      </c>
      <c r="ED46" s="214">
        <f t="shared" si="55"/>
        <v>154630.25662049861</v>
      </c>
    </row>
    <row r="47" spans="1:134" hidden="1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3" t="str">
        <f>VLOOKUP(A47,'Summary Mar 2026'!$A$8:$F$207,6,FALSE)</f>
        <v>Chq Bk</v>
      </c>
      <c r="G47" s="33"/>
      <c r="H47" s="223">
        <v>0</v>
      </c>
      <c r="I47" s="294"/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0</v>
      </c>
      <c r="P47" s="33">
        <f t="shared" si="13"/>
        <v>0</v>
      </c>
      <c r="Q47" s="223">
        <f t="shared" si="14"/>
        <v>0</v>
      </c>
      <c r="R47" s="294"/>
      <c r="S47" s="223">
        <v>0</v>
      </c>
      <c r="T47" s="223">
        <v>0</v>
      </c>
      <c r="U47" s="223">
        <v>0</v>
      </c>
      <c r="V47" s="223">
        <v>0</v>
      </c>
      <c r="W47" s="223">
        <v>0</v>
      </c>
      <c r="X47" s="223">
        <v>0</v>
      </c>
      <c r="Y47" s="223">
        <f t="shared" si="15"/>
        <v>0</v>
      </c>
      <c r="Z47" s="223">
        <f t="shared" si="16"/>
        <v>0</v>
      </c>
      <c r="AA47" s="294"/>
      <c r="AB47" s="398">
        <v>0</v>
      </c>
      <c r="AC47" s="398">
        <v>0</v>
      </c>
      <c r="AD47" s="398">
        <v>0</v>
      </c>
      <c r="AE47" s="398">
        <v>0</v>
      </c>
      <c r="AF47" s="398">
        <v>0</v>
      </c>
      <c r="AG47" s="398">
        <v>0</v>
      </c>
      <c r="AH47" s="223">
        <f t="shared" si="17"/>
        <v>0</v>
      </c>
      <c r="AI47" s="398">
        <f t="shared" si="18"/>
        <v>0</v>
      </c>
      <c r="AJ47" s="294"/>
      <c r="AK47" s="398">
        <v>0</v>
      </c>
      <c r="AL47" s="398">
        <v>0</v>
      </c>
      <c r="AM47" s="398">
        <v>0</v>
      </c>
      <c r="AN47" s="294"/>
      <c r="AO47" s="398">
        <f t="shared" si="19"/>
        <v>0</v>
      </c>
      <c r="AP47" s="398">
        <f t="shared" si="20"/>
        <v>0</v>
      </c>
      <c r="AQ47" s="398">
        <f t="shared" si="21"/>
        <v>0</v>
      </c>
      <c r="AR47" s="293"/>
      <c r="AS47" s="293">
        <v>0</v>
      </c>
      <c r="AT47" s="576">
        <f t="shared" si="22"/>
        <v>0</v>
      </c>
      <c r="AU47" s="293"/>
      <c r="AV47" s="293">
        <v>0</v>
      </c>
      <c r="AW47" s="293">
        <v>0</v>
      </c>
      <c r="AX47" s="293">
        <v>0</v>
      </c>
      <c r="AY47" s="293">
        <v>0</v>
      </c>
      <c r="AZ47" s="293">
        <v>0</v>
      </c>
      <c r="BA47" s="293">
        <v>0</v>
      </c>
      <c r="BB47" s="293">
        <v>0</v>
      </c>
      <c r="BC47" s="293">
        <f t="shared" si="23"/>
        <v>0</v>
      </c>
      <c r="BE47" s="58">
        <f t="shared" si="24"/>
        <v>0</v>
      </c>
      <c r="BF47" s="58">
        <f t="shared" si="25"/>
        <v>0</v>
      </c>
      <c r="BG47" s="58">
        <f t="shared" si="26"/>
        <v>0</v>
      </c>
      <c r="BH47" s="58">
        <f t="shared" si="27"/>
        <v>0</v>
      </c>
      <c r="BI47" s="58">
        <f t="shared" si="28"/>
        <v>0</v>
      </c>
      <c r="BJ47" s="58">
        <f t="shared" si="29"/>
        <v>0</v>
      </c>
      <c r="BK47" s="58">
        <f t="shared" si="30"/>
        <v>0</v>
      </c>
      <c r="BL47" s="58">
        <f t="shared" si="31"/>
        <v>0</v>
      </c>
      <c r="BM47" s="33">
        <f t="shared" si="32"/>
        <v>0</v>
      </c>
      <c r="BN47" s="33"/>
      <c r="BO47" s="293">
        <f t="shared" si="56"/>
        <v>0</v>
      </c>
      <c r="BP47" s="293">
        <f t="shared" si="57"/>
        <v>0</v>
      </c>
      <c r="BQ47" s="293">
        <f t="shared" si="58"/>
        <v>0</v>
      </c>
      <c r="BR47" s="293">
        <f t="shared" si="59"/>
        <v>0</v>
      </c>
      <c r="BS47" s="293">
        <f t="shared" si="60"/>
        <v>0</v>
      </c>
      <c r="BT47" s="293">
        <f t="shared" si="61"/>
        <v>0</v>
      </c>
      <c r="BU47" s="293">
        <f t="shared" si="62"/>
        <v>0</v>
      </c>
      <c r="BV47" s="293">
        <f t="shared" si="9"/>
        <v>0</v>
      </c>
      <c r="BW47" s="293">
        <f t="shared" si="10"/>
        <v>0</v>
      </c>
      <c r="BX47" s="293">
        <v>0</v>
      </c>
      <c r="BY47" s="293">
        <v>0</v>
      </c>
      <c r="BZ47" s="293">
        <v>0</v>
      </c>
      <c r="CA47" s="293">
        <v>0</v>
      </c>
      <c r="CB47" s="293">
        <v>0</v>
      </c>
      <c r="CC47" s="293">
        <v>0</v>
      </c>
      <c r="CD47" s="293">
        <v>0</v>
      </c>
      <c r="CE47" s="293">
        <f t="shared" si="33"/>
        <v>0</v>
      </c>
      <c r="CF47" s="293"/>
      <c r="CG47" s="293">
        <v>0</v>
      </c>
      <c r="CH47" s="293">
        <v>0</v>
      </c>
      <c r="CI47" s="293">
        <v>0</v>
      </c>
      <c r="CJ47" s="293">
        <v>0</v>
      </c>
      <c r="CK47" s="293">
        <v>0</v>
      </c>
      <c r="CL47" s="293">
        <v>0</v>
      </c>
      <c r="CM47" s="293">
        <v>0</v>
      </c>
      <c r="CN47" s="293">
        <f t="shared" si="34"/>
        <v>0</v>
      </c>
      <c r="CO47" s="293"/>
      <c r="CP47" s="58">
        <f t="shared" si="35"/>
        <v>0</v>
      </c>
      <c r="CQ47" s="223">
        <f t="shared" si="36"/>
        <v>0</v>
      </c>
      <c r="CR47" s="223">
        <f t="shared" si="37"/>
        <v>0</v>
      </c>
      <c r="CS47" s="223">
        <f t="shared" si="38"/>
        <v>0</v>
      </c>
      <c r="CT47" s="223">
        <f t="shared" si="39"/>
        <v>0</v>
      </c>
      <c r="CU47" s="223">
        <f t="shared" si="40"/>
        <v>0</v>
      </c>
      <c r="CV47" s="223">
        <f t="shared" si="41"/>
        <v>0</v>
      </c>
      <c r="CW47" s="223">
        <f t="shared" si="42"/>
        <v>0</v>
      </c>
      <c r="CX47" s="223">
        <f t="shared" si="43"/>
        <v>0</v>
      </c>
      <c r="CY47" s="58">
        <f t="shared" si="44"/>
        <v>0</v>
      </c>
      <c r="CZ47" s="399">
        <f t="shared" si="45"/>
        <v>0</v>
      </c>
      <c r="DA47" s="399">
        <f t="shared" si="46"/>
        <v>0</v>
      </c>
      <c r="DB47" s="399">
        <f t="shared" si="47"/>
        <v>0</v>
      </c>
      <c r="DC47" s="399">
        <f t="shared" si="48"/>
        <v>0</v>
      </c>
      <c r="DD47" s="399">
        <f t="shared" si="49"/>
        <v>0</v>
      </c>
      <c r="DE47" s="399">
        <f t="shared" si="50"/>
        <v>0</v>
      </c>
      <c r="DF47" s="399">
        <f t="shared" si="51"/>
        <v>0</v>
      </c>
      <c r="DG47" s="399">
        <f t="shared" si="52"/>
        <v>0</v>
      </c>
      <c r="DI47" s="399"/>
      <c r="DJ47" s="399"/>
      <c r="DK47" s="399"/>
      <c r="DL47" s="399"/>
      <c r="DM47" s="399"/>
      <c r="DN47" s="399"/>
      <c r="DO47" s="399"/>
      <c r="DP47" s="399"/>
      <c r="DQ47" s="399"/>
      <c r="DS47" s="399"/>
      <c r="DT47" s="399"/>
      <c r="DU47" s="399"/>
      <c r="DV47" s="399"/>
      <c r="DW47" s="399"/>
      <c r="DX47" s="399"/>
      <c r="DY47" s="399"/>
      <c r="DZ47" s="399"/>
      <c r="EB47" s="228">
        <f t="shared" si="53"/>
        <v>0</v>
      </c>
      <c r="EC47" s="228">
        <f t="shared" si="54"/>
        <v>0</v>
      </c>
      <c r="ED47" s="214">
        <f t="shared" si="55"/>
        <v>0</v>
      </c>
    </row>
    <row r="48" spans="1:134" hidden="1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3" t="str">
        <f>VLOOKUP(A48,'Summary Mar 2026'!$A$8:$F$207,6,FALSE)</f>
        <v>Chq Bk</v>
      </c>
      <c r="G48" s="33"/>
      <c r="H48" s="223">
        <v>0</v>
      </c>
      <c r="I48" s="294"/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0</v>
      </c>
      <c r="P48" s="33">
        <f t="shared" si="13"/>
        <v>0</v>
      </c>
      <c r="Q48" s="223">
        <f t="shared" si="14"/>
        <v>0</v>
      </c>
      <c r="R48" s="294"/>
      <c r="S48" s="223">
        <v>0</v>
      </c>
      <c r="T48" s="223">
        <v>0</v>
      </c>
      <c r="U48" s="223">
        <v>0</v>
      </c>
      <c r="V48" s="223">
        <v>0</v>
      </c>
      <c r="W48" s="223">
        <v>0</v>
      </c>
      <c r="X48" s="223">
        <v>0</v>
      </c>
      <c r="Y48" s="223">
        <f t="shared" si="15"/>
        <v>0</v>
      </c>
      <c r="Z48" s="223">
        <f t="shared" si="16"/>
        <v>0</v>
      </c>
      <c r="AA48" s="294"/>
      <c r="AB48" s="398">
        <v>0</v>
      </c>
      <c r="AC48" s="398">
        <v>0</v>
      </c>
      <c r="AD48" s="398">
        <v>0</v>
      </c>
      <c r="AE48" s="398">
        <v>0</v>
      </c>
      <c r="AF48" s="398">
        <v>0</v>
      </c>
      <c r="AG48" s="398">
        <v>0</v>
      </c>
      <c r="AH48" s="223">
        <f t="shared" si="17"/>
        <v>0</v>
      </c>
      <c r="AI48" s="398">
        <f t="shared" si="18"/>
        <v>0</v>
      </c>
      <c r="AJ48" s="294"/>
      <c r="AK48" s="398">
        <v>0</v>
      </c>
      <c r="AL48" s="398">
        <v>0</v>
      </c>
      <c r="AM48" s="398">
        <v>0</v>
      </c>
      <c r="AN48" s="294"/>
      <c r="AO48" s="398">
        <f t="shared" si="19"/>
        <v>0</v>
      </c>
      <c r="AP48" s="398">
        <f t="shared" si="20"/>
        <v>0</v>
      </c>
      <c r="AQ48" s="398">
        <f t="shared" si="21"/>
        <v>0</v>
      </c>
      <c r="AR48" s="293"/>
      <c r="AS48" s="293">
        <v>0</v>
      </c>
      <c r="AT48" s="576">
        <f t="shared" si="22"/>
        <v>0</v>
      </c>
      <c r="AU48" s="293"/>
      <c r="AV48" s="293">
        <v>0</v>
      </c>
      <c r="AW48" s="293">
        <v>0</v>
      </c>
      <c r="AX48" s="293">
        <v>0</v>
      </c>
      <c r="AY48" s="293">
        <v>0</v>
      </c>
      <c r="AZ48" s="293">
        <v>0</v>
      </c>
      <c r="BA48" s="293">
        <v>0</v>
      </c>
      <c r="BB48" s="293">
        <v>0</v>
      </c>
      <c r="BC48" s="293">
        <f t="shared" si="23"/>
        <v>0</v>
      </c>
      <c r="BE48" s="58">
        <f t="shared" si="24"/>
        <v>0</v>
      </c>
      <c r="BF48" s="58">
        <f t="shared" si="25"/>
        <v>0</v>
      </c>
      <c r="BG48" s="58">
        <f t="shared" si="26"/>
        <v>0</v>
      </c>
      <c r="BH48" s="58">
        <f t="shared" si="27"/>
        <v>0</v>
      </c>
      <c r="BI48" s="58">
        <f t="shared" si="28"/>
        <v>0</v>
      </c>
      <c r="BJ48" s="58">
        <f t="shared" si="29"/>
        <v>0</v>
      </c>
      <c r="BK48" s="58">
        <f t="shared" si="30"/>
        <v>0</v>
      </c>
      <c r="BL48" s="58">
        <f t="shared" si="31"/>
        <v>0</v>
      </c>
      <c r="BM48" s="33">
        <f t="shared" si="32"/>
        <v>0</v>
      </c>
      <c r="BN48" s="33"/>
      <c r="BO48" s="293">
        <f t="shared" si="56"/>
        <v>0</v>
      </c>
      <c r="BP48" s="293">
        <f t="shared" si="57"/>
        <v>0</v>
      </c>
      <c r="BQ48" s="293">
        <f t="shared" si="58"/>
        <v>0</v>
      </c>
      <c r="BR48" s="293">
        <f t="shared" si="59"/>
        <v>0</v>
      </c>
      <c r="BS48" s="293">
        <f t="shared" si="60"/>
        <v>0</v>
      </c>
      <c r="BT48" s="293">
        <f t="shared" si="61"/>
        <v>0</v>
      </c>
      <c r="BU48" s="293">
        <f t="shared" si="62"/>
        <v>0</v>
      </c>
      <c r="BV48" s="293">
        <f t="shared" si="9"/>
        <v>0</v>
      </c>
      <c r="BW48" s="293">
        <f t="shared" si="10"/>
        <v>0</v>
      </c>
      <c r="BX48" s="293">
        <v>0</v>
      </c>
      <c r="BY48" s="293">
        <v>0</v>
      </c>
      <c r="BZ48" s="293">
        <v>0</v>
      </c>
      <c r="CA48" s="293">
        <v>0</v>
      </c>
      <c r="CB48" s="293">
        <v>0</v>
      </c>
      <c r="CC48" s="293">
        <v>0</v>
      </c>
      <c r="CD48" s="293">
        <v>0</v>
      </c>
      <c r="CE48" s="293">
        <f t="shared" si="33"/>
        <v>0</v>
      </c>
      <c r="CF48" s="293"/>
      <c r="CG48" s="293">
        <v>0</v>
      </c>
      <c r="CH48" s="293">
        <v>0</v>
      </c>
      <c r="CI48" s="293">
        <v>0</v>
      </c>
      <c r="CJ48" s="293">
        <v>0</v>
      </c>
      <c r="CK48" s="293">
        <v>0</v>
      </c>
      <c r="CL48" s="293">
        <v>0</v>
      </c>
      <c r="CM48" s="293">
        <v>0</v>
      </c>
      <c r="CN48" s="293">
        <f t="shared" si="34"/>
        <v>0</v>
      </c>
      <c r="CO48" s="293"/>
      <c r="CP48" s="58">
        <f t="shared" si="35"/>
        <v>0</v>
      </c>
      <c r="CQ48" s="223">
        <f t="shared" si="36"/>
        <v>0</v>
      </c>
      <c r="CR48" s="223">
        <f t="shared" si="37"/>
        <v>0</v>
      </c>
      <c r="CS48" s="223">
        <f t="shared" si="38"/>
        <v>0</v>
      </c>
      <c r="CT48" s="223">
        <f t="shared" si="39"/>
        <v>0</v>
      </c>
      <c r="CU48" s="223">
        <f t="shared" si="40"/>
        <v>0</v>
      </c>
      <c r="CV48" s="223">
        <f t="shared" si="41"/>
        <v>0</v>
      </c>
      <c r="CW48" s="223">
        <f t="shared" si="42"/>
        <v>0</v>
      </c>
      <c r="CX48" s="223">
        <f t="shared" si="43"/>
        <v>0</v>
      </c>
      <c r="CY48" s="58">
        <f t="shared" si="44"/>
        <v>0</v>
      </c>
      <c r="CZ48" s="399">
        <f t="shared" si="45"/>
        <v>0</v>
      </c>
      <c r="DA48" s="399">
        <f t="shared" si="46"/>
        <v>0</v>
      </c>
      <c r="DB48" s="399">
        <f t="shared" si="47"/>
        <v>0</v>
      </c>
      <c r="DC48" s="399">
        <f t="shared" si="48"/>
        <v>0</v>
      </c>
      <c r="DD48" s="399">
        <f t="shared" si="49"/>
        <v>0</v>
      </c>
      <c r="DE48" s="399">
        <f t="shared" si="50"/>
        <v>0</v>
      </c>
      <c r="DF48" s="399">
        <f t="shared" si="51"/>
        <v>0</v>
      </c>
      <c r="DG48" s="399">
        <f t="shared" si="52"/>
        <v>0</v>
      </c>
      <c r="DI48" s="399"/>
      <c r="DJ48" s="399"/>
      <c r="DK48" s="399"/>
      <c r="DL48" s="399"/>
      <c r="DM48" s="399"/>
      <c r="DN48" s="399"/>
      <c r="DO48" s="399"/>
      <c r="DP48" s="399"/>
      <c r="DQ48" s="399"/>
      <c r="DS48" s="399"/>
      <c r="DT48" s="399"/>
      <c r="DU48" s="399"/>
      <c r="DV48" s="399"/>
      <c r="DW48" s="399"/>
      <c r="DX48" s="399"/>
      <c r="DY48" s="399"/>
      <c r="DZ48" s="399"/>
      <c r="EB48" s="228">
        <f t="shared" si="53"/>
        <v>0</v>
      </c>
      <c r="EC48" s="228">
        <f t="shared" si="54"/>
        <v>0</v>
      </c>
      <c r="ED48" s="214">
        <f t="shared" si="55"/>
        <v>0</v>
      </c>
    </row>
    <row r="49" spans="1:134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3" t="str">
        <f>VLOOKUP(A49,'Summary Mar 2026'!$A$8:$F$207,6,FALSE)</f>
        <v>Chq Bk</v>
      </c>
      <c r="G49" s="33"/>
      <c r="H49" s="223">
        <v>0</v>
      </c>
      <c r="I49" s="294"/>
      <c r="J49" s="223">
        <v>0</v>
      </c>
      <c r="K49" s="223">
        <v>0</v>
      </c>
      <c r="L49" s="223">
        <v>51653.16</v>
      </c>
      <c r="M49" s="223">
        <v>585</v>
      </c>
      <c r="N49" s="223">
        <v>0</v>
      </c>
      <c r="O49" s="223">
        <v>0</v>
      </c>
      <c r="P49" s="33">
        <f t="shared" si="13"/>
        <v>52238.16</v>
      </c>
      <c r="Q49" s="223">
        <f t="shared" si="14"/>
        <v>41790.528000000006</v>
      </c>
      <c r="R49" s="294"/>
      <c r="S49" s="223">
        <v>0</v>
      </c>
      <c r="T49" s="223">
        <v>0</v>
      </c>
      <c r="U49" s="223">
        <v>51873.9</v>
      </c>
      <c r="V49" s="223">
        <v>195</v>
      </c>
      <c r="W49" s="223">
        <v>0</v>
      </c>
      <c r="X49" s="223">
        <v>0</v>
      </c>
      <c r="Y49" s="223">
        <f t="shared" si="15"/>
        <v>52068.9</v>
      </c>
      <c r="Z49" s="223">
        <f t="shared" si="16"/>
        <v>41655.120000000003</v>
      </c>
      <c r="AA49" s="294"/>
      <c r="AB49" s="398">
        <v>0</v>
      </c>
      <c r="AC49" s="398">
        <v>0</v>
      </c>
      <c r="AD49" s="398">
        <v>44912.993684210531</v>
      </c>
      <c r="AE49" s="398">
        <v>341.05263157894734</v>
      </c>
      <c r="AF49" s="398">
        <v>0</v>
      </c>
      <c r="AG49" s="398">
        <v>0</v>
      </c>
      <c r="AH49" s="223">
        <f t="shared" si="17"/>
        <v>45254.046315789477</v>
      </c>
      <c r="AI49" s="398">
        <f t="shared" si="18"/>
        <v>36203.237052631586</v>
      </c>
      <c r="AJ49" s="294"/>
      <c r="AK49" s="398">
        <v>285.48</v>
      </c>
      <c r="AL49" s="398">
        <v>532.34999999999991</v>
      </c>
      <c r="AM49" s="398">
        <v>321.61263157894734</v>
      </c>
      <c r="AN49" s="294"/>
      <c r="AO49" s="398">
        <f t="shared" si="19"/>
        <v>228.38400000000001</v>
      </c>
      <c r="AP49" s="398">
        <f t="shared" si="20"/>
        <v>425.87999999999994</v>
      </c>
      <c r="AQ49" s="398">
        <f t="shared" si="21"/>
        <v>257.2901052631579</v>
      </c>
      <c r="AR49" s="293"/>
      <c r="AS49" s="293">
        <v>0</v>
      </c>
      <c r="AT49" s="576">
        <f t="shared" si="22"/>
        <v>0</v>
      </c>
      <c r="AU49" s="293"/>
      <c r="AV49" s="293">
        <v>0</v>
      </c>
      <c r="AW49" s="293">
        <v>0</v>
      </c>
      <c r="AX49" s="293">
        <v>54081.3</v>
      </c>
      <c r="AY49" s="293">
        <v>390</v>
      </c>
      <c r="AZ49" s="293">
        <v>0</v>
      </c>
      <c r="BA49" s="293">
        <v>0</v>
      </c>
      <c r="BB49" s="293">
        <v>413.4</v>
      </c>
      <c r="BC49" s="293">
        <f t="shared" si="23"/>
        <v>54884.700000000004</v>
      </c>
      <c r="BE49" s="58">
        <f t="shared" si="24"/>
        <v>0</v>
      </c>
      <c r="BF49" s="58">
        <f t="shared" si="25"/>
        <v>0</v>
      </c>
      <c r="BG49" s="58">
        <f t="shared" si="26"/>
        <v>2428.1399999999994</v>
      </c>
      <c r="BH49" s="58">
        <f t="shared" si="27"/>
        <v>-195</v>
      </c>
      <c r="BI49" s="58">
        <f t="shared" si="28"/>
        <v>0</v>
      </c>
      <c r="BJ49" s="58">
        <f t="shared" si="29"/>
        <v>0</v>
      </c>
      <c r="BK49" s="58">
        <f t="shared" si="30"/>
        <v>127.91999999999996</v>
      </c>
      <c r="BL49" s="58">
        <f t="shared" si="31"/>
        <v>2361.0599999999995</v>
      </c>
      <c r="BM49" s="33">
        <f t="shared" si="32"/>
        <v>0</v>
      </c>
      <c r="BN49" s="33"/>
      <c r="BO49" s="293">
        <f t="shared" si="56"/>
        <v>0</v>
      </c>
      <c r="BP49" s="293">
        <f t="shared" si="57"/>
        <v>0</v>
      </c>
      <c r="BQ49" s="293">
        <f t="shared" si="58"/>
        <v>12758.771999999997</v>
      </c>
      <c r="BR49" s="293">
        <f t="shared" si="59"/>
        <v>-78</v>
      </c>
      <c r="BS49" s="293">
        <f t="shared" si="60"/>
        <v>0</v>
      </c>
      <c r="BT49" s="293">
        <f t="shared" si="61"/>
        <v>0</v>
      </c>
      <c r="BU49" s="293">
        <f t="shared" si="62"/>
        <v>185.01599999999996</v>
      </c>
      <c r="BV49" s="293">
        <f t="shared" si="9"/>
        <v>12865.787999999997</v>
      </c>
      <c r="BW49" s="293">
        <f t="shared" si="10"/>
        <v>-7.2759576141834259E-12</v>
      </c>
      <c r="BX49" s="293">
        <v>0</v>
      </c>
      <c r="BY49" s="293">
        <v>0</v>
      </c>
      <c r="BZ49" s="293">
        <v>0</v>
      </c>
      <c r="CA49" s="293">
        <v>0</v>
      </c>
      <c r="CB49" s="293">
        <v>0</v>
      </c>
      <c r="CC49" s="293">
        <v>0</v>
      </c>
      <c r="CD49" s="293">
        <v>134.55000000000007</v>
      </c>
      <c r="CE49" s="293">
        <f t="shared" si="33"/>
        <v>134.55000000000007</v>
      </c>
      <c r="CF49" s="293"/>
      <c r="CG49" s="293">
        <v>0</v>
      </c>
      <c r="CH49" s="293">
        <v>0</v>
      </c>
      <c r="CI49" s="293">
        <v>47459.100000000006</v>
      </c>
      <c r="CJ49" s="293">
        <v>1170</v>
      </c>
      <c r="CK49" s="293">
        <v>0</v>
      </c>
      <c r="CL49" s="293">
        <v>0</v>
      </c>
      <c r="CM49" s="293">
        <v>466.04999999999995</v>
      </c>
      <c r="CN49" s="293">
        <f t="shared" si="34"/>
        <v>49095.150000000009</v>
      </c>
      <c r="CO49" s="293"/>
      <c r="CP49" s="58">
        <f t="shared" si="35"/>
        <v>0</v>
      </c>
      <c r="CQ49" s="223">
        <f t="shared" si="36"/>
        <v>0</v>
      </c>
      <c r="CR49" s="223">
        <f t="shared" si="37"/>
        <v>-4414.7999999999956</v>
      </c>
      <c r="CS49" s="223">
        <f t="shared" si="38"/>
        <v>975</v>
      </c>
      <c r="CT49" s="223">
        <f t="shared" si="39"/>
        <v>0</v>
      </c>
      <c r="CU49" s="223">
        <f t="shared" si="40"/>
        <v>0</v>
      </c>
      <c r="CV49" s="223">
        <f t="shared" si="41"/>
        <v>-66.299999999999955</v>
      </c>
      <c r="CW49" s="223">
        <f t="shared" si="42"/>
        <v>-3506.0999999999958</v>
      </c>
      <c r="CX49" s="223">
        <f t="shared" si="43"/>
        <v>0</v>
      </c>
      <c r="CY49" s="58">
        <f t="shared" si="44"/>
        <v>0</v>
      </c>
      <c r="CZ49" s="399">
        <f t="shared" si="45"/>
        <v>0</v>
      </c>
      <c r="DA49" s="399">
        <f t="shared" si="46"/>
        <v>5959.9800000000032</v>
      </c>
      <c r="DB49" s="399">
        <f t="shared" si="47"/>
        <v>1014</v>
      </c>
      <c r="DC49" s="399">
        <f t="shared" si="48"/>
        <v>0</v>
      </c>
      <c r="DD49" s="399">
        <f t="shared" si="49"/>
        <v>0</v>
      </c>
      <c r="DE49" s="399">
        <f t="shared" si="50"/>
        <v>40.170000000000016</v>
      </c>
      <c r="DF49" s="399">
        <f t="shared" si="51"/>
        <v>7014.1500000000033</v>
      </c>
      <c r="DG49" s="399">
        <f t="shared" si="52"/>
        <v>0</v>
      </c>
      <c r="DI49" s="399"/>
      <c r="DJ49" s="399"/>
      <c r="DK49" s="399"/>
      <c r="DL49" s="399"/>
      <c r="DM49" s="399"/>
      <c r="DN49" s="399"/>
      <c r="DO49" s="399"/>
      <c r="DP49" s="399"/>
      <c r="DQ49" s="399"/>
      <c r="DS49" s="399"/>
      <c r="DT49" s="399"/>
      <c r="DU49" s="399"/>
      <c r="DV49" s="399"/>
      <c r="DW49" s="399"/>
      <c r="DX49" s="399"/>
      <c r="DY49" s="399"/>
      <c r="DZ49" s="399"/>
      <c r="EB49" s="228">
        <f t="shared" si="53"/>
        <v>140574.92715789474</v>
      </c>
      <c r="EC49" s="228">
        <f t="shared" si="54"/>
        <v>0</v>
      </c>
      <c r="ED49" s="214">
        <f t="shared" si="55"/>
        <v>140574.92715789474</v>
      </c>
    </row>
    <row r="50" spans="1:134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3" t="str">
        <f>VLOOKUP(A50,'Summary Mar 2026'!$A$8:$F$207,6,FALSE)</f>
        <v>Chq Bk</v>
      </c>
      <c r="G50" s="33"/>
      <c r="H50" s="223">
        <v>0</v>
      </c>
      <c r="I50" s="294"/>
      <c r="J50" s="223">
        <v>0</v>
      </c>
      <c r="K50" s="223">
        <v>0</v>
      </c>
      <c r="L50" s="223">
        <v>61807.199999999997</v>
      </c>
      <c r="M50" s="223">
        <v>2535</v>
      </c>
      <c r="N50" s="223">
        <v>223.73684210526318</v>
      </c>
      <c r="O50" s="223">
        <v>0</v>
      </c>
      <c r="P50" s="33">
        <f t="shared" si="13"/>
        <v>64565.936842105257</v>
      </c>
      <c r="Q50" s="223">
        <f t="shared" si="14"/>
        <v>51652.749473684205</v>
      </c>
      <c r="R50" s="294"/>
      <c r="S50" s="223">
        <v>0</v>
      </c>
      <c r="T50" s="223">
        <v>0</v>
      </c>
      <c r="U50" s="223">
        <v>51873.9</v>
      </c>
      <c r="V50" s="223">
        <v>2340</v>
      </c>
      <c r="W50" s="223">
        <v>894.94736842105272</v>
      </c>
      <c r="X50" s="223">
        <v>0</v>
      </c>
      <c r="Y50" s="223">
        <f t="shared" si="15"/>
        <v>55108.847368421055</v>
      </c>
      <c r="Z50" s="223">
        <f t="shared" si="16"/>
        <v>44087.077894736845</v>
      </c>
      <c r="AA50" s="294"/>
      <c r="AB50" s="398">
        <v>0</v>
      </c>
      <c r="AC50" s="398">
        <v>0</v>
      </c>
      <c r="AD50" s="398">
        <v>49867.578947368427</v>
      </c>
      <c r="AE50" s="398">
        <v>2103.1578947368421</v>
      </c>
      <c r="AF50" s="398">
        <v>456.53185595567868</v>
      </c>
      <c r="AG50" s="398">
        <v>0</v>
      </c>
      <c r="AH50" s="223">
        <f t="shared" si="17"/>
        <v>52427.268698060943</v>
      </c>
      <c r="AI50" s="398">
        <f t="shared" si="18"/>
        <v>41941.814958448755</v>
      </c>
      <c r="AJ50" s="294"/>
      <c r="AK50" s="398">
        <v>3020.5499999999997</v>
      </c>
      <c r="AL50" s="398">
        <v>2632.5</v>
      </c>
      <c r="AM50" s="398">
        <v>2493.6631578947367</v>
      </c>
      <c r="AN50" s="294"/>
      <c r="AO50" s="398">
        <f t="shared" si="19"/>
        <v>2416.44</v>
      </c>
      <c r="AP50" s="398">
        <f t="shared" si="20"/>
        <v>2106</v>
      </c>
      <c r="AQ50" s="398">
        <f t="shared" si="21"/>
        <v>1994.9305263157894</v>
      </c>
      <c r="AR50" s="293"/>
      <c r="AS50" s="293">
        <v>0</v>
      </c>
      <c r="AT50" s="576">
        <f t="shared" si="22"/>
        <v>0</v>
      </c>
      <c r="AU50" s="293"/>
      <c r="AV50" s="293">
        <v>0</v>
      </c>
      <c r="AW50" s="293">
        <v>0</v>
      </c>
      <c r="AX50" s="293">
        <v>66222</v>
      </c>
      <c r="AY50" s="293">
        <v>3120</v>
      </c>
      <c r="AZ50" s="293">
        <v>1193.2631578947369</v>
      </c>
      <c r="BA50" s="293">
        <v>0</v>
      </c>
      <c r="BB50" s="293">
        <v>3408.6000000000004</v>
      </c>
      <c r="BC50" s="293">
        <f t="shared" si="23"/>
        <v>73943.863157894739</v>
      </c>
      <c r="BE50" s="58">
        <f t="shared" si="24"/>
        <v>0</v>
      </c>
      <c r="BF50" s="58">
        <f t="shared" si="25"/>
        <v>0</v>
      </c>
      <c r="BG50" s="58">
        <f t="shared" si="26"/>
        <v>4414.8000000000029</v>
      </c>
      <c r="BH50" s="58">
        <f t="shared" si="27"/>
        <v>585</v>
      </c>
      <c r="BI50" s="58">
        <f t="shared" si="28"/>
        <v>969.52631578947376</v>
      </c>
      <c r="BJ50" s="58">
        <f t="shared" si="29"/>
        <v>0</v>
      </c>
      <c r="BK50" s="58">
        <f t="shared" si="30"/>
        <v>388.05000000000064</v>
      </c>
      <c r="BL50" s="58">
        <f t="shared" si="31"/>
        <v>6357.3763157894773</v>
      </c>
      <c r="BM50" s="33">
        <f t="shared" si="32"/>
        <v>0</v>
      </c>
      <c r="BN50" s="33"/>
      <c r="BO50" s="293">
        <f t="shared" si="56"/>
        <v>0</v>
      </c>
      <c r="BP50" s="293">
        <f t="shared" si="57"/>
        <v>0</v>
      </c>
      <c r="BQ50" s="293">
        <f t="shared" si="58"/>
        <v>16776.239999999998</v>
      </c>
      <c r="BR50" s="293">
        <f t="shared" si="59"/>
        <v>1092</v>
      </c>
      <c r="BS50" s="293">
        <f t="shared" si="60"/>
        <v>1014.2736842105263</v>
      </c>
      <c r="BT50" s="293">
        <f t="shared" si="61"/>
        <v>0</v>
      </c>
      <c r="BU50" s="293">
        <f t="shared" si="62"/>
        <v>992.16000000000031</v>
      </c>
      <c r="BV50" s="293">
        <f t="shared" si="9"/>
        <v>19874.673684210524</v>
      </c>
      <c r="BW50" s="293">
        <f t="shared" si="10"/>
        <v>-1.4551915228366852E-11</v>
      </c>
      <c r="BX50" s="293">
        <v>0</v>
      </c>
      <c r="BY50" s="293">
        <v>0</v>
      </c>
      <c r="BZ50" s="293">
        <v>0</v>
      </c>
      <c r="CA50" s="293">
        <v>0</v>
      </c>
      <c r="CB50" s="293">
        <v>111.86842105263167</v>
      </c>
      <c r="CC50" s="293">
        <v>0</v>
      </c>
      <c r="CD50" s="293">
        <v>428.99999999999955</v>
      </c>
      <c r="CE50" s="293">
        <f t="shared" si="33"/>
        <v>540.86842105263122</v>
      </c>
      <c r="CF50" s="293"/>
      <c r="CG50" s="293">
        <v>0</v>
      </c>
      <c r="CH50" s="293">
        <v>0</v>
      </c>
      <c r="CI50" s="293">
        <v>27592.5</v>
      </c>
      <c r="CJ50" s="293">
        <v>390</v>
      </c>
      <c r="CK50" s="293">
        <v>149.24</v>
      </c>
      <c r="CL50" s="293">
        <v>0</v>
      </c>
      <c r="CM50" s="293">
        <v>719.55</v>
      </c>
      <c r="CN50" s="293">
        <f t="shared" si="34"/>
        <v>28851.29</v>
      </c>
      <c r="CO50" s="293"/>
      <c r="CP50" s="58">
        <f t="shared" si="35"/>
        <v>0</v>
      </c>
      <c r="CQ50" s="223">
        <f t="shared" si="36"/>
        <v>0</v>
      </c>
      <c r="CR50" s="223">
        <f t="shared" si="37"/>
        <v>-24281.4</v>
      </c>
      <c r="CS50" s="223">
        <f t="shared" si="38"/>
        <v>-1950</v>
      </c>
      <c r="CT50" s="223">
        <f t="shared" si="39"/>
        <v>-745.70736842105271</v>
      </c>
      <c r="CU50" s="223">
        <f t="shared" si="40"/>
        <v>0</v>
      </c>
      <c r="CV50" s="223">
        <f t="shared" si="41"/>
        <v>-1912.95</v>
      </c>
      <c r="CW50" s="223">
        <f t="shared" si="42"/>
        <v>-28890.057368421054</v>
      </c>
      <c r="CX50" s="223">
        <f t="shared" si="43"/>
        <v>0</v>
      </c>
      <c r="CY50" s="58">
        <f t="shared" si="44"/>
        <v>0</v>
      </c>
      <c r="CZ50" s="399">
        <f t="shared" si="45"/>
        <v>0</v>
      </c>
      <c r="DA50" s="399">
        <f t="shared" si="46"/>
        <v>-13906.620000000003</v>
      </c>
      <c r="DB50" s="399">
        <f t="shared" si="47"/>
        <v>-1482</v>
      </c>
      <c r="DC50" s="399">
        <f t="shared" si="48"/>
        <v>-566.71789473684225</v>
      </c>
      <c r="DD50" s="399">
        <f t="shared" si="49"/>
        <v>0</v>
      </c>
      <c r="DE50" s="399">
        <f t="shared" si="50"/>
        <v>-1386.45</v>
      </c>
      <c r="DF50" s="399">
        <f t="shared" si="51"/>
        <v>-17341.787894736844</v>
      </c>
      <c r="DG50" s="399">
        <f t="shared" si="52"/>
        <v>0</v>
      </c>
      <c r="DI50" s="399"/>
      <c r="DJ50" s="399"/>
      <c r="DK50" s="399"/>
      <c r="DL50" s="399"/>
      <c r="DM50" s="399"/>
      <c r="DN50" s="399"/>
      <c r="DO50" s="399"/>
      <c r="DP50" s="399"/>
      <c r="DQ50" s="399"/>
      <c r="DS50" s="399"/>
      <c r="DT50" s="399"/>
      <c r="DU50" s="399"/>
      <c r="DV50" s="399"/>
      <c r="DW50" s="399"/>
      <c r="DX50" s="399"/>
      <c r="DY50" s="399"/>
      <c r="DZ50" s="399"/>
      <c r="EB50" s="228">
        <f t="shared" si="53"/>
        <v>147272.76706371192</v>
      </c>
      <c r="EC50" s="228">
        <f t="shared" si="54"/>
        <v>0</v>
      </c>
      <c r="ED50" s="214">
        <f t="shared" si="55"/>
        <v>147272.76706371192</v>
      </c>
    </row>
    <row r="51" spans="1:134" hidden="1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3" t="str">
        <f>VLOOKUP(A51,'Summary Mar 2026'!$A$8:$F$207,6,FALSE)</f>
        <v>Chq Bk</v>
      </c>
      <c r="G51" s="33"/>
      <c r="H51" s="223">
        <v>0</v>
      </c>
      <c r="I51" s="294"/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0</v>
      </c>
      <c r="P51" s="33">
        <f t="shared" si="13"/>
        <v>0</v>
      </c>
      <c r="Q51" s="223">
        <f t="shared" si="14"/>
        <v>0</v>
      </c>
      <c r="R51" s="294"/>
      <c r="S51" s="223">
        <v>0</v>
      </c>
      <c r="T51" s="223">
        <v>0</v>
      </c>
      <c r="U51" s="223">
        <v>0</v>
      </c>
      <c r="V51" s="223">
        <v>0</v>
      </c>
      <c r="W51" s="223">
        <v>0</v>
      </c>
      <c r="X51" s="223">
        <v>0</v>
      </c>
      <c r="Y51" s="223">
        <f t="shared" si="15"/>
        <v>0</v>
      </c>
      <c r="Z51" s="223">
        <f t="shared" si="16"/>
        <v>0</v>
      </c>
      <c r="AA51" s="294"/>
      <c r="AB51" s="398">
        <v>0</v>
      </c>
      <c r="AC51" s="398">
        <v>0</v>
      </c>
      <c r="AD51" s="398">
        <v>0</v>
      </c>
      <c r="AE51" s="398">
        <v>0</v>
      </c>
      <c r="AF51" s="398">
        <v>0</v>
      </c>
      <c r="AG51" s="398">
        <v>0</v>
      </c>
      <c r="AH51" s="223">
        <f t="shared" si="17"/>
        <v>0</v>
      </c>
      <c r="AI51" s="398">
        <f t="shared" si="18"/>
        <v>0</v>
      </c>
      <c r="AJ51" s="294"/>
      <c r="AK51" s="398">
        <v>0</v>
      </c>
      <c r="AL51" s="398">
        <v>0</v>
      </c>
      <c r="AM51" s="398">
        <v>0</v>
      </c>
      <c r="AN51" s="294"/>
      <c r="AO51" s="398">
        <f t="shared" si="19"/>
        <v>0</v>
      </c>
      <c r="AP51" s="398">
        <f t="shared" si="20"/>
        <v>0</v>
      </c>
      <c r="AQ51" s="398">
        <f t="shared" si="21"/>
        <v>0</v>
      </c>
      <c r="AR51" s="293"/>
      <c r="AS51" s="293">
        <v>0</v>
      </c>
      <c r="AT51" s="576">
        <f t="shared" si="22"/>
        <v>0</v>
      </c>
      <c r="AU51" s="293"/>
      <c r="AV51" s="293">
        <v>0</v>
      </c>
      <c r="AW51" s="293">
        <v>0</v>
      </c>
      <c r="AX51" s="293">
        <v>0</v>
      </c>
      <c r="AY51" s="293">
        <v>0</v>
      </c>
      <c r="AZ51" s="293">
        <v>0</v>
      </c>
      <c r="BA51" s="293">
        <v>0</v>
      </c>
      <c r="BB51" s="293">
        <v>0</v>
      </c>
      <c r="BC51" s="293">
        <f t="shared" si="23"/>
        <v>0</v>
      </c>
      <c r="BE51" s="58">
        <f t="shared" si="24"/>
        <v>0</v>
      </c>
      <c r="BF51" s="58">
        <f t="shared" si="25"/>
        <v>0</v>
      </c>
      <c r="BG51" s="58">
        <f t="shared" si="26"/>
        <v>0</v>
      </c>
      <c r="BH51" s="58">
        <f t="shared" si="27"/>
        <v>0</v>
      </c>
      <c r="BI51" s="58">
        <f t="shared" si="28"/>
        <v>0</v>
      </c>
      <c r="BJ51" s="58">
        <f t="shared" si="29"/>
        <v>0</v>
      </c>
      <c r="BK51" s="58">
        <f t="shared" si="30"/>
        <v>0</v>
      </c>
      <c r="BL51" s="58">
        <f t="shared" si="31"/>
        <v>0</v>
      </c>
      <c r="BM51" s="33">
        <f t="shared" si="32"/>
        <v>0</v>
      </c>
      <c r="BN51" s="33"/>
      <c r="BO51" s="293">
        <f t="shared" si="56"/>
        <v>0</v>
      </c>
      <c r="BP51" s="293">
        <f t="shared" si="57"/>
        <v>0</v>
      </c>
      <c r="BQ51" s="293">
        <f t="shared" si="58"/>
        <v>0</v>
      </c>
      <c r="BR51" s="293">
        <f t="shared" si="59"/>
        <v>0</v>
      </c>
      <c r="BS51" s="293">
        <f t="shared" si="60"/>
        <v>0</v>
      </c>
      <c r="BT51" s="293">
        <f t="shared" si="61"/>
        <v>0</v>
      </c>
      <c r="BU51" s="293">
        <f t="shared" si="62"/>
        <v>0</v>
      </c>
      <c r="BV51" s="293">
        <f t="shared" si="9"/>
        <v>0</v>
      </c>
      <c r="BW51" s="293">
        <f t="shared" si="10"/>
        <v>0</v>
      </c>
      <c r="BX51" s="293">
        <v>0</v>
      </c>
      <c r="BY51" s="293">
        <v>0</v>
      </c>
      <c r="BZ51" s="293">
        <v>0</v>
      </c>
      <c r="CA51" s="293">
        <v>0</v>
      </c>
      <c r="CB51" s="293">
        <v>0</v>
      </c>
      <c r="CC51" s="293">
        <v>0</v>
      </c>
      <c r="CD51" s="293">
        <v>0</v>
      </c>
      <c r="CE51" s="293">
        <f t="shared" si="33"/>
        <v>0</v>
      </c>
      <c r="CF51" s="293"/>
      <c r="CG51" s="293">
        <v>0</v>
      </c>
      <c r="CH51" s="293">
        <v>0</v>
      </c>
      <c r="CI51" s="293">
        <v>0</v>
      </c>
      <c r="CJ51" s="293">
        <v>0</v>
      </c>
      <c r="CK51" s="293">
        <v>0</v>
      </c>
      <c r="CL51" s="293">
        <v>0</v>
      </c>
      <c r="CM51" s="293">
        <v>0</v>
      </c>
      <c r="CN51" s="293">
        <f t="shared" si="34"/>
        <v>0</v>
      </c>
      <c r="CO51" s="293"/>
      <c r="CP51" s="58">
        <f t="shared" si="35"/>
        <v>0</v>
      </c>
      <c r="CQ51" s="223">
        <f t="shared" si="36"/>
        <v>0</v>
      </c>
      <c r="CR51" s="223">
        <f t="shared" si="37"/>
        <v>0</v>
      </c>
      <c r="CS51" s="223">
        <f t="shared" si="38"/>
        <v>0</v>
      </c>
      <c r="CT51" s="223">
        <f t="shared" si="39"/>
        <v>0</v>
      </c>
      <c r="CU51" s="223">
        <f t="shared" si="40"/>
        <v>0</v>
      </c>
      <c r="CV51" s="223">
        <f t="shared" si="41"/>
        <v>0</v>
      </c>
      <c r="CW51" s="223">
        <f t="shared" si="42"/>
        <v>0</v>
      </c>
      <c r="CX51" s="223">
        <f t="shared" si="43"/>
        <v>0</v>
      </c>
      <c r="CY51" s="58">
        <f t="shared" si="44"/>
        <v>0</v>
      </c>
      <c r="CZ51" s="399">
        <f t="shared" si="45"/>
        <v>0</v>
      </c>
      <c r="DA51" s="399">
        <f t="shared" si="46"/>
        <v>0</v>
      </c>
      <c r="DB51" s="399">
        <f t="shared" si="47"/>
        <v>0</v>
      </c>
      <c r="DC51" s="399">
        <f t="shared" si="48"/>
        <v>0</v>
      </c>
      <c r="DD51" s="399">
        <f t="shared" si="49"/>
        <v>0</v>
      </c>
      <c r="DE51" s="399">
        <f t="shared" si="50"/>
        <v>0</v>
      </c>
      <c r="DF51" s="399">
        <f t="shared" si="51"/>
        <v>0</v>
      </c>
      <c r="DG51" s="399">
        <f t="shared" si="52"/>
        <v>0</v>
      </c>
      <c r="DI51" s="399"/>
      <c r="DJ51" s="399"/>
      <c r="DK51" s="399"/>
      <c r="DL51" s="399"/>
      <c r="DM51" s="399"/>
      <c r="DN51" s="399"/>
      <c r="DO51" s="399"/>
      <c r="DP51" s="399"/>
      <c r="DQ51" s="399"/>
      <c r="DS51" s="399"/>
      <c r="DT51" s="399"/>
      <c r="DU51" s="399"/>
      <c r="DV51" s="399"/>
      <c r="DW51" s="399"/>
      <c r="DX51" s="399"/>
      <c r="DY51" s="399"/>
      <c r="DZ51" s="399"/>
      <c r="EB51" s="228">
        <f t="shared" si="53"/>
        <v>0</v>
      </c>
      <c r="EC51" s="228">
        <f t="shared" si="54"/>
        <v>0</v>
      </c>
      <c r="ED51" s="214">
        <f t="shared" si="55"/>
        <v>0</v>
      </c>
    </row>
    <row r="52" spans="1:134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3" t="str">
        <f>VLOOKUP(A52,'Summary Mar 2026'!$A$8:$F$207,6,FALSE)</f>
        <v>Chq Bk</v>
      </c>
      <c r="G52" s="33"/>
      <c r="H52" s="223">
        <v>266645.40133057069</v>
      </c>
      <c r="I52" s="294"/>
      <c r="J52" s="223">
        <v>0</v>
      </c>
      <c r="K52" s="223">
        <v>49783.5</v>
      </c>
      <c r="L52" s="223">
        <v>139066.20000000001</v>
      </c>
      <c r="M52" s="223">
        <v>12480</v>
      </c>
      <c r="N52" s="223">
        <v>1491.578947368421</v>
      </c>
      <c r="O52" s="223">
        <v>1604.4736842105262</v>
      </c>
      <c r="P52" s="33">
        <f t="shared" si="13"/>
        <v>204425.75263157897</v>
      </c>
      <c r="Q52" s="223">
        <f t="shared" si="14"/>
        <v>163540.60210526318</v>
      </c>
      <c r="R52" s="294"/>
      <c r="S52" s="223">
        <v>0</v>
      </c>
      <c r="T52" s="223">
        <v>51442.95</v>
      </c>
      <c r="U52" s="223">
        <v>102644.1</v>
      </c>
      <c r="V52" s="223">
        <v>8970</v>
      </c>
      <c r="W52" s="223">
        <v>1417</v>
      </c>
      <c r="X52" s="223">
        <v>962.68421052631584</v>
      </c>
      <c r="Y52" s="223">
        <f t="shared" si="15"/>
        <v>165436.73421052631</v>
      </c>
      <c r="Z52" s="223">
        <f t="shared" si="16"/>
        <v>132349.38736842104</v>
      </c>
      <c r="AA52" s="294"/>
      <c r="AB52" s="398">
        <v>0</v>
      </c>
      <c r="AC52" s="398">
        <v>35312.021052631579</v>
      </c>
      <c r="AD52" s="398">
        <v>107456.58947368422</v>
      </c>
      <c r="AE52" s="398">
        <v>8583.1578947368434</v>
      </c>
      <c r="AF52" s="398">
        <v>1195.6786703601108</v>
      </c>
      <c r="AG52" s="398">
        <v>935.40166204986156</v>
      </c>
      <c r="AH52" s="223">
        <f t="shared" si="17"/>
        <v>153482.84875346266</v>
      </c>
      <c r="AI52" s="398">
        <f t="shared" si="18"/>
        <v>122786.27900277014</v>
      </c>
      <c r="AJ52" s="294"/>
      <c r="AK52" s="398">
        <v>2375.1</v>
      </c>
      <c r="AL52" s="398">
        <v>1823.25</v>
      </c>
      <c r="AM52" s="398">
        <v>1845.094736842105</v>
      </c>
      <c r="AN52" s="294"/>
      <c r="AO52" s="398">
        <f t="shared" si="19"/>
        <v>1900.08</v>
      </c>
      <c r="AP52" s="398">
        <f t="shared" si="20"/>
        <v>1458.6000000000001</v>
      </c>
      <c r="AQ52" s="398">
        <f t="shared" si="21"/>
        <v>1476.0757894736842</v>
      </c>
      <c r="AR52" s="293"/>
      <c r="AS52" s="293">
        <v>266130.65076991537</v>
      </c>
      <c r="AT52" s="576">
        <f t="shared" si="22"/>
        <v>-514.7505606553168</v>
      </c>
      <c r="AU52" s="293"/>
      <c r="AV52" s="293">
        <v>0</v>
      </c>
      <c r="AW52" s="293">
        <v>49783.5</v>
      </c>
      <c r="AX52" s="293">
        <v>140169.90000000002</v>
      </c>
      <c r="AY52" s="293">
        <v>11700</v>
      </c>
      <c r="AZ52" s="293">
        <v>2088.2105263157896</v>
      </c>
      <c r="BA52" s="293">
        <v>1604.4499999999998</v>
      </c>
      <c r="BB52" s="293">
        <v>2086.5</v>
      </c>
      <c r="BC52" s="293">
        <f t="shared" si="23"/>
        <v>473563.21129623119</v>
      </c>
      <c r="BE52" s="58">
        <f t="shared" si="24"/>
        <v>0</v>
      </c>
      <c r="BF52" s="58">
        <f t="shared" si="25"/>
        <v>0</v>
      </c>
      <c r="BG52" s="58">
        <f t="shared" si="26"/>
        <v>1103.7000000000116</v>
      </c>
      <c r="BH52" s="58">
        <f t="shared" si="27"/>
        <v>-780</v>
      </c>
      <c r="BI52" s="58">
        <f t="shared" si="28"/>
        <v>596.63157894736855</v>
      </c>
      <c r="BJ52" s="58">
        <f t="shared" si="29"/>
        <v>-2.3684210526425886E-2</v>
      </c>
      <c r="BK52" s="58">
        <f t="shared" si="30"/>
        <v>-288.59999999999991</v>
      </c>
      <c r="BL52" s="58">
        <f t="shared" si="31"/>
        <v>116.95733408153706</v>
      </c>
      <c r="BM52" s="33">
        <f t="shared" si="32"/>
        <v>0</v>
      </c>
      <c r="BN52" s="33"/>
      <c r="BO52" s="293">
        <f t="shared" si="56"/>
        <v>0</v>
      </c>
      <c r="BP52" s="293">
        <f t="shared" si="57"/>
        <v>9956.6999999999971</v>
      </c>
      <c r="BQ52" s="293">
        <f t="shared" si="58"/>
        <v>28916.940000000002</v>
      </c>
      <c r="BR52" s="293">
        <f t="shared" si="59"/>
        <v>1716</v>
      </c>
      <c r="BS52" s="293">
        <f t="shared" si="60"/>
        <v>894.94736842105272</v>
      </c>
      <c r="BT52" s="293">
        <f t="shared" si="61"/>
        <v>320.87105263157878</v>
      </c>
      <c r="BU52" s="293">
        <f t="shared" si="62"/>
        <v>186.42000000000007</v>
      </c>
      <c r="BV52" s="293">
        <f t="shared" si="9"/>
        <v>41477.127860397311</v>
      </c>
      <c r="BW52" s="293">
        <f t="shared" si="10"/>
        <v>0</v>
      </c>
      <c r="BX52" s="293">
        <v>0</v>
      </c>
      <c r="BY52" s="293">
        <v>-13275.599999999999</v>
      </c>
      <c r="BZ52" s="293">
        <v>0</v>
      </c>
      <c r="CA52" s="293">
        <v>0</v>
      </c>
      <c r="CB52" s="293">
        <v>783.07894736842081</v>
      </c>
      <c r="CC52" s="293">
        <v>3085.55</v>
      </c>
      <c r="CD52" s="293">
        <v>485.54999999999973</v>
      </c>
      <c r="CE52" s="293">
        <f t="shared" si="33"/>
        <v>-8921.4210526315801</v>
      </c>
      <c r="CF52" s="293"/>
      <c r="CG52" s="293">
        <v>0</v>
      </c>
      <c r="CH52" s="293">
        <v>65101.5</v>
      </c>
      <c r="CI52" s="293">
        <v>78447.600000000006</v>
      </c>
      <c r="CJ52" s="293">
        <v>9165</v>
      </c>
      <c r="CK52" s="293">
        <v>1007.24</v>
      </c>
      <c r="CL52" s="293">
        <v>1876</v>
      </c>
      <c r="CM52" s="293">
        <v>2164.5</v>
      </c>
      <c r="CN52" s="293">
        <f t="shared" si="34"/>
        <v>157761.84</v>
      </c>
      <c r="CO52" s="293"/>
      <c r="CP52" s="58">
        <f t="shared" si="35"/>
        <v>0</v>
      </c>
      <c r="CQ52" s="223">
        <f t="shared" si="36"/>
        <v>13658.550000000003</v>
      </c>
      <c r="CR52" s="223">
        <f t="shared" si="37"/>
        <v>-24196.5</v>
      </c>
      <c r="CS52" s="223">
        <f t="shared" si="38"/>
        <v>195</v>
      </c>
      <c r="CT52" s="223">
        <f t="shared" si="39"/>
        <v>-409.76</v>
      </c>
      <c r="CU52" s="223">
        <f t="shared" si="40"/>
        <v>913.31578947368416</v>
      </c>
      <c r="CV52" s="223">
        <f t="shared" si="41"/>
        <v>341.25</v>
      </c>
      <c r="CW52" s="223">
        <f t="shared" si="42"/>
        <v>-9498.1442105263122</v>
      </c>
      <c r="CX52" s="223">
        <f t="shared" si="43"/>
        <v>0</v>
      </c>
      <c r="CY52" s="58">
        <f t="shared" si="44"/>
        <v>0</v>
      </c>
      <c r="CZ52" s="399">
        <f t="shared" si="45"/>
        <v>23947.14</v>
      </c>
      <c r="DA52" s="399">
        <f t="shared" si="46"/>
        <v>-3667.6800000000076</v>
      </c>
      <c r="DB52" s="399">
        <f t="shared" si="47"/>
        <v>1989</v>
      </c>
      <c r="DC52" s="399">
        <f t="shared" si="48"/>
        <v>-126.36000000000013</v>
      </c>
      <c r="DD52" s="399">
        <f t="shared" si="49"/>
        <v>1105.8526315789472</v>
      </c>
      <c r="DE52" s="399">
        <f t="shared" si="50"/>
        <v>705.89999999999986</v>
      </c>
      <c r="DF52" s="399">
        <f t="shared" si="51"/>
        <v>23953.852631578939</v>
      </c>
      <c r="DG52" s="399">
        <f t="shared" si="52"/>
        <v>0</v>
      </c>
      <c r="DI52" s="399"/>
      <c r="DJ52" s="399"/>
      <c r="DK52" s="399"/>
      <c r="DL52" s="399"/>
      <c r="DM52" s="399"/>
      <c r="DN52" s="399"/>
      <c r="DO52" s="399"/>
      <c r="DP52" s="399"/>
      <c r="DQ52" s="399"/>
      <c r="DS52" s="399"/>
      <c r="DT52" s="399"/>
      <c r="DU52" s="399"/>
      <c r="DV52" s="399"/>
      <c r="DW52" s="399"/>
      <c r="DX52" s="399"/>
      <c r="DY52" s="399"/>
      <c r="DZ52" s="399"/>
      <c r="EB52" s="228">
        <f t="shared" si="53"/>
        <v>739351.66370620346</v>
      </c>
      <c r="EC52" s="228">
        <f t="shared" si="54"/>
        <v>7314.321329639889</v>
      </c>
      <c r="ED52" s="214">
        <f t="shared" si="55"/>
        <v>746665.98503584333</v>
      </c>
    </row>
    <row r="53" spans="1:134" hidden="1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3" t="str">
        <f>VLOOKUP(A53,'Summary Mar 2026'!$A$8:$F$207,6,FALSE)</f>
        <v>Chq Bk</v>
      </c>
      <c r="G53" s="33"/>
      <c r="H53" s="223">
        <v>0</v>
      </c>
      <c r="I53" s="294"/>
      <c r="J53" s="223">
        <v>0</v>
      </c>
      <c r="K53" s="223">
        <v>0</v>
      </c>
      <c r="L53" s="223">
        <v>0</v>
      </c>
      <c r="M53" s="223">
        <v>0</v>
      </c>
      <c r="N53" s="223">
        <v>0</v>
      </c>
      <c r="O53" s="223">
        <v>0</v>
      </c>
      <c r="P53" s="33">
        <f t="shared" si="13"/>
        <v>0</v>
      </c>
      <c r="Q53" s="223">
        <f t="shared" si="14"/>
        <v>0</v>
      </c>
      <c r="R53" s="294"/>
      <c r="S53" s="223">
        <v>0</v>
      </c>
      <c r="T53" s="223">
        <v>0</v>
      </c>
      <c r="U53" s="223">
        <v>0</v>
      </c>
      <c r="V53" s="223">
        <v>0</v>
      </c>
      <c r="W53" s="223">
        <v>0</v>
      </c>
      <c r="X53" s="223">
        <v>0</v>
      </c>
      <c r="Y53" s="223">
        <f t="shared" si="15"/>
        <v>0</v>
      </c>
      <c r="Z53" s="223">
        <f t="shared" si="16"/>
        <v>0</v>
      </c>
      <c r="AA53" s="294"/>
      <c r="AB53" s="398">
        <v>0</v>
      </c>
      <c r="AC53" s="398">
        <v>0</v>
      </c>
      <c r="AD53" s="398">
        <v>0</v>
      </c>
      <c r="AE53" s="398">
        <v>0</v>
      </c>
      <c r="AF53" s="398">
        <v>0</v>
      </c>
      <c r="AG53" s="398">
        <v>0</v>
      </c>
      <c r="AH53" s="223">
        <f t="shared" si="17"/>
        <v>0</v>
      </c>
      <c r="AI53" s="398">
        <f t="shared" si="18"/>
        <v>0</v>
      </c>
      <c r="AJ53" s="294"/>
      <c r="AK53" s="398">
        <v>0</v>
      </c>
      <c r="AL53" s="398">
        <v>0</v>
      </c>
      <c r="AM53" s="398">
        <v>0</v>
      </c>
      <c r="AN53" s="294"/>
      <c r="AO53" s="398">
        <f t="shared" si="19"/>
        <v>0</v>
      </c>
      <c r="AP53" s="398">
        <f t="shared" si="20"/>
        <v>0</v>
      </c>
      <c r="AQ53" s="398">
        <f t="shared" si="21"/>
        <v>0</v>
      </c>
      <c r="AR53" s="293"/>
      <c r="AS53" s="293">
        <v>0</v>
      </c>
      <c r="AT53" s="576">
        <f t="shared" si="22"/>
        <v>0</v>
      </c>
      <c r="AU53" s="293"/>
      <c r="AV53" s="293">
        <v>0</v>
      </c>
      <c r="AW53" s="293">
        <v>0</v>
      </c>
      <c r="AX53" s="293">
        <v>0</v>
      </c>
      <c r="AY53" s="293">
        <v>0</v>
      </c>
      <c r="AZ53" s="293">
        <v>0</v>
      </c>
      <c r="BA53" s="293">
        <v>0</v>
      </c>
      <c r="BB53" s="293">
        <v>0</v>
      </c>
      <c r="BC53" s="293">
        <f t="shared" si="23"/>
        <v>0</v>
      </c>
      <c r="BE53" s="58">
        <f t="shared" si="24"/>
        <v>0</v>
      </c>
      <c r="BF53" s="58">
        <f t="shared" si="25"/>
        <v>0</v>
      </c>
      <c r="BG53" s="58">
        <f t="shared" si="26"/>
        <v>0</v>
      </c>
      <c r="BH53" s="58">
        <f t="shared" si="27"/>
        <v>0</v>
      </c>
      <c r="BI53" s="58">
        <f t="shared" si="28"/>
        <v>0</v>
      </c>
      <c r="BJ53" s="58">
        <f t="shared" si="29"/>
        <v>0</v>
      </c>
      <c r="BK53" s="58">
        <f t="shared" si="30"/>
        <v>0</v>
      </c>
      <c r="BL53" s="58">
        <f t="shared" si="31"/>
        <v>0</v>
      </c>
      <c r="BM53" s="33">
        <f t="shared" si="32"/>
        <v>0</v>
      </c>
      <c r="BN53" s="33"/>
      <c r="BO53" s="293">
        <f t="shared" si="56"/>
        <v>0</v>
      </c>
      <c r="BP53" s="293">
        <f t="shared" si="57"/>
        <v>0</v>
      </c>
      <c r="BQ53" s="293">
        <f t="shared" si="58"/>
        <v>0</v>
      </c>
      <c r="BR53" s="293">
        <f t="shared" si="59"/>
        <v>0</v>
      </c>
      <c r="BS53" s="293">
        <f t="shared" si="60"/>
        <v>0</v>
      </c>
      <c r="BT53" s="293">
        <f t="shared" si="61"/>
        <v>0</v>
      </c>
      <c r="BU53" s="293">
        <f t="shared" si="62"/>
        <v>0</v>
      </c>
      <c r="BV53" s="293">
        <f t="shared" si="9"/>
        <v>0</v>
      </c>
      <c r="BW53" s="293">
        <f t="shared" si="10"/>
        <v>0</v>
      </c>
      <c r="BX53" s="293">
        <v>0</v>
      </c>
      <c r="BY53" s="293">
        <v>0</v>
      </c>
      <c r="BZ53" s="293">
        <v>0</v>
      </c>
      <c r="CA53" s="293">
        <v>0</v>
      </c>
      <c r="CB53" s="293">
        <v>0</v>
      </c>
      <c r="CC53" s="293">
        <v>0</v>
      </c>
      <c r="CD53" s="293">
        <v>0</v>
      </c>
      <c r="CE53" s="293">
        <f t="shared" si="33"/>
        <v>0</v>
      </c>
      <c r="CF53" s="293"/>
      <c r="CG53" s="293">
        <v>0</v>
      </c>
      <c r="CH53" s="293">
        <v>0</v>
      </c>
      <c r="CI53" s="293">
        <v>0</v>
      </c>
      <c r="CJ53" s="293">
        <v>0</v>
      </c>
      <c r="CK53" s="293">
        <v>0</v>
      </c>
      <c r="CL53" s="293">
        <v>0</v>
      </c>
      <c r="CM53" s="293">
        <v>0</v>
      </c>
      <c r="CN53" s="293">
        <f t="shared" si="34"/>
        <v>0</v>
      </c>
      <c r="CO53" s="293"/>
      <c r="CP53" s="58">
        <f t="shared" si="35"/>
        <v>0</v>
      </c>
      <c r="CQ53" s="223">
        <f t="shared" si="36"/>
        <v>0</v>
      </c>
      <c r="CR53" s="223">
        <f t="shared" si="37"/>
        <v>0</v>
      </c>
      <c r="CS53" s="223">
        <f t="shared" si="38"/>
        <v>0</v>
      </c>
      <c r="CT53" s="223">
        <f t="shared" si="39"/>
        <v>0</v>
      </c>
      <c r="CU53" s="223">
        <f t="shared" si="40"/>
        <v>0</v>
      </c>
      <c r="CV53" s="223">
        <f t="shared" si="41"/>
        <v>0</v>
      </c>
      <c r="CW53" s="223">
        <f t="shared" si="42"/>
        <v>0</v>
      </c>
      <c r="CX53" s="223">
        <f t="shared" si="43"/>
        <v>0</v>
      </c>
      <c r="CY53" s="58">
        <f t="shared" si="44"/>
        <v>0</v>
      </c>
      <c r="CZ53" s="399">
        <f t="shared" si="45"/>
        <v>0</v>
      </c>
      <c r="DA53" s="399">
        <f t="shared" si="46"/>
        <v>0</v>
      </c>
      <c r="DB53" s="399">
        <f t="shared" si="47"/>
        <v>0</v>
      </c>
      <c r="DC53" s="399">
        <f t="shared" si="48"/>
        <v>0</v>
      </c>
      <c r="DD53" s="399">
        <f t="shared" si="49"/>
        <v>0</v>
      </c>
      <c r="DE53" s="399">
        <f t="shared" si="50"/>
        <v>0</v>
      </c>
      <c r="DF53" s="399">
        <f t="shared" si="51"/>
        <v>0</v>
      </c>
      <c r="DG53" s="399">
        <f t="shared" si="52"/>
        <v>0</v>
      </c>
      <c r="DI53" s="399"/>
      <c r="DJ53" s="399"/>
      <c r="DK53" s="399"/>
      <c r="DL53" s="399"/>
      <c r="DM53" s="399"/>
      <c r="DN53" s="399"/>
      <c r="DO53" s="399"/>
      <c r="DP53" s="399"/>
      <c r="DQ53" s="399"/>
      <c r="DS53" s="399"/>
      <c r="DT53" s="399"/>
      <c r="DU53" s="399"/>
      <c r="DV53" s="399"/>
      <c r="DW53" s="399"/>
      <c r="DX53" s="399"/>
      <c r="DY53" s="399"/>
      <c r="DZ53" s="399"/>
      <c r="EB53" s="228">
        <f t="shared" si="53"/>
        <v>0</v>
      </c>
      <c r="EC53" s="228">
        <f t="shared" si="54"/>
        <v>0</v>
      </c>
      <c r="ED53" s="214">
        <f t="shared" si="55"/>
        <v>0</v>
      </c>
    </row>
    <row r="54" spans="1:134" hidden="1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3" t="str">
        <f>VLOOKUP(A54,'Summary Mar 2026'!$A$8:$F$207,6,FALSE)</f>
        <v>Chq Bk</v>
      </c>
      <c r="G54" s="33"/>
      <c r="H54" s="223">
        <v>0</v>
      </c>
      <c r="I54" s="294"/>
      <c r="J54" s="223">
        <v>0</v>
      </c>
      <c r="K54" s="223">
        <v>0</v>
      </c>
      <c r="L54" s="223">
        <v>19866.600000000002</v>
      </c>
      <c r="M54" s="223">
        <v>2340</v>
      </c>
      <c r="N54" s="223">
        <v>745.78947368421052</v>
      </c>
      <c r="O54" s="223">
        <v>0</v>
      </c>
      <c r="P54" s="33">
        <f t="shared" si="13"/>
        <v>22952.389473684212</v>
      </c>
      <c r="Q54" s="223">
        <f t="shared" si="14"/>
        <v>18361.911578947369</v>
      </c>
      <c r="R54" s="294"/>
      <c r="S54" s="223">
        <v>0</v>
      </c>
      <c r="T54" s="223">
        <v>0</v>
      </c>
      <c r="U54" s="223">
        <v>14348.1</v>
      </c>
      <c r="V54" s="223">
        <v>975</v>
      </c>
      <c r="W54" s="223">
        <v>298.31578947368422</v>
      </c>
      <c r="X54" s="223">
        <v>0</v>
      </c>
      <c r="Y54" s="223">
        <f t="shared" si="15"/>
        <v>15621.415789473685</v>
      </c>
      <c r="Z54" s="223">
        <f t="shared" si="16"/>
        <v>12497.132631578948</v>
      </c>
      <c r="AA54" s="294"/>
      <c r="AB54" s="398">
        <v>0</v>
      </c>
      <c r="AC54" s="398">
        <v>0</v>
      </c>
      <c r="AD54" s="398">
        <v>15764.589473684209</v>
      </c>
      <c r="AE54" s="398">
        <v>1534.7368421052633</v>
      </c>
      <c r="AF54" s="398">
        <v>478.27146814404432</v>
      </c>
      <c r="AG54" s="398">
        <v>0</v>
      </c>
      <c r="AH54" s="223">
        <f t="shared" si="17"/>
        <v>17777.597783933517</v>
      </c>
      <c r="AI54" s="398">
        <f t="shared" si="18"/>
        <v>14222.078227146814</v>
      </c>
      <c r="AJ54" s="294"/>
      <c r="AK54" s="398">
        <v>1953.9</v>
      </c>
      <c r="AL54" s="398">
        <v>1483.9499999999998</v>
      </c>
      <c r="AM54" s="398">
        <v>1537.0105263157895</v>
      </c>
      <c r="AN54" s="294"/>
      <c r="AO54" s="398">
        <f t="shared" si="19"/>
        <v>1563.1200000000001</v>
      </c>
      <c r="AP54" s="398">
        <f t="shared" si="20"/>
        <v>1187.1599999999999</v>
      </c>
      <c r="AQ54" s="398">
        <f t="shared" si="21"/>
        <v>1229.6084210526317</v>
      </c>
      <c r="AR54" s="293"/>
      <c r="AS54" s="293">
        <v>0</v>
      </c>
      <c r="AT54" s="576">
        <f t="shared" si="22"/>
        <v>0</v>
      </c>
      <c r="AU54" s="293"/>
      <c r="AV54" s="293">
        <v>0</v>
      </c>
      <c r="AW54" s="293">
        <v>0</v>
      </c>
      <c r="AX54" s="293">
        <v>19866.600000000002</v>
      </c>
      <c r="AY54" s="293">
        <v>1755</v>
      </c>
      <c r="AZ54" s="293">
        <v>671.21052631578948</v>
      </c>
      <c r="BA54" s="293">
        <v>0</v>
      </c>
      <c r="BB54" s="293">
        <v>2016.3</v>
      </c>
      <c r="BC54" s="293">
        <f t="shared" si="23"/>
        <v>24309.110526315792</v>
      </c>
      <c r="BE54" s="58">
        <f t="shared" si="24"/>
        <v>0</v>
      </c>
      <c r="BF54" s="58">
        <f t="shared" si="25"/>
        <v>0</v>
      </c>
      <c r="BG54" s="58">
        <f t="shared" si="26"/>
        <v>0</v>
      </c>
      <c r="BH54" s="58">
        <f t="shared" si="27"/>
        <v>-585</v>
      </c>
      <c r="BI54" s="58">
        <f t="shared" si="28"/>
        <v>-74.578947368421041</v>
      </c>
      <c r="BJ54" s="58">
        <f t="shared" si="29"/>
        <v>0</v>
      </c>
      <c r="BK54" s="58">
        <f t="shared" si="30"/>
        <v>62.399999999999864</v>
      </c>
      <c r="BL54" s="58">
        <f t="shared" si="31"/>
        <v>-597.17894736842118</v>
      </c>
      <c r="BM54" s="33">
        <f t="shared" si="32"/>
        <v>0</v>
      </c>
      <c r="BN54" s="33"/>
      <c r="BO54" s="293">
        <f t="shared" si="56"/>
        <v>0</v>
      </c>
      <c r="BP54" s="293">
        <f t="shared" si="57"/>
        <v>0</v>
      </c>
      <c r="BQ54" s="293">
        <f t="shared" si="58"/>
        <v>3973.3199999999997</v>
      </c>
      <c r="BR54" s="293">
        <f t="shared" si="59"/>
        <v>-117</v>
      </c>
      <c r="BS54" s="293">
        <f t="shared" si="60"/>
        <v>74.578947368421041</v>
      </c>
      <c r="BT54" s="293">
        <f t="shared" si="61"/>
        <v>0</v>
      </c>
      <c r="BU54" s="293">
        <f t="shared" si="62"/>
        <v>453.17999999999984</v>
      </c>
      <c r="BV54" s="293">
        <f t="shared" si="9"/>
        <v>4384.0789473684199</v>
      </c>
      <c r="BW54" s="293">
        <f t="shared" si="10"/>
        <v>-3.637978807091713E-12</v>
      </c>
      <c r="BX54" s="293">
        <v>0</v>
      </c>
      <c r="BY54" s="293">
        <v>0</v>
      </c>
      <c r="BZ54" s="293">
        <v>0</v>
      </c>
      <c r="CA54" s="293">
        <v>0</v>
      </c>
      <c r="CB54" s="293">
        <v>0</v>
      </c>
      <c r="CC54" s="293">
        <v>0</v>
      </c>
      <c r="CD54" s="293">
        <v>0</v>
      </c>
      <c r="CE54" s="293">
        <f t="shared" si="33"/>
        <v>0</v>
      </c>
      <c r="CF54" s="293"/>
      <c r="CG54" s="293">
        <v>0</v>
      </c>
      <c r="CH54" s="293">
        <v>0</v>
      </c>
      <c r="CI54" s="293">
        <v>13244.4</v>
      </c>
      <c r="CJ54" s="293">
        <v>1365</v>
      </c>
      <c r="CK54" s="293">
        <v>447.72</v>
      </c>
      <c r="CL54" s="293">
        <v>0</v>
      </c>
      <c r="CM54" s="293">
        <v>1365</v>
      </c>
      <c r="CN54" s="293">
        <f t="shared" si="34"/>
        <v>16422.12</v>
      </c>
      <c r="CO54" s="293"/>
      <c r="CP54" s="58">
        <f t="shared" si="35"/>
        <v>0</v>
      </c>
      <c r="CQ54" s="223">
        <f t="shared" si="36"/>
        <v>0</v>
      </c>
      <c r="CR54" s="223">
        <f t="shared" si="37"/>
        <v>-1103.7000000000007</v>
      </c>
      <c r="CS54" s="223">
        <f t="shared" si="38"/>
        <v>390</v>
      </c>
      <c r="CT54" s="223">
        <f t="shared" si="39"/>
        <v>149.40421052631581</v>
      </c>
      <c r="CU54" s="223">
        <f t="shared" si="40"/>
        <v>0</v>
      </c>
      <c r="CV54" s="223">
        <f t="shared" si="41"/>
        <v>-118.94999999999982</v>
      </c>
      <c r="CW54" s="223">
        <f t="shared" si="42"/>
        <v>-683.24578947368468</v>
      </c>
      <c r="CX54" s="223">
        <f t="shared" si="43"/>
        <v>0</v>
      </c>
      <c r="CY54" s="58">
        <f t="shared" si="44"/>
        <v>0</v>
      </c>
      <c r="CZ54" s="399">
        <f t="shared" si="45"/>
        <v>0</v>
      </c>
      <c r="DA54" s="399">
        <f t="shared" si="46"/>
        <v>1765.9199999999983</v>
      </c>
      <c r="DB54" s="399">
        <f t="shared" si="47"/>
        <v>585</v>
      </c>
      <c r="DC54" s="399">
        <f t="shared" si="48"/>
        <v>209.06736842105263</v>
      </c>
      <c r="DD54" s="399">
        <f t="shared" si="49"/>
        <v>0</v>
      </c>
      <c r="DE54" s="399">
        <f t="shared" si="50"/>
        <v>177.84000000000015</v>
      </c>
      <c r="DF54" s="399">
        <f t="shared" si="51"/>
        <v>2737.8273684210512</v>
      </c>
      <c r="DG54" s="399">
        <f t="shared" si="52"/>
        <v>0</v>
      </c>
      <c r="DI54" s="399"/>
      <c r="DJ54" s="399"/>
      <c r="DK54" s="399"/>
      <c r="DL54" s="399"/>
      <c r="DM54" s="399"/>
      <c r="DN54" s="399"/>
      <c r="DO54" s="399"/>
      <c r="DP54" s="399"/>
      <c r="DQ54" s="399"/>
      <c r="DS54" s="399"/>
      <c r="DT54" s="399"/>
      <c r="DU54" s="399"/>
      <c r="DV54" s="399"/>
      <c r="DW54" s="399"/>
      <c r="DX54" s="399"/>
      <c r="DY54" s="399"/>
      <c r="DZ54" s="399"/>
      <c r="EB54" s="228">
        <f t="shared" si="53"/>
        <v>56182.917174515234</v>
      </c>
      <c r="EC54" s="228">
        <f t="shared" si="54"/>
        <v>0</v>
      </c>
      <c r="ED54" s="214">
        <f t="shared" si="55"/>
        <v>56182.917174515234</v>
      </c>
    </row>
    <row r="55" spans="1:134" hidden="1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3" t="str">
        <f>VLOOKUP(A55,'Summary Mar 2026'!$A$8:$F$207,6,FALSE)</f>
        <v>Chq Bk</v>
      </c>
      <c r="G55" s="33"/>
      <c r="H55" s="223">
        <v>0</v>
      </c>
      <c r="I55" s="294"/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33">
        <f t="shared" si="13"/>
        <v>0</v>
      </c>
      <c r="Q55" s="223">
        <f t="shared" si="14"/>
        <v>0</v>
      </c>
      <c r="R55" s="294"/>
      <c r="S55" s="223">
        <v>0</v>
      </c>
      <c r="T55" s="223">
        <v>0</v>
      </c>
      <c r="U55" s="223">
        <v>0</v>
      </c>
      <c r="V55" s="223">
        <v>0</v>
      </c>
      <c r="W55" s="223">
        <v>0</v>
      </c>
      <c r="X55" s="223">
        <v>0</v>
      </c>
      <c r="Y55" s="223">
        <f t="shared" si="15"/>
        <v>0</v>
      </c>
      <c r="Z55" s="223">
        <f t="shared" si="16"/>
        <v>0</v>
      </c>
      <c r="AA55" s="294"/>
      <c r="AB55" s="398">
        <v>0</v>
      </c>
      <c r="AC55" s="398">
        <v>0</v>
      </c>
      <c r="AD55" s="398">
        <v>0</v>
      </c>
      <c r="AE55" s="398">
        <v>0</v>
      </c>
      <c r="AF55" s="398">
        <v>0</v>
      </c>
      <c r="AG55" s="398">
        <v>0</v>
      </c>
      <c r="AH55" s="223">
        <f t="shared" si="17"/>
        <v>0</v>
      </c>
      <c r="AI55" s="398">
        <f t="shared" si="18"/>
        <v>0</v>
      </c>
      <c r="AJ55" s="294"/>
      <c r="AK55" s="398">
        <v>0</v>
      </c>
      <c r="AL55" s="398">
        <v>0</v>
      </c>
      <c r="AM55" s="398">
        <v>0</v>
      </c>
      <c r="AN55" s="294"/>
      <c r="AO55" s="398">
        <f t="shared" si="19"/>
        <v>0</v>
      </c>
      <c r="AP55" s="398">
        <f t="shared" si="20"/>
        <v>0</v>
      </c>
      <c r="AQ55" s="398">
        <f t="shared" si="21"/>
        <v>0</v>
      </c>
      <c r="AR55" s="293"/>
      <c r="AS55" s="293">
        <v>0</v>
      </c>
      <c r="AT55" s="576">
        <f t="shared" si="22"/>
        <v>0</v>
      </c>
      <c r="AU55" s="293"/>
      <c r="AV55" s="293">
        <v>0</v>
      </c>
      <c r="AW55" s="293">
        <v>0</v>
      </c>
      <c r="AX55" s="293">
        <v>0</v>
      </c>
      <c r="AY55" s="293">
        <v>0</v>
      </c>
      <c r="AZ55" s="293">
        <v>0</v>
      </c>
      <c r="BA55" s="293">
        <v>0</v>
      </c>
      <c r="BB55" s="293">
        <v>0</v>
      </c>
      <c r="BC55" s="293">
        <f t="shared" si="23"/>
        <v>0</v>
      </c>
      <c r="BE55" s="58">
        <f t="shared" si="24"/>
        <v>0</v>
      </c>
      <c r="BF55" s="58">
        <f t="shared" si="25"/>
        <v>0</v>
      </c>
      <c r="BG55" s="58">
        <f t="shared" si="26"/>
        <v>0</v>
      </c>
      <c r="BH55" s="58">
        <f t="shared" si="27"/>
        <v>0</v>
      </c>
      <c r="BI55" s="58">
        <f t="shared" si="28"/>
        <v>0</v>
      </c>
      <c r="BJ55" s="58">
        <f t="shared" si="29"/>
        <v>0</v>
      </c>
      <c r="BK55" s="58">
        <f t="shared" si="30"/>
        <v>0</v>
      </c>
      <c r="BL55" s="58">
        <f t="shared" si="31"/>
        <v>0</v>
      </c>
      <c r="BM55" s="33">
        <f t="shared" si="32"/>
        <v>0</v>
      </c>
      <c r="BN55" s="33"/>
      <c r="BO55" s="293">
        <f t="shared" si="56"/>
        <v>0</v>
      </c>
      <c r="BP55" s="293">
        <f t="shared" si="57"/>
        <v>0</v>
      </c>
      <c r="BQ55" s="293">
        <f t="shared" si="58"/>
        <v>0</v>
      </c>
      <c r="BR55" s="293">
        <f t="shared" si="59"/>
        <v>0</v>
      </c>
      <c r="BS55" s="293">
        <f t="shared" si="60"/>
        <v>0</v>
      </c>
      <c r="BT55" s="293">
        <f t="shared" si="61"/>
        <v>0</v>
      </c>
      <c r="BU55" s="293">
        <f t="shared" si="62"/>
        <v>0</v>
      </c>
      <c r="BV55" s="293">
        <f t="shared" si="9"/>
        <v>0</v>
      </c>
      <c r="BW55" s="293">
        <f t="shared" si="10"/>
        <v>0</v>
      </c>
      <c r="BX55" s="293">
        <v>0</v>
      </c>
      <c r="BY55" s="293">
        <v>0</v>
      </c>
      <c r="BZ55" s="293">
        <v>0</v>
      </c>
      <c r="CA55" s="293">
        <v>0</v>
      </c>
      <c r="CB55" s="293">
        <v>0</v>
      </c>
      <c r="CC55" s="293">
        <v>0</v>
      </c>
      <c r="CD55" s="293">
        <v>0</v>
      </c>
      <c r="CE55" s="293">
        <f t="shared" si="33"/>
        <v>0</v>
      </c>
      <c r="CF55" s="293"/>
      <c r="CG55" s="293">
        <v>0</v>
      </c>
      <c r="CH55" s="293">
        <v>0</v>
      </c>
      <c r="CI55" s="293">
        <v>0</v>
      </c>
      <c r="CJ55" s="293">
        <v>0</v>
      </c>
      <c r="CK55" s="293">
        <v>0</v>
      </c>
      <c r="CL55" s="293">
        <v>0</v>
      </c>
      <c r="CM55" s="293">
        <v>0</v>
      </c>
      <c r="CN55" s="293">
        <f t="shared" si="34"/>
        <v>0</v>
      </c>
      <c r="CO55" s="293"/>
      <c r="CP55" s="58">
        <f t="shared" si="35"/>
        <v>0</v>
      </c>
      <c r="CQ55" s="223">
        <f t="shared" si="36"/>
        <v>0</v>
      </c>
      <c r="CR55" s="223">
        <f t="shared" si="37"/>
        <v>0</v>
      </c>
      <c r="CS55" s="223">
        <f t="shared" si="38"/>
        <v>0</v>
      </c>
      <c r="CT55" s="223">
        <f t="shared" si="39"/>
        <v>0</v>
      </c>
      <c r="CU55" s="223">
        <f t="shared" si="40"/>
        <v>0</v>
      </c>
      <c r="CV55" s="223">
        <f t="shared" si="41"/>
        <v>0</v>
      </c>
      <c r="CW55" s="223">
        <f t="shared" si="42"/>
        <v>0</v>
      </c>
      <c r="CX55" s="223">
        <f t="shared" si="43"/>
        <v>0</v>
      </c>
      <c r="CY55" s="58">
        <f t="shared" si="44"/>
        <v>0</v>
      </c>
      <c r="CZ55" s="399">
        <f t="shared" si="45"/>
        <v>0</v>
      </c>
      <c r="DA55" s="399">
        <f t="shared" si="46"/>
        <v>0</v>
      </c>
      <c r="DB55" s="399">
        <f t="shared" si="47"/>
        <v>0</v>
      </c>
      <c r="DC55" s="399">
        <f t="shared" si="48"/>
        <v>0</v>
      </c>
      <c r="DD55" s="399">
        <f t="shared" si="49"/>
        <v>0</v>
      </c>
      <c r="DE55" s="399">
        <f t="shared" si="50"/>
        <v>0</v>
      </c>
      <c r="DF55" s="399">
        <f t="shared" si="51"/>
        <v>0</v>
      </c>
      <c r="DG55" s="399">
        <f t="shared" si="52"/>
        <v>0</v>
      </c>
      <c r="DI55" s="399"/>
      <c r="DJ55" s="399"/>
      <c r="DK55" s="399"/>
      <c r="DL55" s="399"/>
      <c r="DM55" s="399"/>
      <c r="DN55" s="399"/>
      <c r="DO55" s="399"/>
      <c r="DP55" s="399"/>
      <c r="DQ55" s="399"/>
      <c r="DS55" s="399"/>
      <c r="DT55" s="399"/>
      <c r="DU55" s="399"/>
      <c r="DV55" s="399"/>
      <c r="DW55" s="399"/>
      <c r="DX55" s="399"/>
      <c r="DY55" s="399"/>
      <c r="DZ55" s="399"/>
      <c r="EB55" s="228">
        <f t="shared" si="53"/>
        <v>0</v>
      </c>
      <c r="EC55" s="228">
        <f t="shared" si="54"/>
        <v>0</v>
      </c>
      <c r="ED55" s="214">
        <f t="shared" si="55"/>
        <v>0</v>
      </c>
    </row>
    <row r="56" spans="1:134" hidden="1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3" t="str">
        <f>VLOOKUP(A56,'Summary Mar 2026'!$A$8:$F$207,6,FALSE)</f>
        <v>Chq Bk</v>
      </c>
      <c r="G56" s="33"/>
      <c r="H56" s="223">
        <v>0</v>
      </c>
      <c r="I56" s="294"/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0</v>
      </c>
      <c r="P56" s="33">
        <f t="shared" si="13"/>
        <v>0</v>
      </c>
      <c r="Q56" s="223">
        <f t="shared" si="14"/>
        <v>0</v>
      </c>
      <c r="R56" s="294"/>
      <c r="S56" s="223">
        <v>0</v>
      </c>
      <c r="T56" s="223">
        <v>0</v>
      </c>
      <c r="U56" s="223">
        <v>0</v>
      </c>
      <c r="V56" s="223">
        <v>0</v>
      </c>
      <c r="W56" s="223">
        <v>0</v>
      </c>
      <c r="X56" s="223">
        <v>0</v>
      </c>
      <c r="Y56" s="223">
        <f t="shared" si="15"/>
        <v>0</v>
      </c>
      <c r="Z56" s="223">
        <f t="shared" si="16"/>
        <v>0</v>
      </c>
      <c r="AA56" s="294"/>
      <c r="AB56" s="398">
        <v>0</v>
      </c>
      <c r="AC56" s="398">
        <v>0</v>
      </c>
      <c r="AD56" s="398">
        <v>0</v>
      </c>
      <c r="AE56" s="398">
        <v>0</v>
      </c>
      <c r="AF56" s="398">
        <v>0</v>
      </c>
      <c r="AG56" s="398">
        <v>0</v>
      </c>
      <c r="AH56" s="223">
        <f t="shared" si="17"/>
        <v>0</v>
      </c>
      <c r="AI56" s="398">
        <f t="shared" si="18"/>
        <v>0</v>
      </c>
      <c r="AJ56" s="294"/>
      <c r="AK56" s="398">
        <v>0</v>
      </c>
      <c r="AL56" s="398">
        <v>0</v>
      </c>
      <c r="AM56" s="398">
        <v>0</v>
      </c>
      <c r="AN56" s="294"/>
      <c r="AO56" s="398">
        <f t="shared" si="19"/>
        <v>0</v>
      </c>
      <c r="AP56" s="398">
        <f t="shared" si="20"/>
        <v>0</v>
      </c>
      <c r="AQ56" s="398">
        <f t="shared" si="21"/>
        <v>0</v>
      </c>
      <c r="AR56" s="293"/>
      <c r="AS56" s="293">
        <v>0</v>
      </c>
      <c r="AT56" s="576">
        <f t="shared" si="22"/>
        <v>0</v>
      </c>
      <c r="AU56" s="293"/>
      <c r="AV56" s="293">
        <v>0</v>
      </c>
      <c r="AW56" s="293">
        <v>0</v>
      </c>
      <c r="AX56" s="293">
        <v>0</v>
      </c>
      <c r="AY56" s="293">
        <v>0</v>
      </c>
      <c r="AZ56" s="293">
        <v>0</v>
      </c>
      <c r="BA56" s="293">
        <v>0</v>
      </c>
      <c r="BB56" s="293">
        <v>0</v>
      </c>
      <c r="BC56" s="293">
        <f t="shared" si="23"/>
        <v>0</v>
      </c>
      <c r="BE56" s="58">
        <f t="shared" si="24"/>
        <v>0</v>
      </c>
      <c r="BF56" s="58">
        <f t="shared" si="25"/>
        <v>0</v>
      </c>
      <c r="BG56" s="58">
        <f t="shared" si="26"/>
        <v>0</v>
      </c>
      <c r="BH56" s="58">
        <f t="shared" si="27"/>
        <v>0</v>
      </c>
      <c r="BI56" s="58">
        <f t="shared" si="28"/>
        <v>0</v>
      </c>
      <c r="BJ56" s="58">
        <f t="shared" si="29"/>
        <v>0</v>
      </c>
      <c r="BK56" s="58">
        <f t="shared" si="30"/>
        <v>0</v>
      </c>
      <c r="BL56" s="58">
        <f t="shared" si="31"/>
        <v>0</v>
      </c>
      <c r="BM56" s="33">
        <f t="shared" si="32"/>
        <v>0</v>
      </c>
      <c r="BN56" s="33"/>
      <c r="BO56" s="293">
        <f t="shared" si="56"/>
        <v>0</v>
      </c>
      <c r="BP56" s="293">
        <f t="shared" si="57"/>
        <v>0</v>
      </c>
      <c r="BQ56" s="293">
        <f t="shared" si="58"/>
        <v>0</v>
      </c>
      <c r="BR56" s="293">
        <f t="shared" si="59"/>
        <v>0</v>
      </c>
      <c r="BS56" s="293">
        <f t="shared" si="60"/>
        <v>0</v>
      </c>
      <c r="BT56" s="293">
        <f t="shared" si="61"/>
        <v>0</v>
      </c>
      <c r="BU56" s="293">
        <f t="shared" si="62"/>
        <v>0</v>
      </c>
      <c r="BV56" s="293">
        <f t="shared" si="9"/>
        <v>0</v>
      </c>
      <c r="BW56" s="293">
        <f t="shared" si="10"/>
        <v>0</v>
      </c>
      <c r="BX56" s="293"/>
      <c r="BY56" s="293"/>
      <c r="BZ56" s="293"/>
      <c r="CA56" s="293"/>
      <c r="CB56" s="293"/>
      <c r="CC56" s="293"/>
      <c r="CD56" s="293"/>
      <c r="CE56" s="293"/>
      <c r="CF56" s="293"/>
      <c r="CG56" s="293"/>
      <c r="CH56" s="293"/>
      <c r="CI56" s="293"/>
      <c r="CJ56" s="293"/>
      <c r="CK56" s="293"/>
      <c r="CL56" s="293"/>
      <c r="CM56" s="293"/>
      <c r="CN56" s="293"/>
      <c r="CO56" s="293"/>
      <c r="CP56" s="58">
        <f t="shared" si="35"/>
        <v>0</v>
      </c>
      <c r="CQ56" s="223">
        <f t="shared" si="36"/>
        <v>0</v>
      </c>
      <c r="CR56" s="223">
        <f t="shared" si="37"/>
        <v>0</v>
      </c>
      <c r="CS56" s="223">
        <f t="shared" si="38"/>
        <v>0</v>
      </c>
      <c r="CT56" s="223">
        <f t="shared" si="39"/>
        <v>0</v>
      </c>
      <c r="CU56" s="223">
        <f t="shared" si="40"/>
        <v>0</v>
      </c>
      <c r="CV56" s="223">
        <f t="shared" si="41"/>
        <v>0</v>
      </c>
      <c r="CW56" s="223">
        <f t="shared" si="42"/>
        <v>0</v>
      </c>
      <c r="CX56" s="223">
        <f t="shared" si="43"/>
        <v>0</v>
      </c>
      <c r="CY56" s="58">
        <f t="shared" si="44"/>
        <v>0</v>
      </c>
      <c r="CZ56" s="399">
        <f t="shared" si="45"/>
        <v>0</v>
      </c>
      <c r="DA56" s="399">
        <f t="shared" si="46"/>
        <v>0</v>
      </c>
      <c r="DB56" s="399">
        <f t="shared" si="47"/>
        <v>0</v>
      </c>
      <c r="DC56" s="399">
        <f t="shared" si="48"/>
        <v>0</v>
      </c>
      <c r="DD56" s="399">
        <f t="shared" si="49"/>
        <v>0</v>
      </c>
      <c r="DE56" s="399">
        <f t="shared" si="50"/>
        <v>0</v>
      </c>
      <c r="DF56" s="399">
        <f t="shared" si="51"/>
        <v>0</v>
      </c>
      <c r="DG56" s="399">
        <f t="shared" si="52"/>
        <v>0</v>
      </c>
      <c r="DI56" s="399"/>
      <c r="DJ56" s="399"/>
      <c r="DK56" s="399"/>
      <c r="DL56" s="399"/>
      <c r="DM56" s="399"/>
      <c r="DN56" s="399"/>
      <c r="DO56" s="399"/>
      <c r="DP56" s="399"/>
      <c r="DQ56" s="399"/>
      <c r="DS56" s="399"/>
      <c r="DT56" s="399"/>
      <c r="DU56" s="399"/>
      <c r="DV56" s="399"/>
      <c r="DW56" s="399"/>
      <c r="DX56" s="399"/>
      <c r="DY56" s="399"/>
      <c r="DZ56" s="399"/>
      <c r="EB56" s="228">
        <f t="shared" si="53"/>
        <v>0</v>
      </c>
      <c r="EC56" s="228">
        <f t="shared" si="54"/>
        <v>0</v>
      </c>
      <c r="ED56" s="214">
        <f t="shared" si="55"/>
        <v>0</v>
      </c>
    </row>
    <row r="57" spans="1:134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3" t="str">
        <f>VLOOKUP(A57,'Summary Mar 2026'!$A$8:$F$207,6,FALSE)</f>
        <v>Chq Bk</v>
      </c>
      <c r="G57" s="33"/>
      <c r="H57" s="223">
        <v>191156.74801733508</v>
      </c>
      <c r="I57" s="294"/>
      <c r="J57" s="223">
        <v>0</v>
      </c>
      <c r="K57" s="223">
        <v>0</v>
      </c>
      <c r="L57" s="223">
        <v>115888.5</v>
      </c>
      <c r="M57" s="223">
        <v>3510</v>
      </c>
      <c r="N57" s="223">
        <v>0</v>
      </c>
      <c r="O57" s="223">
        <v>2246.2631578947367</v>
      </c>
      <c r="P57" s="33">
        <f t="shared" si="13"/>
        <v>121644.76315789473</v>
      </c>
      <c r="Q57" s="223">
        <f t="shared" si="14"/>
        <v>97315.810526315792</v>
      </c>
      <c r="R57" s="294"/>
      <c r="S57" s="223">
        <v>0</v>
      </c>
      <c r="T57" s="223">
        <v>8297.25</v>
      </c>
      <c r="U57" s="223">
        <v>93814.5</v>
      </c>
      <c r="V57" s="223">
        <v>2340</v>
      </c>
      <c r="W57" s="223">
        <v>149.15789473684211</v>
      </c>
      <c r="X57" s="223">
        <v>1925.3684210526317</v>
      </c>
      <c r="Y57" s="223">
        <f t="shared" si="15"/>
        <v>106526.27631578947</v>
      </c>
      <c r="Z57" s="223">
        <f t="shared" si="16"/>
        <v>85221.021052631579</v>
      </c>
      <c r="AA57" s="294"/>
      <c r="AB57" s="398">
        <v>0</v>
      </c>
      <c r="AC57" s="398">
        <v>483.72631578947363</v>
      </c>
      <c r="AD57" s="398">
        <v>94909.263157894748</v>
      </c>
      <c r="AE57" s="398">
        <v>2728.4210526315787</v>
      </c>
      <c r="AF57" s="398">
        <v>130.4376731301939</v>
      </c>
      <c r="AG57" s="398">
        <v>1777.2631578947369</v>
      </c>
      <c r="AH57" s="223">
        <f t="shared" si="17"/>
        <v>100029.11135734072</v>
      </c>
      <c r="AI57" s="398">
        <f t="shared" si="18"/>
        <v>80023.289085872588</v>
      </c>
      <c r="AJ57" s="294"/>
      <c r="AK57" s="398">
        <v>1649.6999999999998</v>
      </c>
      <c r="AL57" s="398">
        <v>1994.8500000000001</v>
      </c>
      <c r="AM57" s="398">
        <v>1543.2631578947367</v>
      </c>
      <c r="AN57" s="294"/>
      <c r="AO57" s="398">
        <f t="shared" si="19"/>
        <v>1319.76</v>
      </c>
      <c r="AP57" s="398">
        <f t="shared" si="20"/>
        <v>1595.88</v>
      </c>
      <c r="AQ57" s="398">
        <f t="shared" si="21"/>
        <v>1234.6105263157895</v>
      </c>
      <c r="AR57" s="293"/>
      <c r="AS57" s="293">
        <v>193450.09155452694</v>
      </c>
      <c r="AT57" s="576">
        <f t="shared" si="22"/>
        <v>2293.3435371918604</v>
      </c>
      <c r="AU57" s="293"/>
      <c r="AV57" s="293">
        <v>0</v>
      </c>
      <c r="AW57" s="293">
        <v>0</v>
      </c>
      <c r="AX57" s="293">
        <v>116992.2</v>
      </c>
      <c r="AY57" s="293">
        <v>4485</v>
      </c>
      <c r="AZ57" s="293">
        <v>149.15789473684211</v>
      </c>
      <c r="BA57" s="293">
        <v>2888.0099999999998</v>
      </c>
      <c r="BB57" s="293">
        <v>2145</v>
      </c>
      <c r="BC57" s="293">
        <f t="shared" si="23"/>
        <v>320109.45944926376</v>
      </c>
      <c r="BE57" s="58">
        <f t="shared" si="24"/>
        <v>0</v>
      </c>
      <c r="BF57" s="58">
        <f t="shared" si="25"/>
        <v>0</v>
      </c>
      <c r="BG57" s="58">
        <f t="shared" si="26"/>
        <v>1103.6999999999971</v>
      </c>
      <c r="BH57" s="58">
        <f t="shared" si="27"/>
        <v>975</v>
      </c>
      <c r="BI57" s="58">
        <f t="shared" si="28"/>
        <v>149.15789473684211</v>
      </c>
      <c r="BJ57" s="58">
        <f t="shared" si="29"/>
        <v>641.74684210526311</v>
      </c>
      <c r="BK57" s="58">
        <f t="shared" si="30"/>
        <v>495.30000000000018</v>
      </c>
      <c r="BL57" s="58">
        <f t="shared" si="31"/>
        <v>5658.2482740339628</v>
      </c>
      <c r="BM57" s="33">
        <f t="shared" si="32"/>
        <v>0</v>
      </c>
      <c r="BN57" s="33"/>
      <c r="BO57" s="293">
        <f t="shared" si="56"/>
        <v>0</v>
      </c>
      <c r="BP57" s="293">
        <f t="shared" si="57"/>
        <v>0</v>
      </c>
      <c r="BQ57" s="293">
        <f t="shared" si="58"/>
        <v>24281.399999999994</v>
      </c>
      <c r="BR57" s="293">
        <f t="shared" si="59"/>
        <v>1677</v>
      </c>
      <c r="BS57" s="293">
        <f t="shared" si="60"/>
        <v>149.15789473684211</v>
      </c>
      <c r="BT57" s="293">
        <f t="shared" si="61"/>
        <v>1090.9994736842104</v>
      </c>
      <c r="BU57" s="293">
        <f t="shared" si="62"/>
        <v>825.24</v>
      </c>
      <c r="BV57" s="293">
        <f t="shared" si="9"/>
        <v>30317.140905612909</v>
      </c>
      <c r="BW57" s="293">
        <f t="shared" si="10"/>
        <v>0</v>
      </c>
      <c r="BX57" s="293">
        <v>0</v>
      </c>
      <c r="BY57" s="293">
        <v>0</v>
      </c>
      <c r="BZ57" s="293">
        <v>0</v>
      </c>
      <c r="CA57" s="293">
        <v>0</v>
      </c>
      <c r="CB57" s="293">
        <v>223.73684210526315</v>
      </c>
      <c r="CC57" s="293">
        <v>5553.99</v>
      </c>
      <c r="CD57" s="293">
        <v>842.40000000000009</v>
      </c>
      <c r="CE57" s="293">
        <f t="shared" si="33"/>
        <v>6620.1268421052628</v>
      </c>
      <c r="CF57" s="293"/>
      <c r="CG57" s="293">
        <v>0</v>
      </c>
      <c r="CH57" s="293">
        <v>16594.5</v>
      </c>
      <c r="CI57" s="293">
        <v>103747.8</v>
      </c>
      <c r="CJ57" s="293">
        <v>2730</v>
      </c>
      <c r="CK57" s="293">
        <v>372.84</v>
      </c>
      <c r="CL57" s="293">
        <v>7504</v>
      </c>
      <c r="CM57" s="293">
        <v>1710.15</v>
      </c>
      <c r="CN57" s="293">
        <f t="shared" si="34"/>
        <v>132659.29</v>
      </c>
      <c r="CO57" s="293"/>
      <c r="CP57" s="58">
        <f t="shared" si="35"/>
        <v>0</v>
      </c>
      <c r="CQ57" s="223">
        <f t="shared" si="36"/>
        <v>8297.25</v>
      </c>
      <c r="CR57" s="223">
        <f t="shared" si="37"/>
        <v>9933.3000000000029</v>
      </c>
      <c r="CS57" s="223">
        <f t="shared" si="38"/>
        <v>390</v>
      </c>
      <c r="CT57" s="223">
        <f t="shared" si="39"/>
        <v>223.68210526315787</v>
      </c>
      <c r="CU57" s="223">
        <f t="shared" si="40"/>
        <v>5578.6315789473683</v>
      </c>
      <c r="CV57" s="223">
        <f t="shared" si="41"/>
        <v>-284.70000000000005</v>
      </c>
      <c r="CW57" s="223">
        <f t="shared" si="42"/>
        <v>24138.163684210525</v>
      </c>
      <c r="CX57" s="223">
        <f t="shared" si="43"/>
        <v>0</v>
      </c>
      <c r="CY57" s="58">
        <f t="shared" si="44"/>
        <v>0</v>
      </c>
      <c r="CZ57" s="399">
        <f t="shared" si="45"/>
        <v>9956.7000000000007</v>
      </c>
      <c r="DA57" s="399">
        <f t="shared" si="46"/>
        <v>28696.199999999997</v>
      </c>
      <c r="DB57" s="399">
        <f t="shared" si="47"/>
        <v>858</v>
      </c>
      <c r="DC57" s="399">
        <f t="shared" si="48"/>
        <v>253.51368421052626</v>
      </c>
      <c r="DD57" s="399">
        <f t="shared" si="49"/>
        <v>5963.7052631578945</v>
      </c>
      <c r="DE57" s="399">
        <f t="shared" si="50"/>
        <v>114.26999999999998</v>
      </c>
      <c r="DF57" s="399">
        <f t="shared" si="51"/>
        <v>45842.38894736841</v>
      </c>
      <c r="DG57" s="399">
        <f t="shared" si="52"/>
        <v>0</v>
      </c>
      <c r="DI57" s="399"/>
      <c r="DJ57" s="399"/>
      <c r="DK57" s="399"/>
      <c r="DL57" s="399"/>
      <c r="DM57" s="399"/>
      <c r="DN57" s="399"/>
      <c r="DO57" s="399"/>
      <c r="DP57" s="399"/>
      <c r="DQ57" s="399"/>
      <c r="DS57" s="399"/>
      <c r="DT57" s="399"/>
      <c r="DU57" s="399"/>
      <c r="DV57" s="399"/>
      <c r="DW57" s="399"/>
      <c r="DX57" s="399"/>
      <c r="DY57" s="399"/>
      <c r="DZ57" s="399"/>
      <c r="EB57" s="228">
        <f t="shared" si="53"/>
        <v>523278.96537724161</v>
      </c>
      <c r="EC57" s="228">
        <f t="shared" si="54"/>
        <v>17367.810526315789</v>
      </c>
      <c r="ED57" s="214">
        <f t="shared" si="55"/>
        <v>540646.77590355743</v>
      </c>
    </row>
    <row r="58" spans="1:134" hidden="1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3" t="str">
        <f>VLOOKUP(A58,'Summary Mar 2026'!$A$8:$F$207,6,FALSE)</f>
        <v>Chq Bk</v>
      </c>
      <c r="G58" s="33"/>
      <c r="H58" s="223">
        <v>0</v>
      </c>
      <c r="I58" s="294"/>
      <c r="J58" s="223">
        <v>0</v>
      </c>
      <c r="K58" s="223">
        <v>0</v>
      </c>
      <c r="L58" s="223">
        <v>0</v>
      </c>
      <c r="M58" s="223">
        <v>0</v>
      </c>
      <c r="N58" s="223">
        <v>0</v>
      </c>
      <c r="O58" s="223">
        <v>0</v>
      </c>
      <c r="P58" s="33">
        <f t="shared" si="13"/>
        <v>0</v>
      </c>
      <c r="Q58" s="223">
        <f t="shared" si="14"/>
        <v>0</v>
      </c>
      <c r="R58" s="294"/>
      <c r="S58" s="223">
        <v>0</v>
      </c>
      <c r="T58" s="223">
        <v>0</v>
      </c>
      <c r="U58" s="223">
        <v>0</v>
      </c>
      <c r="V58" s="223">
        <v>0</v>
      </c>
      <c r="W58" s="223">
        <v>0</v>
      </c>
      <c r="X58" s="223">
        <v>0</v>
      </c>
      <c r="Y58" s="223">
        <f t="shared" si="15"/>
        <v>0</v>
      </c>
      <c r="Z58" s="223">
        <f t="shared" si="16"/>
        <v>0</v>
      </c>
      <c r="AA58" s="294"/>
      <c r="AB58" s="398">
        <v>0</v>
      </c>
      <c r="AC58" s="398">
        <v>0</v>
      </c>
      <c r="AD58" s="398">
        <v>0</v>
      </c>
      <c r="AE58" s="398">
        <v>0</v>
      </c>
      <c r="AF58" s="398">
        <v>0</v>
      </c>
      <c r="AG58" s="398">
        <v>0</v>
      </c>
      <c r="AH58" s="223">
        <f t="shared" si="17"/>
        <v>0</v>
      </c>
      <c r="AI58" s="398">
        <f t="shared" si="18"/>
        <v>0</v>
      </c>
      <c r="AJ58" s="294"/>
      <c r="AK58" s="398">
        <v>0</v>
      </c>
      <c r="AL58" s="398">
        <v>0</v>
      </c>
      <c r="AM58" s="398">
        <v>0</v>
      </c>
      <c r="AN58" s="294"/>
      <c r="AO58" s="398">
        <f t="shared" si="19"/>
        <v>0</v>
      </c>
      <c r="AP58" s="398">
        <f t="shared" si="20"/>
        <v>0</v>
      </c>
      <c r="AQ58" s="398">
        <f t="shared" si="21"/>
        <v>0</v>
      </c>
      <c r="AR58" s="293"/>
      <c r="AS58" s="293">
        <v>0</v>
      </c>
      <c r="AT58" s="576">
        <f t="shared" si="22"/>
        <v>0</v>
      </c>
      <c r="AU58" s="293"/>
      <c r="AV58" s="293">
        <v>0</v>
      </c>
      <c r="AW58" s="293">
        <v>0</v>
      </c>
      <c r="AX58" s="293">
        <v>0</v>
      </c>
      <c r="AY58" s="293">
        <v>0</v>
      </c>
      <c r="AZ58" s="293">
        <v>0</v>
      </c>
      <c r="BA58" s="293">
        <v>0</v>
      </c>
      <c r="BB58" s="293">
        <v>0</v>
      </c>
      <c r="BC58" s="293">
        <f t="shared" si="23"/>
        <v>0</v>
      </c>
      <c r="BE58" s="58">
        <f t="shared" si="24"/>
        <v>0</v>
      </c>
      <c r="BF58" s="58">
        <f t="shared" si="25"/>
        <v>0</v>
      </c>
      <c r="BG58" s="58">
        <f t="shared" si="26"/>
        <v>0</v>
      </c>
      <c r="BH58" s="58">
        <f t="shared" si="27"/>
        <v>0</v>
      </c>
      <c r="BI58" s="58">
        <f t="shared" si="28"/>
        <v>0</v>
      </c>
      <c r="BJ58" s="58">
        <f t="shared" si="29"/>
        <v>0</v>
      </c>
      <c r="BK58" s="58">
        <f t="shared" si="30"/>
        <v>0</v>
      </c>
      <c r="BL58" s="58">
        <f t="shared" si="31"/>
        <v>0</v>
      </c>
      <c r="BM58" s="33">
        <f t="shared" si="32"/>
        <v>0</v>
      </c>
      <c r="BN58" s="33"/>
      <c r="BO58" s="293">
        <f t="shared" si="56"/>
        <v>0</v>
      </c>
      <c r="BP58" s="293">
        <f t="shared" si="57"/>
        <v>0</v>
      </c>
      <c r="BQ58" s="293">
        <f t="shared" si="58"/>
        <v>0</v>
      </c>
      <c r="BR58" s="293">
        <f t="shared" si="59"/>
        <v>0</v>
      </c>
      <c r="BS58" s="293">
        <f t="shared" si="60"/>
        <v>0</v>
      </c>
      <c r="BT58" s="293">
        <f t="shared" si="61"/>
        <v>0</v>
      </c>
      <c r="BU58" s="293">
        <f t="shared" si="62"/>
        <v>0</v>
      </c>
      <c r="BV58" s="293">
        <f t="shared" si="9"/>
        <v>0</v>
      </c>
      <c r="BW58" s="293">
        <f t="shared" si="10"/>
        <v>0</v>
      </c>
      <c r="BX58" s="293">
        <v>0</v>
      </c>
      <c r="BY58" s="293">
        <v>0</v>
      </c>
      <c r="BZ58" s="293">
        <v>0</v>
      </c>
      <c r="CA58" s="293">
        <v>0</v>
      </c>
      <c r="CB58" s="293">
        <v>0</v>
      </c>
      <c r="CC58" s="293">
        <v>0</v>
      </c>
      <c r="CD58" s="293">
        <v>0</v>
      </c>
      <c r="CE58" s="293">
        <f t="shared" si="33"/>
        <v>0</v>
      </c>
      <c r="CF58" s="293"/>
      <c r="CG58" s="293">
        <v>0</v>
      </c>
      <c r="CH58" s="293">
        <v>0</v>
      </c>
      <c r="CI58" s="293">
        <v>0</v>
      </c>
      <c r="CJ58" s="293">
        <v>0</v>
      </c>
      <c r="CK58" s="293">
        <v>0</v>
      </c>
      <c r="CL58" s="293">
        <v>0</v>
      </c>
      <c r="CM58" s="293">
        <v>0</v>
      </c>
      <c r="CN58" s="293">
        <f t="shared" si="34"/>
        <v>0</v>
      </c>
      <c r="CO58" s="293"/>
      <c r="CP58" s="58">
        <f t="shared" si="35"/>
        <v>0</v>
      </c>
      <c r="CQ58" s="223">
        <f t="shared" si="36"/>
        <v>0</v>
      </c>
      <c r="CR58" s="223">
        <f t="shared" si="37"/>
        <v>0</v>
      </c>
      <c r="CS58" s="223">
        <f t="shared" si="38"/>
        <v>0</v>
      </c>
      <c r="CT58" s="223">
        <f t="shared" si="39"/>
        <v>0</v>
      </c>
      <c r="CU58" s="223">
        <f t="shared" si="40"/>
        <v>0</v>
      </c>
      <c r="CV58" s="223">
        <f t="shared" si="41"/>
        <v>0</v>
      </c>
      <c r="CW58" s="223">
        <f t="shared" si="42"/>
        <v>0</v>
      </c>
      <c r="CX58" s="223">
        <f t="shared" si="43"/>
        <v>0</v>
      </c>
      <c r="CY58" s="58">
        <f t="shared" si="44"/>
        <v>0</v>
      </c>
      <c r="CZ58" s="399">
        <f t="shared" si="45"/>
        <v>0</v>
      </c>
      <c r="DA58" s="399">
        <f t="shared" si="46"/>
        <v>0</v>
      </c>
      <c r="DB58" s="399">
        <f t="shared" si="47"/>
        <v>0</v>
      </c>
      <c r="DC58" s="399">
        <f t="shared" si="48"/>
        <v>0</v>
      </c>
      <c r="DD58" s="399">
        <f t="shared" si="49"/>
        <v>0</v>
      </c>
      <c r="DE58" s="399">
        <f t="shared" si="50"/>
        <v>0</v>
      </c>
      <c r="DF58" s="399">
        <f t="shared" si="51"/>
        <v>0</v>
      </c>
      <c r="DG58" s="399">
        <f t="shared" si="52"/>
        <v>0</v>
      </c>
      <c r="DI58" s="399"/>
      <c r="DJ58" s="399"/>
      <c r="DK58" s="399"/>
      <c r="DL58" s="399"/>
      <c r="DM58" s="399"/>
      <c r="DN58" s="399"/>
      <c r="DO58" s="399"/>
      <c r="DP58" s="399"/>
      <c r="DQ58" s="399"/>
      <c r="DS58" s="399"/>
      <c r="DT58" s="399"/>
      <c r="DU58" s="399"/>
      <c r="DV58" s="399"/>
      <c r="DW58" s="399"/>
      <c r="DX58" s="399"/>
      <c r="DY58" s="399"/>
      <c r="DZ58" s="399"/>
      <c r="EB58" s="228">
        <f t="shared" si="53"/>
        <v>0</v>
      </c>
      <c r="EC58" s="228">
        <f t="shared" si="54"/>
        <v>0</v>
      </c>
      <c r="ED58" s="214">
        <f t="shared" si="55"/>
        <v>0</v>
      </c>
    </row>
    <row r="59" spans="1:134" hidden="1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3" t="str">
        <f>VLOOKUP(A59,'Summary Mar 2026'!$A$8:$F$207,6,FALSE)</f>
        <v>Chq bk</v>
      </c>
      <c r="G59" s="33"/>
      <c r="H59" s="223">
        <v>0</v>
      </c>
      <c r="I59" s="294"/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0</v>
      </c>
      <c r="P59" s="33">
        <f t="shared" si="13"/>
        <v>0</v>
      </c>
      <c r="Q59" s="223">
        <f t="shared" si="14"/>
        <v>0</v>
      </c>
      <c r="R59" s="294"/>
      <c r="S59" s="223">
        <v>0</v>
      </c>
      <c r="T59" s="223">
        <v>0</v>
      </c>
      <c r="U59" s="223">
        <v>0</v>
      </c>
      <c r="V59" s="223">
        <v>0</v>
      </c>
      <c r="W59" s="223">
        <v>0</v>
      </c>
      <c r="X59" s="223">
        <v>0</v>
      </c>
      <c r="Y59" s="223">
        <f t="shared" si="15"/>
        <v>0</v>
      </c>
      <c r="Z59" s="223">
        <f t="shared" si="16"/>
        <v>0</v>
      </c>
      <c r="AA59" s="294"/>
      <c r="AB59" s="398">
        <v>0</v>
      </c>
      <c r="AC59" s="398">
        <v>0</v>
      </c>
      <c r="AD59" s="398">
        <v>0</v>
      </c>
      <c r="AE59" s="398">
        <v>0</v>
      </c>
      <c r="AF59" s="398">
        <v>0</v>
      </c>
      <c r="AG59" s="398">
        <v>0</v>
      </c>
      <c r="AH59" s="223">
        <f t="shared" si="17"/>
        <v>0</v>
      </c>
      <c r="AI59" s="398">
        <f t="shared" si="18"/>
        <v>0</v>
      </c>
      <c r="AJ59" s="294"/>
      <c r="AK59" s="398">
        <v>0</v>
      </c>
      <c r="AL59" s="398">
        <v>0</v>
      </c>
      <c r="AM59" s="398">
        <v>0</v>
      </c>
      <c r="AN59" s="294"/>
      <c r="AO59" s="398">
        <f t="shared" si="19"/>
        <v>0</v>
      </c>
      <c r="AP59" s="398">
        <f t="shared" si="20"/>
        <v>0</v>
      </c>
      <c r="AQ59" s="398">
        <f t="shared" si="21"/>
        <v>0</v>
      </c>
      <c r="AR59" s="293"/>
      <c r="AS59" s="293">
        <v>0</v>
      </c>
      <c r="AT59" s="576">
        <f t="shared" si="22"/>
        <v>0</v>
      </c>
      <c r="AU59" s="293"/>
      <c r="AV59" s="293">
        <v>0</v>
      </c>
      <c r="AW59" s="293">
        <v>0</v>
      </c>
      <c r="AX59" s="293">
        <v>0</v>
      </c>
      <c r="AY59" s="293">
        <v>0</v>
      </c>
      <c r="AZ59" s="293">
        <v>0</v>
      </c>
      <c r="BA59" s="293">
        <v>0</v>
      </c>
      <c r="BB59" s="293">
        <v>0</v>
      </c>
      <c r="BC59" s="293">
        <f t="shared" si="23"/>
        <v>0</v>
      </c>
      <c r="BE59" s="58">
        <f t="shared" si="24"/>
        <v>0</v>
      </c>
      <c r="BF59" s="58">
        <f t="shared" si="25"/>
        <v>0</v>
      </c>
      <c r="BG59" s="58">
        <f t="shared" si="26"/>
        <v>0</v>
      </c>
      <c r="BH59" s="58">
        <f t="shared" si="27"/>
        <v>0</v>
      </c>
      <c r="BI59" s="58">
        <f t="shared" si="28"/>
        <v>0</v>
      </c>
      <c r="BJ59" s="58">
        <f t="shared" si="29"/>
        <v>0</v>
      </c>
      <c r="BK59" s="58">
        <f t="shared" si="30"/>
        <v>0</v>
      </c>
      <c r="BL59" s="58">
        <f t="shared" si="31"/>
        <v>0</v>
      </c>
      <c r="BM59" s="33">
        <f t="shared" si="32"/>
        <v>0</v>
      </c>
      <c r="BN59" s="33"/>
      <c r="BO59" s="293">
        <f t="shared" si="56"/>
        <v>0</v>
      </c>
      <c r="BP59" s="293">
        <f t="shared" si="57"/>
        <v>0</v>
      </c>
      <c r="BQ59" s="293">
        <f t="shared" si="58"/>
        <v>0</v>
      </c>
      <c r="BR59" s="293">
        <f t="shared" si="59"/>
        <v>0</v>
      </c>
      <c r="BS59" s="293">
        <f t="shared" si="60"/>
        <v>0</v>
      </c>
      <c r="BT59" s="293">
        <f t="shared" si="61"/>
        <v>0</v>
      </c>
      <c r="BU59" s="293">
        <f t="shared" si="62"/>
        <v>0</v>
      </c>
      <c r="BV59" s="293">
        <f t="shared" si="9"/>
        <v>0</v>
      </c>
      <c r="BW59" s="293">
        <f t="shared" si="10"/>
        <v>0</v>
      </c>
      <c r="BX59" s="293">
        <v>0</v>
      </c>
      <c r="BY59" s="293">
        <v>0</v>
      </c>
      <c r="BZ59" s="293">
        <v>0</v>
      </c>
      <c r="CA59" s="293">
        <v>0</v>
      </c>
      <c r="CB59" s="293">
        <v>0</v>
      </c>
      <c r="CC59" s="293">
        <v>0</v>
      </c>
      <c r="CD59" s="293">
        <v>0</v>
      </c>
      <c r="CE59" s="293">
        <f t="shared" si="33"/>
        <v>0</v>
      </c>
      <c r="CF59" s="293"/>
      <c r="CG59" s="293">
        <v>0</v>
      </c>
      <c r="CH59" s="293">
        <v>0</v>
      </c>
      <c r="CI59" s="293">
        <v>0</v>
      </c>
      <c r="CJ59" s="293">
        <v>0</v>
      </c>
      <c r="CK59" s="293">
        <v>0</v>
      </c>
      <c r="CL59" s="293">
        <v>0</v>
      </c>
      <c r="CM59" s="293">
        <v>0</v>
      </c>
      <c r="CN59" s="293">
        <f t="shared" si="34"/>
        <v>0</v>
      </c>
      <c r="CO59" s="293"/>
      <c r="CP59" s="58">
        <f t="shared" si="35"/>
        <v>0</v>
      </c>
      <c r="CQ59" s="223">
        <f t="shared" si="36"/>
        <v>0</v>
      </c>
      <c r="CR59" s="223">
        <f t="shared" si="37"/>
        <v>0</v>
      </c>
      <c r="CS59" s="223">
        <f t="shared" si="38"/>
        <v>0</v>
      </c>
      <c r="CT59" s="223">
        <f t="shared" si="39"/>
        <v>0</v>
      </c>
      <c r="CU59" s="223">
        <f t="shared" si="40"/>
        <v>0</v>
      </c>
      <c r="CV59" s="223">
        <f t="shared" si="41"/>
        <v>0</v>
      </c>
      <c r="CW59" s="223">
        <f t="shared" si="42"/>
        <v>0</v>
      </c>
      <c r="CX59" s="223">
        <f t="shared" si="43"/>
        <v>0</v>
      </c>
      <c r="CY59" s="58">
        <f t="shared" si="44"/>
        <v>0</v>
      </c>
      <c r="CZ59" s="399">
        <f t="shared" si="45"/>
        <v>0</v>
      </c>
      <c r="DA59" s="399">
        <f t="shared" si="46"/>
        <v>0</v>
      </c>
      <c r="DB59" s="399">
        <f t="shared" si="47"/>
        <v>0</v>
      </c>
      <c r="DC59" s="399">
        <f t="shared" si="48"/>
        <v>0</v>
      </c>
      <c r="DD59" s="399">
        <f t="shared" si="49"/>
        <v>0</v>
      </c>
      <c r="DE59" s="399">
        <f t="shared" si="50"/>
        <v>0</v>
      </c>
      <c r="DF59" s="399">
        <f t="shared" si="51"/>
        <v>0</v>
      </c>
      <c r="DG59" s="399">
        <f t="shared" si="52"/>
        <v>0</v>
      </c>
      <c r="DI59" s="399"/>
      <c r="DJ59" s="399"/>
      <c r="DK59" s="399"/>
      <c r="DL59" s="399"/>
      <c r="DM59" s="399"/>
      <c r="DN59" s="399"/>
      <c r="DO59" s="399"/>
      <c r="DP59" s="399"/>
      <c r="DQ59" s="399"/>
      <c r="DS59" s="399"/>
      <c r="DT59" s="399"/>
      <c r="DU59" s="399"/>
      <c r="DV59" s="399"/>
      <c r="DW59" s="399"/>
      <c r="DX59" s="399"/>
      <c r="DY59" s="399"/>
      <c r="DZ59" s="399"/>
      <c r="EB59" s="228">
        <f t="shared" si="53"/>
        <v>0</v>
      </c>
      <c r="EC59" s="228">
        <f t="shared" si="54"/>
        <v>0</v>
      </c>
      <c r="ED59" s="214">
        <f t="shared" si="55"/>
        <v>0</v>
      </c>
    </row>
    <row r="60" spans="1:134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3" t="str">
        <f>VLOOKUP(A60,'Summary Mar 2026'!$A$8:$F$207,6,FALSE)</f>
        <v>Chq Bk</v>
      </c>
      <c r="G60" s="33"/>
      <c r="H60" s="223">
        <v>239170.68324842979</v>
      </c>
      <c r="I60" s="294"/>
      <c r="J60" s="223">
        <v>0</v>
      </c>
      <c r="K60" s="223">
        <v>24891.75</v>
      </c>
      <c r="L60" s="223">
        <v>142377.29999999999</v>
      </c>
      <c r="M60" s="223">
        <v>8385</v>
      </c>
      <c r="N60" s="223">
        <v>3057.7368421052633</v>
      </c>
      <c r="O60" s="223">
        <v>1283.578947368421</v>
      </c>
      <c r="P60" s="33">
        <f t="shared" si="13"/>
        <v>179995.36578947367</v>
      </c>
      <c r="Q60" s="223">
        <f t="shared" si="14"/>
        <v>143996.29263157895</v>
      </c>
      <c r="R60" s="294"/>
      <c r="S60" s="223">
        <v>0</v>
      </c>
      <c r="T60" s="223">
        <v>53102.400000000001</v>
      </c>
      <c r="U60" s="223">
        <v>118095.9</v>
      </c>
      <c r="V60" s="223">
        <v>7020</v>
      </c>
      <c r="W60" s="223">
        <v>2684.8421052631579</v>
      </c>
      <c r="X60" s="223">
        <v>1925.3684210526317</v>
      </c>
      <c r="Y60" s="223">
        <f t="shared" si="15"/>
        <v>182828.51052631577</v>
      </c>
      <c r="Z60" s="223">
        <f t="shared" si="16"/>
        <v>146262.80842105261</v>
      </c>
      <c r="AA60" s="294"/>
      <c r="AB60" s="398">
        <v>0</v>
      </c>
      <c r="AC60" s="398">
        <v>23702.589473684209</v>
      </c>
      <c r="AD60" s="398">
        <v>114856.29473684212</v>
      </c>
      <c r="AE60" s="398">
        <v>6195.78947368421</v>
      </c>
      <c r="AF60" s="398">
        <v>2326.1385041551248</v>
      </c>
      <c r="AG60" s="398">
        <v>1216.0221606648201</v>
      </c>
      <c r="AH60" s="223">
        <f t="shared" si="17"/>
        <v>148296.83434903048</v>
      </c>
      <c r="AI60" s="398">
        <f t="shared" si="18"/>
        <v>118637.46747922439</v>
      </c>
      <c r="AJ60" s="294"/>
      <c r="AK60" s="398">
        <v>2224.9499999999998</v>
      </c>
      <c r="AL60" s="398">
        <v>1889.55</v>
      </c>
      <c r="AM60" s="398">
        <v>1700.7157894736843</v>
      </c>
      <c r="AN60" s="294"/>
      <c r="AO60" s="398">
        <f t="shared" si="19"/>
        <v>1779.96</v>
      </c>
      <c r="AP60" s="398">
        <f t="shared" si="20"/>
        <v>1511.64</v>
      </c>
      <c r="AQ60" s="398">
        <f t="shared" si="21"/>
        <v>1360.5726315789475</v>
      </c>
      <c r="AR60" s="293"/>
      <c r="AS60" s="293">
        <v>239539.71773641926</v>
      </c>
      <c r="AT60" s="576">
        <f t="shared" si="22"/>
        <v>369.0344879894692</v>
      </c>
      <c r="AU60" s="293"/>
      <c r="AV60" s="293">
        <v>0</v>
      </c>
      <c r="AW60" s="293">
        <v>24891.75</v>
      </c>
      <c r="AX60" s="293">
        <v>146792.1</v>
      </c>
      <c r="AY60" s="293">
        <v>8970</v>
      </c>
      <c r="AZ60" s="293">
        <v>3430.6315789473683</v>
      </c>
      <c r="BA60" s="293">
        <v>3208.8999999999996</v>
      </c>
      <c r="BB60" s="293">
        <v>1848.6</v>
      </c>
      <c r="BC60" s="293">
        <f t="shared" si="23"/>
        <v>428681.69931536663</v>
      </c>
      <c r="BE60" s="58">
        <f t="shared" si="24"/>
        <v>0</v>
      </c>
      <c r="BF60" s="58">
        <f t="shared" si="25"/>
        <v>0</v>
      </c>
      <c r="BG60" s="58">
        <f t="shared" si="26"/>
        <v>4414.8000000000175</v>
      </c>
      <c r="BH60" s="58">
        <f t="shared" si="27"/>
        <v>585</v>
      </c>
      <c r="BI60" s="58">
        <f t="shared" si="28"/>
        <v>372.89473684210498</v>
      </c>
      <c r="BJ60" s="58">
        <f t="shared" si="29"/>
        <v>1925.3210526315786</v>
      </c>
      <c r="BK60" s="58">
        <f t="shared" si="30"/>
        <v>-376.34999999999991</v>
      </c>
      <c r="BL60" s="58">
        <f t="shared" si="31"/>
        <v>7290.700277463171</v>
      </c>
      <c r="BM60" s="33">
        <f t="shared" si="32"/>
        <v>0</v>
      </c>
      <c r="BN60" s="33"/>
      <c r="BO60" s="293">
        <f t="shared" si="56"/>
        <v>0</v>
      </c>
      <c r="BP60" s="293">
        <f t="shared" si="57"/>
        <v>4978.3499999999985</v>
      </c>
      <c r="BQ60" s="293">
        <f t="shared" si="58"/>
        <v>32890.260000000009</v>
      </c>
      <c r="BR60" s="293">
        <f t="shared" si="59"/>
        <v>2262</v>
      </c>
      <c r="BS60" s="293">
        <f t="shared" si="60"/>
        <v>984.44210526315737</v>
      </c>
      <c r="BT60" s="293">
        <f t="shared" si="61"/>
        <v>2182.0368421052626</v>
      </c>
      <c r="BU60" s="293">
        <f t="shared" si="62"/>
        <v>68.639999999999873</v>
      </c>
      <c r="BV60" s="293">
        <f t="shared" si="9"/>
        <v>43734.763435357898</v>
      </c>
      <c r="BW60" s="293">
        <f t="shared" si="10"/>
        <v>2.9103830456733704E-11</v>
      </c>
      <c r="BX60" s="293">
        <v>0</v>
      </c>
      <c r="BY60" s="293">
        <v>-6637.8000000000029</v>
      </c>
      <c r="BZ60" s="293">
        <v>0</v>
      </c>
      <c r="CA60" s="293">
        <v>0</v>
      </c>
      <c r="CB60" s="293">
        <v>894.94736842105249</v>
      </c>
      <c r="CC60" s="293">
        <v>6171.1</v>
      </c>
      <c r="CD60" s="293">
        <v>789.75</v>
      </c>
      <c r="CE60" s="293">
        <f t="shared" si="33"/>
        <v>1217.9973684210499</v>
      </c>
      <c r="CF60" s="293"/>
      <c r="CG60" s="293">
        <v>0</v>
      </c>
      <c r="CH60" s="293">
        <v>69696.899999999994</v>
      </c>
      <c r="CI60" s="293">
        <v>114784.8</v>
      </c>
      <c r="CJ60" s="293">
        <v>7995</v>
      </c>
      <c r="CK60" s="293">
        <v>4401.0200000000004</v>
      </c>
      <c r="CL60" s="293">
        <v>5628</v>
      </c>
      <c r="CM60" s="293">
        <v>2412.1499999999996</v>
      </c>
      <c r="CN60" s="293">
        <f t="shared" si="34"/>
        <v>204917.87</v>
      </c>
      <c r="CO60" s="293"/>
      <c r="CP60" s="58">
        <f t="shared" si="35"/>
        <v>0</v>
      </c>
      <c r="CQ60" s="223">
        <f t="shared" si="36"/>
        <v>16594.499999999993</v>
      </c>
      <c r="CR60" s="223">
        <f t="shared" si="37"/>
        <v>-3311.0999999999913</v>
      </c>
      <c r="CS60" s="223">
        <f t="shared" si="38"/>
        <v>975</v>
      </c>
      <c r="CT60" s="223">
        <f t="shared" si="39"/>
        <v>1716.1778947368425</v>
      </c>
      <c r="CU60" s="223">
        <f t="shared" si="40"/>
        <v>3702.6315789473683</v>
      </c>
      <c r="CV60" s="223">
        <f t="shared" si="41"/>
        <v>522.59999999999968</v>
      </c>
      <c r="CW60" s="223">
        <f t="shared" si="42"/>
        <v>20199.80947368421</v>
      </c>
      <c r="CX60" s="223">
        <f t="shared" si="43"/>
        <v>0</v>
      </c>
      <c r="CY60" s="58">
        <f t="shared" si="44"/>
        <v>0</v>
      </c>
      <c r="CZ60" s="399">
        <f t="shared" si="45"/>
        <v>27214.979999999989</v>
      </c>
      <c r="DA60" s="399">
        <f t="shared" si="46"/>
        <v>20308.080000000002</v>
      </c>
      <c r="DB60" s="399">
        <f t="shared" si="47"/>
        <v>2379</v>
      </c>
      <c r="DC60" s="399">
        <f t="shared" si="48"/>
        <v>2253.1463157894741</v>
      </c>
      <c r="DD60" s="399">
        <f t="shared" si="49"/>
        <v>4087.7052631578945</v>
      </c>
      <c r="DE60" s="399">
        <f t="shared" si="50"/>
        <v>900.50999999999954</v>
      </c>
      <c r="DF60" s="399">
        <f t="shared" si="51"/>
        <v>57143.42157894736</v>
      </c>
      <c r="DG60" s="399">
        <f t="shared" si="52"/>
        <v>0</v>
      </c>
      <c r="DI60" s="399"/>
      <c r="DJ60" s="399"/>
      <c r="DK60" s="399"/>
      <c r="DL60" s="399"/>
      <c r="DM60" s="399"/>
      <c r="DN60" s="399"/>
      <c r="DO60" s="399"/>
      <c r="DP60" s="399"/>
      <c r="DQ60" s="399"/>
      <c r="DS60" s="399"/>
      <c r="DT60" s="399"/>
      <c r="DU60" s="399"/>
      <c r="DV60" s="399"/>
      <c r="DW60" s="399"/>
      <c r="DX60" s="399"/>
      <c r="DY60" s="399"/>
      <c r="DZ60" s="399"/>
      <c r="EB60" s="228">
        <f t="shared" si="53"/>
        <v>738834.78906605917</v>
      </c>
      <c r="EC60" s="228">
        <f t="shared" si="54"/>
        <v>15980.817728531856</v>
      </c>
      <c r="ED60" s="214">
        <f t="shared" si="55"/>
        <v>754815.60679459106</v>
      </c>
    </row>
    <row r="61" spans="1:134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3" t="str">
        <f>VLOOKUP(A61,'Summary Mar 2026'!$A$8:$F$207,6,FALSE)</f>
        <v>Chq Bk</v>
      </c>
      <c r="G61" s="33"/>
      <c r="H61" s="223">
        <v>210295.48774378013</v>
      </c>
      <c r="I61" s="294"/>
      <c r="J61" s="223">
        <v>2324.4</v>
      </c>
      <c r="K61" s="223">
        <v>41486.25</v>
      </c>
      <c r="L61" s="223">
        <v>109266.30000000002</v>
      </c>
      <c r="M61" s="223">
        <v>7995</v>
      </c>
      <c r="N61" s="223">
        <v>1118.6842105263158</v>
      </c>
      <c r="O61" s="223">
        <v>3529.8421052631579</v>
      </c>
      <c r="P61" s="33">
        <f t="shared" si="13"/>
        <v>165720.47631578948</v>
      </c>
      <c r="Q61" s="223">
        <f t="shared" si="14"/>
        <v>132576.38105263159</v>
      </c>
      <c r="R61" s="294"/>
      <c r="S61" s="223">
        <v>2324.4</v>
      </c>
      <c r="T61" s="223">
        <v>49783.5</v>
      </c>
      <c r="U61" s="223">
        <v>55185</v>
      </c>
      <c r="V61" s="223">
        <v>5460</v>
      </c>
      <c r="W61" s="223">
        <v>2088.2105263157896</v>
      </c>
      <c r="X61" s="223">
        <v>0</v>
      </c>
      <c r="Y61" s="223">
        <f t="shared" si="15"/>
        <v>114841.11052631578</v>
      </c>
      <c r="Z61" s="223">
        <f t="shared" si="16"/>
        <v>91872.88842105263</v>
      </c>
      <c r="AA61" s="294"/>
      <c r="AB61" s="398">
        <v>2145.6000000000004</v>
      </c>
      <c r="AC61" s="398">
        <v>31442.21052631579</v>
      </c>
      <c r="AD61" s="398">
        <v>76570.863157894739</v>
      </c>
      <c r="AE61" s="398">
        <v>5115.78947368421</v>
      </c>
      <c r="AF61" s="398">
        <v>1239.1578947368421</v>
      </c>
      <c r="AG61" s="398">
        <v>1964.3434903047093</v>
      </c>
      <c r="AH61" s="223">
        <f t="shared" si="17"/>
        <v>118477.9645429363</v>
      </c>
      <c r="AI61" s="398">
        <f t="shared" si="18"/>
        <v>94782.371634349052</v>
      </c>
      <c r="AJ61" s="294"/>
      <c r="AK61" s="398">
        <v>4572.75</v>
      </c>
      <c r="AL61" s="398">
        <v>3344.25</v>
      </c>
      <c r="AM61" s="398">
        <v>3200.7789473684211</v>
      </c>
      <c r="AN61" s="294"/>
      <c r="AO61" s="398">
        <f t="shared" si="19"/>
        <v>3658.2000000000003</v>
      </c>
      <c r="AP61" s="398">
        <f t="shared" si="20"/>
        <v>2675.4</v>
      </c>
      <c r="AQ61" s="398">
        <f t="shared" si="21"/>
        <v>2560.6231578947372</v>
      </c>
      <c r="AR61" s="293"/>
      <c r="AS61" s="293">
        <v>213318.27699272748</v>
      </c>
      <c r="AT61" s="576">
        <f t="shared" si="22"/>
        <v>3022.7892489473452</v>
      </c>
      <c r="AU61" s="293"/>
      <c r="AV61" s="293">
        <v>0</v>
      </c>
      <c r="AW61" s="293">
        <v>41486.25</v>
      </c>
      <c r="AX61" s="293">
        <v>105955.20000000001</v>
      </c>
      <c r="AY61" s="293">
        <v>8580</v>
      </c>
      <c r="AZ61" s="293">
        <v>1267.8421052631579</v>
      </c>
      <c r="BA61" s="293">
        <v>1604.4499999999998</v>
      </c>
      <c r="BB61" s="293">
        <v>4543.5</v>
      </c>
      <c r="BC61" s="293">
        <f t="shared" si="23"/>
        <v>376755.51909799065</v>
      </c>
      <c r="BE61" s="58">
        <f t="shared" si="24"/>
        <v>-2324.4</v>
      </c>
      <c r="BF61" s="58">
        <f t="shared" si="25"/>
        <v>0</v>
      </c>
      <c r="BG61" s="58">
        <f t="shared" si="26"/>
        <v>-3311.1000000000058</v>
      </c>
      <c r="BH61" s="58">
        <f t="shared" si="27"/>
        <v>585</v>
      </c>
      <c r="BI61" s="58">
        <f t="shared" si="28"/>
        <v>149.15789473684208</v>
      </c>
      <c r="BJ61" s="58">
        <f t="shared" si="29"/>
        <v>-1925.3921052631581</v>
      </c>
      <c r="BK61" s="58">
        <f t="shared" si="30"/>
        <v>-29.25</v>
      </c>
      <c r="BL61" s="58">
        <f t="shared" si="31"/>
        <v>-3833.1949615789763</v>
      </c>
      <c r="BM61" s="33">
        <f t="shared" si="32"/>
        <v>0</v>
      </c>
      <c r="BN61" s="33"/>
      <c r="BO61" s="293">
        <f t="shared" si="56"/>
        <v>-1859.5200000000002</v>
      </c>
      <c r="BP61" s="293">
        <f t="shared" si="57"/>
        <v>8297.25</v>
      </c>
      <c r="BQ61" s="293">
        <f t="shared" si="58"/>
        <v>18542.159999999989</v>
      </c>
      <c r="BR61" s="293">
        <f t="shared" si="59"/>
        <v>2184</v>
      </c>
      <c r="BS61" s="293">
        <f t="shared" si="60"/>
        <v>372.8947368421052</v>
      </c>
      <c r="BT61" s="293">
        <f t="shared" si="61"/>
        <v>-1219.4236842105265</v>
      </c>
      <c r="BU61" s="293">
        <f t="shared" si="62"/>
        <v>885.29999999999973</v>
      </c>
      <c r="BV61" s="293">
        <f t="shared" si="9"/>
        <v>30225.450301578912</v>
      </c>
      <c r="BW61" s="293">
        <f t="shared" si="10"/>
        <v>0</v>
      </c>
      <c r="BX61" s="293">
        <v>0</v>
      </c>
      <c r="BY61" s="293">
        <v>4978.3499999999985</v>
      </c>
      <c r="BZ61" s="293">
        <v>0</v>
      </c>
      <c r="CA61" s="293">
        <v>0</v>
      </c>
      <c r="CB61" s="293">
        <v>671.21052631578959</v>
      </c>
      <c r="CC61" s="293">
        <v>3085.55</v>
      </c>
      <c r="CD61" s="293">
        <v>1054.9499999999998</v>
      </c>
      <c r="CE61" s="293">
        <f t="shared" si="33"/>
        <v>9790.0605263157886</v>
      </c>
      <c r="CF61" s="293"/>
      <c r="CG61" s="293">
        <v>13946.4</v>
      </c>
      <c r="CH61" s="293">
        <v>64846.2</v>
      </c>
      <c r="CI61" s="293">
        <v>67325.700000000012</v>
      </c>
      <c r="CJ61" s="293">
        <v>6825</v>
      </c>
      <c r="CK61" s="293">
        <v>1379.8200000000002</v>
      </c>
      <c r="CL61" s="293">
        <v>2814</v>
      </c>
      <c r="CM61" s="293">
        <v>4011.1499999999996</v>
      </c>
      <c r="CN61" s="293">
        <f t="shared" si="34"/>
        <v>161148.26999999999</v>
      </c>
      <c r="CO61" s="293"/>
      <c r="CP61" s="58">
        <f t="shared" si="35"/>
        <v>11622</v>
      </c>
      <c r="CQ61" s="223">
        <f t="shared" si="36"/>
        <v>15062.699999999997</v>
      </c>
      <c r="CR61" s="223">
        <f t="shared" si="37"/>
        <v>12140.700000000012</v>
      </c>
      <c r="CS61" s="223">
        <f t="shared" si="38"/>
        <v>1365</v>
      </c>
      <c r="CT61" s="223">
        <f t="shared" si="39"/>
        <v>-708.39052631578943</v>
      </c>
      <c r="CU61" s="223">
        <f t="shared" si="40"/>
        <v>2814</v>
      </c>
      <c r="CV61" s="223">
        <f t="shared" si="41"/>
        <v>666.89999999999964</v>
      </c>
      <c r="CW61" s="223">
        <f t="shared" si="42"/>
        <v>42962.909473684223</v>
      </c>
      <c r="CX61" s="223">
        <f t="shared" si="43"/>
        <v>0</v>
      </c>
      <c r="CY61" s="58">
        <f t="shared" si="44"/>
        <v>12086.88</v>
      </c>
      <c r="CZ61" s="399">
        <f t="shared" si="45"/>
        <v>25019.399999999994</v>
      </c>
      <c r="DA61" s="399">
        <f t="shared" si="46"/>
        <v>23177.700000000012</v>
      </c>
      <c r="DB61" s="399">
        <f t="shared" si="47"/>
        <v>2457</v>
      </c>
      <c r="DC61" s="399">
        <f t="shared" si="48"/>
        <v>-290.74842105263156</v>
      </c>
      <c r="DD61" s="399">
        <f t="shared" si="49"/>
        <v>2814</v>
      </c>
      <c r="DE61" s="399">
        <f t="shared" si="50"/>
        <v>1335.7499999999995</v>
      </c>
      <c r="DF61" s="399">
        <f t="shared" si="51"/>
        <v>66599.981578947365</v>
      </c>
      <c r="DG61" s="399">
        <f t="shared" si="52"/>
        <v>0</v>
      </c>
      <c r="DI61" s="399"/>
      <c r="DJ61" s="399"/>
      <c r="DK61" s="399"/>
      <c r="DL61" s="399"/>
      <c r="DM61" s="399"/>
      <c r="DN61" s="399"/>
      <c r="DO61" s="399"/>
      <c r="DP61" s="399"/>
      <c r="DQ61" s="399"/>
      <c r="DS61" s="399"/>
      <c r="DT61" s="399"/>
      <c r="DU61" s="399"/>
      <c r="DV61" s="399"/>
      <c r="DW61" s="399"/>
      <c r="DX61" s="399"/>
      <c r="DY61" s="399"/>
      <c r="DZ61" s="399"/>
      <c r="EB61" s="228">
        <f t="shared" si="53"/>
        <v>635961.36962430645</v>
      </c>
      <c r="EC61" s="228">
        <f t="shared" si="54"/>
        <v>9075.4747922437673</v>
      </c>
      <c r="ED61" s="214">
        <f t="shared" si="55"/>
        <v>645036.84441655024</v>
      </c>
    </row>
    <row r="62" spans="1:134" hidden="1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3" t="str">
        <f>VLOOKUP(A62,'Summary Mar 2026'!$A$8:$F$207,6,FALSE)</f>
        <v>Chq Bk</v>
      </c>
      <c r="G62" s="33"/>
      <c r="H62" s="223">
        <v>0</v>
      </c>
      <c r="I62" s="294"/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33">
        <f t="shared" si="13"/>
        <v>0</v>
      </c>
      <c r="Q62" s="223">
        <f t="shared" si="14"/>
        <v>0</v>
      </c>
      <c r="R62" s="294"/>
      <c r="S62" s="223">
        <v>0</v>
      </c>
      <c r="T62" s="223">
        <v>0</v>
      </c>
      <c r="U62" s="223">
        <v>0</v>
      </c>
      <c r="V62" s="223">
        <v>0</v>
      </c>
      <c r="W62" s="223">
        <v>0</v>
      </c>
      <c r="X62" s="223">
        <v>0</v>
      </c>
      <c r="Y62" s="223">
        <f t="shared" si="15"/>
        <v>0</v>
      </c>
      <c r="Z62" s="223">
        <f t="shared" si="16"/>
        <v>0</v>
      </c>
      <c r="AA62" s="294"/>
      <c r="AB62" s="398">
        <v>0</v>
      </c>
      <c r="AC62" s="398">
        <v>0</v>
      </c>
      <c r="AD62" s="398">
        <v>0</v>
      </c>
      <c r="AE62" s="398">
        <v>0</v>
      </c>
      <c r="AF62" s="398">
        <v>0</v>
      </c>
      <c r="AG62" s="398">
        <v>0</v>
      </c>
      <c r="AH62" s="223">
        <f t="shared" si="17"/>
        <v>0</v>
      </c>
      <c r="AI62" s="398">
        <f t="shared" si="18"/>
        <v>0</v>
      </c>
      <c r="AJ62" s="294"/>
      <c r="AK62" s="398">
        <v>0</v>
      </c>
      <c r="AL62" s="398">
        <v>0</v>
      </c>
      <c r="AM62" s="398">
        <v>0</v>
      </c>
      <c r="AN62" s="294"/>
      <c r="AO62" s="398">
        <f t="shared" si="19"/>
        <v>0</v>
      </c>
      <c r="AP62" s="398">
        <f t="shared" si="20"/>
        <v>0</v>
      </c>
      <c r="AQ62" s="398">
        <f t="shared" si="21"/>
        <v>0</v>
      </c>
      <c r="AR62" s="293"/>
      <c r="AS62" s="293">
        <v>0</v>
      </c>
      <c r="AT62" s="576">
        <f t="shared" si="22"/>
        <v>0</v>
      </c>
      <c r="AU62" s="293"/>
      <c r="AV62" s="293">
        <v>0</v>
      </c>
      <c r="AW62" s="293">
        <v>0</v>
      </c>
      <c r="AX62" s="293">
        <v>0</v>
      </c>
      <c r="AY62" s="293">
        <v>0</v>
      </c>
      <c r="AZ62" s="293">
        <v>0</v>
      </c>
      <c r="BA62" s="293">
        <v>0</v>
      </c>
      <c r="BB62" s="293">
        <v>0</v>
      </c>
      <c r="BC62" s="293">
        <f t="shared" si="23"/>
        <v>0</v>
      </c>
      <c r="BE62" s="58">
        <f t="shared" si="24"/>
        <v>0</v>
      </c>
      <c r="BF62" s="58">
        <f t="shared" si="25"/>
        <v>0</v>
      </c>
      <c r="BG62" s="58">
        <f t="shared" si="26"/>
        <v>0</v>
      </c>
      <c r="BH62" s="58">
        <f t="shared" si="27"/>
        <v>0</v>
      </c>
      <c r="BI62" s="58">
        <f t="shared" si="28"/>
        <v>0</v>
      </c>
      <c r="BJ62" s="58">
        <f t="shared" si="29"/>
        <v>0</v>
      </c>
      <c r="BK62" s="58">
        <f t="shared" si="30"/>
        <v>0</v>
      </c>
      <c r="BL62" s="58">
        <f t="shared" si="31"/>
        <v>0</v>
      </c>
      <c r="BM62" s="33">
        <f t="shared" si="32"/>
        <v>0</v>
      </c>
      <c r="BN62" s="33"/>
      <c r="BO62" s="293">
        <f t="shared" si="56"/>
        <v>0</v>
      </c>
      <c r="BP62" s="293">
        <f t="shared" si="57"/>
        <v>0</v>
      </c>
      <c r="BQ62" s="293">
        <f t="shared" si="58"/>
        <v>0</v>
      </c>
      <c r="BR62" s="293">
        <f t="shared" si="59"/>
        <v>0</v>
      </c>
      <c r="BS62" s="293">
        <f t="shared" si="60"/>
        <v>0</v>
      </c>
      <c r="BT62" s="293">
        <f t="shared" si="61"/>
        <v>0</v>
      </c>
      <c r="BU62" s="293">
        <f t="shared" si="62"/>
        <v>0</v>
      </c>
      <c r="BV62" s="293">
        <f t="shared" si="9"/>
        <v>0</v>
      </c>
      <c r="BW62" s="293">
        <f t="shared" si="10"/>
        <v>0</v>
      </c>
      <c r="BX62" s="293">
        <v>0</v>
      </c>
      <c r="BY62" s="293">
        <v>0</v>
      </c>
      <c r="BZ62" s="293">
        <v>0</v>
      </c>
      <c r="CA62" s="293">
        <v>0</v>
      </c>
      <c r="CB62" s="293">
        <v>0</v>
      </c>
      <c r="CC62" s="293">
        <v>0</v>
      </c>
      <c r="CD62" s="293">
        <v>0</v>
      </c>
      <c r="CE62" s="293">
        <f t="shared" si="33"/>
        <v>0</v>
      </c>
      <c r="CF62" s="293"/>
      <c r="CG62" s="293">
        <v>0</v>
      </c>
      <c r="CH62" s="293">
        <v>0</v>
      </c>
      <c r="CI62" s="293">
        <v>0</v>
      </c>
      <c r="CJ62" s="293">
        <v>0</v>
      </c>
      <c r="CK62" s="293">
        <v>0</v>
      </c>
      <c r="CL62" s="293">
        <v>0</v>
      </c>
      <c r="CM62" s="293">
        <v>0</v>
      </c>
      <c r="CN62" s="293">
        <f t="shared" si="34"/>
        <v>0</v>
      </c>
      <c r="CO62" s="293"/>
      <c r="CP62" s="58">
        <f t="shared" si="35"/>
        <v>0</v>
      </c>
      <c r="CQ62" s="223">
        <f t="shared" si="36"/>
        <v>0</v>
      </c>
      <c r="CR62" s="223">
        <f t="shared" si="37"/>
        <v>0</v>
      </c>
      <c r="CS62" s="223">
        <f t="shared" si="38"/>
        <v>0</v>
      </c>
      <c r="CT62" s="223">
        <f t="shared" si="39"/>
        <v>0</v>
      </c>
      <c r="CU62" s="223">
        <f t="shared" si="40"/>
        <v>0</v>
      </c>
      <c r="CV62" s="223">
        <f t="shared" si="41"/>
        <v>0</v>
      </c>
      <c r="CW62" s="223">
        <f t="shared" si="42"/>
        <v>0</v>
      </c>
      <c r="CX62" s="223">
        <f t="shared" si="43"/>
        <v>0</v>
      </c>
      <c r="CY62" s="58">
        <f t="shared" si="44"/>
        <v>0</v>
      </c>
      <c r="CZ62" s="399">
        <f t="shared" si="45"/>
        <v>0</v>
      </c>
      <c r="DA62" s="399">
        <f t="shared" si="46"/>
        <v>0</v>
      </c>
      <c r="DB62" s="399">
        <f t="shared" si="47"/>
        <v>0</v>
      </c>
      <c r="DC62" s="399">
        <f t="shared" si="48"/>
        <v>0</v>
      </c>
      <c r="DD62" s="399">
        <f t="shared" si="49"/>
        <v>0</v>
      </c>
      <c r="DE62" s="399">
        <f t="shared" si="50"/>
        <v>0</v>
      </c>
      <c r="DF62" s="399">
        <f t="shared" si="51"/>
        <v>0</v>
      </c>
      <c r="DG62" s="399">
        <f t="shared" si="52"/>
        <v>0</v>
      </c>
      <c r="DI62" s="399"/>
      <c r="DJ62" s="399"/>
      <c r="DK62" s="399"/>
      <c r="DL62" s="399"/>
      <c r="DM62" s="399"/>
      <c r="DN62" s="399"/>
      <c r="DO62" s="399"/>
      <c r="DP62" s="399"/>
      <c r="DQ62" s="399"/>
      <c r="DS62" s="399"/>
      <c r="DT62" s="399"/>
      <c r="DU62" s="399"/>
      <c r="DV62" s="399"/>
      <c r="DW62" s="399"/>
      <c r="DX62" s="399"/>
      <c r="DY62" s="399"/>
      <c r="DZ62" s="399"/>
      <c r="EB62" s="228">
        <f t="shared" si="53"/>
        <v>0</v>
      </c>
      <c r="EC62" s="228">
        <f t="shared" si="54"/>
        <v>0</v>
      </c>
      <c r="ED62" s="214">
        <f t="shared" si="55"/>
        <v>0</v>
      </c>
    </row>
    <row r="63" spans="1:134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3" t="str">
        <f>VLOOKUP(A63,'Summary Mar 2026'!$A$8:$F$207,6,FALSE)</f>
        <v>Chq Bk</v>
      </c>
      <c r="G63" s="33"/>
      <c r="H63" s="223">
        <v>0</v>
      </c>
      <c r="I63" s="294"/>
      <c r="J63" s="223">
        <v>0</v>
      </c>
      <c r="K63" s="223">
        <v>0</v>
      </c>
      <c r="L63" s="223">
        <v>71740.5</v>
      </c>
      <c r="M63" s="223">
        <v>3510</v>
      </c>
      <c r="N63" s="223">
        <v>1342.421052631579</v>
      </c>
      <c r="O63" s="223">
        <v>0</v>
      </c>
      <c r="P63" s="33">
        <f t="shared" si="13"/>
        <v>76592.921052631573</v>
      </c>
      <c r="Q63" s="223">
        <f t="shared" si="14"/>
        <v>61274.336842105258</v>
      </c>
      <c r="R63" s="294"/>
      <c r="S63" s="223">
        <v>0</v>
      </c>
      <c r="T63" s="223">
        <v>0</v>
      </c>
      <c r="U63" s="223">
        <v>51873.9</v>
      </c>
      <c r="V63" s="223">
        <v>0</v>
      </c>
      <c r="W63" s="223">
        <v>0</v>
      </c>
      <c r="X63" s="223">
        <v>0</v>
      </c>
      <c r="Y63" s="223">
        <f t="shared" si="15"/>
        <v>51873.9</v>
      </c>
      <c r="Z63" s="223">
        <f t="shared" si="16"/>
        <v>41499.120000000003</v>
      </c>
      <c r="AA63" s="294"/>
      <c r="AB63" s="398">
        <v>0</v>
      </c>
      <c r="AC63" s="398">
        <v>0</v>
      </c>
      <c r="AD63" s="398">
        <v>55336.926315789489</v>
      </c>
      <c r="AE63" s="398">
        <v>2046.3157894736842</v>
      </c>
      <c r="AF63" s="398">
        <v>391.3130193905817</v>
      </c>
      <c r="AG63" s="398">
        <v>0</v>
      </c>
      <c r="AH63" s="223">
        <f t="shared" si="17"/>
        <v>57774.555124653758</v>
      </c>
      <c r="AI63" s="398">
        <f t="shared" si="18"/>
        <v>46219.644099723009</v>
      </c>
      <c r="AJ63" s="294"/>
      <c r="AK63" s="398">
        <v>1663.35</v>
      </c>
      <c r="AL63" s="398">
        <v>1076.3999999999999</v>
      </c>
      <c r="AM63" s="398">
        <v>1268.1473684210525</v>
      </c>
      <c r="AN63" s="294"/>
      <c r="AO63" s="398">
        <f t="shared" si="19"/>
        <v>1330.68</v>
      </c>
      <c r="AP63" s="398">
        <f t="shared" si="20"/>
        <v>861.11999999999989</v>
      </c>
      <c r="AQ63" s="398">
        <f t="shared" si="21"/>
        <v>1014.5178947368421</v>
      </c>
      <c r="AR63" s="293"/>
      <c r="AS63" s="293">
        <v>0</v>
      </c>
      <c r="AT63" s="576">
        <f t="shared" si="22"/>
        <v>0</v>
      </c>
      <c r="AU63" s="293"/>
      <c r="AV63" s="293">
        <v>0</v>
      </c>
      <c r="AW63" s="293">
        <v>0</v>
      </c>
      <c r="AX63" s="293">
        <v>56288.7</v>
      </c>
      <c r="AY63" s="293">
        <v>2925</v>
      </c>
      <c r="AZ63" s="293">
        <v>0</v>
      </c>
      <c r="BA63" s="293">
        <v>0</v>
      </c>
      <c r="BB63" s="293">
        <v>1101.75</v>
      </c>
      <c r="BC63" s="293">
        <f t="shared" si="23"/>
        <v>60315.45</v>
      </c>
      <c r="BE63" s="58">
        <f t="shared" si="24"/>
        <v>0</v>
      </c>
      <c r="BF63" s="58">
        <f t="shared" si="25"/>
        <v>0</v>
      </c>
      <c r="BG63" s="58">
        <f t="shared" si="26"/>
        <v>-15451.800000000003</v>
      </c>
      <c r="BH63" s="58">
        <f t="shared" si="27"/>
        <v>-585</v>
      </c>
      <c r="BI63" s="58">
        <f t="shared" si="28"/>
        <v>-1342.421052631579</v>
      </c>
      <c r="BJ63" s="58">
        <f t="shared" si="29"/>
        <v>0</v>
      </c>
      <c r="BK63" s="58">
        <f t="shared" si="30"/>
        <v>-561.59999999999991</v>
      </c>
      <c r="BL63" s="58">
        <f t="shared" si="31"/>
        <v>-17940.821052631582</v>
      </c>
      <c r="BM63" s="33">
        <f t="shared" si="32"/>
        <v>0</v>
      </c>
      <c r="BN63" s="33"/>
      <c r="BO63" s="293">
        <f t="shared" ref="BO63:BO90" si="63">AV63-(J63*80%)</f>
        <v>0</v>
      </c>
      <c r="BP63" s="293">
        <f t="shared" ref="BP63:BP90" si="64">AW63-(K63*80%)</f>
        <v>0</v>
      </c>
      <c r="BQ63" s="293">
        <f t="shared" ref="BQ63:BQ90" si="65">AX63-(L63*80%)</f>
        <v>-1103.7000000000044</v>
      </c>
      <c r="BR63" s="293">
        <f t="shared" ref="BR63:BR90" si="66">AY63-(M63*80%)</f>
        <v>117</v>
      </c>
      <c r="BS63" s="293">
        <f t="shared" ref="BS63:BS90" si="67">AZ63-(N63*80%)</f>
        <v>-1073.9368421052632</v>
      </c>
      <c r="BT63" s="293">
        <f t="shared" ref="BT63:BT90" si="68">BA63-(O63*80%)</f>
        <v>0</v>
      </c>
      <c r="BU63" s="293">
        <f t="shared" ref="BU63:BU90" si="69">BB63-(AK63*80%)</f>
        <v>-228.93000000000006</v>
      </c>
      <c r="BV63" s="293">
        <f t="shared" si="9"/>
        <v>-2289.5668421052678</v>
      </c>
      <c r="BW63" s="293">
        <f t="shared" si="10"/>
        <v>-7.2759576141834259E-12</v>
      </c>
      <c r="BX63" s="293">
        <v>0</v>
      </c>
      <c r="BY63" s="293">
        <v>0</v>
      </c>
      <c r="BZ63" s="293">
        <v>0</v>
      </c>
      <c r="CA63" s="293">
        <v>0</v>
      </c>
      <c r="CB63" s="293">
        <v>0</v>
      </c>
      <c r="CC63" s="293">
        <v>0</v>
      </c>
      <c r="CD63" s="293">
        <v>118.95000000000005</v>
      </c>
      <c r="CE63" s="293">
        <f t="shared" si="33"/>
        <v>118.95000000000005</v>
      </c>
      <c r="CF63" s="293"/>
      <c r="CG63" s="293">
        <v>0</v>
      </c>
      <c r="CH63" s="293">
        <v>0</v>
      </c>
      <c r="CI63" s="293">
        <v>46355.4</v>
      </c>
      <c r="CJ63" s="293">
        <v>2145</v>
      </c>
      <c r="CK63" s="293">
        <v>74.62</v>
      </c>
      <c r="CL63" s="293">
        <v>0</v>
      </c>
      <c r="CM63" s="293">
        <v>1068.5999999999999</v>
      </c>
      <c r="CN63" s="293">
        <f t="shared" si="34"/>
        <v>49643.62</v>
      </c>
      <c r="CO63" s="293"/>
      <c r="CP63" s="58">
        <f t="shared" si="35"/>
        <v>0</v>
      </c>
      <c r="CQ63" s="223">
        <f t="shared" si="36"/>
        <v>0</v>
      </c>
      <c r="CR63" s="223">
        <f t="shared" si="37"/>
        <v>-5518.5</v>
      </c>
      <c r="CS63" s="223">
        <f t="shared" si="38"/>
        <v>2145</v>
      </c>
      <c r="CT63" s="223">
        <f t="shared" si="39"/>
        <v>74.62</v>
      </c>
      <c r="CU63" s="223">
        <f t="shared" si="40"/>
        <v>0</v>
      </c>
      <c r="CV63" s="223">
        <f t="shared" si="41"/>
        <v>-7.7999999999999545</v>
      </c>
      <c r="CW63" s="223">
        <f t="shared" si="42"/>
        <v>-3306.6800000000003</v>
      </c>
      <c r="CX63" s="223">
        <f t="shared" si="43"/>
        <v>0</v>
      </c>
      <c r="CY63" s="58">
        <f t="shared" si="44"/>
        <v>0</v>
      </c>
      <c r="CZ63" s="399">
        <f t="shared" si="45"/>
        <v>0</v>
      </c>
      <c r="DA63" s="399">
        <f t="shared" si="46"/>
        <v>4856.2799999999988</v>
      </c>
      <c r="DB63" s="399">
        <f t="shared" si="47"/>
        <v>2145</v>
      </c>
      <c r="DC63" s="399">
        <f t="shared" si="48"/>
        <v>74.62</v>
      </c>
      <c r="DD63" s="399">
        <f t="shared" si="49"/>
        <v>0</v>
      </c>
      <c r="DE63" s="399">
        <f t="shared" si="50"/>
        <v>207.48000000000002</v>
      </c>
      <c r="DF63" s="399">
        <f t="shared" si="51"/>
        <v>7283.3799999999992</v>
      </c>
      <c r="DG63" s="399">
        <f t="shared" si="52"/>
        <v>0</v>
      </c>
      <c r="DI63" s="399"/>
      <c r="DJ63" s="399"/>
      <c r="DK63" s="399"/>
      <c r="DL63" s="399"/>
      <c r="DM63" s="399"/>
      <c r="DN63" s="399"/>
      <c r="DO63" s="399"/>
      <c r="DP63" s="399"/>
      <c r="DQ63" s="399"/>
      <c r="DS63" s="399"/>
      <c r="DT63" s="399"/>
      <c r="DU63" s="399"/>
      <c r="DV63" s="399"/>
      <c r="DW63" s="399"/>
      <c r="DX63" s="399"/>
      <c r="DY63" s="399"/>
      <c r="DZ63" s="399"/>
      <c r="EB63" s="228">
        <f t="shared" si="53"/>
        <v>157312.18199445982</v>
      </c>
      <c r="EC63" s="228">
        <f t="shared" si="54"/>
        <v>0</v>
      </c>
      <c r="ED63" s="214">
        <f t="shared" si="55"/>
        <v>157312.18199445982</v>
      </c>
    </row>
    <row r="64" spans="1:134" hidden="1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3" t="str">
        <f>VLOOKUP(A64,'Summary Mar 2026'!$A$8:$F$207,6,FALSE)</f>
        <v>Chq Bk</v>
      </c>
      <c r="G64" s="33"/>
      <c r="H64" s="223">
        <v>0</v>
      </c>
      <c r="I64" s="294"/>
      <c r="J64" s="223">
        <v>0</v>
      </c>
      <c r="K64" s="223">
        <v>0</v>
      </c>
      <c r="L64" s="223">
        <v>57392.4</v>
      </c>
      <c r="M64" s="223">
        <v>1365</v>
      </c>
      <c r="N64" s="223">
        <v>0</v>
      </c>
      <c r="O64" s="223">
        <v>0</v>
      </c>
      <c r="P64" s="33">
        <f t="shared" si="13"/>
        <v>58757.4</v>
      </c>
      <c r="Q64" s="223">
        <f t="shared" si="14"/>
        <v>47005.920000000006</v>
      </c>
      <c r="R64" s="294"/>
      <c r="S64" s="223">
        <v>0</v>
      </c>
      <c r="T64" s="223">
        <v>0</v>
      </c>
      <c r="U64" s="223">
        <v>54081.3</v>
      </c>
      <c r="V64" s="223">
        <v>1365</v>
      </c>
      <c r="W64" s="223">
        <v>447.47368421052636</v>
      </c>
      <c r="X64" s="223">
        <v>0</v>
      </c>
      <c r="Y64" s="223">
        <f t="shared" si="15"/>
        <v>55893.77368421053</v>
      </c>
      <c r="Z64" s="223">
        <f t="shared" si="16"/>
        <v>44715.01894736843</v>
      </c>
      <c r="AA64" s="294"/>
      <c r="AB64" s="398">
        <v>0</v>
      </c>
      <c r="AC64" s="398">
        <v>0</v>
      </c>
      <c r="AD64" s="398">
        <v>49224.126315789465</v>
      </c>
      <c r="AE64" s="398">
        <v>1136.8421052631579</v>
      </c>
      <c r="AF64" s="398">
        <v>130.4376731301939</v>
      </c>
      <c r="AG64" s="398">
        <v>0</v>
      </c>
      <c r="AH64" s="223">
        <f t="shared" si="17"/>
        <v>50491.406094182821</v>
      </c>
      <c r="AI64" s="398">
        <f t="shared" si="18"/>
        <v>40393.124875346257</v>
      </c>
      <c r="AJ64" s="294"/>
      <c r="AK64" s="398">
        <v>118.94999999999999</v>
      </c>
      <c r="AL64" s="398">
        <v>222.3</v>
      </c>
      <c r="AM64" s="398">
        <v>125.05263157894737</v>
      </c>
      <c r="AN64" s="294"/>
      <c r="AO64" s="398">
        <f t="shared" si="19"/>
        <v>95.16</v>
      </c>
      <c r="AP64" s="398">
        <f t="shared" si="20"/>
        <v>177.84000000000003</v>
      </c>
      <c r="AQ64" s="398">
        <f t="shared" si="21"/>
        <v>100.04210526315791</v>
      </c>
      <c r="AR64" s="293"/>
      <c r="AS64" s="293">
        <v>0</v>
      </c>
      <c r="AT64" s="576">
        <f t="shared" si="22"/>
        <v>0</v>
      </c>
      <c r="AU64" s="293"/>
      <c r="AV64" s="293">
        <v>0</v>
      </c>
      <c r="AW64" s="293">
        <v>0</v>
      </c>
      <c r="AX64" s="293">
        <v>56288.700000000004</v>
      </c>
      <c r="AY64" s="293">
        <v>2925</v>
      </c>
      <c r="AZ64" s="293">
        <v>1118.6842105263158</v>
      </c>
      <c r="BA64" s="293">
        <v>0</v>
      </c>
      <c r="BB64" s="293">
        <v>222.3</v>
      </c>
      <c r="BC64" s="293">
        <f t="shared" si="23"/>
        <v>60554.68421052632</v>
      </c>
      <c r="BE64" s="58">
        <f t="shared" si="24"/>
        <v>0</v>
      </c>
      <c r="BF64" s="58">
        <f t="shared" si="25"/>
        <v>0</v>
      </c>
      <c r="BG64" s="58">
        <f t="shared" si="26"/>
        <v>-1103.6999999999971</v>
      </c>
      <c r="BH64" s="58">
        <f t="shared" si="27"/>
        <v>1560</v>
      </c>
      <c r="BI64" s="58">
        <f t="shared" si="28"/>
        <v>1118.6842105263158</v>
      </c>
      <c r="BJ64" s="58">
        <f t="shared" si="29"/>
        <v>0</v>
      </c>
      <c r="BK64" s="58">
        <f t="shared" si="30"/>
        <v>103.35000000000002</v>
      </c>
      <c r="BL64" s="58">
        <f t="shared" si="31"/>
        <v>1678.3342105263187</v>
      </c>
      <c r="BM64" s="33">
        <f t="shared" si="32"/>
        <v>0</v>
      </c>
      <c r="BN64" s="33"/>
      <c r="BO64" s="293">
        <f t="shared" si="63"/>
        <v>0</v>
      </c>
      <c r="BP64" s="293">
        <f t="shared" si="64"/>
        <v>0</v>
      </c>
      <c r="BQ64" s="293">
        <f t="shared" si="65"/>
        <v>10374.779999999999</v>
      </c>
      <c r="BR64" s="293">
        <f t="shared" si="66"/>
        <v>1833</v>
      </c>
      <c r="BS64" s="293">
        <f t="shared" si="67"/>
        <v>1118.6842105263158</v>
      </c>
      <c r="BT64" s="293">
        <f t="shared" si="68"/>
        <v>0</v>
      </c>
      <c r="BU64" s="293">
        <f t="shared" si="69"/>
        <v>127.14000000000001</v>
      </c>
      <c r="BV64" s="293">
        <f t="shared" si="9"/>
        <v>13453.604210526315</v>
      </c>
      <c r="BW64" s="293">
        <f t="shared" si="10"/>
        <v>0</v>
      </c>
      <c r="BX64" s="293">
        <v>0</v>
      </c>
      <c r="BY64" s="293">
        <v>0</v>
      </c>
      <c r="BZ64" s="293">
        <v>0</v>
      </c>
      <c r="CA64" s="293">
        <v>0</v>
      </c>
      <c r="CB64" s="293">
        <v>0</v>
      </c>
      <c r="CC64" s="293">
        <v>0</v>
      </c>
      <c r="CD64" s="293">
        <v>0</v>
      </c>
      <c r="CE64" s="293">
        <f t="shared" si="33"/>
        <v>0</v>
      </c>
      <c r="CF64" s="293"/>
      <c r="CG64" s="293">
        <v>0</v>
      </c>
      <c r="CH64" s="293">
        <v>0</v>
      </c>
      <c r="CI64" s="293">
        <v>55185</v>
      </c>
      <c r="CJ64" s="293">
        <v>1950</v>
      </c>
      <c r="CK64" s="293">
        <v>671.58</v>
      </c>
      <c r="CL64" s="293">
        <v>0</v>
      </c>
      <c r="CM64" s="293">
        <v>159.9</v>
      </c>
      <c r="CN64" s="293">
        <f t="shared" si="34"/>
        <v>57966.48</v>
      </c>
      <c r="CO64" s="293"/>
      <c r="CP64" s="58">
        <f t="shared" si="35"/>
        <v>0</v>
      </c>
      <c r="CQ64" s="223">
        <f t="shared" si="36"/>
        <v>0</v>
      </c>
      <c r="CR64" s="223">
        <f t="shared" si="37"/>
        <v>1103.6999999999971</v>
      </c>
      <c r="CS64" s="223">
        <f t="shared" si="38"/>
        <v>585</v>
      </c>
      <c r="CT64" s="223">
        <f t="shared" si="39"/>
        <v>224.10631578947368</v>
      </c>
      <c r="CU64" s="223">
        <f t="shared" si="40"/>
        <v>0</v>
      </c>
      <c r="CV64" s="223">
        <f t="shared" si="41"/>
        <v>-62.400000000000006</v>
      </c>
      <c r="CW64" s="223">
        <f t="shared" si="42"/>
        <v>1850.4063157894707</v>
      </c>
      <c r="CX64" s="223">
        <f t="shared" si="43"/>
        <v>0</v>
      </c>
      <c r="CY64" s="58">
        <f t="shared" si="44"/>
        <v>0</v>
      </c>
      <c r="CZ64" s="399">
        <f t="shared" si="45"/>
        <v>0</v>
      </c>
      <c r="DA64" s="399">
        <f t="shared" si="46"/>
        <v>11919.959999999992</v>
      </c>
      <c r="DB64" s="399">
        <f t="shared" si="47"/>
        <v>858</v>
      </c>
      <c r="DC64" s="399">
        <f t="shared" si="48"/>
        <v>313.60105263157891</v>
      </c>
      <c r="DD64" s="399">
        <f t="shared" si="49"/>
        <v>0</v>
      </c>
      <c r="DE64" s="399">
        <f t="shared" si="50"/>
        <v>-17.940000000000026</v>
      </c>
      <c r="DF64" s="399">
        <f t="shared" si="51"/>
        <v>13073.62105263157</v>
      </c>
      <c r="DG64" s="399">
        <f t="shared" si="52"/>
        <v>0</v>
      </c>
      <c r="DI64" s="399"/>
      <c r="DJ64" s="399"/>
      <c r="DK64" s="399"/>
      <c r="DL64" s="399"/>
      <c r="DM64" s="399"/>
      <c r="DN64" s="399"/>
      <c r="DO64" s="399"/>
      <c r="DP64" s="399"/>
      <c r="DQ64" s="399"/>
      <c r="DS64" s="399"/>
      <c r="DT64" s="399"/>
      <c r="DU64" s="399"/>
      <c r="DV64" s="399"/>
      <c r="DW64" s="399"/>
      <c r="DX64" s="399"/>
      <c r="DY64" s="399"/>
      <c r="DZ64" s="399"/>
      <c r="EB64" s="228">
        <f t="shared" si="53"/>
        <v>159014.33119113575</v>
      </c>
      <c r="EC64" s="228">
        <f t="shared" si="54"/>
        <v>0</v>
      </c>
      <c r="ED64" s="214">
        <f t="shared" si="55"/>
        <v>159014.33119113575</v>
      </c>
    </row>
    <row r="65" spans="1:134" hidden="1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3" t="str">
        <f>VLOOKUP(A65,'Summary Mar 2026'!$A$8:$F$207,6,FALSE)</f>
        <v>Chq Bk</v>
      </c>
      <c r="G65" s="33"/>
      <c r="H65" s="223">
        <v>0</v>
      </c>
      <c r="I65" s="294"/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0</v>
      </c>
      <c r="P65" s="33">
        <f t="shared" si="13"/>
        <v>0</v>
      </c>
      <c r="Q65" s="223">
        <f t="shared" si="14"/>
        <v>0</v>
      </c>
      <c r="R65" s="294"/>
      <c r="S65" s="223">
        <v>0</v>
      </c>
      <c r="T65" s="223">
        <v>0</v>
      </c>
      <c r="U65" s="223">
        <v>0</v>
      </c>
      <c r="V65" s="223">
        <v>0</v>
      </c>
      <c r="W65" s="223">
        <v>0</v>
      </c>
      <c r="X65" s="223">
        <v>0</v>
      </c>
      <c r="Y65" s="223">
        <f t="shared" si="15"/>
        <v>0</v>
      </c>
      <c r="Z65" s="223">
        <f t="shared" si="16"/>
        <v>0</v>
      </c>
      <c r="AA65" s="294"/>
      <c r="AB65" s="398">
        <v>0</v>
      </c>
      <c r="AC65" s="398">
        <v>0</v>
      </c>
      <c r="AD65" s="398">
        <v>0</v>
      </c>
      <c r="AE65" s="398">
        <v>0</v>
      </c>
      <c r="AF65" s="398">
        <v>0</v>
      </c>
      <c r="AG65" s="398">
        <v>0</v>
      </c>
      <c r="AH65" s="223">
        <f t="shared" si="17"/>
        <v>0</v>
      </c>
      <c r="AI65" s="398">
        <f t="shared" si="18"/>
        <v>0</v>
      </c>
      <c r="AJ65" s="294"/>
      <c r="AK65" s="398">
        <v>0</v>
      </c>
      <c r="AL65" s="398">
        <v>0</v>
      </c>
      <c r="AM65" s="398">
        <v>0</v>
      </c>
      <c r="AN65" s="294"/>
      <c r="AO65" s="398">
        <f t="shared" si="19"/>
        <v>0</v>
      </c>
      <c r="AP65" s="398">
        <f t="shared" si="20"/>
        <v>0</v>
      </c>
      <c r="AQ65" s="398">
        <f t="shared" si="21"/>
        <v>0</v>
      </c>
      <c r="AR65" s="293"/>
      <c r="AS65" s="293">
        <v>0</v>
      </c>
      <c r="AT65" s="576">
        <f t="shared" si="22"/>
        <v>0</v>
      </c>
      <c r="AU65" s="293"/>
      <c r="AV65" s="293">
        <v>0</v>
      </c>
      <c r="AW65" s="293">
        <v>0</v>
      </c>
      <c r="AX65" s="293">
        <v>0</v>
      </c>
      <c r="AY65" s="293">
        <v>0</v>
      </c>
      <c r="AZ65" s="293">
        <v>0</v>
      </c>
      <c r="BA65" s="293">
        <v>0</v>
      </c>
      <c r="BB65" s="293">
        <v>0</v>
      </c>
      <c r="BC65" s="293">
        <f t="shared" si="23"/>
        <v>0</v>
      </c>
      <c r="BE65" s="58">
        <f t="shared" si="24"/>
        <v>0</v>
      </c>
      <c r="BF65" s="58">
        <f t="shared" si="25"/>
        <v>0</v>
      </c>
      <c r="BG65" s="58">
        <f t="shared" si="26"/>
        <v>0</v>
      </c>
      <c r="BH65" s="58">
        <f t="shared" si="27"/>
        <v>0</v>
      </c>
      <c r="BI65" s="58">
        <f t="shared" si="28"/>
        <v>0</v>
      </c>
      <c r="BJ65" s="58">
        <f t="shared" si="29"/>
        <v>0</v>
      </c>
      <c r="BK65" s="58">
        <f t="shared" si="30"/>
        <v>0</v>
      </c>
      <c r="BL65" s="58">
        <f t="shared" si="31"/>
        <v>0</v>
      </c>
      <c r="BM65" s="33">
        <f t="shared" si="32"/>
        <v>0</v>
      </c>
      <c r="BN65" s="33"/>
      <c r="BO65" s="293">
        <f t="shared" si="63"/>
        <v>0</v>
      </c>
      <c r="BP65" s="293">
        <f t="shared" si="64"/>
        <v>0</v>
      </c>
      <c r="BQ65" s="293">
        <f t="shared" si="65"/>
        <v>0</v>
      </c>
      <c r="BR65" s="293">
        <f t="shared" si="66"/>
        <v>0</v>
      </c>
      <c r="BS65" s="293">
        <f t="shared" si="67"/>
        <v>0</v>
      </c>
      <c r="BT65" s="293">
        <f t="shared" si="68"/>
        <v>0</v>
      </c>
      <c r="BU65" s="293">
        <f t="shared" si="69"/>
        <v>0</v>
      </c>
      <c r="BV65" s="293">
        <f t="shared" si="9"/>
        <v>0</v>
      </c>
      <c r="BW65" s="293">
        <f t="shared" si="10"/>
        <v>0</v>
      </c>
      <c r="BX65" s="293">
        <v>0</v>
      </c>
      <c r="BY65" s="293">
        <v>0</v>
      </c>
      <c r="BZ65" s="293">
        <v>0</v>
      </c>
      <c r="CA65" s="293">
        <v>0</v>
      </c>
      <c r="CB65" s="293">
        <v>0</v>
      </c>
      <c r="CC65" s="293">
        <v>0</v>
      </c>
      <c r="CD65" s="293">
        <v>0</v>
      </c>
      <c r="CE65" s="293">
        <f t="shared" si="33"/>
        <v>0</v>
      </c>
      <c r="CF65" s="293"/>
      <c r="CG65" s="293">
        <v>0</v>
      </c>
      <c r="CH65" s="293">
        <v>0</v>
      </c>
      <c r="CI65" s="293">
        <v>0</v>
      </c>
      <c r="CJ65" s="293">
        <v>0</v>
      </c>
      <c r="CK65" s="293">
        <v>0</v>
      </c>
      <c r="CL65" s="293">
        <v>0</v>
      </c>
      <c r="CM65" s="293">
        <v>0</v>
      </c>
      <c r="CN65" s="293">
        <f t="shared" si="34"/>
        <v>0</v>
      </c>
      <c r="CO65" s="293"/>
      <c r="CP65" s="58">
        <f t="shared" si="35"/>
        <v>0</v>
      </c>
      <c r="CQ65" s="223">
        <f t="shared" si="36"/>
        <v>0</v>
      </c>
      <c r="CR65" s="223">
        <f t="shared" si="37"/>
        <v>0</v>
      </c>
      <c r="CS65" s="223">
        <f t="shared" si="38"/>
        <v>0</v>
      </c>
      <c r="CT65" s="223">
        <f t="shared" si="39"/>
        <v>0</v>
      </c>
      <c r="CU65" s="223">
        <f t="shared" si="40"/>
        <v>0</v>
      </c>
      <c r="CV65" s="223">
        <f t="shared" si="41"/>
        <v>0</v>
      </c>
      <c r="CW65" s="223">
        <f t="shared" si="42"/>
        <v>0</v>
      </c>
      <c r="CX65" s="223">
        <f t="shared" si="43"/>
        <v>0</v>
      </c>
      <c r="CY65" s="58">
        <f t="shared" si="44"/>
        <v>0</v>
      </c>
      <c r="CZ65" s="399">
        <f t="shared" si="45"/>
        <v>0</v>
      </c>
      <c r="DA65" s="399">
        <f t="shared" si="46"/>
        <v>0</v>
      </c>
      <c r="DB65" s="399">
        <f t="shared" si="47"/>
        <v>0</v>
      </c>
      <c r="DC65" s="399">
        <f t="shared" si="48"/>
        <v>0</v>
      </c>
      <c r="DD65" s="399">
        <f t="shared" si="49"/>
        <v>0</v>
      </c>
      <c r="DE65" s="399">
        <f t="shared" si="50"/>
        <v>0</v>
      </c>
      <c r="DF65" s="399">
        <f t="shared" si="51"/>
        <v>0</v>
      </c>
      <c r="DG65" s="399">
        <f t="shared" si="52"/>
        <v>0</v>
      </c>
      <c r="DI65" s="399"/>
      <c r="DJ65" s="399"/>
      <c r="DK65" s="399"/>
      <c r="DL65" s="399"/>
      <c r="DM65" s="399"/>
      <c r="DN65" s="399"/>
      <c r="DO65" s="399"/>
      <c r="DP65" s="399"/>
      <c r="DQ65" s="399"/>
      <c r="DS65" s="399"/>
      <c r="DT65" s="399"/>
      <c r="DU65" s="399"/>
      <c r="DV65" s="399"/>
      <c r="DW65" s="399"/>
      <c r="DX65" s="399"/>
      <c r="DY65" s="399"/>
      <c r="DZ65" s="399"/>
      <c r="EB65" s="228">
        <f t="shared" si="53"/>
        <v>0</v>
      </c>
      <c r="EC65" s="228">
        <f t="shared" si="54"/>
        <v>0</v>
      </c>
      <c r="ED65" s="214">
        <f t="shared" si="55"/>
        <v>0</v>
      </c>
    </row>
    <row r="66" spans="1:134" hidden="1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3" t="str">
        <f>VLOOKUP(A66,'Summary Mar 2026'!$A$8:$F$207,6,FALSE)</f>
        <v>Chq Bk</v>
      </c>
      <c r="G66" s="33"/>
      <c r="H66" s="223">
        <v>0</v>
      </c>
      <c r="I66" s="294"/>
      <c r="J66" s="223">
        <v>0</v>
      </c>
      <c r="K66" s="223">
        <v>0</v>
      </c>
      <c r="L66" s="223">
        <v>0</v>
      </c>
      <c r="M66" s="223">
        <v>0</v>
      </c>
      <c r="N66" s="223">
        <v>0</v>
      </c>
      <c r="O66" s="223">
        <v>0</v>
      </c>
      <c r="P66" s="33">
        <f t="shared" si="13"/>
        <v>0</v>
      </c>
      <c r="Q66" s="223">
        <f t="shared" si="14"/>
        <v>0</v>
      </c>
      <c r="R66" s="294"/>
      <c r="S66" s="223">
        <v>0</v>
      </c>
      <c r="T66" s="223">
        <v>0</v>
      </c>
      <c r="U66" s="223">
        <v>0</v>
      </c>
      <c r="V66" s="223">
        <v>0</v>
      </c>
      <c r="W66" s="223">
        <v>0</v>
      </c>
      <c r="X66" s="223">
        <v>0</v>
      </c>
      <c r="Y66" s="223">
        <f t="shared" si="15"/>
        <v>0</v>
      </c>
      <c r="Z66" s="223">
        <f t="shared" si="16"/>
        <v>0</v>
      </c>
      <c r="AA66" s="294"/>
      <c r="AB66" s="398">
        <v>0</v>
      </c>
      <c r="AC66" s="398">
        <v>0</v>
      </c>
      <c r="AD66" s="398">
        <v>0</v>
      </c>
      <c r="AE66" s="398">
        <v>0</v>
      </c>
      <c r="AF66" s="398">
        <v>0</v>
      </c>
      <c r="AG66" s="398">
        <v>0</v>
      </c>
      <c r="AH66" s="223">
        <f t="shared" si="17"/>
        <v>0</v>
      </c>
      <c r="AI66" s="398">
        <f t="shared" si="18"/>
        <v>0</v>
      </c>
      <c r="AJ66" s="294"/>
      <c r="AK66" s="398">
        <v>0</v>
      </c>
      <c r="AL66" s="398">
        <v>0</v>
      </c>
      <c r="AM66" s="398">
        <v>0</v>
      </c>
      <c r="AN66" s="294"/>
      <c r="AO66" s="398">
        <f t="shared" si="19"/>
        <v>0</v>
      </c>
      <c r="AP66" s="398">
        <f t="shared" si="20"/>
        <v>0</v>
      </c>
      <c r="AQ66" s="398">
        <f t="shared" si="21"/>
        <v>0</v>
      </c>
      <c r="AR66" s="293"/>
      <c r="AS66" s="293">
        <v>0</v>
      </c>
      <c r="AT66" s="576">
        <f t="shared" si="22"/>
        <v>0</v>
      </c>
      <c r="AU66" s="293"/>
      <c r="AV66" s="293">
        <v>0</v>
      </c>
      <c r="AW66" s="293">
        <v>0</v>
      </c>
      <c r="AX66" s="293">
        <v>0</v>
      </c>
      <c r="AY66" s="293">
        <v>0</v>
      </c>
      <c r="AZ66" s="293">
        <v>0</v>
      </c>
      <c r="BA66" s="293">
        <v>0</v>
      </c>
      <c r="BB66" s="293">
        <v>0</v>
      </c>
      <c r="BC66" s="293">
        <f t="shared" si="23"/>
        <v>0</v>
      </c>
      <c r="BE66" s="58">
        <f t="shared" si="24"/>
        <v>0</v>
      </c>
      <c r="BF66" s="58">
        <f t="shared" si="25"/>
        <v>0</v>
      </c>
      <c r="BG66" s="58">
        <f t="shared" si="26"/>
        <v>0</v>
      </c>
      <c r="BH66" s="58">
        <f t="shared" si="27"/>
        <v>0</v>
      </c>
      <c r="BI66" s="58">
        <f t="shared" si="28"/>
        <v>0</v>
      </c>
      <c r="BJ66" s="58">
        <f t="shared" si="29"/>
        <v>0</v>
      </c>
      <c r="BK66" s="58">
        <f t="shared" si="30"/>
        <v>0</v>
      </c>
      <c r="BL66" s="58">
        <f t="shared" si="31"/>
        <v>0</v>
      </c>
      <c r="BM66" s="33">
        <f t="shared" si="32"/>
        <v>0</v>
      </c>
      <c r="BN66" s="33"/>
      <c r="BO66" s="293">
        <f t="shared" si="63"/>
        <v>0</v>
      </c>
      <c r="BP66" s="293">
        <f t="shared" si="64"/>
        <v>0</v>
      </c>
      <c r="BQ66" s="293">
        <f t="shared" si="65"/>
        <v>0</v>
      </c>
      <c r="BR66" s="293">
        <f t="shared" si="66"/>
        <v>0</v>
      </c>
      <c r="BS66" s="293">
        <f t="shared" si="67"/>
        <v>0</v>
      </c>
      <c r="BT66" s="293">
        <f t="shared" si="68"/>
        <v>0</v>
      </c>
      <c r="BU66" s="293">
        <f t="shared" si="69"/>
        <v>0</v>
      </c>
      <c r="BV66" s="293">
        <f t="shared" si="9"/>
        <v>0</v>
      </c>
      <c r="BW66" s="293">
        <f t="shared" si="10"/>
        <v>0</v>
      </c>
      <c r="BX66" s="293"/>
      <c r="BY66" s="293"/>
      <c r="BZ66" s="293"/>
      <c r="CA66" s="293"/>
      <c r="CB66" s="293"/>
      <c r="CC66" s="293"/>
      <c r="CD66" s="293"/>
      <c r="CE66" s="293"/>
      <c r="CF66" s="293"/>
      <c r="CG66" s="293"/>
      <c r="CH66" s="293"/>
      <c r="CI66" s="293"/>
      <c r="CJ66" s="293"/>
      <c r="CK66" s="293"/>
      <c r="CL66" s="293"/>
      <c r="CM66" s="293"/>
      <c r="CN66" s="293"/>
      <c r="CO66" s="293"/>
      <c r="CP66" s="58">
        <f t="shared" si="35"/>
        <v>0</v>
      </c>
      <c r="CQ66" s="223">
        <f t="shared" si="36"/>
        <v>0</v>
      </c>
      <c r="CR66" s="223">
        <f t="shared" si="37"/>
        <v>0</v>
      </c>
      <c r="CS66" s="223">
        <f t="shared" si="38"/>
        <v>0</v>
      </c>
      <c r="CT66" s="223">
        <f t="shared" si="39"/>
        <v>0</v>
      </c>
      <c r="CU66" s="223">
        <f t="shared" si="40"/>
        <v>0</v>
      </c>
      <c r="CV66" s="223">
        <f t="shared" si="41"/>
        <v>0</v>
      </c>
      <c r="CW66" s="223">
        <f t="shared" si="42"/>
        <v>0</v>
      </c>
      <c r="CX66" s="223">
        <f t="shared" si="43"/>
        <v>0</v>
      </c>
      <c r="CY66" s="58">
        <f t="shared" si="44"/>
        <v>0</v>
      </c>
      <c r="CZ66" s="399">
        <f t="shared" si="45"/>
        <v>0</v>
      </c>
      <c r="DA66" s="399">
        <f t="shared" si="46"/>
        <v>0</v>
      </c>
      <c r="DB66" s="399">
        <f t="shared" si="47"/>
        <v>0</v>
      </c>
      <c r="DC66" s="399">
        <f t="shared" si="48"/>
        <v>0</v>
      </c>
      <c r="DD66" s="399">
        <f t="shared" si="49"/>
        <v>0</v>
      </c>
      <c r="DE66" s="399">
        <f t="shared" si="50"/>
        <v>0</v>
      </c>
      <c r="DF66" s="399">
        <f t="shared" si="51"/>
        <v>0</v>
      </c>
      <c r="DG66" s="399">
        <f t="shared" si="52"/>
        <v>0</v>
      </c>
      <c r="DI66" s="399"/>
      <c r="DJ66" s="399"/>
      <c r="DK66" s="399"/>
      <c r="DL66" s="399"/>
      <c r="DM66" s="399"/>
      <c r="DN66" s="399"/>
      <c r="DO66" s="399"/>
      <c r="DP66" s="399"/>
      <c r="DQ66" s="399"/>
      <c r="DS66" s="399"/>
      <c r="DT66" s="399"/>
      <c r="DU66" s="399"/>
      <c r="DV66" s="399"/>
      <c r="DW66" s="399"/>
      <c r="DX66" s="399"/>
      <c r="DY66" s="399"/>
      <c r="DZ66" s="399"/>
      <c r="EB66" s="228">
        <f t="shared" si="53"/>
        <v>0</v>
      </c>
      <c r="EC66" s="228">
        <f t="shared" si="54"/>
        <v>0</v>
      </c>
      <c r="ED66" s="214">
        <f t="shared" si="55"/>
        <v>0</v>
      </c>
    </row>
    <row r="67" spans="1:134" hidden="1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3" t="str">
        <f>VLOOKUP(A67,'Summary Mar 2026'!$A$8:$F$207,6,FALSE)</f>
        <v>Chq Bk</v>
      </c>
      <c r="G67" s="33"/>
      <c r="H67" s="223">
        <v>0</v>
      </c>
      <c r="I67" s="294"/>
      <c r="J67" s="223">
        <v>0</v>
      </c>
      <c r="K67" s="223">
        <v>0</v>
      </c>
      <c r="L67" s="223">
        <v>27592.5</v>
      </c>
      <c r="M67" s="223">
        <v>2340</v>
      </c>
      <c r="N67" s="223">
        <v>0</v>
      </c>
      <c r="O67" s="223">
        <v>0</v>
      </c>
      <c r="P67" s="33">
        <f t="shared" si="13"/>
        <v>29932.5</v>
      </c>
      <c r="Q67" s="223">
        <f t="shared" si="14"/>
        <v>23946</v>
      </c>
      <c r="R67" s="294"/>
      <c r="S67" s="223">
        <v>0</v>
      </c>
      <c r="T67" s="223">
        <v>0</v>
      </c>
      <c r="U67" s="223">
        <v>26488.799999999999</v>
      </c>
      <c r="V67" s="223">
        <v>975</v>
      </c>
      <c r="W67" s="223">
        <v>74.578947368421055</v>
      </c>
      <c r="X67" s="223">
        <v>0</v>
      </c>
      <c r="Y67" s="223">
        <f t="shared" si="15"/>
        <v>27538.378947368419</v>
      </c>
      <c r="Z67" s="223">
        <f t="shared" si="16"/>
        <v>22030.703157894735</v>
      </c>
      <c r="AA67" s="294"/>
      <c r="AB67" s="398">
        <v>0</v>
      </c>
      <c r="AC67" s="398">
        <v>0</v>
      </c>
      <c r="AD67" s="398">
        <v>23807.747368421049</v>
      </c>
      <c r="AE67" s="398">
        <v>1591.5789473684208</v>
      </c>
      <c r="AF67" s="398">
        <v>21.739612188365648</v>
      </c>
      <c r="AG67" s="398">
        <v>0</v>
      </c>
      <c r="AH67" s="223">
        <f t="shared" si="17"/>
        <v>25421.065927977834</v>
      </c>
      <c r="AI67" s="398">
        <f t="shared" si="18"/>
        <v>20336.852742382267</v>
      </c>
      <c r="AJ67" s="294"/>
      <c r="AK67" s="398">
        <v>1008.1499999999999</v>
      </c>
      <c r="AL67" s="398">
        <v>1690.6499999999996</v>
      </c>
      <c r="AM67" s="398">
        <v>1097.0526315789473</v>
      </c>
      <c r="AN67" s="294"/>
      <c r="AO67" s="398">
        <f t="shared" si="19"/>
        <v>806.52</v>
      </c>
      <c r="AP67" s="398">
        <f t="shared" si="20"/>
        <v>1352.5199999999998</v>
      </c>
      <c r="AQ67" s="398">
        <f t="shared" si="21"/>
        <v>877.64210526315787</v>
      </c>
      <c r="AR67" s="293"/>
      <c r="AS67" s="293">
        <v>0</v>
      </c>
      <c r="AT67" s="576">
        <f t="shared" si="22"/>
        <v>0</v>
      </c>
      <c r="AU67" s="293"/>
      <c r="AV67" s="293">
        <v>0</v>
      </c>
      <c r="AW67" s="293">
        <v>0</v>
      </c>
      <c r="AX67" s="293">
        <v>28696.2</v>
      </c>
      <c r="AY67" s="293">
        <v>1170</v>
      </c>
      <c r="AZ67" s="293">
        <v>0</v>
      </c>
      <c r="BA67" s="293">
        <v>0</v>
      </c>
      <c r="BB67" s="293">
        <v>1762.8</v>
      </c>
      <c r="BC67" s="293">
        <f t="shared" si="23"/>
        <v>31629</v>
      </c>
      <c r="BE67" s="58">
        <f t="shared" si="24"/>
        <v>0</v>
      </c>
      <c r="BF67" s="58">
        <f t="shared" si="25"/>
        <v>0</v>
      </c>
      <c r="BG67" s="58">
        <f t="shared" si="26"/>
        <v>1103.7000000000007</v>
      </c>
      <c r="BH67" s="58">
        <f t="shared" si="27"/>
        <v>-1170</v>
      </c>
      <c r="BI67" s="58">
        <f t="shared" si="28"/>
        <v>0</v>
      </c>
      <c r="BJ67" s="58">
        <f t="shared" si="29"/>
        <v>0</v>
      </c>
      <c r="BK67" s="58">
        <f t="shared" si="30"/>
        <v>754.65000000000009</v>
      </c>
      <c r="BL67" s="58">
        <f t="shared" si="31"/>
        <v>688.35000000000082</v>
      </c>
      <c r="BM67" s="33">
        <f t="shared" si="32"/>
        <v>0</v>
      </c>
      <c r="BN67" s="33"/>
      <c r="BO67" s="293">
        <f t="shared" si="63"/>
        <v>0</v>
      </c>
      <c r="BP67" s="293">
        <f t="shared" si="64"/>
        <v>0</v>
      </c>
      <c r="BQ67" s="293">
        <f t="shared" si="65"/>
        <v>6622.2000000000007</v>
      </c>
      <c r="BR67" s="293">
        <f t="shared" si="66"/>
        <v>-702</v>
      </c>
      <c r="BS67" s="293">
        <f t="shared" si="67"/>
        <v>0</v>
      </c>
      <c r="BT67" s="293">
        <f t="shared" si="68"/>
        <v>0</v>
      </c>
      <c r="BU67" s="293">
        <f t="shared" si="69"/>
        <v>956.28</v>
      </c>
      <c r="BV67" s="293">
        <f t="shared" si="9"/>
        <v>6876.4800000000005</v>
      </c>
      <c r="BW67" s="293">
        <f t="shared" si="10"/>
        <v>0</v>
      </c>
      <c r="BX67" s="293">
        <v>0</v>
      </c>
      <c r="BY67" s="293">
        <v>0</v>
      </c>
      <c r="BZ67" s="293">
        <v>0</v>
      </c>
      <c r="CA67" s="293">
        <v>0</v>
      </c>
      <c r="CB67" s="293">
        <v>0</v>
      </c>
      <c r="CC67" s="293">
        <v>0</v>
      </c>
      <c r="CD67" s="293">
        <v>0</v>
      </c>
      <c r="CE67" s="293">
        <f t="shared" si="33"/>
        <v>0</v>
      </c>
      <c r="CF67" s="293"/>
      <c r="CG67" s="293">
        <v>0</v>
      </c>
      <c r="CH67" s="293">
        <v>0</v>
      </c>
      <c r="CI67" s="293">
        <v>13244.4</v>
      </c>
      <c r="CJ67" s="293">
        <v>975</v>
      </c>
      <c r="CK67" s="293">
        <v>373.1</v>
      </c>
      <c r="CL67" s="293">
        <v>0</v>
      </c>
      <c r="CM67" s="293">
        <v>817.04999999999984</v>
      </c>
      <c r="CN67" s="293">
        <f t="shared" si="34"/>
        <v>15409.55</v>
      </c>
      <c r="CO67" s="293"/>
      <c r="CP67" s="58">
        <f t="shared" si="35"/>
        <v>0</v>
      </c>
      <c r="CQ67" s="223">
        <f t="shared" si="36"/>
        <v>0</v>
      </c>
      <c r="CR67" s="223">
        <f t="shared" si="37"/>
        <v>-13244.4</v>
      </c>
      <c r="CS67" s="223">
        <f t="shared" si="38"/>
        <v>0</v>
      </c>
      <c r="CT67" s="223">
        <f t="shared" si="39"/>
        <v>298.52105263157898</v>
      </c>
      <c r="CU67" s="223">
        <f t="shared" si="40"/>
        <v>0</v>
      </c>
      <c r="CV67" s="223">
        <f t="shared" si="41"/>
        <v>-873.5999999999998</v>
      </c>
      <c r="CW67" s="223">
        <f t="shared" si="42"/>
        <v>-13819.478947368421</v>
      </c>
      <c r="CX67" s="223">
        <f t="shared" si="43"/>
        <v>0</v>
      </c>
      <c r="CY67" s="58">
        <f t="shared" si="44"/>
        <v>0</v>
      </c>
      <c r="CZ67" s="399">
        <f t="shared" si="45"/>
        <v>0</v>
      </c>
      <c r="DA67" s="399">
        <f t="shared" si="46"/>
        <v>-7946.6400000000012</v>
      </c>
      <c r="DB67" s="399">
        <f t="shared" si="47"/>
        <v>195</v>
      </c>
      <c r="DC67" s="399">
        <f t="shared" si="48"/>
        <v>313.43684210526317</v>
      </c>
      <c r="DD67" s="399">
        <f t="shared" si="49"/>
        <v>0</v>
      </c>
      <c r="DE67" s="399">
        <f t="shared" si="50"/>
        <v>-535.46999999999991</v>
      </c>
      <c r="DF67" s="399">
        <f t="shared" si="51"/>
        <v>-7973.6731578947383</v>
      </c>
      <c r="DG67" s="399">
        <f t="shared" si="52"/>
        <v>0</v>
      </c>
      <c r="DI67" s="399"/>
      <c r="DJ67" s="399"/>
      <c r="DK67" s="399"/>
      <c r="DL67" s="399"/>
      <c r="DM67" s="399"/>
      <c r="DN67" s="399"/>
      <c r="DO67" s="399"/>
      <c r="DP67" s="399"/>
      <c r="DQ67" s="399"/>
      <c r="DS67" s="399"/>
      <c r="DT67" s="399"/>
      <c r="DU67" s="399"/>
      <c r="DV67" s="399"/>
      <c r="DW67" s="399"/>
      <c r="DX67" s="399"/>
      <c r="DY67" s="399"/>
      <c r="DZ67" s="399"/>
      <c r="EB67" s="228">
        <f t="shared" si="53"/>
        <v>68253.044847645433</v>
      </c>
      <c r="EC67" s="228">
        <f t="shared" si="54"/>
        <v>0</v>
      </c>
      <c r="ED67" s="214">
        <f t="shared" si="55"/>
        <v>68253.044847645433</v>
      </c>
    </row>
    <row r="68" spans="1:134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3" t="str">
        <f>VLOOKUP(A68,'Summary Mar 2026'!$A$8:$F$207,6,FALSE)</f>
        <v>Chq Bk</v>
      </c>
      <c r="G68" s="33"/>
      <c r="H68" s="223">
        <v>324329.85308246763</v>
      </c>
      <c r="I68" s="294"/>
      <c r="J68" s="223">
        <v>0</v>
      </c>
      <c r="K68" s="223">
        <v>81313.05</v>
      </c>
      <c r="L68" s="223">
        <v>157829.1</v>
      </c>
      <c r="M68" s="223">
        <v>7410</v>
      </c>
      <c r="N68" s="223">
        <v>745.78947368421052</v>
      </c>
      <c r="O68" s="223">
        <v>3529.8421052631579</v>
      </c>
      <c r="P68" s="33">
        <f t="shared" si="13"/>
        <v>250827.78157894738</v>
      </c>
      <c r="Q68" s="223">
        <f t="shared" si="14"/>
        <v>200662.22526315792</v>
      </c>
      <c r="R68" s="294"/>
      <c r="S68" s="223">
        <v>0</v>
      </c>
      <c r="T68" s="223">
        <v>101226.45</v>
      </c>
      <c r="U68" s="223">
        <v>94918.2</v>
      </c>
      <c r="V68" s="223">
        <v>4485</v>
      </c>
      <c r="W68" s="223">
        <v>1715.3157894736842</v>
      </c>
      <c r="X68" s="223">
        <v>2246.2631578947367</v>
      </c>
      <c r="Y68" s="223">
        <f t="shared" si="15"/>
        <v>204591.22894736842</v>
      </c>
      <c r="Z68" s="223">
        <f t="shared" si="16"/>
        <v>163672.98315789475</v>
      </c>
      <c r="AA68" s="294"/>
      <c r="AB68" s="398">
        <v>0</v>
      </c>
      <c r="AC68" s="398">
        <v>72558.947368421039</v>
      </c>
      <c r="AD68" s="398">
        <v>112604.2105263158</v>
      </c>
      <c r="AE68" s="398">
        <v>4888.4210526315783</v>
      </c>
      <c r="AF68" s="398">
        <v>1260.8975069252078</v>
      </c>
      <c r="AG68" s="398">
        <v>2151.4238227146816</v>
      </c>
      <c r="AH68" s="223">
        <f t="shared" si="17"/>
        <v>193463.90027700833</v>
      </c>
      <c r="AI68" s="398">
        <f t="shared" si="18"/>
        <v>154771.12022160666</v>
      </c>
      <c r="AJ68" s="294"/>
      <c r="AK68" s="398">
        <v>4578.5999999999995</v>
      </c>
      <c r="AL68" s="398">
        <v>3769.35</v>
      </c>
      <c r="AM68" s="398">
        <v>3229.2</v>
      </c>
      <c r="AN68" s="294"/>
      <c r="AO68" s="398">
        <f t="shared" si="19"/>
        <v>3662.8799999999997</v>
      </c>
      <c r="AP68" s="398">
        <f t="shared" si="20"/>
        <v>3015.48</v>
      </c>
      <c r="AQ68" s="398">
        <f t="shared" si="21"/>
        <v>2583.36</v>
      </c>
      <c r="AR68" s="293"/>
      <c r="AS68" s="293">
        <v>323709.00404121896</v>
      </c>
      <c r="AT68" s="576">
        <f t="shared" si="22"/>
        <v>-620.84904124867171</v>
      </c>
      <c r="AU68" s="293"/>
      <c r="AV68" s="293">
        <v>0</v>
      </c>
      <c r="AW68" s="293">
        <v>81313.05</v>
      </c>
      <c r="AX68" s="293">
        <v>171073.5</v>
      </c>
      <c r="AY68" s="293">
        <v>10725</v>
      </c>
      <c r="AZ68" s="293">
        <v>1342.421052631579</v>
      </c>
      <c r="BA68" s="293">
        <v>3529.79</v>
      </c>
      <c r="BB68" s="293">
        <v>4999.8</v>
      </c>
      <c r="BC68" s="293">
        <f t="shared" si="23"/>
        <v>596692.56509385048</v>
      </c>
      <c r="BE68" s="58">
        <f t="shared" si="24"/>
        <v>0</v>
      </c>
      <c r="BF68" s="58">
        <f t="shared" si="25"/>
        <v>0</v>
      </c>
      <c r="BG68" s="58">
        <f t="shared" si="26"/>
        <v>13244.399999999994</v>
      </c>
      <c r="BH68" s="58">
        <f t="shared" si="27"/>
        <v>3315</v>
      </c>
      <c r="BI68" s="58">
        <f t="shared" si="28"/>
        <v>596.63157894736844</v>
      </c>
      <c r="BJ68" s="58">
        <f t="shared" si="29"/>
        <v>-5.2105263157955051E-2</v>
      </c>
      <c r="BK68" s="58">
        <f t="shared" si="30"/>
        <v>421.20000000000073</v>
      </c>
      <c r="BL68" s="58">
        <f t="shared" si="31"/>
        <v>16956.330432435534</v>
      </c>
      <c r="BM68" s="33">
        <f t="shared" si="32"/>
        <v>0</v>
      </c>
      <c r="BN68" s="33"/>
      <c r="BO68" s="293">
        <f t="shared" si="63"/>
        <v>0</v>
      </c>
      <c r="BP68" s="293">
        <f t="shared" si="64"/>
        <v>16262.61</v>
      </c>
      <c r="BQ68" s="293">
        <f t="shared" si="65"/>
        <v>44810.219999999987</v>
      </c>
      <c r="BR68" s="293">
        <f t="shared" si="66"/>
        <v>4797</v>
      </c>
      <c r="BS68" s="293">
        <f t="shared" si="67"/>
        <v>745.78947368421052</v>
      </c>
      <c r="BT68" s="293">
        <f t="shared" si="68"/>
        <v>705.91631578947363</v>
      </c>
      <c r="BU68" s="293">
        <f t="shared" si="69"/>
        <v>1336.9200000000005</v>
      </c>
      <c r="BV68" s="293">
        <f t="shared" si="9"/>
        <v>68037.606748225007</v>
      </c>
      <c r="BW68" s="293">
        <f t="shared" si="10"/>
        <v>1.1641532182693481E-10</v>
      </c>
      <c r="BX68" s="293">
        <v>0</v>
      </c>
      <c r="BY68" s="293">
        <v>-6637.8000000000029</v>
      </c>
      <c r="BZ68" s="293">
        <v>0</v>
      </c>
      <c r="CA68" s="293">
        <v>0</v>
      </c>
      <c r="CB68" s="293">
        <v>447.47368421052602</v>
      </c>
      <c r="CC68" s="293">
        <v>6788.21</v>
      </c>
      <c r="CD68" s="293">
        <v>378.29999999999927</v>
      </c>
      <c r="CE68" s="293">
        <f t="shared" si="33"/>
        <v>976.18368421052219</v>
      </c>
      <c r="CF68" s="293"/>
      <c r="CG68" s="293">
        <v>0</v>
      </c>
      <c r="CH68" s="293">
        <v>96248.1</v>
      </c>
      <c r="CI68" s="293">
        <v>96021.9</v>
      </c>
      <c r="CJ68" s="293">
        <v>7605</v>
      </c>
      <c r="CK68" s="293">
        <v>1081.8600000000001</v>
      </c>
      <c r="CL68" s="293">
        <v>3752</v>
      </c>
      <c r="CM68" s="293">
        <v>3599.7</v>
      </c>
      <c r="CN68" s="293">
        <f t="shared" si="34"/>
        <v>208308.56</v>
      </c>
      <c r="CO68" s="293"/>
      <c r="CP68" s="58">
        <f t="shared" si="35"/>
        <v>0</v>
      </c>
      <c r="CQ68" s="223">
        <f t="shared" si="36"/>
        <v>-4978.3499999999913</v>
      </c>
      <c r="CR68" s="223">
        <f t="shared" si="37"/>
        <v>1103.6999999999971</v>
      </c>
      <c r="CS68" s="223">
        <f t="shared" si="38"/>
        <v>3120</v>
      </c>
      <c r="CT68" s="223">
        <f t="shared" si="39"/>
        <v>-633.45578947368404</v>
      </c>
      <c r="CU68" s="223">
        <f t="shared" si="40"/>
        <v>1505.7368421052633</v>
      </c>
      <c r="CV68" s="223">
        <f t="shared" si="41"/>
        <v>-169.65000000000009</v>
      </c>
      <c r="CW68" s="223">
        <f t="shared" si="42"/>
        <v>-52.018947368414956</v>
      </c>
      <c r="CX68" s="223">
        <f t="shared" si="43"/>
        <v>0</v>
      </c>
      <c r="CY68" s="58">
        <f t="shared" si="44"/>
        <v>0</v>
      </c>
      <c r="CZ68" s="399">
        <f t="shared" si="45"/>
        <v>15266.940000000002</v>
      </c>
      <c r="DA68" s="399">
        <f t="shared" si="46"/>
        <v>20087.339999999997</v>
      </c>
      <c r="DB68" s="399">
        <f t="shared" si="47"/>
        <v>4017</v>
      </c>
      <c r="DC68" s="399">
        <f t="shared" si="48"/>
        <v>-290.3926315789472</v>
      </c>
      <c r="DD68" s="399">
        <f t="shared" si="49"/>
        <v>1954.9894736842107</v>
      </c>
      <c r="DE68" s="399">
        <f t="shared" si="50"/>
        <v>584.2199999999998</v>
      </c>
      <c r="DF68" s="399">
        <f t="shared" si="51"/>
        <v>41620.09684210526</v>
      </c>
      <c r="DG68" s="399">
        <f t="shared" si="52"/>
        <v>0</v>
      </c>
      <c r="DI68" s="399"/>
      <c r="DJ68" s="399"/>
      <c r="DK68" s="399"/>
      <c r="DL68" s="399"/>
      <c r="DM68" s="399"/>
      <c r="DN68" s="399"/>
      <c r="DO68" s="399"/>
      <c r="DP68" s="399"/>
      <c r="DQ68" s="399"/>
      <c r="DS68" s="399"/>
      <c r="DT68" s="399"/>
      <c r="DU68" s="399"/>
      <c r="DV68" s="399"/>
      <c r="DW68" s="399"/>
      <c r="DX68" s="399"/>
      <c r="DY68" s="399"/>
      <c r="DZ68" s="399"/>
      <c r="EB68" s="228">
        <f t="shared" si="53"/>
        <v>947540.64994149609</v>
      </c>
      <c r="EC68" s="228">
        <f t="shared" si="54"/>
        <v>15791.139058171746</v>
      </c>
      <c r="ED68" s="214">
        <f t="shared" si="55"/>
        <v>963331.78899966786</v>
      </c>
    </row>
    <row r="69" spans="1:134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3" t="str">
        <f>VLOOKUP(A69,'Summary Mar 2026'!$A$8:$F$207,6,FALSE)</f>
        <v>Chq Bk</v>
      </c>
      <c r="G69" s="33"/>
      <c r="H69" s="223">
        <v>169657.91896945552</v>
      </c>
      <c r="I69" s="294"/>
      <c r="J69" s="223">
        <v>0</v>
      </c>
      <c r="K69" s="223">
        <v>24891.75</v>
      </c>
      <c r="L69" s="223">
        <v>72844.2</v>
      </c>
      <c r="M69" s="223">
        <v>2925</v>
      </c>
      <c r="N69" s="223">
        <v>1044.1052631578948</v>
      </c>
      <c r="O69" s="223">
        <v>0</v>
      </c>
      <c r="P69" s="33">
        <f t="shared" si="13"/>
        <v>101705.05526315789</v>
      </c>
      <c r="Q69" s="223">
        <f t="shared" si="14"/>
        <v>81364.044210526321</v>
      </c>
      <c r="R69" s="294"/>
      <c r="S69" s="223">
        <v>0</v>
      </c>
      <c r="T69" s="223">
        <v>26551.200000000001</v>
      </c>
      <c r="U69" s="223">
        <v>46355.4</v>
      </c>
      <c r="V69" s="223">
        <v>3900</v>
      </c>
      <c r="W69" s="223">
        <v>1491.578947368421</v>
      </c>
      <c r="X69" s="223">
        <v>0</v>
      </c>
      <c r="Y69" s="223">
        <f t="shared" si="15"/>
        <v>78298.178947368433</v>
      </c>
      <c r="Z69" s="223">
        <f t="shared" si="16"/>
        <v>62638.543157894746</v>
      </c>
      <c r="AA69" s="294"/>
      <c r="AB69" s="398">
        <v>0</v>
      </c>
      <c r="AC69" s="398">
        <v>20800.231578947365</v>
      </c>
      <c r="AD69" s="398">
        <v>52119.663157894734</v>
      </c>
      <c r="AE69" s="398">
        <v>2785.2631578947367</v>
      </c>
      <c r="AF69" s="398">
        <v>1021.7617728531856</v>
      </c>
      <c r="AG69" s="398">
        <v>0</v>
      </c>
      <c r="AH69" s="223">
        <f t="shared" si="17"/>
        <v>76726.919667590031</v>
      </c>
      <c r="AI69" s="398">
        <f t="shared" si="18"/>
        <v>61381.535734072029</v>
      </c>
      <c r="AJ69" s="294"/>
      <c r="AK69" s="398">
        <v>1581.45</v>
      </c>
      <c r="AL69" s="398">
        <v>1064.6999999999998</v>
      </c>
      <c r="AM69" s="398">
        <v>1026</v>
      </c>
      <c r="AN69" s="294"/>
      <c r="AO69" s="398">
        <f t="shared" si="19"/>
        <v>1265.1600000000001</v>
      </c>
      <c r="AP69" s="398">
        <f t="shared" si="20"/>
        <v>851.75999999999988</v>
      </c>
      <c r="AQ69" s="398">
        <f t="shared" si="21"/>
        <v>820.80000000000007</v>
      </c>
      <c r="AR69" s="293"/>
      <c r="AS69" s="293">
        <v>167482.84731217069</v>
      </c>
      <c r="AT69" s="576">
        <f t="shared" si="22"/>
        <v>-2175.0716572848323</v>
      </c>
      <c r="AU69" s="293"/>
      <c r="AV69" s="293">
        <v>0</v>
      </c>
      <c r="AW69" s="293">
        <v>24891.75</v>
      </c>
      <c r="AX69" s="293">
        <v>58496.1</v>
      </c>
      <c r="AY69" s="293">
        <v>6435</v>
      </c>
      <c r="AZ69" s="293">
        <v>2386.5263157894738</v>
      </c>
      <c r="BA69" s="293">
        <v>0</v>
      </c>
      <c r="BB69" s="293">
        <v>1911</v>
      </c>
      <c r="BC69" s="293">
        <f t="shared" si="23"/>
        <v>261603.22362796019</v>
      </c>
      <c r="BE69" s="58">
        <f t="shared" si="24"/>
        <v>0</v>
      </c>
      <c r="BF69" s="58">
        <f t="shared" si="25"/>
        <v>0</v>
      </c>
      <c r="BG69" s="58">
        <f t="shared" si="26"/>
        <v>-14348.099999999999</v>
      </c>
      <c r="BH69" s="58">
        <f t="shared" si="27"/>
        <v>3510</v>
      </c>
      <c r="BI69" s="58">
        <f t="shared" si="28"/>
        <v>1342.421052631579</v>
      </c>
      <c r="BJ69" s="58">
        <f t="shared" si="29"/>
        <v>0</v>
      </c>
      <c r="BK69" s="58">
        <f t="shared" si="30"/>
        <v>329.54999999999995</v>
      </c>
      <c r="BL69" s="58">
        <f t="shared" si="31"/>
        <v>-11341.200604653253</v>
      </c>
      <c r="BM69" s="33">
        <f t="shared" si="32"/>
        <v>0</v>
      </c>
      <c r="BN69" s="33"/>
      <c r="BO69" s="293">
        <f t="shared" si="63"/>
        <v>0</v>
      </c>
      <c r="BP69" s="293">
        <f t="shared" si="64"/>
        <v>4978.3499999999985</v>
      </c>
      <c r="BQ69" s="293">
        <f t="shared" si="65"/>
        <v>220.73999999999796</v>
      </c>
      <c r="BR69" s="293">
        <f t="shared" si="66"/>
        <v>4095</v>
      </c>
      <c r="BS69" s="293">
        <f t="shared" si="67"/>
        <v>1551.242105263158</v>
      </c>
      <c r="BT69" s="293">
        <f t="shared" si="68"/>
        <v>0</v>
      </c>
      <c r="BU69" s="293">
        <f t="shared" si="69"/>
        <v>645.83999999999992</v>
      </c>
      <c r="BV69" s="293">
        <f t="shared" si="9"/>
        <v>9316.1004479783223</v>
      </c>
      <c r="BW69" s="293">
        <f t="shared" si="10"/>
        <v>0</v>
      </c>
      <c r="BX69" s="293">
        <v>0</v>
      </c>
      <c r="BY69" s="293">
        <v>23232.299999999996</v>
      </c>
      <c r="BZ69" s="293">
        <v>0</v>
      </c>
      <c r="CA69" s="293">
        <v>0</v>
      </c>
      <c r="CB69" s="293">
        <v>111.86842105263122</v>
      </c>
      <c r="CC69" s="293">
        <v>0</v>
      </c>
      <c r="CD69" s="293">
        <v>237.90000000000009</v>
      </c>
      <c r="CE69" s="293">
        <f t="shared" si="33"/>
        <v>23582.068421052627</v>
      </c>
      <c r="CF69" s="293"/>
      <c r="CG69" s="293">
        <v>0</v>
      </c>
      <c r="CH69" s="293">
        <v>68037.45</v>
      </c>
      <c r="CI69" s="293">
        <v>35318.400000000001</v>
      </c>
      <c r="CJ69" s="293">
        <v>5850</v>
      </c>
      <c r="CK69" s="293">
        <v>2350.4</v>
      </c>
      <c r="CL69" s="293">
        <v>938</v>
      </c>
      <c r="CM69" s="293">
        <v>1864.1999999999998</v>
      </c>
      <c r="CN69" s="293">
        <f t="shared" si="34"/>
        <v>114358.45</v>
      </c>
      <c r="CO69" s="293"/>
      <c r="CP69" s="58">
        <f t="shared" si="35"/>
        <v>0</v>
      </c>
      <c r="CQ69" s="223">
        <f t="shared" si="36"/>
        <v>41486.25</v>
      </c>
      <c r="CR69" s="223">
        <f t="shared" si="37"/>
        <v>-11037</v>
      </c>
      <c r="CS69" s="223">
        <f t="shared" si="38"/>
        <v>1950</v>
      </c>
      <c r="CT69" s="223">
        <f t="shared" si="39"/>
        <v>858.82105263157905</v>
      </c>
      <c r="CU69" s="223">
        <f t="shared" si="40"/>
        <v>938</v>
      </c>
      <c r="CV69" s="223">
        <f t="shared" si="41"/>
        <v>799.5</v>
      </c>
      <c r="CW69" s="223">
        <f t="shared" si="42"/>
        <v>34995.571052631582</v>
      </c>
      <c r="CX69" s="223">
        <f t="shared" si="43"/>
        <v>0</v>
      </c>
      <c r="CY69" s="58">
        <f t="shared" si="44"/>
        <v>0</v>
      </c>
      <c r="CZ69" s="399">
        <f t="shared" si="45"/>
        <v>46796.489999999991</v>
      </c>
      <c r="DA69" s="399">
        <f t="shared" si="46"/>
        <v>-1765.9199999999983</v>
      </c>
      <c r="DB69" s="399">
        <f t="shared" si="47"/>
        <v>2730</v>
      </c>
      <c r="DC69" s="399">
        <f t="shared" si="48"/>
        <v>1157.1368421052632</v>
      </c>
      <c r="DD69" s="399">
        <f t="shared" si="49"/>
        <v>938</v>
      </c>
      <c r="DE69" s="399">
        <f t="shared" si="50"/>
        <v>1012.4399999999999</v>
      </c>
      <c r="DF69" s="399">
        <f t="shared" si="51"/>
        <v>50868.146842105256</v>
      </c>
      <c r="DG69" s="399">
        <f t="shared" si="52"/>
        <v>0</v>
      </c>
      <c r="DI69" s="399"/>
      <c r="DJ69" s="399"/>
      <c r="DK69" s="399"/>
      <c r="DL69" s="399"/>
      <c r="DM69" s="399"/>
      <c r="DN69" s="399"/>
      <c r="DO69" s="399"/>
      <c r="DP69" s="399"/>
      <c r="DQ69" s="399"/>
      <c r="DS69" s="399"/>
      <c r="DT69" s="399"/>
      <c r="DU69" s="399"/>
      <c r="DV69" s="399"/>
      <c r="DW69" s="399"/>
      <c r="DX69" s="399"/>
      <c r="DY69" s="399"/>
      <c r="DZ69" s="399"/>
      <c r="EB69" s="228">
        <f t="shared" si="53"/>
        <v>460808.07778308482</v>
      </c>
      <c r="EC69" s="228">
        <f t="shared" si="54"/>
        <v>938</v>
      </c>
      <c r="ED69" s="214">
        <f t="shared" si="55"/>
        <v>461746.07778308482</v>
      </c>
    </row>
    <row r="70" spans="1:134" hidden="1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3" t="str">
        <f>VLOOKUP(A70,'Summary Mar 2026'!$A$8:$F$207,6,FALSE)</f>
        <v>Chq Bk</v>
      </c>
      <c r="G70" s="33"/>
      <c r="H70" s="223">
        <v>0</v>
      </c>
      <c r="I70" s="294"/>
      <c r="J70" s="223">
        <v>0</v>
      </c>
      <c r="K70" s="223">
        <v>0</v>
      </c>
      <c r="L70" s="223">
        <v>0</v>
      </c>
      <c r="M70" s="223">
        <v>0</v>
      </c>
      <c r="N70" s="223">
        <v>0</v>
      </c>
      <c r="O70" s="223">
        <v>0</v>
      </c>
      <c r="P70" s="33">
        <f t="shared" si="13"/>
        <v>0</v>
      </c>
      <c r="Q70" s="223">
        <f t="shared" si="14"/>
        <v>0</v>
      </c>
      <c r="R70" s="294"/>
      <c r="S70" s="223">
        <v>0</v>
      </c>
      <c r="T70" s="223">
        <v>0</v>
      </c>
      <c r="U70" s="223">
        <v>0</v>
      </c>
      <c r="V70" s="223">
        <v>0</v>
      </c>
      <c r="W70" s="223">
        <v>0</v>
      </c>
      <c r="X70" s="223">
        <v>0</v>
      </c>
      <c r="Y70" s="223">
        <f t="shared" si="15"/>
        <v>0</v>
      </c>
      <c r="Z70" s="223">
        <f t="shared" si="16"/>
        <v>0</v>
      </c>
      <c r="AA70" s="294"/>
      <c r="AB70" s="398">
        <v>0</v>
      </c>
      <c r="AC70" s="398">
        <v>0</v>
      </c>
      <c r="AD70" s="398">
        <v>0</v>
      </c>
      <c r="AE70" s="398">
        <v>0</v>
      </c>
      <c r="AF70" s="398">
        <v>0</v>
      </c>
      <c r="AG70" s="398">
        <v>0</v>
      </c>
      <c r="AH70" s="223">
        <f t="shared" si="17"/>
        <v>0</v>
      </c>
      <c r="AI70" s="398">
        <f t="shared" si="18"/>
        <v>0</v>
      </c>
      <c r="AJ70" s="294"/>
      <c r="AK70" s="398">
        <v>0</v>
      </c>
      <c r="AL70" s="398">
        <v>0</v>
      </c>
      <c r="AM70" s="398">
        <v>0</v>
      </c>
      <c r="AN70" s="294"/>
      <c r="AO70" s="398">
        <f t="shared" si="19"/>
        <v>0</v>
      </c>
      <c r="AP70" s="398">
        <f t="shared" si="20"/>
        <v>0</v>
      </c>
      <c r="AQ70" s="398">
        <f t="shared" si="21"/>
        <v>0</v>
      </c>
      <c r="AR70" s="293"/>
      <c r="AS70" s="293">
        <v>0</v>
      </c>
      <c r="AT70" s="576">
        <f t="shared" si="22"/>
        <v>0</v>
      </c>
      <c r="AU70" s="293"/>
      <c r="AV70" s="293">
        <v>0</v>
      </c>
      <c r="AW70" s="293">
        <v>0</v>
      </c>
      <c r="AX70" s="293">
        <v>0</v>
      </c>
      <c r="AY70" s="293">
        <v>0</v>
      </c>
      <c r="AZ70" s="293">
        <v>0</v>
      </c>
      <c r="BA70" s="293">
        <v>0</v>
      </c>
      <c r="BB70" s="293">
        <v>0</v>
      </c>
      <c r="BC70" s="293">
        <f t="shared" si="23"/>
        <v>0</v>
      </c>
      <c r="BE70" s="58">
        <f t="shared" si="24"/>
        <v>0</v>
      </c>
      <c r="BF70" s="58">
        <f t="shared" si="25"/>
        <v>0</v>
      </c>
      <c r="BG70" s="58">
        <f t="shared" si="26"/>
        <v>0</v>
      </c>
      <c r="BH70" s="58">
        <f t="shared" si="27"/>
        <v>0</v>
      </c>
      <c r="BI70" s="58">
        <f t="shared" si="28"/>
        <v>0</v>
      </c>
      <c r="BJ70" s="58">
        <f t="shared" si="29"/>
        <v>0</v>
      </c>
      <c r="BK70" s="58">
        <f t="shared" si="30"/>
        <v>0</v>
      </c>
      <c r="BL70" s="58">
        <f t="shared" si="31"/>
        <v>0</v>
      </c>
      <c r="BM70" s="33">
        <f t="shared" si="32"/>
        <v>0</v>
      </c>
      <c r="BN70" s="33"/>
      <c r="BO70" s="293">
        <f t="shared" si="63"/>
        <v>0</v>
      </c>
      <c r="BP70" s="293">
        <f t="shared" si="64"/>
        <v>0</v>
      </c>
      <c r="BQ70" s="293">
        <f t="shared" si="65"/>
        <v>0</v>
      </c>
      <c r="BR70" s="293">
        <f t="shared" si="66"/>
        <v>0</v>
      </c>
      <c r="BS70" s="293">
        <f t="shared" si="67"/>
        <v>0</v>
      </c>
      <c r="BT70" s="293">
        <f t="shared" si="68"/>
        <v>0</v>
      </c>
      <c r="BU70" s="293">
        <f t="shared" si="69"/>
        <v>0</v>
      </c>
      <c r="BV70" s="293">
        <f t="shared" si="9"/>
        <v>0</v>
      </c>
      <c r="BW70" s="293">
        <f t="shared" si="10"/>
        <v>0</v>
      </c>
      <c r="BX70" s="293">
        <v>0</v>
      </c>
      <c r="BY70" s="293">
        <v>0</v>
      </c>
      <c r="BZ70" s="293">
        <v>0</v>
      </c>
      <c r="CA70" s="293">
        <v>0</v>
      </c>
      <c r="CB70" s="293">
        <v>0</v>
      </c>
      <c r="CC70" s="293">
        <v>0</v>
      </c>
      <c r="CD70" s="293">
        <v>0</v>
      </c>
      <c r="CE70" s="293">
        <f t="shared" si="33"/>
        <v>0</v>
      </c>
      <c r="CF70" s="293"/>
      <c r="CG70" s="293">
        <v>0</v>
      </c>
      <c r="CH70" s="293">
        <v>0</v>
      </c>
      <c r="CI70" s="293">
        <v>0</v>
      </c>
      <c r="CJ70" s="293">
        <v>0</v>
      </c>
      <c r="CK70" s="293">
        <v>0</v>
      </c>
      <c r="CL70" s="293">
        <v>0</v>
      </c>
      <c r="CM70" s="293">
        <v>0</v>
      </c>
      <c r="CN70" s="293">
        <f t="shared" si="34"/>
        <v>0</v>
      </c>
      <c r="CO70" s="293"/>
      <c r="CP70" s="58">
        <f t="shared" si="35"/>
        <v>0</v>
      </c>
      <c r="CQ70" s="223">
        <f t="shared" si="36"/>
        <v>0</v>
      </c>
      <c r="CR70" s="223">
        <f t="shared" si="37"/>
        <v>0</v>
      </c>
      <c r="CS70" s="223">
        <f t="shared" si="38"/>
        <v>0</v>
      </c>
      <c r="CT70" s="223">
        <f t="shared" si="39"/>
        <v>0</v>
      </c>
      <c r="CU70" s="223">
        <f t="shared" si="40"/>
        <v>0</v>
      </c>
      <c r="CV70" s="223">
        <f t="shared" si="41"/>
        <v>0</v>
      </c>
      <c r="CW70" s="223">
        <f t="shared" si="42"/>
        <v>0</v>
      </c>
      <c r="CX70" s="223">
        <f t="shared" si="43"/>
        <v>0</v>
      </c>
      <c r="CY70" s="58">
        <f t="shared" si="44"/>
        <v>0</v>
      </c>
      <c r="CZ70" s="399">
        <f t="shared" si="45"/>
        <v>0</v>
      </c>
      <c r="DA70" s="399">
        <f t="shared" si="46"/>
        <v>0</v>
      </c>
      <c r="DB70" s="399">
        <f t="shared" si="47"/>
        <v>0</v>
      </c>
      <c r="DC70" s="399">
        <f t="shared" si="48"/>
        <v>0</v>
      </c>
      <c r="DD70" s="399">
        <f t="shared" si="49"/>
        <v>0</v>
      </c>
      <c r="DE70" s="399">
        <f t="shared" si="50"/>
        <v>0</v>
      </c>
      <c r="DF70" s="399">
        <f t="shared" si="51"/>
        <v>0</v>
      </c>
      <c r="DG70" s="399">
        <f t="shared" si="52"/>
        <v>0</v>
      </c>
      <c r="DI70" s="399"/>
      <c r="DJ70" s="399"/>
      <c r="DK70" s="399"/>
      <c r="DL70" s="399"/>
      <c r="DM70" s="399"/>
      <c r="DN70" s="399"/>
      <c r="DO70" s="399"/>
      <c r="DP70" s="399"/>
      <c r="DQ70" s="399"/>
      <c r="DS70" s="399"/>
      <c r="DT70" s="399"/>
      <c r="DU70" s="399"/>
      <c r="DV70" s="399"/>
      <c r="DW70" s="399"/>
      <c r="DX70" s="399"/>
      <c r="DY70" s="399"/>
      <c r="DZ70" s="399"/>
      <c r="EB70" s="228">
        <f t="shared" si="53"/>
        <v>0</v>
      </c>
      <c r="EC70" s="228">
        <f t="shared" si="54"/>
        <v>0</v>
      </c>
      <c r="ED70" s="214">
        <f t="shared" si="55"/>
        <v>0</v>
      </c>
    </row>
    <row r="71" spans="1:134" hidden="1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3" t="str">
        <f>VLOOKUP(A71,'Summary Mar 2026'!$A$8:$F$207,6,FALSE)</f>
        <v>Chq Bk</v>
      </c>
      <c r="G71" s="33"/>
      <c r="H71" s="223">
        <v>0</v>
      </c>
      <c r="I71" s="294"/>
      <c r="J71" s="223">
        <v>0</v>
      </c>
      <c r="K71" s="223">
        <v>0</v>
      </c>
      <c r="L71" s="223">
        <v>0</v>
      </c>
      <c r="M71" s="223">
        <v>0</v>
      </c>
      <c r="N71" s="223">
        <v>0</v>
      </c>
      <c r="O71" s="223">
        <v>0</v>
      </c>
      <c r="P71" s="33">
        <f t="shared" si="13"/>
        <v>0</v>
      </c>
      <c r="Q71" s="223">
        <f t="shared" si="14"/>
        <v>0</v>
      </c>
      <c r="R71" s="294"/>
      <c r="S71" s="223">
        <v>0</v>
      </c>
      <c r="T71" s="223">
        <v>0</v>
      </c>
      <c r="U71" s="223">
        <v>0</v>
      </c>
      <c r="V71" s="223">
        <v>0</v>
      </c>
      <c r="W71" s="223">
        <v>0</v>
      </c>
      <c r="X71" s="223">
        <v>0</v>
      </c>
      <c r="Y71" s="223">
        <f t="shared" si="15"/>
        <v>0</v>
      </c>
      <c r="Z71" s="223">
        <f t="shared" si="16"/>
        <v>0</v>
      </c>
      <c r="AA71" s="294"/>
      <c r="AB71" s="398">
        <v>0</v>
      </c>
      <c r="AC71" s="398">
        <v>0</v>
      </c>
      <c r="AD71" s="398">
        <v>0</v>
      </c>
      <c r="AE71" s="398">
        <v>0</v>
      </c>
      <c r="AF71" s="398">
        <v>0</v>
      </c>
      <c r="AG71" s="398">
        <v>0</v>
      </c>
      <c r="AH71" s="223">
        <f t="shared" si="17"/>
        <v>0</v>
      </c>
      <c r="AI71" s="398">
        <f t="shared" si="18"/>
        <v>0</v>
      </c>
      <c r="AJ71" s="294"/>
      <c r="AK71" s="398">
        <v>0</v>
      </c>
      <c r="AL71" s="398">
        <v>0</v>
      </c>
      <c r="AM71" s="398">
        <v>0</v>
      </c>
      <c r="AN71" s="294"/>
      <c r="AO71" s="398">
        <f t="shared" si="19"/>
        <v>0</v>
      </c>
      <c r="AP71" s="398">
        <f t="shared" si="20"/>
        <v>0</v>
      </c>
      <c r="AQ71" s="398">
        <f t="shared" si="21"/>
        <v>0</v>
      </c>
      <c r="AR71" s="293"/>
      <c r="AS71" s="293">
        <v>0</v>
      </c>
      <c r="AT71" s="576">
        <f t="shared" si="22"/>
        <v>0</v>
      </c>
      <c r="AU71" s="293"/>
      <c r="AV71" s="293">
        <v>0</v>
      </c>
      <c r="AW71" s="293">
        <v>0</v>
      </c>
      <c r="AX71" s="293">
        <v>0</v>
      </c>
      <c r="AY71" s="293">
        <v>0</v>
      </c>
      <c r="AZ71" s="293">
        <v>0</v>
      </c>
      <c r="BA71" s="293">
        <v>0</v>
      </c>
      <c r="BB71" s="293">
        <v>0</v>
      </c>
      <c r="BC71" s="293">
        <f t="shared" si="23"/>
        <v>0</v>
      </c>
      <c r="BE71" s="58">
        <f t="shared" si="24"/>
        <v>0</v>
      </c>
      <c r="BF71" s="58">
        <f t="shared" si="25"/>
        <v>0</v>
      </c>
      <c r="BG71" s="58">
        <f t="shared" si="26"/>
        <v>0</v>
      </c>
      <c r="BH71" s="58">
        <f t="shared" si="27"/>
        <v>0</v>
      </c>
      <c r="BI71" s="58">
        <f t="shared" si="28"/>
        <v>0</v>
      </c>
      <c r="BJ71" s="58">
        <f t="shared" si="29"/>
        <v>0</v>
      </c>
      <c r="BK71" s="58">
        <f t="shared" si="30"/>
        <v>0</v>
      </c>
      <c r="BL71" s="58">
        <f t="shared" si="31"/>
        <v>0</v>
      </c>
      <c r="BM71" s="33">
        <f t="shared" si="32"/>
        <v>0</v>
      </c>
      <c r="BN71" s="33"/>
      <c r="BO71" s="293">
        <f t="shared" si="63"/>
        <v>0</v>
      </c>
      <c r="BP71" s="293">
        <f t="shared" si="64"/>
        <v>0</v>
      </c>
      <c r="BQ71" s="293">
        <f t="shared" si="65"/>
        <v>0</v>
      </c>
      <c r="BR71" s="293">
        <f t="shared" si="66"/>
        <v>0</v>
      </c>
      <c r="BS71" s="293">
        <f t="shared" si="67"/>
        <v>0</v>
      </c>
      <c r="BT71" s="293">
        <f t="shared" si="68"/>
        <v>0</v>
      </c>
      <c r="BU71" s="293">
        <f t="shared" si="69"/>
        <v>0</v>
      </c>
      <c r="BV71" s="293">
        <f t="shared" si="9"/>
        <v>0</v>
      </c>
      <c r="BW71" s="293">
        <f t="shared" si="10"/>
        <v>0</v>
      </c>
      <c r="BX71" s="293">
        <v>0</v>
      </c>
      <c r="BY71" s="293">
        <v>0</v>
      </c>
      <c r="BZ71" s="293">
        <v>0</v>
      </c>
      <c r="CA71" s="293">
        <v>0</v>
      </c>
      <c r="CB71" s="293">
        <v>0</v>
      </c>
      <c r="CC71" s="293">
        <v>0</v>
      </c>
      <c r="CD71" s="293">
        <v>0</v>
      </c>
      <c r="CE71" s="293">
        <f t="shared" si="33"/>
        <v>0</v>
      </c>
      <c r="CF71" s="293"/>
      <c r="CG71" s="293">
        <v>0</v>
      </c>
      <c r="CH71" s="293">
        <v>0</v>
      </c>
      <c r="CI71" s="293">
        <v>0</v>
      </c>
      <c r="CJ71" s="293">
        <v>0</v>
      </c>
      <c r="CK71" s="293">
        <v>0</v>
      </c>
      <c r="CL71" s="293">
        <v>0</v>
      </c>
      <c r="CM71" s="293">
        <v>0</v>
      </c>
      <c r="CN71" s="293">
        <f t="shared" si="34"/>
        <v>0</v>
      </c>
      <c r="CO71" s="293"/>
      <c r="CP71" s="58">
        <f t="shared" si="35"/>
        <v>0</v>
      </c>
      <c r="CQ71" s="223">
        <f t="shared" si="36"/>
        <v>0</v>
      </c>
      <c r="CR71" s="223">
        <f t="shared" si="37"/>
        <v>0</v>
      </c>
      <c r="CS71" s="223">
        <f t="shared" si="38"/>
        <v>0</v>
      </c>
      <c r="CT71" s="223">
        <f t="shared" si="39"/>
        <v>0</v>
      </c>
      <c r="CU71" s="223">
        <f t="shared" si="40"/>
        <v>0</v>
      </c>
      <c r="CV71" s="223">
        <f t="shared" si="41"/>
        <v>0</v>
      </c>
      <c r="CW71" s="223">
        <f t="shared" si="42"/>
        <v>0</v>
      </c>
      <c r="CX71" s="223">
        <f t="shared" si="43"/>
        <v>0</v>
      </c>
      <c r="CY71" s="58">
        <f t="shared" si="44"/>
        <v>0</v>
      </c>
      <c r="CZ71" s="399">
        <f t="shared" si="45"/>
        <v>0</v>
      </c>
      <c r="DA71" s="399">
        <f t="shared" si="46"/>
        <v>0</v>
      </c>
      <c r="DB71" s="399">
        <f t="shared" si="47"/>
        <v>0</v>
      </c>
      <c r="DC71" s="399">
        <f t="shared" si="48"/>
        <v>0</v>
      </c>
      <c r="DD71" s="399">
        <f t="shared" si="49"/>
        <v>0</v>
      </c>
      <c r="DE71" s="399">
        <f t="shared" si="50"/>
        <v>0</v>
      </c>
      <c r="DF71" s="399">
        <f t="shared" si="51"/>
        <v>0</v>
      </c>
      <c r="DG71" s="399">
        <f t="shared" si="52"/>
        <v>0</v>
      </c>
      <c r="DI71" s="399"/>
      <c r="DJ71" s="399"/>
      <c r="DK71" s="399"/>
      <c r="DL71" s="399"/>
      <c r="DM71" s="399"/>
      <c r="DN71" s="399"/>
      <c r="DO71" s="399"/>
      <c r="DP71" s="399"/>
      <c r="DQ71" s="399"/>
      <c r="DS71" s="399"/>
      <c r="DT71" s="399"/>
      <c r="DU71" s="399"/>
      <c r="DV71" s="399"/>
      <c r="DW71" s="399"/>
      <c r="DX71" s="399"/>
      <c r="DY71" s="399"/>
      <c r="DZ71" s="399"/>
      <c r="EB71" s="228">
        <f t="shared" si="53"/>
        <v>0</v>
      </c>
      <c r="EC71" s="228">
        <f t="shared" si="54"/>
        <v>0</v>
      </c>
      <c r="ED71" s="214">
        <f t="shared" si="55"/>
        <v>0</v>
      </c>
    </row>
    <row r="72" spans="1:134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3" t="str">
        <f>VLOOKUP(A72,'Summary Mar 2026'!$A$8:$F$207,6,FALSE)</f>
        <v>Chq Bk</v>
      </c>
      <c r="G72" s="33"/>
      <c r="H72" s="223">
        <v>0</v>
      </c>
      <c r="I72" s="294"/>
      <c r="J72" s="223">
        <v>0</v>
      </c>
      <c r="K72" s="223">
        <v>0</v>
      </c>
      <c r="L72" s="223">
        <v>41940.6</v>
      </c>
      <c r="M72" s="223">
        <v>5070</v>
      </c>
      <c r="N72" s="223">
        <v>1939.0526315789475</v>
      </c>
      <c r="O72" s="223">
        <v>0</v>
      </c>
      <c r="P72" s="33">
        <f t="shared" si="13"/>
        <v>48949.652631578945</v>
      </c>
      <c r="Q72" s="223">
        <f t="shared" si="14"/>
        <v>39159.722105263158</v>
      </c>
      <c r="R72" s="294"/>
      <c r="S72" s="223">
        <v>0</v>
      </c>
      <c r="T72" s="223">
        <v>0</v>
      </c>
      <c r="U72" s="223">
        <v>40836.9</v>
      </c>
      <c r="V72" s="223">
        <v>4290</v>
      </c>
      <c r="W72" s="223">
        <v>1566.1578947368421</v>
      </c>
      <c r="X72" s="223">
        <v>0</v>
      </c>
      <c r="Y72" s="223">
        <f t="shared" si="15"/>
        <v>46693.057894736841</v>
      </c>
      <c r="Z72" s="223">
        <f t="shared" si="16"/>
        <v>37354.446315789472</v>
      </c>
      <c r="AA72" s="294"/>
      <c r="AB72" s="398">
        <v>0</v>
      </c>
      <c r="AC72" s="398">
        <v>0</v>
      </c>
      <c r="AD72" s="398">
        <v>35068.168421052636</v>
      </c>
      <c r="AE72" s="398">
        <v>4035.7894736842109</v>
      </c>
      <c r="AF72" s="398">
        <v>1521.7728531855955</v>
      </c>
      <c r="AG72" s="398">
        <v>0</v>
      </c>
      <c r="AH72" s="223">
        <f t="shared" si="17"/>
        <v>40625.730747922447</v>
      </c>
      <c r="AI72" s="398">
        <f t="shared" si="18"/>
        <v>32500.584598337959</v>
      </c>
      <c r="AJ72" s="294"/>
      <c r="AK72" s="398">
        <v>4188.5999999999995</v>
      </c>
      <c r="AL72" s="398">
        <v>3500.25</v>
      </c>
      <c r="AM72" s="398">
        <v>3341.7473684210522</v>
      </c>
      <c r="AN72" s="294"/>
      <c r="AO72" s="398">
        <f t="shared" si="19"/>
        <v>3350.8799999999997</v>
      </c>
      <c r="AP72" s="398">
        <f t="shared" si="20"/>
        <v>2800.2000000000003</v>
      </c>
      <c r="AQ72" s="398">
        <f t="shared" si="21"/>
        <v>2673.3978947368419</v>
      </c>
      <c r="AR72" s="293"/>
      <c r="AS72" s="293">
        <v>0</v>
      </c>
      <c r="AT72" s="576">
        <f t="shared" si="22"/>
        <v>0</v>
      </c>
      <c r="AU72" s="293"/>
      <c r="AV72" s="293">
        <v>0</v>
      </c>
      <c r="AW72" s="293">
        <v>0</v>
      </c>
      <c r="AX72" s="293">
        <v>54081.3</v>
      </c>
      <c r="AY72" s="293">
        <v>6240</v>
      </c>
      <c r="AZ72" s="293">
        <v>2311.9473684210525</v>
      </c>
      <c r="BA72" s="293">
        <v>0</v>
      </c>
      <c r="BB72" s="293">
        <v>4270.5</v>
      </c>
      <c r="BC72" s="293">
        <f t="shared" si="23"/>
        <v>66903.747368421056</v>
      </c>
      <c r="BE72" s="58">
        <f t="shared" si="24"/>
        <v>0</v>
      </c>
      <c r="BF72" s="58">
        <f t="shared" si="25"/>
        <v>0</v>
      </c>
      <c r="BG72" s="58">
        <f t="shared" si="26"/>
        <v>12140.700000000004</v>
      </c>
      <c r="BH72" s="58">
        <f t="shared" si="27"/>
        <v>1170</v>
      </c>
      <c r="BI72" s="58">
        <f t="shared" si="28"/>
        <v>372.89473684210498</v>
      </c>
      <c r="BJ72" s="58">
        <f t="shared" si="29"/>
        <v>0</v>
      </c>
      <c r="BK72" s="58">
        <f t="shared" si="30"/>
        <v>81.900000000000546</v>
      </c>
      <c r="BL72" s="58">
        <f t="shared" si="31"/>
        <v>13765.494736842109</v>
      </c>
      <c r="BM72" s="33">
        <f t="shared" si="32"/>
        <v>0</v>
      </c>
      <c r="BN72" s="33"/>
      <c r="BO72" s="293">
        <f t="shared" si="63"/>
        <v>0</v>
      </c>
      <c r="BP72" s="293">
        <f t="shared" si="64"/>
        <v>0</v>
      </c>
      <c r="BQ72" s="293">
        <f t="shared" si="65"/>
        <v>20528.82</v>
      </c>
      <c r="BR72" s="293">
        <f t="shared" si="66"/>
        <v>2184</v>
      </c>
      <c r="BS72" s="293">
        <f t="shared" si="67"/>
        <v>760.70526315789448</v>
      </c>
      <c r="BT72" s="293">
        <f t="shared" si="68"/>
        <v>0</v>
      </c>
      <c r="BU72" s="293">
        <f t="shared" si="69"/>
        <v>919.62000000000035</v>
      </c>
      <c r="BV72" s="293">
        <f t="shared" ref="BV72:BV135" si="70">SUM(BO72:BU72)+AT72</f>
        <v>24393.145263157894</v>
      </c>
      <c r="BW72" s="293">
        <f t="shared" ref="BW72:BW135" si="71">(Q72+AO72+AS72+BV72)-BC72-AT72</f>
        <v>0</v>
      </c>
      <c r="BX72" s="293">
        <v>0</v>
      </c>
      <c r="BY72" s="293">
        <v>0</v>
      </c>
      <c r="BZ72" s="293">
        <v>0</v>
      </c>
      <c r="CA72" s="293">
        <v>0</v>
      </c>
      <c r="CB72" s="293">
        <v>559.34210526315792</v>
      </c>
      <c r="CC72" s="293">
        <v>0</v>
      </c>
      <c r="CD72" s="293">
        <v>951.59999999999945</v>
      </c>
      <c r="CE72" s="293">
        <f t="shared" si="33"/>
        <v>1510.9421052631574</v>
      </c>
      <c r="CF72" s="293"/>
      <c r="CG72" s="293">
        <v>0</v>
      </c>
      <c r="CH72" s="293">
        <v>0</v>
      </c>
      <c r="CI72" s="293">
        <v>50770.2</v>
      </c>
      <c r="CJ72" s="293">
        <v>4290</v>
      </c>
      <c r="CK72" s="293">
        <v>2088.84</v>
      </c>
      <c r="CL72" s="293">
        <v>0</v>
      </c>
      <c r="CM72" s="293">
        <v>4746.2999999999993</v>
      </c>
      <c r="CN72" s="293">
        <f t="shared" si="34"/>
        <v>61895.34</v>
      </c>
      <c r="CO72" s="293"/>
      <c r="CP72" s="58">
        <f t="shared" si="35"/>
        <v>0</v>
      </c>
      <c r="CQ72" s="223">
        <f t="shared" si="36"/>
        <v>0</v>
      </c>
      <c r="CR72" s="223">
        <f t="shared" si="37"/>
        <v>9933.2999999999956</v>
      </c>
      <c r="CS72" s="223">
        <f t="shared" si="38"/>
        <v>0</v>
      </c>
      <c r="CT72" s="223">
        <f t="shared" si="39"/>
        <v>522.68210526315806</v>
      </c>
      <c r="CU72" s="223">
        <f t="shared" si="40"/>
        <v>0</v>
      </c>
      <c r="CV72" s="223">
        <f t="shared" si="41"/>
        <v>1246.0499999999993</v>
      </c>
      <c r="CW72" s="223">
        <f t="shared" si="42"/>
        <v>11702.032105263153</v>
      </c>
      <c r="CX72" s="223">
        <f t="shared" si="43"/>
        <v>0</v>
      </c>
      <c r="CY72" s="58">
        <f t="shared" si="44"/>
        <v>0</v>
      </c>
      <c r="CZ72" s="399">
        <f t="shared" si="45"/>
        <v>0</v>
      </c>
      <c r="DA72" s="399">
        <f t="shared" si="46"/>
        <v>18100.679999999993</v>
      </c>
      <c r="DB72" s="399">
        <f t="shared" si="47"/>
        <v>858</v>
      </c>
      <c r="DC72" s="399">
        <f t="shared" si="48"/>
        <v>835.9136842105263</v>
      </c>
      <c r="DD72" s="399">
        <f t="shared" si="49"/>
        <v>0</v>
      </c>
      <c r="DE72" s="399">
        <f t="shared" si="50"/>
        <v>1946.099999999999</v>
      </c>
      <c r="DF72" s="399">
        <f t="shared" si="51"/>
        <v>21740.693684210517</v>
      </c>
      <c r="DG72" s="399">
        <f t="shared" si="52"/>
        <v>0</v>
      </c>
      <c r="DI72" s="399"/>
      <c r="DJ72" s="399"/>
      <c r="DK72" s="399"/>
      <c r="DL72" s="399"/>
      <c r="DM72" s="399"/>
      <c r="DN72" s="399"/>
      <c r="DO72" s="399"/>
      <c r="DP72" s="399"/>
      <c r="DQ72" s="399"/>
      <c r="DS72" s="399"/>
      <c r="DT72" s="399"/>
      <c r="DU72" s="399"/>
      <c r="DV72" s="399"/>
      <c r="DW72" s="399"/>
      <c r="DX72" s="399"/>
      <c r="DY72" s="399"/>
      <c r="DZ72" s="399"/>
      <c r="EB72" s="228">
        <f t="shared" si="53"/>
        <v>165484.01196675902</v>
      </c>
      <c r="EC72" s="228">
        <f t="shared" si="54"/>
        <v>0</v>
      </c>
      <c r="ED72" s="214">
        <f t="shared" si="55"/>
        <v>165484.01196675902</v>
      </c>
    </row>
    <row r="73" spans="1:134" hidden="1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3" t="str">
        <f>VLOOKUP(A73,'Summary Mar 2026'!$A$8:$F$207,6,FALSE)</f>
        <v>Chq Bk</v>
      </c>
      <c r="G73" s="33"/>
      <c r="H73" s="223">
        <v>0</v>
      </c>
      <c r="I73" s="294"/>
      <c r="J73" s="223">
        <v>0</v>
      </c>
      <c r="K73" s="223">
        <v>0</v>
      </c>
      <c r="L73" s="223">
        <v>0</v>
      </c>
      <c r="M73" s="223">
        <v>0</v>
      </c>
      <c r="N73" s="223">
        <v>0</v>
      </c>
      <c r="O73" s="223">
        <v>0</v>
      </c>
      <c r="P73" s="33">
        <f t="shared" ref="P73:P136" si="72">SUM(J73:O73)</f>
        <v>0</v>
      </c>
      <c r="Q73" s="223">
        <f t="shared" ref="Q73:Q136" si="73">P73*80%</f>
        <v>0</v>
      </c>
      <c r="R73" s="294"/>
      <c r="S73" s="223">
        <v>0</v>
      </c>
      <c r="T73" s="223">
        <v>0</v>
      </c>
      <c r="U73" s="223">
        <v>0</v>
      </c>
      <c r="V73" s="223">
        <v>0</v>
      </c>
      <c r="W73" s="223">
        <v>0</v>
      </c>
      <c r="X73" s="223">
        <v>0</v>
      </c>
      <c r="Y73" s="223">
        <f t="shared" ref="Y73:Y136" si="74">SUM(S73:X73)</f>
        <v>0</v>
      </c>
      <c r="Z73" s="223">
        <f t="shared" ref="Z73:Z136" si="75">Y73*80%</f>
        <v>0</v>
      </c>
      <c r="AA73" s="294"/>
      <c r="AB73" s="398">
        <v>0</v>
      </c>
      <c r="AC73" s="398">
        <v>0</v>
      </c>
      <c r="AD73" s="398">
        <v>0</v>
      </c>
      <c r="AE73" s="398">
        <v>0</v>
      </c>
      <c r="AF73" s="398">
        <v>0</v>
      </c>
      <c r="AG73" s="398">
        <v>0</v>
      </c>
      <c r="AH73" s="223">
        <f t="shared" ref="AH73:AH136" si="76">SUM(AB73:AG73)</f>
        <v>0</v>
      </c>
      <c r="AI73" s="398">
        <f t="shared" ref="AI73:AI136" si="77">AH73*80%</f>
        <v>0</v>
      </c>
      <c r="AJ73" s="294"/>
      <c r="AK73" s="398">
        <v>0</v>
      </c>
      <c r="AL73" s="398">
        <v>0</v>
      </c>
      <c r="AM73" s="398">
        <v>0</v>
      </c>
      <c r="AN73" s="294"/>
      <c r="AO73" s="398">
        <f t="shared" ref="AO73:AO136" si="78">AK73*80%</f>
        <v>0</v>
      </c>
      <c r="AP73" s="398">
        <f t="shared" ref="AP73:AP136" si="79">AL73*80%</f>
        <v>0</v>
      </c>
      <c r="AQ73" s="398">
        <f t="shared" ref="AQ73:AQ136" si="80">AM73*80%</f>
        <v>0</v>
      </c>
      <c r="AR73" s="293"/>
      <c r="AS73" s="293">
        <v>0</v>
      </c>
      <c r="AT73" s="576">
        <f t="shared" ref="AT73:AT136" si="81">AS73-H73</f>
        <v>0</v>
      </c>
      <c r="AU73" s="293"/>
      <c r="AV73" s="293">
        <v>0</v>
      </c>
      <c r="AW73" s="293">
        <v>0</v>
      </c>
      <c r="AX73" s="293">
        <v>0</v>
      </c>
      <c r="AY73" s="293">
        <v>0</v>
      </c>
      <c r="AZ73" s="293">
        <v>0</v>
      </c>
      <c r="BA73" s="293">
        <v>0</v>
      </c>
      <c r="BB73" s="293">
        <v>0</v>
      </c>
      <c r="BC73" s="293">
        <f t="shared" ref="BC73:BC136" si="82">SUM(AV73:BB73)+AS73</f>
        <v>0</v>
      </c>
      <c r="BE73" s="58">
        <f t="shared" ref="BE73:BE136" si="83">AV73-J73</f>
        <v>0</v>
      </c>
      <c r="BF73" s="58">
        <f t="shared" ref="BF73:BF136" si="84">AW73-K73</f>
        <v>0</v>
      </c>
      <c r="BG73" s="58">
        <f t="shared" ref="BG73:BG136" si="85">AX73-L73</f>
        <v>0</v>
      </c>
      <c r="BH73" s="58">
        <f t="shared" ref="BH73:BH136" si="86">AY73-M73</f>
        <v>0</v>
      </c>
      <c r="BI73" s="58">
        <f t="shared" ref="BI73:BI136" si="87">AZ73-N73</f>
        <v>0</v>
      </c>
      <c r="BJ73" s="58">
        <f t="shared" ref="BJ73:BJ136" si="88">BA73-O73</f>
        <v>0</v>
      </c>
      <c r="BK73" s="58">
        <f t="shared" ref="BK73:BK136" si="89">BB73-AK73</f>
        <v>0</v>
      </c>
      <c r="BL73" s="58">
        <f t="shared" ref="BL73:BL136" si="90">SUM(BE73:BK73)+AT73</f>
        <v>0</v>
      </c>
      <c r="BM73" s="33">
        <f t="shared" ref="BM73:BM136" si="91">BC73-(P73+H73+BL73+AK73)</f>
        <v>0</v>
      </c>
      <c r="BN73" s="33"/>
      <c r="BO73" s="293">
        <f t="shared" si="63"/>
        <v>0</v>
      </c>
      <c r="BP73" s="293">
        <f t="shared" si="64"/>
        <v>0</v>
      </c>
      <c r="BQ73" s="293">
        <f t="shared" si="65"/>
        <v>0</v>
      </c>
      <c r="BR73" s="293">
        <f t="shared" si="66"/>
        <v>0</v>
      </c>
      <c r="BS73" s="293">
        <f t="shared" si="67"/>
        <v>0</v>
      </c>
      <c r="BT73" s="293">
        <f t="shared" si="68"/>
        <v>0</v>
      </c>
      <c r="BU73" s="293">
        <f t="shared" si="69"/>
        <v>0</v>
      </c>
      <c r="BV73" s="293">
        <f t="shared" si="70"/>
        <v>0</v>
      </c>
      <c r="BW73" s="293">
        <f t="shared" si="71"/>
        <v>0</v>
      </c>
      <c r="BX73" s="293">
        <v>0</v>
      </c>
      <c r="BY73" s="293">
        <v>0</v>
      </c>
      <c r="BZ73" s="293">
        <v>0</v>
      </c>
      <c r="CA73" s="293">
        <v>0</v>
      </c>
      <c r="CB73" s="293">
        <v>0</v>
      </c>
      <c r="CC73" s="293">
        <v>0</v>
      </c>
      <c r="CD73" s="293">
        <v>0</v>
      </c>
      <c r="CE73" s="293">
        <f t="shared" ref="CE73:CE136" si="92">SUM(BX73:CD73)</f>
        <v>0</v>
      </c>
      <c r="CF73" s="293"/>
      <c r="CG73" s="293">
        <v>0</v>
      </c>
      <c r="CH73" s="293">
        <v>0</v>
      </c>
      <c r="CI73" s="293">
        <v>0</v>
      </c>
      <c r="CJ73" s="293">
        <v>0</v>
      </c>
      <c r="CK73" s="293">
        <v>0</v>
      </c>
      <c r="CL73" s="293">
        <v>0</v>
      </c>
      <c r="CM73" s="293">
        <v>0</v>
      </c>
      <c r="CN73" s="293">
        <f t="shared" ref="CN73:CN136" si="93">SUM(CG73:CM73)</f>
        <v>0</v>
      </c>
      <c r="CO73" s="293"/>
      <c r="CP73" s="58">
        <f t="shared" ref="CP73:CP136" si="94">CG73-S73</f>
        <v>0</v>
      </c>
      <c r="CQ73" s="223">
        <f t="shared" ref="CQ73:CQ136" si="95">CH73-T73</f>
        <v>0</v>
      </c>
      <c r="CR73" s="223">
        <f t="shared" ref="CR73:CR136" si="96">CI73-U73</f>
        <v>0</v>
      </c>
      <c r="CS73" s="223">
        <f t="shared" ref="CS73:CS136" si="97">CJ73-V73</f>
        <v>0</v>
      </c>
      <c r="CT73" s="223">
        <f t="shared" ref="CT73:CT136" si="98">CK73-W73</f>
        <v>0</v>
      </c>
      <c r="CU73" s="223">
        <f t="shared" ref="CU73:CU136" si="99">CL73-X73</f>
        <v>0</v>
      </c>
      <c r="CV73" s="223">
        <f t="shared" ref="CV73:CV136" si="100">CM73-AL73</f>
        <v>0</v>
      </c>
      <c r="CW73" s="223">
        <f t="shared" ref="CW73:CW136" si="101">SUM(CP73:CV73)</f>
        <v>0</v>
      </c>
      <c r="CX73" s="223">
        <f t="shared" ref="CX73:CX136" si="102">(Y73+CW73+AL73)-CN73</f>
        <v>0</v>
      </c>
      <c r="CY73" s="58">
        <f t="shared" ref="CY73:CY136" si="103">CG73-(S73*80%)</f>
        <v>0</v>
      </c>
      <c r="CZ73" s="399">
        <f t="shared" ref="CZ73:CZ136" si="104">CH73-(T73*80%)</f>
        <v>0</v>
      </c>
      <c r="DA73" s="399">
        <f t="shared" ref="DA73:DA136" si="105">CI73-(U73*80%)</f>
        <v>0</v>
      </c>
      <c r="DB73" s="399">
        <f t="shared" ref="DB73:DB136" si="106">CJ73-(V73*80%)</f>
        <v>0</v>
      </c>
      <c r="DC73" s="399">
        <f t="shared" ref="DC73:DC136" si="107">CK73-(W73*80%)</f>
        <v>0</v>
      </c>
      <c r="DD73" s="399">
        <f t="shared" ref="DD73:DD136" si="108">CL73-(X73*80%)</f>
        <v>0</v>
      </c>
      <c r="DE73" s="399">
        <f t="shared" ref="DE73:DE136" si="109">CM73-AP73</f>
        <v>0</v>
      </c>
      <c r="DF73" s="399">
        <f t="shared" ref="DF73:DF136" si="110">SUM(CY73:DE73)</f>
        <v>0</v>
      </c>
      <c r="DG73" s="399">
        <f t="shared" ref="DG73:DG136" si="111">(Z73+DF73+AP73)-CN73</f>
        <v>0</v>
      </c>
      <c r="DI73" s="399"/>
      <c r="DJ73" s="399"/>
      <c r="DK73" s="399"/>
      <c r="DL73" s="399"/>
      <c r="DM73" s="399"/>
      <c r="DN73" s="399"/>
      <c r="DO73" s="399"/>
      <c r="DP73" s="399"/>
      <c r="DQ73" s="399"/>
      <c r="DS73" s="399"/>
      <c r="DT73" s="399"/>
      <c r="DU73" s="399"/>
      <c r="DV73" s="399"/>
      <c r="DW73" s="399"/>
      <c r="DX73" s="399"/>
      <c r="DY73" s="399"/>
      <c r="DZ73" s="399"/>
      <c r="EB73" s="228">
        <f t="shared" ref="EB73:EB136" si="112">((SUMIFS($J73:$AQ73,$J$3:$AQ$3,$EB$7)*80%))+SUMIFS($AS73:$AT73,$AS$3:$AT$3,$EB$7)+SUMIFS($AV73:$CN73,$AV$3:$CN$3,$EB$7)</f>
        <v>0</v>
      </c>
      <c r="EC73" s="228">
        <f t="shared" ref="EC73:EC136" si="113">(SUMIFS($J73:$AQ73,$J$3:$AQ$3,$EC$7)*80%)+SUMIFS($AV73:$CN73,$AV$3:$CN$3,$EC$7)</f>
        <v>0</v>
      </c>
      <c r="ED73" s="214">
        <f t="shared" ref="ED73:ED136" si="114">EB73+EC73</f>
        <v>0</v>
      </c>
    </row>
    <row r="74" spans="1:134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3" t="str">
        <f>VLOOKUP(A74,'Summary Mar 2026'!$A$8:$F$207,6,FALSE)</f>
        <v>Chq Bk</v>
      </c>
      <c r="G74" s="33"/>
      <c r="H74" s="223">
        <v>0</v>
      </c>
      <c r="I74" s="294"/>
      <c r="J74" s="223">
        <v>0</v>
      </c>
      <c r="K74" s="223">
        <v>0</v>
      </c>
      <c r="L74" s="223">
        <v>32007.3</v>
      </c>
      <c r="M74" s="223">
        <v>1755</v>
      </c>
      <c r="N74" s="223">
        <v>522.0526315789474</v>
      </c>
      <c r="O74" s="223">
        <v>0</v>
      </c>
      <c r="P74" s="33">
        <f t="shared" si="72"/>
        <v>34284.35263157895</v>
      </c>
      <c r="Q74" s="223">
        <f t="shared" si="73"/>
        <v>27427.48210526316</v>
      </c>
      <c r="R74" s="294"/>
      <c r="S74" s="223">
        <v>0</v>
      </c>
      <c r="T74" s="223">
        <v>0</v>
      </c>
      <c r="U74" s="223">
        <v>24281.4</v>
      </c>
      <c r="V74" s="223">
        <v>975</v>
      </c>
      <c r="W74" s="223">
        <v>372.89473684210526</v>
      </c>
      <c r="X74" s="223">
        <v>0</v>
      </c>
      <c r="Y74" s="223">
        <f t="shared" si="74"/>
        <v>25629.294736842108</v>
      </c>
      <c r="Z74" s="223">
        <f t="shared" si="75"/>
        <v>20503.43578947369</v>
      </c>
      <c r="AA74" s="294"/>
      <c r="AB74" s="398">
        <v>0</v>
      </c>
      <c r="AC74" s="398">
        <v>0</v>
      </c>
      <c r="AD74" s="398">
        <v>25738.105263157897</v>
      </c>
      <c r="AE74" s="398">
        <v>1250.5263157894738</v>
      </c>
      <c r="AF74" s="398">
        <v>369.573407202216</v>
      </c>
      <c r="AG74" s="398">
        <v>0</v>
      </c>
      <c r="AH74" s="223">
        <f t="shared" si="76"/>
        <v>27358.204986149587</v>
      </c>
      <c r="AI74" s="398">
        <f t="shared" si="77"/>
        <v>21886.563988919672</v>
      </c>
      <c r="AJ74" s="294"/>
      <c r="AK74" s="398">
        <v>265.20000000000005</v>
      </c>
      <c r="AL74" s="398">
        <v>228.15000000000003</v>
      </c>
      <c r="AM74" s="398">
        <v>221.11578947368423</v>
      </c>
      <c r="AN74" s="294"/>
      <c r="AO74" s="398">
        <f t="shared" si="78"/>
        <v>212.16000000000005</v>
      </c>
      <c r="AP74" s="398">
        <f t="shared" si="79"/>
        <v>182.52000000000004</v>
      </c>
      <c r="AQ74" s="398">
        <f t="shared" si="80"/>
        <v>176.8926315789474</v>
      </c>
      <c r="AR74" s="293"/>
      <c r="AS74" s="293">
        <v>0</v>
      </c>
      <c r="AT74" s="576">
        <f t="shared" si="81"/>
        <v>0</v>
      </c>
      <c r="AU74" s="293"/>
      <c r="AV74" s="293">
        <v>0</v>
      </c>
      <c r="AW74" s="293">
        <v>0</v>
      </c>
      <c r="AX74" s="293">
        <v>30903.600000000002</v>
      </c>
      <c r="AY74" s="293">
        <v>2730</v>
      </c>
      <c r="AZ74" s="293">
        <v>1044.1052631578948</v>
      </c>
      <c r="BA74" s="293">
        <v>0</v>
      </c>
      <c r="BB74" s="293">
        <v>393.9</v>
      </c>
      <c r="BC74" s="293">
        <f t="shared" si="82"/>
        <v>35071.6052631579</v>
      </c>
      <c r="BE74" s="58">
        <f t="shared" si="83"/>
        <v>0</v>
      </c>
      <c r="BF74" s="58">
        <f t="shared" si="84"/>
        <v>0</v>
      </c>
      <c r="BG74" s="58">
        <f t="shared" si="85"/>
        <v>-1103.6999999999971</v>
      </c>
      <c r="BH74" s="58">
        <f t="shared" si="86"/>
        <v>975</v>
      </c>
      <c r="BI74" s="58">
        <f t="shared" si="87"/>
        <v>522.0526315789474</v>
      </c>
      <c r="BJ74" s="58">
        <f t="shared" si="88"/>
        <v>0</v>
      </c>
      <c r="BK74" s="58">
        <f t="shared" si="89"/>
        <v>128.69999999999993</v>
      </c>
      <c r="BL74" s="58">
        <f t="shared" si="90"/>
        <v>522.05263157895024</v>
      </c>
      <c r="BM74" s="33">
        <f t="shared" si="91"/>
        <v>0</v>
      </c>
      <c r="BN74" s="33"/>
      <c r="BO74" s="293">
        <f t="shared" si="63"/>
        <v>0</v>
      </c>
      <c r="BP74" s="293">
        <f t="shared" si="64"/>
        <v>0</v>
      </c>
      <c r="BQ74" s="293">
        <f t="shared" si="65"/>
        <v>5297.760000000002</v>
      </c>
      <c r="BR74" s="293">
        <f t="shared" si="66"/>
        <v>1326</v>
      </c>
      <c r="BS74" s="293">
        <f t="shared" si="67"/>
        <v>626.46315789473692</v>
      </c>
      <c r="BT74" s="293">
        <f t="shared" si="68"/>
        <v>0</v>
      </c>
      <c r="BU74" s="293">
        <f t="shared" si="69"/>
        <v>181.73999999999992</v>
      </c>
      <c r="BV74" s="293">
        <f t="shared" si="70"/>
        <v>7431.9631578947392</v>
      </c>
      <c r="BW74" s="293">
        <f t="shared" si="71"/>
        <v>0</v>
      </c>
      <c r="BX74" s="293">
        <v>0</v>
      </c>
      <c r="BY74" s="293">
        <v>0</v>
      </c>
      <c r="BZ74" s="293">
        <v>0</v>
      </c>
      <c r="CA74" s="293">
        <v>0</v>
      </c>
      <c r="CB74" s="293">
        <v>0</v>
      </c>
      <c r="CC74" s="293">
        <v>0</v>
      </c>
      <c r="CD74" s="293">
        <v>31.200000000000045</v>
      </c>
      <c r="CE74" s="293">
        <f t="shared" si="92"/>
        <v>31.200000000000045</v>
      </c>
      <c r="CF74" s="293"/>
      <c r="CG74" s="293">
        <v>0</v>
      </c>
      <c r="CH74" s="293">
        <v>0</v>
      </c>
      <c r="CI74" s="293">
        <v>28696.2</v>
      </c>
      <c r="CJ74" s="293">
        <v>1950</v>
      </c>
      <c r="CK74" s="293">
        <v>746.2</v>
      </c>
      <c r="CL74" s="293">
        <v>0</v>
      </c>
      <c r="CM74" s="293">
        <v>378.3</v>
      </c>
      <c r="CN74" s="293">
        <f t="shared" si="93"/>
        <v>31770.7</v>
      </c>
      <c r="CO74" s="293"/>
      <c r="CP74" s="58">
        <f t="shared" si="94"/>
        <v>0</v>
      </c>
      <c r="CQ74" s="223">
        <f t="shared" si="95"/>
        <v>0</v>
      </c>
      <c r="CR74" s="223">
        <f t="shared" si="96"/>
        <v>4414.7999999999993</v>
      </c>
      <c r="CS74" s="223">
        <f t="shared" si="97"/>
        <v>975</v>
      </c>
      <c r="CT74" s="223">
        <f t="shared" si="98"/>
        <v>373.30526315789479</v>
      </c>
      <c r="CU74" s="223">
        <f t="shared" si="99"/>
        <v>0</v>
      </c>
      <c r="CV74" s="223">
        <f t="shared" si="100"/>
        <v>150.14999999999998</v>
      </c>
      <c r="CW74" s="223">
        <f t="shared" si="101"/>
        <v>5913.2552631578938</v>
      </c>
      <c r="CX74" s="223">
        <f t="shared" si="102"/>
        <v>0</v>
      </c>
      <c r="CY74" s="58">
        <f t="shared" si="103"/>
        <v>0</v>
      </c>
      <c r="CZ74" s="399">
        <f t="shared" si="104"/>
        <v>0</v>
      </c>
      <c r="DA74" s="399">
        <f t="shared" si="105"/>
        <v>9271.0799999999981</v>
      </c>
      <c r="DB74" s="399">
        <f t="shared" si="106"/>
        <v>1170</v>
      </c>
      <c r="DC74" s="399">
        <f t="shared" si="107"/>
        <v>447.88421052631583</v>
      </c>
      <c r="DD74" s="399">
        <f t="shared" si="108"/>
        <v>0</v>
      </c>
      <c r="DE74" s="399">
        <f t="shared" si="109"/>
        <v>195.77999999999997</v>
      </c>
      <c r="DF74" s="399">
        <f t="shared" si="110"/>
        <v>11084.744210526314</v>
      </c>
      <c r="DG74" s="399">
        <f t="shared" si="111"/>
        <v>0</v>
      </c>
      <c r="DI74" s="399"/>
      <c r="DJ74" s="399"/>
      <c r="DK74" s="399"/>
      <c r="DL74" s="399"/>
      <c r="DM74" s="399"/>
      <c r="DN74" s="399"/>
      <c r="DO74" s="399"/>
      <c r="DP74" s="399"/>
      <c r="DQ74" s="399"/>
      <c r="DS74" s="399"/>
      <c r="DT74" s="399"/>
      <c r="DU74" s="399"/>
      <c r="DV74" s="399"/>
      <c r="DW74" s="399"/>
      <c r="DX74" s="399"/>
      <c r="DY74" s="399"/>
      <c r="DZ74" s="399"/>
      <c r="EB74" s="228">
        <f t="shared" si="112"/>
        <v>88936.961883656521</v>
      </c>
      <c r="EC74" s="228">
        <f t="shared" si="113"/>
        <v>0</v>
      </c>
      <c r="ED74" s="214">
        <f t="shared" si="114"/>
        <v>88936.961883656521</v>
      </c>
    </row>
    <row r="75" spans="1:134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3" t="str">
        <f>VLOOKUP(A75,'Summary Mar 2026'!$A$8:$F$207,6,FALSE)</f>
        <v>Chq Bk</v>
      </c>
      <c r="G75" s="33"/>
      <c r="H75" s="223">
        <v>191096.58925716483</v>
      </c>
      <c r="I75" s="294"/>
      <c r="J75" s="223">
        <v>0</v>
      </c>
      <c r="K75" s="223">
        <v>33189</v>
      </c>
      <c r="L75" s="223">
        <v>91607.099999999991</v>
      </c>
      <c r="M75" s="223">
        <v>8775</v>
      </c>
      <c r="N75" s="223">
        <v>894.94736842105272</v>
      </c>
      <c r="O75" s="223">
        <v>2567.1578947368421</v>
      </c>
      <c r="P75" s="33">
        <f t="shared" si="72"/>
        <v>137033.20526315787</v>
      </c>
      <c r="Q75" s="223">
        <f t="shared" si="73"/>
        <v>109626.5642105263</v>
      </c>
      <c r="R75" s="294"/>
      <c r="S75" s="223">
        <v>0</v>
      </c>
      <c r="T75" s="223">
        <v>29870.1</v>
      </c>
      <c r="U75" s="223">
        <v>55185</v>
      </c>
      <c r="V75" s="223">
        <v>6045</v>
      </c>
      <c r="W75" s="223">
        <v>1640.7368421052631</v>
      </c>
      <c r="X75" s="223">
        <v>2246.2631578947367</v>
      </c>
      <c r="Y75" s="223">
        <f t="shared" si="74"/>
        <v>94987.1</v>
      </c>
      <c r="Z75" s="223">
        <f t="shared" si="75"/>
        <v>75989.680000000008</v>
      </c>
      <c r="AA75" s="294"/>
      <c r="AB75" s="398">
        <v>0</v>
      </c>
      <c r="AC75" s="398">
        <v>23702.589473684209</v>
      </c>
      <c r="AD75" s="398">
        <v>64023.53684210527</v>
      </c>
      <c r="AE75" s="398">
        <v>5570.5263157894733</v>
      </c>
      <c r="AF75" s="398">
        <v>934.80332409972289</v>
      </c>
      <c r="AG75" s="398">
        <v>1683.7229916897506</v>
      </c>
      <c r="AH75" s="223">
        <f t="shared" si="76"/>
        <v>95915.178947368404</v>
      </c>
      <c r="AI75" s="398">
        <f t="shared" si="77"/>
        <v>76732.143157894723</v>
      </c>
      <c r="AJ75" s="294"/>
      <c r="AK75" s="398">
        <v>3636.75</v>
      </c>
      <c r="AL75" s="398">
        <v>2189.85</v>
      </c>
      <c r="AM75" s="398">
        <v>2290.1684210526319</v>
      </c>
      <c r="AN75" s="294"/>
      <c r="AO75" s="398">
        <f t="shared" si="78"/>
        <v>2909.4</v>
      </c>
      <c r="AP75" s="398">
        <f t="shared" si="79"/>
        <v>1751.88</v>
      </c>
      <c r="AQ75" s="398">
        <f t="shared" si="80"/>
        <v>1832.1347368421057</v>
      </c>
      <c r="AR75" s="293"/>
      <c r="AS75" s="293">
        <v>194326.13338186606</v>
      </c>
      <c r="AT75" s="576">
        <f t="shared" si="81"/>
        <v>3229.544124701235</v>
      </c>
      <c r="AU75" s="293"/>
      <c r="AV75" s="293">
        <v>0</v>
      </c>
      <c r="AW75" s="293">
        <v>33189</v>
      </c>
      <c r="AX75" s="293">
        <v>105955.20000000001</v>
      </c>
      <c r="AY75" s="293">
        <v>10725</v>
      </c>
      <c r="AZ75" s="293">
        <v>1342.421052631579</v>
      </c>
      <c r="BA75" s="293">
        <v>2567.12</v>
      </c>
      <c r="BB75" s="293">
        <v>3775.2</v>
      </c>
      <c r="BC75" s="293">
        <f t="shared" si="82"/>
        <v>351880.07443449763</v>
      </c>
      <c r="BE75" s="58">
        <f t="shared" si="83"/>
        <v>0</v>
      </c>
      <c r="BF75" s="58">
        <f t="shared" si="84"/>
        <v>0</v>
      </c>
      <c r="BG75" s="58">
        <f t="shared" si="85"/>
        <v>14348.10000000002</v>
      </c>
      <c r="BH75" s="58">
        <f t="shared" si="86"/>
        <v>1950</v>
      </c>
      <c r="BI75" s="58">
        <f t="shared" si="87"/>
        <v>447.47368421052624</v>
      </c>
      <c r="BJ75" s="58">
        <f t="shared" si="88"/>
        <v>-3.7894736842190468E-2</v>
      </c>
      <c r="BK75" s="58">
        <f t="shared" si="89"/>
        <v>138.44999999999982</v>
      </c>
      <c r="BL75" s="58">
        <f t="shared" si="90"/>
        <v>20113.529914174942</v>
      </c>
      <c r="BM75" s="33">
        <f t="shared" si="91"/>
        <v>0</v>
      </c>
      <c r="BN75" s="33"/>
      <c r="BO75" s="293">
        <f t="shared" si="63"/>
        <v>0</v>
      </c>
      <c r="BP75" s="293">
        <f t="shared" si="64"/>
        <v>6637.7999999999993</v>
      </c>
      <c r="BQ75" s="293">
        <f t="shared" si="65"/>
        <v>32669.520000000019</v>
      </c>
      <c r="BR75" s="293">
        <f t="shared" si="66"/>
        <v>3705</v>
      </c>
      <c r="BS75" s="293">
        <f t="shared" si="67"/>
        <v>626.4631578947367</v>
      </c>
      <c r="BT75" s="293">
        <f t="shared" si="68"/>
        <v>513.39368421052632</v>
      </c>
      <c r="BU75" s="293">
        <f t="shared" si="69"/>
        <v>865.79999999999973</v>
      </c>
      <c r="BV75" s="293">
        <f t="shared" si="70"/>
        <v>48247.520966806522</v>
      </c>
      <c r="BW75" s="293">
        <f t="shared" si="71"/>
        <v>0</v>
      </c>
      <c r="BX75" s="293">
        <v>0</v>
      </c>
      <c r="BY75" s="293">
        <v>9956.6999999999971</v>
      </c>
      <c r="BZ75" s="293">
        <v>0</v>
      </c>
      <c r="CA75" s="293">
        <v>0</v>
      </c>
      <c r="CB75" s="293">
        <v>111.86842105263145</v>
      </c>
      <c r="CC75" s="293">
        <v>4936.88</v>
      </c>
      <c r="CD75" s="293">
        <v>165.75000000000045</v>
      </c>
      <c r="CE75" s="293">
        <f t="shared" si="92"/>
        <v>15171.198421052628</v>
      </c>
      <c r="CF75" s="293"/>
      <c r="CG75" s="293">
        <v>0</v>
      </c>
      <c r="CH75" s="293">
        <v>67526.849999999991</v>
      </c>
      <c r="CI75" s="293">
        <v>63165.600000000006</v>
      </c>
      <c r="CJ75" s="293">
        <v>8775</v>
      </c>
      <c r="CK75" s="293">
        <v>1494.8600000000001</v>
      </c>
      <c r="CL75" s="293">
        <v>1876</v>
      </c>
      <c r="CM75" s="293">
        <v>2913.2999999999997</v>
      </c>
      <c r="CN75" s="293">
        <f t="shared" si="93"/>
        <v>145751.60999999999</v>
      </c>
      <c r="CO75" s="293"/>
      <c r="CP75" s="58">
        <f t="shared" si="94"/>
        <v>0</v>
      </c>
      <c r="CQ75" s="223">
        <f t="shared" si="95"/>
        <v>37656.749999999993</v>
      </c>
      <c r="CR75" s="223">
        <f t="shared" si="96"/>
        <v>7980.6000000000058</v>
      </c>
      <c r="CS75" s="223">
        <f t="shared" si="97"/>
        <v>2730</v>
      </c>
      <c r="CT75" s="223">
        <f t="shared" si="98"/>
        <v>-145.87684210526299</v>
      </c>
      <c r="CU75" s="223">
        <f t="shared" si="99"/>
        <v>-370.26315789473665</v>
      </c>
      <c r="CV75" s="223">
        <f t="shared" si="100"/>
        <v>723.44999999999982</v>
      </c>
      <c r="CW75" s="223">
        <f t="shared" si="101"/>
        <v>48574.659999999989</v>
      </c>
      <c r="CX75" s="223">
        <f t="shared" si="102"/>
        <v>0</v>
      </c>
      <c r="CY75" s="58">
        <f t="shared" si="103"/>
        <v>0</v>
      </c>
      <c r="CZ75" s="399">
        <f t="shared" si="104"/>
        <v>43630.76999999999</v>
      </c>
      <c r="DA75" s="399">
        <f t="shared" si="105"/>
        <v>19017.600000000006</v>
      </c>
      <c r="DB75" s="399">
        <f t="shared" si="106"/>
        <v>3939</v>
      </c>
      <c r="DC75" s="399">
        <f t="shared" si="107"/>
        <v>182.27052631578954</v>
      </c>
      <c r="DD75" s="399">
        <f t="shared" si="108"/>
        <v>78.989473684210679</v>
      </c>
      <c r="DE75" s="399">
        <f t="shared" si="109"/>
        <v>1161.4199999999996</v>
      </c>
      <c r="DF75" s="399">
        <f t="shared" si="110"/>
        <v>68010.049999999988</v>
      </c>
      <c r="DG75" s="399">
        <f t="shared" si="111"/>
        <v>0</v>
      </c>
      <c r="DI75" s="399"/>
      <c r="DJ75" s="399"/>
      <c r="DK75" s="399"/>
      <c r="DL75" s="399"/>
      <c r="DM75" s="399"/>
      <c r="DN75" s="399"/>
      <c r="DO75" s="399"/>
      <c r="DP75" s="399"/>
      <c r="DQ75" s="399"/>
      <c r="DS75" s="399"/>
      <c r="DT75" s="399"/>
      <c r="DU75" s="399"/>
      <c r="DV75" s="399"/>
      <c r="DW75" s="399"/>
      <c r="DX75" s="399"/>
      <c r="DY75" s="399"/>
      <c r="DZ75" s="399"/>
      <c r="EB75" s="228">
        <f t="shared" si="112"/>
        <v>580640.18235693523</v>
      </c>
      <c r="EC75" s="228">
        <f t="shared" si="113"/>
        <v>10726.978393351801</v>
      </c>
      <c r="ED75" s="214">
        <f t="shared" si="114"/>
        <v>591367.160750287</v>
      </c>
    </row>
    <row r="76" spans="1:134" hidden="1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3" t="str">
        <f>VLOOKUP(A76,'Summary Mar 2026'!$A$8:$F$207,6,FALSE)</f>
        <v>Chq Bk</v>
      </c>
      <c r="G76" s="33"/>
      <c r="H76" s="223">
        <v>0</v>
      </c>
      <c r="I76" s="294"/>
      <c r="J76" s="223">
        <v>0</v>
      </c>
      <c r="K76" s="223">
        <v>0</v>
      </c>
      <c r="L76" s="223">
        <v>32007.3</v>
      </c>
      <c r="M76" s="223">
        <v>0</v>
      </c>
      <c r="N76" s="223">
        <v>0</v>
      </c>
      <c r="O76" s="223">
        <v>0</v>
      </c>
      <c r="P76" s="33">
        <f t="shared" si="72"/>
        <v>32007.3</v>
      </c>
      <c r="Q76" s="223">
        <f t="shared" si="73"/>
        <v>25605.84</v>
      </c>
      <c r="R76" s="294"/>
      <c r="S76" s="223">
        <v>0</v>
      </c>
      <c r="T76" s="223">
        <v>0</v>
      </c>
      <c r="U76" s="223">
        <v>45251.700000000004</v>
      </c>
      <c r="V76" s="223">
        <v>1950</v>
      </c>
      <c r="W76" s="223">
        <v>745.78947368421052</v>
      </c>
      <c r="X76" s="223">
        <v>0</v>
      </c>
      <c r="Y76" s="223">
        <f t="shared" si="74"/>
        <v>47947.489473684218</v>
      </c>
      <c r="Z76" s="223">
        <f t="shared" si="75"/>
        <v>38357.991578947374</v>
      </c>
      <c r="AA76" s="294"/>
      <c r="AB76" s="398">
        <v>0</v>
      </c>
      <c r="AC76" s="398">
        <v>0</v>
      </c>
      <c r="AD76" s="398">
        <v>32816.084210526322</v>
      </c>
      <c r="AE76" s="398">
        <v>909.47368421052624</v>
      </c>
      <c r="AF76" s="398">
        <v>347.83379501385036</v>
      </c>
      <c r="AG76" s="398">
        <v>0</v>
      </c>
      <c r="AH76" s="223">
        <f t="shared" si="76"/>
        <v>34073.391689750701</v>
      </c>
      <c r="AI76" s="398">
        <f t="shared" si="77"/>
        <v>27258.713351800561</v>
      </c>
      <c r="AJ76" s="294"/>
      <c r="AK76" s="398">
        <v>1622.3999999999999</v>
      </c>
      <c r="AL76" s="398">
        <v>2392.6500000000005</v>
      </c>
      <c r="AM76" s="398">
        <v>1703.5578947368419</v>
      </c>
      <c r="AN76" s="294"/>
      <c r="AO76" s="398">
        <f t="shared" si="78"/>
        <v>1297.92</v>
      </c>
      <c r="AP76" s="398">
        <f t="shared" si="79"/>
        <v>1914.1200000000006</v>
      </c>
      <c r="AQ76" s="398">
        <f t="shared" si="80"/>
        <v>1362.8463157894737</v>
      </c>
      <c r="AR76" s="293"/>
      <c r="AS76" s="293">
        <v>0</v>
      </c>
      <c r="AT76" s="576">
        <f t="shared" si="81"/>
        <v>0</v>
      </c>
      <c r="AU76" s="293"/>
      <c r="AV76" s="293">
        <v>0</v>
      </c>
      <c r="AW76" s="293">
        <v>0</v>
      </c>
      <c r="AX76" s="293">
        <v>48562.8</v>
      </c>
      <c r="AY76" s="293">
        <v>3900</v>
      </c>
      <c r="AZ76" s="293">
        <v>1491.578947368421</v>
      </c>
      <c r="BA76" s="293">
        <v>0</v>
      </c>
      <c r="BB76" s="293">
        <v>2505.75</v>
      </c>
      <c r="BC76" s="293">
        <f t="shared" si="82"/>
        <v>56460.128947368423</v>
      </c>
      <c r="BE76" s="58">
        <f t="shared" si="83"/>
        <v>0</v>
      </c>
      <c r="BF76" s="58">
        <f t="shared" si="84"/>
        <v>0</v>
      </c>
      <c r="BG76" s="58">
        <f t="shared" si="85"/>
        <v>16555.500000000004</v>
      </c>
      <c r="BH76" s="58">
        <f t="shared" si="86"/>
        <v>3900</v>
      </c>
      <c r="BI76" s="58">
        <f t="shared" si="87"/>
        <v>1491.578947368421</v>
      </c>
      <c r="BJ76" s="58">
        <f t="shared" si="88"/>
        <v>0</v>
      </c>
      <c r="BK76" s="58">
        <f t="shared" si="89"/>
        <v>883.35000000000014</v>
      </c>
      <c r="BL76" s="58">
        <f t="shared" si="90"/>
        <v>22830.428947368422</v>
      </c>
      <c r="BM76" s="33">
        <f t="shared" si="91"/>
        <v>0</v>
      </c>
      <c r="BN76" s="33"/>
      <c r="BO76" s="293">
        <f t="shared" si="63"/>
        <v>0</v>
      </c>
      <c r="BP76" s="293">
        <f t="shared" si="64"/>
        <v>0</v>
      </c>
      <c r="BQ76" s="293">
        <f t="shared" si="65"/>
        <v>22956.960000000003</v>
      </c>
      <c r="BR76" s="293">
        <f t="shared" si="66"/>
        <v>3900</v>
      </c>
      <c r="BS76" s="293">
        <f t="shared" si="67"/>
        <v>1491.578947368421</v>
      </c>
      <c r="BT76" s="293">
        <f t="shared" si="68"/>
        <v>0</v>
      </c>
      <c r="BU76" s="293">
        <f t="shared" si="69"/>
        <v>1207.83</v>
      </c>
      <c r="BV76" s="293">
        <f t="shared" si="70"/>
        <v>29556.368947368421</v>
      </c>
      <c r="BW76" s="293">
        <f t="shared" si="71"/>
        <v>0</v>
      </c>
      <c r="BX76" s="293">
        <v>0</v>
      </c>
      <c r="BY76" s="293">
        <v>0</v>
      </c>
      <c r="BZ76" s="293">
        <v>0</v>
      </c>
      <c r="CA76" s="293">
        <v>0</v>
      </c>
      <c r="CB76" s="293">
        <v>0</v>
      </c>
      <c r="CC76" s="293">
        <v>0</v>
      </c>
      <c r="CD76" s="293">
        <v>0</v>
      </c>
      <c r="CE76" s="293">
        <f t="shared" si="92"/>
        <v>0</v>
      </c>
      <c r="CF76" s="293"/>
      <c r="CG76" s="293">
        <v>0</v>
      </c>
      <c r="CH76" s="293">
        <v>0</v>
      </c>
      <c r="CI76" s="293">
        <v>30903.600000000002</v>
      </c>
      <c r="CJ76" s="293">
        <v>1950</v>
      </c>
      <c r="CK76" s="293">
        <v>746.2</v>
      </c>
      <c r="CL76" s="293">
        <v>0</v>
      </c>
      <c r="CM76" s="293">
        <v>1571.7</v>
      </c>
      <c r="CN76" s="293">
        <f t="shared" si="93"/>
        <v>35171.5</v>
      </c>
      <c r="CO76" s="293"/>
      <c r="CP76" s="58">
        <f t="shared" si="94"/>
        <v>0</v>
      </c>
      <c r="CQ76" s="223">
        <f t="shared" si="95"/>
        <v>0</v>
      </c>
      <c r="CR76" s="223">
        <f t="shared" si="96"/>
        <v>-14348.100000000002</v>
      </c>
      <c r="CS76" s="223">
        <f t="shared" si="97"/>
        <v>0</v>
      </c>
      <c r="CT76" s="223">
        <f t="shared" si="98"/>
        <v>0.41052631578952514</v>
      </c>
      <c r="CU76" s="223">
        <f t="shared" si="99"/>
        <v>0</v>
      </c>
      <c r="CV76" s="223">
        <f t="shared" si="100"/>
        <v>-820.9500000000005</v>
      </c>
      <c r="CW76" s="223">
        <f t="shared" si="101"/>
        <v>-15168.639473684214</v>
      </c>
      <c r="CX76" s="223">
        <f t="shared" si="102"/>
        <v>0</v>
      </c>
      <c r="CY76" s="58">
        <f t="shared" si="103"/>
        <v>0</v>
      </c>
      <c r="CZ76" s="399">
        <f t="shared" si="104"/>
        <v>0</v>
      </c>
      <c r="DA76" s="399">
        <f t="shared" si="105"/>
        <v>-5297.7600000000057</v>
      </c>
      <c r="DB76" s="399">
        <f t="shared" si="106"/>
        <v>390</v>
      </c>
      <c r="DC76" s="399">
        <f t="shared" si="107"/>
        <v>149.56842105263161</v>
      </c>
      <c r="DD76" s="399">
        <f t="shared" si="108"/>
        <v>0</v>
      </c>
      <c r="DE76" s="399">
        <f t="shared" si="109"/>
        <v>-342.42000000000053</v>
      </c>
      <c r="DF76" s="399">
        <f t="shared" si="110"/>
        <v>-5100.6115789473752</v>
      </c>
      <c r="DG76" s="399">
        <f t="shared" si="111"/>
        <v>0</v>
      </c>
      <c r="DI76" s="399"/>
      <c r="DJ76" s="399"/>
      <c r="DK76" s="399"/>
      <c r="DL76" s="399"/>
      <c r="DM76" s="399"/>
      <c r="DN76" s="399"/>
      <c r="DO76" s="399"/>
      <c r="DP76" s="399"/>
      <c r="DQ76" s="399"/>
      <c r="DS76" s="399"/>
      <c r="DT76" s="399"/>
      <c r="DU76" s="399"/>
      <c r="DV76" s="399"/>
      <c r="DW76" s="399"/>
      <c r="DX76" s="399"/>
      <c r="DY76" s="399"/>
      <c r="DZ76" s="399"/>
      <c r="EB76" s="228">
        <f t="shared" si="112"/>
        <v>120253.18861495845</v>
      </c>
      <c r="EC76" s="228">
        <f t="shared" si="113"/>
        <v>0</v>
      </c>
      <c r="ED76" s="214">
        <f t="shared" si="114"/>
        <v>120253.18861495845</v>
      </c>
    </row>
    <row r="77" spans="1:134" hidden="1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3" t="str">
        <f>VLOOKUP(A77,'Summary Mar 2026'!$A$8:$F$207,6,FALSE)</f>
        <v>Chq Bk</v>
      </c>
      <c r="G77" s="33"/>
      <c r="H77" s="223">
        <v>0</v>
      </c>
      <c r="I77" s="294"/>
      <c r="J77" s="223">
        <v>0</v>
      </c>
      <c r="K77" s="223">
        <v>0</v>
      </c>
      <c r="L77" s="223">
        <v>0</v>
      </c>
      <c r="M77" s="223">
        <v>0</v>
      </c>
      <c r="N77" s="223">
        <v>0</v>
      </c>
      <c r="O77" s="223">
        <v>0</v>
      </c>
      <c r="P77" s="33">
        <f t="shared" si="72"/>
        <v>0</v>
      </c>
      <c r="Q77" s="223">
        <f t="shared" si="73"/>
        <v>0</v>
      </c>
      <c r="R77" s="294"/>
      <c r="S77" s="223">
        <v>0</v>
      </c>
      <c r="T77" s="223">
        <v>0</v>
      </c>
      <c r="U77" s="223">
        <v>0</v>
      </c>
      <c r="V77" s="223">
        <v>0</v>
      </c>
      <c r="W77" s="223">
        <v>0</v>
      </c>
      <c r="X77" s="223">
        <v>0</v>
      </c>
      <c r="Y77" s="223">
        <f t="shared" si="74"/>
        <v>0</v>
      </c>
      <c r="Z77" s="223">
        <f t="shared" si="75"/>
        <v>0</v>
      </c>
      <c r="AA77" s="294"/>
      <c r="AB77" s="398">
        <v>0</v>
      </c>
      <c r="AC77" s="398">
        <v>0</v>
      </c>
      <c r="AD77" s="398">
        <v>0</v>
      </c>
      <c r="AE77" s="398">
        <v>0</v>
      </c>
      <c r="AF77" s="398">
        <v>0</v>
      </c>
      <c r="AG77" s="398">
        <v>0</v>
      </c>
      <c r="AH77" s="223">
        <f t="shared" si="76"/>
        <v>0</v>
      </c>
      <c r="AI77" s="398">
        <f t="shared" si="77"/>
        <v>0</v>
      </c>
      <c r="AJ77" s="294"/>
      <c r="AK77" s="398">
        <v>0</v>
      </c>
      <c r="AL77" s="398">
        <v>0</v>
      </c>
      <c r="AM77" s="398">
        <v>0</v>
      </c>
      <c r="AN77" s="294"/>
      <c r="AO77" s="398">
        <f t="shared" si="78"/>
        <v>0</v>
      </c>
      <c r="AP77" s="398">
        <f t="shared" si="79"/>
        <v>0</v>
      </c>
      <c r="AQ77" s="398">
        <f t="shared" si="80"/>
        <v>0</v>
      </c>
      <c r="AR77" s="293"/>
      <c r="AS77" s="293">
        <v>0</v>
      </c>
      <c r="AT77" s="576">
        <f t="shared" si="81"/>
        <v>0</v>
      </c>
      <c r="AU77" s="293"/>
      <c r="AV77" s="293">
        <v>0</v>
      </c>
      <c r="AW77" s="293">
        <v>0</v>
      </c>
      <c r="AX77" s="293">
        <v>0</v>
      </c>
      <c r="AY77" s="293">
        <v>0</v>
      </c>
      <c r="AZ77" s="293">
        <v>0</v>
      </c>
      <c r="BA77" s="293">
        <v>0</v>
      </c>
      <c r="BB77" s="293">
        <v>0</v>
      </c>
      <c r="BC77" s="293">
        <f t="shared" si="82"/>
        <v>0</v>
      </c>
      <c r="BE77" s="58">
        <f t="shared" si="83"/>
        <v>0</v>
      </c>
      <c r="BF77" s="58">
        <f t="shared" si="84"/>
        <v>0</v>
      </c>
      <c r="BG77" s="58">
        <f t="shared" si="85"/>
        <v>0</v>
      </c>
      <c r="BH77" s="58">
        <f t="shared" si="86"/>
        <v>0</v>
      </c>
      <c r="BI77" s="58">
        <f t="shared" si="87"/>
        <v>0</v>
      </c>
      <c r="BJ77" s="58">
        <f t="shared" si="88"/>
        <v>0</v>
      </c>
      <c r="BK77" s="58">
        <f t="shared" si="89"/>
        <v>0</v>
      </c>
      <c r="BL77" s="58">
        <f t="shared" si="90"/>
        <v>0</v>
      </c>
      <c r="BM77" s="33">
        <f t="shared" si="91"/>
        <v>0</v>
      </c>
      <c r="BN77" s="33"/>
      <c r="BO77" s="293">
        <f t="shared" si="63"/>
        <v>0</v>
      </c>
      <c r="BP77" s="293">
        <f t="shared" si="64"/>
        <v>0</v>
      </c>
      <c r="BQ77" s="293">
        <f t="shared" si="65"/>
        <v>0</v>
      </c>
      <c r="BR77" s="293">
        <f t="shared" si="66"/>
        <v>0</v>
      </c>
      <c r="BS77" s="293">
        <f t="shared" si="67"/>
        <v>0</v>
      </c>
      <c r="BT77" s="293">
        <f t="shared" si="68"/>
        <v>0</v>
      </c>
      <c r="BU77" s="293">
        <f t="shared" si="69"/>
        <v>0</v>
      </c>
      <c r="BV77" s="293">
        <f t="shared" si="70"/>
        <v>0</v>
      </c>
      <c r="BW77" s="293">
        <f t="shared" si="71"/>
        <v>0</v>
      </c>
      <c r="BX77" s="293">
        <v>0</v>
      </c>
      <c r="BY77" s="293">
        <v>0</v>
      </c>
      <c r="BZ77" s="293">
        <v>0</v>
      </c>
      <c r="CA77" s="293">
        <v>0</v>
      </c>
      <c r="CB77" s="293">
        <v>0</v>
      </c>
      <c r="CC77" s="293">
        <v>0</v>
      </c>
      <c r="CD77" s="293">
        <v>0</v>
      </c>
      <c r="CE77" s="293">
        <f t="shared" si="92"/>
        <v>0</v>
      </c>
      <c r="CF77" s="293"/>
      <c r="CG77" s="293">
        <v>0</v>
      </c>
      <c r="CH77" s="293">
        <v>0</v>
      </c>
      <c r="CI77" s="293">
        <v>0</v>
      </c>
      <c r="CJ77" s="293">
        <v>0</v>
      </c>
      <c r="CK77" s="293">
        <v>0</v>
      </c>
      <c r="CL77" s="293">
        <v>0</v>
      </c>
      <c r="CM77" s="293">
        <v>0</v>
      </c>
      <c r="CN77" s="293">
        <f t="shared" si="93"/>
        <v>0</v>
      </c>
      <c r="CO77" s="293"/>
      <c r="CP77" s="58">
        <f t="shared" si="94"/>
        <v>0</v>
      </c>
      <c r="CQ77" s="223">
        <f t="shared" si="95"/>
        <v>0</v>
      </c>
      <c r="CR77" s="223">
        <f t="shared" si="96"/>
        <v>0</v>
      </c>
      <c r="CS77" s="223">
        <f t="shared" si="97"/>
        <v>0</v>
      </c>
      <c r="CT77" s="223">
        <f t="shared" si="98"/>
        <v>0</v>
      </c>
      <c r="CU77" s="223">
        <f t="shared" si="99"/>
        <v>0</v>
      </c>
      <c r="CV77" s="223">
        <f t="shared" si="100"/>
        <v>0</v>
      </c>
      <c r="CW77" s="223">
        <f t="shared" si="101"/>
        <v>0</v>
      </c>
      <c r="CX77" s="223">
        <f t="shared" si="102"/>
        <v>0</v>
      </c>
      <c r="CY77" s="58">
        <f t="shared" si="103"/>
        <v>0</v>
      </c>
      <c r="CZ77" s="399">
        <f t="shared" si="104"/>
        <v>0</v>
      </c>
      <c r="DA77" s="399">
        <f t="shared" si="105"/>
        <v>0</v>
      </c>
      <c r="DB77" s="399">
        <f t="shared" si="106"/>
        <v>0</v>
      </c>
      <c r="DC77" s="399">
        <f t="shared" si="107"/>
        <v>0</v>
      </c>
      <c r="DD77" s="399">
        <f t="shared" si="108"/>
        <v>0</v>
      </c>
      <c r="DE77" s="399">
        <f t="shared" si="109"/>
        <v>0</v>
      </c>
      <c r="DF77" s="399">
        <f t="shared" si="110"/>
        <v>0</v>
      </c>
      <c r="DG77" s="399">
        <f t="shared" si="111"/>
        <v>0</v>
      </c>
      <c r="DI77" s="399"/>
      <c r="DJ77" s="399"/>
      <c r="DK77" s="399"/>
      <c r="DL77" s="399"/>
      <c r="DM77" s="399"/>
      <c r="DN77" s="399"/>
      <c r="DO77" s="399"/>
      <c r="DP77" s="399"/>
      <c r="DQ77" s="399"/>
      <c r="DS77" s="399"/>
      <c r="DT77" s="399"/>
      <c r="DU77" s="399"/>
      <c r="DV77" s="399"/>
      <c r="DW77" s="399"/>
      <c r="DX77" s="399"/>
      <c r="DY77" s="399"/>
      <c r="DZ77" s="399"/>
      <c r="EB77" s="228">
        <f t="shared" si="112"/>
        <v>0</v>
      </c>
      <c r="EC77" s="228">
        <f t="shared" si="113"/>
        <v>0</v>
      </c>
      <c r="ED77" s="214">
        <f t="shared" si="114"/>
        <v>0</v>
      </c>
    </row>
    <row r="78" spans="1:134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3" t="str">
        <f>VLOOKUP(A78,'Summary Mar 2026'!$A$8:$F$207,6,FALSE)</f>
        <v>Chq Bk</v>
      </c>
      <c r="G78" s="33"/>
      <c r="H78" s="223">
        <v>213074.40127277008</v>
      </c>
      <c r="I78" s="294"/>
      <c r="J78" s="223">
        <v>0</v>
      </c>
      <c r="K78" s="223">
        <v>19913.399999999998</v>
      </c>
      <c r="L78" s="223">
        <v>122731.44</v>
      </c>
      <c r="M78" s="223">
        <v>7605</v>
      </c>
      <c r="N78" s="223">
        <v>2684.8421052631579</v>
      </c>
      <c r="O78" s="223">
        <v>0</v>
      </c>
      <c r="P78" s="33">
        <f t="shared" si="72"/>
        <v>152934.68210526314</v>
      </c>
      <c r="Q78" s="223">
        <f t="shared" si="73"/>
        <v>122347.74568421052</v>
      </c>
      <c r="R78" s="294"/>
      <c r="S78" s="223">
        <v>0</v>
      </c>
      <c r="T78" s="223">
        <v>34848.449999999997</v>
      </c>
      <c r="U78" s="223">
        <v>96279.430000000008</v>
      </c>
      <c r="V78" s="223">
        <v>6435</v>
      </c>
      <c r="W78" s="223">
        <v>2386.5263157894738</v>
      </c>
      <c r="X78" s="223">
        <v>0</v>
      </c>
      <c r="Y78" s="223">
        <f t="shared" si="74"/>
        <v>139949.40631578947</v>
      </c>
      <c r="Z78" s="223">
        <f t="shared" si="75"/>
        <v>111959.52505263158</v>
      </c>
      <c r="AA78" s="294"/>
      <c r="AB78" s="398">
        <v>0</v>
      </c>
      <c r="AC78" s="398">
        <v>21767.684210526317</v>
      </c>
      <c r="AD78" s="398">
        <v>96013.856842105262</v>
      </c>
      <c r="AE78" s="398">
        <v>5570.5263157894733</v>
      </c>
      <c r="AF78" s="398">
        <v>2000.0443213296398</v>
      </c>
      <c r="AG78" s="398">
        <v>0</v>
      </c>
      <c r="AH78" s="223">
        <f t="shared" si="76"/>
        <v>125352.1116897507</v>
      </c>
      <c r="AI78" s="398">
        <f t="shared" si="77"/>
        <v>100281.68935180057</v>
      </c>
      <c r="AJ78" s="294"/>
      <c r="AK78" s="398">
        <v>3318.8999999999996</v>
      </c>
      <c r="AL78" s="398">
        <v>2925</v>
      </c>
      <c r="AM78" s="398">
        <v>2472.6315789473688</v>
      </c>
      <c r="AN78" s="294"/>
      <c r="AO78" s="398">
        <f t="shared" si="78"/>
        <v>2655.12</v>
      </c>
      <c r="AP78" s="398">
        <f t="shared" si="79"/>
        <v>2340</v>
      </c>
      <c r="AQ78" s="398">
        <f t="shared" si="80"/>
        <v>1978.105263157895</v>
      </c>
      <c r="AR78" s="293"/>
      <c r="AS78" s="293">
        <v>213996.45976131712</v>
      </c>
      <c r="AT78" s="576">
        <f t="shared" si="81"/>
        <v>922.05848854704527</v>
      </c>
      <c r="AU78" s="293"/>
      <c r="AV78" s="293">
        <v>0</v>
      </c>
      <c r="AW78" s="293">
        <v>19913.399999999998</v>
      </c>
      <c r="AX78" s="293">
        <v>118463.8</v>
      </c>
      <c r="AY78" s="293">
        <v>7995</v>
      </c>
      <c r="AZ78" s="293">
        <v>2983.1578947368421</v>
      </c>
      <c r="BA78" s="293">
        <v>0</v>
      </c>
      <c r="BB78" s="293">
        <v>3447.6</v>
      </c>
      <c r="BC78" s="293">
        <f t="shared" si="82"/>
        <v>366799.41765605402</v>
      </c>
      <c r="BE78" s="58">
        <f t="shared" si="83"/>
        <v>0</v>
      </c>
      <c r="BF78" s="58">
        <f t="shared" si="84"/>
        <v>0</v>
      </c>
      <c r="BG78" s="58">
        <f t="shared" si="85"/>
        <v>-4267.6399999999994</v>
      </c>
      <c r="BH78" s="58">
        <f t="shared" si="86"/>
        <v>390</v>
      </c>
      <c r="BI78" s="58">
        <f t="shared" si="87"/>
        <v>298.31578947368416</v>
      </c>
      <c r="BJ78" s="58">
        <f t="shared" si="88"/>
        <v>0</v>
      </c>
      <c r="BK78" s="58">
        <f t="shared" si="89"/>
        <v>128.70000000000027</v>
      </c>
      <c r="BL78" s="58">
        <f t="shared" si="90"/>
        <v>-2528.5657219792697</v>
      </c>
      <c r="BM78" s="33">
        <f t="shared" si="91"/>
        <v>0</v>
      </c>
      <c r="BN78" s="33"/>
      <c r="BO78" s="293">
        <f t="shared" si="63"/>
        <v>0</v>
      </c>
      <c r="BP78" s="293">
        <f t="shared" si="64"/>
        <v>3982.6799999999985</v>
      </c>
      <c r="BQ78" s="293">
        <f t="shared" si="65"/>
        <v>20278.648000000001</v>
      </c>
      <c r="BR78" s="293">
        <f t="shared" si="66"/>
        <v>1911</v>
      </c>
      <c r="BS78" s="293">
        <f t="shared" si="67"/>
        <v>835.28421052631575</v>
      </c>
      <c r="BT78" s="293">
        <f t="shared" si="68"/>
        <v>0</v>
      </c>
      <c r="BU78" s="293">
        <f t="shared" si="69"/>
        <v>792.48</v>
      </c>
      <c r="BV78" s="293">
        <f t="shared" si="70"/>
        <v>28722.150699073361</v>
      </c>
      <c r="BW78" s="293">
        <f t="shared" si="71"/>
        <v>-5.8207660913467407E-11</v>
      </c>
      <c r="BX78" s="293">
        <v>0</v>
      </c>
      <c r="BY78" s="293">
        <v>6637.7999999999993</v>
      </c>
      <c r="BZ78" s="293">
        <v>0</v>
      </c>
      <c r="CA78" s="293">
        <v>0</v>
      </c>
      <c r="CB78" s="293">
        <v>671.21052631578914</v>
      </c>
      <c r="CC78" s="293">
        <v>0</v>
      </c>
      <c r="CD78" s="293">
        <v>884.26000000000067</v>
      </c>
      <c r="CE78" s="293">
        <f t="shared" si="92"/>
        <v>8193.2705263157895</v>
      </c>
      <c r="CF78" s="293"/>
      <c r="CG78" s="293">
        <v>0</v>
      </c>
      <c r="CH78" s="293">
        <v>41486.25</v>
      </c>
      <c r="CI78" s="293">
        <v>81048.37</v>
      </c>
      <c r="CJ78" s="293">
        <v>6045</v>
      </c>
      <c r="CK78" s="293">
        <v>2536.8200000000002</v>
      </c>
      <c r="CL78" s="293">
        <v>0</v>
      </c>
      <c r="CM78" s="293">
        <v>3591.3799999999997</v>
      </c>
      <c r="CN78" s="293">
        <f t="shared" si="93"/>
        <v>134707.82</v>
      </c>
      <c r="CO78" s="293"/>
      <c r="CP78" s="58">
        <f t="shared" si="94"/>
        <v>0</v>
      </c>
      <c r="CQ78" s="223">
        <f t="shared" si="95"/>
        <v>6637.8000000000029</v>
      </c>
      <c r="CR78" s="223">
        <f t="shared" si="96"/>
        <v>-15231.060000000012</v>
      </c>
      <c r="CS78" s="223">
        <f t="shared" si="97"/>
        <v>-390</v>
      </c>
      <c r="CT78" s="223">
        <f t="shared" si="98"/>
        <v>150.29368421052641</v>
      </c>
      <c r="CU78" s="223">
        <f t="shared" si="99"/>
        <v>0</v>
      </c>
      <c r="CV78" s="223">
        <f t="shared" si="100"/>
        <v>666.37999999999965</v>
      </c>
      <c r="CW78" s="223">
        <f t="shared" si="101"/>
        <v>-8166.5863157894837</v>
      </c>
      <c r="CX78" s="223">
        <f t="shared" si="102"/>
        <v>0</v>
      </c>
      <c r="CY78" s="58">
        <f t="shared" si="103"/>
        <v>0</v>
      </c>
      <c r="CZ78" s="399">
        <f t="shared" si="104"/>
        <v>13607.490000000002</v>
      </c>
      <c r="DA78" s="399">
        <f t="shared" si="105"/>
        <v>4024.8259999999864</v>
      </c>
      <c r="DB78" s="399">
        <f t="shared" si="106"/>
        <v>897</v>
      </c>
      <c r="DC78" s="399">
        <f t="shared" si="107"/>
        <v>627.59894736842102</v>
      </c>
      <c r="DD78" s="399">
        <f t="shared" si="108"/>
        <v>0</v>
      </c>
      <c r="DE78" s="399">
        <f t="shared" si="109"/>
        <v>1251.3799999999997</v>
      </c>
      <c r="DF78" s="399">
        <f t="shared" si="110"/>
        <v>20408.294947368409</v>
      </c>
      <c r="DG78" s="399">
        <f t="shared" si="111"/>
        <v>0</v>
      </c>
      <c r="DI78" s="399"/>
      <c r="DJ78" s="399"/>
      <c r="DK78" s="399"/>
      <c r="DL78" s="399"/>
      <c r="DM78" s="399"/>
      <c r="DN78" s="399"/>
      <c r="DO78" s="399"/>
      <c r="DP78" s="399"/>
      <c r="DQ78" s="399"/>
      <c r="DS78" s="399"/>
      <c r="DT78" s="399"/>
      <c r="DU78" s="399"/>
      <c r="DV78" s="399"/>
      <c r="DW78" s="399"/>
      <c r="DX78" s="399"/>
      <c r="DY78" s="399"/>
      <c r="DZ78" s="399"/>
      <c r="EB78" s="228">
        <f t="shared" si="112"/>
        <v>611960.30279732822</v>
      </c>
      <c r="EC78" s="228">
        <f t="shared" si="113"/>
        <v>0</v>
      </c>
      <c r="ED78" s="214">
        <f t="shared" si="114"/>
        <v>611960.30279732822</v>
      </c>
    </row>
    <row r="79" spans="1:134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3" t="str">
        <f>VLOOKUP(A79,'Summary Mar 2026'!$A$8:$F$207,6,FALSE)</f>
        <v>Chq Bk</v>
      </c>
      <c r="G79" s="33"/>
      <c r="H79" s="223">
        <v>0</v>
      </c>
      <c r="I79" s="294"/>
      <c r="J79" s="223">
        <v>0</v>
      </c>
      <c r="K79" s="223">
        <v>0</v>
      </c>
      <c r="L79" s="223">
        <v>50770.200000000004</v>
      </c>
      <c r="M79" s="223">
        <v>2145</v>
      </c>
      <c r="N79" s="223">
        <v>0</v>
      </c>
      <c r="O79" s="223">
        <v>0</v>
      </c>
      <c r="P79" s="33">
        <f t="shared" si="72"/>
        <v>52915.200000000004</v>
      </c>
      <c r="Q79" s="223">
        <f t="shared" si="73"/>
        <v>42332.160000000003</v>
      </c>
      <c r="R79" s="294"/>
      <c r="S79" s="223">
        <v>0</v>
      </c>
      <c r="T79" s="223">
        <v>0</v>
      </c>
      <c r="U79" s="223">
        <v>40836.9</v>
      </c>
      <c r="V79" s="223">
        <v>975</v>
      </c>
      <c r="W79" s="223">
        <v>0</v>
      </c>
      <c r="X79" s="223">
        <v>0</v>
      </c>
      <c r="Y79" s="223">
        <f t="shared" si="74"/>
        <v>41811.9</v>
      </c>
      <c r="Z79" s="223">
        <f t="shared" si="75"/>
        <v>33449.520000000004</v>
      </c>
      <c r="AA79" s="294"/>
      <c r="AB79" s="398">
        <v>0</v>
      </c>
      <c r="AC79" s="398">
        <v>0</v>
      </c>
      <c r="AD79" s="398">
        <v>40215.789473684214</v>
      </c>
      <c r="AE79" s="398">
        <v>1364.2105263157894</v>
      </c>
      <c r="AF79" s="398">
        <v>0</v>
      </c>
      <c r="AG79" s="398">
        <v>0</v>
      </c>
      <c r="AH79" s="223">
        <f t="shared" si="76"/>
        <v>41580</v>
      </c>
      <c r="AI79" s="398">
        <f t="shared" si="77"/>
        <v>33264</v>
      </c>
      <c r="AJ79" s="294"/>
      <c r="AK79" s="398">
        <v>1630.1999999999998</v>
      </c>
      <c r="AL79" s="398">
        <v>978.89999999999986</v>
      </c>
      <c r="AM79" s="398">
        <v>1193.6842105263158</v>
      </c>
      <c r="AN79" s="294"/>
      <c r="AO79" s="398">
        <f t="shared" si="78"/>
        <v>1304.1599999999999</v>
      </c>
      <c r="AP79" s="398">
        <f t="shared" si="79"/>
        <v>783.11999999999989</v>
      </c>
      <c r="AQ79" s="398">
        <f t="shared" si="80"/>
        <v>954.94736842105272</v>
      </c>
      <c r="AR79" s="293"/>
      <c r="AS79" s="293">
        <v>0</v>
      </c>
      <c r="AT79" s="576">
        <f t="shared" si="81"/>
        <v>0</v>
      </c>
      <c r="AU79" s="293"/>
      <c r="AV79" s="293">
        <v>0</v>
      </c>
      <c r="AW79" s="293">
        <v>0</v>
      </c>
      <c r="AX79" s="293">
        <v>50770.200000000004</v>
      </c>
      <c r="AY79" s="293">
        <v>2340</v>
      </c>
      <c r="AZ79" s="293">
        <v>0</v>
      </c>
      <c r="BA79" s="293">
        <v>0</v>
      </c>
      <c r="BB79" s="293">
        <v>1267.5</v>
      </c>
      <c r="BC79" s="293">
        <f t="shared" si="82"/>
        <v>54377.700000000004</v>
      </c>
      <c r="BE79" s="58">
        <f t="shared" si="83"/>
        <v>0</v>
      </c>
      <c r="BF79" s="58">
        <f t="shared" si="84"/>
        <v>0</v>
      </c>
      <c r="BG79" s="58">
        <f t="shared" si="85"/>
        <v>0</v>
      </c>
      <c r="BH79" s="58">
        <f t="shared" si="86"/>
        <v>195</v>
      </c>
      <c r="BI79" s="58">
        <f t="shared" si="87"/>
        <v>0</v>
      </c>
      <c r="BJ79" s="58">
        <f t="shared" si="88"/>
        <v>0</v>
      </c>
      <c r="BK79" s="58">
        <f t="shared" si="89"/>
        <v>-362.69999999999982</v>
      </c>
      <c r="BL79" s="58">
        <f t="shared" si="90"/>
        <v>-167.69999999999982</v>
      </c>
      <c r="BM79" s="33">
        <f t="shared" si="91"/>
        <v>0</v>
      </c>
      <c r="BN79" s="33"/>
      <c r="BO79" s="293">
        <f t="shared" si="63"/>
        <v>0</v>
      </c>
      <c r="BP79" s="293">
        <f t="shared" si="64"/>
        <v>0</v>
      </c>
      <c r="BQ79" s="293">
        <f t="shared" si="65"/>
        <v>10154.040000000001</v>
      </c>
      <c r="BR79" s="293">
        <f t="shared" si="66"/>
        <v>624</v>
      </c>
      <c r="BS79" s="293">
        <f t="shared" si="67"/>
        <v>0</v>
      </c>
      <c r="BT79" s="293">
        <f t="shared" si="68"/>
        <v>0</v>
      </c>
      <c r="BU79" s="293">
        <f t="shared" si="69"/>
        <v>-36.659999999999854</v>
      </c>
      <c r="BV79" s="293">
        <f t="shared" si="70"/>
        <v>10741.380000000001</v>
      </c>
      <c r="BW79" s="293">
        <f t="shared" si="71"/>
        <v>7.2759576141834259E-12</v>
      </c>
      <c r="BX79" s="293">
        <v>0</v>
      </c>
      <c r="BY79" s="293">
        <v>0</v>
      </c>
      <c r="BZ79" s="293">
        <v>0</v>
      </c>
      <c r="CA79" s="293">
        <v>0</v>
      </c>
      <c r="CB79" s="293">
        <v>0</v>
      </c>
      <c r="CC79" s="293">
        <v>0</v>
      </c>
      <c r="CD79" s="293">
        <v>645.44999999999982</v>
      </c>
      <c r="CE79" s="293">
        <f t="shared" si="92"/>
        <v>645.44999999999982</v>
      </c>
      <c r="CF79" s="293"/>
      <c r="CG79" s="293">
        <v>0</v>
      </c>
      <c r="CH79" s="293">
        <v>0</v>
      </c>
      <c r="CI79" s="293">
        <v>30903.599999999999</v>
      </c>
      <c r="CJ79" s="293">
        <v>1560</v>
      </c>
      <c r="CK79" s="293">
        <v>0</v>
      </c>
      <c r="CL79" s="293">
        <v>0</v>
      </c>
      <c r="CM79" s="293">
        <v>1478.1</v>
      </c>
      <c r="CN79" s="293">
        <f t="shared" si="93"/>
        <v>33941.699999999997</v>
      </c>
      <c r="CO79" s="293"/>
      <c r="CP79" s="58">
        <f t="shared" si="94"/>
        <v>0</v>
      </c>
      <c r="CQ79" s="223">
        <f t="shared" si="95"/>
        <v>0</v>
      </c>
      <c r="CR79" s="223">
        <f t="shared" si="96"/>
        <v>-9933.3000000000029</v>
      </c>
      <c r="CS79" s="223">
        <f t="shared" si="97"/>
        <v>585</v>
      </c>
      <c r="CT79" s="223">
        <f t="shared" si="98"/>
        <v>0</v>
      </c>
      <c r="CU79" s="223">
        <f t="shared" si="99"/>
        <v>0</v>
      </c>
      <c r="CV79" s="223">
        <f t="shared" si="100"/>
        <v>499.20000000000005</v>
      </c>
      <c r="CW79" s="223">
        <f t="shared" si="101"/>
        <v>-8849.1000000000022</v>
      </c>
      <c r="CX79" s="223">
        <f t="shared" si="102"/>
        <v>0</v>
      </c>
      <c r="CY79" s="58">
        <f t="shared" si="103"/>
        <v>0</v>
      </c>
      <c r="CZ79" s="399">
        <f t="shared" si="104"/>
        <v>0</v>
      </c>
      <c r="DA79" s="399">
        <f t="shared" si="105"/>
        <v>-1765.9200000000055</v>
      </c>
      <c r="DB79" s="399">
        <f t="shared" si="106"/>
        <v>780</v>
      </c>
      <c r="DC79" s="399">
        <f t="shared" si="107"/>
        <v>0</v>
      </c>
      <c r="DD79" s="399">
        <f t="shared" si="108"/>
        <v>0</v>
      </c>
      <c r="DE79" s="399">
        <f t="shared" si="109"/>
        <v>694.98</v>
      </c>
      <c r="DF79" s="399">
        <f t="shared" si="110"/>
        <v>-290.94000000000551</v>
      </c>
      <c r="DG79" s="399">
        <f t="shared" si="111"/>
        <v>0</v>
      </c>
      <c r="DI79" s="399"/>
      <c r="DJ79" s="399"/>
      <c r="DK79" s="399"/>
      <c r="DL79" s="399"/>
      <c r="DM79" s="399"/>
      <c r="DN79" s="399"/>
      <c r="DO79" s="399"/>
      <c r="DP79" s="399"/>
      <c r="DQ79" s="399"/>
      <c r="DS79" s="399"/>
      <c r="DT79" s="399"/>
      <c r="DU79" s="399"/>
      <c r="DV79" s="399"/>
      <c r="DW79" s="399"/>
      <c r="DX79" s="399"/>
      <c r="DY79" s="399"/>
      <c r="DZ79" s="399"/>
      <c r="EB79" s="228">
        <f t="shared" si="112"/>
        <v>123183.79736842106</v>
      </c>
      <c r="EC79" s="228">
        <f t="shared" si="113"/>
        <v>0</v>
      </c>
      <c r="ED79" s="214">
        <f t="shared" si="114"/>
        <v>123183.79736842106</v>
      </c>
    </row>
    <row r="80" spans="1:134" hidden="1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3" t="str">
        <f>VLOOKUP(A80,'Summary Mar 2026'!$A$8:$F$207,6,FALSE)</f>
        <v>Chq Bk</v>
      </c>
      <c r="G80" s="33"/>
      <c r="H80" s="223">
        <v>0</v>
      </c>
      <c r="I80" s="294"/>
      <c r="J80" s="223">
        <v>0</v>
      </c>
      <c r="K80" s="223">
        <v>0</v>
      </c>
      <c r="L80" s="223">
        <v>33111</v>
      </c>
      <c r="M80" s="223">
        <v>2925</v>
      </c>
      <c r="N80" s="223">
        <v>0</v>
      </c>
      <c r="O80" s="223">
        <v>0</v>
      </c>
      <c r="P80" s="33">
        <f t="shared" si="72"/>
        <v>36036</v>
      </c>
      <c r="Q80" s="223">
        <f t="shared" si="73"/>
        <v>28828.800000000003</v>
      </c>
      <c r="R80" s="294"/>
      <c r="S80" s="223">
        <v>0</v>
      </c>
      <c r="T80" s="223">
        <v>0</v>
      </c>
      <c r="U80" s="223">
        <v>9933.3000000000011</v>
      </c>
      <c r="V80" s="223">
        <v>585</v>
      </c>
      <c r="W80" s="223">
        <v>223.73684210526318</v>
      </c>
      <c r="X80" s="223">
        <v>0</v>
      </c>
      <c r="Y80" s="223">
        <f t="shared" si="74"/>
        <v>10742.036842105264</v>
      </c>
      <c r="Z80" s="223">
        <f t="shared" si="75"/>
        <v>8593.6294736842119</v>
      </c>
      <c r="AA80" s="294"/>
      <c r="AB80" s="398">
        <v>0</v>
      </c>
      <c r="AC80" s="398">
        <v>0</v>
      </c>
      <c r="AD80" s="398">
        <v>19625.305263157898</v>
      </c>
      <c r="AE80" s="398">
        <v>1705.2631578947369</v>
      </c>
      <c r="AF80" s="398">
        <v>65.21883656509695</v>
      </c>
      <c r="AG80" s="398">
        <v>0</v>
      </c>
      <c r="AH80" s="223">
        <f t="shared" si="76"/>
        <v>21395.787257617732</v>
      </c>
      <c r="AI80" s="398">
        <f t="shared" si="77"/>
        <v>17116.629806094188</v>
      </c>
      <c r="AJ80" s="294"/>
      <c r="AK80" s="398">
        <v>1645.7999999999997</v>
      </c>
      <c r="AL80" s="398">
        <v>645.45000000000005</v>
      </c>
      <c r="AM80" s="398">
        <v>1131.1578947368421</v>
      </c>
      <c r="AN80" s="294"/>
      <c r="AO80" s="398">
        <f t="shared" si="78"/>
        <v>1316.6399999999999</v>
      </c>
      <c r="AP80" s="398">
        <f t="shared" si="79"/>
        <v>516.36</v>
      </c>
      <c r="AQ80" s="398">
        <f t="shared" si="80"/>
        <v>904.92631578947373</v>
      </c>
      <c r="AR80" s="293"/>
      <c r="AS80" s="293">
        <v>0</v>
      </c>
      <c r="AT80" s="576">
        <f t="shared" si="81"/>
        <v>0</v>
      </c>
      <c r="AU80" s="293"/>
      <c r="AV80" s="293">
        <v>0</v>
      </c>
      <c r="AW80" s="293">
        <v>0</v>
      </c>
      <c r="AX80" s="293">
        <v>19866.600000000002</v>
      </c>
      <c r="AY80" s="293">
        <v>1365</v>
      </c>
      <c r="AZ80" s="293">
        <v>0</v>
      </c>
      <c r="BA80" s="293">
        <v>0</v>
      </c>
      <c r="BB80" s="293">
        <v>1279.1999999999998</v>
      </c>
      <c r="BC80" s="293">
        <f t="shared" si="82"/>
        <v>22510.800000000003</v>
      </c>
      <c r="BE80" s="58">
        <f t="shared" si="83"/>
        <v>0</v>
      </c>
      <c r="BF80" s="58">
        <f t="shared" si="84"/>
        <v>0</v>
      </c>
      <c r="BG80" s="58">
        <f t="shared" si="85"/>
        <v>-13244.399999999998</v>
      </c>
      <c r="BH80" s="58">
        <f t="shared" si="86"/>
        <v>-1560</v>
      </c>
      <c r="BI80" s="58">
        <f t="shared" si="87"/>
        <v>0</v>
      </c>
      <c r="BJ80" s="58">
        <f t="shared" si="88"/>
        <v>0</v>
      </c>
      <c r="BK80" s="58">
        <f t="shared" si="89"/>
        <v>-366.59999999999991</v>
      </c>
      <c r="BL80" s="58">
        <f t="shared" si="90"/>
        <v>-15170.999999999998</v>
      </c>
      <c r="BM80" s="33">
        <f t="shared" si="91"/>
        <v>0</v>
      </c>
      <c r="BN80" s="33"/>
      <c r="BO80" s="293">
        <f t="shared" si="63"/>
        <v>0</v>
      </c>
      <c r="BP80" s="293">
        <f t="shared" si="64"/>
        <v>0</v>
      </c>
      <c r="BQ80" s="293">
        <f t="shared" si="65"/>
        <v>-6622.2000000000007</v>
      </c>
      <c r="BR80" s="293">
        <f t="shared" si="66"/>
        <v>-975</v>
      </c>
      <c r="BS80" s="293">
        <f t="shared" si="67"/>
        <v>0</v>
      </c>
      <c r="BT80" s="293">
        <f t="shared" si="68"/>
        <v>0</v>
      </c>
      <c r="BU80" s="293">
        <f t="shared" si="69"/>
        <v>-37.440000000000055</v>
      </c>
      <c r="BV80" s="293">
        <f t="shared" si="70"/>
        <v>-7634.6400000000012</v>
      </c>
      <c r="BW80" s="293">
        <f t="shared" si="71"/>
        <v>0</v>
      </c>
      <c r="BX80" s="293">
        <v>0</v>
      </c>
      <c r="BY80" s="293">
        <v>0</v>
      </c>
      <c r="BZ80" s="293">
        <v>0</v>
      </c>
      <c r="CA80" s="293">
        <v>0</v>
      </c>
      <c r="CB80" s="293">
        <v>0</v>
      </c>
      <c r="CC80" s="293">
        <v>0</v>
      </c>
      <c r="CD80" s="293">
        <v>0</v>
      </c>
      <c r="CE80" s="293">
        <f t="shared" si="92"/>
        <v>0</v>
      </c>
      <c r="CF80" s="293"/>
      <c r="CG80" s="293">
        <v>0</v>
      </c>
      <c r="CH80" s="293">
        <v>0</v>
      </c>
      <c r="CI80" s="293">
        <v>20970.3</v>
      </c>
      <c r="CJ80" s="293">
        <v>1950</v>
      </c>
      <c r="CK80" s="293">
        <v>746.2</v>
      </c>
      <c r="CL80" s="293">
        <v>0</v>
      </c>
      <c r="CM80" s="293">
        <v>1210.95</v>
      </c>
      <c r="CN80" s="293">
        <f t="shared" si="93"/>
        <v>24877.45</v>
      </c>
      <c r="CO80" s="293"/>
      <c r="CP80" s="58">
        <f t="shared" si="94"/>
        <v>0</v>
      </c>
      <c r="CQ80" s="223">
        <f t="shared" si="95"/>
        <v>0</v>
      </c>
      <c r="CR80" s="223">
        <f t="shared" si="96"/>
        <v>11036.999999999998</v>
      </c>
      <c r="CS80" s="223">
        <f t="shared" si="97"/>
        <v>1365</v>
      </c>
      <c r="CT80" s="223">
        <f t="shared" si="98"/>
        <v>522.46315789473692</v>
      </c>
      <c r="CU80" s="223">
        <f t="shared" si="99"/>
        <v>0</v>
      </c>
      <c r="CV80" s="223">
        <f t="shared" si="100"/>
        <v>565.5</v>
      </c>
      <c r="CW80" s="223">
        <f t="shared" si="101"/>
        <v>13489.963157894736</v>
      </c>
      <c r="CX80" s="223">
        <f t="shared" si="102"/>
        <v>0</v>
      </c>
      <c r="CY80" s="58">
        <f t="shared" si="103"/>
        <v>0</v>
      </c>
      <c r="CZ80" s="399">
        <f t="shared" si="104"/>
        <v>0</v>
      </c>
      <c r="DA80" s="399">
        <f t="shared" si="105"/>
        <v>13023.659999999998</v>
      </c>
      <c r="DB80" s="399">
        <f t="shared" si="106"/>
        <v>1482</v>
      </c>
      <c r="DC80" s="399">
        <f t="shared" si="107"/>
        <v>567.21052631578948</v>
      </c>
      <c r="DD80" s="399">
        <f t="shared" si="108"/>
        <v>0</v>
      </c>
      <c r="DE80" s="399">
        <f t="shared" si="109"/>
        <v>694.59</v>
      </c>
      <c r="DF80" s="399">
        <f t="shared" si="110"/>
        <v>15767.460526315788</v>
      </c>
      <c r="DG80" s="399">
        <f t="shared" si="111"/>
        <v>0</v>
      </c>
      <c r="DI80" s="399"/>
      <c r="DJ80" s="399"/>
      <c r="DK80" s="399"/>
      <c r="DL80" s="399"/>
      <c r="DM80" s="399"/>
      <c r="DN80" s="399"/>
      <c r="DO80" s="399"/>
      <c r="DP80" s="399"/>
      <c r="DQ80" s="399"/>
      <c r="DS80" s="399"/>
      <c r="DT80" s="399"/>
      <c r="DU80" s="399"/>
      <c r="DV80" s="399"/>
      <c r="DW80" s="399"/>
      <c r="DX80" s="399"/>
      <c r="DY80" s="399"/>
      <c r="DZ80" s="399"/>
      <c r="EB80" s="228">
        <f t="shared" si="112"/>
        <v>65409.806121883666</v>
      </c>
      <c r="EC80" s="228">
        <f t="shared" si="113"/>
        <v>0</v>
      </c>
      <c r="ED80" s="214">
        <f t="shared" si="114"/>
        <v>65409.806121883666</v>
      </c>
    </row>
    <row r="81" spans="1:134" hidden="1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3" t="str">
        <f>VLOOKUP(A81,'Summary Mar 2026'!$A$8:$F$207,6,FALSE)</f>
        <v>Chq Bk</v>
      </c>
      <c r="G81" s="33"/>
      <c r="H81" s="223">
        <v>0</v>
      </c>
      <c r="I81" s="294"/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223">
        <v>0</v>
      </c>
      <c r="P81" s="33">
        <f t="shared" si="72"/>
        <v>0</v>
      </c>
      <c r="Q81" s="223">
        <f t="shared" si="73"/>
        <v>0</v>
      </c>
      <c r="R81" s="294"/>
      <c r="S81" s="223">
        <v>0</v>
      </c>
      <c r="T81" s="223">
        <v>0</v>
      </c>
      <c r="U81" s="223">
        <v>0</v>
      </c>
      <c r="V81" s="223">
        <v>0</v>
      </c>
      <c r="W81" s="223">
        <v>0</v>
      </c>
      <c r="X81" s="223">
        <v>0</v>
      </c>
      <c r="Y81" s="223">
        <f t="shared" si="74"/>
        <v>0</v>
      </c>
      <c r="Z81" s="223">
        <f t="shared" si="75"/>
        <v>0</v>
      </c>
      <c r="AA81" s="294"/>
      <c r="AB81" s="398">
        <v>0</v>
      </c>
      <c r="AC81" s="398">
        <v>0</v>
      </c>
      <c r="AD81" s="398">
        <v>0</v>
      </c>
      <c r="AE81" s="398">
        <v>0</v>
      </c>
      <c r="AF81" s="398">
        <v>0</v>
      </c>
      <c r="AG81" s="398">
        <v>0</v>
      </c>
      <c r="AH81" s="223">
        <f t="shared" si="76"/>
        <v>0</v>
      </c>
      <c r="AI81" s="398">
        <f t="shared" si="77"/>
        <v>0</v>
      </c>
      <c r="AJ81" s="294"/>
      <c r="AK81" s="398">
        <v>0</v>
      </c>
      <c r="AL81" s="398">
        <v>0</v>
      </c>
      <c r="AM81" s="398">
        <v>0</v>
      </c>
      <c r="AN81" s="294"/>
      <c r="AO81" s="398">
        <f t="shared" si="78"/>
        <v>0</v>
      </c>
      <c r="AP81" s="398">
        <f t="shared" si="79"/>
        <v>0</v>
      </c>
      <c r="AQ81" s="398">
        <f t="shared" si="80"/>
        <v>0</v>
      </c>
      <c r="AR81" s="293"/>
      <c r="AS81" s="293">
        <v>0</v>
      </c>
      <c r="AT81" s="576">
        <f t="shared" si="81"/>
        <v>0</v>
      </c>
      <c r="AU81" s="293"/>
      <c r="AV81" s="293">
        <v>0</v>
      </c>
      <c r="AW81" s="293">
        <v>0</v>
      </c>
      <c r="AX81" s="293">
        <v>0</v>
      </c>
      <c r="AY81" s="293">
        <v>0</v>
      </c>
      <c r="AZ81" s="293">
        <v>0</v>
      </c>
      <c r="BA81" s="293">
        <v>0</v>
      </c>
      <c r="BB81" s="293">
        <v>0</v>
      </c>
      <c r="BC81" s="293">
        <f t="shared" si="82"/>
        <v>0</v>
      </c>
      <c r="BE81" s="58">
        <f t="shared" si="83"/>
        <v>0</v>
      </c>
      <c r="BF81" s="58">
        <f t="shared" si="84"/>
        <v>0</v>
      </c>
      <c r="BG81" s="58">
        <f t="shared" si="85"/>
        <v>0</v>
      </c>
      <c r="BH81" s="58">
        <f t="shared" si="86"/>
        <v>0</v>
      </c>
      <c r="BI81" s="58">
        <f t="shared" si="87"/>
        <v>0</v>
      </c>
      <c r="BJ81" s="58">
        <f t="shared" si="88"/>
        <v>0</v>
      </c>
      <c r="BK81" s="58">
        <f t="shared" si="89"/>
        <v>0</v>
      </c>
      <c r="BL81" s="58">
        <f t="shared" si="90"/>
        <v>0</v>
      </c>
      <c r="BM81" s="33">
        <f t="shared" si="91"/>
        <v>0</v>
      </c>
      <c r="BN81" s="33"/>
      <c r="BO81" s="293">
        <f t="shared" si="63"/>
        <v>0</v>
      </c>
      <c r="BP81" s="293">
        <f t="shared" si="64"/>
        <v>0</v>
      </c>
      <c r="BQ81" s="293">
        <f t="shared" si="65"/>
        <v>0</v>
      </c>
      <c r="BR81" s="293">
        <f t="shared" si="66"/>
        <v>0</v>
      </c>
      <c r="BS81" s="293">
        <f t="shared" si="67"/>
        <v>0</v>
      </c>
      <c r="BT81" s="293">
        <f t="shared" si="68"/>
        <v>0</v>
      </c>
      <c r="BU81" s="293">
        <f t="shared" si="69"/>
        <v>0</v>
      </c>
      <c r="BV81" s="293">
        <f t="shared" si="70"/>
        <v>0</v>
      </c>
      <c r="BW81" s="293">
        <f t="shared" si="71"/>
        <v>0</v>
      </c>
      <c r="BX81" s="293">
        <v>0</v>
      </c>
      <c r="BY81" s="293">
        <v>0</v>
      </c>
      <c r="BZ81" s="293">
        <v>0</v>
      </c>
      <c r="CA81" s="293">
        <v>0</v>
      </c>
      <c r="CB81" s="293">
        <v>0</v>
      </c>
      <c r="CC81" s="293">
        <v>0</v>
      </c>
      <c r="CD81" s="293">
        <v>0</v>
      </c>
      <c r="CE81" s="293">
        <f t="shared" si="92"/>
        <v>0</v>
      </c>
      <c r="CF81" s="293"/>
      <c r="CG81" s="293">
        <v>0</v>
      </c>
      <c r="CH81" s="293">
        <v>0</v>
      </c>
      <c r="CI81" s="293">
        <v>0</v>
      </c>
      <c r="CJ81" s="293">
        <v>0</v>
      </c>
      <c r="CK81" s="293">
        <v>0</v>
      </c>
      <c r="CL81" s="293">
        <v>0</v>
      </c>
      <c r="CM81" s="293">
        <v>0</v>
      </c>
      <c r="CN81" s="293">
        <f t="shared" si="93"/>
        <v>0</v>
      </c>
      <c r="CO81" s="293"/>
      <c r="CP81" s="58">
        <f t="shared" si="94"/>
        <v>0</v>
      </c>
      <c r="CQ81" s="223">
        <f t="shared" si="95"/>
        <v>0</v>
      </c>
      <c r="CR81" s="223">
        <f t="shared" si="96"/>
        <v>0</v>
      </c>
      <c r="CS81" s="223">
        <f t="shared" si="97"/>
        <v>0</v>
      </c>
      <c r="CT81" s="223">
        <f t="shared" si="98"/>
        <v>0</v>
      </c>
      <c r="CU81" s="223">
        <f t="shared" si="99"/>
        <v>0</v>
      </c>
      <c r="CV81" s="223">
        <f t="shared" si="100"/>
        <v>0</v>
      </c>
      <c r="CW81" s="223">
        <f t="shared" si="101"/>
        <v>0</v>
      </c>
      <c r="CX81" s="223">
        <f t="shared" si="102"/>
        <v>0</v>
      </c>
      <c r="CY81" s="58">
        <f t="shared" si="103"/>
        <v>0</v>
      </c>
      <c r="CZ81" s="399">
        <f t="shared" si="104"/>
        <v>0</v>
      </c>
      <c r="DA81" s="399">
        <f t="shared" si="105"/>
        <v>0</v>
      </c>
      <c r="DB81" s="399">
        <f t="shared" si="106"/>
        <v>0</v>
      </c>
      <c r="DC81" s="399">
        <f t="shared" si="107"/>
        <v>0</v>
      </c>
      <c r="DD81" s="399">
        <f t="shared" si="108"/>
        <v>0</v>
      </c>
      <c r="DE81" s="399">
        <f t="shared" si="109"/>
        <v>0</v>
      </c>
      <c r="DF81" s="399">
        <f t="shared" si="110"/>
        <v>0</v>
      </c>
      <c r="DG81" s="399">
        <f t="shared" si="111"/>
        <v>0</v>
      </c>
      <c r="DI81" s="399"/>
      <c r="DJ81" s="399"/>
      <c r="DK81" s="399"/>
      <c r="DL81" s="399"/>
      <c r="DM81" s="399"/>
      <c r="DN81" s="399"/>
      <c r="DO81" s="399"/>
      <c r="DP81" s="399"/>
      <c r="DQ81" s="399"/>
      <c r="DS81" s="399"/>
      <c r="DT81" s="399"/>
      <c r="DU81" s="399"/>
      <c r="DV81" s="399"/>
      <c r="DW81" s="399"/>
      <c r="DX81" s="399"/>
      <c r="DY81" s="399"/>
      <c r="DZ81" s="399"/>
      <c r="EB81" s="228">
        <f t="shared" si="112"/>
        <v>0</v>
      </c>
      <c r="EC81" s="228">
        <f t="shared" si="113"/>
        <v>0</v>
      </c>
      <c r="ED81" s="214">
        <f t="shared" si="114"/>
        <v>0</v>
      </c>
    </row>
    <row r="82" spans="1:134" hidden="1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3" t="str">
        <f>VLOOKUP(A82,'Summary Mar 2026'!$A$8:$F$207,6,FALSE)</f>
        <v>Chq Bk</v>
      </c>
      <c r="G82" s="33"/>
      <c r="H82" s="223">
        <v>0</v>
      </c>
      <c r="I82" s="294"/>
      <c r="J82" s="223">
        <v>0</v>
      </c>
      <c r="K82" s="223">
        <v>0</v>
      </c>
      <c r="L82" s="223">
        <v>0</v>
      </c>
      <c r="M82" s="223">
        <v>0</v>
      </c>
      <c r="N82" s="223">
        <v>0</v>
      </c>
      <c r="O82" s="223">
        <v>0</v>
      </c>
      <c r="P82" s="33">
        <f t="shared" si="72"/>
        <v>0</v>
      </c>
      <c r="Q82" s="223">
        <f t="shared" si="73"/>
        <v>0</v>
      </c>
      <c r="R82" s="294"/>
      <c r="S82" s="223">
        <v>0</v>
      </c>
      <c r="T82" s="223">
        <v>0</v>
      </c>
      <c r="U82" s="223">
        <v>0</v>
      </c>
      <c r="V82" s="223">
        <v>0</v>
      </c>
      <c r="W82" s="223">
        <v>0</v>
      </c>
      <c r="X82" s="223">
        <v>0</v>
      </c>
      <c r="Y82" s="223">
        <f t="shared" si="74"/>
        <v>0</v>
      </c>
      <c r="Z82" s="223">
        <f t="shared" si="75"/>
        <v>0</v>
      </c>
      <c r="AA82" s="294"/>
      <c r="AB82" s="398">
        <v>0</v>
      </c>
      <c r="AC82" s="398">
        <v>0</v>
      </c>
      <c r="AD82" s="398">
        <v>0</v>
      </c>
      <c r="AE82" s="398">
        <v>0</v>
      </c>
      <c r="AF82" s="398">
        <v>0</v>
      </c>
      <c r="AG82" s="398">
        <v>0</v>
      </c>
      <c r="AH82" s="223">
        <f t="shared" si="76"/>
        <v>0</v>
      </c>
      <c r="AI82" s="398">
        <f t="shared" si="77"/>
        <v>0</v>
      </c>
      <c r="AJ82" s="294"/>
      <c r="AK82" s="398">
        <v>0</v>
      </c>
      <c r="AL82" s="398">
        <v>0</v>
      </c>
      <c r="AM82" s="398">
        <v>0</v>
      </c>
      <c r="AN82" s="294"/>
      <c r="AO82" s="398">
        <f t="shared" si="78"/>
        <v>0</v>
      </c>
      <c r="AP82" s="398">
        <f t="shared" si="79"/>
        <v>0</v>
      </c>
      <c r="AQ82" s="398">
        <f t="shared" si="80"/>
        <v>0</v>
      </c>
      <c r="AR82" s="293"/>
      <c r="AS82" s="293">
        <v>0</v>
      </c>
      <c r="AT82" s="576">
        <f t="shared" si="81"/>
        <v>0</v>
      </c>
      <c r="AU82" s="293"/>
      <c r="AV82" s="293">
        <v>0</v>
      </c>
      <c r="AW82" s="293">
        <v>0</v>
      </c>
      <c r="AX82" s="293">
        <v>0</v>
      </c>
      <c r="AY82" s="293">
        <v>0</v>
      </c>
      <c r="AZ82" s="293">
        <v>0</v>
      </c>
      <c r="BA82" s="293">
        <v>0</v>
      </c>
      <c r="BB82" s="293">
        <v>0</v>
      </c>
      <c r="BC82" s="293">
        <f t="shared" si="82"/>
        <v>0</v>
      </c>
      <c r="BE82" s="58">
        <f t="shared" si="83"/>
        <v>0</v>
      </c>
      <c r="BF82" s="58">
        <f t="shared" si="84"/>
        <v>0</v>
      </c>
      <c r="BG82" s="58">
        <f t="shared" si="85"/>
        <v>0</v>
      </c>
      <c r="BH82" s="58">
        <f t="shared" si="86"/>
        <v>0</v>
      </c>
      <c r="BI82" s="58">
        <f t="shared" si="87"/>
        <v>0</v>
      </c>
      <c r="BJ82" s="58">
        <f t="shared" si="88"/>
        <v>0</v>
      </c>
      <c r="BK82" s="58">
        <f t="shared" si="89"/>
        <v>0</v>
      </c>
      <c r="BL82" s="58">
        <f t="shared" si="90"/>
        <v>0</v>
      </c>
      <c r="BM82" s="33">
        <f t="shared" si="91"/>
        <v>0</v>
      </c>
      <c r="BN82" s="33"/>
      <c r="BO82" s="293">
        <f t="shared" si="63"/>
        <v>0</v>
      </c>
      <c r="BP82" s="293">
        <f t="shared" si="64"/>
        <v>0</v>
      </c>
      <c r="BQ82" s="293">
        <f t="shared" si="65"/>
        <v>0</v>
      </c>
      <c r="BR82" s="293">
        <f t="shared" si="66"/>
        <v>0</v>
      </c>
      <c r="BS82" s="293">
        <f t="shared" si="67"/>
        <v>0</v>
      </c>
      <c r="BT82" s="293">
        <f t="shared" si="68"/>
        <v>0</v>
      </c>
      <c r="BU82" s="293">
        <f t="shared" si="69"/>
        <v>0</v>
      </c>
      <c r="BV82" s="293">
        <f t="shared" si="70"/>
        <v>0</v>
      </c>
      <c r="BW82" s="293">
        <f t="shared" si="71"/>
        <v>0</v>
      </c>
      <c r="BX82" s="293"/>
      <c r="BY82" s="293"/>
      <c r="BZ82" s="293"/>
      <c r="CA82" s="293"/>
      <c r="CB82" s="293"/>
      <c r="CC82" s="293"/>
      <c r="CD82" s="293"/>
      <c r="CE82" s="293"/>
      <c r="CF82" s="293"/>
      <c r="CG82" s="293"/>
      <c r="CH82" s="293"/>
      <c r="CI82" s="293"/>
      <c r="CJ82" s="293"/>
      <c r="CK82" s="293"/>
      <c r="CL82" s="293"/>
      <c r="CM82" s="293"/>
      <c r="CN82" s="293"/>
      <c r="CO82" s="293"/>
      <c r="CP82" s="58">
        <f t="shared" si="94"/>
        <v>0</v>
      </c>
      <c r="CQ82" s="223">
        <f t="shared" si="95"/>
        <v>0</v>
      </c>
      <c r="CR82" s="223">
        <f t="shared" si="96"/>
        <v>0</v>
      </c>
      <c r="CS82" s="223">
        <f t="shared" si="97"/>
        <v>0</v>
      </c>
      <c r="CT82" s="223">
        <f t="shared" si="98"/>
        <v>0</v>
      </c>
      <c r="CU82" s="223">
        <f t="shared" si="99"/>
        <v>0</v>
      </c>
      <c r="CV82" s="223">
        <f t="shared" si="100"/>
        <v>0</v>
      </c>
      <c r="CW82" s="223">
        <f t="shared" si="101"/>
        <v>0</v>
      </c>
      <c r="CX82" s="223">
        <f t="shared" si="102"/>
        <v>0</v>
      </c>
      <c r="CY82" s="58">
        <f t="shared" si="103"/>
        <v>0</v>
      </c>
      <c r="CZ82" s="399">
        <f t="shared" si="104"/>
        <v>0</v>
      </c>
      <c r="DA82" s="399">
        <f t="shared" si="105"/>
        <v>0</v>
      </c>
      <c r="DB82" s="399">
        <f t="shared" si="106"/>
        <v>0</v>
      </c>
      <c r="DC82" s="399">
        <f t="shared" si="107"/>
        <v>0</v>
      </c>
      <c r="DD82" s="399">
        <f t="shared" si="108"/>
        <v>0</v>
      </c>
      <c r="DE82" s="399">
        <f t="shared" si="109"/>
        <v>0</v>
      </c>
      <c r="DF82" s="399">
        <f t="shared" si="110"/>
        <v>0</v>
      </c>
      <c r="DG82" s="399">
        <f t="shared" si="111"/>
        <v>0</v>
      </c>
      <c r="DI82" s="399"/>
      <c r="DJ82" s="399"/>
      <c r="DK82" s="399"/>
      <c r="DL82" s="399"/>
      <c r="DM82" s="399"/>
      <c r="DN82" s="399"/>
      <c r="DO82" s="399"/>
      <c r="DP82" s="399"/>
      <c r="DQ82" s="399"/>
      <c r="DS82" s="399"/>
      <c r="DT82" s="399"/>
      <c r="DU82" s="399"/>
      <c r="DV82" s="399"/>
      <c r="DW82" s="399"/>
      <c r="DX82" s="399"/>
      <c r="DY82" s="399"/>
      <c r="DZ82" s="399"/>
      <c r="EB82" s="228">
        <f t="shared" si="112"/>
        <v>0</v>
      </c>
      <c r="EC82" s="228">
        <f t="shared" si="113"/>
        <v>0</v>
      </c>
      <c r="ED82" s="214">
        <f t="shared" si="114"/>
        <v>0</v>
      </c>
    </row>
    <row r="83" spans="1:134" hidden="1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3" t="str">
        <f>VLOOKUP(A83,'Summary Mar 2026'!$A$8:$F$207,6,FALSE)</f>
        <v>Chq Bk</v>
      </c>
      <c r="G83" s="33"/>
      <c r="H83" s="223">
        <v>0</v>
      </c>
      <c r="I83" s="294"/>
      <c r="J83" s="223">
        <v>0</v>
      </c>
      <c r="K83" s="223">
        <v>0</v>
      </c>
      <c r="L83" s="223">
        <v>0</v>
      </c>
      <c r="M83" s="223">
        <v>0</v>
      </c>
      <c r="N83" s="223">
        <v>0</v>
      </c>
      <c r="O83" s="223">
        <v>0</v>
      </c>
      <c r="P83" s="33">
        <f t="shared" si="72"/>
        <v>0</v>
      </c>
      <c r="Q83" s="223">
        <f t="shared" si="73"/>
        <v>0</v>
      </c>
      <c r="R83" s="294"/>
      <c r="S83" s="223">
        <v>0</v>
      </c>
      <c r="T83" s="223">
        <v>0</v>
      </c>
      <c r="U83" s="223">
        <v>0</v>
      </c>
      <c r="V83" s="223">
        <v>0</v>
      </c>
      <c r="W83" s="223">
        <v>0</v>
      </c>
      <c r="X83" s="223">
        <v>0</v>
      </c>
      <c r="Y83" s="223">
        <f t="shared" si="74"/>
        <v>0</v>
      </c>
      <c r="Z83" s="223">
        <f t="shared" si="75"/>
        <v>0</v>
      </c>
      <c r="AA83" s="294"/>
      <c r="AB83" s="398">
        <v>0</v>
      </c>
      <c r="AC83" s="398">
        <v>0</v>
      </c>
      <c r="AD83" s="398">
        <v>0</v>
      </c>
      <c r="AE83" s="398">
        <v>0</v>
      </c>
      <c r="AF83" s="398">
        <v>0</v>
      </c>
      <c r="AG83" s="398">
        <v>0</v>
      </c>
      <c r="AH83" s="223">
        <f t="shared" si="76"/>
        <v>0</v>
      </c>
      <c r="AI83" s="398">
        <f t="shared" si="77"/>
        <v>0</v>
      </c>
      <c r="AJ83" s="294"/>
      <c r="AK83" s="398">
        <v>0</v>
      </c>
      <c r="AL83" s="398">
        <v>0</v>
      </c>
      <c r="AM83" s="398">
        <v>0</v>
      </c>
      <c r="AN83" s="294"/>
      <c r="AO83" s="398">
        <f t="shared" si="78"/>
        <v>0</v>
      </c>
      <c r="AP83" s="398">
        <f t="shared" si="79"/>
        <v>0</v>
      </c>
      <c r="AQ83" s="398">
        <f t="shared" si="80"/>
        <v>0</v>
      </c>
      <c r="AR83" s="293"/>
      <c r="AS83" s="293">
        <v>0</v>
      </c>
      <c r="AT83" s="576">
        <f t="shared" si="81"/>
        <v>0</v>
      </c>
      <c r="AU83" s="293"/>
      <c r="AV83" s="293">
        <v>0</v>
      </c>
      <c r="AW83" s="293">
        <v>0</v>
      </c>
      <c r="AX83" s="293">
        <v>0</v>
      </c>
      <c r="AY83" s="293">
        <v>0</v>
      </c>
      <c r="AZ83" s="293">
        <v>0</v>
      </c>
      <c r="BA83" s="293">
        <v>0</v>
      </c>
      <c r="BB83" s="293">
        <v>0</v>
      </c>
      <c r="BC83" s="293">
        <f t="shared" si="82"/>
        <v>0</v>
      </c>
      <c r="BE83" s="58">
        <f t="shared" si="83"/>
        <v>0</v>
      </c>
      <c r="BF83" s="58">
        <f t="shared" si="84"/>
        <v>0</v>
      </c>
      <c r="BG83" s="58">
        <f t="shared" si="85"/>
        <v>0</v>
      </c>
      <c r="BH83" s="58">
        <f t="shared" si="86"/>
        <v>0</v>
      </c>
      <c r="BI83" s="58">
        <f t="shared" si="87"/>
        <v>0</v>
      </c>
      <c r="BJ83" s="58">
        <f t="shared" si="88"/>
        <v>0</v>
      </c>
      <c r="BK83" s="58">
        <f t="shared" si="89"/>
        <v>0</v>
      </c>
      <c r="BL83" s="58">
        <f t="shared" si="90"/>
        <v>0</v>
      </c>
      <c r="BM83" s="33">
        <f t="shared" si="91"/>
        <v>0</v>
      </c>
      <c r="BN83" s="33"/>
      <c r="BO83" s="293">
        <f t="shared" si="63"/>
        <v>0</v>
      </c>
      <c r="BP83" s="293">
        <f t="shared" si="64"/>
        <v>0</v>
      </c>
      <c r="BQ83" s="293">
        <f t="shared" si="65"/>
        <v>0</v>
      </c>
      <c r="BR83" s="293">
        <f t="shared" si="66"/>
        <v>0</v>
      </c>
      <c r="BS83" s="293">
        <f t="shared" si="67"/>
        <v>0</v>
      </c>
      <c r="BT83" s="293">
        <f t="shared" si="68"/>
        <v>0</v>
      </c>
      <c r="BU83" s="293">
        <f t="shared" si="69"/>
        <v>0</v>
      </c>
      <c r="BV83" s="293">
        <f t="shared" si="70"/>
        <v>0</v>
      </c>
      <c r="BW83" s="293">
        <f t="shared" si="71"/>
        <v>0</v>
      </c>
      <c r="BX83" s="293">
        <v>0</v>
      </c>
      <c r="BY83" s="293">
        <v>0</v>
      </c>
      <c r="BZ83" s="293">
        <v>0</v>
      </c>
      <c r="CA83" s="293">
        <v>0</v>
      </c>
      <c r="CB83" s="293">
        <v>0</v>
      </c>
      <c r="CC83" s="293">
        <v>0</v>
      </c>
      <c r="CD83" s="293">
        <v>0</v>
      </c>
      <c r="CE83" s="293">
        <f t="shared" si="92"/>
        <v>0</v>
      </c>
      <c r="CF83" s="293"/>
      <c r="CG83" s="293">
        <v>0</v>
      </c>
      <c r="CH83" s="293">
        <v>0</v>
      </c>
      <c r="CI83" s="293">
        <v>0</v>
      </c>
      <c r="CJ83" s="293">
        <v>0</v>
      </c>
      <c r="CK83" s="293">
        <v>0</v>
      </c>
      <c r="CL83" s="293">
        <v>0</v>
      </c>
      <c r="CM83" s="293">
        <v>0</v>
      </c>
      <c r="CN83" s="293">
        <f t="shared" si="93"/>
        <v>0</v>
      </c>
      <c r="CO83" s="293"/>
      <c r="CP83" s="58">
        <f t="shared" si="94"/>
        <v>0</v>
      </c>
      <c r="CQ83" s="223">
        <f t="shared" si="95"/>
        <v>0</v>
      </c>
      <c r="CR83" s="223">
        <f t="shared" si="96"/>
        <v>0</v>
      </c>
      <c r="CS83" s="223">
        <f t="shared" si="97"/>
        <v>0</v>
      </c>
      <c r="CT83" s="223">
        <f t="shared" si="98"/>
        <v>0</v>
      </c>
      <c r="CU83" s="223">
        <f t="shared" si="99"/>
        <v>0</v>
      </c>
      <c r="CV83" s="223">
        <f t="shared" si="100"/>
        <v>0</v>
      </c>
      <c r="CW83" s="223">
        <f t="shared" si="101"/>
        <v>0</v>
      </c>
      <c r="CX83" s="223">
        <f t="shared" si="102"/>
        <v>0</v>
      </c>
      <c r="CY83" s="58">
        <f t="shared" si="103"/>
        <v>0</v>
      </c>
      <c r="CZ83" s="399">
        <f t="shared" si="104"/>
        <v>0</v>
      </c>
      <c r="DA83" s="399">
        <f t="shared" si="105"/>
        <v>0</v>
      </c>
      <c r="DB83" s="399">
        <f t="shared" si="106"/>
        <v>0</v>
      </c>
      <c r="DC83" s="399">
        <f t="shared" si="107"/>
        <v>0</v>
      </c>
      <c r="DD83" s="399">
        <f t="shared" si="108"/>
        <v>0</v>
      </c>
      <c r="DE83" s="399">
        <f t="shared" si="109"/>
        <v>0</v>
      </c>
      <c r="DF83" s="399">
        <f t="shared" si="110"/>
        <v>0</v>
      </c>
      <c r="DG83" s="399">
        <f t="shared" si="111"/>
        <v>0</v>
      </c>
      <c r="DI83" s="399"/>
      <c r="DJ83" s="399"/>
      <c r="DK83" s="399"/>
      <c r="DL83" s="399"/>
      <c r="DM83" s="399"/>
      <c r="DN83" s="399"/>
      <c r="DO83" s="399"/>
      <c r="DP83" s="399"/>
      <c r="DQ83" s="399"/>
      <c r="DS83" s="399"/>
      <c r="DT83" s="399"/>
      <c r="DU83" s="399"/>
      <c r="DV83" s="399"/>
      <c r="DW83" s="399"/>
      <c r="DX83" s="399"/>
      <c r="DY83" s="399"/>
      <c r="DZ83" s="399"/>
      <c r="EB83" s="228">
        <f t="shared" si="112"/>
        <v>0</v>
      </c>
      <c r="EC83" s="228">
        <f t="shared" si="113"/>
        <v>0</v>
      </c>
      <c r="ED83" s="214">
        <f t="shared" si="114"/>
        <v>0</v>
      </c>
    </row>
    <row r="84" spans="1:134" hidden="1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3" t="str">
        <f>VLOOKUP(A84,'Summary Mar 2026'!$A$8:$F$207,6,FALSE)</f>
        <v>Chq Bk</v>
      </c>
      <c r="G84" s="33"/>
      <c r="H84" s="223">
        <v>0</v>
      </c>
      <c r="I84" s="294"/>
      <c r="J84" s="223">
        <v>0</v>
      </c>
      <c r="K84" s="223">
        <v>0</v>
      </c>
      <c r="L84" s="223">
        <v>0</v>
      </c>
      <c r="M84" s="223">
        <v>0</v>
      </c>
      <c r="N84" s="223">
        <v>0</v>
      </c>
      <c r="O84" s="223">
        <v>0</v>
      </c>
      <c r="P84" s="33">
        <f t="shared" si="72"/>
        <v>0</v>
      </c>
      <c r="Q84" s="223">
        <f t="shared" si="73"/>
        <v>0</v>
      </c>
      <c r="R84" s="294"/>
      <c r="S84" s="223">
        <v>0</v>
      </c>
      <c r="T84" s="223">
        <v>0</v>
      </c>
      <c r="U84" s="223">
        <v>0</v>
      </c>
      <c r="V84" s="223">
        <v>0</v>
      </c>
      <c r="W84" s="223">
        <v>0</v>
      </c>
      <c r="X84" s="223">
        <v>0</v>
      </c>
      <c r="Y84" s="223">
        <f t="shared" si="74"/>
        <v>0</v>
      </c>
      <c r="Z84" s="223">
        <f t="shared" si="75"/>
        <v>0</v>
      </c>
      <c r="AA84" s="294"/>
      <c r="AB84" s="398"/>
      <c r="AC84" s="398"/>
      <c r="AD84" s="398"/>
      <c r="AE84" s="398"/>
      <c r="AF84" s="398"/>
      <c r="AG84" s="398"/>
      <c r="AH84" s="223"/>
      <c r="AI84" s="398"/>
      <c r="AJ84" s="294"/>
      <c r="AK84" s="398">
        <v>0</v>
      </c>
      <c r="AL84" s="398">
        <v>0</v>
      </c>
      <c r="AM84" s="398">
        <v>0</v>
      </c>
      <c r="AN84" s="294"/>
      <c r="AO84" s="398">
        <f t="shared" si="78"/>
        <v>0</v>
      </c>
      <c r="AP84" s="398">
        <f t="shared" si="79"/>
        <v>0</v>
      </c>
      <c r="AQ84" s="398">
        <f t="shared" si="80"/>
        <v>0</v>
      </c>
      <c r="AR84" s="293"/>
      <c r="AS84" s="293">
        <v>0</v>
      </c>
      <c r="AT84" s="576">
        <f t="shared" si="81"/>
        <v>0</v>
      </c>
      <c r="AU84" s="293"/>
      <c r="AV84" s="293">
        <v>0</v>
      </c>
      <c r="AW84" s="293">
        <v>0</v>
      </c>
      <c r="AX84" s="293">
        <v>0</v>
      </c>
      <c r="AY84" s="293">
        <v>0</v>
      </c>
      <c r="AZ84" s="293">
        <v>0</v>
      </c>
      <c r="BA84" s="293">
        <v>0</v>
      </c>
      <c r="BB84" s="293">
        <v>0</v>
      </c>
      <c r="BC84" s="293">
        <f t="shared" si="82"/>
        <v>0</v>
      </c>
      <c r="BE84" s="58">
        <f t="shared" si="83"/>
        <v>0</v>
      </c>
      <c r="BF84" s="58">
        <f t="shared" si="84"/>
        <v>0</v>
      </c>
      <c r="BG84" s="58">
        <f t="shared" si="85"/>
        <v>0</v>
      </c>
      <c r="BH84" s="58">
        <f t="shared" si="86"/>
        <v>0</v>
      </c>
      <c r="BI84" s="58">
        <f t="shared" si="87"/>
        <v>0</v>
      </c>
      <c r="BJ84" s="58">
        <f t="shared" si="88"/>
        <v>0</v>
      </c>
      <c r="BK84" s="58">
        <f t="shared" si="89"/>
        <v>0</v>
      </c>
      <c r="BL84" s="58">
        <f t="shared" si="90"/>
        <v>0</v>
      </c>
      <c r="BM84" s="33">
        <f t="shared" si="91"/>
        <v>0</v>
      </c>
      <c r="BN84" s="33"/>
      <c r="BO84" s="293">
        <f t="shared" si="63"/>
        <v>0</v>
      </c>
      <c r="BP84" s="293">
        <f t="shared" si="64"/>
        <v>0</v>
      </c>
      <c r="BQ84" s="293">
        <f t="shared" si="65"/>
        <v>0</v>
      </c>
      <c r="BR84" s="293">
        <f t="shared" si="66"/>
        <v>0</v>
      </c>
      <c r="BS84" s="293">
        <f t="shared" si="67"/>
        <v>0</v>
      </c>
      <c r="BT84" s="293">
        <f t="shared" si="68"/>
        <v>0</v>
      </c>
      <c r="BU84" s="293">
        <f t="shared" si="69"/>
        <v>0</v>
      </c>
      <c r="BV84" s="293">
        <f t="shared" si="70"/>
        <v>0</v>
      </c>
      <c r="BW84" s="293">
        <f t="shared" si="71"/>
        <v>0</v>
      </c>
      <c r="BX84" s="293"/>
      <c r="BY84" s="293"/>
      <c r="BZ84" s="293"/>
      <c r="CA84" s="293"/>
      <c r="CB84" s="293"/>
      <c r="CC84" s="293"/>
      <c r="CD84" s="293"/>
      <c r="CE84" s="293"/>
      <c r="CF84" s="293"/>
      <c r="CG84" s="293"/>
      <c r="CH84" s="293"/>
      <c r="CI84" s="293"/>
      <c r="CJ84" s="293"/>
      <c r="CK84" s="293"/>
      <c r="CL84" s="293"/>
      <c r="CM84" s="293"/>
      <c r="CN84" s="293"/>
      <c r="CO84" s="293"/>
      <c r="CP84" s="58">
        <f t="shared" si="94"/>
        <v>0</v>
      </c>
      <c r="CQ84" s="223">
        <f t="shared" si="95"/>
        <v>0</v>
      </c>
      <c r="CR84" s="223">
        <f t="shared" si="96"/>
        <v>0</v>
      </c>
      <c r="CS84" s="223">
        <f t="shared" si="97"/>
        <v>0</v>
      </c>
      <c r="CT84" s="223">
        <f t="shared" si="98"/>
        <v>0</v>
      </c>
      <c r="CU84" s="223">
        <f t="shared" si="99"/>
        <v>0</v>
      </c>
      <c r="CV84" s="223">
        <f t="shared" si="100"/>
        <v>0</v>
      </c>
      <c r="CW84" s="223">
        <f t="shared" si="101"/>
        <v>0</v>
      </c>
      <c r="CX84" s="223">
        <f t="shared" si="102"/>
        <v>0</v>
      </c>
      <c r="CY84" s="58">
        <f t="shared" si="103"/>
        <v>0</v>
      </c>
      <c r="CZ84" s="399">
        <f t="shared" si="104"/>
        <v>0</v>
      </c>
      <c r="DA84" s="399">
        <f t="shared" si="105"/>
        <v>0</v>
      </c>
      <c r="DB84" s="399">
        <f t="shared" si="106"/>
        <v>0</v>
      </c>
      <c r="DC84" s="399">
        <f t="shared" si="107"/>
        <v>0</v>
      </c>
      <c r="DD84" s="399">
        <f t="shared" si="108"/>
        <v>0</v>
      </c>
      <c r="DE84" s="399">
        <f t="shared" si="109"/>
        <v>0</v>
      </c>
      <c r="DF84" s="399">
        <f t="shared" si="110"/>
        <v>0</v>
      </c>
      <c r="DG84" s="399">
        <f t="shared" si="111"/>
        <v>0</v>
      </c>
      <c r="DI84" s="399"/>
      <c r="DJ84" s="399"/>
      <c r="DK84" s="399"/>
      <c r="DL84" s="399"/>
      <c r="DM84" s="399"/>
      <c r="DN84" s="399"/>
      <c r="DO84" s="399"/>
      <c r="DP84" s="399"/>
      <c r="DQ84" s="399"/>
      <c r="DS84" s="399"/>
      <c r="DT84" s="399"/>
      <c r="DU84" s="399"/>
      <c r="DV84" s="399"/>
      <c r="DW84" s="399"/>
      <c r="DX84" s="399"/>
      <c r="DY84" s="399"/>
      <c r="DZ84" s="399"/>
      <c r="EB84" s="228">
        <f t="shared" si="112"/>
        <v>0</v>
      </c>
      <c r="EC84" s="228">
        <f t="shared" si="113"/>
        <v>0</v>
      </c>
      <c r="ED84" s="214">
        <f t="shared" si="114"/>
        <v>0</v>
      </c>
    </row>
    <row r="85" spans="1:134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3" t="str">
        <f>VLOOKUP(A85,'Summary Mar 2026'!$A$8:$F$207,6,FALSE)</f>
        <v>Chq Bk</v>
      </c>
      <c r="G85" s="33"/>
      <c r="H85" s="223">
        <v>0</v>
      </c>
      <c r="I85" s="294"/>
      <c r="J85" s="223">
        <v>0</v>
      </c>
      <c r="K85" s="223">
        <v>0</v>
      </c>
      <c r="L85" s="223">
        <v>57392.4</v>
      </c>
      <c r="M85" s="223">
        <v>2535</v>
      </c>
      <c r="N85" s="223">
        <v>298.31578947368422</v>
      </c>
      <c r="O85" s="223">
        <v>0</v>
      </c>
      <c r="P85" s="33">
        <f t="shared" si="72"/>
        <v>60225.715789473688</v>
      </c>
      <c r="Q85" s="223">
        <f t="shared" si="73"/>
        <v>48180.572631578951</v>
      </c>
      <c r="R85" s="294"/>
      <c r="S85" s="223">
        <v>0</v>
      </c>
      <c r="T85" s="223">
        <v>0</v>
      </c>
      <c r="U85" s="223">
        <v>48562.799999999996</v>
      </c>
      <c r="V85" s="223">
        <v>2730</v>
      </c>
      <c r="W85" s="223">
        <v>1044.1052631578948</v>
      </c>
      <c r="X85" s="223">
        <v>320.89473684210526</v>
      </c>
      <c r="Y85" s="223">
        <f t="shared" si="74"/>
        <v>52657.799999999996</v>
      </c>
      <c r="Z85" s="223">
        <f t="shared" si="75"/>
        <v>42126.239999999998</v>
      </c>
      <c r="AA85" s="294"/>
      <c r="AB85" s="398">
        <v>0</v>
      </c>
      <c r="AC85" s="398">
        <v>0</v>
      </c>
      <c r="AD85" s="398">
        <v>47615.494736842105</v>
      </c>
      <c r="AE85" s="398">
        <v>2103.1578947368421</v>
      </c>
      <c r="AF85" s="398">
        <v>456.53185595567868</v>
      </c>
      <c r="AG85" s="398">
        <v>93.54016620498615</v>
      </c>
      <c r="AH85" s="223">
        <f t="shared" si="76"/>
        <v>50268.724653739606</v>
      </c>
      <c r="AI85" s="398">
        <f t="shared" si="77"/>
        <v>40214.979722991688</v>
      </c>
      <c r="AJ85" s="294"/>
      <c r="AK85" s="398">
        <v>2455.0499999999997</v>
      </c>
      <c r="AL85" s="398">
        <v>1996.8</v>
      </c>
      <c r="AM85" s="398">
        <v>2049.726315789474</v>
      </c>
      <c r="AN85" s="294"/>
      <c r="AO85" s="398">
        <f t="shared" si="78"/>
        <v>1964.04</v>
      </c>
      <c r="AP85" s="398">
        <f t="shared" si="79"/>
        <v>1597.44</v>
      </c>
      <c r="AQ85" s="398">
        <f t="shared" si="80"/>
        <v>1639.7810526315793</v>
      </c>
      <c r="AR85" s="293"/>
      <c r="AS85" s="293">
        <v>0</v>
      </c>
      <c r="AT85" s="576">
        <f t="shared" si="81"/>
        <v>0</v>
      </c>
      <c r="AU85" s="293"/>
      <c r="AV85" s="293">
        <v>0</v>
      </c>
      <c r="AW85" s="293">
        <v>0</v>
      </c>
      <c r="AX85" s="293">
        <v>51873.9</v>
      </c>
      <c r="AY85" s="293">
        <v>2925</v>
      </c>
      <c r="AZ85" s="293">
        <v>1118.6842105263158</v>
      </c>
      <c r="BA85" s="293">
        <v>320.89</v>
      </c>
      <c r="BB85" s="293">
        <v>2125.5</v>
      </c>
      <c r="BC85" s="293">
        <f t="shared" si="82"/>
        <v>58363.974210526314</v>
      </c>
      <c r="BE85" s="58">
        <f t="shared" si="83"/>
        <v>0</v>
      </c>
      <c r="BF85" s="58">
        <f t="shared" si="84"/>
        <v>0</v>
      </c>
      <c r="BG85" s="58">
        <f t="shared" si="85"/>
        <v>-5518.5</v>
      </c>
      <c r="BH85" s="58">
        <f t="shared" si="86"/>
        <v>390</v>
      </c>
      <c r="BI85" s="58">
        <f t="shared" si="87"/>
        <v>820.36842105263167</v>
      </c>
      <c r="BJ85" s="58">
        <f t="shared" si="88"/>
        <v>320.89</v>
      </c>
      <c r="BK85" s="58">
        <f t="shared" si="89"/>
        <v>-329.54999999999973</v>
      </c>
      <c r="BL85" s="58">
        <f t="shared" si="90"/>
        <v>-4316.7915789473682</v>
      </c>
      <c r="BM85" s="33">
        <f t="shared" si="91"/>
        <v>0</v>
      </c>
      <c r="BN85" s="33"/>
      <c r="BO85" s="293">
        <f t="shared" si="63"/>
        <v>0</v>
      </c>
      <c r="BP85" s="293">
        <f t="shared" si="64"/>
        <v>0</v>
      </c>
      <c r="BQ85" s="293">
        <f t="shared" si="65"/>
        <v>5959.9799999999959</v>
      </c>
      <c r="BR85" s="293">
        <f t="shared" si="66"/>
        <v>897</v>
      </c>
      <c r="BS85" s="293">
        <f t="shared" si="67"/>
        <v>880.03157894736842</v>
      </c>
      <c r="BT85" s="293">
        <f t="shared" si="68"/>
        <v>320.89</v>
      </c>
      <c r="BU85" s="293">
        <f t="shared" si="69"/>
        <v>161.46000000000004</v>
      </c>
      <c r="BV85" s="293">
        <f t="shared" si="70"/>
        <v>8219.3615789473643</v>
      </c>
      <c r="BW85" s="293">
        <f t="shared" si="71"/>
        <v>0</v>
      </c>
      <c r="BX85" s="293">
        <v>0</v>
      </c>
      <c r="BY85" s="293">
        <v>0</v>
      </c>
      <c r="BZ85" s="293">
        <v>0</v>
      </c>
      <c r="CA85" s="293">
        <v>0</v>
      </c>
      <c r="CB85" s="293">
        <v>111.86842105263145</v>
      </c>
      <c r="CC85" s="293">
        <v>617.11</v>
      </c>
      <c r="CD85" s="293">
        <v>159.89999999999964</v>
      </c>
      <c r="CE85" s="293">
        <f t="shared" si="92"/>
        <v>888.8784210526311</v>
      </c>
      <c r="CF85" s="293"/>
      <c r="CG85" s="293">
        <v>0</v>
      </c>
      <c r="CH85" s="293">
        <v>0</v>
      </c>
      <c r="CI85" s="293">
        <v>44148</v>
      </c>
      <c r="CJ85" s="293">
        <v>2340</v>
      </c>
      <c r="CK85" s="293">
        <v>1119.04</v>
      </c>
      <c r="CL85" s="293">
        <v>0</v>
      </c>
      <c r="CM85" s="293">
        <v>2250.3000000000002</v>
      </c>
      <c r="CN85" s="293">
        <f t="shared" si="93"/>
        <v>49857.340000000004</v>
      </c>
      <c r="CO85" s="293"/>
      <c r="CP85" s="58">
        <f t="shared" si="94"/>
        <v>0</v>
      </c>
      <c r="CQ85" s="223">
        <f t="shared" si="95"/>
        <v>0</v>
      </c>
      <c r="CR85" s="223">
        <f t="shared" si="96"/>
        <v>-4414.7999999999956</v>
      </c>
      <c r="CS85" s="223">
        <f t="shared" si="97"/>
        <v>-390</v>
      </c>
      <c r="CT85" s="223">
        <f t="shared" si="98"/>
        <v>74.934736842105167</v>
      </c>
      <c r="CU85" s="223">
        <f t="shared" si="99"/>
        <v>-320.89473684210526</v>
      </c>
      <c r="CV85" s="223">
        <f t="shared" si="100"/>
        <v>253.50000000000023</v>
      </c>
      <c r="CW85" s="223">
        <f t="shared" si="101"/>
        <v>-4797.2599999999957</v>
      </c>
      <c r="CX85" s="223">
        <f t="shared" si="102"/>
        <v>0</v>
      </c>
      <c r="CY85" s="58">
        <f t="shared" si="103"/>
        <v>0</v>
      </c>
      <c r="CZ85" s="399">
        <f t="shared" si="104"/>
        <v>0</v>
      </c>
      <c r="DA85" s="399">
        <f t="shared" si="105"/>
        <v>5297.760000000002</v>
      </c>
      <c r="DB85" s="399">
        <f t="shared" si="106"/>
        <v>156</v>
      </c>
      <c r="DC85" s="399">
        <f t="shared" si="107"/>
        <v>283.7557894736841</v>
      </c>
      <c r="DD85" s="399">
        <f t="shared" si="108"/>
        <v>-256.7157894736842</v>
      </c>
      <c r="DE85" s="399">
        <f t="shared" si="109"/>
        <v>652.86000000000013</v>
      </c>
      <c r="DF85" s="399">
        <f t="shared" si="110"/>
        <v>6133.6600000000017</v>
      </c>
      <c r="DG85" s="399">
        <f t="shared" si="111"/>
        <v>0</v>
      </c>
      <c r="DI85" s="399"/>
      <c r="DJ85" s="399"/>
      <c r="DK85" s="399"/>
      <c r="DL85" s="399"/>
      <c r="DM85" s="399"/>
      <c r="DN85" s="399"/>
      <c r="DO85" s="399"/>
      <c r="DP85" s="399"/>
      <c r="DQ85" s="399"/>
      <c r="DS85" s="399"/>
      <c r="DT85" s="399"/>
      <c r="DU85" s="399"/>
      <c r="DV85" s="399"/>
      <c r="DW85" s="399"/>
      <c r="DX85" s="399"/>
      <c r="DY85" s="399"/>
      <c r="DZ85" s="399"/>
      <c r="EB85" s="228">
        <f t="shared" si="112"/>
        <v>149952.12127423822</v>
      </c>
      <c r="EC85" s="228">
        <f t="shared" si="113"/>
        <v>1012.8321329639889</v>
      </c>
      <c r="ED85" s="214">
        <f t="shared" si="114"/>
        <v>150964.95340720221</v>
      </c>
    </row>
    <row r="86" spans="1:134" hidden="1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3" t="str">
        <f>VLOOKUP(A86,'Summary Mar 2026'!$A$8:$F$207,6,FALSE)</f>
        <v>Chq Bk</v>
      </c>
      <c r="G86" s="33"/>
      <c r="H86" s="223">
        <v>0</v>
      </c>
      <c r="I86" s="294"/>
      <c r="J86" s="223">
        <v>0</v>
      </c>
      <c r="K86" s="223">
        <v>0</v>
      </c>
      <c r="L86" s="223">
        <v>0</v>
      </c>
      <c r="M86" s="223">
        <v>0</v>
      </c>
      <c r="N86" s="223">
        <v>0</v>
      </c>
      <c r="O86" s="223">
        <v>0</v>
      </c>
      <c r="P86" s="33">
        <f t="shared" si="72"/>
        <v>0</v>
      </c>
      <c r="Q86" s="223">
        <f t="shared" si="73"/>
        <v>0</v>
      </c>
      <c r="R86" s="294"/>
      <c r="S86" s="223">
        <v>0</v>
      </c>
      <c r="T86" s="223">
        <v>0</v>
      </c>
      <c r="U86" s="223">
        <v>0</v>
      </c>
      <c r="V86" s="223">
        <v>0</v>
      </c>
      <c r="W86" s="223">
        <v>0</v>
      </c>
      <c r="X86" s="223">
        <v>0</v>
      </c>
      <c r="Y86" s="223">
        <f t="shared" si="74"/>
        <v>0</v>
      </c>
      <c r="Z86" s="223">
        <f t="shared" si="75"/>
        <v>0</v>
      </c>
      <c r="AA86" s="294"/>
      <c r="AB86" s="398">
        <v>0</v>
      </c>
      <c r="AC86" s="398">
        <v>0</v>
      </c>
      <c r="AD86" s="398">
        <v>0</v>
      </c>
      <c r="AE86" s="398">
        <v>0</v>
      </c>
      <c r="AF86" s="398">
        <v>0</v>
      </c>
      <c r="AG86" s="398">
        <v>0</v>
      </c>
      <c r="AH86" s="223">
        <f t="shared" si="76"/>
        <v>0</v>
      </c>
      <c r="AI86" s="398">
        <f t="shared" si="77"/>
        <v>0</v>
      </c>
      <c r="AJ86" s="294"/>
      <c r="AK86" s="398">
        <v>0</v>
      </c>
      <c r="AL86" s="398">
        <v>0</v>
      </c>
      <c r="AM86" s="398">
        <v>0</v>
      </c>
      <c r="AN86" s="294"/>
      <c r="AO86" s="398">
        <f t="shared" si="78"/>
        <v>0</v>
      </c>
      <c r="AP86" s="398">
        <f t="shared" si="79"/>
        <v>0</v>
      </c>
      <c r="AQ86" s="398">
        <f t="shared" si="80"/>
        <v>0</v>
      </c>
      <c r="AR86" s="293"/>
      <c r="AS86" s="293">
        <v>0</v>
      </c>
      <c r="AT86" s="576">
        <f t="shared" si="81"/>
        <v>0</v>
      </c>
      <c r="AU86" s="293"/>
      <c r="AV86" s="293">
        <v>0</v>
      </c>
      <c r="AW86" s="293">
        <v>0</v>
      </c>
      <c r="AX86" s="293">
        <v>0</v>
      </c>
      <c r="AY86" s="293">
        <v>0</v>
      </c>
      <c r="AZ86" s="293">
        <v>0</v>
      </c>
      <c r="BA86" s="293">
        <v>0</v>
      </c>
      <c r="BB86" s="293">
        <v>0</v>
      </c>
      <c r="BC86" s="293">
        <f t="shared" si="82"/>
        <v>0</v>
      </c>
      <c r="BE86" s="58">
        <f t="shared" si="83"/>
        <v>0</v>
      </c>
      <c r="BF86" s="58">
        <f t="shared" si="84"/>
        <v>0</v>
      </c>
      <c r="BG86" s="58">
        <f t="shared" si="85"/>
        <v>0</v>
      </c>
      <c r="BH86" s="58">
        <f t="shared" si="86"/>
        <v>0</v>
      </c>
      <c r="BI86" s="58">
        <f t="shared" si="87"/>
        <v>0</v>
      </c>
      <c r="BJ86" s="58">
        <f t="shared" si="88"/>
        <v>0</v>
      </c>
      <c r="BK86" s="58">
        <f t="shared" si="89"/>
        <v>0</v>
      </c>
      <c r="BL86" s="58">
        <f t="shared" si="90"/>
        <v>0</v>
      </c>
      <c r="BM86" s="33">
        <f t="shared" si="91"/>
        <v>0</v>
      </c>
      <c r="BN86" s="33"/>
      <c r="BO86" s="293">
        <f t="shared" si="63"/>
        <v>0</v>
      </c>
      <c r="BP86" s="293">
        <f t="shared" si="64"/>
        <v>0</v>
      </c>
      <c r="BQ86" s="293">
        <f t="shared" si="65"/>
        <v>0</v>
      </c>
      <c r="BR86" s="293">
        <f t="shared" si="66"/>
        <v>0</v>
      </c>
      <c r="BS86" s="293">
        <f t="shared" si="67"/>
        <v>0</v>
      </c>
      <c r="BT86" s="293">
        <f t="shared" si="68"/>
        <v>0</v>
      </c>
      <c r="BU86" s="293">
        <f t="shared" si="69"/>
        <v>0</v>
      </c>
      <c r="BV86" s="293">
        <f t="shared" si="70"/>
        <v>0</v>
      </c>
      <c r="BW86" s="293">
        <f t="shared" si="71"/>
        <v>0</v>
      </c>
      <c r="BX86" s="293">
        <v>0</v>
      </c>
      <c r="BY86" s="293">
        <v>0</v>
      </c>
      <c r="BZ86" s="293">
        <v>0</v>
      </c>
      <c r="CA86" s="293">
        <v>0</v>
      </c>
      <c r="CB86" s="293">
        <v>0</v>
      </c>
      <c r="CC86" s="293">
        <v>0</v>
      </c>
      <c r="CD86" s="293">
        <v>0</v>
      </c>
      <c r="CE86" s="293">
        <f t="shared" si="92"/>
        <v>0</v>
      </c>
      <c r="CF86" s="293"/>
      <c r="CG86" s="293">
        <v>0</v>
      </c>
      <c r="CH86" s="293">
        <v>0</v>
      </c>
      <c r="CI86" s="293">
        <v>0</v>
      </c>
      <c r="CJ86" s="293">
        <v>0</v>
      </c>
      <c r="CK86" s="293">
        <v>0</v>
      </c>
      <c r="CL86" s="293">
        <v>0</v>
      </c>
      <c r="CM86" s="293">
        <v>0</v>
      </c>
      <c r="CN86" s="293">
        <f t="shared" si="93"/>
        <v>0</v>
      </c>
      <c r="CO86" s="293"/>
      <c r="CP86" s="58">
        <f t="shared" si="94"/>
        <v>0</v>
      </c>
      <c r="CQ86" s="223">
        <f t="shared" si="95"/>
        <v>0</v>
      </c>
      <c r="CR86" s="223">
        <f t="shared" si="96"/>
        <v>0</v>
      </c>
      <c r="CS86" s="223">
        <f t="shared" si="97"/>
        <v>0</v>
      </c>
      <c r="CT86" s="223">
        <f t="shared" si="98"/>
        <v>0</v>
      </c>
      <c r="CU86" s="223">
        <f t="shared" si="99"/>
        <v>0</v>
      </c>
      <c r="CV86" s="223">
        <f t="shared" si="100"/>
        <v>0</v>
      </c>
      <c r="CW86" s="223">
        <f t="shared" si="101"/>
        <v>0</v>
      </c>
      <c r="CX86" s="223">
        <f t="shared" si="102"/>
        <v>0</v>
      </c>
      <c r="CY86" s="58">
        <f t="shared" si="103"/>
        <v>0</v>
      </c>
      <c r="CZ86" s="399">
        <f t="shared" si="104"/>
        <v>0</v>
      </c>
      <c r="DA86" s="399">
        <f t="shared" si="105"/>
        <v>0</v>
      </c>
      <c r="DB86" s="399">
        <f t="shared" si="106"/>
        <v>0</v>
      </c>
      <c r="DC86" s="399">
        <f t="shared" si="107"/>
        <v>0</v>
      </c>
      <c r="DD86" s="399">
        <f t="shared" si="108"/>
        <v>0</v>
      </c>
      <c r="DE86" s="399">
        <f t="shared" si="109"/>
        <v>0</v>
      </c>
      <c r="DF86" s="399">
        <f t="shared" si="110"/>
        <v>0</v>
      </c>
      <c r="DG86" s="399">
        <f t="shared" si="111"/>
        <v>0</v>
      </c>
      <c r="DI86" s="399"/>
      <c r="DJ86" s="399"/>
      <c r="DK86" s="399"/>
      <c r="DL86" s="399"/>
      <c r="DM86" s="399"/>
      <c r="DN86" s="399"/>
      <c r="DO86" s="399"/>
      <c r="DP86" s="399"/>
      <c r="DQ86" s="399"/>
      <c r="DS86" s="399"/>
      <c r="DT86" s="399"/>
      <c r="DU86" s="399"/>
      <c r="DV86" s="399"/>
      <c r="DW86" s="399"/>
      <c r="DX86" s="399"/>
      <c r="DY86" s="399"/>
      <c r="DZ86" s="399"/>
      <c r="EB86" s="228">
        <f t="shared" si="112"/>
        <v>0</v>
      </c>
      <c r="EC86" s="228">
        <f t="shared" si="113"/>
        <v>0</v>
      </c>
      <c r="ED86" s="214">
        <f t="shared" si="114"/>
        <v>0</v>
      </c>
    </row>
    <row r="87" spans="1:134" hidden="1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3" t="str">
        <f>VLOOKUP(A87,'Summary Mar 2026'!$A$8:$F$207,6,FALSE)</f>
        <v>Chq Bk</v>
      </c>
      <c r="G87" s="33"/>
      <c r="H87" s="223">
        <v>0</v>
      </c>
      <c r="I87" s="294"/>
      <c r="J87" s="223">
        <v>0</v>
      </c>
      <c r="K87" s="223">
        <v>0</v>
      </c>
      <c r="L87" s="223">
        <v>0</v>
      </c>
      <c r="M87" s="223">
        <v>0</v>
      </c>
      <c r="N87" s="223">
        <v>0</v>
      </c>
      <c r="O87" s="223">
        <v>0</v>
      </c>
      <c r="P87" s="33">
        <f t="shared" si="72"/>
        <v>0</v>
      </c>
      <c r="Q87" s="223">
        <f t="shared" si="73"/>
        <v>0</v>
      </c>
      <c r="R87" s="294"/>
      <c r="S87" s="223">
        <v>0</v>
      </c>
      <c r="T87" s="223">
        <v>0</v>
      </c>
      <c r="U87" s="223">
        <v>0</v>
      </c>
      <c r="V87" s="223">
        <v>0</v>
      </c>
      <c r="W87" s="223">
        <v>0</v>
      </c>
      <c r="X87" s="223">
        <v>0</v>
      </c>
      <c r="Y87" s="223">
        <f t="shared" si="74"/>
        <v>0</v>
      </c>
      <c r="Z87" s="223">
        <f t="shared" si="75"/>
        <v>0</v>
      </c>
      <c r="AA87" s="294"/>
      <c r="AB87" s="398">
        <v>0</v>
      </c>
      <c r="AC87" s="398">
        <v>0</v>
      </c>
      <c r="AD87" s="398">
        <v>0</v>
      </c>
      <c r="AE87" s="398">
        <v>0</v>
      </c>
      <c r="AF87" s="398">
        <v>0</v>
      </c>
      <c r="AG87" s="398">
        <v>0</v>
      </c>
      <c r="AH87" s="223">
        <f t="shared" si="76"/>
        <v>0</v>
      </c>
      <c r="AI87" s="398">
        <f t="shared" si="77"/>
        <v>0</v>
      </c>
      <c r="AJ87" s="294"/>
      <c r="AK87" s="398">
        <v>0</v>
      </c>
      <c r="AL87" s="398">
        <v>0</v>
      </c>
      <c r="AM87" s="398">
        <v>0</v>
      </c>
      <c r="AN87" s="294"/>
      <c r="AO87" s="398">
        <f t="shared" si="78"/>
        <v>0</v>
      </c>
      <c r="AP87" s="398">
        <f t="shared" si="79"/>
        <v>0</v>
      </c>
      <c r="AQ87" s="398">
        <f t="shared" si="80"/>
        <v>0</v>
      </c>
      <c r="AR87" s="293"/>
      <c r="AS87" s="293">
        <v>0</v>
      </c>
      <c r="AT87" s="576">
        <f t="shared" si="81"/>
        <v>0</v>
      </c>
      <c r="AU87" s="293"/>
      <c r="AV87" s="293">
        <v>0</v>
      </c>
      <c r="AW87" s="293">
        <v>0</v>
      </c>
      <c r="AX87" s="293">
        <v>0</v>
      </c>
      <c r="AY87" s="293">
        <v>0</v>
      </c>
      <c r="AZ87" s="293">
        <v>0</v>
      </c>
      <c r="BA87" s="293">
        <v>0</v>
      </c>
      <c r="BB87" s="293">
        <v>0</v>
      </c>
      <c r="BC87" s="293">
        <f t="shared" si="82"/>
        <v>0</v>
      </c>
      <c r="BE87" s="58">
        <f t="shared" si="83"/>
        <v>0</v>
      </c>
      <c r="BF87" s="58">
        <f t="shared" si="84"/>
        <v>0</v>
      </c>
      <c r="BG87" s="58">
        <f t="shared" si="85"/>
        <v>0</v>
      </c>
      <c r="BH87" s="58">
        <f t="shared" si="86"/>
        <v>0</v>
      </c>
      <c r="BI87" s="58">
        <f t="shared" si="87"/>
        <v>0</v>
      </c>
      <c r="BJ87" s="58">
        <f t="shared" si="88"/>
        <v>0</v>
      </c>
      <c r="BK87" s="58">
        <f t="shared" si="89"/>
        <v>0</v>
      </c>
      <c r="BL87" s="58">
        <f t="shared" si="90"/>
        <v>0</v>
      </c>
      <c r="BM87" s="33">
        <f t="shared" si="91"/>
        <v>0</v>
      </c>
      <c r="BN87" s="33"/>
      <c r="BO87" s="293">
        <f t="shared" si="63"/>
        <v>0</v>
      </c>
      <c r="BP87" s="293">
        <f t="shared" si="64"/>
        <v>0</v>
      </c>
      <c r="BQ87" s="293">
        <f t="shared" si="65"/>
        <v>0</v>
      </c>
      <c r="BR87" s="293">
        <f t="shared" si="66"/>
        <v>0</v>
      </c>
      <c r="BS87" s="293">
        <f t="shared" si="67"/>
        <v>0</v>
      </c>
      <c r="BT87" s="293">
        <f t="shared" si="68"/>
        <v>0</v>
      </c>
      <c r="BU87" s="293">
        <f t="shared" si="69"/>
        <v>0</v>
      </c>
      <c r="BV87" s="293">
        <f t="shared" si="70"/>
        <v>0</v>
      </c>
      <c r="BW87" s="293">
        <f t="shared" si="71"/>
        <v>0</v>
      </c>
      <c r="BX87" s="293">
        <v>0</v>
      </c>
      <c r="BY87" s="293">
        <v>0</v>
      </c>
      <c r="BZ87" s="293">
        <v>0</v>
      </c>
      <c r="CA87" s="293">
        <v>0</v>
      </c>
      <c r="CB87" s="293">
        <v>0</v>
      </c>
      <c r="CC87" s="293">
        <v>0</v>
      </c>
      <c r="CD87" s="293">
        <v>0</v>
      </c>
      <c r="CE87" s="293">
        <f t="shared" si="92"/>
        <v>0</v>
      </c>
      <c r="CF87" s="293"/>
      <c r="CG87" s="293">
        <v>0</v>
      </c>
      <c r="CH87" s="293">
        <v>0</v>
      </c>
      <c r="CI87" s="293">
        <v>0</v>
      </c>
      <c r="CJ87" s="293">
        <v>0</v>
      </c>
      <c r="CK87" s="293">
        <v>0</v>
      </c>
      <c r="CL87" s="293">
        <v>0</v>
      </c>
      <c r="CM87" s="293">
        <v>0</v>
      </c>
      <c r="CN87" s="293">
        <f t="shared" si="93"/>
        <v>0</v>
      </c>
      <c r="CO87" s="293"/>
      <c r="CP87" s="58">
        <f t="shared" si="94"/>
        <v>0</v>
      </c>
      <c r="CQ87" s="223">
        <f t="shared" si="95"/>
        <v>0</v>
      </c>
      <c r="CR87" s="223">
        <f t="shared" si="96"/>
        <v>0</v>
      </c>
      <c r="CS87" s="223">
        <f t="shared" si="97"/>
        <v>0</v>
      </c>
      <c r="CT87" s="223">
        <f t="shared" si="98"/>
        <v>0</v>
      </c>
      <c r="CU87" s="223">
        <f t="shared" si="99"/>
        <v>0</v>
      </c>
      <c r="CV87" s="223">
        <f t="shared" si="100"/>
        <v>0</v>
      </c>
      <c r="CW87" s="223">
        <f t="shared" si="101"/>
        <v>0</v>
      </c>
      <c r="CX87" s="223">
        <f t="shared" si="102"/>
        <v>0</v>
      </c>
      <c r="CY87" s="58">
        <f t="shared" si="103"/>
        <v>0</v>
      </c>
      <c r="CZ87" s="399">
        <f t="shared" si="104"/>
        <v>0</v>
      </c>
      <c r="DA87" s="399">
        <f t="shared" si="105"/>
        <v>0</v>
      </c>
      <c r="DB87" s="399">
        <f t="shared" si="106"/>
        <v>0</v>
      </c>
      <c r="DC87" s="399">
        <f t="shared" si="107"/>
        <v>0</v>
      </c>
      <c r="DD87" s="399">
        <f t="shared" si="108"/>
        <v>0</v>
      </c>
      <c r="DE87" s="399">
        <f t="shared" si="109"/>
        <v>0</v>
      </c>
      <c r="DF87" s="399">
        <f t="shared" si="110"/>
        <v>0</v>
      </c>
      <c r="DG87" s="399">
        <f t="shared" si="111"/>
        <v>0</v>
      </c>
      <c r="DI87" s="399"/>
      <c r="DJ87" s="399"/>
      <c r="DK87" s="399"/>
      <c r="DL87" s="399"/>
      <c r="DM87" s="399"/>
      <c r="DN87" s="399"/>
      <c r="DO87" s="399"/>
      <c r="DP87" s="399"/>
      <c r="DQ87" s="399"/>
      <c r="DS87" s="399"/>
      <c r="DT87" s="399"/>
      <c r="DU87" s="399"/>
      <c r="DV87" s="399"/>
      <c r="DW87" s="399"/>
      <c r="DX87" s="399"/>
      <c r="DY87" s="399"/>
      <c r="DZ87" s="399"/>
      <c r="EB87" s="228">
        <f t="shared" si="112"/>
        <v>0</v>
      </c>
      <c r="EC87" s="228">
        <f t="shared" si="113"/>
        <v>0</v>
      </c>
      <c r="ED87" s="214">
        <f t="shared" si="114"/>
        <v>0</v>
      </c>
    </row>
    <row r="88" spans="1:134" hidden="1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3" t="str">
        <f>VLOOKUP(A88,'Summary Mar 2026'!$A$8:$F$207,6,FALSE)</f>
        <v>Chq Bk</v>
      </c>
      <c r="G88" s="33"/>
      <c r="H88" s="223">
        <v>0</v>
      </c>
      <c r="I88" s="294"/>
      <c r="J88" s="223">
        <v>0</v>
      </c>
      <c r="K88" s="223">
        <v>0</v>
      </c>
      <c r="L88" s="223">
        <v>0</v>
      </c>
      <c r="M88" s="223">
        <v>0</v>
      </c>
      <c r="N88" s="223">
        <v>0</v>
      </c>
      <c r="O88" s="223">
        <v>0</v>
      </c>
      <c r="P88" s="33">
        <f t="shared" si="72"/>
        <v>0</v>
      </c>
      <c r="Q88" s="223">
        <f t="shared" si="73"/>
        <v>0</v>
      </c>
      <c r="R88" s="294"/>
      <c r="S88" s="223">
        <v>0</v>
      </c>
      <c r="T88" s="223">
        <v>0</v>
      </c>
      <c r="U88" s="223">
        <v>0</v>
      </c>
      <c r="V88" s="223">
        <v>0</v>
      </c>
      <c r="W88" s="223">
        <v>0</v>
      </c>
      <c r="X88" s="223">
        <v>0</v>
      </c>
      <c r="Y88" s="223">
        <f t="shared" si="74"/>
        <v>0</v>
      </c>
      <c r="Z88" s="223">
        <f t="shared" si="75"/>
        <v>0</v>
      </c>
      <c r="AA88" s="294"/>
      <c r="AB88" s="398">
        <v>0</v>
      </c>
      <c r="AC88" s="398">
        <v>0</v>
      </c>
      <c r="AD88" s="398">
        <v>0</v>
      </c>
      <c r="AE88" s="398">
        <v>0</v>
      </c>
      <c r="AF88" s="398">
        <v>0</v>
      </c>
      <c r="AG88" s="398">
        <v>0</v>
      </c>
      <c r="AH88" s="223">
        <f t="shared" si="76"/>
        <v>0</v>
      </c>
      <c r="AI88" s="398">
        <f t="shared" si="77"/>
        <v>0</v>
      </c>
      <c r="AJ88" s="294"/>
      <c r="AK88" s="398">
        <v>0</v>
      </c>
      <c r="AL88" s="398">
        <v>0</v>
      </c>
      <c r="AM88" s="398">
        <v>0</v>
      </c>
      <c r="AN88" s="294"/>
      <c r="AO88" s="398">
        <f t="shared" si="78"/>
        <v>0</v>
      </c>
      <c r="AP88" s="398">
        <f t="shared" si="79"/>
        <v>0</v>
      </c>
      <c r="AQ88" s="398">
        <f t="shared" si="80"/>
        <v>0</v>
      </c>
      <c r="AR88" s="293"/>
      <c r="AS88" s="293">
        <v>0</v>
      </c>
      <c r="AT88" s="576">
        <f t="shared" si="81"/>
        <v>0</v>
      </c>
      <c r="AU88" s="293"/>
      <c r="AV88" s="293">
        <v>0</v>
      </c>
      <c r="AW88" s="293">
        <v>0</v>
      </c>
      <c r="AX88" s="293">
        <v>0</v>
      </c>
      <c r="AY88" s="293">
        <v>0</v>
      </c>
      <c r="AZ88" s="293">
        <v>0</v>
      </c>
      <c r="BA88" s="293">
        <v>0</v>
      </c>
      <c r="BB88" s="293">
        <v>0</v>
      </c>
      <c r="BC88" s="293">
        <f t="shared" si="82"/>
        <v>0</v>
      </c>
      <c r="BE88" s="58">
        <f t="shared" si="83"/>
        <v>0</v>
      </c>
      <c r="BF88" s="58">
        <f t="shared" si="84"/>
        <v>0</v>
      </c>
      <c r="BG88" s="58">
        <f t="shared" si="85"/>
        <v>0</v>
      </c>
      <c r="BH88" s="58">
        <f t="shared" si="86"/>
        <v>0</v>
      </c>
      <c r="BI88" s="58">
        <f t="shared" si="87"/>
        <v>0</v>
      </c>
      <c r="BJ88" s="58">
        <f t="shared" si="88"/>
        <v>0</v>
      </c>
      <c r="BK88" s="58">
        <f t="shared" si="89"/>
        <v>0</v>
      </c>
      <c r="BL88" s="58">
        <f t="shared" si="90"/>
        <v>0</v>
      </c>
      <c r="BM88" s="33">
        <f t="shared" si="91"/>
        <v>0</v>
      </c>
      <c r="BN88" s="33"/>
      <c r="BO88" s="293">
        <f t="shared" si="63"/>
        <v>0</v>
      </c>
      <c r="BP88" s="293">
        <f t="shared" si="64"/>
        <v>0</v>
      </c>
      <c r="BQ88" s="293">
        <f t="shared" si="65"/>
        <v>0</v>
      </c>
      <c r="BR88" s="293">
        <f t="shared" si="66"/>
        <v>0</v>
      </c>
      <c r="BS88" s="293">
        <f t="shared" si="67"/>
        <v>0</v>
      </c>
      <c r="BT88" s="293">
        <f t="shared" si="68"/>
        <v>0</v>
      </c>
      <c r="BU88" s="293">
        <f t="shared" si="69"/>
        <v>0</v>
      </c>
      <c r="BV88" s="293">
        <f t="shared" si="70"/>
        <v>0</v>
      </c>
      <c r="BW88" s="293">
        <f t="shared" si="71"/>
        <v>0</v>
      </c>
      <c r="BX88" s="293">
        <v>0</v>
      </c>
      <c r="BY88" s="293">
        <v>0</v>
      </c>
      <c r="BZ88" s="293">
        <v>0</v>
      </c>
      <c r="CA88" s="293">
        <v>0</v>
      </c>
      <c r="CB88" s="293">
        <v>0</v>
      </c>
      <c r="CC88" s="293">
        <v>0</v>
      </c>
      <c r="CD88" s="293">
        <v>0</v>
      </c>
      <c r="CE88" s="293">
        <f t="shared" si="92"/>
        <v>0</v>
      </c>
      <c r="CF88" s="293"/>
      <c r="CG88" s="293">
        <v>0</v>
      </c>
      <c r="CH88" s="293">
        <v>0</v>
      </c>
      <c r="CI88" s="293">
        <v>0</v>
      </c>
      <c r="CJ88" s="293">
        <v>0</v>
      </c>
      <c r="CK88" s="293">
        <v>0</v>
      </c>
      <c r="CL88" s="293">
        <v>0</v>
      </c>
      <c r="CM88" s="293">
        <v>0</v>
      </c>
      <c r="CN88" s="293">
        <f t="shared" si="93"/>
        <v>0</v>
      </c>
      <c r="CO88" s="293"/>
      <c r="CP88" s="58">
        <f t="shared" si="94"/>
        <v>0</v>
      </c>
      <c r="CQ88" s="223">
        <f t="shared" si="95"/>
        <v>0</v>
      </c>
      <c r="CR88" s="223">
        <f t="shared" si="96"/>
        <v>0</v>
      </c>
      <c r="CS88" s="223">
        <f t="shared" si="97"/>
        <v>0</v>
      </c>
      <c r="CT88" s="223">
        <f t="shared" si="98"/>
        <v>0</v>
      </c>
      <c r="CU88" s="223">
        <f t="shared" si="99"/>
        <v>0</v>
      </c>
      <c r="CV88" s="223">
        <f t="shared" si="100"/>
        <v>0</v>
      </c>
      <c r="CW88" s="223">
        <f t="shared" si="101"/>
        <v>0</v>
      </c>
      <c r="CX88" s="223">
        <f t="shared" si="102"/>
        <v>0</v>
      </c>
      <c r="CY88" s="58">
        <f t="shared" si="103"/>
        <v>0</v>
      </c>
      <c r="CZ88" s="399">
        <f t="shared" si="104"/>
        <v>0</v>
      </c>
      <c r="DA88" s="399">
        <f t="shared" si="105"/>
        <v>0</v>
      </c>
      <c r="DB88" s="399">
        <f t="shared" si="106"/>
        <v>0</v>
      </c>
      <c r="DC88" s="399">
        <f t="shared" si="107"/>
        <v>0</v>
      </c>
      <c r="DD88" s="399">
        <f t="shared" si="108"/>
        <v>0</v>
      </c>
      <c r="DE88" s="399">
        <f t="shared" si="109"/>
        <v>0</v>
      </c>
      <c r="DF88" s="399">
        <f t="shared" si="110"/>
        <v>0</v>
      </c>
      <c r="DG88" s="399">
        <f t="shared" si="111"/>
        <v>0</v>
      </c>
      <c r="DI88" s="399"/>
      <c r="DJ88" s="399"/>
      <c r="DK88" s="399"/>
      <c r="DL88" s="399"/>
      <c r="DM88" s="399"/>
      <c r="DN88" s="399"/>
      <c r="DO88" s="399"/>
      <c r="DP88" s="399"/>
      <c r="DQ88" s="399"/>
      <c r="DS88" s="399"/>
      <c r="DT88" s="399"/>
      <c r="DU88" s="399"/>
      <c r="DV88" s="399"/>
      <c r="DW88" s="399"/>
      <c r="DX88" s="399"/>
      <c r="DY88" s="399"/>
      <c r="DZ88" s="399"/>
      <c r="EB88" s="228">
        <f t="shared" si="112"/>
        <v>0</v>
      </c>
      <c r="EC88" s="228">
        <f t="shared" si="113"/>
        <v>0</v>
      </c>
      <c r="ED88" s="214">
        <f t="shared" si="114"/>
        <v>0</v>
      </c>
    </row>
    <row r="89" spans="1:134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3" t="str">
        <f>VLOOKUP(A89,'Summary Mar 2026'!$A$8:$F$207,6,FALSE)</f>
        <v>Chq Bk</v>
      </c>
      <c r="G89" s="33"/>
      <c r="H89" s="223">
        <v>258496.34722363501</v>
      </c>
      <c r="I89" s="294"/>
      <c r="J89" s="223">
        <v>0</v>
      </c>
      <c r="K89" s="223">
        <v>39826.799999999996</v>
      </c>
      <c r="L89" s="223">
        <v>132444</v>
      </c>
      <c r="M89" s="223">
        <v>11115</v>
      </c>
      <c r="N89" s="223">
        <v>0</v>
      </c>
      <c r="O89" s="223">
        <v>962.68421052631584</v>
      </c>
      <c r="P89" s="33">
        <f t="shared" si="72"/>
        <v>184348.48421052631</v>
      </c>
      <c r="Q89" s="223">
        <f t="shared" si="73"/>
        <v>147478.78736842106</v>
      </c>
      <c r="R89" s="294"/>
      <c r="S89" s="223">
        <v>0</v>
      </c>
      <c r="T89" s="223">
        <v>64718.549999999996</v>
      </c>
      <c r="U89" s="223">
        <v>101540.40000000001</v>
      </c>
      <c r="V89" s="223">
        <v>10335</v>
      </c>
      <c r="W89" s="223">
        <v>0</v>
      </c>
      <c r="X89" s="223">
        <v>320.89473684210526</v>
      </c>
      <c r="Y89" s="223">
        <f t="shared" si="74"/>
        <v>176914.84473684212</v>
      </c>
      <c r="Z89" s="223">
        <f t="shared" si="75"/>
        <v>141531.87578947371</v>
      </c>
      <c r="AA89" s="294"/>
      <c r="AB89" s="398">
        <v>0</v>
      </c>
      <c r="AC89" s="398">
        <v>43051.642105263156</v>
      </c>
      <c r="AD89" s="398">
        <v>102952.42105263157</v>
      </c>
      <c r="AE89" s="398">
        <v>8014.7368421052633</v>
      </c>
      <c r="AF89" s="398">
        <v>0</v>
      </c>
      <c r="AG89" s="398">
        <v>561.24099722991684</v>
      </c>
      <c r="AH89" s="223">
        <f t="shared" si="76"/>
        <v>154580.04099722989</v>
      </c>
      <c r="AI89" s="398">
        <f t="shared" si="77"/>
        <v>123664.03279778392</v>
      </c>
      <c r="AJ89" s="294"/>
      <c r="AK89" s="398">
        <v>3301.35</v>
      </c>
      <c r="AL89" s="398">
        <v>3870.75</v>
      </c>
      <c r="AM89" s="398">
        <v>2794.3578947368419</v>
      </c>
      <c r="AN89" s="294"/>
      <c r="AO89" s="398">
        <f t="shared" si="78"/>
        <v>2641.08</v>
      </c>
      <c r="AP89" s="398">
        <f t="shared" si="79"/>
        <v>3096.6000000000004</v>
      </c>
      <c r="AQ89" s="398">
        <f t="shared" si="80"/>
        <v>2235.4863157894738</v>
      </c>
      <c r="AR89" s="293"/>
      <c r="AS89" s="293">
        <v>263962.52778129739</v>
      </c>
      <c r="AT89" s="576">
        <f t="shared" si="81"/>
        <v>5466.1805576623883</v>
      </c>
      <c r="AU89" s="293"/>
      <c r="AV89" s="293">
        <v>0</v>
      </c>
      <c r="AW89" s="293">
        <v>39826.799999999996</v>
      </c>
      <c r="AX89" s="293">
        <v>150765.42000000001</v>
      </c>
      <c r="AY89" s="293">
        <v>13650</v>
      </c>
      <c r="AZ89" s="293">
        <v>0</v>
      </c>
      <c r="BA89" s="293">
        <v>962.67</v>
      </c>
      <c r="BB89" s="293">
        <v>4522.0500000000011</v>
      </c>
      <c r="BC89" s="293">
        <f t="shared" si="82"/>
        <v>473689.4677812974</v>
      </c>
      <c r="BE89" s="58">
        <f t="shared" si="83"/>
        <v>0</v>
      </c>
      <c r="BF89" s="58">
        <f t="shared" si="84"/>
        <v>0</v>
      </c>
      <c r="BG89" s="58">
        <f t="shared" si="85"/>
        <v>18321.420000000013</v>
      </c>
      <c r="BH89" s="58">
        <f t="shared" si="86"/>
        <v>2535</v>
      </c>
      <c r="BI89" s="58">
        <f t="shared" si="87"/>
        <v>0</v>
      </c>
      <c r="BJ89" s="58">
        <f t="shared" si="88"/>
        <v>-1.4210526315878269E-2</v>
      </c>
      <c r="BK89" s="58">
        <f t="shared" si="89"/>
        <v>1220.7000000000012</v>
      </c>
      <c r="BL89" s="58">
        <f t="shared" si="90"/>
        <v>27543.286347136087</v>
      </c>
      <c r="BM89" s="33">
        <f t="shared" si="91"/>
        <v>0</v>
      </c>
      <c r="BN89" s="33"/>
      <c r="BO89" s="293">
        <f t="shared" si="63"/>
        <v>0</v>
      </c>
      <c r="BP89" s="293">
        <f t="shared" si="64"/>
        <v>7965.3599999999969</v>
      </c>
      <c r="BQ89" s="293">
        <f t="shared" si="65"/>
        <v>44810.22</v>
      </c>
      <c r="BR89" s="293">
        <f t="shared" si="66"/>
        <v>4758</v>
      </c>
      <c r="BS89" s="293">
        <f t="shared" si="67"/>
        <v>0</v>
      </c>
      <c r="BT89" s="293">
        <f t="shared" si="68"/>
        <v>192.5226315789472</v>
      </c>
      <c r="BU89" s="293">
        <f t="shared" si="69"/>
        <v>1880.9700000000012</v>
      </c>
      <c r="BV89" s="293">
        <f t="shared" si="70"/>
        <v>65073.253189241339</v>
      </c>
      <c r="BW89" s="293">
        <f t="shared" si="71"/>
        <v>0</v>
      </c>
      <c r="BX89" s="293">
        <v>0</v>
      </c>
      <c r="BY89" s="293">
        <v>4978.3499999999985</v>
      </c>
      <c r="BZ89" s="293">
        <v>0</v>
      </c>
      <c r="CA89" s="293">
        <v>0</v>
      </c>
      <c r="CB89" s="293">
        <v>0</v>
      </c>
      <c r="CC89" s="293">
        <v>1851.33</v>
      </c>
      <c r="CD89" s="293">
        <v>639.59999999999854</v>
      </c>
      <c r="CE89" s="293">
        <f t="shared" si="92"/>
        <v>7469.279999999997</v>
      </c>
      <c r="CF89" s="293"/>
      <c r="CG89" s="293">
        <v>0</v>
      </c>
      <c r="CH89" s="293">
        <v>19913.400000000001</v>
      </c>
      <c r="CI89" s="293">
        <v>94918.200000000012</v>
      </c>
      <c r="CJ89" s="293">
        <v>8580</v>
      </c>
      <c r="CK89" s="293">
        <v>0</v>
      </c>
      <c r="CL89" s="293">
        <v>0</v>
      </c>
      <c r="CM89" s="293">
        <v>4073.5499999999997</v>
      </c>
      <c r="CN89" s="293">
        <f t="shared" si="93"/>
        <v>127485.15000000001</v>
      </c>
      <c r="CO89" s="293"/>
      <c r="CP89" s="58">
        <f t="shared" si="94"/>
        <v>0</v>
      </c>
      <c r="CQ89" s="223">
        <f t="shared" si="95"/>
        <v>-44805.149999999994</v>
      </c>
      <c r="CR89" s="223">
        <f t="shared" si="96"/>
        <v>-6622.1999999999971</v>
      </c>
      <c r="CS89" s="223">
        <f t="shared" si="97"/>
        <v>-1755</v>
      </c>
      <c r="CT89" s="223">
        <f t="shared" si="98"/>
        <v>0</v>
      </c>
      <c r="CU89" s="223">
        <f t="shared" si="99"/>
        <v>-320.89473684210526</v>
      </c>
      <c r="CV89" s="223">
        <f t="shared" si="100"/>
        <v>202.79999999999973</v>
      </c>
      <c r="CW89" s="223">
        <f t="shared" si="101"/>
        <v>-53300.444736842095</v>
      </c>
      <c r="CX89" s="223">
        <f t="shared" si="102"/>
        <v>0</v>
      </c>
      <c r="CY89" s="58">
        <f t="shared" si="103"/>
        <v>0</v>
      </c>
      <c r="CZ89" s="399">
        <f t="shared" si="104"/>
        <v>-31861.439999999995</v>
      </c>
      <c r="DA89" s="399">
        <f t="shared" si="105"/>
        <v>13685.880000000005</v>
      </c>
      <c r="DB89" s="399">
        <f t="shared" si="106"/>
        <v>312</v>
      </c>
      <c r="DC89" s="399">
        <f t="shared" si="107"/>
        <v>0</v>
      </c>
      <c r="DD89" s="399">
        <f t="shared" si="108"/>
        <v>-256.7157894736842</v>
      </c>
      <c r="DE89" s="399">
        <f t="shared" si="109"/>
        <v>976.94999999999936</v>
      </c>
      <c r="DF89" s="399">
        <f t="shared" si="110"/>
        <v>-17143.325789473674</v>
      </c>
      <c r="DG89" s="399">
        <f t="shared" si="111"/>
        <v>0</v>
      </c>
      <c r="DI89" s="399"/>
      <c r="DJ89" s="399"/>
      <c r="DK89" s="399"/>
      <c r="DL89" s="399"/>
      <c r="DM89" s="399"/>
      <c r="DN89" s="399"/>
      <c r="DO89" s="399"/>
      <c r="DP89" s="399"/>
      <c r="DQ89" s="399"/>
      <c r="DS89" s="399"/>
      <c r="DT89" s="399"/>
      <c r="DU89" s="399"/>
      <c r="DV89" s="399"/>
      <c r="DW89" s="399"/>
      <c r="DX89" s="399"/>
      <c r="DY89" s="399"/>
      <c r="DZ89" s="399"/>
      <c r="EB89" s="228">
        <f t="shared" si="112"/>
        <v>731280.42409708689</v>
      </c>
      <c r="EC89" s="228">
        <f t="shared" si="113"/>
        <v>3262.9927977839334</v>
      </c>
      <c r="ED89" s="214">
        <f t="shared" si="114"/>
        <v>734543.41689487081</v>
      </c>
    </row>
    <row r="90" spans="1:134" hidden="1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3" t="str">
        <f>VLOOKUP(A90,'Summary Mar 2026'!$A$8:$F$207,6,FALSE)</f>
        <v>Chq Bk</v>
      </c>
      <c r="G90" s="33"/>
      <c r="H90" s="223">
        <v>0</v>
      </c>
      <c r="I90" s="294"/>
      <c r="J90" s="223">
        <v>0</v>
      </c>
      <c r="K90" s="223">
        <v>0</v>
      </c>
      <c r="L90" s="223">
        <v>0</v>
      </c>
      <c r="M90" s="223">
        <v>0</v>
      </c>
      <c r="N90" s="223">
        <v>0</v>
      </c>
      <c r="O90" s="223">
        <v>0</v>
      </c>
      <c r="P90" s="33">
        <f t="shared" si="72"/>
        <v>0</v>
      </c>
      <c r="Q90" s="223">
        <f t="shared" si="73"/>
        <v>0</v>
      </c>
      <c r="R90" s="294"/>
      <c r="S90" s="223">
        <v>0</v>
      </c>
      <c r="T90" s="223">
        <v>0</v>
      </c>
      <c r="U90" s="223">
        <v>0</v>
      </c>
      <c r="V90" s="223">
        <v>0</v>
      </c>
      <c r="W90" s="223">
        <v>0</v>
      </c>
      <c r="X90" s="223">
        <v>0</v>
      </c>
      <c r="Y90" s="223">
        <f t="shared" si="74"/>
        <v>0</v>
      </c>
      <c r="Z90" s="223">
        <f t="shared" si="75"/>
        <v>0</v>
      </c>
      <c r="AA90" s="294"/>
      <c r="AB90" s="398">
        <v>0</v>
      </c>
      <c r="AC90" s="398">
        <v>0</v>
      </c>
      <c r="AD90" s="398">
        <v>0</v>
      </c>
      <c r="AE90" s="398">
        <v>0</v>
      </c>
      <c r="AF90" s="398">
        <v>0</v>
      </c>
      <c r="AG90" s="398">
        <v>0</v>
      </c>
      <c r="AH90" s="223">
        <f t="shared" si="76"/>
        <v>0</v>
      </c>
      <c r="AI90" s="398">
        <f t="shared" si="77"/>
        <v>0</v>
      </c>
      <c r="AJ90" s="294"/>
      <c r="AK90" s="398">
        <v>0</v>
      </c>
      <c r="AL90" s="398">
        <v>0</v>
      </c>
      <c r="AM90" s="398">
        <v>0</v>
      </c>
      <c r="AN90" s="294"/>
      <c r="AO90" s="398">
        <f t="shared" si="78"/>
        <v>0</v>
      </c>
      <c r="AP90" s="398">
        <f t="shared" si="79"/>
        <v>0</v>
      </c>
      <c r="AQ90" s="398">
        <f t="shared" si="80"/>
        <v>0</v>
      </c>
      <c r="AR90" s="293"/>
      <c r="AS90" s="293">
        <v>0</v>
      </c>
      <c r="AT90" s="576">
        <f t="shared" si="81"/>
        <v>0</v>
      </c>
      <c r="AU90" s="293"/>
      <c r="AV90" s="293">
        <v>0</v>
      </c>
      <c r="AW90" s="293">
        <v>0</v>
      </c>
      <c r="AX90" s="293">
        <v>0</v>
      </c>
      <c r="AY90" s="293">
        <v>0</v>
      </c>
      <c r="AZ90" s="293">
        <v>0</v>
      </c>
      <c r="BA90" s="293">
        <v>0</v>
      </c>
      <c r="BB90" s="293">
        <v>0</v>
      </c>
      <c r="BC90" s="293">
        <f t="shared" si="82"/>
        <v>0</v>
      </c>
      <c r="BE90" s="58">
        <f t="shared" si="83"/>
        <v>0</v>
      </c>
      <c r="BF90" s="58">
        <f t="shared" si="84"/>
        <v>0</v>
      </c>
      <c r="BG90" s="58">
        <f t="shared" si="85"/>
        <v>0</v>
      </c>
      <c r="BH90" s="58">
        <f t="shared" si="86"/>
        <v>0</v>
      </c>
      <c r="BI90" s="58">
        <f t="shared" si="87"/>
        <v>0</v>
      </c>
      <c r="BJ90" s="58">
        <f t="shared" si="88"/>
        <v>0</v>
      </c>
      <c r="BK90" s="58">
        <f t="shared" si="89"/>
        <v>0</v>
      </c>
      <c r="BL90" s="58">
        <f t="shared" si="90"/>
        <v>0</v>
      </c>
      <c r="BM90" s="33">
        <f t="shared" si="91"/>
        <v>0</v>
      </c>
      <c r="BN90" s="33"/>
      <c r="BO90" s="293">
        <f t="shared" si="63"/>
        <v>0</v>
      </c>
      <c r="BP90" s="293">
        <f t="shared" si="64"/>
        <v>0</v>
      </c>
      <c r="BQ90" s="293">
        <f t="shared" si="65"/>
        <v>0</v>
      </c>
      <c r="BR90" s="293">
        <f t="shared" si="66"/>
        <v>0</v>
      </c>
      <c r="BS90" s="293">
        <f t="shared" si="67"/>
        <v>0</v>
      </c>
      <c r="BT90" s="293">
        <f t="shared" si="68"/>
        <v>0</v>
      </c>
      <c r="BU90" s="293">
        <f t="shared" si="69"/>
        <v>0</v>
      </c>
      <c r="BV90" s="293">
        <f t="shared" si="70"/>
        <v>0</v>
      </c>
      <c r="BW90" s="293">
        <f t="shared" si="71"/>
        <v>0</v>
      </c>
      <c r="BX90" s="293">
        <v>0</v>
      </c>
      <c r="BY90" s="293">
        <v>0</v>
      </c>
      <c r="BZ90" s="293">
        <v>0</v>
      </c>
      <c r="CA90" s="293">
        <v>0</v>
      </c>
      <c r="CB90" s="293">
        <v>0</v>
      </c>
      <c r="CC90" s="293">
        <v>0</v>
      </c>
      <c r="CD90" s="293">
        <v>0</v>
      </c>
      <c r="CE90" s="293">
        <f t="shared" si="92"/>
        <v>0</v>
      </c>
      <c r="CF90" s="293"/>
      <c r="CG90" s="293">
        <v>0</v>
      </c>
      <c r="CH90" s="293">
        <v>0</v>
      </c>
      <c r="CI90" s="293">
        <v>0</v>
      </c>
      <c r="CJ90" s="293">
        <v>0</v>
      </c>
      <c r="CK90" s="293">
        <v>0</v>
      </c>
      <c r="CL90" s="293">
        <v>0</v>
      </c>
      <c r="CM90" s="293">
        <v>0</v>
      </c>
      <c r="CN90" s="293">
        <f t="shared" si="93"/>
        <v>0</v>
      </c>
      <c r="CO90" s="293"/>
      <c r="CP90" s="58">
        <f t="shared" si="94"/>
        <v>0</v>
      </c>
      <c r="CQ90" s="223">
        <f t="shared" si="95"/>
        <v>0</v>
      </c>
      <c r="CR90" s="223">
        <f t="shared" si="96"/>
        <v>0</v>
      </c>
      <c r="CS90" s="223">
        <f t="shared" si="97"/>
        <v>0</v>
      </c>
      <c r="CT90" s="223">
        <f t="shared" si="98"/>
        <v>0</v>
      </c>
      <c r="CU90" s="223">
        <f t="shared" si="99"/>
        <v>0</v>
      </c>
      <c r="CV90" s="223">
        <f t="shared" si="100"/>
        <v>0</v>
      </c>
      <c r="CW90" s="223">
        <f t="shared" si="101"/>
        <v>0</v>
      </c>
      <c r="CX90" s="223">
        <f t="shared" si="102"/>
        <v>0</v>
      </c>
      <c r="CY90" s="58">
        <f t="shared" si="103"/>
        <v>0</v>
      </c>
      <c r="CZ90" s="399">
        <f t="shared" si="104"/>
        <v>0</v>
      </c>
      <c r="DA90" s="399">
        <f t="shared" si="105"/>
        <v>0</v>
      </c>
      <c r="DB90" s="399">
        <f t="shared" si="106"/>
        <v>0</v>
      </c>
      <c r="DC90" s="399">
        <f t="shared" si="107"/>
        <v>0</v>
      </c>
      <c r="DD90" s="399">
        <f t="shared" si="108"/>
        <v>0</v>
      </c>
      <c r="DE90" s="399">
        <f t="shared" si="109"/>
        <v>0</v>
      </c>
      <c r="DF90" s="399">
        <f t="shared" si="110"/>
        <v>0</v>
      </c>
      <c r="DG90" s="399">
        <f t="shared" si="111"/>
        <v>0</v>
      </c>
      <c r="DI90" s="399"/>
      <c r="DJ90" s="399"/>
      <c r="DK90" s="399"/>
      <c r="DL90" s="399"/>
      <c r="DM90" s="399"/>
      <c r="DN90" s="399"/>
      <c r="DO90" s="399"/>
      <c r="DP90" s="399"/>
      <c r="DQ90" s="399"/>
      <c r="DS90" s="399"/>
      <c r="DT90" s="399"/>
      <c r="DU90" s="399"/>
      <c r="DV90" s="399"/>
      <c r="DW90" s="399"/>
      <c r="DX90" s="399"/>
      <c r="DY90" s="399"/>
      <c r="DZ90" s="399"/>
      <c r="EB90" s="228">
        <f t="shared" si="112"/>
        <v>0</v>
      </c>
      <c r="EC90" s="228">
        <f t="shared" si="113"/>
        <v>0</v>
      </c>
      <c r="ED90" s="214">
        <f t="shared" si="114"/>
        <v>0</v>
      </c>
    </row>
    <row r="91" spans="1:134" s="378" customFormat="1" hidden="1">
      <c r="A91" s="777">
        <v>3322</v>
      </c>
      <c r="B91" s="446">
        <v>103426</v>
      </c>
      <c r="C91" s="446" t="s">
        <v>198</v>
      </c>
      <c r="D91" s="446" t="s">
        <v>199</v>
      </c>
      <c r="E91" s="372" t="s">
        <v>32</v>
      </c>
      <c r="F91" s="812" t="str">
        <f>VLOOKUP(A91,'Summary Mar 2026'!$A$8:$F$207,6,FALSE)</f>
        <v>Academy</v>
      </c>
      <c r="G91" s="813"/>
      <c r="H91" s="814">
        <v>0</v>
      </c>
      <c r="I91" s="814"/>
      <c r="J91" s="814">
        <v>0</v>
      </c>
      <c r="K91" s="814">
        <v>0</v>
      </c>
      <c r="L91" s="814">
        <v>38629.5</v>
      </c>
      <c r="M91" s="814">
        <v>1755</v>
      </c>
      <c r="N91" s="814">
        <v>0</v>
      </c>
      <c r="O91" s="814">
        <v>0</v>
      </c>
      <c r="P91" s="813">
        <f t="shared" si="72"/>
        <v>40384.5</v>
      </c>
      <c r="Q91" s="814">
        <f t="shared" si="73"/>
        <v>32307.600000000002</v>
      </c>
      <c r="R91" s="814"/>
      <c r="S91" s="814"/>
      <c r="T91" s="814"/>
      <c r="U91" s="814"/>
      <c r="V91" s="814"/>
      <c r="W91" s="814"/>
      <c r="X91" s="814"/>
      <c r="Y91" s="814"/>
      <c r="Z91" s="814"/>
      <c r="AA91" s="814"/>
      <c r="AB91" s="815"/>
      <c r="AC91" s="815"/>
      <c r="AD91" s="815"/>
      <c r="AE91" s="815"/>
      <c r="AF91" s="815"/>
      <c r="AG91" s="815"/>
      <c r="AH91" s="814"/>
      <c r="AI91" s="815"/>
      <c r="AJ91" s="814"/>
      <c r="AK91" s="815">
        <v>661.05000000000007</v>
      </c>
      <c r="AL91" s="815"/>
      <c r="AM91" s="815"/>
      <c r="AN91" s="814"/>
      <c r="AO91" s="815">
        <f t="shared" si="78"/>
        <v>528.84</v>
      </c>
      <c r="AP91" s="815">
        <f t="shared" si="79"/>
        <v>0</v>
      </c>
      <c r="AQ91" s="815">
        <f t="shared" si="80"/>
        <v>0</v>
      </c>
      <c r="AR91" s="816"/>
      <c r="AS91" s="816">
        <v>0</v>
      </c>
      <c r="AT91" s="817">
        <f t="shared" si="81"/>
        <v>0</v>
      </c>
      <c r="AU91" s="816"/>
      <c r="AV91" s="293"/>
      <c r="AW91" s="293"/>
      <c r="AX91" s="293"/>
      <c r="AY91" s="293"/>
      <c r="AZ91" s="293"/>
      <c r="BA91" s="293">
        <v>0</v>
      </c>
      <c r="BB91" s="293"/>
      <c r="BC91" s="293">
        <f t="shared" si="82"/>
        <v>0</v>
      </c>
      <c r="BE91" s="58"/>
      <c r="BF91" s="58"/>
      <c r="BG91" s="58"/>
      <c r="BH91" s="58"/>
      <c r="BI91" s="58"/>
      <c r="BJ91" s="58"/>
      <c r="BK91" s="58"/>
      <c r="BL91" s="58"/>
      <c r="BM91" s="33"/>
      <c r="BN91" s="33"/>
      <c r="BO91" s="293">
        <f t="shared" ref="BO91:BO122" si="115">AV91-(J91*80%)</f>
        <v>0</v>
      </c>
      <c r="BP91" s="293"/>
      <c r="BQ91" s="293"/>
      <c r="BR91" s="293"/>
      <c r="BS91" s="293"/>
      <c r="BT91" s="293"/>
      <c r="BU91" s="293"/>
      <c r="BV91" s="293"/>
      <c r="BW91" s="293"/>
      <c r="BX91" s="293"/>
      <c r="BY91" s="293"/>
      <c r="BZ91" s="293"/>
      <c r="CA91" s="293"/>
      <c r="CB91" s="293"/>
      <c r="CC91" s="293"/>
      <c r="CD91" s="293"/>
      <c r="CE91" s="293"/>
      <c r="CF91" s="293"/>
      <c r="CG91" s="293"/>
      <c r="CH91" s="293">
        <v>0</v>
      </c>
      <c r="CI91" s="293"/>
      <c r="CJ91" s="293"/>
      <c r="CK91" s="293"/>
      <c r="CL91" s="293"/>
      <c r="CM91" s="293"/>
      <c r="CN91" s="293"/>
      <c r="CO91" s="293"/>
      <c r="CP91" s="58"/>
      <c r="CQ91" s="223"/>
      <c r="CR91" s="223"/>
      <c r="CS91" s="223"/>
      <c r="CT91" s="223"/>
      <c r="CU91" s="223"/>
      <c r="CV91" s="223"/>
      <c r="CW91" s="223"/>
      <c r="CX91" s="223">
        <f t="shared" si="102"/>
        <v>0</v>
      </c>
      <c r="CY91" s="58">
        <f t="shared" si="103"/>
        <v>0</v>
      </c>
      <c r="CZ91" s="399">
        <f t="shared" si="104"/>
        <v>0</v>
      </c>
      <c r="DA91" s="399">
        <f t="shared" si="105"/>
        <v>0</v>
      </c>
      <c r="DB91" s="399">
        <f t="shared" si="106"/>
        <v>0</v>
      </c>
      <c r="DC91" s="399">
        <f t="shared" si="107"/>
        <v>0</v>
      </c>
      <c r="DD91" s="399">
        <f t="shared" si="108"/>
        <v>0</v>
      </c>
      <c r="DE91" s="399">
        <f t="shared" si="109"/>
        <v>0</v>
      </c>
      <c r="DF91" s="399">
        <f t="shared" si="110"/>
        <v>0</v>
      </c>
      <c r="DG91" s="399">
        <f t="shared" si="111"/>
        <v>0</v>
      </c>
      <c r="DH91"/>
      <c r="DI91" s="818"/>
      <c r="DJ91" s="818"/>
      <c r="DK91" s="818"/>
      <c r="DL91" s="818"/>
      <c r="DM91" s="818"/>
      <c r="DN91" s="818"/>
      <c r="DO91" s="818"/>
      <c r="DP91" s="818"/>
      <c r="DQ91" s="818"/>
      <c r="DS91" s="818"/>
      <c r="DT91" s="818"/>
      <c r="DU91" s="818"/>
      <c r="DV91" s="818"/>
      <c r="DW91" s="818"/>
      <c r="DX91" s="818"/>
      <c r="DY91" s="818"/>
      <c r="DZ91" s="818"/>
      <c r="EB91" s="228">
        <f>Q91+AO91</f>
        <v>32836.44</v>
      </c>
      <c r="EC91" s="228">
        <f t="shared" si="113"/>
        <v>0</v>
      </c>
      <c r="ED91" s="778">
        <f t="shared" si="114"/>
        <v>32836.44</v>
      </c>
    </row>
    <row r="92" spans="1:134" hidden="1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3" t="str">
        <f>VLOOKUP(A92,'Summary Mar 2026'!$A$8:$F$207,6,FALSE)</f>
        <v>Chq Bk</v>
      </c>
      <c r="G92" s="33"/>
      <c r="H92" s="223">
        <v>0</v>
      </c>
      <c r="I92" s="294"/>
      <c r="J92" s="223">
        <v>0</v>
      </c>
      <c r="K92" s="223">
        <v>0</v>
      </c>
      <c r="L92" s="223">
        <v>0</v>
      </c>
      <c r="M92" s="223">
        <v>0</v>
      </c>
      <c r="N92" s="223">
        <v>0</v>
      </c>
      <c r="O92" s="223">
        <v>0</v>
      </c>
      <c r="P92" s="33">
        <f t="shared" si="72"/>
        <v>0</v>
      </c>
      <c r="Q92" s="223">
        <f t="shared" si="73"/>
        <v>0</v>
      </c>
      <c r="R92" s="294"/>
      <c r="S92" s="223">
        <v>0</v>
      </c>
      <c r="T92" s="223">
        <v>0</v>
      </c>
      <c r="U92" s="223">
        <v>0</v>
      </c>
      <c r="V92" s="223">
        <v>0</v>
      </c>
      <c r="W92" s="223">
        <v>0</v>
      </c>
      <c r="X92" s="223">
        <v>0</v>
      </c>
      <c r="Y92" s="223">
        <f t="shared" si="74"/>
        <v>0</v>
      </c>
      <c r="Z92" s="223">
        <f t="shared" si="75"/>
        <v>0</v>
      </c>
      <c r="AA92" s="294"/>
      <c r="AB92" s="398">
        <v>0</v>
      </c>
      <c r="AC92" s="398">
        <v>0</v>
      </c>
      <c r="AD92" s="398">
        <v>0</v>
      </c>
      <c r="AE92" s="398">
        <v>0</v>
      </c>
      <c r="AF92" s="398">
        <v>0</v>
      </c>
      <c r="AG92" s="398">
        <v>0</v>
      </c>
      <c r="AH92" s="223">
        <f t="shared" si="76"/>
        <v>0</v>
      </c>
      <c r="AI92" s="398">
        <f t="shared" si="77"/>
        <v>0</v>
      </c>
      <c r="AJ92" s="294"/>
      <c r="AK92" s="398">
        <v>0</v>
      </c>
      <c r="AL92" s="398">
        <v>0</v>
      </c>
      <c r="AM92" s="398">
        <v>0</v>
      </c>
      <c r="AN92" s="294"/>
      <c r="AO92" s="398">
        <f t="shared" si="78"/>
        <v>0</v>
      </c>
      <c r="AP92" s="398">
        <f t="shared" si="79"/>
        <v>0</v>
      </c>
      <c r="AQ92" s="398">
        <f t="shared" si="80"/>
        <v>0</v>
      </c>
      <c r="AR92" s="293"/>
      <c r="AS92" s="293">
        <v>0</v>
      </c>
      <c r="AT92" s="576">
        <f t="shared" si="81"/>
        <v>0</v>
      </c>
      <c r="AU92" s="293"/>
      <c r="AV92" s="293">
        <v>0</v>
      </c>
      <c r="AW92" s="293">
        <v>0</v>
      </c>
      <c r="AX92" s="293">
        <v>0</v>
      </c>
      <c r="AY92" s="293">
        <v>0</v>
      </c>
      <c r="AZ92" s="293">
        <v>0</v>
      </c>
      <c r="BA92" s="293">
        <v>0</v>
      </c>
      <c r="BB92" s="293">
        <v>0</v>
      </c>
      <c r="BC92" s="293">
        <f t="shared" si="82"/>
        <v>0</v>
      </c>
      <c r="BE92" s="58">
        <f t="shared" si="83"/>
        <v>0</v>
      </c>
      <c r="BF92" s="58">
        <f t="shared" si="84"/>
        <v>0</v>
      </c>
      <c r="BG92" s="58">
        <f t="shared" si="85"/>
        <v>0</v>
      </c>
      <c r="BH92" s="58">
        <f t="shared" si="86"/>
        <v>0</v>
      </c>
      <c r="BI92" s="58">
        <f t="shared" si="87"/>
        <v>0</v>
      </c>
      <c r="BJ92" s="58">
        <f t="shared" si="88"/>
        <v>0</v>
      </c>
      <c r="BK92" s="58">
        <f t="shared" si="89"/>
        <v>0</v>
      </c>
      <c r="BL92" s="58">
        <f t="shared" si="90"/>
        <v>0</v>
      </c>
      <c r="BM92" s="33">
        <f t="shared" si="91"/>
        <v>0</v>
      </c>
      <c r="BN92" s="33"/>
      <c r="BO92" s="293">
        <f t="shared" si="115"/>
        <v>0</v>
      </c>
      <c r="BP92" s="293">
        <f t="shared" ref="BP92:BP123" si="116">AW92-(K92*80%)</f>
        <v>0</v>
      </c>
      <c r="BQ92" s="293">
        <f t="shared" ref="BQ92:BQ123" si="117">AX92-(L92*80%)</f>
        <v>0</v>
      </c>
      <c r="BR92" s="293">
        <f t="shared" ref="BR92:BR123" si="118">AY92-(M92*80%)</f>
        <v>0</v>
      </c>
      <c r="BS92" s="293">
        <f t="shared" ref="BS92:BS123" si="119">AZ92-(N92*80%)</f>
        <v>0</v>
      </c>
      <c r="BT92" s="293">
        <f t="shared" ref="BT92:BT123" si="120">BA92-(O92*80%)</f>
        <v>0</v>
      </c>
      <c r="BU92" s="293">
        <f t="shared" ref="BU92:BU123" si="121">BB92-(AK92*80%)</f>
        <v>0</v>
      </c>
      <c r="BV92" s="293">
        <f t="shared" si="70"/>
        <v>0</v>
      </c>
      <c r="BW92" s="293">
        <f t="shared" si="71"/>
        <v>0</v>
      </c>
      <c r="BX92" s="293">
        <v>0</v>
      </c>
      <c r="BY92" s="293">
        <v>0</v>
      </c>
      <c r="BZ92" s="293">
        <v>0</v>
      </c>
      <c r="CA92" s="293">
        <v>0</v>
      </c>
      <c r="CB92" s="293">
        <v>0</v>
      </c>
      <c r="CC92" s="293">
        <v>0</v>
      </c>
      <c r="CD92" s="293">
        <v>0</v>
      </c>
      <c r="CE92" s="293">
        <f t="shared" si="92"/>
        <v>0</v>
      </c>
      <c r="CF92" s="293"/>
      <c r="CG92" s="293">
        <v>0</v>
      </c>
      <c r="CH92" s="293">
        <v>0</v>
      </c>
      <c r="CI92" s="293">
        <v>0</v>
      </c>
      <c r="CJ92" s="293">
        <v>0</v>
      </c>
      <c r="CK92" s="293">
        <v>0</v>
      </c>
      <c r="CL92" s="293">
        <v>0</v>
      </c>
      <c r="CM92" s="293">
        <v>0</v>
      </c>
      <c r="CN92" s="293">
        <f t="shared" si="93"/>
        <v>0</v>
      </c>
      <c r="CO92" s="293"/>
      <c r="CP92" s="58">
        <f t="shared" si="94"/>
        <v>0</v>
      </c>
      <c r="CQ92" s="223">
        <f t="shared" si="95"/>
        <v>0</v>
      </c>
      <c r="CR92" s="223">
        <f t="shared" si="96"/>
        <v>0</v>
      </c>
      <c r="CS92" s="223">
        <f t="shared" si="97"/>
        <v>0</v>
      </c>
      <c r="CT92" s="223">
        <f t="shared" si="98"/>
        <v>0</v>
      </c>
      <c r="CU92" s="223">
        <f t="shared" si="99"/>
        <v>0</v>
      </c>
      <c r="CV92" s="223">
        <f t="shared" si="100"/>
        <v>0</v>
      </c>
      <c r="CW92" s="223">
        <f t="shared" si="101"/>
        <v>0</v>
      </c>
      <c r="CX92" s="223">
        <f t="shared" si="102"/>
        <v>0</v>
      </c>
      <c r="CY92" s="58">
        <f t="shared" si="103"/>
        <v>0</v>
      </c>
      <c r="CZ92" s="399">
        <f t="shared" si="104"/>
        <v>0</v>
      </c>
      <c r="DA92" s="399">
        <f t="shared" si="105"/>
        <v>0</v>
      </c>
      <c r="DB92" s="399">
        <f t="shared" si="106"/>
        <v>0</v>
      </c>
      <c r="DC92" s="399">
        <f t="shared" si="107"/>
        <v>0</v>
      </c>
      <c r="DD92" s="399">
        <f t="shared" si="108"/>
        <v>0</v>
      </c>
      <c r="DE92" s="399">
        <f t="shared" si="109"/>
        <v>0</v>
      </c>
      <c r="DF92" s="399">
        <f t="shared" si="110"/>
        <v>0</v>
      </c>
      <c r="DG92" s="399">
        <f t="shared" si="111"/>
        <v>0</v>
      </c>
      <c r="DI92" s="399"/>
      <c r="DJ92" s="399"/>
      <c r="DK92" s="399"/>
      <c r="DL92" s="399"/>
      <c r="DM92" s="399"/>
      <c r="DN92" s="399"/>
      <c r="DO92" s="399"/>
      <c r="DP92" s="399"/>
      <c r="DQ92" s="399"/>
      <c r="DS92" s="399"/>
      <c r="DT92" s="399"/>
      <c r="DU92" s="399"/>
      <c r="DV92" s="399"/>
      <c r="DW92" s="399"/>
      <c r="DX92" s="399"/>
      <c r="DY92" s="399"/>
      <c r="DZ92" s="399"/>
      <c r="EB92" s="228">
        <f t="shared" si="112"/>
        <v>0</v>
      </c>
      <c r="EC92" s="228">
        <f t="shared" si="113"/>
        <v>0</v>
      </c>
      <c r="ED92" s="214">
        <f t="shared" si="114"/>
        <v>0</v>
      </c>
    </row>
    <row r="93" spans="1:134" hidden="1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3" t="str">
        <f>VLOOKUP(A93,'Summary Mar 2026'!$A$8:$F$207,6,FALSE)</f>
        <v>Chq Bk</v>
      </c>
      <c r="G93" s="33"/>
      <c r="H93" s="223">
        <v>0</v>
      </c>
      <c r="I93" s="294"/>
      <c r="J93" s="223">
        <v>0</v>
      </c>
      <c r="K93" s="223">
        <v>0</v>
      </c>
      <c r="L93" s="223">
        <v>0</v>
      </c>
      <c r="M93" s="223">
        <v>0</v>
      </c>
      <c r="N93" s="223">
        <v>0</v>
      </c>
      <c r="O93" s="223">
        <v>0</v>
      </c>
      <c r="P93" s="33">
        <f t="shared" si="72"/>
        <v>0</v>
      </c>
      <c r="Q93" s="223">
        <f t="shared" si="73"/>
        <v>0</v>
      </c>
      <c r="R93" s="294"/>
      <c r="S93" s="223">
        <v>0</v>
      </c>
      <c r="T93" s="223">
        <v>0</v>
      </c>
      <c r="U93" s="223">
        <v>0</v>
      </c>
      <c r="V93" s="223">
        <v>0</v>
      </c>
      <c r="W93" s="223">
        <v>0</v>
      </c>
      <c r="X93" s="223">
        <v>0</v>
      </c>
      <c r="Y93" s="223">
        <f t="shared" si="74"/>
        <v>0</v>
      </c>
      <c r="Z93" s="223">
        <f t="shared" si="75"/>
        <v>0</v>
      </c>
      <c r="AA93" s="294"/>
      <c r="AB93" s="398">
        <v>0</v>
      </c>
      <c r="AC93" s="398">
        <v>0</v>
      </c>
      <c r="AD93" s="398">
        <v>0</v>
      </c>
      <c r="AE93" s="398">
        <v>0</v>
      </c>
      <c r="AF93" s="398">
        <v>0</v>
      </c>
      <c r="AG93" s="398">
        <v>0</v>
      </c>
      <c r="AH93" s="223">
        <f t="shared" si="76"/>
        <v>0</v>
      </c>
      <c r="AI93" s="398">
        <f t="shared" si="77"/>
        <v>0</v>
      </c>
      <c r="AJ93" s="294"/>
      <c r="AK93" s="398">
        <v>0</v>
      </c>
      <c r="AL93" s="398">
        <v>0</v>
      </c>
      <c r="AM93" s="398">
        <v>0</v>
      </c>
      <c r="AN93" s="294"/>
      <c r="AO93" s="398">
        <f t="shared" si="78"/>
        <v>0</v>
      </c>
      <c r="AP93" s="398">
        <f t="shared" si="79"/>
        <v>0</v>
      </c>
      <c r="AQ93" s="398">
        <f t="shared" si="80"/>
        <v>0</v>
      </c>
      <c r="AR93" s="293"/>
      <c r="AS93" s="293">
        <v>0</v>
      </c>
      <c r="AT93" s="576">
        <f t="shared" si="81"/>
        <v>0</v>
      </c>
      <c r="AU93" s="293"/>
      <c r="AV93" s="293">
        <v>0</v>
      </c>
      <c r="AW93" s="293">
        <v>0</v>
      </c>
      <c r="AX93" s="293">
        <v>0</v>
      </c>
      <c r="AY93" s="293">
        <v>0</v>
      </c>
      <c r="AZ93" s="293">
        <v>0</v>
      </c>
      <c r="BA93" s="293">
        <v>0</v>
      </c>
      <c r="BB93" s="293">
        <v>0</v>
      </c>
      <c r="BC93" s="293">
        <f t="shared" si="82"/>
        <v>0</v>
      </c>
      <c r="BE93" s="58">
        <f t="shared" si="83"/>
        <v>0</v>
      </c>
      <c r="BF93" s="58">
        <f t="shared" si="84"/>
        <v>0</v>
      </c>
      <c r="BG93" s="58">
        <f t="shared" si="85"/>
        <v>0</v>
      </c>
      <c r="BH93" s="58">
        <f t="shared" si="86"/>
        <v>0</v>
      </c>
      <c r="BI93" s="58">
        <f t="shared" si="87"/>
        <v>0</v>
      </c>
      <c r="BJ93" s="58">
        <f t="shared" si="88"/>
        <v>0</v>
      </c>
      <c r="BK93" s="58">
        <f t="shared" si="89"/>
        <v>0</v>
      </c>
      <c r="BL93" s="58">
        <f t="shared" si="90"/>
        <v>0</v>
      </c>
      <c r="BM93" s="33">
        <f t="shared" si="91"/>
        <v>0</v>
      </c>
      <c r="BN93" s="33"/>
      <c r="BO93" s="293">
        <f t="shared" si="115"/>
        <v>0</v>
      </c>
      <c r="BP93" s="293">
        <f t="shared" si="116"/>
        <v>0</v>
      </c>
      <c r="BQ93" s="293">
        <f t="shared" si="117"/>
        <v>0</v>
      </c>
      <c r="BR93" s="293">
        <f t="shared" si="118"/>
        <v>0</v>
      </c>
      <c r="BS93" s="293">
        <f t="shared" si="119"/>
        <v>0</v>
      </c>
      <c r="BT93" s="293">
        <f t="shared" si="120"/>
        <v>0</v>
      </c>
      <c r="BU93" s="293">
        <f t="shared" si="121"/>
        <v>0</v>
      </c>
      <c r="BV93" s="293">
        <f t="shared" si="70"/>
        <v>0</v>
      </c>
      <c r="BW93" s="293">
        <f t="shared" si="71"/>
        <v>0</v>
      </c>
      <c r="BX93" s="293">
        <v>0</v>
      </c>
      <c r="BY93" s="293">
        <v>0</v>
      </c>
      <c r="BZ93" s="293">
        <v>0</v>
      </c>
      <c r="CA93" s="293">
        <v>0</v>
      </c>
      <c r="CB93" s="293">
        <v>0</v>
      </c>
      <c r="CC93" s="293">
        <v>0</v>
      </c>
      <c r="CD93" s="293">
        <v>0</v>
      </c>
      <c r="CE93" s="293">
        <f t="shared" si="92"/>
        <v>0</v>
      </c>
      <c r="CF93" s="293"/>
      <c r="CG93" s="293">
        <v>0</v>
      </c>
      <c r="CH93" s="293">
        <v>0</v>
      </c>
      <c r="CI93" s="293">
        <v>0</v>
      </c>
      <c r="CJ93" s="293">
        <v>0</v>
      </c>
      <c r="CK93" s="293">
        <v>0</v>
      </c>
      <c r="CL93" s="293">
        <v>0</v>
      </c>
      <c r="CM93" s="293">
        <v>0</v>
      </c>
      <c r="CN93" s="293">
        <f t="shared" si="93"/>
        <v>0</v>
      </c>
      <c r="CO93" s="293"/>
      <c r="CP93" s="58">
        <f t="shared" si="94"/>
        <v>0</v>
      </c>
      <c r="CQ93" s="223">
        <f t="shared" si="95"/>
        <v>0</v>
      </c>
      <c r="CR93" s="223">
        <f t="shared" si="96"/>
        <v>0</v>
      </c>
      <c r="CS93" s="223">
        <f t="shared" si="97"/>
        <v>0</v>
      </c>
      <c r="CT93" s="223">
        <f t="shared" si="98"/>
        <v>0</v>
      </c>
      <c r="CU93" s="223">
        <f t="shared" si="99"/>
        <v>0</v>
      </c>
      <c r="CV93" s="223">
        <f t="shared" si="100"/>
        <v>0</v>
      </c>
      <c r="CW93" s="223">
        <f t="shared" si="101"/>
        <v>0</v>
      </c>
      <c r="CX93" s="223">
        <f t="shared" si="102"/>
        <v>0</v>
      </c>
      <c r="CY93" s="58">
        <f t="shared" si="103"/>
        <v>0</v>
      </c>
      <c r="CZ93" s="399">
        <f t="shared" si="104"/>
        <v>0</v>
      </c>
      <c r="DA93" s="399">
        <f t="shared" si="105"/>
        <v>0</v>
      </c>
      <c r="DB93" s="399">
        <f t="shared" si="106"/>
        <v>0</v>
      </c>
      <c r="DC93" s="399">
        <f t="shared" si="107"/>
        <v>0</v>
      </c>
      <c r="DD93" s="399">
        <f t="shared" si="108"/>
        <v>0</v>
      </c>
      <c r="DE93" s="399">
        <f t="shared" si="109"/>
        <v>0</v>
      </c>
      <c r="DF93" s="399">
        <f t="shared" si="110"/>
        <v>0</v>
      </c>
      <c r="DG93" s="399">
        <f t="shared" si="111"/>
        <v>0</v>
      </c>
      <c r="DI93" s="399"/>
      <c r="DJ93" s="399"/>
      <c r="DK93" s="399"/>
      <c r="DL93" s="399"/>
      <c r="DM93" s="399"/>
      <c r="DN93" s="399"/>
      <c r="DO93" s="399"/>
      <c r="DP93" s="399"/>
      <c r="DQ93" s="399"/>
      <c r="DS93" s="399"/>
      <c r="DT93" s="399"/>
      <c r="DU93" s="399"/>
      <c r="DV93" s="399"/>
      <c r="DW93" s="399"/>
      <c r="DX93" s="399"/>
      <c r="DY93" s="399"/>
      <c r="DZ93" s="399"/>
      <c r="EB93" s="228">
        <f t="shared" si="112"/>
        <v>0</v>
      </c>
      <c r="EC93" s="228">
        <f t="shared" si="113"/>
        <v>0</v>
      </c>
      <c r="ED93" s="214">
        <f t="shared" si="114"/>
        <v>0</v>
      </c>
    </row>
    <row r="94" spans="1:134" hidden="1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3" t="str">
        <f>VLOOKUP(A94,'Summary Mar 2026'!$A$8:$F$207,6,FALSE)</f>
        <v>Chq Bk</v>
      </c>
      <c r="G94" s="33"/>
      <c r="H94" s="223">
        <v>0</v>
      </c>
      <c r="I94" s="294"/>
      <c r="J94" s="223">
        <v>0</v>
      </c>
      <c r="K94" s="223">
        <v>0</v>
      </c>
      <c r="L94" s="223">
        <v>0</v>
      </c>
      <c r="M94" s="223">
        <v>0</v>
      </c>
      <c r="N94" s="223">
        <v>0</v>
      </c>
      <c r="O94" s="223">
        <v>0</v>
      </c>
      <c r="P94" s="33">
        <f t="shared" si="72"/>
        <v>0</v>
      </c>
      <c r="Q94" s="223">
        <f t="shared" si="73"/>
        <v>0</v>
      </c>
      <c r="R94" s="294"/>
      <c r="S94" s="223">
        <v>0</v>
      </c>
      <c r="T94" s="223">
        <v>0</v>
      </c>
      <c r="U94" s="223">
        <v>0</v>
      </c>
      <c r="V94" s="223">
        <v>0</v>
      </c>
      <c r="W94" s="223">
        <v>0</v>
      </c>
      <c r="X94" s="223">
        <v>0</v>
      </c>
      <c r="Y94" s="223">
        <f t="shared" si="74"/>
        <v>0</v>
      </c>
      <c r="Z94" s="223">
        <f t="shared" si="75"/>
        <v>0</v>
      </c>
      <c r="AA94" s="294"/>
      <c r="AB94" s="398">
        <v>0</v>
      </c>
      <c r="AC94" s="398">
        <v>0</v>
      </c>
      <c r="AD94" s="398">
        <v>0</v>
      </c>
      <c r="AE94" s="398">
        <v>0</v>
      </c>
      <c r="AF94" s="398">
        <v>0</v>
      </c>
      <c r="AG94" s="398">
        <v>0</v>
      </c>
      <c r="AH94" s="223">
        <f t="shared" si="76"/>
        <v>0</v>
      </c>
      <c r="AI94" s="398">
        <f t="shared" si="77"/>
        <v>0</v>
      </c>
      <c r="AJ94" s="294"/>
      <c r="AK94" s="398">
        <v>0</v>
      </c>
      <c r="AL94" s="398">
        <v>0</v>
      </c>
      <c r="AM94" s="398">
        <v>0</v>
      </c>
      <c r="AN94" s="294"/>
      <c r="AO94" s="398">
        <f t="shared" si="78"/>
        <v>0</v>
      </c>
      <c r="AP94" s="398">
        <f t="shared" si="79"/>
        <v>0</v>
      </c>
      <c r="AQ94" s="398">
        <f t="shared" si="80"/>
        <v>0</v>
      </c>
      <c r="AR94" s="293"/>
      <c r="AS94" s="293">
        <v>0</v>
      </c>
      <c r="AT94" s="576">
        <f t="shared" si="81"/>
        <v>0</v>
      </c>
      <c r="AU94" s="293"/>
      <c r="AV94" s="293">
        <v>0</v>
      </c>
      <c r="AW94" s="293">
        <v>0</v>
      </c>
      <c r="AX94" s="293">
        <v>0</v>
      </c>
      <c r="AY94" s="293">
        <v>0</v>
      </c>
      <c r="AZ94" s="293">
        <v>0</v>
      </c>
      <c r="BA94" s="293">
        <v>0</v>
      </c>
      <c r="BB94" s="293">
        <v>0</v>
      </c>
      <c r="BC94" s="293">
        <f t="shared" si="82"/>
        <v>0</v>
      </c>
      <c r="BE94" s="58">
        <f t="shared" si="83"/>
        <v>0</v>
      </c>
      <c r="BF94" s="58">
        <f t="shared" si="84"/>
        <v>0</v>
      </c>
      <c r="BG94" s="58">
        <f t="shared" si="85"/>
        <v>0</v>
      </c>
      <c r="BH94" s="58">
        <f t="shared" si="86"/>
        <v>0</v>
      </c>
      <c r="BI94" s="58">
        <f t="shared" si="87"/>
        <v>0</v>
      </c>
      <c r="BJ94" s="58">
        <f t="shared" si="88"/>
        <v>0</v>
      </c>
      <c r="BK94" s="58">
        <f t="shared" si="89"/>
        <v>0</v>
      </c>
      <c r="BL94" s="58">
        <f t="shared" si="90"/>
        <v>0</v>
      </c>
      <c r="BM94" s="33">
        <f t="shared" si="91"/>
        <v>0</v>
      </c>
      <c r="BN94" s="33"/>
      <c r="BO94" s="293">
        <f t="shared" si="115"/>
        <v>0</v>
      </c>
      <c r="BP94" s="293">
        <f t="shared" si="116"/>
        <v>0</v>
      </c>
      <c r="BQ94" s="293">
        <f t="shared" si="117"/>
        <v>0</v>
      </c>
      <c r="BR94" s="293">
        <f t="shared" si="118"/>
        <v>0</v>
      </c>
      <c r="BS94" s="293">
        <f t="shared" si="119"/>
        <v>0</v>
      </c>
      <c r="BT94" s="293">
        <f t="shared" si="120"/>
        <v>0</v>
      </c>
      <c r="BU94" s="293">
        <f t="shared" si="121"/>
        <v>0</v>
      </c>
      <c r="BV94" s="293">
        <f t="shared" si="70"/>
        <v>0</v>
      </c>
      <c r="BW94" s="293">
        <f t="shared" si="71"/>
        <v>0</v>
      </c>
      <c r="BX94" s="293">
        <v>0</v>
      </c>
      <c r="BY94" s="293">
        <v>0</v>
      </c>
      <c r="BZ94" s="293">
        <v>0</v>
      </c>
      <c r="CA94" s="293">
        <v>0</v>
      </c>
      <c r="CB94" s="293">
        <v>0</v>
      </c>
      <c r="CC94" s="293">
        <v>0</v>
      </c>
      <c r="CD94" s="293">
        <v>0</v>
      </c>
      <c r="CE94" s="293">
        <f t="shared" si="92"/>
        <v>0</v>
      </c>
      <c r="CF94" s="293"/>
      <c r="CG94" s="293">
        <v>0</v>
      </c>
      <c r="CH94" s="293">
        <v>0</v>
      </c>
      <c r="CI94" s="293">
        <v>0</v>
      </c>
      <c r="CJ94" s="293">
        <v>0</v>
      </c>
      <c r="CK94" s="293">
        <v>0</v>
      </c>
      <c r="CL94" s="293">
        <v>0</v>
      </c>
      <c r="CM94" s="293">
        <v>0</v>
      </c>
      <c r="CN94" s="293">
        <f t="shared" si="93"/>
        <v>0</v>
      </c>
      <c r="CO94" s="293"/>
      <c r="CP94" s="58">
        <f t="shared" si="94"/>
        <v>0</v>
      </c>
      <c r="CQ94" s="223">
        <f t="shared" si="95"/>
        <v>0</v>
      </c>
      <c r="CR94" s="223">
        <f t="shared" si="96"/>
        <v>0</v>
      </c>
      <c r="CS94" s="223">
        <f t="shared" si="97"/>
        <v>0</v>
      </c>
      <c r="CT94" s="223">
        <f t="shared" si="98"/>
        <v>0</v>
      </c>
      <c r="CU94" s="223">
        <f t="shared" si="99"/>
        <v>0</v>
      </c>
      <c r="CV94" s="223">
        <f t="shared" si="100"/>
        <v>0</v>
      </c>
      <c r="CW94" s="223">
        <f t="shared" si="101"/>
        <v>0</v>
      </c>
      <c r="CX94" s="223">
        <f t="shared" si="102"/>
        <v>0</v>
      </c>
      <c r="CY94" s="58">
        <f t="shared" si="103"/>
        <v>0</v>
      </c>
      <c r="CZ94" s="399">
        <f t="shared" si="104"/>
        <v>0</v>
      </c>
      <c r="DA94" s="399">
        <f t="shared" si="105"/>
        <v>0</v>
      </c>
      <c r="DB94" s="399">
        <f t="shared" si="106"/>
        <v>0</v>
      </c>
      <c r="DC94" s="399">
        <f t="shared" si="107"/>
        <v>0</v>
      </c>
      <c r="DD94" s="399">
        <f t="shared" si="108"/>
        <v>0</v>
      </c>
      <c r="DE94" s="399">
        <f t="shared" si="109"/>
        <v>0</v>
      </c>
      <c r="DF94" s="399">
        <f t="shared" si="110"/>
        <v>0</v>
      </c>
      <c r="DG94" s="399">
        <f t="shared" si="111"/>
        <v>0</v>
      </c>
      <c r="DI94" s="399"/>
      <c r="DJ94" s="399"/>
      <c r="DK94" s="399"/>
      <c r="DL94" s="399"/>
      <c r="DM94" s="399"/>
      <c r="DN94" s="399"/>
      <c r="DO94" s="399"/>
      <c r="DP94" s="399"/>
      <c r="DQ94" s="399"/>
      <c r="DS94" s="399"/>
      <c r="DT94" s="399"/>
      <c r="DU94" s="399"/>
      <c r="DV94" s="399"/>
      <c r="DW94" s="399"/>
      <c r="DX94" s="399"/>
      <c r="DY94" s="399"/>
      <c r="DZ94" s="399"/>
      <c r="EB94" s="228">
        <f t="shared" si="112"/>
        <v>0</v>
      </c>
      <c r="EC94" s="228">
        <f t="shared" si="113"/>
        <v>0</v>
      </c>
      <c r="ED94" s="214">
        <f t="shared" si="114"/>
        <v>0</v>
      </c>
    </row>
    <row r="95" spans="1:134" hidden="1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3" t="str">
        <f>VLOOKUP(A95,'Summary Mar 2026'!$A$8:$F$207,6,FALSE)</f>
        <v>Chq Bk</v>
      </c>
      <c r="G95" s="33"/>
      <c r="H95" s="223">
        <v>0</v>
      </c>
      <c r="I95" s="294"/>
      <c r="J95" s="223">
        <v>0</v>
      </c>
      <c r="K95" s="223">
        <v>0</v>
      </c>
      <c r="L95" s="223">
        <v>0</v>
      </c>
      <c r="M95" s="223">
        <v>0</v>
      </c>
      <c r="N95" s="223">
        <v>0</v>
      </c>
      <c r="O95" s="223">
        <v>0</v>
      </c>
      <c r="P95" s="33">
        <f t="shared" si="72"/>
        <v>0</v>
      </c>
      <c r="Q95" s="223">
        <f t="shared" si="73"/>
        <v>0</v>
      </c>
      <c r="R95" s="294"/>
      <c r="S95" s="223">
        <v>0</v>
      </c>
      <c r="T95" s="223">
        <v>0</v>
      </c>
      <c r="U95" s="223">
        <v>0</v>
      </c>
      <c r="V95" s="223">
        <v>0</v>
      </c>
      <c r="W95" s="223">
        <v>0</v>
      </c>
      <c r="X95" s="223">
        <v>0</v>
      </c>
      <c r="Y95" s="223">
        <f t="shared" si="74"/>
        <v>0</v>
      </c>
      <c r="Z95" s="223">
        <f t="shared" si="75"/>
        <v>0</v>
      </c>
      <c r="AA95" s="294"/>
      <c r="AB95" s="398">
        <v>0</v>
      </c>
      <c r="AC95" s="398">
        <v>0</v>
      </c>
      <c r="AD95" s="398">
        <v>0</v>
      </c>
      <c r="AE95" s="398">
        <v>0</v>
      </c>
      <c r="AF95" s="398">
        <v>0</v>
      </c>
      <c r="AG95" s="398">
        <v>0</v>
      </c>
      <c r="AH95" s="223">
        <f t="shared" si="76"/>
        <v>0</v>
      </c>
      <c r="AI95" s="398">
        <f t="shared" si="77"/>
        <v>0</v>
      </c>
      <c r="AJ95" s="294"/>
      <c r="AK95" s="398">
        <v>0</v>
      </c>
      <c r="AL95" s="398">
        <v>0</v>
      </c>
      <c r="AM95" s="398">
        <v>0</v>
      </c>
      <c r="AN95" s="294"/>
      <c r="AO95" s="398">
        <f t="shared" si="78"/>
        <v>0</v>
      </c>
      <c r="AP95" s="398">
        <f t="shared" si="79"/>
        <v>0</v>
      </c>
      <c r="AQ95" s="398">
        <f t="shared" si="80"/>
        <v>0</v>
      </c>
      <c r="AR95" s="293"/>
      <c r="AS95" s="293">
        <v>0</v>
      </c>
      <c r="AT95" s="576">
        <f t="shared" si="81"/>
        <v>0</v>
      </c>
      <c r="AU95" s="293"/>
      <c r="AV95" s="293">
        <v>0</v>
      </c>
      <c r="AW95" s="293">
        <v>0</v>
      </c>
      <c r="AX95" s="293">
        <v>0</v>
      </c>
      <c r="AY95" s="293">
        <v>0</v>
      </c>
      <c r="AZ95" s="293">
        <v>0</v>
      </c>
      <c r="BA95" s="293">
        <v>0</v>
      </c>
      <c r="BB95" s="293">
        <v>0</v>
      </c>
      <c r="BC95" s="293">
        <f t="shared" si="82"/>
        <v>0</v>
      </c>
      <c r="BE95" s="58">
        <f t="shared" si="83"/>
        <v>0</v>
      </c>
      <c r="BF95" s="58">
        <f t="shared" si="84"/>
        <v>0</v>
      </c>
      <c r="BG95" s="58">
        <f t="shared" si="85"/>
        <v>0</v>
      </c>
      <c r="BH95" s="58">
        <f t="shared" si="86"/>
        <v>0</v>
      </c>
      <c r="BI95" s="58">
        <f t="shared" si="87"/>
        <v>0</v>
      </c>
      <c r="BJ95" s="58">
        <f t="shared" si="88"/>
        <v>0</v>
      </c>
      <c r="BK95" s="58">
        <f t="shared" si="89"/>
        <v>0</v>
      </c>
      <c r="BL95" s="58">
        <f t="shared" si="90"/>
        <v>0</v>
      </c>
      <c r="BM95" s="33">
        <f t="shared" si="91"/>
        <v>0</v>
      </c>
      <c r="BN95" s="33"/>
      <c r="BO95" s="293">
        <f t="shared" si="115"/>
        <v>0</v>
      </c>
      <c r="BP95" s="293">
        <f t="shared" si="116"/>
        <v>0</v>
      </c>
      <c r="BQ95" s="293">
        <f t="shared" si="117"/>
        <v>0</v>
      </c>
      <c r="BR95" s="293">
        <f t="shared" si="118"/>
        <v>0</v>
      </c>
      <c r="BS95" s="293">
        <f t="shared" si="119"/>
        <v>0</v>
      </c>
      <c r="BT95" s="293">
        <f t="shared" si="120"/>
        <v>0</v>
      </c>
      <c r="BU95" s="293">
        <f t="shared" si="121"/>
        <v>0</v>
      </c>
      <c r="BV95" s="293">
        <f t="shared" si="70"/>
        <v>0</v>
      </c>
      <c r="BW95" s="293">
        <f t="shared" si="71"/>
        <v>0</v>
      </c>
      <c r="BX95" s="293">
        <v>0</v>
      </c>
      <c r="BY95" s="293">
        <v>0</v>
      </c>
      <c r="BZ95" s="293">
        <v>0</v>
      </c>
      <c r="CA95" s="293">
        <v>0</v>
      </c>
      <c r="CB95" s="293">
        <v>0</v>
      </c>
      <c r="CC95" s="293">
        <v>0</v>
      </c>
      <c r="CD95" s="293">
        <v>0</v>
      </c>
      <c r="CE95" s="293">
        <f t="shared" si="92"/>
        <v>0</v>
      </c>
      <c r="CF95" s="293"/>
      <c r="CG95" s="293">
        <v>0</v>
      </c>
      <c r="CH95" s="293">
        <v>0</v>
      </c>
      <c r="CI95" s="293">
        <v>0</v>
      </c>
      <c r="CJ95" s="293">
        <v>0</v>
      </c>
      <c r="CK95" s="293">
        <v>0</v>
      </c>
      <c r="CL95" s="293">
        <v>0</v>
      </c>
      <c r="CM95" s="293">
        <v>0</v>
      </c>
      <c r="CN95" s="293">
        <f t="shared" si="93"/>
        <v>0</v>
      </c>
      <c r="CO95" s="293"/>
      <c r="CP95" s="58">
        <f t="shared" si="94"/>
        <v>0</v>
      </c>
      <c r="CQ95" s="223">
        <f t="shared" si="95"/>
        <v>0</v>
      </c>
      <c r="CR95" s="223">
        <f t="shared" si="96"/>
        <v>0</v>
      </c>
      <c r="CS95" s="223">
        <f t="shared" si="97"/>
        <v>0</v>
      </c>
      <c r="CT95" s="223">
        <f t="shared" si="98"/>
        <v>0</v>
      </c>
      <c r="CU95" s="223">
        <f t="shared" si="99"/>
        <v>0</v>
      </c>
      <c r="CV95" s="223">
        <f t="shared" si="100"/>
        <v>0</v>
      </c>
      <c r="CW95" s="223">
        <f t="shared" si="101"/>
        <v>0</v>
      </c>
      <c r="CX95" s="223">
        <f t="shared" si="102"/>
        <v>0</v>
      </c>
      <c r="CY95" s="58">
        <f t="shared" si="103"/>
        <v>0</v>
      </c>
      <c r="CZ95" s="399">
        <f t="shared" si="104"/>
        <v>0</v>
      </c>
      <c r="DA95" s="399">
        <f t="shared" si="105"/>
        <v>0</v>
      </c>
      <c r="DB95" s="399">
        <f t="shared" si="106"/>
        <v>0</v>
      </c>
      <c r="DC95" s="399">
        <f t="shared" si="107"/>
        <v>0</v>
      </c>
      <c r="DD95" s="399">
        <f t="shared" si="108"/>
        <v>0</v>
      </c>
      <c r="DE95" s="399">
        <f t="shared" si="109"/>
        <v>0</v>
      </c>
      <c r="DF95" s="399">
        <f t="shared" si="110"/>
        <v>0</v>
      </c>
      <c r="DG95" s="399">
        <f t="shared" si="111"/>
        <v>0</v>
      </c>
      <c r="DI95" s="399"/>
      <c r="DJ95" s="399"/>
      <c r="DK95" s="399"/>
      <c r="DL95" s="399"/>
      <c r="DM95" s="399"/>
      <c r="DN95" s="399"/>
      <c r="DO95" s="399"/>
      <c r="DP95" s="399"/>
      <c r="DQ95" s="399"/>
      <c r="DS95" s="399"/>
      <c r="DT95" s="399"/>
      <c r="DU95" s="399"/>
      <c r="DV95" s="399"/>
      <c r="DW95" s="399"/>
      <c r="DX95" s="399"/>
      <c r="DY95" s="399"/>
      <c r="DZ95" s="399"/>
      <c r="EB95" s="228">
        <f t="shared" si="112"/>
        <v>0</v>
      </c>
      <c r="EC95" s="228">
        <f t="shared" si="113"/>
        <v>0</v>
      </c>
      <c r="ED95" s="214">
        <f t="shared" si="114"/>
        <v>0</v>
      </c>
    </row>
    <row r="96" spans="1:134" hidden="1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3" t="str">
        <f>VLOOKUP(A96,'Summary Mar 2026'!$A$8:$F$207,6,FALSE)</f>
        <v>Chq Bk</v>
      </c>
      <c r="G96" s="33"/>
      <c r="H96" s="223">
        <v>0</v>
      </c>
      <c r="I96" s="294"/>
      <c r="J96" s="223">
        <v>0</v>
      </c>
      <c r="K96" s="223">
        <v>0</v>
      </c>
      <c r="L96" s="223">
        <v>48562.8</v>
      </c>
      <c r="M96" s="223">
        <v>4485</v>
      </c>
      <c r="N96" s="223">
        <v>1715.3157894736842</v>
      </c>
      <c r="O96" s="223">
        <v>0</v>
      </c>
      <c r="P96" s="33">
        <f t="shared" si="72"/>
        <v>54763.11578947369</v>
      </c>
      <c r="Q96" s="223">
        <f t="shared" si="73"/>
        <v>43810.492631578956</v>
      </c>
      <c r="R96" s="294"/>
      <c r="S96" s="223">
        <v>0</v>
      </c>
      <c r="T96" s="223">
        <v>0</v>
      </c>
      <c r="U96" s="223">
        <v>27592.5</v>
      </c>
      <c r="V96" s="223">
        <v>2535</v>
      </c>
      <c r="W96" s="223">
        <v>745.78947368421052</v>
      </c>
      <c r="X96" s="223">
        <v>0</v>
      </c>
      <c r="Y96" s="223">
        <f t="shared" si="74"/>
        <v>30873.28947368421</v>
      </c>
      <c r="Z96" s="223">
        <f t="shared" si="75"/>
        <v>24698.63157894737</v>
      </c>
      <c r="AA96" s="294"/>
      <c r="AB96" s="398">
        <v>0</v>
      </c>
      <c r="AC96" s="398">
        <v>0</v>
      </c>
      <c r="AD96" s="398">
        <v>36676.800000000003</v>
      </c>
      <c r="AE96" s="398">
        <v>2955.7894736842109</v>
      </c>
      <c r="AF96" s="398">
        <v>717.40720221606648</v>
      </c>
      <c r="AG96" s="398">
        <v>0</v>
      </c>
      <c r="AH96" s="223">
        <f t="shared" si="76"/>
        <v>40349.996675900285</v>
      </c>
      <c r="AI96" s="398">
        <f t="shared" si="77"/>
        <v>32279.997340720231</v>
      </c>
      <c r="AJ96" s="294"/>
      <c r="AK96" s="398">
        <v>2698.7999999999997</v>
      </c>
      <c r="AL96" s="398">
        <v>1636.0500000000002</v>
      </c>
      <c r="AM96" s="398">
        <v>2096.9052631578948</v>
      </c>
      <c r="AN96" s="294"/>
      <c r="AO96" s="398">
        <f t="shared" si="78"/>
        <v>2159.04</v>
      </c>
      <c r="AP96" s="398">
        <f t="shared" si="79"/>
        <v>1308.8400000000001</v>
      </c>
      <c r="AQ96" s="398">
        <f t="shared" si="80"/>
        <v>1677.524210526316</v>
      </c>
      <c r="AR96" s="293"/>
      <c r="AS96" s="293">
        <v>0</v>
      </c>
      <c r="AT96" s="576">
        <f t="shared" si="81"/>
        <v>0</v>
      </c>
      <c r="AU96" s="293"/>
      <c r="AV96" s="293">
        <v>0</v>
      </c>
      <c r="AW96" s="293">
        <v>0</v>
      </c>
      <c r="AX96" s="293">
        <v>26488.799999999999</v>
      </c>
      <c r="AY96" s="293">
        <v>2730</v>
      </c>
      <c r="AZ96" s="293">
        <v>0</v>
      </c>
      <c r="BA96" s="293">
        <v>0</v>
      </c>
      <c r="BB96" s="293">
        <v>1517.1</v>
      </c>
      <c r="BC96" s="293">
        <f t="shared" si="82"/>
        <v>30735.899999999998</v>
      </c>
      <c r="BE96" s="58">
        <f t="shared" si="83"/>
        <v>0</v>
      </c>
      <c r="BF96" s="58">
        <f t="shared" si="84"/>
        <v>0</v>
      </c>
      <c r="BG96" s="58">
        <f t="shared" si="85"/>
        <v>-22074.000000000004</v>
      </c>
      <c r="BH96" s="58">
        <f t="shared" si="86"/>
        <v>-1755</v>
      </c>
      <c r="BI96" s="58">
        <f t="shared" si="87"/>
        <v>-1715.3157894736842</v>
      </c>
      <c r="BJ96" s="58">
        <f t="shared" si="88"/>
        <v>0</v>
      </c>
      <c r="BK96" s="58">
        <f t="shared" si="89"/>
        <v>-1181.6999999999998</v>
      </c>
      <c r="BL96" s="58">
        <f t="shared" si="90"/>
        <v>-26726.015789473688</v>
      </c>
      <c r="BM96" s="33">
        <f t="shared" si="91"/>
        <v>0</v>
      </c>
      <c r="BN96" s="33"/>
      <c r="BO96" s="293">
        <f t="shared" si="115"/>
        <v>0</v>
      </c>
      <c r="BP96" s="293">
        <f t="shared" si="116"/>
        <v>0</v>
      </c>
      <c r="BQ96" s="293">
        <f t="shared" si="117"/>
        <v>-12361.440000000006</v>
      </c>
      <c r="BR96" s="293">
        <f t="shared" si="118"/>
        <v>-858</v>
      </c>
      <c r="BS96" s="293">
        <f t="shared" si="119"/>
        <v>-1372.2526315789473</v>
      </c>
      <c r="BT96" s="293">
        <f t="shared" si="120"/>
        <v>0</v>
      </c>
      <c r="BU96" s="293">
        <f t="shared" si="121"/>
        <v>-641.94000000000005</v>
      </c>
      <c r="BV96" s="293">
        <f t="shared" si="70"/>
        <v>-15233.632631578954</v>
      </c>
      <c r="BW96" s="293">
        <f t="shared" si="71"/>
        <v>3.637978807091713E-12</v>
      </c>
      <c r="BX96" s="293">
        <v>0</v>
      </c>
      <c r="BY96" s="293">
        <v>0</v>
      </c>
      <c r="BZ96" s="293">
        <v>0</v>
      </c>
      <c r="CA96" s="293">
        <v>0</v>
      </c>
      <c r="CB96" s="293">
        <v>0</v>
      </c>
      <c r="CC96" s="293">
        <v>0</v>
      </c>
      <c r="CD96" s="293">
        <v>0</v>
      </c>
      <c r="CE96" s="293">
        <f t="shared" si="92"/>
        <v>0</v>
      </c>
      <c r="CF96" s="293"/>
      <c r="CG96" s="293">
        <v>0</v>
      </c>
      <c r="CH96" s="293">
        <v>0</v>
      </c>
      <c r="CI96" s="293">
        <v>32559.15</v>
      </c>
      <c r="CJ96" s="293">
        <v>1170</v>
      </c>
      <c r="CK96" s="293">
        <v>447.72</v>
      </c>
      <c r="CL96" s="293">
        <v>0</v>
      </c>
      <c r="CM96" s="293">
        <v>1948.05</v>
      </c>
      <c r="CN96" s="293">
        <f t="shared" si="93"/>
        <v>36124.920000000006</v>
      </c>
      <c r="CO96" s="293"/>
      <c r="CP96" s="58">
        <f t="shared" si="94"/>
        <v>0</v>
      </c>
      <c r="CQ96" s="223">
        <f t="shared" si="95"/>
        <v>0</v>
      </c>
      <c r="CR96" s="223">
        <f t="shared" si="96"/>
        <v>4966.6500000000015</v>
      </c>
      <c r="CS96" s="223">
        <f t="shared" si="97"/>
        <v>-1365</v>
      </c>
      <c r="CT96" s="223">
        <f t="shared" si="98"/>
        <v>-298.06947368421049</v>
      </c>
      <c r="CU96" s="223">
        <f t="shared" si="99"/>
        <v>0</v>
      </c>
      <c r="CV96" s="223">
        <f t="shared" si="100"/>
        <v>311.99999999999977</v>
      </c>
      <c r="CW96" s="223">
        <f t="shared" si="101"/>
        <v>3615.5805263157908</v>
      </c>
      <c r="CX96" s="223">
        <f t="shared" si="102"/>
        <v>0</v>
      </c>
      <c r="CY96" s="58">
        <f t="shared" si="103"/>
        <v>0</v>
      </c>
      <c r="CZ96" s="399">
        <f t="shared" si="104"/>
        <v>0</v>
      </c>
      <c r="DA96" s="399">
        <f t="shared" si="105"/>
        <v>10485.150000000001</v>
      </c>
      <c r="DB96" s="399">
        <f t="shared" si="106"/>
        <v>-858</v>
      </c>
      <c r="DC96" s="399">
        <f t="shared" si="107"/>
        <v>-148.91157894736841</v>
      </c>
      <c r="DD96" s="399">
        <f t="shared" si="108"/>
        <v>0</v>
      </c>
      <c r="DE96" s="399">
        <f t="shared" si="109"/>
        <v>639.20999999999981</v>
      </c>
      <c r="DF96" s="399">
        <f t="shared" si="110"/>
        <v>10117.448421052632</v>
      </c>
      <c r="DG96" s="399">
        <f t="shared" si="111"/>
        <v>0</v>
      </c>
      <c r="DI96" s="399"/>
      <c r="DJ96" s="399"/>
      <c r="DK96" s="399"/>
      <c r="DL96" s="399"/>
      <c r="DM96" s="399"/>
      <c r="DN96" s="399"/>
      <c r="DO96" s="399"/>
      <c r="DP96" s="399"/>
      <c r="DQ96" s="399"/>
      <c r="DS96" s="399"/>
      <c r="DT96" s="399"/>
      <c r="DU96" s="399"/>
      <c r="DV96" s="399"/>
      <c r="DW96" s="399"/>
      <c r="DX96" s="399"/>
      <c r="DY96" s="399"/>
      <c r="DZ96" s="399"/>
      <c r="EB96" s="228">
        <f t="shared" si="112"/>
        <v>100818.34155124656</v>
      </c>
      <c r="EC96" s="228">
        <f t="shared" si="113"/>
        <v>0</v>
      </c>
      <c r="ED96" s="214">
        <f t="shared" si="114"/>
        <v>100818.34155124656</v>
      </c>
    </row>
    <row r="97" spans="1:134" hidden="1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3" t="str">
        <f>VLOOKUP(A97,'Summary Mar 2026'!$A$8:$F$207,6,FALSE)</f>
        <v>Chq Bk</v>
      </c>
      <c r="G97" s="33"/>
      <c r="H97" s="223">
        <v>0</v>
      </c>
      <c r="I97" s="294"/>
      <c r="J97" s="223">
        <v>0</v>
      </c>
      <c r="K97" s="223">
        <v>0</v>
      </c>
      <c r="L97" s="223">
        <v>27592.5</v>
      </c>
      <c r="M97" s="223">
        <v>0</v>
      </c>
      <c r="N97" s="223">
        <v>0</v>
      </c>
      <c r="O97" s="223">
        <v>0</v>
      </c>
      <c r="P97" s="33">
        <f t="shared" si="72"/>
        <v>27592.5</v>
      </c>
      <c r="Q97" s="223">
        <f t="shared" si="73"/>
        <v>22074</v>
      </c>
      <c r="R97" s="294"/>
      <c r="S97" s="223">
        <v>0</v>
      </c>
      <c r="T97" s="223">
        <v>0</v>
      </c>
      <c r="U97" s="223">
        <v>28696.2</v>
      </c>
      <c r="V97" s="223">
        <v>3120</v>
      </c>
      <c r="W97" s="223">
        <v>1118.6842105263158</v>
      </c>
      <c r="X97" s="223">
        <v>0</v>
      </c>
      <c r="Y97" s="223">
        <f t="shared" si="74"/>
        <v>32934.884210526317</v>
      </c>
      <c r="Z97" s="223">
        <f t="shared" si="75"/>
        <v>26347.907368421056</v>
      </c>
      <c r="AA97" s="294"/>
      <c r="AB97" s="398">
        <v>0</v>
      </c>
      <c r="AC97" s="398">
        <v>0</v>
      </c>
      <c r="AD97" s="398">
        <v>24772.926315789471</v>
      </c>
      <c r="AE97" s="398">
        <v>1648.4210526315792</v>
      </c>
      <c r="AF97" s="398">
        <v>608.70914127423816</v>
      </c>
      <c r="AG97" s="398">
        <v>0</v>
      </c>
      <c r="AH97" s="223">
        <f t="shared" si="76"/>
        <v>27030.056509695289</v>
      </c>
      <c r="AI97" s="398">
        <f t="shared" si="77"/>
        <v>21624.045207756233</v>
      </c>
      <c r="AJ97" s="294"/>
      <c r="AK97" s="398">
        <v>1448.85</v>
      </c>
      <c r="AL97" s="398">
        <v>1831.05</v>
      </c>
      <c r="AM97" s="398">
        <v>1378.4210526315787</v>
      </c>
      <c r="AN97" s="294"/>
      <c r="AO97" s="398">
        <f t="shared" si="78"/>
        <v>1159.08</v>
      </c>
      <c r="AP97" s="398">
        <f t="shared" si="79"/>
        <v>1464.8400000000001</v>
      </c>
      <c r="AQ97" s="398">
        <f t="shared" si="80"/>
        <v>1102.7368421052631</v>
      </c>
      <c r="AR97" s="293"/>
      <c r="AS97" s="293">
        <v>0</v>
      </c>
      <c r="AT97" s="576">
        <f t="shared" si="81"/>
        <v>0</v>
      </c>
      <c r="AU97" s="293"/>
      <c r="AV97" s="293">
        <v>0</v>
      </c>
      <c r="AW97" s="293">
        <v>0</v>
      </c>
      <c r="AX97" s="293">
        <v>26488.799999999999</v>
      </c>
      <c r="AY97" s="293">
        <v>3510</v>
      </c>
      <c r="AZ97" s="293">
        <v>1342.421052631579</v>
      </c>
      <c r="BA97" s="293">
        <v>0</v>
      </c>
      <c r="BB97" s="293">
        <v>1696.5</v>
      </c>
      <c r="BC97" s="293">
        <f t="shared" si="82"/>
        <v>33037.721052631576</v>
      </c>
      <c r="BE97" s="58">
        <f t="shared" si="83"/>
        <v>0</v>
      </c>
      <c r="BF97" s="58">
        <f t="shared" si="84"/>
        <v>0</v>
      </c>
      <c r="BG97" s="58">
        <f t="shared" si="85"/>
        <v>-1103.7000000000007</v>
      </c>
      <c r="BH97" s="58">
        <f t="shared" si="86"/>
        <v>3510</v>
      </c>
      <c r="BI97" s="58">
        <f t="shared" si="87"/>
        <v>1342.421052631579</v>
      </c>
      <c r="BJ97" s="58">
        <f t="shared" si="88"/>
        <v>0</v>
      </c>
      <c r="BK97" s="58">
        <f t="shared" si="89"/>
        <v>247.65000000000009</v>
      </c>
      <c r="BL97" s="58">
        <f t="shared" si="90"/>
        <v>3996.3710526315786</v>
      </c>
      <c r="BM97" s="33">
        <f t="shared" si="91"/>
        <v>0</v>
      </c>
      <c r="BN97" s="33"/>
      <c r="BO97" s="293">
        <f t="shared" si="115"/>
        <v>0</v>
      </c>
      <c r="BP97" s="293">
        <f t="shared" si="116"/>
        <v>0</v>
      </c>
      <c r="BQ97" s="293">
        <f t="shared" si="117"/>
        <v>4414.7999999999993</v>
      </c>
      <c r="BR97" s="293">
        <f t="shared" si="118"/>
        <v>3510</v>
      </c>
      <c r="BS97" s="293">
        <f t="shared" si="119"/>
        <v>1342.421052631579</v>
      </c>
      <c r="BT97" s="293">
        <f t="shared" si="120"/>
        <v>0</v>
      </c>
      <c r="BU97" s="293">
        <f t="shared" si="121"/>
        <v>537.42000000000007</v>
      </c>
      <c r="BV97" s="293">
        <f t="shared" si="70"/>
        <v>9804.6410526315776</v>
      </c>
      <c r="BW97" s="293">
        <f t="shared" si="71"/>
        <v>0</v>
      </c>
      <c r="BX97" s="293">
        <v>0</v>
      </c>
      <c r="BY97" s="293">
        <v>0</v>
      </c>
      <c r="BZ97" s="293">
        <v>0</v>
      </c>
      <c r="CA97" s="293">
        <v>0</v>
      </c>
      <c r="CB97" s="293">
        <v>0</v>
      </c>
      <c r="CC97" s="293">
        <v>0</v>
      </c>
      <c r="CD97" s="293">
        <v>0</v>
      </c>
      <c r="CE97" s="293">
        <f t="shared" si="92"/>
        <v>0</v>
      </c>
      <c r="CF97" s="293"/>
      <c r="CG97" s="293">
        <v>0</v>
      </c>
      <c r="CH97" s="293">
        <v>0</v>
      </c>
      <c r="CI97" s="293">
        <v>28696.2</v>
      </c>
      <c r="CJ97" s="293">
        <v>1950</v>
      </c>
      <c r="CK97" s="293">
        <v>746.2</v>
      </c>
      <c r="CL97" s="293">
        <v>0</v>
      </c>
      <c r="CM97" s="293">
        <v>1784.25</v>
      </c>
      <c r="CN97" s="293">
        <f t="shared" si="93"/>
        <v>33176.65</v>
      </c>
      <c r="CO97" s="293"/>
      <c r="CP97" s="58">
        <f t="shared" si="94"/>
        <v>0</v>
      </c>
      <c r="CQ97" s="223">
        <f t="shared" si="95"/>
        <v>0</v>
      </c>
      <c r="CR97" s="223">
        <f t="shared" si="96"/>
        <v>0</v>
      </c>
      <c r="CS97" s="223">
        <f t="shared" si="97"/>
        <v>-1170</v>
      </c>
      <c r="CT97" s="223">
        <f t="shared" si="98"/>
        <v>-372.48421052631579</v>
      </c>
      <c r="CU97" s="223">
        <f t="shared" si="99"/>
        <v>0</v>
      </c>
      <c r="CV97" s="223">
        <f t="shared" si="100"/>
        <v>-46.799999999999955</v>
      </c>
      <c r="CW97" s="223">
        <f t="shared" si="101"/>
        <v>-1589.2842105263157</v>
      </c>
      <c r="CX97" s="223">
        <f t="shared" si="102"/>
        <v>0</v>
      </c>
      <c r="CY97" s="58">
        <f t="shared" si="103"/>
        <v>0</v>
      </c>
      <c r="CZ97" s="399">
        <f t="shared" si="104"/>
        <v>0</v>
      </c>
      <c r="DA97" s="399">
        <f t="shared" si="105"/>
        <v>5739.239999999998</v>
      </c>
      <c r="DB97" s="399">
        <f t="shared" si="106"/>
        <v>-546</v>
      </c>
      <c r="DC97" s="399">
        <f t="shared" si="107"/>
        <v>-148.74736842105267</v>
      </c>
      <c r="DD97" s="399">
        <f t="shared" si="108"/>
        <v>0</v>
      </c>
      <c r="DE97" s="399">
        <f t="shared" si="109"/>
        <v>319.40999999999985</v>
      </c>
      <c r="DF97" s="399">
        <f t="shared" si="110"/>
        <v>5363.9026315789451</v>
      </c>
      <c r="DG97" s="399">
        <f t="shared" si="111"/>
        <v>0</v>
      </c>
      <c r="DI97" s="399"/>
      <c r="DJ97" s="399"/>
      <c r="DK97" s="399"/>
      <c r="DL97" s="399"/>
      <c r="DM97" s="399"/>
      <c r="DN97" s="399"/>
      <c r="DO97" s="399"/>
      <c r="DP97" s="399"/>
      <c r="DQ97" s="399"/>
      <c r="DS97" s="399"/>
      <c r="DT97" s="399"/>
      <c r="DU97" s="399"/>
      <c r="DV97" s="399"/>
      <c r="DW97" s="399"/>
      <c r="DX97" s="399"/>
      <c r="DY97" s="399"/>
      <c r="DZ97" s="399"/>
      <c r="EB97" s="228">
        <f t="shared" si="112"/>
        <v>88941.153102493059</v>
      </c>
      <c r="EC97" s="228">
        <f t="shared" si="113"/>
        <v>0</v>
      </c>
      <c r="ED97" s="214">
        <f t="shared" si="114"/>
        <v>88941.153102493059</v>
      </c>
    </row>
    <row r="98" spans="1:134" hidden="1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3" t="str">
        <f>VLOOKUP(A98,'Summary Mar 2026'!$A$8:$F$207,6,FALSE)</f>
        <v>Chq Bk</v>
      </c>
      <c r="G98" s="33"/>
      <c r="H98" s="223">
        <v>0</v>
      </c>
      <c r="I98" s="294"/>
      <c r="J98" s="223">
        <v>0</v>
      </c>
      <c r="K98" s="223">
        <v>0</v>
      </c>
      <c r="L98" s="223">
        <v>0</v>
      </c>
      <c r="M98" s="223">
        <v>0</v>
      </c>
      <c r="N98" s="223">
        <v>0</v>
      </c>
      <c r="O98" s="223">
        <v>0</v>
      </c>
      <c r="P98" s="33">
        <f t="shared" si="72"/>
        <v>0</v>
      </c>
      <c r="Q98" s="223">
        <f t="shared" si="73"/>
        <v>0</v>
      </c>
      <c r="R98" s="294"/>
      <c r="S98" s="223">
        <v>0</v>
      </c>
      <c r="T98" s="223">
        <v>0</v>
      </c>
      <c r="U98" s="223">
        <v>0</v>
      </c>
      <c r="V98" s="223">
        <v>0</v>
      </c>
      <c r="W98" s="223">
        <v>0</v>
      </c>
      <c r="X98" s="223">
        <v>0</v>
      </c>
      <c r="Y98" s="223">
        <f t="shared" si="74"/>
        <v>0</v>
      </c>
      <c r="Z98" s="223">
        <f t="shared" si="75"/>
        <v>0</v>
      </c>
      <c r="AA98" s="294"/>
      <c r="AB98" s="398">
        <v>0</v>
      </c>
      <c r="AC98" s="398">
        <v>0</v>
      </c>
      <c r="AD98" s="398">
        <v>0</v>
      </c>
      <c r="AE98" s="398">
        <v>0</v>
      </c>
      <c r="AF98" s="398">
        <v>0</v>
      </c>
      <c r="AG98" s="398">
        <v>0</v>
      </c>
      <c r="AH98" s="223">
        <f t="shared" si="76"/>
        <v>0</v>
      </c>
      <c r="AI98" s="398">
        <f t="shared" si="77"/>
        <v>0</v>
      </c>
      <c r="AJ98" s="294"/>
      <c r="AK98" s="398">
        <v>0</v>
      </c>
      <c r="AL98" s="398">
        <v>0</v>
      </c>
      <c r="AM98" s="398">
        <v>0</v>
      </c>
      <c r="AN98" s="294"/>
      <c r="AO98" s="398">
        <f t="shared" si="78"/>
        <v>0</v>
      </c>
      <c r="AP98" s="398">
        <f t="shared" si="79"/>
        <v>0</v>
      </c>
      <c r="AQ98" s="398">
        <f t="shared" si="80"/>
        <v>0</v>
      </c>
      <c r="AR98" s="293"/>
      <c r="AS98" s="293">
        <v>0</v>
      </c>
      <c r="AT98" s="576">
        <f t="shared" si="81"/>
        <v>0</v>
      </c>
      <c r="AU98" s="293"/>
      <c r="AV98" s="293">
        <v>0</v>
      </c>
      <c r="AW98" s="293">
        <v>0</v>
      </c>
      <c r="AX98" s="293">
        <v>0</v>
      </c>
      <c r="AY98" s="293">
        <v>0</v>
      </c>
      <c r="AZ98" s="293">
        <v>0</v>
      </c>
      <c r="BA98" s="293">
        <v>0</v>
      </c>
      <c r="BB98" s="293">
        <v>0</v>
      </c>
      <c r="BC98" s="293">
        <f t="shared" si="82"/>
        <v>0</v>
      </c>
      <c r="BE98" s="58">
        <f t="shared" si="83"/>
        <v>0</v>
      </c>
      <c r="BF98" s="58">
        <f t="shared" si="84"/>
        <v>0</v>
      </c>
      <c r="BG98" s="58">
        <f t="shared" si="85"/>
        <v>0</v>
      </c>
      <c r="BH98" s="58">
        <f t="shared" si="86"/>
        <v>0</v>
      </c>
      <c r="BI98" s="58">
        <f t="shared" si="87"/>
        <v>0</v>
      </c>
      <c r="BJ98" s="58">
        <f t="shared" si="88"/>
        <v>0</v>
      </c>
      <c r="BK98" s="58">
        <f t="shared" si="89"/>
        <v>0</v>
      </c>
      <c r="BL98" s="58">
        <f t="shared" si="90"/>
        <v>0</v>
      </c>
      <c r="BM98" s="33">
        <f t="shared" si="91"/>
        <v>0</v>
      </c>
      <c r="BN98" s="33"/>
      <c r="BO98" s="293">
        <f t="shared" si="115"/>
        <v>0</v>
      </c>
      <c r="BP98" s="293">
        <f t="shared" si="116"/>
        <v>0</v>
      </c>
      <c r="BQ98" s="293">
        <f t="shared" si="117"/>
        <v>0</v>
      </c>
      <c r="BR98" s="293">
        <f t="shared" si="118"/>
        <v>0</v>
      </c>
      <c r="BS98" s="293">
        <f t="shared" si="119"/>
        <v>0</v>
      </c>
      <c r="BT98" s="293">
        <f t="shared" si="120"/>
        <v>0</v>
      </c>
      <c r="BU98" s="293">
        <f t="shared" si="121"/>
        <v>0</v>
      </c>
      <c r="BV98" s="293">
        <f t="shared" si="70"/>
        <v>0</v>
      </c>
      <c r="BW98" s="293">
        <f t="shared" si="71"/>
        <v>0</v>
      </c>
      <c r="BX98" s="293">
        <v>0</v>
      </c>
      <c r="BY98" s="293">
        <v>0</v>
      </c>
      <c r="BZ98" s="293">
        <v>0</v>
      </c>
      <c r="CA98" s="293">
        <v>0</v>
      </c>
      <c r="CB98" s="293">
        <v>0</v>
      </c>
      <c r="CC98" s="293">
        <v>0</v>
      </c>
      <c r="CD98" s="293">
        <v>0</v>
      </c>
      <c r="CE98" s="293">
        <f t="shared" si="92"/>
        <v>0</v>
      </c>
      <c r="CF98" s="293"/>
      <c r="CG98" s="293">
        <v>0</v>
      </c>
      <c r="CH98" s="293">
        <v>0</v>
      </c>
      <c r="CI98" s="293">
        <v>0</v>
      </c>
      <c r="CJ98" s="293">
        <v>0</v>
      </c>
      <c r="CK98" s="293">
        <v>0</v>
      </c>
      <c r="CL98" s="293">
        <v>0</v>
      </c>
      <c r="CM98" s="293">
        <v>0</v>
      </c>
      <c r="CN98" s="293">
        <f t="shared" si="93"/>
        <v>0</v>
      </c>
      <c r="CO98" s="293"/>
      <c r="CP98" s="58">
        <f t="shared" si="94"/>
        <v>0</v>
      </c>
      <c r="CQ98" s="223">
        <f t="shared" si="95"/>
        <v>0</v>
      </c>
      <c r="CR98" s="223">
        <f t="shared" si="96"/>
        <v>0</v>
      </c>
      <c r="CS98" s="223">
        <f t="shared" si="97"/>
        <v>0</v>
      </c>
      <c r="CT98" s="223">
        <f t="shared" si="98"/>
        <v>0</v>
      </c>
      <c r="CU98" s="223">
        <f t="shared" si="99"/>
        <v>0</v>
      </c>
      <c r="CV98" s="223">
        <f t="shared" si="100"/>
        <v>0</v>
      </c>
      <c r="CW98" s="223">
        <f t="shared" si="101"/>
        <v>0</v>
      </c>
      <c r="CX98" s="223">
        <f t="shared" si="102"/>
        <v>0</v>
      </c>
      <c r="CY98" s="58">
        <f t="shared" si="103"/>
        <v>0</v>
      </c>
      <c r="CZ98" s="399">
        <f t="shared" si="104"/>
        <v>0</v>
      </c>
      <c r="DA98" s="399">
        <f t="shared" si="105"/>
        <v>0</v>
      </c>
      <c r="DB98" s="399">
        <f t="shared" si="106"/>
        <v>0</v>
      </c>
      <c r="DC98" s="399">
        <f t="shared" si="107"/>
        <v>0</v>
      </c>
      <c r="DD98" s="399">
        <f t="shared" si="108"/>
        <v>0</v>
      </c>
      <c r="DE98" s="399">
        <f t="shared" si="109"/>
        <v>0</v>
      </c>
      <c r="DF98" s="399">
        <f t="shared" si="110"/>
        <v>0</v>
      </c>
      <c r="DG98" s="399">
        <f t="shared" si="111"/>
        <v>0</v>
      </c>
      <c r="DI98" s="399"/>
      <c r="DJ98" s="399"/>
      <c r="DK98" s="399"/>
      <c r="DL98" s="399"/>
      <c r="DM98" s="399"/>
      <c r="DN98" s="399"/>
      <c r="DO98" s="399"/>
      <c r="DP98" s="399"/>
      <c r="DQ98" s="399"/>
      <c r="DS98" s="399"/>
      <c r="DT98" s="399"/>
      <c r="DU98" s="399"/>
      <c r="DV98" s="399"/>
      <c r="DW98" s="399"/>
      <c r="DX98" s="399"/>
      <c r="DY98" s="399"/>
      <c r="DZ98" s="399"/>
      <c r="EB98" s="228">
        <f t="shared" si="112"/>
        <v>0</v>
      </c>
      <c r="EC98" s="228">
        <f t="shared" si="113"/>
        <v>0</v>
      </c>
      <c r="ED98" s="214">
        <f t="shared" si="114"/>
        <v>0</v>
      </c>
    </row>
    <row r="99" spans="1:134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3" t="str">
        <f>VLOOKUP(A99,'Summary Mar 2026'!$A$8:$F$207,6,FALSE)</f>
        <v>Chq Bk</v>
      </c>
      <c r="G99" s="33"/>
      <c r="H99" s="223">
        <v>270624.97357297892</v>
      </c>
      <c r="I99" s="294"/>
      <c r="J99" s="223">
        <v>0</v>
      </c>
      <c r="K99" s="223">
        <v>43145.7</v>
      </c>
      <c r="L99" s="223">
        <v>146792.1</v>
      </c>
      <c r="M99" s="223">
        <v>16965</v>
      </c>
      <c r="N99" s="223">
        <v>1864.4736842105265</v>
      </c>
      <c r="O99" s="223">
        <v>1925.3684210526317</v>
      </c>
      <c r="P99" s="33">
        <f t="shared" si="72"/>
        <v>210692.64210526316</v>
      </c>
      <c r="Q99" s="223">
        <f t="shared" si="73"/>
        <v>168554.11368421055</v>
      </c>
      <c r="R99" s="294"/>
      <c r="S99" s="223">
        <v>0</v>
      </c>
      <c r="T99" s="223">
        <v>64718.549999999996</v>
      </c>
      <c r="U99" s="223">
        <v>82777.500000000015</v>
      </c>
      <c r="V99" s="223">
        <v>12870</v>
      </c>
      <c r="W99" s="223">
        <v>1342.421052631579</v>
      </c>
      <c r="X99" s="223">
        <v>1283.578947368421</v>
      </c>
      <c r="Y99" s="223">
        <f t="shared" si="74"/>
        <v>162992.05000000002</v>
      </c>
      <c r="Z99" s="223">
        <f t="shared" si="75"/>
        <v>130393.64000000001</v>
      </c>
      <c r="AA99" s="294"/>
      <c r="AB99" s="398">
        <v>0</v>
      </c>
      <c r="AC99" s="398">
        <v>42567.915789473685</v>
      </c>
      <c r="AD99" s="398">
        <v>106169.68421052632</v>
      </c>
      <c r="AE99" s="398">
        <v>11709.473684210527</v>
      </c>
      <c r="AF99" s="398">
        <v>1434.814404432133</v>
      </c>
      <c r="AG99" s="398">
        <v>1590.1828254847644</v>
      </c>
      <c r="AH99" s="223">
        <f t="shared" si="76"/>
        <v>163472.07091412746</v>
      </c>
      <c r="AI99" s="398">
        <f t="shared" si="77"/>
        <v>130777.65673130198</v>
      </c>
      <c r="AJ99" s="294"/>
      <c r="AK99" s="398">
        <v>9500.4</v>
      </c>
      <c r="AL99" s="398">
        <v>6910.8</v>
      </c>
      <c r="AM99" s="398">
        <v>6568.6736842105256</v>
      </c>
      <c r="AN99" s="294"/>
      <c r="AO99" s="398">
        <f t="shared" si="78"/>
        <v>7600.32</v>
      </c>
      <c r="AP99" s="398">
        <f t="shared" si="79"/>
        <v>5528.64</v>
      </c>
      <c r="AQ99" s="398">
        <f t="shared" si="80"/>
        <v>5254.9389473684205</v>
      </c>
      <c r="AR99" s="293"/>
      <c r="AS99" s="293">
        <v>270250.59557444666</v>
      </c>
      <c r="AT99" s="576">
        <f t="shared" si="81"/>
        <v>-374.3779985322617</v>
      </c>
      <c r="AU99" s="293"/>
      <c r="AV99" s="293">
        <v>0</v>
      </c>
      <c r="AW99" s="293">
        <v>43145.7</v>
      </c>
      <c r="AX99" s="293">
        <v>133547.70000000001</v>
      </c>
      <c r="AY99" s="293">
        <v>17940</v>
      </c>
      <c r="AZ99" s="293">
        <v>2013.6315789473686</v>
      </c>
      <c r="BA99" s="293">
        <v>2567.12</v>
      </c>
      <c r="BB99" s="293">
        <v>8726.25</v>
      </c>
      <c r="BC99" s="293">
        <f t="shared" si="82"/>
        <v>478190.99715339404</v>
      </c>
      <c r="BE99" s="58">
        <f t="shared" si="83"/>
        <v>0</v>
      </c>
      <c r="BF99" s="58">
        <f t="shared" si="84"/>
        <v>0</v>
      </c>
      <c r="BG99" s="58">
        <f t="shared" si="85"/>
        <v>-13244.399999999994</v>
      </c>
      <c r="BH99" s="58">
        <f t="shared" si="86"/>
        <v>975</v>
      </c>
      <c r="BI99" s="58">
        <f t="shared" si="87"/>
        <v>149.15789473684208</v>
      </c>
      <c r="BJ99" s="58">
        <f t="shared" si="88"/>
        <v>641.75157894736822</v>
      </c>
      <c r="BK99" s="58">
        <f t="shared" si="89"/>
        <v>-774.14999999999964</v>
      </c>
      <c r="BL99" s="58">
        <f t="shared" si="90"/>
        <v>-12627.018524848047</v>
      </c>
      <c r="BM99" s="33">
        <f t="shared" si="91"/>
        <v>0</v>
      </c>
      <c r="BN99" s="33"/>
      <c r="BO99" s="293">
        <f t="shared" si="115"/>
        <v>0</v>
      </c>
      <c r="BP99" s="293">
        <f t="shared" si="116"/>
        <v>8629.14</v>
      </c>
      <c r="BQ99" s="293">
        <f t="shared" si="117"/>
        <v>16114.020000000004</v>
      </c>
      <c r="BR99" s="293">
        <f t="shared" si="118"/>
        <v>4368</v>
      </c>
      <c r="BS99" s="293">
        <f t="shared" si="119"/>
        <v>522.05263157894728</v>
      </c>
      <c r="BT99" s="293">
        <f t="shared" si="120"/>
        <v>1026.8252631578944</v>
      </c>
      <c r="BU99" s="293">
        <f t="shared" si="121"/>
        <v>1125.9300000000003</v>
      </c>
      <c r="BV99" s="293">
        <f t="shared" si="70"/>
        <v>31411.589896204583</v>
      </c>
      <c r="BW99" s="293">
        <f t="shared" si="71"/>
        <v>5.8207660913467407E-11</v>
      </c>
      <c r="BX99" s="293">
        <v>0</v>
      </c>
      <c r="BY99" s="293">
        <v>14935.049999999996</v>
      </c>
      <c r="BZ99" s="293">
        <v>0</v>
      </c>
      <c r="CA99" s="293">
        <v>0</v>
      </c>
      <c r="CB99" s="293">
        <v>559.34210526315769</v>
      </c>
      <c r="CC99" s="293">
        <v>4936.88</v>
      </c>
      <c r="CD99" s="293">
        <v>594.75</v>
      </c>
      <c r="CE99" s="293">
        <f t="shared" si="92"/>
        <v>21026.022105263153</v>
      </c>
      <c r="CF99" s="293"/>
      <c r="CG99" s="293">
        <v>0</v>
      </c>
      <c r="CH99" s="293">
        <v>69696.899999999994</v>
      </c>
      <c r="CI99" s="293">
        <v>85069.8</v>
      </c>
      <c r="CJ99" s="293">
        <v>13650</v>
      </c>
      <c r="CK99" s="293">
        <v>2349.88</v>
      </c>
      <c r="CL99" s="293">
        <v>1876</v>
      </c>
      <c r="CM99" s="293">
        <v>6694.3499999999995</v>
      </c>
      <c r="CN99" s="293">
        <f t="shared" si="93"/>
        <v>179336.93000000002</v>
      </c>
      <c r="CO99" s="293"/>
      <c r="CP99" s="58">
        <f t="shared" si="94"/>
        <v>0</v>
      </c>
      <c r="CQ99" s="223">
        <f t="shared" si="95"/>
        <v>4978.3499999999985</v>
      </c>
      <c r="CR99" s="223">
        <f t="shared" si="96"/>
        <v>2292.2999999999884</v>
      </c>
      <c r="CS99" s="223">
        <f t="shared" si="97"/>
        <v>780</v>
      </c>
      <c r="CT99" s="223">
        <f t="shared" si="98"/>
        <v>1007.4589473684211</v>
      </c>
      <c r="CU99" s="223">
        <f t="shared" si="99"/>
        <v>592.42105263157896</v>
      </c>
      <c r="CV99" s="223">
        <f t="shared" si="100"/>
        <v>-216.45000000000073</v>
      </c>
      <c r="CW99" s="223">
        <f t="shared" si="101"/>
        <v>9434.0799999999854</v>
      </c>
      <c r="CX99" s="223">
        <f t="shared" si="102"/>
        <v>0</v>
      </c>
      <c r="CY99" s="58">
        <f t="shared" si="103"/>
        <v>0</v>
      </c>
      <c r="CZ99" s="399">
        <f t="shared" si="104"/>
        <v>17922.059999999998</v>
      </c>
      <c r="DA99" s="399">
        <f t="shared" si="105"/>
        <v>18847.799999999988</v>
      </c>
      <c r="DB99" s="399">
        <f t="shared" si="106"/>
        <v>3354</v>
      </c>
      <c r="DC99" s="399">
        <f t="shared" si="107"/>
        <v>1275.9431578947369</v>
      </c>
      <c r="DD99" s="399">
        <f t="shared" si="108"/>
        <v>849.13684210526321</v>
      </c>
      <c r="DE99" s="399">
        <f t="shared" si="109"/>
        <v>1165.7099999999991</v>
      </c>
      <c r="DF99" s="399">
        <f t="shared" si="110"/>
        <v>43414.649999999987</v>
      </c>
      <c r="DG99" s="399">
        <f t="shared" si="111"/>
        <v>0</v>
      </c>
      <c r="DI99" s="399"/>
      <c r="DJ99" s="399"/>
      <c r="DK99" s="399"/>
      <c r="DL99" s="399"/>
      <c r="DM99" s="399"/>
      <c r="DN99" s="399"/>
      <c r="DO99" s="399"/>
      <c r="DP99" s="399"/>
      <c r="DQ99" s="399"/>
      <c r="DS99" s="399"/>
      <c r="DT99" s="399"/>
      <c r="DU99" s="399"/>
      <c r="DV99" s="399"/>
      <c r="DW99" s="399"/>
      <c r="DX99" s="399"/>
      <c r="DY99" s="399"/>
      <c r="DZ99" s="399"/>
      <c r="EB99" s="228">
        <f t="shared" si="112"/>
        <v>803934.39867693977</v>
      </c>
      <c r="EC99" s="228">
        <f t="shared" si="113"/>
        <v>10652.146260387812</v>
      </c>
      <c r="ED99" s="214">
        <f t="shared" si="114"/>
        <v>814586.54493732762</v>
      </c>
    </row>
    <row r="100" spans="1:134" hidden="1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3" t="str">
        <f>VLOOKUP(A100,'Summary Mar 2026'!$A$8:$F$207,6,FALSE)</f>
        <v>Academy</v>
      </c>
      <c r="G100" s="33"/>
      <c r="H100" s="223">
        <v>0</v>
      </c>
      <c r="I100" s="294"/>
      <c r="J100" s="223">
        <v>0</v>
      </c>
      <c r="K100" s="223">
        <v>0</v>
      </c>
      <c r="L100" s="223">
        <v>0</v>
      </c>
      <c r="M100" s="223">
        <v>0</v>
      </c>
      <c r="N100" s="223">
        <v>0</v>
      </c>
      <c r="O100" s="223">
        <v>0</v>
      </c>
      <c r="P100" s="33">
        <f t="shared" si="72"/>
        <v>0</v>
      </c>
      <c r="Q100" s="223">
        <f t="shared" si="73"/>
        <v>0</v>
      </c>
      <c r="R100" s="294"/>
      <c r="S100" s="223">
        <v>0</v>
      </c>
      <c r="T100" s="223">
        <v>0</v>
      </c>
      <c r="U100" s="223">
        <v>0</v>
      </c>
      <c r="V100" s="223">
        <v>0</v>
      </c>
      <c r="W100" s="223">
        <v>0</v>
      </c>
      <c r="X100" s="223">
        <v>0</v>
      </c>
      <c r="Y100" s="223">
        <f t="shared" si="74"/>
        <v>0</v>
      </c>
      <c r="Z100" s="223">
        <f t="shared" si="75"/>
        <v>0</v>
      </c>
      <c r="AA100" s="294"/>
      <c r="AB100" s="398">
        <v>0</v>
      </c>
      <c r="AC100" s="398">
        <v>0</v>
      </c>
      <c r="AD100" s="398">
        <v>0</v>
      </c>
      <c r="AE100" s="398">
        <v>0</v>
      </c>
      <c r="AF100" s="398">
        <v>0</v>
      </c>
      <c r="AG100" s="398">
        <v>0</v>
      </c>
      <c r="AH100" s="223">
        <f t="shared" si="76"/>
        <v>0</v>
      </c>
      <c r="AI100" s="398">
        <f t="shared" si="77"/>
        <v>0</v>
      </c>
      <c r="AJ100" s="294"/>
      <c r="AK100" s="398">
        <v>0</v>
      </c>
      <c r="AL100" s="398">
        <v>0</v>
      </c>
      <c r="AM100" s="398">
        <v>0</v>
      </c>
      <c r="AN100" s="294"/>
      <c r="AO100" s="398">
        <f t="shared" si="78"/>
        <v>0</v>
      </c>
      <c r="AP100" s="398">
        <f t="shared" si="79"/>
        <v>0</v>
      </c>
      <c r="AQ100" s="398">
        <f t="shared" si="80"/>
        <v>0</v>
      </c>
      <c r="AR100" s="293"/>
      <c r="AS100" s="293">
        <v>0</v>
      </c>
      <c r="AT100" s="576">
        <f t="shared" si="81"/>
        <v>0</v>
      </c>
      <c r="AU100" s="293"/>
      <c r="AV100" s="293">
        <v>0</v>
      </c>
      <c r="AW100" s="293">
        <v>0</v>
      </c>
      <c r="AX100" s="293">
        <v>0</v>
      </c>
      <c r="AY100" s="293">
        <v>0</v>
      </c>
      <c r="AZ100" s="293">
        <v>0</v>
      </c>
      <c r="BA100" s="293">
        <v>0</v>
      </c>
      <c r="BB100" s="293">
        <v>0</v>
      </c>
      <c r="BC100" s="293">
        <f t="shared" si="82"/>
        <v>0</v>
      </c>
      <c r="BE100" s="58">
        <f t="shared" si="83"/>
        <v>0</v>
      </c>
      <c r="BF100" s="58">
        <f t="shared" si="84"/>
        <v>0</v>
      </c>
      <c r="BG100" s="58">
        <f t="shared" si="85"/>
        <v>0</v>
      </c>
      <c r="BH100" s="58">
        <f t="shared" si="86"/>
        <v>0</v>
      </c>
      <c r="BI100" s="58">
        <f t="shared" si="87"/>
        <v>0</v>
      </c>
      <c r="BJ100" s="58">
        <f t="shared" si="88"/>
        <v>0</v>
      </c>
      <c r="BK100" s="58">
        <f t="shared" si="89"/>
        <v>0</v>
      </c>
      <c r="BL100" s="58">
        <f t="shared" si="90"/>
        <v>0</v>
      </c>
      <c r="BM100" s="33">
        <f t="shared" si="91"/>
        <v>0</v>
      </c>
      <c r="BN100" s="33"/>
      <c r="BO100" s="293">
        <f t="shared" si="115"/>
        <v>0</v>
      </c>
      <c r="BP100" s="293">
        <f t="shared" si="116"/>
        <v>0</v>
      </c>
      <c r="BQ100" s="293">
        <f t="shared" si="117"/>
        <v>0</v>
      </c>
      <c r="BR100" s="293">
        <f t="shared" si="118"/>
        <v>0</v>
      </c>
      <c r="BS100" s="293">
        <f t="shared" si="119"/>
        <v>0</v>
      </c>
      <c r="BT100" s="293">
        <f t="shared" si="120"/>
        <v>0</v>
      </c>
      <c r="BU100" s="293">
        <f t="shared" si="121"/>
        <v>0</v>
      </c>
      <c r="BV100" s="293">
        <f t="shared" si="70"/>
        <v>0</v>
      </c>
      <c r="BW100" s="293">
        <f t="shared" si="71"/>
        <v>0</v>
      </c>
      <c r="BX100" s="293"/>
      <c r="BY100" s="293"/>
      <c r="BZ100" s="293"/>
      <c r="CA100" s="293"/>
      <c r="CB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  <c r="CN100" s="293"/>
      <c r="CO100" s="293"/>
      <c r="CP100" s="58"/>
      <c r="CQ100" s="223"/>
      <c r="CR100" s="223"/>
      <c r="CS100" s="223"/>
      <c r="CT100" s="223"/>
      <c r="CU100" s="223"/>
      <c r="CV100" s="223"/>
      <c r="CW100" s="223"/>
      <c r="CX100" s="223">
        <f t="shared" si="102"/>
        <v>0</v>
      </c>
      <c r="CY100" s="58">
        <f t="shared" si="103"/>
        <v>0</v>
      </c>
      <c r="CZ100" s="399">
        <f t="shared" si="104"/>
        <v>0</v>
      </c>
      <c r="DA100" s="399">
        <f t="shared" si="105"/>
        <v>0</v>
      </c>
      <c r="DB100" s="399">
        <f t="shared" si="106"/>
        <v>0</v>
      </c>
      <c r="DC100" s="399">
        <f t="shared" si="107"/>
        <v>0</v>
      </c>
      <c r="DD100" s="399">
        <f t="shared" si="108"/>
        <v>0</v>
      </c>
      <c r="DE100" s="399">
        <f t="shared" si="109"/>
        <v>0</v>
      </c>
      <c r="DF100" s="399">
        <f t="shared" si="110"/>
        <v>0</v>
      </c>
      <c r="DG100" s="399">
        <f t="shared" si="111"/>
        <v>0</v>
      </c>
      <c r="DI100" s="399"/>
      <c r="DJ100" s="399"/>
      <c r="DK100" s="399"/>
      <c r="DL100" s="399"/>
      <c r="DM100" s="399"/>
      <c r="DN100" s="399"/>
      <c r="DO100" s="399"/>
      <c r="DP100" s="399"/>
      <c r="DQ100" s="399"/>
      <c r="DS100" s="399"/>
      <c r="DT100" s="399"/>
      <c r="DU100" s="399"/>
      <c r="DV100" s="399"/>
      <c r="DW100" s="399"/>
      <c r="DX100" s="399"/>
      <c r="DY100" s="399"/>
      <c r="DZ100" s="399"/>
      <c r="EB100" s="228">
        <f t="shared" si="112"/>
        <v>0</v>
      </c>
      <c r="EC100" s="228">
        <f t="shared" si="113"/>
        <v>0</v>
      </c>
      <c r="ED100" s="214">
        <f t="shared" si="114"/>
        <v>0</v>
      </c>
    </row>
    <row r="101" spans="1:134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3" t="str">
        <f>VLOOKUP(A101,'Summary Mar 2026'!$A$8:$F$207,6,FALSE)</f>
        <v>Chq Bk</v>
      </c>
      <c r="G101" s="33"/>
      <c r="H101" s="223">
        <v>0</v>
      </c>
      <c r="I101" s="294"/>
      <c r="J101" s="223">
        <v>0</v>
      </c>
      <c r="K101" s="223">
        <v>0</v>
      </c>
      <c r="L101" s="223">
        <v>30903.600000000002</v>
      </c>
      <c r="M101" s="223">
        <v>1560</v>
      </c>
      <c r="N101" s="223">
        <v>522.0526315789474</v>
      </c>
      <c r="O101" s="223">
        <v>0</v>
      </c>
      <c r="P101" s="33">
        <f t="shared" si="72"/>
        <v>32985.652631578952</v>
      </c>
      <c r="Q101" s="223">
        <f t="shared" si="73"/>
        <v>26388.522105263164</v>
      </c>
      <c r="R101" s="294"/>
      <c r="S101" s="223">
        <v>0</v>
      </c>
      <c r="T101" s="223">
        <v>0</v>
      </c>
      <c r="U101" s="223">
        <v>23177.7</v>
      </c>
      <c r="V101" s="223">
        <v>2145</v>
      </c>
      <c r="W101" s="223">
        <v>820.36842105263156</v>
      </c>
      <c r="X101" s="223">
        <v>0</v>
      </c>
      <c r="Y101" s="223">
        <f t="shared" si="74"/>
        <v>26143.068421052631</v>
      </c>
      <c r="Z101" s="223">
        <f t="shared" si="75"/>
        <v>20914.454736842104</v>
      </c>
      <c r="AA101" s="294"/>
      <c r="AB101" s="398">
        <v>0</v>
      </c>
      <c r="AC101" s="398">
        <v>0</v>
      </c>
      <c r="AD101" s="398">
        <v>24343.957894736846</v>
      </c>
      <c r="AE101" s="398">
        <v>1477.8947368421054</v>
      </c>
      <c r="AF101" s="398">
        <v>521.7506925207756</v>
      </c>
      <c r="AG101" s="398">
        <v>0</v>
      </c>
      <c r="AH101" s="223">
        <f t="shared" si="76"/>
        <v>26343.603324099728</v>
      </c>
      <c r="AI101" s="398">
        <f t="shared" si="77"/>
        <v>21074.882659279785</v>
      </c>
      <c r="AJ101" s="294"/>
      <c r="AK101" s="398">
        <v>1041.3</v>
      </c>
      <c r="AL101" s="398">
        <v>1047.1500000000001</v>
      </c>
      <c r="AM101" s="398">
        <v>879.34736842105269</v>
      </c>
      <c r="AN101" s="294"/>
      <c r="AO101" s="398">
        <f t="shared" si="78"/>
        <v>833.04</v>
      </c>
      <c r="AP101" s="398">
        <f t="shared" si="79"/>
        <v>837.72000000000014</v>
      </c>
      <c r="AQ101" s="398">
        <f t="shared" si="80"/>
        <v>703.47789473684225</v>
      </c>
      <c r="AR101" s="293"/>
      <c r="AS101" s="293">
        <v>0</v>
      </c>
      <c r="AT101" s="576">
        <f t="shared" si="81"/>
        <v>0</v>
      </c>
      <c r="AU101" s="293"/>
      <c r="AV101" s="293">
        <v>0</v>
      </c>
      <c r="AW101" s="293">
        <v>0</v>
      </c>
      <c r="AX101" s="293">
        <v>27960.399999999998</v>
      </c>
      <c r="AY101" s="293">
        <v>2535</v>
      </c>
      <c r="AZ101" s="293">
        <v>894.94736842105272</v>
      </c>
      <c r="BA101" s="293">
        <v>0</v>
      </c>
      <c r="BB101" s="293">
        <v>1056.8999999999999</v>
      </c>
      <c r="BC101" s="293">
        <f t="shared" si="82"/>
        <v>32447.247368421053</v>
      </c>
      <c r="BE101" s="58">
        <f t="shared" si="83"/>
        <v>0</v>
      </c>
      <c r="BF101" s="58">
        <f t="shared" si="84"/>
        <v>0</v>
      </c>
      <c r="BG101" s="58">
        <f t="shared" si="85"/>
        <v>-2943.2000000000044</v>
      </c>
      <c r="BH101" s="58">
        <f t="shared" si="86"/>
        <v>975</v>
      </c>
      <c r="BI101" s="58">
        <f t="shared" si="87"/>
        <v>372.89473684210532</v>
      </c>
      <c r="BJ101" s="58">
        <f t="shared" si="88"/>
        <v>0</v>
      </c>
      <c r="BK101" s="58">
        <f t="shared" si="89"/>
        <v>15.599999999999909</v>
      </c>
      <c r="BL101" s="58">
        <f t="shared" si="90"/>
        <v>-1579.705263157899</v>
      </c>
      <c r="BM101" s="33">
        <f t="shared" si="91"/>
        <v>0</v>
      </c>
      <c r="BN101" s="33"/>
      <c r="BO101" s="293">
        <f t="shared" si="115"/>
        <v>0</v>
      </c>
      <c r="BP101" s="293">
        <f t="shared" si="116"/>
        <v>0</v>
      </c>
      <c r="BQ101" s="293">
        <f t="shared" si="117"/>
        <v>3237.5199999999932</v>
      </c>
      <c r="BR101" s="293">
        <f t="shared" si="118"/>
        <v>1287</v>
      </c>
      <c r="BS101" s="293">
        <f t="shared" si="119"/>
        <v>477.30526315789479</v>
      </c>
      <c r="BT101" s="293">
        <f t="shared" si="120"/>
        <v>0</v>
      </c>
      <c r="BU101" s="293">
        <f t="shared" si="121"/>
        <v>223.8599999999999</v>
      </c>
      <c r="BV101" s="293">
        <f t="shared" si="70"/>
        <v>5225.6852631578877</v>
      </c>
      <c r="BW101" s="293">
        <f t="shared" si="71"/>
        <v>0</v>
      </c>
      <c r="BX101" s="293">
        <v>0</v>
      </c>
      <c r="BY101" s="293">
        <v>0</v>
      </c>
      <c r="BZ101" s="293">
        <v>0</v>
      </c>
      <c r="CA101" s="293">
        <v>0</v>
      </c>
      <c r="CB101" s="293">
        <v>0</v>
      </c>
      <c r="CC101" s="293">
        <v>0</v>
      </c>
      <c r="CD101" s="293">
        <v>117.00000000000023</v>
      </c>
      <c r="CE101" s="293">
        <f t="shared" si="92"/>
        <v>117.00000000000023</v>
      </c>
      <c r="CF101" s="293"/>
      <c r="CG101" s="293">
        <v>0</v>
      </c>
      <c r="CH101" s="293">
        <v>0</v>
      </c>
      <c r="CI101" s="293">
        <v>34582.6</v>
      </c>
      <c r="CJ101" s="293">
        <v>1950</v>
      </c>
      <c r="CK101" s="293">
        <v>858</v>
      </c>
      <c r="CL101" s="293">
        <v>0</v>
      </c>
      <c r="CM101" s="293">
        <v>1815.45</v>
      </c>
      <c r="CN101" s="293">
        <f t="shared" si="93"/>
        <v>39206.049999999996</v>
      </c>
      <c r="CO101" s="293"/>
      <c r="CP101" s="58">
        <f t="shared" si="94"/>
        <v>0</v>
      </c>
      <c r="CQ101" s="223">
        <f t="shared" si="95"/>
        <v>0</v>
      </c>
      <c r="CR101" s="223">
        <f t="shared" si="96"/>
        <v>11404.899999999998</v>
      </c>
      <c r="CS101" s="223">
        <f t="shared" si="97"/>
        <v>-195</v>
      </c>
      <c r="CT101" s="223">
        <f t="shared" si="98"/>
        <v>37.631578947368439</v>
      </c>
      <c r="CU101" s="223">
        <f t="shared" si="99"/>
        <v>0</v>
      </c>
      <c r="CV101" s="223">
        <f t="shared" si="100"/>
        <v>768.3</v>
      </c>
      <c r="CW101" s="223">
        <f t="shared" si="101"/>
        <v>12015.831578947365</v>
      </c>
      <c r="CX101" s="223">
        <f t="shared" si="102"/>
        <v>0</v>
      </c>
      <c r="CY101" s="58">
        <f t="shared" si="103"/>
        <v>0</v>
      </c>
      <c r="CZ101" s="399">
        <f t="shared" si="104"/>
        <v>0</v>
      </c>
      <c r="DA101" s="399">
        <f t="shared" si="105"/>
        <v>16040.439999999999</v>
      </c>
      <c r="DB101" s="399">
        <f t="shared" si="106"/>
        <v>234</v>
      </c>
      <c r="DC101" s="399">
        <f t="shared" si="107"/>
        <v>201.70526315789471</v>
      </c>
      <c r="DD101" s="399">
        <f t="shared" si="108"/>
        <v>0</v>
      </c>
      <c r="DE101" s="399">
        <f t="shared" si="109"/>
        <v>977.7299999999999</v>
      </c>
      <c r="DF101" s="399">
        <f t="shared" si="110"/>
        <v>17453.875263157894</v>
      </c>
      <c r="DG101" s="399">
        <f t="shared" si="111"/>
        <v>0</v>
      </c>
      <c r="DI101" s="399"/>
      <c r="DJ101" s="399"/>
      <c r="DK101" s="399"/>
      <c r="DL101" s="399"/>
      <c r="DM101" s="399"/>
      <c r="DN101" s="399"/>
      <c r="DO101" s="399"/>
      <c r="DP101" s="399"/>
      <c r="DQ101" s="399"/>
      <c r="DS101" s="399"/>
      <c r="DT101" s="399"/>
      <c r="DU101" s="399"/>
      <c r="DV101" s="399"/>
      <c r="DW101" s="399"/>
      <c r="DX101" s="399"/>
      <c r="DY101" s="399"/>
      <c r="DZ101" s="399"/>
      <c r="EB101" s="228">
        <f t="shared" si="112"/>
        <v>93548.657922437676</v>
      </c>
      <c r="EC101" s="228">
        <f t="shared" si="113"/>
        <v>0</v>
      </c>
      <c r="ED101" s="214">
        <f t="shared" si="114"/>
        <v>93548.657922437676</v>
      </c>
    </row>
    <row r="102" spans="1:134" hidden="1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3" t="str">
        <f>VLOOKUP(A102,'Summary Mar 2026'!$A$8:$F$207,6,FALSE)</f>
        <v>Chq Bk</v>
      </c>
      <c r="G102" s="33"/>
      <c r="H102" s="223">
        <v>0</v>
      </c>
      <c r="I102" s="294"/>
      <c r="J102" s="223">
        <v>0</v>
      </c>
      <c r="K102" s="223">
        <v>0</v>
      </c>
      <c r="L102" s="223">
        <v>24281.4</v>
      </c>
      <c r="M102" s="223">
        <v>1950</v>
      </c>
      <c r="N102" s="223">
        <v>0</v>
      </c>
      <c r="O102" s="223">
        <v>0</v>
      </c>
      <c r="P102" s="33">
        <f t="shared" si="72"/>
        <v>26231.4</v>
      </c>
      <c r="Q102" s="223">
        <f t="shared" si="73"/>
        <v>20985.120000000003</v>
      </c>
      <c r="R102" s="294"/>
      <c r="S102" s="223">
        <v>0</v>
      </c>
      <c r="T102" s="223">
        <v>0</v>
      </c>
      <c r="U102" s="223">
        <v>13244.4</v>
      </c>
      <c r="V102" s="223">
        <v>585</v>
      </c>
      <c r="W102" s="223">
        <v>223.73684210526318</v>
      </c>
      <c r="X102" s="223">
        <v>0</v>
      </c>
      <c r="Y102" s="223">
        <f t="shared" si="74"/>
        <v>14053.136842105263</v>
      </c>
      <c r="Z102" s="223">
        <f t="shared" si="75"/>
        <v>11242.509473684211</v>
      </c>
      <c r="AA102" s="294"/>
      <c r="AB102" s="398">
        <v>0</v>
      </c>
      <c r="AC102" s="398">
        <v>0</v>
      </c>
      <c r="AD102" s="398">
        <v>18016.673684210527</v>
      </c>
      <c r="AE102" s="398">
        <v>1250.5263157894738</v>
      </c>
      <c r="AF102" s="398">
        <v>65.21883656509695</v>
      </c>
      <c r="AG102" s="398">
        <v>0</v>
      </c>
      <c r="AH102" s="223">
        <f t="shared" si="76"/>
        <v>19332.418836565099</v>
      </c>
      <c r="AI102" s="398">
        <f t="shared" si="77"/>
        <v>15465.93506925208</v>
      </c>
      <c r="AJ102" s="294"/>
      <c r="AK102" s="398">
        <v>1058.8499999999999</v>
      </c>
      <c r="AL102" s="398">
        <v>294.45</v>
      </c>
      <c r="AM102" s="398">
        <v>737.81052631578939</v>
      </c>
      <c r="AN102" s="294"/>
      <c r="AO102" s="398">
        <f t="shared" si="78"/>
        <v>847.07999999999993</v>
      </c>
      <c r="AP102" s="398">
        <f t="shared" si="79"/>
        <v>235.56</v>
      </c>
      <c r="AQ102" s="398">
        <f t="shared" si="80"/>
        <v>590.24842105263156</v>
      </c>
      <c r="AR102" s="293"/>
      <c r="AS102" s="293">
        <v>0</v>
      </c>
      <c r="AT102" s="576">
        <f t="shared" si="81"/>
        <v>0</v>
      </c>
      <c r="AU102" s="293"/>
      <c r="AV102" s="293">
        <v>0</v>
      </c>
      <c r="AW102" s="293">
        <v>0</v>
      </c>
      <c r="AX102" s="293">
        <v>13244.4</v>
      </c>
      <c r="AY102" s="293">
        <v>0</v>
      </c>
      <c r="AZ102" s="293">
        <v>0</v>
      </c>
      <c r="BA102" s="293">
        <v>0</v>
      </c>
      <c r="BB102" s="293">
        <v>294.45</v>
      </c>
      <c r="BC102" s="293">
        <f t="shared" si="82"/>
        <v>13538.85</v>
      </c>
      <c r="BE102" s="58">
        <f t="shared" si="83"/>
        <v>0</v>
      </c>
      <c r="BF102" s="58">
        <f t="shared" si="84"/>
        <v>0</v>
      </c>
      <c r="BG102" s="58">
        <f t="shared" si="85"/>
        <v>-11037.000000000002</v>
      </c>
      <c r="BH102" s="58">
        <f t="shared" si="86"/>
        <v>-1950</v>
      </c>
      <c r="BI102" s="58">
        <f t="shared" si="87"/>
        <v>0</v>
      </c>
      <c r="BJ102" s="58">
        <f t="shared" si="88"/>
        <v>0</v>
      </c>
      <c r="BK102" s="58">
        <f t="shared" si="89"/>
        <v>-764.39999999999986</v>
      </c>
      <c r="BL102" s="58">
        <f t="shared" si="90"/>
        <v>-13751.400000000001</v>
      </c>
      <c r="BM102" s="33">
        <f t="shared" si="91"/>
        <v>0</v>
      </c>
      <c r="BN102" s="33"/>
      <c r="BO102" s="293">
        <f t="shared" si="115"/>
        <v>0</v>
      </c>
      <c r="BP102" s="293">
        <f t="shared" si="116"/>
        <v>0</v>
      </c>
      <c r="BQ102" s="293">
        <f t="shared" si="117"/>
        <v>-6180.720000000003</v>
      </c>
      <c r="BR102" s="293">
        <f t="shared" si="118"/>
        <v>-1560</v>
      </c>
      <c r="BS102" s="293">
        <f t="shared" si="119"/>
        <v>0</v>
      </c>
      <c r="BT102" s="293">
        <f t="shared" si="120"/>
        <v>0</v>
      </c>
      <c r="BU102" s="293">
        <f t="shared" si="121"/>
        <v>-552.62999999999988</v>
      </c>
      <c r="BV102" s="293">
        <f t="shared" si="70"/>
        <v>-8293.3500000000022</v>
      </c>
      <c r="BW102" s="293">
        <f t="shared" si="71"/>
        <v>1.8189894035458565E-12</v>
      </c>
      <c r="BX102" s="293">
        <v>0</v>
      </c>
      <c r="BY102" s="293">
        <v>0</v>
      </c>
      <c r="BZ102" s="293">
        <v>0</v>
      </c>
      <c r="CA102" s="293">
        <v>0</v>
      </c>
      <c r="CB102" s="293">
        <v>0</v>
      </c>
      <c r="CC102" s="293">
        <v>0</v>
      </c>
      <c r="CD102" s="293">
        <v>0</v>
      </c>
      <c r="CE102" s="293">
        <f t="shared" si="92"/>
        <v>0</v>
      </c>
      <c r="CF102" s="293"/>
      <c r="CG102" s="293">
        <v>0</v>
      </c>
      <c r="CH102" s="293">
        <v>0</v>
      </c>
      <c r="CI102" s="293">
        <v>10595.52</v>
      </c>
      <c r="CJ102" s="293">
        <v>585</v>
      </c>
      <c r="CK102" s="293">
        <v>223.86</v>
      </c>
      <c r="CL102" s="293">
        <v>0</v>
      </c>
      <c r="CM102" s="293">
        <v>232.05</v>
      </c>
      <c r="CN102" s="293">
        <f t="shared" si="93"/>
        <v>11636.43</v>
      </c>
      <c r="CO102" s="293"/>
      <c r="CP102" s="58">
        <f t="shared" si="94"/>
        <v>0</v>
      </c>
      <c r="CQ102" s="223">
        <f t="shared" si="95"/>
        <v>0</v>
      </c>
      <c r="CR102" s="223">
        <f t="shared" si="96"/>
        <v>-2648.8799999999992</v>
      </c>
      <c r="CS102" s="223">
        <f t="shared" si="97"/>
        <v>0</v>
      </c>
      <c r="CT102" s="223">
        <f t="shared" si="98"/>
        <v>0.12315789473683481</v>
      </c>
      <c r="CU102" s="223">
        <f t="shared" si="99"/>
        <v>0</v>
      </c>
      <c r="CV102" s="223">
        <f t="shared" si="100"/>
        <v>-62.399999999999977</v>
      </c>
      <c r="CW102" s="223">
        <f t="shared" si="101"/>
        <v>-2711.1568421052625</v>
      </c>
      <c r="CX102" s="223">
        <f t="shared" si="102"/>
        <v>0</v>
      </c>
      <c r="CY102" s="58">
        <f t="shared" si="103"/>
        <v>0</v>
      </c>
      <c r="CZ102" s="399">
        <f t="shared" si="104"/>
        <v>0</v>
      </c>
      <c r="DA102" s="399">
        <f t="shared" si="105"/>
        <v>0</v>
      </c>
      <c r="DB102" s="399">
        <f t="shared" si="106"/>
        <v>117</v>
      </c>
      <c r="DC102" s="399">
        <f t="shared" si="107"/>
        <v>44.870526315789448</v>
      </c>
      <c r="DD102" s="399">
        <f t="shared" si="108"/>
        <v>0</v>
      </c>
      <c r="DE102" s="399">
        <f t="shared" si="109"/>
        <v>-3.5099999999999909</v>
      </c>
      <c r="DF102" s="399">
        <f t="shared" si="110"/>
        <v>158.36052631578946</v>
      </c>
      <c r="DG102" s="399">
        <f t="shared" si="111"/>
        <v>0</v>
      </c>
      <c r="DI102" s="399"/>
      <c r="DJ102" s="399"/>
      <c r="DK102" s="399"/>
      <c r="DL102" s="399"/>
      <c r="DM102" s="399"/>
      <c r="DN102" s="399"/>
      <c r="DO102" s="399"/>
      <c r="DP102" s="399"/>
      <c r="DQ102" s="399"/>
      <c r="DS102" s="399"/>
      <c r="DT102" s="399"/>
      <c r="DU102" s="399"/>
      <c r="DV102" s="399"/>
      <c r="DW102" s="399"/>
      <c r="DX102" s="399"/>
      <c r="DY102" s="399"/>
      <c r="DZ102" s="399"/>
      <c r="EB102" s="228">
        <f t="shared" si="112"/>
        <v>41231.463490304712</v>
      </c>
      <c r="EC102" s="228">
        <f t="shared" si="113"/>
        <v>0</v>
      </c>
      <c r="ED102" s="214">
        <f t="shared" si="114"/>
        <v>41231.463490304712</v>
      </c>
    </row>
    <row r="103" spans="1:134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3" t="str">
        <f>VLOOKUP(A103,'Summary Mar 2026'!$A$8:$F$207,6,FALSE)</f>
        <v>Chq Bk</v>
      </c>
      <c r="G103" s="33"/>
      <c r="H103" s="223">
        <v>181953.58686270969</v>
      </c>
      <c r="I103" s="294"/>
      <c r="J103" s="223">
        <v>0</v>
      </c>
      <c r="K103" s="223">
        <v>0</v>
      </c>
      <c r="L103" s="223">
        <v>114784.8</v>
      </c>
      <c r="M103" s="223">
        <v>2145</v>
      </c>
      <c r="N103" s="223">
        <v>0</v>
      </c>
      <c r="O103" s="223">
        <v>0</v>
      </c>
      <c r="P103" s="33">
        <f t="shared" si="72"/>
        <v>116929.8</v>
      </c>
      <c r="Q103" s="223">
        <f t="shared" si="73"/>
        <v>93543.840000000011</v>
      </c>
      <c r="R103" s="294"/>
      <c r="S103" s="223">
        <v>0</v>
      </c>
      <c r="T103" s="223">
        <v>0</v>
      </c>
      <c r="U103" s="223">
        <v>97125.6</v>
      </c>
      <c r="V103" s="223">
        <v>2340</v>
      </c>
      <c r="W103" s="223">
        <v>0</v>
      </c>
      <c r="X103" s="223">
        <v>320.89473684210526</v>
      </c>
      <c r="Y103" s="223">
        <f t="shared" si="74"/>
        <v>99786.494736842113</v>
      </c>
      <c r="Z103" s="223">
        <f t="shared" si="75"/>
        <v>79829.195789473699</v>
      </c>
      <c r="AA103" s="294"/>
      <c r="AB103" s="398">
        <v>0</v>
      </c>
      <c r="AC103" s="398">
        <v>0</v>
      </c>
      <c r="AD103" s="398">
        <v>93944.084210526329</v>
      </c>
      <c r="AE103" s="398">
        <v>1705.2631578947369</v>
      </c>
      <c r="AF103" s="398">
        <v>0</v>
      </c>
      <c r="AG103" s="398">
        <v>93.54016620498615</v>
      </c>
      <c r="AH103" s="223">
        <f t="shared" si="76"/>
        <v>95742.887534626047</v>
      </c>
      <c r="AI103" s="398">
        <f t="shared" si="77"/>
        <v>76594.310027700834</v>
      </c>
      <c r="AJ103" s="294"/>
      <c r="AK103" s="398">
        <v>372.45</v>
      </c>
      <c r="AL103" s="398">
        <v>294.45</v>
      </c>
      <c r="AM103" s="398">
        <v>302.96842105263153</v>
      </c>
      <c r="AN103" s="294"/>
      <c r="AO103" s="398">
        <f t="shared" si="78"/>
        <v>297.95999999999998</v>
      </c>
      <c r="AP103" s="398">
        <f t="shared" si="79"/>
        <v>235.56</v>
      </c>
      <c r="AQ103" s="398">
        <f t="shared" si="80"/>
        <v>242.37473684210522</v>
      </c>
      <c r="AR103" s="293"/>
      <c r="AS103" s="293">
        <v>178823.05821701515</v>
      </c>
      <c r="AT103" s="576">
        <f t="shared" si="81"/>
        <v>-3130.5286456945469</v>
      </c>
      <c r="AU103" s="293"/>
      <c r="AV103" s="293">
        <v>0</v>
      </c>
      <c r="AW103" s="293">
        <v>0</v>
      </c>
      <c r="AX103" s="293">
        <v>111473.7</v>
      </c>
      <c r="AY103" s="293">
        <v>4095</v>
      </c>
      <c r="AZ103" s="293">
        <v>0</v>
      </c>
      <c r="BA103" s="293">
        <v>320.89</v>
      </c>
      <c r="BB103" s="293">
        <v>278.85000000000002</v>
      </c>
      <c r="BC103" s="293">
        <f t="shared" si="82"/>
        <v>294991.49821701518</v>
      </c>
      <c r="BE103" s="58">
        <f t="shared" si="83"/>
        <v>0</v>
      </c>
      <c r="BF103" s="58">
        <f t="shared" si="84"/>
        <v>0</v>
      </c>
      <c r="BG103" s="58">
        <f t="shared" si="85"/>
        <v>-3311.1000000000058</v>
      </c>
      <c r="BH103" s="58">
        <f t="shared" si="86"/>
        <v>1950</v>
      </c>
      <c r="BI103" s="58">
        <f t="shared" si="87"/>
        <v>0</v>
      </c>
      <c r="BJ103" s="58">
        <f t="shared" si="88"/>
        <v>320.89</v>
      </c>
      <c r="BK103" s="58">
        <f t="shared" si="89"/>
        <v>-93.599999999999966</v>
      </c>
      <c r="BL103" s="58">
        <f t="shared" si="90"/>
        <v>-4264.3386456945527</v>
      </c>
      <c r="BM103" s="33">
        <f t="shared" si="91"/>
        <v>0</v>
      </c>
      <c r="BN103" s="33"/>
      <c r="BO103" s="293">
        <f t="shared" si="115"/>
        <v>0</v>
      </c>
      <c r="BP103" s="293">
        <f t="shared" si="116"/>
        <v>0</v>
      </c>
      <c r="BQ103" s="293">
        <f t="shared" si="117"/>
        <v>19645.859999999986</v>
      </c>
      <c r="BR103" s="293">
        <f t="shared" si="118"/>
        <v>2379</v>
      </c>
      <c r="BS103" s="293">
        <f t="shared" si="119"/>
        <v>0</v>
      </c>
      <c r="BT103" s="293">
        <f t="shared" si="120"/>
        <v>320.89</v>
      </c>
      <c r="BU103" s="293">
        <f t="shared" si="121"/>
        <v>-19.109999999999957</v>
      </c>
      <c r="BV103" s="293">
        <f t="shared" si="70"/>
        <v>19196.111354305438</v>
      </c>
      <c r="BW103" s="293">
        <f t="shared" si="71"/>
        <v>-5.8207660913467407E-11</v>
      </c>
      <c r="BX103" s="293">
        <v>0</v>
      </c>
      <c r="BY103" s="293">
        <v>0</v>
      </c>
      <c r="BZ103" s="293">
        <v>0</v>
      </c>
      <c r="CA103" s="293">
        <v>0</v>
      </c>
      <c r="CB103" s="293">
        <v>0</v>
      </c>
      <c r="CC103" s="293">
        <v>617.11</v>
      </c>
      <c r="CD103" s="293">
        <v>46.800000000000011</v>
      </c>
      <c r="CE103" s="293">
        <f t="shared" si="92"/>
        <v>663.91000000000008</v>
      </c>
      <c r="CF103" s="293"/>
      <c r="CG103" s="293">
        <v>0</v>
      </c>
      <c r="CH103" s="293">
        <v>0</v>
      </c>
      <c r="CI103" s="293">
        <v>90503.4</v>
      </c>
      <c r="CJ103" s="293">
        <v>390</v>
      </c>
      <c r="CK103" s="293">
        <v>261.03999999999996</v>
      </c>
      <c r="CL103" s="293">
        <v>0</v>
      </c>
      <c r="CM103" s="293">
        <v>253.5</v>
      </c>
      <c r="CN103" s="293">
        <f t="shared" si="93"/>
        <v>91407.939999999988</v>
      </c>
      <c r="CO103" s="293"/>
      <c r="CP103" s="58">
        <f t="shared" si="94"/>
        <v>0</v>
      </c>
      <c r="CQ103" s="223">
        <f t="shared" si="95"/>
        <v>0</v>
      </c>
      <c r="CR103" s="223">
        <f t="shared" si="96"/>
        <v>-6622.2000000000116</v>
      </c>
      <c r="CS103" s="223">
        <f t="shared" si="97"/>
        <v>-1950</v>
      </c>
      <c r="CT103" s="223">
        <f t="shared" si="98"/>
        <v>261.03999999999996</v>
      </c>
      <c r="CU103" s="223">
        <f t="shared" si="99"/>
        <v>-320.89473684210526</v>
      </c>
      <c r="CV103" s="223">
        <f t="shared" si="100"/>
        <v>-40.949999999999989</v>
      </c>
      <c r="CW103" s="223">
        <f t="shared" si="101"/>
        <v>-8673.0047368421165</v>
      </c>
      <c r="CX103" s="223">
        <f t="shared" si="102"/>
        <v>0</v>
      </c>
      <c r="CY103" s="58">
        <f t="shared" si="103"/>
        <v>0</v>
      </c>
      <c r="CZ103" s="399">
        <f t="shared" si="104"/>
        <v>0</v>
      </c>
      <c r="DA103" s="399">
        <f t="shared" si="105"/>
        <v>12802.919999999984</v>
      </c>
      <c r="DB103" s="399">
        <f t="shared" si="106"/>
        <v>-1482</v>
      </c>
      <c r="DC103" s="399">
        <f t="shared" si="107"/>
        <v>261.03999999999996</v>
      </c>
      <c r="DD103" s="399">
        <f t="shared" si="108"/>
        <v>-256.7157894736842</v>
      </c>
      <c r="DE103" s="399">
        <f t="shared" si="109"/>
        <v>17.939999999999998</v>
      </c>
      <c r="DF103" s="399">
        <f t="shared" si="110"/>
        <v>11343.1842105263</v>
      </c>
      <c r="DG103" s="399">
        <f t="shared" si="111"/>
        <v>0</v>
      </c>
      <c r="DI103" s="399"/>
      <c r="DJ103" s="399"/>
      <c r="DK103" s="399"/>
      <c r="DL103" s="399"/>
      <c r="DM103" s="399"/>
      <c r="DN103" s="399"/>
      <c r="DO103" s="399"/>
      <c r="DP103" s="399"/>
      <c r="DQ103" s="399"/>
      <c r="DS103" s="399"/>
      <c r="DT103" s="399"/>
      <c r="DU103" s="399"/>
      <c r="DV103" s="399"/>
      <c r="DW103" s="399"/>
      <c r="DX103" s="399"/>
      <c r="DY103" s="399"/>
      <c r="DZ103" s="399"/>
      <c r="EB103" s="228">
        <f t="shared" si="112"/>
        <v>462887.20084859408</v>
      </c>
      <c r="EC103" s="228">
        <f t="shared" si="113"/>
        <v>1012.8321329639889</v>
      </c>
      <c r="ED103" s="214">
        <f t="shared" si="114"/>
        <v>463900.03298155806</v>
      </c>
    </row>
    <row r="104" spans="1:134" hidden="1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3" t="str">
        <f>VLOOKUP(A104,'Summary Mar 2026'!$A$8:$F$207,6,FALSE)</f>
        <v>Chq Bk</v>
      </c>
      <c r="G104" s="33"/>
      <c r="H104" s="223">
        <v>0</v>
      </c>
      <c r="I104" s="294"/>
      <c r="J104" s="223">
        <v>0</v>
      </c>
      <c r="K104" s="223">
        <v>0</v>
      </c>
      <c r="L104" s="223">
        <v>0</v>
      </c>
      <c r="M104" s="223">
        <v>0</v>
      </c>
      <c r="N104" s="223">
        <v>0</v>
      </c>
      <c r="O104" s="223">
        <v>0</v>
      </c>
      <c r="P104" s="33">
        <f t="shared" si="72"/>
        <v>0</v>
      </c>
      <c r="Q104" s="223">
        <f t="shared" si="73"/>
        <v>0</v>
      </c>
      <c r="R104" s="294"/>
      <c r="S104" s="223">
        <v>0</v>
      </c>
      <c r="T104" s="223">
        <v>0</v>
      </c>
      <c r="U104" s="223">
        <v>0</v>
      </c>
      <c r="V104" s="223">
        <v>0</v>
      </c>
      <c r="W104" s="223">
        <v>0</v>
      </c>
      <c r="X104" s="223">
        <v>0</v>
      </c>
      <c r="Y104" s="223">
        <f t="shared" si="74"/>
        <v>0</v>
      </c>
      <c r="Z104" s="223">
        <f t="shared" si="75"/>
        <v>0</v>
      </c>
      <c r="AA104" s="294"/>
      <c r="AB104" s="398">
        <v>0</v>
      </c>
      <c r="AC104" s="398">
        <v>0</v>
      </c>
      <c r="AD104" s="398">
        <v>0</v>
      </c>
      <c r="AE104" s="398">
        <v>0</v>
      </c>
      <c r="AF104" s="398">
        <v>0</v>
      </c>
      <c r="AG104" s="398">
        <v>0</v>
      </c>
      <c r="AH104" s="223">
        <f t="shared" si="76"/>
        <v>0</v>
      </c>
      <c r="AI104" s="398">
        <f t="shared" si="77"/>
        <v>0</v>
      </c>
      <c r="AJ104" s="294"/>
      <c r="AK104" s="398">
        <v>0</v>
      </c>
      <c r="AL104" s="398">
        <v>0</v>
      </c>
      <c r="AM104" s="398">
        <v>0</v>
      </c>
      <c r="AN104" s="294"/>
      <c r="AO104" s="398">
        <f t="shared" si="78"/>
        <v>0</v>
      </c>
      <c r="AP104" s="398">
        <f t="shared" si="79"/>
        <v>0</v>
      </c>
      <c r="AQ104" s="398">
        <f t="shared" si="80"/>
        <v>0</v>
      </c>
      <c r="AR104" s="293"/>
      <c r="AS104" s="293">
        <v>0</v>
      </c>
      <c r="AT104" s="576">
        <f t="shared" si="81"/>
        <v>0</v>
      </c>
      <c r="AU104" s="293"/>
      <c r="AV104" s="293">
        <v>0</v>
      </c>
      <c r="AW104" s="293">
        <v>0</v>
      </c>
      <c r="AX104" s="293">
        <v>0</v>
      </c>
      <c r="AY104" s="293">
        <v>0</v>
      </c>
      <c r="AZ104" s="293">
        <v>0</v>
      </c>
      <c r="BA104" s="293">
        <v>0</v>
      </c>
      <c r="BB104" s="293">
        <v>0</v>
      </c>
      <c r="BC104" s="293">
        <f t="shared" si="82"/>
        <v>0</v>
      </c>
      <c r="BE104" s="58">
        <f t="shared" si="83"/>
        <v>0</v>
      </c>
      <c r="BF104" s="58">
        <f t="shared" si="84"/>
        <v>0</v>
      </c>
      <c r="BG104" s="58">
        <f t="shared" si="85"/>
        <v>0</v>
      </c>
      <c r="BH104" s="58">
        <f t="shared" si="86"/>
        <v>0</v>
      </c>
      <c r="BI104" s="58">
        <f t="shared" si="87"/>
        <v>0</v>
      </c>
      <c r="BJ104" s="58">
        <f t="shared" si="88"/>
        <v>0</v>
      </c>
      <c r="BK104" s="58">
        <f t="shared" si="89"/>
        <v>0</v>
      </c>
      <c r="BL104" s="58">
        <f t="shared" si="90"/>
        <v>0</v>
      </c>
      <c r="BM104" s="33">
        <f t="shared" si="91"/>
        <v>0</v>
      </c>
      <c r="BN104" s="33"/>
      <c r="BO104" s="293">
        <f t="shared" si="115"/>
        <v>0</v>
      </c>
      <c r="BP104" s="293">
        <f t="shared" si="116"/>
        <v>0</v>
      </c>
      <c r="BQ104" s="293">
        <f t="shared" si="117"/>
        <v>0</v>
      </c>
      <c r="BR104" s="293">
        <f t="shared" si="118"/>
        <v>0</v>
      </c>
      <c r="BS104" s="293">
        <f t="shared" si="119"/>
        <v>0</v>
      </c>
      <c r="BT104" s="293">
        <f t="shared" si="120"/>
        <v>0</v>
      </c>
      <c r="BU104" s="293">
        <f t="shared" si="121"/>
        <v>0</v>
      </c>
      <c r="BV104" s="293">
        <f t="shared" si="70"/>
        <v>0</v>
      </c>
      <c r="BW104" s="293">
        <f t="shared" si="71"/>
        <v>0</v>
      </c>
      <c r="BX104" s="293">
        <v>0</v>
      </c>
      <c r="BY104" s="293">
        <v>0</v>
      </c>
      <c r="BZ104" s="293">
        <v>0</v>
      </c>
      <c r="CA104" s="293">
        <v>0</v>
      </c>
      <c r="CB104" s="293">
        <v>0</v>
      </c>
      <c r="CC104" s="293">
        <v>0</v>
      </c>
      <c r="CD104" s="293">
        <v>0</v>
      </c>
      <c r="CE104" s="293">
        <f t="shared" si="92"/>
        <v>0</v>
      </c>
      <c r="CF104" s="293"/>
      <c r="CG104" s="293">
        <v>0</v>
      </c>
      <c r="CH104" s="293">
        <v>0</v>
      </c>
      <c r="CI104" s="293">
        <v>0</v>
      </c>
      <c r="CJ104" s="293">
        <v>0</v>
      </c>
      <c r="CK104" s="293">
        <v>0</v>
      </c>
      <c r="CL104" s="293">
        <v>0</v>
      </c>
      <c r="CM104" s="293">
        <v>0</v>
      </c>
      <c r="CN104" s="293">
        <f t="shared" si="93"/>
        <v>0</v>
      </c>
      <c r="CO104" s="293"/>
      <c r="CP104" s="58">
        <f t="shared" si="94"/>
        <v>0</v>
      </c>
      <c r="CQ104" s="223">
        <f t="shared" si="95"/>
        <v>0</v>
      </c>
      <c r="CR104" s="223">
        <f t="shared" si="96"/>
        <v>0</v>
      </c>
      <c r="CS104" s="223">
        <f t="shared" si="97"/>
        <v>0</v>
      </c>
      <c r="CT104" s="223">
        <f t="shared" si="98"/>
        <v>0</v>
      </c>
      <c r="CU104" s="223">
        <f t="shared" si="99"/>
        <v>0</v>
      </c>
      <c r="CV104" s="223">
        <f t="shared" si="100"/>
        <v>0</v>
      </c>
      <c r="CW104" s="223">
        <f t="shared" si="101"/>
        <v>0</v>
      </c>
      <c r="CX104" s="223">
        <f t="shared" si="102"/>
        <v>0</v>
      </c>
      <c r="CY104" s="58">
        <f t="shared" si="103"/>
        <v>0</v>
      </c>
      <c r="CZ104" s="399">
        <f t="shared" si="104"/>
        <v>0</v>
      </c>
      <c r="DA104" s="399">
        <f t="shared" si="105"/>
        <v>0</v>
      </c>
      <c r="DB104" s="399">
        <f t="shared" si="106"/>
        <v>0</v>
      </c>
      <c r="DC104" s="399">
        <f t="shared" si="107"/>
        <v>0</v>
      </c>
      <c r="DD104" s="399">
        <f t="shared" si="108"/>
        <v>0</v>
      </c>
      <c r="DE104" s="399">
        <f t="shared" si="109"/>
        <v>0</v>
      </c>
      <c r="DF104" s="399">
        <f t="shared" si="110"/>
        <v>0</v>
      </c>
      <c r="DG104" s="399">
        <f t="shared" si="111"/>
        <v>0</v>
      </c>
      <c r="DI104" s="399"/>
      <c r="DJ104" s="399"/>
      <c r="DK104" s="399"/>
      <c r="DL104" s="399"/>
      <c r="DM104" s="399"/>
      <c r="DN104" s="399"/>
      <c r="DO104" s="399"/>
      <c r="DP104" s="399"/>
      <c r="DQ104" s="399"/>
      <c r="DS104" s="399"/>
      <c r="DT104" s="399"/>
      <c r="DU104" s="399"/>
      <c r="DV104" s="399"/>
      <c r="DW104" s="399"/>
      <c r="DX104" s="399"/>
      <c r="DY104" s="399"/>
      <c r="DZ104" s="399"/>
      <c r="EB104" s="228">
        <f t="shared" si="112"/>
        <v>0</v>
      </c>
      <c r="EC104" s="228">
        <f t="shared" si="113"/>
        <v>0</v>
      </c>
      <c r="ED104" s="214">
        <f t="shared" si="114"/>
        <v>0</v>
      </c>
    </row>
    <row r="105" spans="1:134" hidden="1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3" t="str">
        <f>VLOOKUP(A105,'Summary Mar 2026'!$A$8:$F$207,6,FALSE)</f>
        <v>Chq Bk</v>
      </c>
      <c r="G105" s="33"/>
      <c r="H105" s="223">
        <v>0</v>
      </c>
      <c r="I105" s="294"/>
      <c r="J105" s="223">
        <v>0</v>
      </c>
      <c r="K105" s="223">
        <v>0</v>
      </c>
      <c r="L105" s="223">
        <v>0</v>
      </c>
      <c r="M105" s="223">
        <v>0</v>
      </c>
      <c r="N105" s="223">
        <v>0</v>
      </c>
      <c r="O105" s="223">
        <v>0</v>
      </c>
      <c r="P105" s="33">
        <f t="shared" si="72"/>
        <v>0</v>
      </c>
      <c r="Q105" s="223">
        <f t="shared" si="73"/>
        <v>0</v>
      </c>
      <c r="R105" s="294"/>
      <c r="S105" s="223">
        <v>0</v>
      </c>
      <c r="T105" s="223">
        <v>0</v>
      </c>
      <c r="U105" s="223">
        <v>0</v>
      </c>
      <c r="V105" s="223">
        <v>0</v>
      </c>
      <c r="W105" s="223">
        <v>0</v>
      </c>
      <c r="X105" s="223">
        <v>0</v>
      </c>
      <c r="Y105" s="223">
        <f t="shared" si="74"/>
        <v>0</v>
      </c>
      <c r="Z105" s="223">
        <f t="shared" si="75"/>
        <v>0</v>
      </c>
      <c r="AA105" s="294"/>
      <c r="AB105" s="398">
        <v>0</v>
      </c>
      <c r="AC105" s="398">
        <v>0</v>
      </c>
      <c r="AD105" s="398">
        <v>0</v>
      </c>
      <c r="AE105" s="398">
        <v>0</v>
      </c>
      <c r="AF105" s="398">
        <v>0</v>
      </c>
      <c r="AG105" s="398">
        <v>0</v>
      </c>
      <c r="AH105" s="223">
        <f t="shared" si="76"/>
        <v>0</v>
      </c>
      <c r="AI105" s="398">
        <f t="shared" si="77"/>
        <v>0</v>
      </c>
      <c r="AJ105" s="294"/>
      <c r="AK105" s="398">
        <v>0</v>
      </c>
      <c r="AL105" s="398">
        <v>0</v>
      </c>
      <c r="AM105" s="398">
        <v>0</v>
      </c>
      <c r="AN105" s="294"/>
      <c r="AO105" s="398">
        <f t="shared" si="78"/>
        <v>0</v>
      </c>
      <c r="AP105" s="398">
        <f t="shared" si="79"/>
        <v>0</v>
      </c>
      <c r="AQ105" s="398">
        <f t="shared" si="80"/>
        <v>0</v>
      </c>
      <c r="AR105" s="293"/>
      <c r="AS105" s="293">
        <v>0</v>
      </c>
      <c r="AT105" s="576">
        <f t="shared" si="81"/>
        <v>0</v>
      </c>
      <c r="AU105" s="293"/>
      <c r="AV105" s="293">
        <v>0</v>
      </c>
      <c r="AW105" s="293">
        <v>0</v>
      </c>
      <c r="AX105" s="293">
        <v>0</v>
      </c>
      <c r="AY105" s="293">
        <v>0</v>
      </c>
      <c r="AZ105" s="293">
        <v>0</v>
      </c>
      <c r="BA105" s="293">
        <v>0</v>
      </c>
      <c r="BB105" s="293">
        <v>0</v>
      </c>
      <c r="BC105" s="293">
        <f t="shared" si="82"/>
        <v>0</v>
      </c>
      <c r="BE105" s="58">
        <f t="shared" si="83"/>
        <v>0</v>
      </c>
      <c r="BF105" s="58">
        <f t="shared" si="84"/>
        <v>0</v>
      </c>
      <c r="BG105" s="58">
        <f t="shared" si="85"/>
        <v>0</v>
      </c>
      <c r="BH105" s="58">
        <f t="shared" si="86"/>
        <v>0</v>
      </c>
      <c r="BI105" s="58">
        <f t="shared" si="87"/>
        <v>0</v>
      </c>
      <c r="BJ105" s="58">
        <f t="shared" si="88"/>
        <v>0</v>
      </c>
      <c r="BK105" s="58">
        <f t="shared" si="89"/>
        <v>0</v>
      </c>
      <c r="BL105" s="58">
        <f t="shared" si="90"/>
        <v>0</v>
      </c>
      <c r="BM105" s="33">
        <f t="shared" si="91"/>
        <v>0</v>
      </c>
      <c r="BN105" s="33"/>
      <c r="BO105" s="293">
        <f t="shared" si="115"/>
        <v>0</v>
      </c>
      <c r="BP105" s="293">
        <f t="shared" si="116"/>
        <v>0</v>
      </c>
      <c r="BQ105" s="293">
        <f t="shared" si="117"/>
        <v>0</v>
      </c>
      <c r="BR105" s="293">
        <f t="shared" si="118"/>
        <v>0</v>
      </c>
      <c r="BS105" s="293">
        <f t="shared" si="119"/>
        <v>0</v>
      </c>
      <c r="BT105" s="293">
        <f t="shared" si="120"/>
        <v>0</v>
      </c>
      <c r="BU105" s="293">
        <f t="shared" si="121"/>
        <v>0</v>
      </c>
      <c r="BV105" s="293">
        <f t="shared" si="70"/>
        <v>0</v>
      </c>
      <c r="BW105" s="293">
        <f t="shared" si="71"/>
        <v>0</v>
      </c>
      <c r="BX105" s="293">
        <v>0</v>
      </c>
      <c r="BY105" s="293">
        <v>0</v>
      </c>
      <c r="BZ105" s="293">
        <v>0</v>
      </c>
      <c r="CA105" s="293">
        <v>0</v>
      </c>
      <c r="CB105" s="293">
        <v>0</v>
      </c>
      <c r="CC105" s="293">
        <v>0</v>
      </c>
      <c r="CD105" s="293">
        <v>0</v>
      </c>
      <c r="CE105" s="293">
        <f t="shared" si="92"/>
        <v>0</v>
      </c>
      <c r="CF105" s="293"/>
      <c r="CG105" s="293">
        <v>0</v>
      </c>
      <c r="CH105" s="293">
        <v>0</v>
      </c>
      <c r="CI105" s="293">
        <v>0</v>
      </c>
      <c r="CJ105" s="293">
        <v>0</v>
      </c>
      <c r="CK105" s="293">
        <v>0</v>
      </c>
      <c r="CL105" s="293">
        <v>0</v>
      </c>
      <c r="CM105" s="293">
        <v>0</v>
      </c>
      <c r="CN105" s="293">
        <f t="shared" si="93"/>
        <v>0</v>
      </c>
      <c r="CO105" s="293"/>
      <c r="CP105" s="58">
        <f t="shared" si="94"/>
        <v>0</v>
      </c>
      <c r="CQ105" s="223">
        <f t="shared" si="95"/>
        <v>0</v>
      </c>
      <c r="CR105" s="223">
        <f t="shared" si="96"/>
        <v>0</v>
      </c>
      <c r="CS105" s="223">
        <f t="shared" si="97"/>
        <v>0</v>
      </c>
      <c r="CT105" s="223">
        <f t="shared" si="98"/>
        <v>0</v>
      </c>
      <c r="CU105" s="223">
        <f t="shared" si="99"/>
        <v>0</v>
      </c>
      <c r="CV105" s="223">
        <f t="shared" si="100"/>
        <v>0</v>
      </c>
      <c r="CW105" s="223">
        <f t="shared" si="101"/>
        <v>0</v>
      </c>
      <c r="CX105" s="223">
        <f t="shared" si="102"/>
        <v>0</v>
      </c>
      <c r="CY105" s="58">
        <f t="shared" si="103"/>
        <v>0</v>
      </c>
      <c r="CZ105" s="399">
        <f t="shared" si="104"/>
        <v>0</v>
      </c>
      <c r="DA105" s="399">
        <f t="shared" si="105"/>
        <v>0</v>
      </c>
      <c r="DB105" s="399">
        <f t="shared" si="106"/>
        <v>0</v>
      </c>
      <c r="DC105" s="399">
        <f t="shared" si="107"/>
        <v>0</v>
      </c>
      <c r="DD105" s="399">
        <f t="shared" si="108"/>
        <v>0</v>
      </c>
      <c r="DE105" s="399">
        <f t="shared" si="109"/>
        <v>0</v>
      </c>
      <c r="DF105" s="399">
        <f t="shared" si="110"/>
        <v>0</v>
      </c>
      <c r="DG105" s="399">
        <f t="shared" si="111"/>
        <v>0</v>
      </c>
      <c r="DI105" s="399"/>
      <c r="DJ105" s="399"/>
      <c r="DK105" s="399"/>
      <c r="DL105" s="399"/>
      <c r="DM105" s="399"/>
      <c r="DN105" s="399"/>
      <c r="DO105" s="399"/>
      <c r="DP105" s="399"/>
      <c r="DQ105" s="399"/>
      <c r="DS105" s="399"/>
      <c r="DT105" s="399"/>
      <c r="DU105" s="399"/>
      <c r="DV105" s="399"/>
      <c r="DW105" s="399"/>
      <c r="DX105" s="399"/>
      <c r="DY105" s="399"/>
      <c r="DZ105" s="399"/>
      <c r="EB105" s="228">
        <f t="shared" si="112"/>
        <v>0</v>
      </c>
      <c r="EC105" s="228">
        <f t="shared" si="113"/>
        <v>0</v>
      </c>
      <c r="ED105" s="214">
        <f t="shared" si="114"/>
        <v>0</v>
      </c>
    </row>
    <row r="106" spans="1:134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3" t="str">
        <f>VLOOKUP(A106,'Summary Mar 2026'!$A$8:$F$207,6,FALSE)</f>
        <v>Chq Bk</v>
      </c>
      <c r="G106" s="33"/>
      <c r="H106" s="223">
        <v>0</v>
      </c>
      <c r="I106" s="294"/>
      <c r="J106" s="223">
        <v>0</v>
      </c>
      <c r="K106" s="223">
        <v>0</v>
      </c>
      <c r="L106" s="223">
        <v>56288.7</v>
      </c>
      <c r="M106" s="223">
        <v>3705</v>
      </c>
      <c r="N106" s="223">
        <v>0</v>
      </c>
      <c r="O106" s="223">
        <v>0</v>
      </c>
      <c r="P106" s="33">
        <f t="shared" si="72"/>
        <v>59993.7</v>
      </c>
      <c r="Q106" s="223">
        <f t="shared" si="73"/>
        <v>47994.96</v>
      </c>
      <c r="R106" s="294"/>
      <c r="S106" s="223">
        <v>0</v>
      </c>
      <c r="T106" s="223">
        <v>0</v>
      </c>
      <c r="U106" s="223">
        <v>54081.3</v>
      </c>
      <c r="V106" s="223">
        <v>2340</v>
      </c>
      <c r="W106" s="223">
        <v>0</v>
      </c>
      <c r="X106" s="223">
        <v>0</v>
      </c>
      <c r="Y106" s="223">
        <f t="shared" si="74"/>
        <v>56421.3</v>
      </c>
      <c r="Z106" s="223">
        <f t="shared" si="75"/>
        <v>45137.040000000008</v>
      </c>
      <c r="AA106" s="294"/>
      <c r="AB106" s="398">
        <v>0</v>
      </c>
      <c r="AC106" s="398">
        <v>0</v>
      </c>
      <c r="AD106" s="398">
        <v>47937.221052631576</v>
      </c>
      <c r="AE106" s="398">
        <v>2671.5789473684213</v>
      </c>
      <c r="AF106" s="398">
        <v>0</v>
      </c>
      <c r="AG106" s="398">
        <v>0</v>
      </c>
      <c r="AH106" s="223">
        <f t="shared" si="76"/>
        <v>50608.799999999996</v>
      </c>
      <c r="AI106" s="398">
        <f t="shared" si="77"/>
        <v>40487.040000000001</v>
      </c>
      <c r="AJ106" s="294"/>
      <c r="AK106" s="398">
        <v>1236.3000000000002</v>
      </c>
      <c r="AL106" s="398">
        <v>1045.2</v>
      </c>
      <c r="AM106" s="398">
        <v>990.75789473684222</v>
      </c>
      <c r="AN106" s="294"/>
      <c r="AO106" s="398">
        <f t="shared" si="78"/>
        <v>989.04000000000019</v>
      </c>
      <c r="AP106" s="398">
        <f t="shared" si="79"/>
        <v>836.16000000000008</v>
      </c>
      <c r="AQ106" s="398">
        <f t="shared" si="80"/>
        <v>792.6063157894738</v>
      </c>
      <c r="AR106" s="293"/>
      <c r="AS106" s="293">
        <v>0</v>
      </c>
      <c r="AT106" s="576">
        <f t="shared" si="81"/>
        <v>0</v>
      </c>
      <c r="AU106" s="293"/>
      <c r="AV106" s="293">
        <v>0</v>
      </c>
      <c r="AW106" s="293">
        <v>0</v>
      </c>
      <c r="AX106" s="293">
        <v>57392.4</v>
      </c>
      <c r="AY106" s="293">
        <v>3900</v>
      </c>
      <c r="AZ106" s="293">
        <v>0</v>
      </c>
      <c r="BA106" s="293">
        <v>0</v>
      </c>
      <c r="BB106" s="293">
        <v>1195.3499999999999</v>
      </c>
      <c r="BC106" s="293">
        <f t="shared" si="82"/>
        <v>62487.75</v>
      </c>
      <c r="BE106" s="58">
        <f t="shared" si="83"/>
        <v>0</v>
      </c>
      <c r="BF106" s="58">
        <f t="shared" si="84"/>
        <v>0</v>
      </c>
      <c r="BG106" s="58">
        <f t="shared" si="85"/>
        <v>1103.7000000000044</v>
      </c>
      <c r="BH106" s="58">
        <f t="shared" si="86"/>
        <v>195</v>
      </c>
      <c r="BI106" s="58">
        <f t="shared" si="87"/>
        <v>0</v>
      </c>
      <c r="BJ106" s="58">
        <f t="shared" si="88"/>
        <v>0</v>
      </c>
      <c r="BK106" s="58">
        <f t="shared" si="89"/>
        <v>-40.950000000000273</v>
      </c>
      <c r="BL106" s="58">
        <f t="shared" si="90"/>
        <v>1257.7500000000041</v>
      </c>
      <c r="BM106" s="33">
        <f t="shared" si="91"/>
        <v>0</v>
      </c>
      <c r="BN106" s="33"/>
      <c r="BO106" s="293">
        <f t="shared" si="115"/>
        <v>0</v>
      </c>
      <c r="BP106" s="293">
        <f t="shared" si="116"/>
        <v>0</v>
      </c>
      <c r="BQ106" s="293">
        <f t="shared" si="117"/>
        <v>12361.440000000002</v>
      </c>
      <c r="BR106" s="293">
        <f t="shared" si="118"/>
        <v>936</v>
      </c>
      <c r="BS106" s="293">
        <f t="shared" si="119"/>
        <v>0</v>
      </c>
      <c r="BT106" s="293">
        <f t="shared" si="120"/>
        <v>0</v>
      </c>
      <c r="BU106" s="293">
        <f t="shared" si="121"/>
        <v>206.30999999999972</v>
      </c>
      <c r="BV106" s="293">
        <f t="shared" si="70"/>
        <v>13503.750000000002</v>
      </c>
      <c r="BW106" s="293">
        <f t="shared" si="71"/>
        <v>0</v>
      </c>
      <c r="BX106" s="293">
        <v>0</v>
      </c>
      <c r="BY106" s="293">
        <v>0</v>
      </c>
      <c r="BZ106" s="293">
        <v>0</v>
      </c>
      <c r="CA106" s="293">
        <v>0</v>
      </c>
      <c r="CB106" s="293">
        <v>0</v>
      </c>
      <c r="CC106" s="293">
        <v>0</v>
      </c>
      <c r="CD106" s="293">
        <v>253.50000000000023</v>
      </c>
      <c r="CE106" s="293">
        <f t="shared" si="92"/>
        <v>253.50000000000023</v>
      </c>
      <c r="CF106" s="293"/>
      <c r="CG106" s="293">
        <v>0</v>
      </c>
      <c r="CH106" s="293">
        <v>0</v>
      </c>
      <c r="CI106" s="293">
        <v>50770.200000000004</v>
      </c>
      <c r="CJ106" s="293">
        <v>2340</v>
      </c>
      <c r="CK106" s="293">
        <v>149.24</v>
      </c>
      <c r="CL106" s="293">
        <v>0</v>
      </c>
      <c r="CM106" s="293">
        <v>1185.5999999999999</v>
      </c>
      <c r="CN106" s="293">
        <f t="shared" si="93"/>
        <v>54445.04</v>
      </c>
      <c r="CO106" s="293"/>
      <c r="CP106" s="58">
        <f t="shared" si="94"/>
        <v>0</v>
      </c>
      <c r="CQ106" s="223">
        <f t="shared" si="95"/>
        <v>0</v>
      </c>
      <c r="CR106" s="223">
        <f t="shared" si="96"/>
        <v>-3311.0999999999985</v>
      </c>
      <c r="CS106" s="223">
        <f t="shared" si="97"/>
        <v>0</v>
      </c>
      <c r="CT106" s="223">
        <f t="shared" si="98"/>
        <v>149.24</v>
      </c>
      <c r="CU106" s="223">
        <f t="shared" si="99"/>
        <v>0</v>
      </c>
      <c r="CV106" s="223">
        <f t="shared" si="100"/>
        <v>140.39999999999986</v>
      </c>
      <c r="CW106" s="223">
        <f t="shared" si="101"/>
        <v>-3021.4599999999991</v>
      </c>
      <c r="CX106" s="223">
        <f t="shared" si="102"/>
        <v>0</v>
      </c>
      <c r="CY106" s="58">
        <f t="shared" si="103"/>
        <v>0</v>
      </c>
      <c r="CZ106" s="399">
        <f t="shared" si="104"/>
        <v>0</v>
      </c>
      <c r="DA106" s="399">
        <f t="shared" si="105"/>
        <v>7505.1599999999962</v>
      </c>
      <c r="DB106" s="399">
        <f t="shared" si="106"/>
        <v>468</v>
      </c>
      <c r="DC106" s="399">
        <f t="shared" si="107"/>
        <v>149.24</v>
      </c>
      <c r="DD106" s="399">
        <f t="shared" si="108"/>
        <v>0</v>
      </c>
      <c r="DE106" s="399">
        <f t="shared" si="109"/>
        <v>349.43999999999983</v>
      </c>
      <c r="DF106" s="399">
        <f t="shared" si="110"/>
        <v>8471.8399999999965</v>
      </c>
      <c r="DG106" s="399">
        <f t="shared" si="111"/>
        <v>0</v>
      </c>
      <c r="DI106" s="399"/>
      <c r="DJ106" s="399"/>
      <c r="DK106" s="399"/>
      <c r="DL106" s="399"/>
      <c r="DM106" s="399"/>
      <c r="DN106" s="399"/>
      <c r="DO106" s="399"/>
      <c r="DP106" s="399"/>
      <c r="DQ106" s="399"/>
      <c r="DS106" s="399"/>
      <c r="DT106" s="399"/>
      <c r="DU106" s="399"/>
      <c r="DV106" s="399"/>
      <c r="DW106" s="399"/>
      <c r="DX106" s="399"/>
      <c r="DY106" s="399"/>
      <c r="DZ106" s="399"/>
      <c r="EB106" s="228">
        <f t="shared" si="112"/>
        <v>158465.9363157895</v>
      </c>
      <c r="EC106" s="228">
        <f t="shared" si="113"/>
        <v>0</v>
      </c>
      <c r="ED106" s="214">
        <f t="shared" si="114"/>
        <v>158465.9363157895</v>
      </c>
    </row>
    <row r="107" spans="1:134" hidden="1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3" t="str">
        <f>VLOOKUP(A107,'Summary Mar 2026'!$A$8:$F$207,6,FALSE)</f>
        <v>Chq Bk</v>
      </c>
      <c r="G107" s="33"/>
      <c r="H107" s="223">
        <v>0</v>
      </c>
      <c r="I107" s="294"/>
      <c r="J107" s="223">
        <v>0</v>
      </c>
      <c r="K107" s="223">
        <v>0</v>
      </c>
      <c r="L107" s="223">
        <v>0</v>
      </c>
      <c r="M107" s="223">
        <v>0</v>
      </c>
      <c r="N107" s="223">
        <v>0</v>
      </c>
      <c r="O107" s="223">
        <v>0</v>
      </c>
      <c r="P107" s="33">
        <f t="shared" si="72"/>
        <v>0</v>
      </c>
      <c r="Q107" s="223">
        <f t="shared" si="73"/>
        <v>0</v>
      </c>
      <c r="R107" s="294"/>
      <c r="S107" s="223">
        <v>0</v>
      </c>
      <c r="T107" s="223">
        <v>0</v>
      </c>
      <c r="U107" s="223">
        <v>0</v>
      </c>
      <c r="V107" s="223">
        <v>0</v>
      </c>
      <c r="W107" s="223">
        <v>0</v>
      </c>
      <c r="X107" s="223">
        <v>0</v>
      </c>
      <c r="Y107" s="223">
        <f t="shared" si="74"/>
        <v>0</v>
      </c>
      <c r="Z107" s="223">
        <f t="shared" si="75"/>
        <v>0</v>
      </c>
      <c r="AA107" s="294"/>
      <c r="AB107" s="398">
        <v>0</v>
      </c>
      <c r="AC107" s="398">
        <v>0</v>
      </c>
      <c r="AD107" s="398">
        <v>0</v>
      </c>
      <c r="AE107" s="398">
        <v>0</v>
      </c>
      <c r="AF107" s="398">
        <v>0</v>
      </c>
      <c r="AG107" s="398">
        <v>0</v>
      </c>
      <c r="AH107" s="223">
        <f t="shared" si="76"/>
        <v>0</v>
      </c>
      <c r="AI107" s="398">
        <f t="shared" si="77"/>
        <v>0</v>
      </c>
      <c r="AJ107" s="294"/>
      <c r="AK107" s="398">
        <v>0</v>
      </c>
      <c r="AL107" s="398">
        <v>0</v>
      </c>
      <c r="AM107" s="398">
        <v>0</v>
      </c>
      <c r="AN107" s="294"/>
      <c r="AO107" s="398">
        <f t="shared" si="78"/>
        <v>0</v>
      </c>
      <c r="AP107" s="398">
        <f t="shared" si="79"/>
        <v>0</v>
      </c>
      <c r="AQ107" s="398">
        <f t="shared" si="80"/>
        <v>0</v>
      </c>
      <c r="AR107" s="293"/>
      <c r="AS107" s="293">
        <v>0</v>
      </c>
      <c r="AT107" s="576">
        <f t="shared" si="81"/>
        <v>0</v>
      </c>
      <c r="AU107" s="293"/>
      <c r="AV107" s="293">
        <v>0</v>
      </c>
      <c r="AW107" s="293">
        <v>0</v>
      </c>
      <c r="AX107" s="293">
        <v>0</v>
      </c>
      <c r="AY107" s="293">
        <v>0</v>
      </c>
      <c r="AZ107" s="293">
        <v>0</v>
      </c>
      <c r="BA107" s="293">
        <v>0</v>
      </c>
      <c r="BB107" s="293">
        <v>0</v>
      </c>
      <c r="BC107" s="293">
        <f t="shared" si="82"/>
        <v>0</v>
      </c>
      <c r="BE107" s="58">
        <f t="shared" si="83"/>
        <v>0</v>
      </c>
      <c r="BF107" s="58">
        <f t="shared" si="84"/>
        <v>0</v>
      </c>
      <c r="BG107" s="58">
        <f t="shared" si="85"/>
        <v>0</v>
      </c>
      <c r="BH107" s="58">
        <f t="shared" si="86"/>
        <v>0</v>
      </c>
      <c r="BI107" s="58">
        <f t="shared" si="87"/>
        <v>0</v>
      </c>
      <c r="BJ107" s="58">
        <f t="shared" si="88"/>
        <v>0</v>
      </c>
      <c r="BK107" s="58">
        <f t="shared" si="89"/>
        <v>0</v>
      </c>
      <c r="BL107" s="58">
        <f t="shared" si="90"/>
        <v>0</v>
      </c>
      <c r="BM107" s="33">
        <f t="shared" si="91"/>
        <v>0</v>
      </c>
      <c r="BN107" s="33"/>
      <c r="BO107" s="293">
        <f t="shared" si="115"/>
        <v>0</v>
      </c>
      <c r="BP107" s="293">
        <f t="shared" si="116"/>
        <v>0</v>
      </c>
      <c r="BQ107" s="293">
        <f t="shared" si="117"/>
        <v>0</v>
      </c>
      <c r="BR107" s="293">
        <f t="shared" si="118"/>
        <v>0</v>
      </c>
      <c r="BS107" s="293">
        <f t="shared" si="119"/>
        <v>0</v>
      </c>
      <c r="BT107" s="293">
        <f t="shared" si="120"/>
        <v>0</v>
      </c>
      <c r="BU107" s="293">
        <f t="shared" si="121"/>
        <v>0</v>
      </c>
      <c r="BV107" s="293">
        <f t="shared" si="70"/>
        <v>0</v>
      </c>
      <c r="BW107" s="293">
        <f t="shared" si="71"/>
        <v>0</v>
      </c>
      <c r="BX107" s="293">
        <v>0</v>
      </c>
      <c r="BY107" s="293">
        <v>0</v>
      </c>
      <c r="BZ107" s="293">
        <v>0</v>
      </c>
      <c r="CA107" s="293">
        <v>0</v>
      </c>
      <c r="CB107" s="293">
        <v>0</v>
      </c>
      <c r="CC107" s="293">
        <v>0</v>
      </c>
      <c r="CD107" s="293">
        <v>0</v>
      </c>
      <c r="CE107" s="293">
        <f t="shared" si="92"/>
        <v>0</v>
      </c>
      <c r="CF107" s="293"/>
      <c r="CG107" s="293">
        <v>0</v>
      </c>
      <c r="CH107" s="293">
        <v>0</v>
      </c>
      <c r="CI107" s="293">
        <v>0</v>
      </c>
      <c r="CJ107" s="293">
        <v>0</v>
      </c>
      <c r="CK107" s="293">
        <v>0</v>
      </c>
      <c r="CL107" s="293">
        <v>0</v>
      </c>
      <c r="CM107" s="293">
        <v>0</v>
      </c>
      <c r="CN107" s="293">
        <f t="shared" si="93"/>
        <v>0</v>
      </c>
      <c r="CO107" s="293"/>
      <c r="CP107" s="58">
        <f t="shared" si="94"/>
        <v>0</v>
      </c>
      <c r="CQ107" s="223">
        <f t="shared" si="95"/>
        <v>0</v>
      </c>
      <c r="CR107" s="223">
        <f t="shared" si="96"/>
        <v>0</v>
      </c>
      <c r="CS107" s="223">
        <f t="shared" si="97"/>
        <v>0</v>
      </c>
      <c r="CT107" s="223">
        <f t="shared" si="98"/>
        <v>0</v>
      </c>
      <c r="CU107" s="223">
        <f t="shared" si="99"/>
        <v>0</v>
      </c>
      <c r="CV107" s="223">
        <f t="shared" si="100"/>
        <v>0</v>
      </c>
      <c r="CW107" s="223">
        <f t="shared" si="101"/>
        <v>0</v>
      </c>
      <c r="CX107" s="223">
        <f t="shared" si="102"/>
        <v>0</v>
      </c>
      <c r="CY107" s="58">
        <f t="shared" si="103"/>
        <v>0</v>
      </c>
      <c r="CZ107" s="399">
        <f t="shared" si="104"/>
        <v>0</v>
      </c>
      <c r="DA107" s="399">
        <f t="shared" si="105"/>
        <v>0</v>
      </c>
      <c r="DB107" s="399">
        <f t="shared" si="106"/>
        <v>0</v>
      </c>
      <c r="DC107" s="399">
        <f t="shared" si="107"/>
        <v>0</v>
      </c>
      <c r="DD107" s="399">
        <f t="shared" si="108"/>
        <v>0</v>
      </c>
      <c r="DE107" s="399">
        <f t="shared" si="109"/>
        <v>0</v>
      </c>
      <c r="DF107" s="399">
        <f t="shared" si="110"/>
        <v>0</v>
      </c>
      <c r="DG107" s="399">
        <f t="shared" si="111"/>
        <v>0</v>
      </c>
      <c r="DI107" s="399"/>
      <c r="DJ107" s="399"/>
      <c r="DK107" s="399"/>
      <c r="DL107" s="399"/>
      <c r="DM107" s="399"/>
      <c r="DN107" s="399"/>
      <c r="DO107" s="399"/>
      <c r="DP107" s="399"/>
      <c r="DQ107" s="399"/>
      <c r="DS107" s="399"/>
      <c r="DT107" s="399"/>
      <c r="DU107" s="399"/>
      <c r="DV107" s="399"/>
      <c r="DW107" s="399"/>
      <c r="DX107" s="399"/>
      <c r="DY107" s="399"/>
      <c r="DZ107" s="399"/>
      <c r="EB107" s="228">
        <f t="shared" si="112"/>
        <v>0</v>
      </c>
      <c r="EC107" s="228">
        <f t="shared" si="113"/>
        <v>0</v>
      </c>
      <c r="ED107" s="214">
        <f t="shared" si="114"/>
        <v>0</v>
      </c>
    </row>
    <row r="108" spans="1:134" hidden="1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3" t="str">
        <f>VLOOKUP(A108,'Summary Mar 2026'!$A$8:$F$207,6,FALSE)</f>
        <v>Chq Bk</v>
      </c>
      <c r="G108" s="33"/>
      <c r="H108" s="223">
        <v>0</v>
      </c>
      <c r="I108" s="294"/>
      <c r="J108" s="223">
        <v>0</v>
      </c>
      <c r="K108" s="223">
        <v>0</v>
      </c>
      <c r="L108" s="223">
        <v>34214.700000000004</v>
      </c>
      <c r="M108" s="223">
        <v>3510</v>
      </c>
      <c r="N108" s="223">
        <v>0</v>
      </c>
      <c r="O108" s="223">
        <v>0</v>
      </c>
      <c r="P108" s="33">
        <f t="shared" si="72"/>
        <v>37724.700000000004</v>
      </c>
      <c r="Q108" s="223">
        <f t="shared" si="73"/>
        <v>30179.760000000006</v>
      </c>
      <c r="R108" s="294"/>
      <c r="S108" s="223">
        <v>0</v>
      </c>
      <c r="T108" s="223">
        <v>0</v>
      </c>
      <c r="U108" s="223">
        <v>33111</v>
      </c>
      <c r="V108" s="223">
        <v>2925</v>
      </c>
      <c r="W108" s="223">
        <v>0</v>
      </c>
      <c r="X108" s="223">
        <v>0</v>
      </c>
      <c r="Y108" s="223">
        <f t="shared" si="74"/>
        <v>36036</v>
      </c>
      <c r="Z108" s="223">
        <f t="shared" si="75"/>
        <v>28828.800000000003</v>
      </c>
      <c r="AA108" s="294"/>
      <c r="AB108" s="398">
        <v>0</v>
      </c>
      <c r="AC108" s="398">
        <v>0</v>
      </c>
      <c r="AD108" s="398">
        <v>28955.36842105263</v>
      </c>
      <c r="AE108" s="398">
        <v>2785.2631578947367</v>
      </c>
      <c r="AF108" s="398">
        <v>0</v>
      </c>
      <c r="AG108" s="398">
        <v>0</v>
      </c>
      <c r="AH108" s="223">
        <f t="shared" si="76"/>
        <v>31740.631578947367</v>
      </c>
      <c r="AI108" s="398">
        <f t="shared" si="77"/>
        <v>25392.505263157895</v>
      </c>
      <c r="AJ108" s="294"/>
      <c r="AK108" s="398">
        <v>2322.4499999999998</v>
      </c>
      <c r="AL108" s="398">
        <v>2018.25</v>
      </c>
      <c r="AM108" s="398">
        <v>1891.1368421052628</v>
      </c>
      <c r="AN108" s="294"/>
      <c r="AO108" s="398">
        <f t="shared" si="78"/>
        <v>1857.96</v>
      </c>
      <c r="AP108" s="398">
        <f t="shared" si="79"/>
        <v>1614.6000000000001</v>
      </c>
      <c r="AQ108" s="398">
        <f t="shared" si="80"/>
        <v>1512.9094736842103</v>
      </c>
      <c r="AR108" s="293"/>
      <c r="AS108" s="293">
        <v>0</v>
      </c>
      <c r="AT108" s="576">
        <f t="shared" si="81"/>
        <v>0</v>
      </c>
      <c r="AU108" s="293"/>
      <c r="AV108" s="293">
        <v>0</v>
      </c>
      <c r="AW108" s="293">
        <v>0</v>
      </c>
      <c r="AX108" s="293">
        <v>29799.9</v>
      </c>
      <c r="AY108" s="293">
        <v>3900</v>
      </c>
      <c r="AZ108" s="293">
        <v>0</v>
      </c>
      <c r="BA108" s="293">
        <v>0</v>
      </c>
      <c r="BB108" s="293">
        <v>1764.7500000000002</v>
      </c>
      <c r="BC108" s="293">
        <f t="shared" si="82"/>
        <v>35464.65</v>
      </c>
      <c r="BE108" s="58">
        <f t="shared" si="83"/>
        <v>0</v>
      </c>
      <c r="BF108" s="58">
        <f t="shared" si="84"/>
        <v>0</v>
      </c>
      <c r="BG108" s="58">
        <f t="shared" si="85"/>
        <v>-4414.8000000000029</v>
      </c>
      <c r="BH108" s="58">
        <f t="shared" si="86"/>
        <v>390</v>
      </c>
      <c r="BI108" s="58">
        <f t="shared" si="87"/>
        <v>0</v>
      </c>
      <c r="BJ108" s="58">
        <f t="shared" si="88"/>
        <v>0</v>
      </c>
      <c r="BK108" s="58">
        <f t="shared" si="89"/>
        <v>-557.69999999999959</v>
      </c>
      <c r="BL108" s="58">
        <f t="shared" si="90"/>
        <v>-4582.5000000000027</v>
      </c>
      <c r="BM108" s="33">
        <f t="shared" si="91"/>
        <v>0</v>
      </c>
      <c r="BN108" s="33"/>
      <c r="BO108" s="293">
        <f t="shared" si="115"/>
        <v>0</v>
      </c>
      <c r="BP108" s="293">
        <f t="shared" si="116"/>
        <v>0</v>
      </c>
      <c r="BQ108" s="293">
        <f t="shared" si="117"/>
        <v>2428.1399999999958</v>
      </c>
      <c r="BR108" s="293">
        <f t="shared" si="118"/>
        <v>1092</v>
      </c>
      <c r="BS108" s="293">
        <f t="shared" si="119"/>
        <v>0</v>
      </c>
      <c r="BT108" s="293">
        <f t="shared" si="120"/>
        <v>0</v>
      </c>
      <c r="BU108" s="293">
        <f t="shared" si="121"/>
        <v>-93.209999999999809</v>
      </c>
      <c r="BV108" s="293">
        <f t="shared" si="70"/>
        <v>3426.9299999999957</v>
      </c>
      <c r="BW108" s="293">
        <f t="shared" si="71"/>
        <v>0</v>
      </c>
      <c r="BX108" s="293">
        <v>0</v>
      </c>
      <c r="BY108" s="293">
        <v>0</v>
      </c>
      <c r="BZ108" s="293">
        <v>0</v>
      </c>
      <c r="CA108" s="293">
        <v>0</v>
      </c>
      <c r="CB108" s="293">
        <v>0</v>
      </c>
      <c r="CC108" s="293">
        <v>0</v>
      </c>
      <c r="CD108" s="293">
        <v>0</v>
      </c>
      <c r="CE108" s="293">
        <f t="shared" si="92"/>
        <v>0</v>
      </c>
      <c r="CF108" s="293"/>
      <c r="CG108" s="293">
        <v>0</v>
      </c>
      <c r="CH108" s="293">
        <v>0</v>
      </c>
      <c r="CI108" s="293">
        <v>24281.4</v>
      </c>
      <c r="CJ108" s="293">
        <v>1170</v>
      </c>
      <c r="CK108" s="293">
        <v>0</v>
      </c>
      <c r="CL108" s="293">
        <v>0</v>
      </c>
      <c r="CM108" s="293">
        <v>1583.3999999999999</v>
      </c>
      <c r="CN108" s="293">
        <f t="shared" si="93"/>
        <v>27034.800000000003</v>
      </c>
      <c r="CO108" s="293"/>
      <c r="CP108" s="58">
        <f t="shared" si="94"/>
        <v>0</v>
      </c>
      <c r="CQ108" s="223">
        <f t="shared" si="95"/>
        <v>0</v>
      </c>
      <c r="CR108" s="223">
        <f t="shared" si="96"/>
        <v>-8829.5999999999985</v>
      </c>
      <c r="CS108" s="223">
        <f t="shared" si="97"/>
        <v>-1755</v>
      </c>
      <c r="CT108" s="223">
        <f t="shared" si="98"/>
        <v>0</v>
      </c>
      <c r="CU108" s="223">
        <f t="shared" si="99"/>
        <v>0</v>
      </c>
      <c r="CV108" s="223">
        <f t="shared" si="100"/>
        <v>-434.85000000000014</v>
      </c>
      <c r="CW108" s="223">
        <f t="shared" si="101"/>
        <v>-11019.449999999999</v>
      </c>
      <c r="CX108" s="223">
        <f t="shared" si="102"/>
        <v>0</v>
      </c>
      <c r="CY108" s="58">
        <f t="shared" si="103"/>
        <v>0</v>
      </c>
      <c r="CZ108" s="399">
        <f t="shared" si="104"/>
        <v>0</v>
      </c>
      <c r="DA108" s="399">
        <f t="shared" si="105"/>
        <v>-2207.4000000000015</v>
      </c>
      <c r="DB108" s="399">
        <f t="shared" si="106"/>
        <v>-1170</v>
      </c>
      <c r="DC108" s="399">
        <f t="shared" si="107"/>
        <v>0</v>
      </c>
      <c r="DD108" s="399">
        <f t="shared" si="108"/>
        <v>0</v>
      </c>
      <c r="DE108" s="399">
        <f t="shared" si="109"/>
        <v>-31.200000000000273</v>
      </c>
      <c r="DF108" s="399">
        <f t="shared" si="110"/>
        <v>-3408.6000000000017</v>
      </c>
      <c r="DG108" s="399">
        <f t="shared" si="111"/>
        <v>0</v>
      </c>
      <c r="DI108" s="399"/>
      <c r="DJ108" s="399"/>
      <c r="DK108" s="399"/>
      <c r="DL108" s="399"/>
      <c r="DM108" s="399"/>
      <c r="DN108" s="399"/>
      <c r="DO108" s="399"/>
      <c r="DP108" s="399"/>
      <c r="DQ108" s="399"/>
      <c r="DS108" s="399"/>
      <c r="DT108" s="399"/>
      <c r="DU108" s="399"/>
      <c r="DV108" s="399"/>
      <c r="DW108" s="399"/>
      <c r="DX108" s="399"/>
      <c r="DY108" s="399"/>
      <c r="DZ108" s="399"/>
      <c r="EB108" s="228">
        <f t="shared" si="112"/>
        <v>89404.864736842108</v>
      </c>
      <c r="EC108" s="228">
        <f t="shared" si="113"/>
        <v>0</v>
      </c>
      <c r="ED108" s="214">
        <f t="shared" si="114"/>
        <v>89404.864736842108</v>
      </c>
    </row>
    <row r="109" spans="1:134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3" t="str">
        <f>VLOOKUP(A109,'Summary Mar 2026'!$A$8:$F$207,6,FALSE)</f>
        <v>Chq Bk</v>
      </c>
      <c r="G109" s="33"/>
      <c r="H109" s="223">
        <v>299273.27355248138</v>
      </c>
      <c r="I109" s="294"/>
      <c r="J109" s="223">
        <v>0</v>
      </c>
      <c r="K109" s="223">
        <v>76334.7</v>
      </c>
      <c r="L109" s="223">
        <v>205288.2</v>
      </c>
      <c r="M109" s="223">
        <v>16965</v>
      </c>
      <c r="N109" s="223">
        <v>6413.7894736842109</v>
      </c>
      <c r="O109" s="223">
        <v>3208.9473684210525</v>
      </c>
      <c r="P109" s="33">
        <f t="shared" si="72"/>
        <v>308210.6368421053</v>
      </c>
      <c r="Q109" s="223">
        <f t="shared" si="73"/>
        <v>246568.50947368424</v>
      </c>
      <c r="R109" s="294"/>
      <c r="S109" s="223">
        <v>0</v>
      </c>
      <c r="T109" s="223">
        <v>79653.599999999991</v>
      </c>
      <c r="U109" s="223">
        <v>103747.80000000002</v>
      </c>
      <c r="V109" s="223">
        <v>13650</v>
      </c>
      <c r="W109" s="223">
        <v>5220.5263157894742</v>
      </c>
      <c r="X109" s="223">
        <v>1925.3684210526317</v>
      </c>
      <c r="Y109" s="223">
        <f t="shared" si="74"/>
        <v>204197.29473684213</v>
      </c>
      <c r="Z109" s="223">
        <f t="shared" si="75"/>
        <v>163357.83578947373</v>
      </c>
      <c r="AA109" s="294"/>
      <c r="AB109" s="398">
        <v>0</v>
      </c>
      <c r="AC109" s="398">
        <v>57563.431578947369</v>
      </c>
      <c r="AD109" s="398">
        <v>138985.76842105263</v>
      </c>
      <c r="AE109" s="398">
        <v>11595.78947368421</v>
      </c>
      <c r="AF109" s="398">
        <v>4369.6620498614957</v>
      </c>
      <c r="AG109" s="398">
        <v>2338.5041551246541</v>
      </c>
      <c r="AH109" s="223">
        <f t="shared" si="76"/>
        <v>214853.15567867039</v>
      </c>
      <c r="AI109" s="398">
        <f t="shared" si="77"/>
        <v>171882.52454293633</v>
      </c>
      <c r="AJ109" s="294"/>
      <c r="AK109" s="398">
        <v>8326.5</v>
      </c>
      <c r="AL109" s="398">
        <v>5169.45</v>
      </c>
      <c r="AM109" s="398">
        <v>5432.968421052632</v>
      </c>
      <c r="AN109" s="294"/>
      <c r="AO109" s="398">
        <f t="shared" si="78"/>
        <v>6661.2000000000007</v>
      </c>
      <c r="AP109" s="398">
        <f t="shared" si="79"/>
        <v>4135.5600000000004</v>
      </c>
      <c r="AQ109" s="398">
        <f t="shared" si="80"/>
        <v>4346.3747368421054</v>
      </c>
      <c r="AR109" s="293"/>
      <c r="AS109" s="293">
        <v>297945.35338077939</v>
      </c>
      <c r="AT109" s="576">
        <f t="shared" si="81"/>
        <v>-1327.9201717019896</v>
      </c>
      <c r="AU109" s="293"/>
      <c r="AV109" s="293">
        <v>0</v>
      </c>
      <c r="AW109" s="293">
        <v>76334.7</v>
      </c>
      <c r="AX109" s="293">
        <v>182110.5</v>
      </c>
      <c r="AY109" s="293">
        <v>20085</v>
      </c>
      <c r="AZ109" s="293">
        <v>7681.6315789473683</v>
      </c>
      <c r="BA109" s="293">
        <v>5455.13</v>
      </c>
      <c r="BB109" s="293">
        <v>7835.0999999999995</v>
      </c>
      <c r="BC109" s="293">
        <f t="shared" si="82"/>
        <v>597447.41495972674</v>
      </c>
      <c r="BE109" s="58">
        <f t="shared" si="83"/>
        <v>0</v>
      </c>
      <c r="BF109" s="58">
        <f t="shared" si="84"/>
        <v>0</v>
      </c>
      <c r="BG109" s="58">
        <f t="shared" si="85"/>
        <v>-23177.700000000012</v>
      </c>
      <c r="BH109" s="58">
        <f t="shared" si="86"/>
        <v>3120</v>
      </c>
      <c r="BI109" s="58">
        <f t="shared" si="87"/>
        <v>1267.8421052631575</v>
      </c>
      <c r="BJ109" s="58">
        <f t="shared" si="88"/>
        <v>2246.1826315789476</v>
      </c>
      <c r="BK109" s="58">
        <f t="shared" si="89"/>
        <v>-491.40000000000055</v>
      </c>
      <c r="BL109" s="58">
        <f t="shared" si="90"/>
        <v>-18362.995434859899</v>
      </c>
      <c r="BM109" s="33">
        <f t="shared" si="91"/>
        <v>0</v>
      </c>
      <c r="BN109" s="33"/>
      <c r="BO109" s="293">
        <f t="shared" si="115"/>
        <v>0</v>
      </c>
      <c r="BP109" s="293">
        <f t="shared" si="116"/>
        <v>15266.939999999995</v>
      </c>
      <c r="BQ109" s="293">
        <f t="shared" si="117"/>
        <v>17879.939999999973</v>
      </c>
      <c r="BR109" s="293">
        <f t="shared" si="118"/>
        <v>6513</v>
      </c>
      <c r="BS109" s="293">
        <f t="shared" si="119"/>
        <v>2550.5999999999995</v>
      </c>
      <c r="BT109" s="293">
        <f t="shared" si="120"/>
        <v>2887.972105263158</v>
      </c>
      <c r="BU109" s="293">
        <f t="shared" si="121"/>
        <v>1173.8999999999987</v>
      </c>
      <c r="BV109" s="293">
        <f t="shared" si="70"/>
        <v>44944.431933561136</v>
      </c>
      <c r="BW109" s="293">
        <f t="shared" si="71"/>
        <v>5.8207660913467407E-11</v>
      </c>
      <c r="BX109" s="293">
        <v>0</v>
      </c>
      <c r="BY109" s="293">
        <v>-3318.9000000000087</v>
      </c>
      <c r="BZ109" s="293">
        <v>0</v>
      </c>
      <c r="CA109" s="293">
        <v>0</v>
      </c>
      <c r="CB109" s="293">
        <v>1678.0263157894733</v>
      </c>
      <c r="CC109" s="293">
        <v>10490.869999999999</v>
      </c>
      <c r="CD109" s="293">
        <v>2148.9000000000005</v>
      </c>
      <c r="CE109" s="293">
        <f t="shared" si="92"/>
        <v>10998.896315789465</v>
      </c>
      <c r="CF109" s="293"/>
      <c r="CG109" s="293">
        <v>0</v>
      </c>
      <c r="CH109" s="293">
        <v>87950.85</v>
      </c>
      <c r="CI109" s="293">
        <v>101540.4</v>
      </c>
      <c r="CJ109" s="293">
        <v>13845</v>
      </c>
      <c r="CK109" s="293">
        <v>6192.42</v>
      </c>
      <c r="CL109" s="293">
        <v>4690</v>
      </c>
      <c r="CM109" s="293">
        <v>6029.4</v>
      </c>
      <c r="CN109" s="293">
        <f t="shared" si="93"/>
        <v>220248.07</v>
      </c>
      <c r="CO109" s="293"/>
      <c r="CP109" s="58">
        <f t="shared" si="94"/>
        <v>0</v>
      </c>
      <c r="CQ109" s="223">
        <f t="shared" si="95"/>
        <v>8297.2500000000146</v>
      </c>
      <c r="CR109" s="223">
        <f t="shared" si="96"/>
        <v>-2207.4000000000233</v>
      </c>
      <c r="CS109" s="223">
        <f t="shared" si="97"/>
        <v>195</v>
      </c>
      <c r="CT109" s="223">
        <f t="shared" si="98"/>
        <v>971.89368421052586</v>
      </c>
      <c r="CU109" s="223">
        <f t="shared" si="99"/>
        <v>2764.6315789473683</v>
      </c>
      <c r="CV109" s="223">
        <f t="shared" si="100"/>
        <v>859.94999999999982</v>
      </c>
      <c r="CW109" s="223">
        <f t="shared" si="101"/>
        <v>10881.325263157887</v>
      </c>
      <c r="CX109" s="223">
        <f t="shared" si="102"/>
        <v>0</v>
      </c>
      <c r="CY109" s="58">
        <f t="shared" si="103"/>
        <v>0</v>
      </c>
      <c r="CZ109" s="399">
        <f t="shared" si="104"/>
        <v>24227.970000000008</v>
      </c>
      <c r="DA109" s="399">
        <f t="shared" si="105"/>
        <v>18542.159999999974</v>
      </c>
      <c r="DB109" s="399">
        <f t="shared" si="106"/>
        <v>2925</v>
      </c>
      <c r="DC109" s="399">
        <f t="shared" si="107"/>
        <v>2015.9989473684209</v>
      </c>
      <c r="DD109" s="399">
        <f t="shared" si="108"/>
        <v>3149.7052631578945</v>
      </c>
      <c r="DE109" s="399">
        <f t="shared" si="109"/>
        <v>1893.8399999999992</v>
      </c>
      <c r="DF109" s="399">
        <f t="shared" si="110"/>
        <v>52754.674210526289</v>
      </c>
      <c r="DG109" s="399">
        <f t="shared" si="111"/>
        <v>0</v>
      </c>
      <c r="DI109" s="399"/>
      <c r="DJ109" s="399"/>
      <c r="DK109" s="399"/>
      <c r="DL109" s="399"/>
      <c r="DM109" s="399"/>
      <c r="DN109" s="399"/>
      <c r="DO109" s="399"/>
      <c r="DP109" s="399"/>
      <c r="DQ109" s="399"/>
      <c r="DS109" s="399"/>
      <c r="DT109" s="399"/>
      <c r="DU109" s="399"/>
      <c r="DV109" s="399"/>
      <c r="DW109" s="399"/>
      <c r="DX109" s="399"/>
      <c r="DY109" s="399"/>
      <c r="DZ109" s="399"/>
      <c r="EB109" s="228">
        <f t="shared" si="112"/>
        <v>982416.47723119496</v>
      </c>
      <c r="EC109" s="228">
        <f t="shared" si="113"/>
        <v>22506.803324099725</v>
      </c>
      <c r="ED109" s="214">
        <f t="shared" si="114"/>
        <v>1004923.2805552947</v>
      </c>
    </row>
    <row r="110" spans="1:134" hidden="1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3" t="str">
        <f>VLOOKUP(A110,'Summary Mar 2026'!$A$8:$F$207,6,FALSE)</f>
        <v>Chq Bk</v>
      </c>
      <c r="G110" s="33"/>
      <c r="H110" s="223">
        <v>0</v>
      </c>
      <c r="I110" s="294"/>
      <c r="J110" s="223">
        <v>0</v>
      </c>
      <c r="K110" s="223">
        <v>0</v>
      </c>
      <c r="L110" s="223">
        <v>0</v>
      </c>
      <c r="M110" s="223">
        <v>0</v>
      </c>
      <c r="N110" s="223">
        <v>0</v>
      </c>
      <c r="O110" s="223">
        <v>0</v>
      </c>
      <c r="P110" s="33">
        <f t="shared" si="72"/>
        <v>0</v>
      </c>
      <c r="Q110" s="223">
        <f t="shared" si="73"/>
        <v>0</v>
      </c>
      <c r="R110" s="294"/>
      <c r="S110" s="223">
        <v>0</v>
      </c>
      <c r="T110" s="223">
        <v>0</v>
      </c>
      <c r="U110" s="223">
        <v>0</v>
      </c>
      <c r="V110" s="223">
        <v>0</v>
      </c>
      <c r="W110" s="223">
        <v>0</v>
      </c>
      <c r="X110" s="223">
        <v>0</v>
      </c>
      <c r="Y110" s="223">
        <f t="shared" si="74"/>
        <v>0</v>
      </c>
      <c r="Z110" s="223">
        <f t="shared" si="75"/>
        <v>0</v>
      </c>
      <c r="AA110" s="294"/>
      <c r="AB110" s="398">
        <v>0</v>
      </c>
      <c r="AC110" s="398">
        <v>0</v>
      </c>
      <c r="AD110" s="398">
        <v>0</v>
      </c>
      <c r="AE110" s="398">
        <v>0</v>
      </c>
      <c r="AF110" s="398">
        <v>0</v>
      </c>
      <c r="AG110" s="398">
        <v>0</v>
      </c>
      <c r="AH110" s="223">
        <f t="shared" si="76"/>
        <v>0</v>
      </c>
      <c r="AI110" s="398">
        <f t="shared" si="77"/>
        <v>0</v>
      </c>
      <c r="AJ110" s="294"/>
      <c r="AK110" s="398">
        <v>0</v>
      </c>
      <c r="AL110" s="398">
        <v>0</v>
      </c>
      <c r="AM110" s="398">
        <v>0</v>
      </c>
      <c r="AN110" s="294"/>
      <c r="AO110" s="398">
        <f t="shared" si="78"/>
        <v>0</v>
      </c>
      <c r="AP110" s="398">
        <f t="shared" si="79"/>
        <v>0</v>
      </c>
      <c r="AQ110" s="398">
        <f t="shared" si="80"/>
        <v>0</v>
      </c>
      <c r="AR110" s="293"/>
      <c r="AS110" s="293">
        <v>0</v>
      </c>
      <c r="AT110" s="576">
        <f t="shared" si="81"/>
        <v>0</v>
      </c>
      <c r="AU110" s="293"/>
      <c r="AV110" s="293">
        <v>0</v>
      </c>
      <c r="AW110" s="293">
        <v>0</v>
      </c>
      <c r="AX110" s="293">
        <v>0</v>
      </c>
      <c r="AY110" s="293">
        <v>0</v>
      </c>
      <c r="AZ110" s="293">
        <v>0</v>
      </c>
      <c r="BA110" s="293">
        <v>0</v>
      </c>
      <c r="BB110" s="293">
        <v>0</v>
      </c>
      <c r="BC110" s="293">
        <f t="shared" si="82"/>
        <v>0</v>
      </c>
      <c r="BE110" s="58">
        <f t="shared" si="83"/>
        <v>0</v>
      </c>
      <c r="BF110" s="58">
        <f t="shared" si="84"/>
        <v>0</v>
      </c>
      <c r="BG110" s="58">
        <f t="shared" si="85"/>
        <v>0</v>
      </c>
      <c r="BH110" s="58">
        <f t="shared" si="86"/>
        <v>0</v>
      </c>
      <c r="BI110" s="58">
        <f t="shared" si="87"/>
        <v>0</v>
      </c>
      <c r="BJ110" s="58">
        <f t="shared" si="88"/>
        <v>0</v>
      </c>
      <c r="BK110" s="58">
        <f t="shared" si="89"/>
        <v>0</v>
      </c>
      <c r="BL110" s="58">
        <f t="shared" si="90"/>
        <v>0</v>
      </c>
      <c r="BM110" s="33">
        <f t="shared" si="91"/>
        <v>0</v>
      </c>
      <c r="BN110" s="33"/>
      <c r="BO110" s="293">
        <f t="shared" si="115"/>
        <v>0</v>
      </c>
      <c r="BP110" s="293">
        <f t="shared" si="116"/>
        <v>0</v>
      </c>
      <c r="BQ110" s="293">
        <f t="shared" si="117"/>
        <v>0</v>
      </c>
      <c r="BR110" s="293">
        <f t="shared" si="118"/>
        <v>0</v>
      </c>
      <c r="BS110" s="293">
        <f t="shared" si="119"/>
        <v>0</v>
      </c>
      <c r="BT110" s="293">
        <f t="shared" si="120"/>
        <v>0</v>
      </c>
      <c r="BU110" s="293">
        <f t="shared" si="121"/>
        <v>0</v>
      </c>
      <c r="BV110" s="293">
        <f t="shared" si="70"/>
        <v>0</v>
      </c>
      <c r="BW110" s="293">
        <f t="shared" si="71"/>
        <v>0</v>
      </c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58">
        <f t="shared" si="94"/>
        <v>0</v>
      </c>
      <c r="CQ110" s="223">
        <f t="shared" si="95"/>
        <v>0</v>
      </c>
      <c r="CR110" s="223">
        <f t="shared" si="96"/>
        <v>0</v>
      </c>
      <c r="CS110" s="223">
        <f t="shared" si="97"/>
        <v>0</v>
      </c>
      <c r="CT110" s="223">
        <f t="shared" si="98"/>
        <v>0</v>
      </c>
      <c r="CU110" s="223">
        <f t="shared" si="99"/>
        <v>0</v>
      </c>
      <c r="CV110" s="223">
        <f t="shared" si="100"/>
        <v>0</v>
      </c>
      <c r="CW110" s="223">
        <f t="shared" si="101"/>
        <v>0</v>
      </c>
      <c r="CX110" s="223">
        <f t="shared" si="102"/>
        <v>0</v>
      </c>
      <c r="CY110" s="58">
        <f t="shared" si="103"/>
        <v>0</v>
      </c>
      <c r="CZ110" s="399">
        <f t="shared" si="104"/>
        <v>0</v>
      </c>
      <c r="DA110" s="399">
        <f t="shared" si="105"/>
        <v>0</v>
      </c>
      <c r="DB110" s="399">
        <f t="shared" si="106"/>
        <v>0</v>
      </c>
      <c r="DC110" s="399">
        <f t="shared" si="107"/>
        <v>0</v>
      </c>
      <c r="DD110" s="399">
        <f t="shared" si="108"/>
        <v>0</v>
      </c>
      <c r="DE110" s="399">
        <f t="shared" si="109"/>
        <v>0</v>
      </c>
      <c r="DF110" s="399">
        <f t="shared" si="110"/>
        <v>0</v>
      </c>
      <c r="DG110" s="399">
        <f t="shared" si="111"/>
        <v>0</v>
      </c>
      <c r="DI110" s="399"/>
      <c r="DJ110" s="399"/>
      <c r="DK110" s="399"/>
      <c r="DL110" s="399"/>
      <c r="DM110" s="399"/>
      <c r="DN110" s="399"/>
      <c r="DO110" s="399"/>
      <c r="DP110" s="399"/>
      <c r="DQ110" s="399"/>
      <c r="DS110" s="399"/>
      <c r="DT110" s="399"/>
      <c r="DU110" s="399"/>
      <c r="DV110" s="399"/>
      <c r="DW110" s="399"/>
      <c r="DX110" s="399"/>
      <c r="DY110" s="399"/>
      <c r="DZ110" s="399"/>
      <c r="EB110" s="228">
        <f t="shared" si="112"/>
        <v>0</v>
      </c>
      <c r="EC110" s="228">
        <f t="shared" si="113"/>
        <v>0</v>
      </c>
      <c r="ED110" s="214">
        <f t="shared" si="114"/>
        <v>0</v>
      </c>
    </row>
    <row r="111" spans="1:134" hidden="1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3" t="str">
        <f>VLOOKUP(A111,'Summary Mar 2026'!$A$8:$F$207,6,FALSE)</f>
        <v>Chq Bk</v>
      </c>
      <c r="G111" s="33"/>
      <c r="H111" s="223">
        <v>0</v>
      </c>
      <c r="I111" s="294"/>
      <c r="J111" s="223">
        <v>0</v>
      </c>
      <c r="K111" s="223">
        <v>0</v>
      </c>
      <c r="L111" s="223">
        <v>0</v>
      </c>
      <c r="M111" s="223">
        <v>0</v>
      </c>
      <c r="N111" s="223">
        <v>0</v>
      </c>
      <c r="O111" s="223">
        <v>0</v>
      </c>
      <c r="P111" s="33">
        <f t="shared" si="72"/>
        <v>0</v>
      </c>
      <c r="Q111" s="223">
        <f t="shared" si="73"/>
        <v>0</v>
      </c>
      <c r="R111" s="294"/>
      <c r="S111" s="223">
        <v>0</v>
      </c>
      <c r="T111" s="223">
        <v>0</v>
      </c>
      <c r="U111" s="223">
        <v>0</v>
      </c>
      <c r="V111" s="223">
        <v>0</v>
      </c>
      <c r="W111" s="223">
        <v>0</v>
      </c>
      <c r="X111" s="223">
        <v>0</v>
      </c>
      <c r="Y111" s="223">
        <f t="shared" si="74"/>
        <v>0</v>
      </c>
      <c r="Z111" s="223">
        <f t="shared" si="75"/>
        <v>0</v>
      </c>
      <c r="AA111" s="294"/>
      <c r="AB111" s="398">
        <v>0</v>
      </c>
      <c r="AC111" s="398">
        <v>0</v>
      </c>
      <c r="AD111" s="398">
        <v>0</v>
      </c>
      <c r="AE111" s="398">
        <v>0</v>
      </c>
      <c r="AF111" s="398">
        <v>0</v>
      </c>
      <c r="AG111" s="398">
        <v>0</v>
      </c>
      <c r="AH111" s="223">
        <f t="shared" si="76"/>
        <v>0</v>
      </c>
      <c r="AI111" s="398">
        <f t="shared" si="77"/>
        <v>0</v>
      </c>
      <c r="AJ111" s="294"/>
      <c r="AK111" s="398">
        <v>0</v>
      </c>
      <c r="AL111" s="398">
        <v>0</v>
      </c>
      <c r="AM111" s="398">
        <v>0</v>
      </c>
      <c r="AN111" s="294"/>
      <c r="AO111" s="398">
        <f t="shared" si="78"/>
        <v>0</v>
      </c>
      <c r="AP111" s="398">
        <f t="shared" si="79"/>
        <v>0</v>
      </c>
      <c r="AQ111" s="398">
        <f t="shared" si="80"/>
        <v>0</v>
      </c>
      <c r="AR111" s="293"/>
      <c r="AS111" s="293">
        <v>0</v>
      </c>
      <c r="AT111" s="576">
        <f t="shared" si="81"/>
        <v>0</v>
      </c>
      <c r="AU111" s="293"/>
      <c r="AV111" s="293">
        <v>0</v>
      </c>
      <c r="AW111" s="293">
        <v>0</v>
      </c>
      <c r="AX111" s="293">
        <v>0</v>
      </c>
      <c r="AY111" s="293">
        <v>0</v>
      </c>
      <c r="AZ111" s="293">
        <v>0</v>
      </c>
      <c r="BA111" s="293">
        <v>0</v>
      </c>
      <c r="BB111" s="293">
        <v>0</v>
      </c>
      <c r="BC111" s="293">
        <f t="shared" si="82"/>
        <v>0</v>
      </c>
      <c r="BE111" s="58">
        <f t="shared" si="83"/>
        <v>0</v>
      </c>
      <c r="BF111" s="58">
        <f t="shared" si="84"/>
        <v>0</v>
      </c>
      <c r="BG111" s="58">
        <f t="shared" si="85"/>
        <v>0</v>
      </c>
      <c r="BH111" s="58">
        <f t="shared" si="86"/>
        <v>0</v>
      </c>
      <c r="BI111" s="58">
        <f t="shared" si="87"/>
        <v>0</v>
      </c>
      <c r="BJ111" s="58">
        <f t="shared" si="88"/>
        <v>0</v>
      </c>
      <c r="BK111" s="58">
        <f t="shared" si="89"/>
        <v>0</v>
      </c>
      <c r="BL111" s="58">
        <f t="shared" si="90"/>
        <v>0</v>
      </c>
      <c r="BM111" s="33">
        <f t="shared" si="91"/>
        <v>0</v>
      </c>
      <c r="BN111" s="33"/>
      <c r="BO111" s="293">
        <f t="shared" si="115"/>
        <v>0</v>
      </c>
      <c r="BP111" s="293">
        <f t="shared" si="116"/>
        <v>0</v>
      </c>
      <c r="BQ111" s="293">
        <f t="shared" si="117"/>
        <v>0</v>
      </c>
      <c r="BR111" s="293">
        <f t="shared" si="118"/>
        <v>0</v>
      </c>
      <c r="BS111" s="293">
        <f t="shared" si="119"/>
        <v>0</v>
      </c>
      <c r="BT111" s="293">
        <f t="shared" si="120"/>
        <v>0</v>
      </c>
      <c r="BU111" s="293">
        <f t="shared" si="121"/>
        <v>0</v>
      </c>
      <c r="BV111" s="293">
        <f t="shared" si="70"/>
        <v>0</v>
      </c>
      <c r="BW111" s="293">
        <f t="shared" si="71"/>
        <v>0</v>
      </c>
      <c r="BX111" s="293">
        <v>0</v>
      </c>
      <c r="BY111" s="293">
        <v>0</v>
      </c>
      <c r="BZ111" s="293">
        <v>0</v>
      </c>
      <c r="CA111" s="293">
        <v>0</v>
      </c>
      <c r="CB111" s="293">
        <v>0</v>
      </c>
      <c r="CC111" s="293">
        <v>0</v>
      </c>
      <c r="CD111" s="293">
        <v>0</v>
      </c>
      <c r="CE111" s="293">
        <f t="shared" si="92"/>
        <v>0</v>
      </c>
      <c r="CF111" s="293"/>
      <c r="CG111" s="293">
        <v>0</v>
      </c>
      <c r="CH111" s="293">
        <v>0</v>
      </c>
      <c r="CI111" s="293">
        <v>0</v>
      </c>
      <c r="CJ111" s="293">
        <v>0</v>
      </c>
      <c r="CK111" s="293">
        <v>0</v>
      </c>
      <c r="CL111" s="293">
        <v>0</v>
      </c>
      <c r="CM111" s="293">
        <v>0</v>
      </c>
      <c r="CN111" s="293">
        <f t="shared" si="93"/>
        <v>0</v>
      </c>
      <c r="CO111" s="293"/>
      <c r="CP111" s="58">
        <f t="shared" si="94"/>
        <v>0</v>
      </c>
      <c r="CQ111" s="223">
        <f t="shared" si="95"/>
        <v>0</v>
      </c>
      <c r="CR111" s="223">
        <f t="shared" si="96"/>
        <v>0</v>
      </c>
      <c r="CS111" s="223">
        <f t="shared" si="97"/>
        <v>0</v>
      </c>
      <c r="CT111" s="223">
        <f t="shared" si="98"/>
        <v>0</v>
      </c>
      <c r="CU111" s="223">
        <f t="shared" si="99"/>
        <v>0</v>
      </c>
      <c r="CV111" s="223">
        <f t="shared" si="100"/>
        <v>0</v>
      </c>
      <c r="CW111" s="223">
        <f t="shared" si="101"/>
        <v>0</v>
      </c>
      <c r="CX111" s="223">
        <f t="shared" si="102"/>
        <v>0</v>
      </c>
      <c r="CY111" s="58">
        <f t="shared" si="103"/>
        <v>0</v>
      </c>
      <c r="CZ111" s="399">
        <f t="shared" si="104"/>
        <v>0</v>
      </c>
      <c r="DA111" s="399">
        <f t="shared" si="105"/>
        <v>0</v>
      </c>
      <c r="DB111" s="399">
        <f t="shared" si="106"/>
        <v>0</v>
      </c>
      <c r="DC111" s="399">
        <f t="shared" si="107"/>
        <v>0</v>
      </c>
      <c r="DD111" s="399">
        <f t="shared" si="108"/>
        <v>0</v>
      </c>
      <c r="DE111" s="399">
        <f t="shared" si="109"/>
        <v>0</v>
      </c>
      <c r="DF111" s="399">
        <f t="shared" si="110"/>
        <v>0</v>
      </c>
      <c r="DG111" s="399">
        <f t="shared" si="111"/>
        <v>0</v>
      </c>
      <c r="DI111" s="399"/>
      <c r="DJ111" s="399"/>
      <c r="DK111" s="399"/>
      <c r="DL111" s="399"/>
      <c r="DM111" s="399"/>
      <c r="DN111" s="399"/>
      <c r="DO111" s="399"/>
      <c r="DP111" s="399"/>
      <c r="DQ111" s="399"/>
      <c r="DS111" s="399"/>
      <c r="DT111" s="399"/>
      <c r="DU111" s="399"/>
      <c r="DV111" s="399"/>
      <c r="DW111" s="399"/>
      <c r="DX111" s="399"/>
      <c r="DY111" s="399"/>
      <c r="DZ111" s="399"/>
      <c r="EB111" s="228">
        <f t="shared" si="112"/>
        <v>0</v>
      </c>
      <c r="EC111" s="228">
        <f t="shared" si="113"/>
        <v>0</v>
      </c>
      <c r="ED111" s="214">
        <f t="shared" si="114"/>
        <v>0</v>
      </c>
    </row>
    <row r="112" spans="1:134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3" t="str">
        <f>VLOOKUP(A112,'Summary Mar 2026'!$A$8:$F$207,6,FALSE)</f>
        <v>Chq Bk</v>
      </c>
      <c r="G112" s="33"/>
      <c r="H112" s="223">
        <v>0</v>
      </c>
      <c r="I112" s="294"/>
      <c r="J112" s="223">
        <v>0</v>
      </c>
      <c r="K112" s="223">
        <v>0</v>
      </c>
      <c r="L112" s="223">
        <v>39733.200000000004</v>
      </c>
      <c r="M112" s="223">
        <v>3900</v>
      </c>
      <c r="N112" s="223">
        <v>0</v>
      </c>
      <c r="O112" s="223">
        <v>0</v>
      </c>
      <c r="P112" s="33">
        <f t="shared" si="72"/>
        <v>43633.200000000004</v>
      </c>
      <c r="Q112" s="223">
        <f t="shared" si="73"/>
        <v>34906.560000000005</v>
      </c>
      <c r="R112" s="294"/>
      <c r="S112" s="223">
        <v>0</v>
      </c>
      <c r="T112" s="223">
        <v>0</v>
      </c>
      <c r="U112" s="223">
        <v>35318.400000000001</v>
      </c>
      <c r="V112" s="223">
        <v>2535</v>
      </c>
      <c r="W112" s="223">
        <v>969.52631578947376</v>
      </c>
      <c r="X112" s="223">
        <v>0</v>
      </c>
      <c r="Y112" s="223">
        <f t="shared" si="74"/>
        <v>38822.926315789475</v>
      </c>
      <c r="Z112" s="223">
        <f t="shared" si="75"/>
        <v>31058.341052631582</v>
      </c>
      <c r="AA112" s="294"/>
      <c r="AB112" s="398">
        <v>0</v>
      </c>
      <c r="AC112" s="398">
        <v>0</v>
      </c>
      <c r="AD112" s="398">
        <v>32172.631578947374</v>
      </c>
      <c r="AE112" s="398">
        <v>2842.105263157895</v>
      </c>
      <c r="AF112" s="398">
        <v>304.35457063711908</v>
      </c>
      <c r="AG112" s="398">
        <v>0</v>
      </c>
      <c r="AH112" s="223">
        <f t="shared" si="76"/>
        <v>35319.091412742389</v>
      </c>
      <c r="AI112" s="398">
        <f t="shared" si="77"/>
        <v>28255.273130193913</v>
      </c>
      <c r="AJ112" s="294"/>
      <c r="AK112" s="398">
        <v>2154.75</v>
      </c>
      <c r="AL112" s="398">
        <v>2039.6999999999998</v>
      </c>
      <c r="AM112" s="398">
        <v>1700.1473684210523</v>
      </c>
      <c r="AN112" s="294"/>
      <c r="AO112" s="398">
        <f t="shared" si="78"/>
        <v>1723.8000000000002</v>
      </c>
      <c r="AP112" s="398">
        <f t="shared" si="79"/>
        <v>1631.76</v>
      </c>
      <c r="AQ112" s="398">
        <f t="shared" si="80"/>
        <v>1360.1178947368419</v>
      </c>
      <c r="AR112" s="293"/>
      <c r="AS112" s="293">
        <v>0</v>
      </c>
      <c r="AT112" s="576">
        <f t="shared" si="81"/>
        <v>0</v>
      </c>
      <c r="AU112" s="293"/>
      <c r="AV112" s="293">
        <v>0</v>
      </c>
      <c r="AW112" s="293">
        <v>0</v>
      </c>
      <c r="AX112" s="293">
        <v>44148.000000000007</v>
      </c>
      <c r="AY112" s="293">
        <v>3315</v>
      </c>
      <c r="AZ112" s="293">
        <v>1267.8421052631579</v>
      </c>
      <c r="BA112" s="293">
        <v>0</v>
      </c>
      <c r="BB112" s="293">
        <v>2472.6000000000004</v>
      </c>
      <c r="BC112" s="293">
        <f t="shared" si="82"/>
        <v>51203.442105263166</v>
      </c>
      <c r="BE112" s="58">
        <f t="shared" si="83"/>
        <v>0</v>
      </c>
      <c r="BF112" s="58">
        <f t="shared" si="84"/>
        <v>0</v>
      </c>
      <c r="BG112" s="58">
        <f t="shared" si="85"/>
        <v>4414.8000000000029</v>
      </c>
      <c r="BH112" s="58">
        <f t="shared" si="86"/>
        <v>-585</v>
      </c>
      <c r="BI112" s="58">
        <f t="shared" si="87"/>
        <v>1267.8421052631579</v>
      </c>
      <c r="BJ112" s="58">
        <f t="shared" si="88"/>
        <v>0</v>
      </c>
      <c r="BK112" s="58">
        <f t="shared" si="89"/>
        <v>317.85000000000036</v>
      </c>
      <c r="BL112" s="58">
        <f t="shared" si="90"/>
        <v>5415.4921052631616</v>
      </c>
      <c r="BM112" s="33">
        <f t="shared" si="91"/>
        <v>0</v>
      </c>
      <c r="BN112" s="33"/>
      <c r="BO112" s="293">
        <f t="shared" si="115"/>
        <v>0</v>
      </c>
      <c r="BP112" s="293">
        <f t="shared" si="116"/>
        <v>0</v>
      </c>
      <c r="BQ112" s="293">
        <f t="shared" si="117"/>
        <v>12361.440000000002</v>
      </c>
      <c r="BR112" s="293">
        <f t="shared" si="118"/>
        <v>195</v>
      </c>
      <c r="BS112" s="293">
        <f t="shared" si="119"/>
        <v>1267.8421052631579</v>
      </c>
      <c r="BT112" s="293">
        <f t="shared" si="120"/>
        <v>0</v>
      </c>
      <c r="BU112" s="293">
        <f t="shared" si="121"/>
        <v>748.80000000000018</v>
      </c>
      <c r="BV112" s="293">
        <f t="shared" si="70"/>
        <v>14573.082105263162</v>
      </c>
      <c r="BW112" s="293">
        <f t="shared" si="71"/>
        <v>0</v>
      </c>
      <c r="BX112" s="293">
        <v>0</v>
      </c>
      <c r="BY112" s="293">
        <v>0</v>
      </c>
      <c r="BZ112" s="293">
        <v>0</v>
      </c>
      <c r="CA112" s="293">
        <v>0</v>
      </c>
      <c r="CB112" s="293">
        <v>111.86842105263145</v>
      </c>
      <c r="CC112" s="293">
        <v>0</v>
      </c>
      <c r="CD112" s="293">
        <v>253.49999999999955</v>
      </c>
      <c r="CE112" s="293">
        <f t="shared" si="92"/>
        <v>365.36842105263099</v>
      </c>
      <c r="CF112" s="293"/>
      <c r="CG112" s="293">
        <v>0</v>
      </c>
      <c r="CH112" s="293">
        <v>0</v>
      </c>
      <c r="CI112" s="293">
        <v>25385.100000000002</v>
      </c>
      <c r="CJ112" s="293">
        <v>2145</v>
      </c>
      <c r="CK112" s="293">
        <v>820.82</v>
      </c>
      <c r="CL112" s="293">
        <v>0</v>
      </c>
      <c r="CM112" s="293">
        <v>1037.4000000000001</v>
      </c>
      <c r="CN112" s="293">
        <f t="shared" si="93"/>
        <v>29388.320000000003</v>
      </c>
      <c r="CO112" s="293"/>
      <c r="CP112" s="58">
        <f t="shared" si="94"/>
        <v>0</v>
      </c>
      <c r="CQ112" s="223">
        <f t="shared" si="95"/>
        <v>0</v>
      </c>
      <c r="CR112" s="223">
        <f t="shared" si="96"/>
        <v>-9933.2999999999993</v>
      </c>
      <c r="CS112" s="223">
        <f t="shared" si="97"/>
        <v>-390</v>
      </c>
      <c r="CT112" s="223">
        <f t="shared" si="98"/>
        <v>-148.70631578947371</v>
      </c>
      <c r="CU112" s="223">
        <f t="shared" si="99"/>
        <v>0</v>
      </c>
      <c r="CV112" s="223">
        <f t="shared" si="100"/>
        <v>-1002.2999999999997</v>
      </c>
      <c r="CW112" s="223">
        <f t="shared" si="101"/>
        <v>-11474.306315789472</v>
      </c>
      <c r="CX112" s="223">
        <f t="shared" si="102"/>
        <v>0</v>
      </c>
      <c r="CY112" s="58">
        <f t="shared" si="103"/>
        <v>0</v>
      </c>
      <c r="CZ112" s="399">
        <f t="shared" si="104"/>
        <v>0</v>
      </c>
      <c r="DA112" s="399">
        <f t="shared" si="105"/>
        <v>-2869.619999999999</v>
      </c>
      <c r="DB112" s="399">
        <f t="shared" si="106"/>
        <v>117</v>
      </c>
      <c r="DC112" s="399">
        <f t="shared" si="107"/>
        <v>45.198947368421045</v>
      </c>
      <c r="DD112" s="399">
        <f t="shared" si="108"/>
        <v>0</v>
      </c>
      <c r="DE112" s="399">
        <f t="shared" si="109"/>
        <v>-594.3599999999999</v>
      </c>
      <c r="DF112" s="399">
        <f t="shared" si="110"/>
        <v>-3301.7810526315779</v>
      </c>
      <c r="DG112" s="399">
        <f t="shared" si="111"/>
        <v>0</v>
      </c>
      <c r="DI112" s="399"/>
      <c r="DJ112" s="399"/>
      <c r="DK112" s="399"/>
      <c r="DL112" s="399"/>
      <c r="DM112" s="399"/>
      <c r="DN112" s="399"/>
      <c r="DO112" s="399"/>
      <c r="DP112" s="399"/>
      <c r="DQ112" s="399"/>
      <c r="DS112" s="399"/>
      <c r="DT112" s="399"/>
      <c r="DU112" s="399"/>
      <c r="DV112" s="399"/>
      <c r="DW112" s="399"/>
      <c r="DX112" s="399"/>
      <c r="DY112" s="399"/>
      <c r="DZ112" s="399"/>
      <c r="EB112" s="228">
        <f t="shared" si="112"/>
        <v>110572.52155124655</v>
      </c>
      <c r="EC112" s="228">
        <f t="shared" si="113"/>
        <v>0</v>
      </c>
      <c r="ED112" s="214">
        <f t="shared" si="114"/>
        <v>110572.52155124655</v>
      </c>
    </row>
    <row r="113" spans="1:134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3" t="str">
        <f>VLOOKUP(A113,'Summary Mar 2026'!$A$8:$F$207,6,FALSE)</f>
        <v>Chq Bk</v>
      </c>
      <c r="G113" s="33"/>
      <c r="H113" s="223">
        <v>0</v>
      </c>
      <c r="I113" s="294"/>
      <c r="J113" s="223">
        <v>0</v>
      </c>
      <c r="K113" s="223">
        <v>0</v>
      </c>
      <c r="L113" s="223">
        <v>60703.500000000007</v>
      </c>
      <c r="M113" s="223">
        <v>3315</v>
      </c>
      <c r="N113" s="223">
        <v>149.15789473684211</v>
      </c>
      <c r="O113" s="223">
        <v>0</v>
      </c>
      <c r="P113" s="33">
        <f t="shared" si="72"/>
        <v>64167.657894736847</v>
      </c>
      <c r="Q113" s="223">
        <f t="shared" si="73"/>
        <v>51334.126315789479</v>
      </c>
      <c r="R113" s="294"/>
      <c r="S113" s="223">
        <v>0</v>
      </c>
      <c r="T113" s="223">
        <v>0</v>
      </c>
      <c r="U113" s="223">
        <v>49666.5</v>
      </c>
      <c r="V113" s="223">
        <v>2535</v>
      </c>
      <c r="W113" s="223">
        <v>0</v>
      </c>
      <c r="X113" s="223">
        <v>0</v>
      </c>
      <c r="Y113" s="223">
        <f t="shared" si="74"/>
        <v>52201.5</v>
      </c>
      <c r="Z113" s="223">
        <f t="shared" si="75"/>
        <v>41761.200000000004</v>
      </c>
      <c r="AA113" s="294"/>
      <c r="AB113" s="398">
        <v>0</v>
      </c>
      <c r="AC113" s="398">
        <v>0</v>
      </c>
      <c r="AD113" s="398">
        <v>51476.210526315786</v>
      </c>
      <c r="AE113" s="398">
        <v>2671.5789473684213</v>
      </c>
      <c r="AF113" s="398">
        <v>86.958448753462591</v>
      </c>
      <c r="AG113" s="398">
        <v>0</v>
      </c>
      <c r="AH113" s="223">
        <f t="shared" si="76"/>
        <v>54234.747922437666</v>
      </c>
      <c r="AI113" s="398">
        <f t="shared" si="77"/>
        <v>43387.798337950138</v>
      </c>
      <c r="AJ113" s="294"/>
      <c r="AK113" s="398">
        <v>1604.85</v>
      </c>
      <c r="AL113" s="398">
        <v>1144.6500000000001</v>
      </c>
      <c r="AM113" s="398">
        <v>1368.7578947368422</v>
      </c>
      <c r="AN113" s="294"/>
      <c r="AO113" s="398">
        <f t="shared" si="78"/>
        <v>1283.8800000000001</v>
      </c>
      <c r="AP113" s="398">
        <f t="shared" si="79"/>
        <v>915.72000000000014</v>
      </c>
      <c r="AQ113" s="398">
        <f t="shared" si="80"/>
        <v>1095.0063157894738</v>
      </c>
      <c r="AR113" s="293"/>
      <c r="AS113" s="293">
        <v>0</v>
      </c>
      <c r="AT113" s="576">
        <f t="shared" si="81"/>
        <v>0</v>
      </c>
      <c r="AU113" s="293"/>
      <c r="AV113" s="293">
        <v>0</v>
      </c>
      <c r="AW113" s="293">
        <v>0</v>
      </c>
      <c r="AX113" s="293">
        <v>58496.1</v>
      </c>
      <c r="AY113" s="293">
        <v>4290</v>
      </c>
      <c r="AZ113" s="293">
        <v>298.31578947368422</v>
      </c>
      <c r="BA113" s="293">
        <v>0</v>
      </c>
      <c r="BB113" s="293">
        <v>1207.05</v>
      </c>
      <c r="BC113" s="293">
        <f t="shared" si="82"/>
        <v>64291.465789473688</v>
      </c>
      <c r="BE113" s="58">
        <f t="shared" si="83"/>
        <v>0</v>
      </c>
      <c r="BF113" s="58">
        <f t="shared" si="84"/>
        <v>0</v>
      </c>
      <c r="BG113" s="58">
        <f t="shared" si="85"/>
        <v>-2207.4000000000087</v>
      </c>
      <c r="BH113" s="58">
        <f t="shared" si="86"/>
        <v>975</v>
      </c>
      <c r="BI113" s="58">
        <f t="shared" si="87"/>
        <v>149.15789473684211</v>
      </c>
      <c r="BJ113" s="58">
        <f t="shared" si="88"/>
        <v>0</v>
      </c>
      <c r="BK113" s="58">
        <f t="shared" si="89"/>
        <v>-397.79999999999995</v>
      </c>
      <c r="BL113" s="58">
        <f t="shared" si="90"/>
        <v>-1481.0421052631666</v>
      </c>
      <c r="BM113" s="33">
        <f t="shared" si="91"/>
        <v>0</v>
      </c>
      <c r="BN113" s="33"/>
      <c r="BO113" s="293">
        <f t="shared" si="115"/>
        <v>0</v>
      </c>
      <c r="BP113" s="293">
        <f t="shared" si="116"/>
        <v>0</v>
      </c>
      <c r="BQ113" s="293">
        <f t="shared" si="117"/>
        <v>9933.2999999999884</v>
      </c>
      <c r="BR113" s="293">
        <f t="shared" si="118"/>
        <v>1638</v>
      </c>
      <c r="BS113" s="293">
        <f t="shared" si="119"/>
        <v>178.98947368421051</v>
      </c>
      <c r="BT113" s="293">
        <f t="shared" si="120"/>
        <v>0</v>
      </c>
      <c r="BU113" s="293">
        <f t="shared" si="121"/>
        <v>-76.830000000000155</v>
      </c>
      <c r="BV113" s="293">
        <f t="shared" si="70"/>
        <v>11673.459473684199</v>
      </c>
      <c r="BW113" s="293">
        <f t="shared" si="71"/>
        <v>-1.4551915228366852E-11</v>
      </c>
      <c r="BX113" s="293">
        <v>0</v>
      </c>
      <c r="BY113" s="293">
        <v>0</v>
      </c>
      <c r="BZ113" s="293">
        <v>0</v>
      </c>
      <c r="CA113" s="293">
        <v>0</v>
      </c>
      <c r="CB113" s="293">
        <v>335.60526315789474</v>
      </c>
      <c r="CC113" s="293">
        <v>0</v>
      </c>
      <c r="CD113" s="293">
        <v>150.15000000000009</v>
      </c>
      <c r="CE113" s="293">
        <f t="shared" si="92"/>
        <v>485.75526315789483</v>
      </c>
      <c r="CF113" s="293"/>
      <c r="CG113" s="293">
        <v>0</v>
      </c>
      <c r="CH113" s="293">
        <v>0</v>
      </c>
      <c r="CI113" s="293">
        <v>39733.200000000004</v>
      </c>
      <c r="CJ113" s="293">
        <v>975</v>
      </c>
      <c r="CK113" s="293">
        <v>186.42</v>
      </c>
      <c r="CL113" s="293">
        <v>0</v>
      </c>
      <c r="CM113" s="293">
        <v>1191.45</v>
      </c>
      <c r="CN113" s="293">
        <f t="shared" si="93"/>
        <v>42086.07</v>
      </c>
      <c r="CO113" s="293"/>
      <c r="CP113" s="58">
        <f t="shared" si="94"/>
        <v>0</v>
      </c>
      <c r="CQ113" s="223">
        <f t="shared" si="95"/>
        <v>0</v>
      </c>
      <c r="CR113" s="223">
        <f t="shared" si="96"/>
        <v>-9933.2999999999956</v>
      </c>
      <c r="CS113" s="223">
        <f t="shared" si="97"/>
        <v>-1560</v>
      </c>
      <c r="CT113" s="223">
        <f t="shared" si="98"/>
        <v>186.42</v>
      </c>
      <c r="CU113" s="223">
        <f t="shared" si="99"/>
        <v>0</v>
      </c>
      <c r="CV113" s="223">
        <f t="shared" si="100"/>
        <v>46.799999999999955</v>
      </c>
      <c r="CW113" s="223">
        <f t="shared" si="101"/>
        <v>-11260.079999999996</v>
      </c>
      <c r="CX113" s="223">
        <f t="shared" si="102"/>
        <v>0</v>
      </c>
      <c r="CY113" s="58">
        <f t="shared" si="103"/>
        <v>0</v>
      </c>
      <c r="CZ113" s="399">
        <f t="shared" si="104"/>
        <v>0</v>
      </c>
      <c r="DA113" s="399">
        <f t="shared" si="105"/>
        <v>0</v>
      </c>
      <c r="DB113" s="399">
        <f t="shared" si="106"/>
        <v>-1053</v>
      </c>
      <c r="DC113" s="399">
        <f t="shared" si="107"/>
        <v>186.42</v>
      </c>
      <c r="DD113" s="399">
        <f t="shared" si="108"/>
        <v>0</v>
      </c>
      <c r="DE113" s="399">
        <f t="shared" si="109"/>
        <v>275.7299999999999</v>
      </c>
      <c r="DF113" s="399">
        <f t="shared" si="110"/>
        <v>-590.85000000000014</v>
      </c>
      <c r="DG113" s="399">
        <f t="shared" si="111"/>
        <v>0</v>
      </c>
      <c r="DI113" s="399"/>
      <c r="DJ113" s="399"/>
      <c r="DK113" s="399"/>
      <c r="DL113" s="399"/>
      <c r="DM113" s="399"/>
      <c r="DN113" s="399"/>
      <c r="DO113" s="399"/>
      <c r="DP113" s="399"/>
      <c r="DQ113" s="399"/>
      <c r="DS113" s="399"/>
      <c r="DT113" s="399"/>
      <c r="DU113" s="399"/>
      <c r="DV113" s="399"/>
      <c r="DW113" s="399"/>
      <c r="DX113" s="399"/>
      <c r="DY113" s="399"/>
      <c r="DZ113" s="399"/>
      <c r="EB113" s="228">
        <f t="shared" si="112"/>
        <v>151346.09570637118</v>
      </c>
      <c r="EC113" s="228">
        <f t="shared" si="113"/>
        <v>0</v>
      </c>
      <c r="ED113" s="214">
        <f t="shared" si="114"/>
        <v>151346.09570637118</v>
      </c>
    </row>
    <row r="114" spans="1:134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3" t="str">
        <f>VLOOKUP(A114,'Summary Mar 2026'!$A$8:$F$207,6,FALSE)</f>
        <v>Chq Bk</v>
      </c>
      <c r="G114" s="33"/>
      <c r="H114" s="223">
        <v>307545.93083170155</v>
      </c>
      <c r="I114" s="294"/>
      <c r="J114" s="223">
        <v>0</v>
      </c>
      <c r="K114" s="223">
        <v>76334.7</v>
      </c>
      <c r="L114" s="223">
        <v>177695.7</v>
      </c>
      <c r="M114" s="223">
        <v>14820</v>
      </c>
      <c r="N114" s="223">
        <v>5593.4210526315792</v>
      </c>
      <c r="O114" s="223">
        <v>0</v>
      </c>
      <c r="P114" s="33">
        <f t="shared" si="72"/>
        <v>274443.8210526316</v>
      </c>
      <c r="Q114" s="223">
        <f t="shared" si="73"/>
        <v>219555.05684210529</v>
      </c>
      <c r="R114" s="294"/>
      <c r="S114" s="223">
        <v>0</v>
      </c>
      <c r="T114" s="223">
        <v>81313.05</v>
      </c>
      <c r="U114" s="223">
        <v>126925.5</v>
      </c>
      <c r="V114" s="223">
        <v>10335</v>
      </c>
      <c r="W114" s="223">
        <v>3878.105263157895</v>
      </c>
      <c r="X114" s="223">
        <v>962.68421052631584</v>
      </c>
      <c r="Y114" s="223">
        <f t="shared" si="74"/>
        <v>223414.3394736842</v>
      </c>
      <c r="Z114" s="223">
        <f t="shared" si="75"/>
        <v>178731.47157894738</v>
      </c>
      <c r="AA114" s="294"/>
      <c r="AB114" s="398">
        <v>0</v>
      </c>
      <c r="AC114" s="398">
        <v>47888.905263157896</v>
      </c>
      <c r="AD114" s="398">
        <v>133194.69473684212</v>
      </c>
      <c r="AE114" s="398">
        <v>9776.8421052631566</v>
      </c>
      <c r="AF114" s="398">
        <v>3652.2548476454294</v>
      </c>
      <c r="AG114" s="398">
        <v>280.62049861495842</v>
      </c>
      <c r="AH114" s="223">
        <f t="shared" si="76"/>
        <v>194793.31745152359</v>
      </c>
      <c r="AI114" s="398">
        <f t="shared" si="77"/>
        <v>155834.65396121886</v>
      </c>
      <c r="AJ114" s="294"/>
      <c r="AK114" s="398">
        <v>10450.049999999999</v>
      </c>
      <c r="AL114" s="398">
        <v>7950.1499999999987</v>
      </c>
      <c r="AM114" s="398">
        <v>7329.78947368421</v>
      </c>
      <c r="AN114" s="294"/>
      <c r="AO114" s="398">
        <f t="shared" si="78"/>
        <v>8360.0399999999991</v>
      </c>
      <c r="AP114" s="398">
        <f t="shared" si="79"/>
        <v>6360.119999999999</v>
      </c>
      <c r="AQ114" s="398">
        <f t="shared" si="80"/>
        <v>5863.8315789473681</v>
      </c>
      <c r="AR114" s="293"/>
      <c r="AS114" s="293">
        <v>308888.07336934848</v>
      </c>
      <c r="AT114" s="576">
        <f t="shared" si="81"/>
        <v>1342.1425376469269</v>
      </c>
      <c r="AU114" s="293"/>
      <c r="AV114" s="293">
        <v>0</v>
      </c>
      <c r="AW114" s="293">
        <v>76334.7</v>
      </c>
      <c r="AX114" s="293">
        <v>183214.2</v>
      </c>
      <c r="AY114" s="293">
        <v>12285</v>
      </c>
      <c r="AZ114" s="293">
        <v>4325.5789473684208</v>
      </c>
      <c r="BA114" s="293">
        <v>962.67</v>
      </c>
      <c r="BB114" s="293">
        <v>8905.65</v>
      </c>
      <c r="BC114" s="293">
        <f t="shared" si="82"/>
        <v>594915.87231671694</v>
      </c>
      <c r="BE114" s="58">
        <f t="shared" si="83"/>
        <v>0</v>
      </c>
      <c r="BF114" s="58">
        <f t="shared" si="84"/>
        <v>0</v>
      </c>
      <c r="BG114" s="58">
        <f t="shared" si="85"/>
        <v>5518.5</v>
      </c>
      <c r="BH114" s="58">
        <f t="shared" si="86"/>
        <v>-2535</v>
      </c>
      <c r="BI114" s="58">
        <f t="shared" si="87"/>
        <v>-1267.8421052631584</v>
      </c>
      <c r="BJ114" s="58">
        <f t="shared" si="88"/>
        <v>962.67</v>
      </c>
      <c r="BK114" s="58">
        <f t="shared" si="89"/>
        <v>-1544.3999999999996</v>
      </c>
      <c r="BL114" s="58">
        <f t="shared" si="90"/>
        <v>2476.070432383769</v>
      </c>
      <c r="BM114" s="33">
        <f t="shared" si="91"/>
        <v>0</v>
      </c>
      <c r="BN114" s="33"/>
      <c r="BO114" s="293">
        <f t="shared" si="115"/>
        <v>0</v>
      </c>
      <c r="BP114" s="293">
        <f t="shared" si="116"/>
        <v>15266.939999999995</v>
      </c>
      <c r="BQ114" s="293">
        <f t="shared" si="117"/>
        <v>41057.639999999985</v>
      </c>
      <c r="BR114" s="293">
        <f t="shared" si="118"/>
        <v>429</v>
      </c>
      <c r="BS114" s="293">
        <f t="shared" si="119"/>
        <v>-149.15789473684254</v>
      </c>
      <c r="BT114" s="293">
        <f t="shared" si="120"/>
        <v>962.67</v>
      </c>
      <c r="BU114" s="293">
        <f t="shared" si="121"/>
        <v>545.61000000000058</v>
      </c>
      <c r="BV114" s="293">
        <f t="shared" si="70"/>
        <v>59454.844642910066</v>
      </c>
      <c r="BW114" s="293">
        <f t="shared" si="71"/>
        <v>0</v>
      </c>
      <c r="BX114" s="293">
        <v>0</v>
      </c>
      <c r="BY114" s="293">
        <v>-21572.850000000006</v>
      </c>
      <c r="BZ114" s="293">
        <v>0</v>
      </c>
      <c r="CA114" s="293">
        <v>0</v>
      </c>
      <c r="CB114" s="293">
        <v>559.34210526315746</v>
      </c>
      <c r="CC114" s="293">
        <v>1851.33</v>
      </c>
      <c r="CD114" s="293">
        <v>3153.1499999999978</v>
      </c>
      <c r="CE114" s="293">
        <f t="shared" si="92"/>
        <v>-16009.027894736853</v>
      </c>
      <c r="CF114" s="293"/>
      <c r="CG114" s="293">
        <v>2324.4</v>
      </c>
      <c r="CH114" s="293">
        <v>99567</v>
      </c>
      <c r="CI114" s="293">
        <v>130236.6</v>
      </c>
      <c r="CJ114" s="293">
        <v>10725</v>
      </c>
      <c r="CK114" s="293">
        <v>4812.08</v>
      </c>
      <c r="CL114" s="293">
        <v>1876</v>
      </c>
      <c r="CM114" s="293">
        <v>9502.35</v>
      </c>
      <c r="CN114" s="293">
        <f t="shared" si="93"/>
        <v>259043.43</v>
      </c>
      <c r="CO114" s="293"/>
      <c r="CP114" s="58">
        <f t="shared" si="94"/>
        <v>2324.4</v>
      </c>
      <c r="CQ114" s="223">
        <f t="shared" si="95"/>
        <v>18253.949999999997</v>
      </c>
      <c r="CR114" s="223">
        <f t="shared" si="96"/>
        <v>3311.1000000000058</v>
      </c>
      <c r="CS114" s="223">
        <f t="shared" si="97"/>
        <v>390</v>
      </c>
      <c r="CT114" s="223">
        <f t="shared" si="98"/>
        <v>933.9747368421049</v>
      </c>
      <c r="CU114" s="223">
        <f t="shared" si="99"/>
        <v>913.31578947368416</v>
      </c>
      <c r="CV114" s="223">
        <f t="shared" si="100"/>
        <v>1552.2000000000016</v>
      </c>
      <c r="CW114" s="223">
        <f t="shared" si="101"/>
        <v>27678.940526315793</v>
      </c>
      <c r="CX114" s="223">
        <f t="shared" si="102"/>
        <v>0</v>
      </c>
      <c r="CY114" s="58">
        <f t="shared" si="103"/>
        <v>2324.4</v>
      </c>
      <c r="CZ114" s="399">
        <f t="shared" si="104"/>
        <v>34516.559999999998</v>
      </c>
      <c r="DA114" s="399">
        <f t="shared" si="105"/>
        <v>28696.199999999997</v>
      </c>
      <c r="DB114" s="399">
        <f t="shared" si="106"/>
        <v>2457</v>
      </c>
      <c r="DC114" s="399">
        <f t="shared" si="107"/>
        <v>1709.5957894736839</v>
      </c>
      <c r="DD114" s="399">
        <f t="shared" si="108"/>
        <v>1105.8526315789472</v>
      </c>
      <c r="DE114" s="399">
        <f t="shared" si="109"/>
        <v>3142.2300000000014</v>
      </c>
      <c r="DF114" s="399">
        <f t="shared" si="110"/>
        <v>73951.838421052627</v>
      </c>
      <c r="DG114" s="399">
        <f t="shared" si="111"/>
        <v>0</v>
      </c>
      <c r="DI114" s="399"/>
      <c r="DJ114" s="399"/>
      <c r="DK114" s="399"/>
      <c r="DL114" s="399"/>
      <c r="DM114" s="399"/>
      <c r="DN114" s="399"/>
      <c r="DO114" s="399"/>
      <c r="DP114" s="399"/>
      <c r="DQ114" s="399"/>
      <c r="DS114" s="399"/>
      <c r="DT114" s="399"/>
      <c r="DU114" s="399"/>
      <c r="DV114" s="399"/>
      <c r="DW114" s="399"/>
      <c r="DX114" s="399"/>
      <c r="DY114" s="399"/>
      <c r="DZ114" s="399"/>
      <c r="EB114" s="228">
        <f t="shared" si="112"/>
        <v>994734.2635632545</v>
      </c>
      <c r="EC114" s="228">
        <f t="shared" si="113"/>
        <v>4914.4963988919671</v>
      </c>
      <c r="ED114" s="214">
        <f t="shared" si="114"/>
        <v>999648.75996214652</v>
      </c>
    </row>
    <row r="115" spans="1:134" hidden="1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3" t="str">
        <f>VLOOKUP(A115,'Summary Mar 2026'!$A$8:$F$207,6,FALSE)</f>
        <v>Chq Bk</v>
      </c>
      <c r="G115" s="33"/>
      <c r="H115" s="223">
        <v>0</v>
      </c>
      <c r="I115" s="294"/>
      <c r="J115" s="223">
        <v>0</v>
      </c>
      <c r="K115" s="223">
        <v>0</v>
      </c>
      <c r="L115" s="223">
        <v>0</v>
      </c>
      <c r="M115" s="223">
        <v>0</v>
      </c>
      <c r="N115" s="223">
        <v>0</v>
      </c>
      <c r="O115" s="223">
        <v>0</v>
      </c>
      <c r="P115" s="33">
        <f t="shared" si="72"/>
        <v>0</v>
      </c>
      <c r="Q115" s="223">
        <f t="shared" si="73"/>
        <v>0</v>
      </c>
      <c r="R115" s="294"/>
      <c r="S115" s="223">
        <v>0</v>
      </c>
      <c r="T115" s="223">
        <v>0</v>
      </c>
      <c r="U115" s="223">
        <v>0</v>
      </c>
      <c r="V115" s="223">
        <v>0</v>
      </c>
      <c r="W115" s="223">
        <v>0</v>
      </c>
      <c r="X115" s="223">
        <v>0</v>
      </c>
      <c r="Y115" s="223">
        <f t="shared" si="74"/>
        <v>0</v>
      </c>
      <c r="Z115" s="223">
        <f t="shared" si="75"/>
        <v>0</v>
      </c>
      <c r="AA115" s="294"/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223">
        <f t="shared" si="76"/>
        <v>0</v>
      </c>
      <c r="AI115" s="398">
        <f t="shared" si="77"/>
        <v>0</v>
      </c>
      <c r="AJ115" s="294"/>
      <c r="AK115" s="398">
        <v>0</v>
      </c>
      <c r="AL115" s="398">
        <v>0</v>
      </c>
      <c r="AM115" s="398">
        <v>0</v>
      </c>
      <c r="AN115" s="294"/>
      <c r="AO115" s="398">
        <f t="shared" si="78"/>
        <v>0</v>
      </c>
      <c r="AP115" s="398">
        <f t="shared" si="79"/>
        <v>0</v>
      </c>
      <c r="AQ115" s="398">
        <f t="shared" si="80"/>
        <v>0</v>
      </c>
      <c r="AR115" s="293"/>
      <c r="AS115" s="293">
        <v>0</v>
      </c>
      <c r="AT115" s="576">
        <f t="shared" si="81"/>
        <v>0</v>
      </c>
      <c r="AU115" s="293"/>
      <c r="AV115" s="293">
        <v>0</v>
      </c>
      <c r="AW115" s="293">
        <v>0</v>
      </c>
      <c r="AX115" s="293">
        <v>0</v>
      </c>
      <c r="AY115" s="293">
        <v>0</v>
      </c>
      <c r="AZ115" s="293">
        <v>0</v>
      </c>
      <c r="BA115" s="293">
        <v>0</v>
      </c>
      <c r="BB115" s="293">
        <v>0</v>
      </c>
      <c r="BC115" s="293">
        <f t="shared" si="82"/>
        <v>0</v>
      </c>
      <c r="BE115" s="58">
        <f t="shared" si="83"/>
        <v>0</v>
      </c>
      <c r="BF115" s="58">
        <f t="shared" si="84"/>
        <v>0</v>
      </c>
      <c r="BG115" s="58">
        <f t="shared" si="85"/>
        <v>0</v>
      </c>
      <c r="BH115" s="58">
        <f t="shared" si="86"/>
        <v>0</v>
      </c>
      <c r="BI115" s="58">
        <f t="shared" si="87"/>
        <v>0</v>
      </c>
      <c r="BJ115" s="58">
        <f t="shared" si="88"/>
        <v>0</v>
      </c>
      <c r="BK115" s="58">
        <f t="shared" si="89"/>
        <v>0</v>
      </c>
      <c r="BL115" s="58">
        <f t="shared" si="90"/>
        <v>0</v>
      </c>
      <c r="BM115" s="33">
        <f t="shared" si="91"/>
        <v>0</v>
      </c>
      <c r="BN115" s="33"/>
      <c r="BO115" s="293">
        <f t="shared" si="115"/>
        <v>0</v>
      </c>
      <c r="BP115" s="293">
        <f t="shared" si="116"/>
        <v>0</v>
      </c>
      <c r="BQ115" s="293">
        <f t="shared" si="117"/>
        <v>0</v>
      </c>
      <c r="BR115" s="293">
        <f t="shared" si="118"/>
        <v>0</v>
      </c>
      <c r="BS115" s="293">
        <f t="shared" si="119"/>
        <v>0</v>
      </c>
      <c r="BT115" s="293">
        <f t="shared" si="120"/>
        <v>0</v>
      </c>
      <c r="BU115" s="293">
        <f t="shared" si="121"/>
        <v>0</v>
      </c>
      <c r="BV115" s="293">
        <f t="shared" si="70"/>
        <v>0</v>
      </c>
      <c r="BW115" s="293">
        <f t="shared" si="71"/>
        <v>0</v>
      </c>
      <c r="BX115" s="293">
        <v>0</v>
      </c>
      <c r="BY115" s="293">
        <v>0</v>
      </c>
      <c r="BZ115" s="293">
        <v>0</v>
      </c>
      <c r="CA115" s="293">
        <v>0</v>
      </c>
      <c r="CB115" s="293">
        <v>0</v>
      </c>
      <c r="CC115" s="293">
        <v>0</v>
      </c>
      <c r="CD115" s="293">
        <v>0</v>
      </c>
      <c r="CE115" s="293">
        <f t="shared" si="92"/>
        <v>0</v>
      </c>
      <c r="CF115" s="293"/>
      <c r="CG115" s="293">
        <v>0</v>
      </c>
      <c r="CH115" s="293">
        <v>0</v>
      </c>
      <c r="CI115" s="293">
        <v>0</v>
      </c>
      <c r="CJ115" s="293">
        <v>0</v>
      </c>
      <c r="CK115" s="293">
        <v>0</v>
      </c>
      <c r="CL115" s="293">
        <v>0</v>
      </c>
      <c r="CM115" s="293">
        <v>0</v>
      </c>
      <c r="CN115" s="293">
        <f t="shared" si="93"/>
        <v>0</v>
      </c>
      <c r="CO115" s="293"/>
      <c r="CP115" s="58">
        <f t="shared" si="94"/>
        <v>0</v>
      </c>
      <c r="CQ115" s="223">
        <f t="shared" si="95"/>
        <v>0</v>
      </c>
      <c r="CR115" s="223">
        <f t="shared" si="96"/>
        <v>0</v>
      </c>
      <c r="CS115" s="223">
        <f t="shared" si="97"/>
        <v>0</v>
      </c>
      <c r="CT115" s="223">
        <f t="shared" si="98"/>
        <v>0</v>
      </c>
      <c r="CU115" s="223">
        <f t="shared" si="99"/>
        <v>0</v>
      </c>
      <c r="CV115" s="223">
        <f t="shared" si="100"/>
        <v>0</v>
      </c>
      <c r="CW115" s="223">
        <f t="shared" si="101"/>
        <v>0</v>
      </c>
      <c r="CX115" s="223">
        <f t="shared" si="102"/>
        <v>0</v>
      </c>
      <c r="CY115" s="58">
        <f t="shared" si="103"/>
        <v>0</v>
      </c>
      <c r="CZ115" s="399">
        <f t="shared" si="104"/>
        <v>0</v>
      </c>
      <c r="DA115" s="399">
        <f t="shared" si="105"/>
        <v>0</v>
      </c>
      <c r="DB115" s="399">
        <f t="shared" si="106"/>
        <v>0</v>
      </c>
      <c r="DC115" s="399">
        <f t="shared" si="107"/>
        <v>0</v>
      </c>
      <c r="DD115" s="399">
        <f t="shared" si="108"/>
        <v>0</v>
      </c>
      <c r="DE115" s="399">
        <f t="shared" si="109"/>
        <v>0</v>
      </c>
      <c r="DF115" s="399">
        <f t="shared" si="110"/>
        <v>0</v>
      </c>
      <c r="DG115" s="399">
        <f t="shared" si="111"/>
        <v>0</v>
      </c>
      <c r="DI115" s="399"/>
      <c r="DJ115" s="399"/>
      <c r="DK115" s="399"/>
      <c r="DL115" s="399"/>
      <c r="DM115" s="399"/>
      <c r="DN115" s="399"/>
      <c r="DO115" s="399"/>
      <c r="DP115" s="399"/>
      <c r="DQ115" s="399"/>
      <c r="DS115" s="399"/>
      <c r="DT115" s="399"/>
      <c r="DU115" s="399"/>
      <c r="DV115" s="399"/>
      <c r="DW115" s="399"/>
      <c r="DX115" s="399"/>
      <c r="DY115" s="399"/>
      <c r="DZ115" s="399"/>
      <c r="EB115" s="228">
        <f t="shared" si="112"/>
        <v>0</v>
      </c>
      <c r="EC115" s="228">
        <f t="shared" si="113"/>
        <v>0</v>
      </c>
      <c r="ED115" s="214">
        <f t="shared" si="114"/>
        <v>0</v>
      </c>
    </row>
    <row r="116" spans="1:134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3" t="str">
        <f>VLOOKUP(A116,'Summary Mar 2026'!$A$8:$F$207,6,FALSE)</f>
        <v>Chq Bk</v>
      </c>
      <c r="G116" s="33"/>
      <c r="H116" s="223">
        <v>0</v>
      </c>
      <c r="I116" s="294"/>
      <c r="J116" s="223">
        <v>0</v>
      </c>
      <c r="K116" s="223">
        <v>0</v>
      </c>
      <c r="L116" s="223">
        <v>83881.2</v>
      </c>
      <c r="M116" s="223">
        <v>5655</v>
      </c>
      <c r="N116" s="223">
        <v>74.578947368421055</v>
      </c>
      <c r="O116" s="223">
        <v>0</v>
      </c>
      <c r="P116" s="33">
        <f t="shared" si="72"/>
        <v>89610.778947368424</v>
      </c>
      <c r="Q116" s="223">
        <f t="shared" si="73"/>
        <v>71688.623157894748</v>
      </c>
      <c r="R116" s="294"/>
      <c r="S116" s="223">
        <v>0</v>
      </c>
      <c r="T116" s="223">
        <v>0</v>
      </c>
      <c r="U116" s="223">
        <v>64014.600000000006</v>
      </c>
      <c r="V116" s="223">
        <v>1950</v>
      </c>
      <c r="W116" s="223">
        <v>74.578947368421055</v>
      </c>
      <c r="X116" s="223">
        <v>0</v>
      </c>
      <c r="Y116" s="223">
        <f t="shared" si="74"/>
        <v>66039.178947368433</v>
      </c>
      <c r="Z116" s="223">
        <f t="shared" si="75"/>
        <v>52831.343157894749</v>
      </c>
      <c r="AA116" s="294"/>
      <c r="AB116" s="398">
        <v>0</v>
      </c>
      <c r="AC116" s="398">
        <v>0</v>
      </c>
      <c r="AD116" s="398">
        <v>67562.526315789481</v>
      </c>
      <c r="AE116" s="398">
        <v>3581.0526315789475</v>
      </c>
      <c r="AF116" s="398">
        <v>65.21883656509695</v>
      </c>
      <c r="AG116" s="398">
        <v>0</v>
      </c>
      <c r="AH116" s="223">
        <f t="shared" si="76"/>
        <v>71208.797783933522</v>
      </c>
      <c r="AI116" s="398">
        <f t="shared" si="77"/>
        <v>56967.038227146819</v>
      </c>
      <c r="AJ116" s="294"/>
      <c r="AK116" s="398">
        <v>1322.1</v>
      </c>
      <c r="AL116" s="398">
        <v>1056.9000000000001</v>
      </c>
      <c r="AM116" s="398">
        <v>1048.7368421052629</v>
      </c>
      <c r="AN116" s="294"/>
      <c r="AO116" s="398">
        <f t="shared" si="78"/>
        <v>1057.68</v>
      </c>
      <c r="AP116" s="398">
        <f t="shared" si="79"/>
        <v>845.5200000000001</v>
      </c>
      <c r="AQ116" s="398">
        <f t="shared" si="80"/>
        <v>838.98947368421034</v>
      </c>
      <c r="AR116" s="293"/>
      <c r="AS116" s="293">
        <v>0</v>
      </c>
      <c r="AT116" s="576">
        <f t="shared" si="81"/>
        <v>0</v>
      </c>
      <c r="AU116" s="293"/>
      <c r="AV116" s="293">
        <v>0</v>
      </c>
      <c r="AW116" s="293">
        <v>0</v>
      </c>
      <c r="AX116" s="293">
        <v>79466.400000000009</v>
      </c>
      <c r="AY116" s="293">
        <v>6240</v>
      </c>
      <c r="AZ116" s="293">
        <v>149.15789473684211</v>
      </c>
      <c r="BA116" s="293">
        <v>0</v>
      </c>
      <c r="BB116" s="293">
        <v>1542.45</v>
      </c>
      <c r="BC116" s="293">
        <f t="shared" si="82"/>
        <v>87398.007894736846</v>
      </c>
      <c r="BE116" s="58">
        <f t="shared" si="83"/>
        <v>0</v>
      </c>
      <c r="BF116" s="58">
        <f t="shared" si="84"/>
        <v>0</v>
      </c>
      <c r="BG116" s="58">
        <f t="shared" si="85"/>
        <v>-4414.7999999999884</v>
      </c>
      <c r="BH116" s="58">
        <f t="shared" si="86"/>
        <v>585</v>
      </c>
      <c r="BI116" s="58">
        <f t="shared" si="87"/>
        <v>74.578947368421055</v>
      </c>
      <c r="BJ116" s="58">
        <f t="shared" si="88"/>
        <v>0</v>
      </c>
      <c r="BK116" s="58">
        <f t="shared" si="89"/>
        <v>220.35000000000014</v>
      </c>
      <c r="BL116" s="58">
        <f t="shared" si="90"/>
        <v>-3534.8710526315672</v>
      </c>
      <c r="BM116" s="33">
        <f t="shared" si="91"/>
        <v>0</v>
      </c>
      <c r="BN116" s="33"/>
      <c r="BO116" s="293">
        <f t="shared" si="115"/>
        <v>0</v>
      </c>
      <c r="BP116" s="293">
        <f t="shared" si="116"/>
        <v>0</v>
      </c>
      <c r="BQ116" s="293">
        <f t="shared" si="117"/>
        <v>12361.440000000002</v>
      </c>
      <c r="BR116" s="293">
        <f t="shared" si="118"/>
        <v>1716</v>
      </c>
      <c r="BS116" s="293">
        <f t="shared" si="119"/>
        <v>89.494736842105254</v>
      </c>
      <c r="BT116" s="293">
        <f t="shared" si="120"/>
        <v>0</v>
      </c>
      <c r="BU116" s="293">
        <f t="shared" si="121"/>
        <v>484.77</v>
      </c>
      <c r="BV116" s="293">
        <f t="shared" si="70"/>
        <v>14651.704736842108</v>
      </c>
      <c r="BW116" s="293">
        <f t="shared" si="71"/>
        <v>0</v>
      </c>
      <c r="BX116" s="293">
        <v>0</v>
      </c>
      <c r="BY116" s="293">
        <v>0</v>
      </c>
      <c r="BZ116" s="293">
        <v>0</v>
      </c>
      <c r="CA116" s="293">
        <v>0</v>
      </c>
      <c r="CB116" s="293">
        <v>223.73684210526315</v>
      </c>
      <c r="CC116" s="293">
        <v>0</v>
      </c>
      <c r="CD116" s="293">
        <v>118.95000000000005</v>
      </c>
      <c r="CE116" s="293">
        <f t="shared" si="92"/>
        <v>342.68684210526317</v>
      </c>
      <c r="CF116" s="293"/>
      <c r="CG116" s="293">
        <v>0</v>
      </c>
      <c r="CH116" s="293">
        <v>0</v>
      </c>
      <c r="CI116" s="293">
        <v>65118.3</v>
      </c>
      <c r="CJ116" s="293">
        <v>2340</v>
      </c>
      <c r="CK116" s="293">
        <v>372.84</v>
      </c>
      <c r="CL116" s="293">
        <v>938</v>
      </c>
      <c r="CM116" s="293">
        <v>1392.3</v>
      </c>
      <c r="CN116" s="293">
        <f t="shared" si="93"/>
        <v>70161.440000000002</v>
      </c>
      <c r="CO116" s="293"/>
      <c r="CP116" s="58">
        <f t="shared" si="94"/>
        <v>0</v>
      </c>
      <c r="CQ116" s="223">
        <f t="shared" si="95"/>
        <v>0</v>
      </c>
      <c r="CR116" s="223">
        <f t="shared" si="96"/>
        <v>1103.6999999999971</v>
      </c>
      <c r="CS116" s="223">
        <f t="shared" si="97"/>
        <v>390</v>
      </c>
      <c r="CT116" s="223">
        <f t="shared" si="98"/>
        <v>298.26105263157893</v>
      </c>
      <c r="CU116" s="223">
        <f t="shared" si="99"/>
        <v>938</v>
      </c>
      <c r="CV116" s="223">
        <f t="shared" si="100"/>
        <v>335.39999999999986</v>
      </c>
      <c r="CW116" s="223">
        <f t="shared" si="101"/>
        <v>3065.3610526315761</v>
      </c>
      <c r="CX116" s="223">
        <f t="shared" si="102"/>
        <v>0</v>
      </c>
      <c r="CY116" s="58">
        <f t="shared" si="103"/>
        <v>0</v>
      </c>
      <c r="CZ116" s="399">
        <f t="shared" si="104"/>
        <v>0</v>
      </c>
      <c r="DA116" s="399">
        <f t="shared" si="105"/>
        <v>13906.619999999995</v>
      </c>
      <c r="DB116" s="399">
        <f t="shared" si="106"/>
        <v>780</v>
      </c>
      <c r="DC116" s="399">
        <f t="shared" si="107"/>
        <v>313.17684210526312</v>
      </c>
      <c r="DD116" s="399">
        <f t="shared" si="108"/>
        <v>938</v>
      </c>
      <c r="DE116" s="399">
        <f t="shared" si="109"/>
        <v>546.77999999999986</v>
      </c>
      <c r="DF116" s="399">
        <f t="shared" si="110"/>
        <v>16484.57684210526</v>
      </c>
      <c r="DG116" s="399">
        <f t="shared" si="111"/>
        <v>0</v>
      </c>
      <c r="DI116" s="399"/>
      <c r="DJ116" s="399"/>
      <c r="DK116" s="399"/>
      <c r="DL116" s="399"/>
      <c r="DM116" s="399"/>
      <c r="DN116" s="399"/>
      <c r="DO116" s="399"/>
      <c r="DP116" s="399"/>
      <c r="DQ116" s="399"/>
      <c r="DS116" s="399"/>
      <c r="DT116" s="399"/>
      <c r="DU116" s="399"/>
      <c r="DV116" s="399"/>
      <c r="DW116" s="399"/>
      <c r="DX116" s="399"/>
      <c r="DY116" s="399"/>
      <c r="DZ116" s="399"/>
      <c r="EB116" s="228">
        <f t="shared" si="112"/>
        <v>214770.16243767313</v>
      </c>
      <c r="EC116" s="228">
        <f t="shared" si="113"/>
        <v>938</v>
      </c>
      <c r="ED116" s="214">
        <f t="shared" si="114"/>
        <v>215708.16243767313</v>
      </c>
    </row>
    <row r="117" spans="1:134" hidden="1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3" t="str">
        <f>VLOOKUP(A117,'Summary Mar 2026'!$A$8:$F$207,6,FALSE)</f>
        <v>Chq Bk</v>
      </c>
      <c r="G117" s="33"/>
      <c r="H117" s="223">
        <v>0</v>
      </c>
      <c r="I117" s="294"/>
      <c r="J117" s="223">
        <v>0</v>
      </c>
      <c r="K117" s="223">
        <v>0</v>
      </c>
      <c r="L117" s="223">
        <v>0</v>
      </c>
      <c r="M117" s="223">
        <v>0</v>
      </c>
      <c r="N117" s="223">
        <v>0</v>
      </c>
      <c r="O117" s="223">
        <v>0</v>
      </c>
      <c r="P117" s="33">
        <f t="shared" si="72"/>
        <v>0</v>
      </c>
      <c r="Q117" s="223">
        <f t="shared" si="73"/>
        <v>0</v>
      </c>
      <c r="R117" s="294"/>
      <c r="S117" s="223">
        <v>0</v>
      </c>
      <c r="T117" s="223">
        <v>0</v>
      </c>
      <c r="U117" s="223">
        <v>0</v>
      </c>
      <c r="V117" s="223">
        <v>0</v>
      </c>
      <c r="W117" s="223">
        <v>0</v>
      </c>
      <c r="X117" s="223">
        <v>0</v>
      </c>
      <c r="Y117" s="223">
        <f t="shared" si="74"/>
        <v>0</v>
      </c>
      <c r="Z117" s="223">
        <f t="shared" si="75"/>
        <v>0</v>
      </c>
      <c r="AA117" s="294"/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223">
        <f t="shared" si="76"/>
        <v>0</v>
      </c>
      <c r="AI117" s="398">
        <f t="shared" si="77"/>
        <v>0</v>
      </c>
      <c r="AJ117" s="294"/>
      <c r="AK117" s="398">
        <v>0</v>
      </c>
      <c r="AL117" s="398">
        <v>0</v>
      </c>
      <c r="AM117" s="398">
        <v>0</v>
      </c>
      <c r="AN117" s="294"/>
      <c r="AO117" s="398">
        <f t="shared" si="78"/>
        <v>0</v>
      </c>
      <c r="AP117" s="398">
        <f t="shared" si="79"/>
        <v>0</v>
      </c>
      <c r="AQ117" s="398">
        <f t="shared" si="80"/>
        <v>0</v>
      </c>
      <c r="AR117" s="293"/>
      <c r="AS117" s="293">
        <v>0</v>
      </c>
      <c r="AT117" s="576">
        <f t="shared" si="81"/>
        <v>0</v>
      </c>
      <c r="AU117" s="293"/>
      <c r="AV117" s="293">
        <v>0</v>
      </c>
      <c r="AW117" s="293">
        <v>0</v>
      </c>
      <c r="AX117" s="293">
        <v>0</v>
      </c>
      <c r="AY117" s="293">
        <v>0</v>
      </c>
      <c r="AZ117" s="293">
        <v>0</v>
      </c>
      <c r="BA117" s="293">
        <v>0</v>
      </c>
      <c r="BB117" s="293">
        <v>0</v>
      </c>
      <c r="BC117" s="293">
        <f t="shared" si="82"/>
        <v>0</v>
      </c>
      <c r="BE117" s="58">
        <f t="shared" si="83"/>
        <v>0</v>
      </c>
      <c r="BF117" s="58">
        <f t="shared" si="84"/>
        <v>0</v>
      </c>
      <c r="BG117" s="58">
        <f t="shared" si="85"/>
        <v>0</v>
      </c>
      <c r="BH117" s="58">
        <f t="shared" si="86"/>
        <v>0</v>
      </c>
      <c r="BI117" s="58">
        <f t="shared" si="87"/>
        <v>0</v>
      </c>
      <c r="BJ117" s="58">
        <f t="shared" si="88"/>
        <v>0</v>
      </c>
      <c r="BK117" s="58">
        <f t="shared" si="89"/>
        <v>0</v>
      </c>
      <c r="BL117" s="58">
        <f t="shared" si="90"/>
        <v>0</v>
      </c>
      <c r="BM117" s="33">
        <f t="shared" si="91"/>
        <v>0</v>
      </c>
      <c r="BN117" s="33"/>
      <c r="BO117" s="293">
        <f t="shared" si="115"/>
        <v>0</v>
      </c>
      <c r="BP117" s="293">
        <f t="shared" si="116"/>
        <v>0</v>
      </c>
      <c r="BQ117" s="293">
        <f t="shared" si="117"/>
        <v>0</v>
      </c>
      <c r="BR117" s="293">
        <f t="shared" si="118"/>
        <v>0</v>
      </c>
      <c r="BS117" s="293">
        <f t="shared" si="119"/>
        <v>0</v>
      </c>
      <c r="BT117" s="293">
        <f t="shared" si="120"/>
        <v>0</v>
      </c>
      <c r="BU117" s="293">
        <f t="shared" si="121"/>
        <v>0</v>
      </c>
      <c r="BV117" s="293">
        <f t="shared" si="70"/>
        <v>0</v>
      </c>
      <c r="BW117" s="293">
        <f t="shared" si="71"/>
        <v>0</v>
      </c>
      <c r="BX117" s="293"/>
      <c r="BY117" s="293"/>
      <c r="BZ117" s="293"/>
      <c r="CA117" s="293"/>
      <c r="CB117" s="293"/>
      <c r="CC117" s="293"/>
      <c r="CD117" s="293"/>
      <c r="CE117" s="293"/>
      <c r="CF117" s="293"/>
      <c r="CG117" s="293"/>
      <c r="CH117" s="293"/>
      <c r="CI117" s="293"/>
      <c r="CJ117" s="293"/>
      <c r="CK117" s="293"/>
      <c r="CL117" s="293"/>
      <c r="CM117" s="293"/>
      <c r="CN117" s="293"/>
      <c r="CO117" s="293"/>
      <c r="CP117" s="58">
        <f t="shared" si="94"/>
        <v>0</v>
      </c>
      <c r="CQ117" s="223">
        <f t="shared" si="95"/>
        <v>0</v>
      </c>
      <c r="CR117" s="223">
        <f t="shared" si="96"/>
        <v>0</v>
      </c>
      <c r="CS117" s="223">
        <f t="shared" si="97"/>
        <v>0</v>
      </c>
      <c r="CT117" s="223">
        <f t="shared" si="98"/>
        <v>0</v>
      </c>
      <c r="CU117" s="223">
        <f t="shared" si="99"/>
        <v>0</v>
      </c>
      <c r="CV117" s="223">
        <f t="shared" si="100"/>
        <v>0</v>
      </c>
      <c r="CW117" s="223">
        <f t="shared" si="101"/>
        <v>0</v>
      </c>
      <c r="CX117" s="223">
        <f t="shared" si="102"/>
        <v>0</v>
      </c>
      <c r="CY117" s="58">
        <f t="shared" si="103"/>
        <v>0</v>
      </c>
      <c r="CZ117" s="399">
        <f t="shared" si="104"/>
        <v>0</v>
      </c>
      <c r="DA117" s="399">
        <f t="shared" si="105"/>
        <v>0</v>
      </c>
      <c r="DB117" s="399">
        <f t="shared" si="106"/>
        <v>0</v>
      </c>
      <c r="DC117" s="399">
        <f t="shared" si="107"/>
        <v>0</v>
      </c>
      <c r="DD117" s="399">
        <f t="shared" si="108"/>
        <v>0</v>
      </c>
      <c r="DE117" s="399">
        <f t="shared" si="109"/>
        <v>0</v>
      </c>
      <c r="DF117" s="399">
        <f t="shared" si="110"/>
        <v>0</v>
      </c>
      <c r="DG117" s="399">
        <f t="shared" si="111"/>
        <v>0</v>
      </c>
      <c r="DI117" s="399"/>
      <c r="DJ117" s="399"/>
      <c r="DK117" s="399"/>
      <c r="DL117" s="399"/>
      <c r="DM117" s="399"/>
      <c r="DN117" s="399"/>
      <c r="DO117" s="399"/>
      <c r="DP117" s="399"/>
      <c r="DQ117" s="399"/>
      <c r="DS117" s="399"/>
      <c r="DT117" s="399"/>
      <c r="DU117" s="399"/>
      <c r="DV117" s="399"/>
      <c r="DW117" s="399"/>
      <c r="DX117" s="399"/>
      <c r="DY117" s="399"/>
      <c r="DZ117" s="399"/>
      <c r="EB117" s="228">
        <f t="shared" si="112"/>
        <v>0</v>
      </c>
      <c r="EC117" s="228">
        <f t="shared" si="113"/>
        <v>0</v>
      </c>
      <c r="ED117" s="214">
        <f t="shared" si="114"/>
        <v>0</v>
      </c>
    </row>
    <row r="118" spans="1:134" hidden="1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3" t="str">
        <f>VLOOKUP(A118,'Summary Mar 2026'!$A$8:$F$207,6,FALSE)</f>
        <v>Chq Bk</v>
      </c>
      <c r="G118" s="33"/>
      <c r="H118" s="223">
        <v>0</v>
      </c>
      <c r="I118" s="294"/>
      <c r="J118" s="223">
        <v>0</v>
      </c>
      <c r="K118" s="223">
        <v>0</v>
      </c>
      <c r="L118" s="223">
        <v>0</v>
      </c>
      <c r="M118" s="223">
        <v>0</v>
      </c>
      <c r="N118" s="223">
        <v>0</v>
      </c>
      <c r="O118" s="223">
        <v>0</v>
      </c>
      <c r="P118" s="33">
        <f t="shared" si="72"/>
        <v>0</v>
      </c>
      <c r="Q118" s="223">
        <f t="shared" si="73"/>
        <v>0</v>
      </c>
      <c r="R118" s="294"/>
      <c r="S118" s="223">
        <v>0</v>
      </c>
      <c r="T118" s="223">
        <v>0</v>
      </c>
      <c r="U118" s="223">
        <v>0</v>
      </c>
      <c r="V118" s="223">
        <v>0</v>
      </c>
      <c r="W118" s="223">
        <v>0</v>
      </c>
      <c r="X118" s="223">
        <v>0</v>
      </c>
      <c r="Y118" s="223">
        <f t="shared" si="74"/>
        <v>0</v>
      </c>
      <c r="Z118" s="223">
        <f t="shared" si="75"/>
        <v>0</v>
      </c>
      <c r="AA118" s="294"/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223">
        <f t="shared" si="76"/>
        <v>0</v>
      </c>
      <c r="AI118" s="398">
        <f t="shared" si="77"/>
        <v>0</v>
      </c>
      <c r="AJ118" s="294"/>
      <c r="AK118" s="398">
        <v>0</v>
      </c>
      <c r="AL118" s="398">
        <v>0</v>
      </c>
      <c r="AM118" s="398">
        <v>0</v>
      </c>
      <c r="AN118" s="294"/>
      <c r="AO118" s="398">
        <f t="shared" si="78"/>
        <v>0</v>
      </c>
      <c r="AP118" s="398">
        <f t="shared" si="79"/>
        <v>0</v>
      </c>
      <c r="AQ118" s="398">
        <f t="shared" si="80"/>
        <v>0</v>
      </c>
      <c r="AR118" s="293"/>
      <c r="AS118" s="293">
        <v>0</v>
      </c>
      <c r="AT118" s="576">
        <f t="shared" si="81"/>
        <v>0</v>
      </c>
      <c r="AU118" s="293"/>
      <c r="AV118" s="293">
        <v>0</v>
      </c>
      <c r="AW118" s="293">
        <v>0</v>
      </c>
      <c r="AX118" s="293">
        <v>0</v>
      </c>
      <c r="AY118" s="293">
        <v>0</v>
      </c>
      <c r="AZ118" s="293">
        <v>0</v>
      </c>
      <c r="BA118" s="293">
        <v>0</v>
      </c>
      <c r="BB118" s="293">
        <v>0</v>
      </c>
      <c r="BC118" s="293">
        <f t="shared" si="82"/>
        <v>0</v>
      </c>
      <c r="BE118" s="58">
        <f t="shared" si="83"/>
        <v>0</v>
      </c>
      <c r="BF118" s="58">
        <f t="shared" si="84"/>
        <v>0</v>
      </c>
      <c r="BG118" s="58">
        <f t="shared" si="85"/>
        <v>0</v>
      </c>
      <c r="BH118" s="58">
        <f t="shared" si="86"/>
        <v>0</v>
      </c>
      <c r="BI118" s="58">
        <f t="shared" si="87"/>
        <v>0</v>
      </c>
      <c r="BJ118" s="58">
        <f t="shared" si="88"/>
        <v>0</v>
      </c>
      <c r="BK118" s="58">
        <f t="shared" si="89"/>
        <v>0</v>
      </c>
      <c r="BL118" s="58">
        <f t="shared" si="90"/>
        <v>0</v>
      </c>
      <c r="BM118" s="33">
        <f t="shared" si="91"/>
        <v>0</v>
      </c>
      <c r="BN118" s="33"/>
      <c r="BO118" s="293">
        <f t="shared" si="115"/>
        <v>0</v>
      </c>
      <c r="BP118" s="293">
        <f t="shared" si="116"/>
        <v>0</v>
      </c>
      <c r="BQ118" s="293">
        <f t="shared" si="117"/>
        <v>0</v>
      </c>
      <c r="BR118" s="293">
        <f t="shared" si="118"/>
        <v>0</v>
      </c>
      <c r="BS118" s="293">
        <f t="shared" si="119"/>
        <v>0</v>
      </c>
      <c r="BT118" s="293">
        <f t="shared" si="120"/>
        <v>0</v>
      </c>
      <c r="BU118" s="293">
        <f t="shared" si="121"/>
        <v>0</v>
      </c>
      <c r="BV118" s="293">
        <f t="shared" si="70"/>
        <v>0</v>
      </c>
      <c r="BW118" s="293">
        <f t="shared" si="71"/>
        <v>0</v>
      </c>
      <c r="BX118" s="293">
        <v>0</v>
      </c>
      <c r="BY118" s="293">
        <v>0</v>
      </c>
      <c r="BZ118" s="293">
        <v>0</v>
      </c>
      <c r="CA118" s="293">
        <v>0</v>
      </c>
      <c r="CB118" s="293">
        <v>0</v>
      </c>
      <c r="CC118" s="293">
        <v>0</v>
      </c>
      <c r="CD118" s="293">
        <v>0</v>
      </c>
      <c r="CE118" s="293">
        <f t="shared" si="92"/>
        <v>0</v>
      </c>
      <c r="CF118" s="293"/>
      <c r="CG118" s="293">
        <v>0</v>
      </c>
      <c r="CH118" s="293">
        <v>0</v>
      </c>
      <c r="CI118" s="293">
        <v>0</v>
      </c>
      <c r="CJ118" s="293">
        <v>0</v>
      </c>
      <c r="CK118" s="293">
        <v>0</v>
      </c>
      <c r="CL118" s="293">
        <v>0</v>
      </c>
      <c r="CM118" s="293">
        <v>0</v>
      </c>
      <c r="CN118" s="293">
        <f t="shared" si="93"/>
        <v>0</v>
      </c>
      <c r="CO118" s="293"/>
      <c r="CP118" s="58">
        <f t="shared" si="94"/>
        <v>0</v>
      </c>
      <c r="CQ118" s="223">
        <f t="shared" si="95"/>
        <v>0</v>
      </c>
      <c r="CR118" s="223">
        <f t="shared" si="96"/>
        <v>0</v>
      </c>
      <c r="CS118" s="223">
        <f t="shared" si="97"/>
        <v>0</v>
      </c>
      <c r="CT118" s="223">
        <f t="shared" si="98"/>
        <v>0</v>
      </c>
      <c r="CU118" s="223">
        <f t="shared" si="99"/>
        <v>0</v>
      </c>
      <c r="CV118" s="223">
        <f t="shared" si="100"/>
        <v>0</v>
      </c>
      <c r="CW118" s="223">
        <f t="shared" si="101"/>
        <v>0</v>
      </c>
      <c r="CX118" s="223">
        <f t="shared" si="102"/>
        <v>0</v>
      </c>
      <c r="CY118" s="58">
        <f t="shared" si="103"/>
        <v>0</v>
      </c>
      <c r="CZ118" s="399">
        <f t="shared" si="104"/>
        <v>0</v>
      </c>
      <c r="DA118" s="399">
        <f t="shared" si="105"/>
        <v>0</v>
      </c>
      <c r="DB118" s="399">
        <f t="shared" si="106"/>
        <v>0</v>
      </c>
      <c r="DC118" s="399">
        <f t="shared" si="107"/>
        <v>0</v>
      </c>
      <c r="DD118" s="399">
        <f t="shared" si="108"/>
        <v>0</v>
      </c>
      <c r="DE118" s="399">
        <f t="shared" si="109"/>
        <v>0</v>
      </c>
      <c r="DF118" s="399">
        <f t="shared" si="110"/>
        <v>0</v>
      </c>
      <c r="DG118" s="399">
        <f t="shared" si="111"/>
        <v>0</v>
      </c>
      <c r="DI118" s="399"/>
      <c r="DJ118" s="399"/>
      <c r="DK118" s="399"/>
      <c r="DL118" s="399"/>
      <c r="DM118" s="399"/>
      <c r="DN118" s="399"/>
      <c r="DO118" s="399"/>
      <c r="DP118" s="399"/>
      <c r="DQ118" s="399"/>
      <c r="DS118" s="399"/>
      <c r="DT118" s="399"/>
      <c r="DU118" s="399"/>
      <c r="DV118" s="399"/>
      <c r="DW118" s="399"/>
      <c r="DX118" s="399"/>
      <c r="DY118" s="399"/>
      <c r="DZ118" s="399"/>
      <c r="EB118" s="228">
        <f t="shared" si="112"/>
        <v>0</v>
      </c>
      <c r="EC118" s="228">
        <f t="shared" si="113"/>
        <v>0</v>
      </c>
      <c r="ED118" s="214">
        <f t="shared" si="114"/>
        <v>0</v>
      </c>
    </row>
    <row r="119" spans="1:134" hidden="1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3" t="str">
        <f>VLOOKUP(A119,'Summary Mar 2026'!$A$8:$F$207,6,FALSE)</f>
        <v>Chq Bk</v>
      </c>
      <c r="G119" s="33"/>
      <c r="H119" s="223">
        <v>0</v>
      </c>
      <c r="I119" s="294"/>
      <c r="J119" s="223">
        <v>0</v>
      </c>
      <c r="K119" s="223">
        <v>0</v>
      </c>
      <c r="L119" s="223">
        <v>0</v>
      </c>
      <c r="M119" s="223">
        <v>0</v>
      </c>
      <c r="N119" s="223">
        <v>0</v>
      </c>
      <c r="O119" s="223">
        <v>0</v>
      </c>
      <c r="P119" s="33">
        <f t="shared" si="72"/>
        <v>0</v>
      </c>
      <c r="Q119" s="223">
        <f t="shared" si="73"/>
        <v>0</v>
      </c>
      <c r="R119" s="294"/>
      <c r="S119" s="223">
        <v>0</v>
      </c>
      <c r="T119" s="223">
        <v>0</v>
      </c>
      <c r="U119" s="223">
        <v>0</v>
      </c>
      <c r="V119" s="223">
        <v>0</v>
      </c>
      <c r="W119" s="223">
        <v>0</v>
      </c>
      <c r="X119" s="223">
        <v>0</v>
      </c>
      <c r="Y119" s="223">
        <f t="shared" si="74"/>
        <v>0</v>
      </c>
      <c r="Z119" s="223">
        <f t="shared" si="75"/>
        <v>0</v>
      </c>
      <c r="AA119" s="294"/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223">
        <f t="shared" si="76"/>
        <v>0</v>
      </c>
      <c r="AI119" s="398">
        <f t="shared" si="77"/>
        <v>0</v>
      </c>
      <c r="AJ119" s="294"/>
      <c r="AK119" s="398">
        <v>0</v>
      </c>
      <c r="AL119" s="398">
        <v>0</v>
      </c>
      <c r="AM119" s="398">
        <v>0</v>
      </c>
      <c r="AN119" s="294"/>
      <c r="AO119" s="398">
        <f t="shared" si="78"/>
        <v>0</v>
      </c>
      <c r="AP119" s="398">
        <f t="shared" si="79"/>
        <v>0</v>
      </c>
      <c r="AQ119" s="398">
        <f t="shared" si="80"/>
        <v>0</v>
      </c>
      <c r="AR119" s="293"/>
      <c r="AS119" s="293">
        <v>0</v>
      </c>
      <c r="AT119" s="576">
        <f t="shared" si="81"/>
        <v>0</v>
      </c>
      <c r="AU119" s="293"/>
      <c r="AV119" s="293">
        <v>0</v>
      </c>
      <c r="AW119" s="293">
        <v>0</v>
      </c>
      <c r="AX119" s="293">
        <v>0</v>
      </c>
      <c r="AY119" s="293">
        <v>0</v>
      </c>
      <c r="AZ119" s="293">
        <v>0</v>
      </c>
      <c r="BA119" s="293">
        <v>0</v>
      </c>
      <c r="BB119" s="293">
        <v>0</v>
      </c>
      <c r="BC119" s="293">
        <f t="shared" si="82"/>
        <v>0</v>
      </c>
      <c r="BE119" s="58">
        <f t="shared" si="83"/>
        <v>0</v>
      </c>
      <c r="BF119" s="58">
        <f t="shared" si="84"/>
        <v>0</v>
      </c>
      <c r="BG119" s="58">
        <f t="shared" si="85"/>
        <v>0</v>
      </c>
      <c r="BH119" s="58">
        <f t="shared" si="86"/>
        <v>0</v>
      </c>
      <c r="BI119" s="58">
        <f t="shared" si="87"/>
        <v>0</v>
      </c>
      <c r="BJ119" s="58">
        <f t="shared" si="88"/>
        <v>0</v>
      </c>
      <c r="BK119" s="58">
        <f t="shared" si="89"/>
        <v>0</v>
      </c>
      <c r="BL119" s="58">
        <f t="shared" si="90"/>
        <v>0</v>
      </c>
      <c r="BM119" s="33">
        <f t="shared" si="91"/>
        <v>0</v>
      </c>
      <c r="BN119" s="33"/>
      <c r="BO119" s="293">
        <f t="shared" si="115"/>
        <v>0</v>
      </c>
      <c r="BP119" s="293">
        <f t="shared" si="116"/>
        <v>0</v>
      </c>
      <c r="BQ119" s="293">
        <f t="shared" si="117"/>
        <v>0</v>
      </c>
      <c r="BR119" s="293">
        <f t="shared" si="118"/>
        <v>0</v>
      </c>
      <c r="BS119" s="293">
        <f t="shared" si="119"/>
        <v>0</v>
      </c>
      <c r="BT119" s="293">
        <f t="shared" si="120"/>
        <v>0</v>
      </c>
      <c r="BU119" s="293">
        <f t="shared" si="121"/>
        <v>0</v>
      </c>
      <c r="BV119" s="293">
        <f t="shared" si="70"/>
        <v>0</v>
      </c>
      <c r="BW119" s="293">
        <f t="shared" si="71"/>
        <v>0</v>
      </c>
      <c r="BX119" s="293">
        <v>0</v>
      </c>
      <c r="BY119" s="293">
        <v>0</v>
      </c>
      <c r="BZ119" s="293">
        <v>0</v>
      </c>
      <c r="CA119" s="293">
        <v>0</v>
      </c>
      <c r="CB119" s="293">
        <v>0</v>
      </c>
      <c r="CC119" s="293">
        <v>0</v>
      </c>
      <c r="CD119" s="293">
        <v>0</v>
      </c>
      <c r="CE119" s="293">
        <f t="shared" si="92"/>
        <v>0</v>
      </c>
      <c r="CF119" s="293"/>
      <c r="CG119" s="293">
        <v>0</v>
      </c>
      <c r="CH119" s="293">
        <v>0</v>
      </c>
      <c r="CI119" s="293">
        <v>0</v>
      </c>
      <c r="CJ119" s="293">
        <v>0</v>
      </c>
      <c r="CK119" s="293">
        <v>0</v>
      </c>
      <c r="CL119" s="293">
        <v>0</v>
      </c>
      <c r="CM119" s="293">
        <v>0</v>
      </c>
      <c r="CN119" s="293">
        <f t="shared" si="93"/>
        <v>0</v>
      </c>
      <c r="CO119" s="293"/>
      <c r="CP119" s="58">
        <f t="shared" si="94"/>
        <v>0</v>
      </c>
      <c r="CQ119" s="223">
        <f t="shared" si="95"/>
        <v>0</v>
      </c>
      <c r="CR119" s="223">
        <f t="shared" si="96"/>
        <v>0</v>
      </c>
      <c r="CS119" s="223">
        <f t="shared" si="97"/>
        <v>0</v>
      </c>
      <c r="CT119" s="223">
        <f t="shared" si="98"/>
        <v>0</v>
      </c>
      <c r="CU119" s="223">
        <f t="shared" si="99"/>
        <v>0</v>
      </c>
      <c r="CV119" s="223">
        <f t="shared" si="100"/>
        <v>0</v>
      </c>
      <c r="CW119" s="223">
        <f t="shared" si="101"/>
        <v>0</v>
      </c>
      <c r="CX119" s="223">
        <f t="shared" si="102"/>
        <v>0</v>
      </c>
      <c r="CY119" s="58">
        <f t="shared" si="103"/>
        <v>0</v>
      </c>
      <c r="CZ119" s="399">
        <f t="shared" si="104"/>
        <v>0</v>
      </c>
      <c r="DA119" s="399">
        <f t="shared" si="105"/>
        <v>0</v>
      </c>
      <c r="DB119" s="399">
        <f t="shared" si="106"/>
        <v>0</v>
      </c>
      <c r="DC119" s="399">
        <f t="shared" si="107"/>
        <v>0</v>
      </c>
      <c r="DD119" s="399">
        <f t="shared" si="108"/>
        <v>0</v>
      </c>
      <c r="DE119" s="399">
        <f t="shared" si="109"/>
        <v>0</v>
      </c>
      <c r="DF119" s="399">
        <f t="shared" si="110"/>
        <v>0</v>
      </c>
      <c r="DG119" s="399">
        <f t="shared" si="111"/>
        <v>0</v>
      </c>
      <c r="DI119" s="399"/>
      <c r="DJ119" s="399"/>
      <c r="DK119" s="399"/>
      <c r="DL119" s="399"/>
      <c r="DM119" s="399"/>
      <c r="DN119" s="399"/>
      <c r="DO119" s="399"/>
      <c r="DP119" s="399"/>
      <c r="DQ119" s="399"/>
      <c r="DS119" s="399"/>
      <c r="DT119" s="399"/>
      <c r="DU119" s="399"/>
      <c r="DV119" s="399"/>
      <c r="DW119" s="399"/>
      <c r="DX119" s="399"/>
      <c r="DY119" s="399"/>
      <c r="DZ119" s="399"/>
      <c r="EB119" s="228">
        <f t="shared" si="112"/>
        <v>0</v>
      </c>
      <c r="EC119" s="228">
        <f t="shared" si="113"/>
        <v>0</v>
      </c>
      <c r="ED119" s="214">
        <f t="shared" si="114"/>
        <v>0</v>
      </c>
    </row>
    <row r="120" spans="1:134" hidden="1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3" t="str">
        <f>VLOOKUP(A120,'Summary Mar 2026'!$A$8:$F$207,6,FALSE)</f>
        <v>Chq Bk</v>
      </c>
      <c r="G120" s="33"/>
      <c r="H120" s="223">
        <v>0</v>
      </c>
      <c r="I120" s="294"/>
      <c r="J120" s="223">
        <v>0</v>
      </c>
      <c r="K120" s="223">
        <v>0</v>
      </c>
      <c r="L120" s="223">
        <v>0</v>
      </c>
      <c r="M120" s="223">
        <v>0</v>
      </c>
      <c r="N120" s="223">
        <v>0</v>
      </c>
      <c r="O120" s="223">
        <v>0</v>
      </c>
      <c r="P120" s="33">
        <f t="shared" si="72"/>
        <v>0</v>
      </c>
      <c r="Q120" s="223">
        <f t="shared" si="73"/>
        <v>0</v>
      </c>
      <c r="R120" s="294"/>
      <c r="S120" s="223">
        <v>0</v>
      </c>
      <c r="T120" s="223">
        <v>0</v>
      </c>
      <c r="U120" s="223">
        <v>0</v>
      </c>
      <c r="V120" s="223">
        <v>0</v>
      </c>
      <c r="W120" s="223">
        <v>0</v>
      </c>
      <c r="X120" s="223">
        <v>0</v>
      </c>
      <c r="Y120" s="223">
        <f t="shared" si="74"/>
        <v>0</v>
      </c>
      <c r="Z120" s="223">
        <f t="shared" si="75"/>
        <v>0</v>
      </c>
      <c r="AA120" s="294"/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223">
        <f t="shared" si="76"/>
        <v>0</v>
      </c>
      <c r="AI120" s="398">
        <f t="shared" si="77"/>
        <v>0</v>
      </c>
      <c r="AJ120" s="294"/>
      <c r="AK120" s="398">
        <v>0</v>
      </c>
      <c r="AL120" s="398">
        <v>0</v>
      </c>
      <c r="AM120" s="398">
        <v>0</v>
      </c>
      <c r="AN120" s="294"/>
      <c r="AO120" s="398">
        <f t="shared" si="78"/>
        <v>0</v>
      </c>
      <c r="AP120" s="398">
        <f t="shared" si="79"/>
        <v>0</v>
      </c>
      <c r="AQ120" s="398">
        <f t="shared" si="80"/>
        <v>0</v>
      </c>
      <c r="AR120" s="293"/>
      <c r="AS120" s="293">
        <v>0</v>
      </c>
      <c r="AT120" s="576">
        <f t="shared" si="81"/>
        <v>0</v>
      </c>
      <c r="AU120" s="293"/>
      <c r="AV120" s="293">
        <v>0</v>
      </c>
      <c r="AW120" s="293">
        <v>0</v>
      </c>
      <c r="AX120" s="293">
        <v>0</v>
      </c>
      <c r="AY120" s="293">
        <v>0</v>
      </c>
      <c r="AZ120" s="293">
        <v>0</v>
      </c>
      <c r="BA120" s="293">
        <v>0</v>
      </c>
      <c r="BB120" s="293">
        <v>0</v>
      </c>
      <c r="BC120" s="293">
        <f t="shared" si="82"/>
        <v>0</v>
      </c>
      <c r="BE120" s="58">
        <f t="shared" si="83"/>
        <v>0</v>
      </c>
      <c r="BF120" s="58">
        <f t="shared" si="84"/>
        <v>0</v>
      </c>
      <c r="BG120" s="58">
        <f t="shared" si="85"/>
        <v>0</v>
      </c>
      <c r="BH120" s="58">
        <f t="shared" si="86"/>
        <v>0</v>
      </c>
      <c r="BI120" s="58">
        <f t="shared" si="87"/>
        <v>0</v>
      </c>
      <c r="BJ120" s="58">
        <f t="shared" si="88"/>
        <v>0</v>
      </c>
      <c r="BK120" s="58">
        <f t="shared" si="89"/>
        <v>0</v>
      </c>
      <c r="BL120" s="58">
        <f t="shared" si="90"/>
        <v>0</v>
      </c>
      <c r="BM120" s="33">
        <f t="shared" si="91"/>
        <v>0</v>
      </c>
      <c r="BN120" s="33"/>
      <c r="BO120" s="293">
        <f t="shared" si="115"/>
        <v>0</v>
      </c>
      <c r="BP120" s="293">
        <f t="shared" si="116"/>
        <v>0</v>
      </c>
      <c r="BQ120" s="293">
        <f t="shared" si="117"/>
        <v>0</v>
      </c>
      <c r="BR120" s="293">
        <f t="shared" si="118"/>
        <v>0</v>
      </c>
      <c r="BS120" s="293">
        <f t="shared" si="119"/>
        <v>0</v>
      </c>
      <c r="BT120" s="293">
        <f t="shared" si="120"/>
        <v>0</v>
      </c>
      <c r="BU120" s="293">
        <f t="shared" si="121"/>
        <v>0</v>
      </c>
      <c r="BV120" s="293">
        <f t="shared" si="70"/>
        <v>0</v>
      </c>
      <c r="BW120" s="293">
        <f t="shared" si="71"/>
        <v>0</v>
      </c>
      <c r="BX120" s="293">
        <v>0</v>
      </c>
      <c r="BY120" s="293">
        <v>0</v>
      </c>
      <c r="BZ120" s="293">
        <v>0</v>
      </c>
      <c r="CA120" s="293">
        <v>0</v>
      </c>
      <c r="CB120" s="293">
        <v>0</v>
      </c>
      <c r="CC120" s="293">
        <v>0</v>
      </c>
      <c r="CD120" s="293">
        <v>0</v>
      </c>
      <c r="CE120" s="293">
        <f t="shared" si="92"/>
        <v>0</v>
      </c>
      <c r="CF120" s="293"/>
      <c r="CG120" s="293">
        <v>0</v>
      </c>
      <c r="CH120" s="293">
        <v>0</v>
      </c>
      <c r="CI120" s="293">
        <v>0</v>
      </c>
      <c r="CJ120" s="293">
        <v>0</v>
      </c>
      <c r="CK120" s="293">
        <v>0</v>
      </c>
      <c r="CL120" s="293">
        <v>0</v>
      </c>
      <c r="CM120" s="293">
        <v>0</v>
      </c>
      <c r="CN120" s="293">
        <f t="shared" si="93"/>
        <v>0</v>
      </c>
      <c r="CO120" s="293"/>
      <c r="CP120" s="58">
        <f t="shared" si="94"/>
        <v>0</v>
      </c>
      <c r="CQ120" s="223">
        <f t="shared" si="95"/>
        <v>0</v>
      </c>
      <c r="CR120" s="223">
        <f t="shared" si="96"/>
        <v>0</v>
      </c>
      <c r="CS120" s="223">
        <f t="shared" si="97"/>
        <v>0</v>
      </c>
      <c r="CT120" s="223">
        <f t="shared" si="98"/>
        <v>0</v>
      </c>
      <c r="CU120" s="223">
        <f t="shared" si="99"/>
        <v>0</v>
      </c>
      <c r="CV120" s="223">
        <f t="shared" si="100"/>
        <v>0</v>
      </c>
      <c r="CW120" s="223">
        <f t="shared" si="101"/>
        <v>0</v>
      </c>
      <c r="CX120" s="223">
        <f t="shared" si="102"/>
        <v>0</v>
      </c>
      <c r="CY120" s="58">
        <f t="shared" si="103"/>
        <v>0</v>
      </c>
      <c r="CZ120" s="399">
        <f t="shared" si="104"/>
        <v>0</v>
      </c>
      <c r="DA120" s="399">
        <f t="shared" si="105"/>
        <v>0</v>
      </c>
      <c r="DB120" s="399">
        <f t="shared" si="106"/>
        <v>0</v>
      </c>
      <c r="DC120" s="399">
        <f t="shared" si="107"/>
        <v>0</v>
      </c>
      <c r="DD120" s="399">
        <f t="shared" si="108"/>
        <v>0</v>
      </c>
      <c r="DE120" s="399">
        <f t="shared" si="109"/>
        <v>0</v>
      </c>
      <c r="DF120" s="399">
        <f t="shared" si="110"/>
        <v>0</v>
      </c>
      <c r="DG120" s="399">
        <f t="shared" si="111"/>
        <v>0</v>
      </c>
      <c r="DI120" s="399"/>
      <c r="DJ120" s="399"/>
      <c r="DK120" s="399"/>
      <c r="DL120" s="399"/>
      <c r="DM120" s="399"/>
      <c r="DN120" s="399"/>
      <c r="DO120" s="399"/>
      <c r="DP120" s="399"/>
      <c r="DQ120" s="399"/>
      <c r="DS120" s="399"/>
      <c r="DT120" s="399"/>
      <c r="DU120" s="399"/>
      <c r="DV120" s="399"/>
      <c r="DW120" s="399"/>
      <c r="DX120" s="399"/>
      <c r="DY120" s="399"/>
      <c r="DZ120" s="399"/>
      <c r="EB120" s="228">
        <f t="shared" si="112"/>
        <v>0</v>
      </c>
      <c r="EC120" s="228">
        <f t="shared" si="113"/>
        <v>0</v>
      </c>
      <c r="ED120" s="214">
        <f t="shared" si="114"/>
        <v>0</v>
      </c>
    </row>
    <row r="121" spans="1:134" hidden="1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3" t="str">
        <f>VLOOKUP(A121,'Summary Mar 2026'!$A$8:$F$207,6,FALSE)</f>
        <v>Chq Bk</v>
      </c>
      <c r="G121" s="33"/>
      <c r="H121" s="223">
        <v>0</v>
      </c>
      <c r="I121" s="294"/>
      <c r="J121" s="223">
        <v>0</v>
      </c>
      <c r="K121" s="223">
        <v>0</v>
      </c>
      <c r="L121" s="223">
        <v>0</v>
      </c>
      <c r="M121" s="223">
        <v>0</v>
      </c>
      <c r="N121" s="223">
        <v>0</v>
      </c>
      <c r="O121" s="223">
        <v>0</v>
      </c>
      <c r="P121" s="33">
        <f t="shared" si="72"/>
        <v>0</v>
      </c>
      <c r="Q121" s="223">
        <f t="shared" si="73"/>
        <v>0</v>
      </c>
      <c r="R121" s="294"/>
      <c r="S121" s="223">
        <v>0</v>
      </c>
      <c r="T121" s="223">
        <v>0</v>
      </c>
      <c r="U121" s="223">
        <v>0</v>
      </c>
      <c r="V121" s="223">
        <v>0</v>
      </c>
      <c r="W121" s="223">
        <v>0</v>
      </c>
      <c r="X121" s="223">
        <v>0</v>
      </c>
      <c r="Y121" s="223">
        <f t="shared" si="74"/>
        <v>0</v>
      </c>
      <c r="Z121" s="223">
        <f t="shared" si="75"/>
        <v>0</v>
      </c>
      <c r="AA121" s="294"/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223">
        <f t="shared" si="76"/>
        <v>0</v>
      </c>
      <c r="AI121" s="398">
        <f t="shared" si="77"/>
        <v>0</v>
      </c>
      <c r="AJ121" s="294"/>
      <c r="AK121" s="398">
        <v>0</v>
      </c>
      <c r="AL121" s="398">
        <v>0</v>
      </c>
      <c r="AM121" s="398">
        <v>0</v>
      </c>
      <c r="AN121" s="294"/>
      <c r="AO121" s="398">
        <f t="shared" si="78"/>
        <v>0</v>
      </c>
      <c r="AP121" s="398">
        <f t="shared" si="79"/>
        <v>0</v>
      </c>
      <c r="AQ121" s="398">
        <f t="shared" si="80"/>
        <v>0</v>
      </c>
      <c r="AR121" s="293"/>
      <c r="AS121" s="293">
        <v>0</v>
      </c>
      <c r="AT121" s="576">
        <f t="shared" si="81"/>
        <v>0</v>
      </c>
      <c r="AU121" s="293"/>
      <c r="AV121" s="293">
        <v>0</v>
      </c>
      <c r="AW121" s="293">
        <v>0</v>
      </c>
      <c r="AX121" s="293">
        <v>0</v>
      </c>
      <c r="AY121" s="293">
        <v>0</v>
      </c>
      <c r="AZ121" s="293">
        <v>0</v>
      </c>
      <c r="BA121" s="293">
        <v>0</v>
      </c>
      <c r="BB121" s="293">
        <v>0</v>
      </c>
      <c r="BC121" s="293">
        <f t="shared" si="82"/>
        <v>0</v>
      </c>
      <c r="BE121" s="58">
        <f t="shared" si="83"/>
        <v>0</v>
      </c>
      <c r="BF121" s="58">
        <f t="shared" si="84"/>
        <v>0</v>
      </c>
      <c r="BG121" s="58">
        <f t="shared" si="85"/>
        <v>0</v>
      </c>
      <c r="BH121" s="58">
        <f t="shared" si="86"/>
        <v>0</v>
      </c>
      <c r="BI121" s="58">
        <f t="shared" si="87"/>
        <v>0</v>
      </c>
      <c r="BJ121" s="58">
        <f t="shared" si="88"/>
        <v>0</v>
      </c>
      <c r="BK121" s="58">
        <f t="shared" si="89"/>
        <v>0</v>
      </c>
      <c r="BL121" s="58">
        <f t="shared" si="90"/>
        <v>0</v>
      </c>
      <c r="BM121" s="33">
        <f t="shared" si="91"/>
        <v>0</v>
      </c>
      <c r="BN121" s="33"/>
      <c r="BO121" s="293">
        <f t="shared" si="115"/>
        <v>0</v>
      </c>
      <c r="BP121" s="293">
        <f t="shared" si="116"/>
        <v>0</v>
      </c>
      <c r="BQ121" s="293">
        <f t="shared" si="117"/>
        <v>0</v>
      </c>
      <c r="BR121" s="293">
        <f t="shared" si="118"/>
        <v>0</v>
      </c>
      <c r="BS121" s="293">
        <f t="shared" si="119"/>
        <v>0</v>
      </c>
      <c r="BT121" s="293">
        <f t="shared" si="120"/>
        <v>0</v>
      </c>
      <c r="BU121" s="293">
        <f t="shared" si="121"/>
        <v>0</v>
      </c>
      <c r="BV121" s="293">
        <f t="shared" si="70"/>
        <v>0</v>
      </c>
      <c r="BW121" s="293">
        <f t="shared" si="71"/>
        <v>0</v>
      </c>
      <c r="BX121" s="293">
        <v>0</v>
      </c>
      <c r="BY121" s="293">
        <v>0</v>
      </c>
      <c r="BZ121" s="293">
        <v>0</v>
      </c>
      <c r="CA121" s="293">
        <v>0</v>
      </c>
      <c r="CB121" s="293">
        <v>0</v>
      </c>
      <c r="CC121" s="293">
        <v>0</v>
      </c>
      <c r="CD121" s="293">
        <v>0</v>
      </c>
      <c r="CE121" s="293">
        <f t="shared" si="92"/>
        <v>0</v>
      </c>
      <c r="CF121" s="293"/>
      <c r="CG121" s="293">
        <v>0</v>
      </c>
      <c r="CH121" s="293">
        <v>0</v>
      </c>
      <c r="CI121" s="293">
        <v>0</v>
      </c>
      <c r="CJ121" s="293">
        <v>0</v>
      </c>
      <c r="CK121" s="293">
        <v>0</v>
      </c>
      <c r="CL121" s="293">
        <v>0</v>
      </c>
      <c r="CM121" s="293">
        <v>0</v>
      </c>
      <c r="CN121" s="293">
        <f t="shared" si="93"/>
        <v>0</v>
      </c>
      <c r="CO121" s="293"/>
      <c r="CP121" s="58">
        <f t="shared" si="94"/>
        <v>0</v>
      </c>
      <c r="CQ121" s="223">
        <f t="shared" si="95"/>
        <v>0</v>
      </c>
      <c r="CR121" s="223">
        <f t="shared" si="96"/>
        <v>0</v>
      </c>
      <c r="CS121" s="223">
        <f t="shared" si="97"/>
        <v>0</v>
      </c>
      <c r="CT121" s="223">
        <f t="shared" si="98"/>
        <v>0</v>
      </c>
      <c r="CU121" s="223">
        <f t="shared" si="99"/>
        <v>0</v>
      </c>
      <c r="CV121" s="223">
        <f t="shared" si="100"/>
        <v>0</v>
      </c>
      <c r="CW121" s="223">
        <f t="shared" si="101"/>
        <v>0</v>
      </c>
      <c r="CX121" s="223">
        <f t="shared" si="102"/>
        <v>0</v>
      </c>
      <c r="CY121" s="58">
        <f t="shared" si="103"/>
        <v>0</v>
      </c>
      <c r="CZ121" s="399">
        <f t="shared" si="104"/>
        <v>0</v>
      </c>
      <c r="DA121" s="399">
        <f t="shared" si="105"/>
        <v>0</v>
      </c>
      <c r="DB121" s="399">
        <f t="shared" si="106"/>
        <v>0</v>
      </c>
      <c r="DC121" s="399">
        <f t="shared" si="107"/>
        <v>0</v>
      </c>
      <c r="DD121" s="399">
        <f t="shared" si="108"/>
        <v>0</v>
      </c>
      <c r="DE121" s="399">
        <f t="shared" si="109"/>
        <v>0</v>
      </c>
      <c r="DF121" s="399">
        <f t="shared" si="110"/>
        <v>0</v>
      </c>
      <c r="DG121" s="399">
        <f t="shared" si="111"/>
        <v>0</v>
      </c>
      <c r="DI121" s="399"/>
      <c r="DJ121" s="399"/>
      <c r="DK121" s="399"/>
      <c r="DL121" s="399"/>
      <c r="DM121" s="399"/>
      <c r="DN121" s="399"/>
      <c r="DO121" s="399"/>
      <c r="DP121" s="399"/>
      <c r="DQ121" s="399"/>
      <c r="DS121" s="399"/>
      <c r="DT121" s="399"/>
      <c r="DU121" s="399"/>
      <c r="DV121" s="399"/>
      <c r="DW121" s="399"/>
      <c r="DX121" s="399"/>
      <c r="DY121" s="399"/>
      <c r="DZ121" s="399"/>
      <c r="EB121" s="228">
        <f t="shared" si="112"/>
        <v>0</v>
      </c>
      <c r="EC121" s="228">
        <f t="shared" si="113"/>
        <v>0</v>
      </c>
      <c r="ED121" s="214">
        <f t="shared" si="114"/>
        <v>0</v>
      </c>
    </row>
    <row r="122" spans="1:134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3" t="str">
        <f>VLOOKUP(A122,'Summary Mar 2026'!$A$8:$F$207,6,FALSE)</f>
        <v>Chq Bk</v>
      </c>
      <c r="G122" s="33"/>
      <c r="H122" s="223">
        <v>0</v>
      </c>
      <c r="I122" s="294"/>
      <c r="J122" s="223">
        <v>0</v>
      </c>
      <c r="K122" s="223">
        <v>0</v>
      </c>
      <c r="L122" s="223">
        <v>64014.6</v>
      </c>
      <c r="M122" s="223">
        <v>5850</v>
      </c>
      <c r="N122" s="223">
        <v>1789.8947368421054</v>
      </c>
      <c r="O122" s="223">
        <v>0</v>
      </c>
      <c r="P122" s="33">
        <f t="shared" si="72"/>
        <v>71654.494736842113</v>
      </c>
      <c r="Q122" s="223">
        <f t="shared" si="73"/>
        <v>57323.595789473693</v>
      </c>
      <c r="R122" s="294"/>
      <c r="S122" s="223">
        <v>0</v>
      </c>
      <c r="T122" s="223">
        <v>0</v>
      </c>
      <c r="U122" s="223">
        <v>61807.200000000004</v>
      </c>
      <c r="V122" s="223">
        <v>2730</v>
      </c>
      <c r="W122" s="223">
        <v>1044.1052631578948</v>
      </c>
      <c r="X122" s="223">
        <v>0</v>
      </c>
      <c r="Y122" s="223">
        <f t="shared" si="74"/>
        <v>65581.305263157905</v>
      </c>
      <c r="Z122" s="223">
        <f t="shared" si="75"/>
        <v>52465.044210526328</v>
      </c>
      <c r="AA122" s="294"/>
      <c r="AB122" s="398">
        <v>0</v>
      </c>
      <c r="AC122" s="398">
        <v>0</v>
      </c>
      <c r="AD122" s="398">
        <v>54693.473684210527</v>
      </c>
      <c r="AE122" s="398">
        <v>3978.9473684210525</v>
      </c>
      <c r="AF122" s="398">
        <v>1347.8559556786702</v>
      </c>
      <c r="AG122" s="398">
        <v>0</v>
      </c>
      <c r="AH122" s="223">
        <f t="shared" si="76"/>
        <v>60020.277008310251</v>
      </c>
      <c r="AI122" s="398">
        <f t="shared" si="77"/>
        <v>48016.221606648207</v>
      </c>
      <c r="AJ122" s="294"/>
      <c r="AK122" s="398">
        <v>1624.35</v>
      </c>
      <c r="AL122" s="398">
        <v>1684.8</v>
      </c>
      <c r="AM122" s="398">
        <v>1463.6842105263158</v>
      </c>
      <c r="AN122" s="294"/>
      <c r="AO122" s="398">
        <f t="shared" si="78"/>
        <v>1299.48</v>
      </c>
      <c r="AP122" s="398">
        <f t="shared" si="79"/>
        <v>1347.8400000000001</v>
      </c>
      <c r="AQ122" s="398">
        <f t="shared" si="80"/>
        <v>1170.9473684210527</v>
      </c>
      <c r="AR122" s="293"/>
      <c r="AS122" s="293">
        <v>0</v>
      </c>
      <c r="AT122" s="576">
        <f t="shared" si="81"/>
        <v>0</v>
      </c>
      <c r="AU122" s="293"/>
      <c r="AV122" s="293">
        <v>0</v>
      </c>
      <c r="AW122" s="293">
        <v>0</v>
      </c>
      <c r="AX122" s="293">
        <v>62910.9</v>
      </c>
      <c r="AY122" s="293">
        <v>3705</v>
      </c>
      <c r="AZ122" s="293">
        <v>1417</v>
      </c>
      <c r="BA122" s="293">
        <v>0</v>
      </c>
      <c r="BB122" s="293">
        <v>1643.8500000000001</v>
      </c>
      <c r="BC122" s="293">
        <f t="shared" si="82"/>
        <v>69676.75</v>
      </c>
      <c r="BE122" s="58">
        <f t="shared" si="83"/>
        <v>0</v>
      </c>
      <c r="BF122" s="58">
        <f t="shared" si="84"/>
        <v>0</v>
      </c>
      <c r="BG122" s="58">
        <f t="shared" si="85"/>
        <v>-1103.6999999999971</v>
      </c>
      <c r="BH122" s="58">
        <f t="shared" si="86"/>
        <v>-2145</v>
      </c>
      <c r="BI122" s="58">
        <f t="shared" si="87"/>
        <v>-372.89473684210543</v>
      </c>
      <c r="BJ122" s="58">
        <f t="shared" si="88"/>
        <v>0</v>
      </c>
      <c r="BK122" s="58">
        <f t="shared" si="89"/>
        <v>19.500000000000227</v>
      </c>
      <c r="BL122" s="58">
        <f t="shared" si="90"/>
        <v>-3602.0947368421021</v>
      </c>
      <c r="BM122" s="33">
        <f t="shared" si="91"/>
        <v>0</v>
      </c>
      <c r="BN122" s="33"/>
      <c r="BO122" s="293">
        <f t="shared" si="115"/>
        <v>0</v>
      </c>
      <c r="BP122" s="293">
        <f t="shared" si="116"/>
        <v>0</v>
      </c>
      <c r="BQ122" s="293">
        <f t="shared" si="117"/>
        <v>11699.220000000001</v>
      </c>
      <c r="BR122" s="293">
        <f t="shared" si="118"/>
        <v>-975</v>
      </c>
      <c r="BS122" s="293">
        <f t="shared" si="119"/>
        <v>-14.915789473684526</v>
      </c>
      <c r="BT122" s="293">
        <f t="shared" si="120"/>
        <v>0</v>
      </c>
      <c r="BU122" s="293">
        <f t="shared" si="121"/>
        <v>344.37000000000012</v>
      </c>
      <c r="BV122" s="293">
        <f t="shared" si="70"/>
        <v>11053.674210526317</v>
      </c>
      <c r="BW122" s="293">
        <f t="shared" si="71"/>
        <v>1.4551915228366852E-11</v>
      </c>
      <c r="BX122" s="293">
        <v>0</v>
      </c>
      <c r="BY122" s="293">
        <v>0</v>
      </c>
      <c r="BZ122" s="293">
        <v>0</v>
      </c>
      <c r="CA122" s="293">
        <v>0</v>
      </c>
      <c r="CB122" s="293">
        <v>111.86842105263167</v>
      </c>
      <c r="CC122" s="293">
        <v>0</v>
      </c>
      <c r="CD122" s="293">
        <v>237.89999999999986</v>
      </c>
      <c r="CE122" s="293">
        <f t="shared" si="92"/>
        <v>349.76842105263154</v>
      </c>
      <c r="CF122" s="293"/>
      <c r="CG122" s="293">
        <v>0</v>
      </c>
      <c r="CH122" s="293">
        <v>0</v>
      </c>
      <c r="CI122" s="293">
        <v>46355.4</v>
      </c>
      <c r="CJ122" s="293">
        <v>3120</v>
      </c>
      <c r="CK122" s="293">
        <v>1193.92</v>
      </c>
      <c r="CL122" s="293">
        <v>0</v>
      </c>
      <c r="CM122" s="293">
        <v>1076.3999999999999</v>
      </c>
      <c r="CN122" s="293">
        <f t="shared" si="93"/>
        <v>51745.72</v>
      </c>
      <c r="CO122" s="293"/>
      <c r="CP122" s="58">
        <f t="shared" si="94"/>
        <v>0</v>
      </c>
      <c r="CQ122" s="223">
        <f t="shared" si="95"/>
        <v>0</v>
      </c>
      <c r="CR122" s="223">
        <f t="shared" si="96"/>
        <v>-15451.800000000003</v>
      </c>
      <c r="CS122" s="223">
        <f t="shared" si="97"/>
        <v>390</v>
      </c>
      <c r="CT122" s="223">
        <f t="shared" si="98"/>
        <v>149.81473684210528</v>
      </c>
      <c r="CU122" s="223">
        <f t="shared" si="99"/>
        <v>0</v>
      </c>
      <c r="CV122" s="223">
        <f t="shared" si="100"/>
        <v>-608.40000000000009</v>
      </c>
      <c r="CW122" s="223">
        <f t="shared" si="101"/>
        <v>-15520.385263157897</v>
      </c>
      <c r="CX122" s="223">
        <f t="shared" si="102"/>
        <v>0</v>
      </c>
      <c r="CY122" s="58">
        <f t="shared" si="103"/>
        <v>0</v>
      </c>
      <c r="CZ122" s="399">
        <f t="shared" si="104"/>
        <v>0</v>
      </c>
      <c r="DA122" s="399">
        <f t="shared" si="105"/>
        <v>-3090.3600000000079</v>
      </c>
      <c r="DB122" s="399">
        <f t="shared" si="106"/>
        <v>936</v>
      </c>
      <c r="DC122" s="399">
        <f t="shared" si="107"/>
        <v>358.63578947368421</v>
      </c>
      <c r="DD122" s="399">
        <f t="shared" si="108"/>
        <v>0</v>
      </c>
      <c r="DE122" s="399">
        <f t="shared" si="109"/>
        <v>-271.44000000000028</v>
      </c>
      <c r="DF122" s="399">
        <f t="shared" si="110"/>
        <v>-2067.1642105263236</v>
      </c>
      <c r="DG122" s="399">
        <f t="shared" si="111"/>
        <v>0</v>
      </c>
      <c r="DI122" s="399"/>
      <c r="DJ122" s="399"/>
      <c r="DK122" s="399"/>
      <c r="DL122" s="399"/>
      <c r="DM122" s="399"/>
      <c r="DN122" s="399"/>
      <c r="DO122" s="399"/>
      <c r="DP122" s="399"/>
      <c r="DQ122" s="399"/>
      <c r="DS122" s="399"/>
      <c r="DT122" s="399"/>
      <c r="DU122" s="399"/>
      <c r="DV122" s="399"/>
      <c r="DW122" s="399"/>
      <c r="DX122" s="399"/>
      <c r="DY122" s="399"/>
      <c r="DZ122" s="399"/>
      <c r="EB122" s="228">
        <f t="shared" si="112"/>
        <v>170959.40739612188</v>
      </c>
      <c r="EC122" s="228">
        <f t="shared" si="113"/>
        <v>0</v>
      </c>
      <c r="ED122" s="214">
        <f t="shared" si="114"/>
        <v>170959.40739612188</v>
      </c>
    </row>
    <row r="123" spans="1:134" hidden="1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3" t="str">
        <f>VLOOKUP(A123,'Summary Mar 2026'!$A$8:$F$207,6,FALSE)</f>
        <v>Chq Bk</v>
      </c>
      <c r="G123" s="33"/>
      <c r="H123" s="223">
        <v>0</v>
      </c>
      <c r="I123" s="294"/>
      <c r="J123" s="223">
        <v>0</v>
      </c>
      <c r="K123" s="223">
        <v>0</v>
      </c>
      <c r="L123" s="223">
        <v>0</v>
      </c>
      <c r="M123" s="223">
        <v>0</v>
      </c>
      <c r="N123" s="223">
        <v>0</v>
      </c>
      <c r="O123" s="223">
        <v>0</v>
      </c>
      <c r="P123" s="33">
        <f t="shared" si="72"/>
        <v>0</v>
      </c>
      <c r="Q123" s="223">
        <f t="shared" si="73"/>
        <v>0</v>
      </c>
      <c r="R123" s="294"/>
      <c r="S123" s="223">
        <v>0</v>
      </c>
      <c r="T123" s="223">
        <v>0</v>
      </c>
      <c r="U123" s="223">
        <v>0</v>
      </c>
      <c r="V123" s="223">
        <v>0</v>
      </c>
      <c r="W123" s="223">
        <v>0</v>
      </c>
      <c r="X123" s="223">
        <v>0</v>
      </c>
      <c r="Y123" s="223">
        <f t="shared" si="74"/>
        <v>0</v>
      </c>
      <c r="Z123" s="223">
        <f t="shared" si="75"/>
        <v>0</v>
      </c>
      <c r="AA123" s="294"/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223">
        <f t="shared" si="76"/>
        <v>0</v>
      </c>
      <c r="AI123" s="398">
        <f t="shared" si="77"/>
        <v>0</v>
      </c>
      <c r="AJ123" s="294"/>
      <c r="AK123" s="398">
        <v>0</v>
      </c>
      <c r="AL123" s="398">
        <v>0</v>
      </c>
      <c r="AM123" s="398">
        <v>0</v>
      </c>
      <c r="AN123" s="294"/>
      <c r="AO123" s="398">
        <f t="shared" si="78"/>
        <v>0</v>
      </c>
      <c r="AP123" s="398">
        <f t="shared" si="79"/>
        <v>0</v>
      </c>
      <c r="AQ123" s="398">
        <f t="shared" si="80"/>
        <v>0</v>
      </c>
      <c r="AR123" s="293"/>
      <c r="AS123" s="293">
        <v>0</v>
      </c>
      <c r="AT123" s="576">
        <f t="shared" si="81"/>
        <v>0</v>
      </c>
      <c r="AU123" s="293"/>
      <c r="AV123" s="293">
        <v>0</v>
      </c>
      <c r="AW123" s="293">
        <v>0</v>
      </c>
      <c r="AX123" s="293">
        <v>0</v>
      </c>
      <c r="AY123" s="293">
        <v>0</v>
      </c>
      <c r="AZ123" s="293">
        <v>0</v>
      </c>
      <c r="BA123" s="293">
        <v>0</v>
      </c>
      <c r="BB123" s="293">
        <v>0</v>
      </c>
      <c r="BC123" s="293">
        <f t="shared" si="82"/>
        <v>0</v>
      </c>
      <c r="BE123" s="58">
        <f t="shared" si="83"/>
        <v>0</v>
      </c>
      <c r="BF123" s="58">
        <f t="shared" si="84"/>
        <v>0</v>
      </c>
      <c r="BG123" s="58">
        <f t="shared" si="85"/>
        <v>0</v>
      </c>
      <c r="BH123" s="58">
        <f t="shared" si="86"/>
        <v>0</v>
      </c>
      <c r="BI123" s="58">
        <f t="shared" si="87"/>
        <v>0</v>
      </c>
      <c r="BJ123" s="58">
        <f t="shared" si="88"/>
        <v>0</v>
      </c>
      <c r="BK123" s="58">
        <f t="shared" si="89"/>
        <v>0</v>
      </c>
      <c r="BL123" s="58">
        <f t="shared" si="90"/>
        <v>0</v>
      </c>
      <c r="BM123" s="33">
        <f t="shared" si="91"/>
        <v>0</v>
      </c>
      <c r="BN123" s="33"/>
      <c r="BO123" s="293">
        <f t="shared" ref="BO123:BO154" si="122">AV123-(J123*80%)</f>
        <v>0</v>
      </c>
      <c r="BP123" s="293">
        <f t="shared" si="116"/>
        <v>0</v>
      </c>
      <c r="BQ123" s="293">
        <f t="shared" si="117"/>
        <v>0</v>
      </c>
      <c r="BR123" s="293">
        <f t="shared" si="118"/>
        <v>0</v>
      </c>
      <c r="BS123" s="293">
        <f t="shared" si="119"/>
        <v>0</v>
      </c>
      <c r="BT123" s="293">
        <f t="shared" si="120"/>
        <v>0</v>
      </c>
      <c r="BU123" s="293">
        <f t="shared" si="121"/>
        <v>0</v>
      </c>
      <c r="BV123" s="293">
        <f t="shared" si="70"/>
        <v>0</v>
      </c>
      <c r="BW123" s="293">
        <f t="shared" si="71"/>
        <v>0</v>
      </c>
      <c r="BX123" s="293">
        <v>0</v>
      </c>
      <c r="BY123" s="293">
        <v>0</v>
      </c>
      <c r="BZ123" s="293">
        <v>0</v>
      </c>
      <c r="CA123" s="293">
        <v>0</v>
      </c>
      <c r="CB123" s="293">
        <v>0</v>
      </c>
      <c r="CC123" s="293">
        <v>0</v>
      </c>
      <c r="CD123" s="293">
        <v>0</v>
      </c>
      <c r="CE123" s="293">
        <f t="shared" si="92"/>
        <v>0</v>
      </c>
      <c r="CF123" s="293"/>
      <c r="CG123" s="293">
        <v>0</v>
      </c>
      <c r="CH123" s="293">
        <v>0</v>
      </c>
      <c r="CI123" s="293">
        <v>0</v>
      </c>
      <c r="CJ123" s="293">
        <v>0</v>
      </c>
      <c r="CK123" s="293">
        <v>0</v>
      </c>
      <c r="CL123" s="293">
        <v>0</v>
      </c>
      <c r="CM123" s="293">
        <v>0</v>
      </c>
      <c r="CN123" s="293">
        <f t="shared" si="93"/>
        <v>0</v>
      </c>
      <c r="CO123" s="293"/>
      <c r="CP123" s="58">
        <f t="shared" si="94"/>
        <v>0</v>
      </c>
      <c r="CQ123" s="223">
        <f t="shared" si="95"/>
        <v>0</v>
      </c>
      <c r="CR123" s="223">
        <f t="shared" si="96"/>
        <v>0</v>
      </c>
      <c r="CS123" s="223">
        <f t="shared" si="97"/>
        <v>0</v>
      </c>
      <c r="CT123" s="223">
        <f t="shared" si="98"/>
        <v>0</v>
      </c>
      <c r="CU123" s="223">
        <f t="shared" si="99"/>
        <v>0</v>
      </c>
      <c r="CV123" s="223">
        <f t="shared" si="100"/>
        <v>0</v>
      </c>
      <c r="CW123" s="223">
        <f t="shared" si="101"/>
        <v>0</v>
      </c>
      <c r="CX123" s="223">
        <f t="shared" si="102"/>
        <v>0</v>
      </c>
      <c r="CY123" s="58">
        <f t="shared" si="103"/>
        <v>0</v>
      </c>
      <c r="CZ123" s="399">
        <f t="shared" si="104"/>
        <v>0</v>
      </c>
      <c r="DA123" s="399">
        <f t="shared" si="105"/>
        <v>0</v>
      </c>
      <c r="DB123" s="399">
        <f t="shared" si="106"/>
        <v>0</v>
      </c>
      <c r="DC123" s="399">
        <f t="shared" si="107"/>
        <v>0</v>
      </c>
      <c r="DD123" s="399">
        <f t="shared" si="108"/>
        <v>0</v>
      </c>
      <c r="DE123" s="399">
        <f t="shared" si="109"/>
        <v>0</v>
      </c>
      <c r="DF123" s="399">
        <f t="shared" si="110"/>
        <v>0</v>
      </c>
      <c r="DG123" s="399">
        <f t="shared" si="111"/>
        <v>0</v>
      </c>
      <c r="DI123" s="399"/>
      <c r="DJ123" s="399"/>
      <c r="DK123" s="399"/>
      <c r="DL123" s="399"/>
      <c r="DM123" s="399"/>
      <c r="DN123" s="399"/>
      <c r="DO123" s="399"/>
      <c r="DP123" s="399"/>
      <c r="DQ123" s="399"/>
      <c r="DS123" s="399"/>
      <c r="DT123" s="399"/>
      <c r="DU123" s="399"/>
      <c r="DV123" s="399"/>
      <c r="DW123" s="399"/>
      <c r="DX123" s="399"/>
      <c r="DY123" s="399"/>
      <c r="DZ123" s="399"/>
      <c r="EB123" s="228">
        <f t="shared" si="112"/>
        <v>0</v>
      </c>
      <c r="EC123" s="228">
        <f t="shared" si="113"/>
        <v>0</v>
      </c>
      <c r="ED123" s="214">
        <f t="shared" si="114"/>
        <v>0</v>
      </c>
    </row>
    <row r="124" spans="1:134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3" t="str">
        <f>VLOOKUP(A124,'Summary Mar 2026'!$A$8:$F$207,6,FALSE)</f>
        <v>Chq Bk</v>
      </c>
      <c r="G124" s="33"/>
      <c r="H124" s="223">
        <v>0</v>
      </c>
      <c r="I124" s="294"/>
      <c r="J124" s="223">
        <v>0</v>
      </c>
      <c r="K124" s="223">
        <v>0</v>
      </c>
      <c r="L124" s="223">
        <v>46355.4</v>
      </c>
      <c r="M124" s="223">
        <v>1365</v>
      </c>
      <c r="N124" s="223">
        <v>522.0526315789474</v>
      </c>
      <c r="O124" s="223">
        <v>0</v>
      </c>
      <c r="P124" s="33">
        <f t="shared" si="72"/>
        <v>48242.452631578948</v>
      </c>
      <c r="Q124" s="223">
        <f t="shared" si="73"/>
        <v>38593.962105263163</v>
      </c>
      <c r="R124" s="294"/>
      <c r="S124" s="223">
        <v>0</v>
      </c>
      <c r="T124" s="223">
        <v>0</v>
      </c>
      <c r="U124" s="223">
        <v>28696.2</v>
      </c>
      <c r="V124" s="223">
        <v>975</v>
      </c>
      <c r="W124" s="223">
        <v>372.89473684210526</v>
      </c>
      <c r="X124" s="223">
        <v>0</v>
      </c>
      <c r="Y124" s="223">
        <f t="shared" si="74"/>
        <v>30044.094736842108</v>
      </c>
      <c r="Z124" s="223">
        <f t="shared" si="75"/>
        <v>24035.275789473686</v>
      </c>
      <c r="AA124" s="294"/>
      <c r="AB124" s="398">
        <v>0</v>
      </c>
      <c r="AC124" s="398">
        <v>0</v>
      </c>
      <c r="AD124" s="398">
        <v>36033.347368421055</v>
      </c>
      <c r="AE124" s="398">
        <v>1023.1578947368421</v>
      </c>
      <c r="AF124" s="398">
        <v>391.3130193905817</v>
      </c>
      <c r="AG124" s="398">
        <v>0</v>
      </c>
      <c r="AH124" s="223">
        <f t="shared" si="76"/>
        <v>37447.818282548476</v>
      </c>
      <c r="AI124" s="398">
        <f t="shared" si="77"/>
        <v>29958.254626038783</v>
      </c>
      <c r="AJ124" s="294"/>
      <c r="AK124" s="398">
        <v>1753.05</v>
      </c>
      <c r="AL124" s="398">
        <v>982.80000000000007</v>
      </c>
      <c r="AM124" s="398">
        <v>1447.1999999999998</v>
      </c>
      <c r="AN124" s="294"/>
      <c r="AO124" s="398">
        <f t="shared" si="78"/>
        <v>1402.44</v>
      </c>
      <c r="AP124" s="398">
        <f t="shared" si="79"/>
        <v>786.24000000000012</v>
      </c>
      <c r="AQ124" s="398">
        <f t="shared" si="80"/>
        <v>1157.76</v>
      </c>
      <c r="AR124" s="293"/>
      <c r="AS124" s="293">
        <v>0</v>
      </c>
      <c r="AT124" s="576">
        <f t="shared" si="81"/>
        <v>0</v>
      </c>
      <c r="AU124" s="293"/>
      <c r="AV124" s="293">
        <v>0</v>
      </c>
      <c r="AW124" s="293">
        <v>0</v>
      </c>
      <c r="AX124" s="293">
        <v>54081.3</v>
      </c>
      <c r="AY124" s="293">
        <v>2340</v>
      </c>
      <c r="AZ124" s="293">
        <v>894.94736842105272</v>
      </c>
      <c r="BA124" s="293">
        <v>0</v>
      </c>
      <c r="BB124" s="293">
        <v>1856.3999999999999</v>
      </c>
      <c r="BC124" s="293">
        <f t="shared" si="82"/>
        <v>59172.647368421058</v>
      </c>
      <c r="BE124" s="58">
        <f t="shared" si="83"/>
        <v>0</v>
      </c>
      <c r="BF124" s="58">
        <f t="shared" si="84"/>
        <v>0</v>
      </c>
      <c r="BG124" s="58">
        <f t="shared" si="85"/>
        <v>7725.9000000000015</v>
      </c>
      <c r="BH124" s="58">
        <f t="shared" si="86"/>
        <v>975</v>
      </c>
      <c r="BI124" s="58">
        <f t="shared" si="87"/>
        <v>372.89473684210532</v>
      </c>
      <c r="BJ124" s="58">
        <f t="shared" si="88"/>
        <v>0</v>
      </c>
      <c r="BK124" s="58">
        <f t="shared" si="89"/>
        <v>103.34999999999991</v>
      </c>
      <c r="BL124" s="58">
        <f t="shared" si="90"/>
        <v>9177.1447368421068</v>
      </c>
      <c r="BM124" s="33">
        <f t="shared" si="91"/>
        <v>0</v>
      </c>
      <c r="BN124" s="33"/>
      <c r="BO124" s="293">
        <f t="shared" si="122"/>
        <v>0</v>
      </c>
      <c r="BP124" s="293">
        <f t="shared" ref="BP124:BP155" si="123">AW124-(K124*80%)</f>
        <v>0</v>
      </c>
      <c r="BQ124" s="293">
        <f t="shared" ref="BQ124:BQ155" si="124">AX124-(L124*80%)</f>
        <v>16996.980000000003</v>
      </c>
      <c r="BR124" s="293">
        <f t="shared" ref="BR124:BR155" si="125">AY124-(M124*80%)</f>
        <v>1248</v>
      </c>
      <c r="BS124" s="293">
        <f t="shared" ref="BS124:BS155" si="126">AZ124-(N124*80%)</f>
        <v>477.30526315789479</v>
      </c>
      <c r="BT124" s="293">
        <f t="shared" ref="BT124:BT155" si="127">BA124-(O124*80%)</f>
        <v>0</v>
      </c>
      <c r="BU124" s="293">
        <f t="shared" ref="BU124:BU155" si="128">BB124-(AK124*80%)</f>
        <v>453.95999999999981</v>
      </c>
      <c r="BV124" s="293">
        <f t="shared" si="70"/>
        <v>19176.245263157896</v>
      </c>
      <c r="BW124" s="293">
        <f t="shared" si="71"/>
        <v>7.2759576141834259E-12</v>
      </c>
      <c r="BX124" s="293">
        <v>0</v>
      </c>
      <c r="BY124" s="293">
        <v>0</v>
      </c>
      <c r="BZ124" s="293">
        <v>0</v>
      </c>
      <c r="CA124" s="293">
        <v>0</v>
      </c>
      <c r="CB124" s="293">
        <v>111.86842105263145</v>
      </c>
      <c r="CC124" s="293">
        <v>0</v>
      </c>
      <c r="CD124" s="293">
        <v>253.49999999999977</v>
      </c>
      <c r="CE124" s="293">
        <f t="shared" si="92"/>
        <v>365.36842105263122</v>
      </c>
      <c r="CF124" s="293"/>
      <c r="CG124" s="293">
        <v>0</v>
      </c>
      <c r="CH124" s="293">
        <v>0</v>
      </c>
      <c r="CI124" s="293">
        <v>38629.5</v>
      </c>
      <c r="CJ124" s="293">
        <v>1365</v>
      </c>
      <c r="CK124" s="293">
        <v>522.34</v>
      </c>
      <c r="CL124" s="293">
        <v>0</v>
      </c>
      <c r="CM124" s="293">
        <v>1255.7999999999997</v>
      </c>
      <c r="CN124" s="293">
        <f t="shared" si="93"/>
        <v>41772.639999999999</v>
      </c>
      <c r="CO124" s="293"/>
      <c r="CP124" s="58">
        <f t="shared" si="94"/>
        <v>0</v>
      </c>
      <c r="CQ124" s="223">
        <f t="shared" si="95"/>
        <v>0</v>
      </c>
      <c r="CR124" s="223">
        <f t="shared" si="96"/>
        <v>9933.2999999999993</v>
      </c>
      <c r="CS124" s="223">
        <f t="shared" si="97"/>
        <v>390</v>
      </c>
      <c r="CT124" s="223">
        <f t="shared" si="98"/>
        <v>149.44526315789477</v>
      </c>
      <c r="CU124" s="223">
        <f t="shared" si="99"/>
        <v>0</v>
      </c>
      <c r="CV124" s="223">
        <f t="shared" si="100"/>
        <v>272.99999999999966</v>
      </c>
      <c r="CW124" s="223">
        <f t="shared" si="101"/>
        <v>10745.745263157894</v>
      </c>
      <c r="CX124" s="223">
        <f t="shared" si="102"/>
        <v>0</v>
      </c>
      <c r="CY124" s="58">
        <f t="shared" si="103"/>
        <v>0</v>
      </c>
      <c r="CZ124" s="399">
        <f t="shared" si="104"/>
        <v>0</v>
      </c>
      <c r="DA124" s="399">
        <f t="shared" si="105"/>
        <v>15672.539999999997</v>
      </c>
      <c r="DB124" s="399">
        <f t="shared" si="106"/>
        <v>585</v>
      </c>
      <c r="DC124" s="399">
        <f t="shared" si="107"/>
        <v>224.02421052631581</v>
      </c>
      <c r="DD124" s="399">
        <f t="shared" si="108"/>
        <v>0</v>
      </c>
      <c r="DE124" s="399">
        <f t="shared" si="109"/>
        <v>469.5599999999996</v>
      </c>
      <c r="DF124" s="399">
        <f t="shared" si="110"/>
        <v>16951.124210526315</v>
      </c>
      <c r="DG124" s="399">
        <f t="shared" si="111"/>
        <v>0</v>
      </c>
      <c r="DI124" s="399"/>
      <c r="DJ124" s="399"/>
      <c r="DK124" s="399"/>
      <c r="DL124" s="399"/>
      <c r="DM124" s="399"/>
      <c r="DN124" s="399"/>
      <c r="DO124" s="399"/>
      <c r="DP124" s="399"/>
      <c r="DQ124" s="399"/>
      <c r="DS124" s="399"/>
      <c r="DT124" s="399"/>
      <c r="DU124" s="399"/>
      <c r="DV124" s="399"/>
      <c r="DW124" s="399"/>
      <c r="DX124" s="399"/>
      <c r="DY124" s="399"/>
      <c r="DZ124" s="399"/>
      <c r="EB124" s="228">
        <f t="shared" si="112"/>
        <v>132426.67041551246</v>
      </c>
      <c r="EC124" s="228">
        <f t="shared" si="113"/>
        <v>0</v>
      </c>
      <c r="ED124" s="214">
        <f t="shared" si="114"/>
        <v>132426.67041551246</v>
      </c>
    </row>
    <row r="125" spans="1:134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3" t="str">
        <f>VLOOKUP(A125,'Summary Mar 2026'!$A$8:$F$207,6,FALSE)</f>
        <v>Chq Bk</v>
      </c>
      <c r="G125" s="33"/>
      <c r="H125" s="223">
        <v>0</v>
      </c>
      <c r="I125" s="294"/>
      <c r="J125" s="223">
        <v>0</v>
      </c>
      <c r="K125" s="223">
        <v>0</v>
      </c>
      <c r="L125" s="223">
        <v>41940.6</v>
      </c>
      <c r="M125" s="223">
        <v>2535</v>
      </c>
      <c r="N125" s="223">
        <v>1044.1052631578948</v>
      </c>
      <c r="O125" s="223">
        <v>0</v>
      </c>
      <c r="P125" s="33">
        <f t="shared" si="72"/>
        <v>45519.705263157892</v>
      </c>
      <c r="Q125" s="223">
        <f t="shared" si="73"/>
        <v>36415.764210526315</v>
      </c>
      <c r="R125" s="294"/>
      <c r="S125" s="223">
        <v>0</v>
      </c>
      <c r="T125" s="223">
        <v>0</v>
      </c>
      <c r="U125" s="223">
        <v>33111</v>
      </c>
      <c r="V125" s="223">
        <v>2145</v>
      </c>
      <c r="W125" s="223">
        <v>596.63157894736844</v>
      </c>
      <c r="X125" s="223">
        <v>0</v>
      </c>
      <c r="Y125" s="223">
        <f t="shared" si="74"/>
        <v>35852.631578947367</v>
      </c>
      <c r="Z125" s="223">
        <f t="shared" si="75"/>
        <v>28682.105263157893</v>
      </c>
      <c r="AA125" s="294"/>
      <c r="AB125" s="398">
        <v>0</v>
      </c>
      <c r="AC125" s="398">
        <v>0</v>
      </c>
      <c r="AD125" s="398">
        <v>33137.810526315792</v>
      </c>
      <c r="AE125" s="398">
        <v>1989.4736842105262</v>
      </c>
      <c r="AF125" s="398">
        <v>717.40720221606648</v>
      </c>
      <c r="AG125" s="398">
        <v>0</v>
      </c>
      <c r="AH125" s="223">
        <f t="shared" si="76"/>
        <v>35844.691412742388</v>
      </c>
      <c r="AI125" s="398">
        <f t="shared" si="77"/>
        <v>28675.753130193913</v>
      </c>
      <c r="AJ125" s="294"/>
      <c r="AK125" s="398">
        <v>1577.55</v>
      </c>
      <c r="AL125" s="398">
        <v>1111.5</v>
      </c>
      <c r="AM125" s="398">
        <v>1176.0631578947368</v>
      </c>
      <c r="AN125" s="294"/>
      <c r="AO125" s="398">
        <f t="shared" si="78"/>
        <v>1262.04</v>
      </c>
      <c r="AP125" s="398">
        <f t="shared" si="79"/>
        <v>889.2</v>
      </c>
      <c r="AQ125" s="398">
        <f t="shared" si="80"/>
        <v>940.85052631578947</v>
      </c>
      <c r="AR125" s="293"/>
      <c r="AS125" s="293">
        <v>0</v>
      </c>
      <c r="AT125" s="576">
        <f t="shared" si="81"/>
        <v>0</v>
      </c>
      <c r="AU125" s="293"/>
      <c r="AV125" s="293">
        <v>0</v>
      </c>
      <c r="AW125" s="293">
        <v>0</v>
      </c>
      <c r="AX125" s="293">
        <v>45251.700000000004</v>
      </c>
      <c r="AY125" s="293">
        <v>3120</v>
      </c>
      <c r="AZ125" s="293">
        <v>969.52631578947376</v>
      </c>
      <c r="BA125" s="293">
        <v>0</v>
      </c>
      <c r="BB125" s="293">
        <v>1318.2</v>
      </c>
      <c r="BC125" s="293">
        <f t="shared" si="82"/>
        <v>50659.426315789475</v>
      </c>
      <c r="BE125" s="58">
        <f t="shared" si="83"/>
        <v>0</v>
      </c>
      <c r="BF125" s="58">
        <f t="shared" si="84"/>
        <v>0</v>
      </c>
      <c r="BG125" s="58">
        <f t="shared" si="85"/>
        <v>3311.1000000000058</v>
      </c>
      <c r="BH125" s="58">
        <f t="shared" si="86"/>
        <v>585</v>
      </c>
      <c r="BI125" s="58">
        <f t="shared" si="87"/>
        <v>-74.578947368421041</v>
      </c>
      <c r="BJ125" s="58">
        <f t="shared" si="88"/>
        <v>0</v>
      </c>
      <c r="BK125" s="58">
        <f t="shared" si="89"/>
        <v>-259.34999999999991</v>
      </c>
      <c r="BL125" s="58">
        <f t="shared" si="90"/>
        <v>3562.1710526315851</v>
      </c>
      <c r="BM125" s="33">
        <f t="shared" si="91"/>
        <v>0</v>
      </c>
      <c r="BN125" s="33"/>
      <c r="BO125" s="293">
        <f t="shared" si="122"/>
        <v>0</v>
      </c>
      <c r="BP125" s="293">
        <f t="shared" si="123"/>
        <v>0</v>
      </c>
      <c r="BQ125" s="293">
        <f t="shared" si="124"/>
        <v>11699.220000000001</v>
      </c>
      <c r="BR125" s="293">
        <f t="shared" si="125"/>
        <v>1092</v>
      </c>
      <c r="BS125" s="293">
        <f t="shared" si="126"/>
        <v>134.2421052631579</v>
      </c>
      <c r="BT125" s="293">
        <f t="shared" si="127"/>
        <v>0</v>
      </c>
      <c r="BU125" s="293">
        <f t="shared" si="128"/>
        <v>56.160000000000082</v>
      </c>
      <c r="BV125" s="293">
        <f t="shared" si="70"/>
        <v>12981.622105263159</v>
      </c>
      <c r="BW125" s="293">
        <f t="shared" si="71"/>
        <v>0</v>
      </c>
      <c r="BX125" s="293">
        <v>0</v>
      </c>
      <c r="BY125" s="293">
        <v>0</v>
      </c>
      <c r="BZ125" s="293">
        <v>0</v>
      </c>
      <c r="CA125" s="293">
        <v>0</v>
      </c>
      <c r="CB125" s="293">
        <v>223.73684210526312</v>
      </c>
      <c r="CC125" s="293">
        <v>0</v>
      </c>
      <c r="CD125" s="293">
        <v>206.69999999999959</v>
      </c>
      <c r="CE125" s="293">
        <f t="shared" si="92"/>
        <v>430.43684210526271</v>
      </c>
      <c r="CF125" s="293"/>
      <c r="CG125" s="293">
        <v>0</v>
      </c>
      <c r="CH125" s="293">
        <v>0</v>
      </c>
      <c r="CI125" s="293">
        <v>35870.25</v>
      </c>
      <c r="CJ125" s="293">
        <v>2047.5</v>
      </c>
      <c r="CK125" s="293">
        <v>932.62</v>
      </c>
      <c r="CL125" s="293">
        <v>0</v>
      </c>
      <c r="CM125" s="293">
        <v>1126.125</v>
      </c>
      <c r="CN125" s="293">
        <f t="shared" si="93"/>
        <v>39976.495000000003</v>
      </c>
      <c r="CO125" s="293"/>
      <c r="CP125" s="58">
        <f t="shared" si="94"/>
        <v>0</v>
      </c>
      <c r="CQ125" s="223">
        <f t="shared" si="95"/>
        <v>0</v>
      </c>
      <c r="CR125" s="223">
        <f t="shared" si="96"/>
        <v>2759.25</v>
      </c>
      <c r="CS125" s="223">
        <f t="shared" si="97"/>
        <v>-97.5</v>
      </c>
      <c r="CT125" s="223">
        <f t="shared" si="98"/>
        <v>335.98842105263157</v>
      </c>
      <c r="CU125" s="223">
        <f t="shared" si="99"/>
        <v>0</v>
      </c>
      <c r="CV125" s="223">
        <f t="shared" si="100"/>
        <v>14.625</v>
      </c>
      <c r="CW125" s="223">
        <f t="shared" si="101"/>
        <v>3012.3634210526316</v>
      </c>
      <c r="CX125" s="223">
        <f t="shared" si="102"/>
        <v>0</v>
      </c>
      <c r="CY125" s="58">
        <f t="shared" si="103"/>
        <v>0</v>
      </c>
      <c r="CZ125" s="399">
        <f t="shared" si="104"/>
        <v>0</v>
      </c>
      <c r="DA125" s="399">
        <f t="shared" si="105"/>
        <v>9381.4499999999971</v>
      </c>
      <c r="DB125" s="399">
        <f t="shared" si="106"/>
        <v>331.5</v>
      </c>
      <c r="DC125" s="399">
        <f t="shared" si="107"/>
        <v>455.31473684210522</v>
      </c>
      <c r="DD125" s="399">
        <f t="shared" si="108"/>
        <v>0</v>
      </c>
      <c r="DE125" s="399">
        <f t="shared" si="109"/>
        <v>236.92499999999995</v>
      </c>
      <c r="DF125" s="399">
        <f t="shared" si="110"/>
        <v>10405.189736842101</v>
      </c>
      <c r="DG125" s="399">
        <f t="shared" si="111"/>
        <v>0</v>
      </c>
      <c r="DI125" s="399"/>
      <c r="DJ125" s="399"/>
      <c r="DK125" s="399"/>
      <c r="DL125" s="399"/>
      <c r="DM125" s="399"/>
      <c r="DN125" s="399"/>
      <c r="DO125" s="399"/>
      <c r="DP125" s="399"/>
      <c r="DQ125" s="399"/>
      <c r="DS125" s="399"/>
      <c r="DT125" s="399"/>
      <c r="DU125" s="399"/>
      <c r="DV125" s="399"/>
      <c r="DW125" s="399"/>
      <c r="DX125" s="399"/>
      <c r="DY125" s="399"/>
      <c r="DZ125" s="399"/>
      <c r="EB125" s="228">
        <f t="shared" si="112"/>
        <v>120682.96181440442</v>
      </c>
      <c r="EC125" s="228">
        <f t="shared" si="113"/>
        <v>0</v>
      </c>
      <c r="ED125" s="214">
        <f t="shared" si="114"/>
        <v>120682.96181440442</v>
      </c>
    </row>
    <row r="126" spans="1:134" hidden="1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3" t="str">
        <f>VLOOKUP(A126,'Summary Mar 2026'!$A$8:$F$207,6,FALSE)</f>
        <v>Chq Bk</v>
      </c>
      <c r="G126" s="33"/>
      <c r="H126" s="223">
        <v>0</v>
      </c>
      <c r="I126" s="294"/>
      <c r="J126" s="223">
        <v>0</v>
      </c>
      <c r="K126" s="223">
        <v>0</v>
      </c>
      <c r="L126" s="223">
        <v>19866.600000000002</v>
      </c>
      <c r="M126" s="223">
        <v>390</v>
      </c>
      <c r="N126" s="223">
        <v>149.15789473684211</v>
      </c>
      <c r="O126" s="223">
        <v>0</v>
      </c>
      <c r="P126" s="33">
        <f t="shared" si="72"/>
        <v>20405.757894736846</v>
      </c>
      <c r="Q126" s="223">
        <f t="shared" si="73"/>
        <v>16324.606315789477</v>
      </c>
      <c r="R126" s="294"/>
      <c r="S126" s="223">
        <v>0</v>
      </c>
      <c r="T126" s="223">
        <v>0</v>
      </c>
      <c r="U126" s="223">
        <v>27592.5</v>
      </c>
      <c r="V126" s="223">
        <v>780</v>
      </c>
      <c r="W126" s="223">
        <v>298.31578947368422</v>
      </c>
      <c r="X126" s="223">
        <v>0</v>
      </c>
      <c r="Y126" s="223">
        <f t="shared" si="74"/>
        <v>28670.815789473683</v>
      </c>
      <c r="Z126" s="223">
        <f t="shared" si="75"/>
        <v>22936.652631578949</v>
      </c>
      <c r="AA126" s="294"/>
      <c r="AB126" s="398">
        <v>0</v>
      </c>
      <c r="AC126" s="398">
        <v>0</v>
      </c>
      <c r="AD126" s="398">
        <v>19947.031578947372</v>
      </c>
      <c r="AE126" s="398">
        <v>454.73684210526312</v>
      </c>
      <c r="AF126" s="398">
        <v>173.91689750692518</v>
      </c>
      <c r="AG126" s="398">
        <v>0</v>
      </c>
      <c r="AH126" s="223">
        <f t="shared" si="76"/>
        <v>20575.685318559561</v>
      </c>
      <c r="AI126" s="398">
        <f t="shared" si="77"/>
        <v>16460.54825484765</v>
      </c>
      <c r="AJ126" s="294"/>
      <c r="AK126" s="398">
        <v>269.10000000000002</v>
      </c>
      <c r="AL126" s="398">
        <v>403.65</v>
      </c>
      <c r="AM126" s="398">
        <v>274.54736842105257</v>
      </c>
      <c r="AN126" s="294"/>
      <c r="AO126" s="398">
        <f t="shared" si="78"/>
        <v>215.28000000000003</v>
      </c>
      <c r="AP126" s="398">
        <f t="shared" si="79"/>
        <v>322.92</v>
      </c>
      <c r="AQ126" s="398">
        <f t="shared" si="80"/>
        <v>219.63789473684207</v>
      </c>
      <c r="AR126" s="293"/>
      <c r="AS126" s="293">
        <v>0</v>
      </c>
      <c r="AT126" s="576">
        <f t="shared" si="81"/>
        <v>0</v>
      </c>
      <c r="AU126" s="293"/>
      <c r="AV126" s="293">
        <v>0</v>
      </c>
      <c r="AW126" s="293">
        <v>0</v>
      </c>
      <c r="AX126" s="293">
        <v>26488.799999999999</v>
      </c>
      <c r="AY126" s="293">
        <v>1170</v>
      </c>
      <c r="AZ126" s="293">
        <v>447.47368421052636</v>
      </c>
      <c r="BA126" s="293">
        <v>0</v>
      </c>
      <c r="BB126" s="293">
        <v>403.65</v>
      </c>
      <c r="BC126" s="293">
        <f t="shared" si="82"/>
        <v>28509.923684210527</v>
      </c>
      <c r="BE126" s="58">
        <f t="shared" si="83"/>
        <v>0</v>
      </c>
      <c r="BF126" s="58">
        <f t="shared" si="84"/>
        <v>0</v>
      </c>
      <c r="BG126" s="58">
        <f t="shared" si="85"/>
        <v>6622.1999999999971</v>
      </c>
      <c r="BH126" s="58">
        <f t="shared" si="86"/>
        <v>780</v>
      </c>
      <c r="BI126" s="58">
        <f t="shared" si="87"/>
        <v>298.31578947368428</v>
      </c>
      <c r="BJ126" s="58">
        <f t="shared" si="88"/>
        <v>0</v>
      </c>
      <c r="BK126" s="58">
        <f t="shared" si="89"/>
        <v>134.54999999999995</v>
      </c>
      <c r="BL126" s="58">
        <f t="shared" si="90"/>
        <v>7835.0657894736814</v>
      </c>
      <c r="BM126" s="33">
        <f t="shared" si="91"/>
        <v>0</v>
      </c>
      <c r="BN126" s="33"/>
      <c r="BO126" s="293">
        <f t="shared" si="122"/>
        <v>0</v>
      </c>
      <c r="BP126" s="293">
        <f t="shared" si="123"/>
        <v>0</v>
      </c>
      <c r="BQ126" s="293">
        <f t="shared" si="124"/>
        <v>10595.519999999997</v>
      </c>
      <c r="BR126" s="293">
        <f t="shared" si="125"/>
        <v>858</v>
      </c>
      <c r="BS126" s="293">
        <f t="shared" si="126"/>
        <v>328.14736842105265</v>
      </c>
      <c r="BT126" s="293">
        <f t="shared" si="127"/>
        <v>0</v>
      </c>
      <c r="BU126" s="293">
        <f t="shared" si="128"/>
        <v>188.36999999999995</v>
      </c>
      <c r="BV126" s="293">
        <f t="shared" si="70"/>
        <v>11970.03736842105</v>
      </c>
      <c r="BW126" s="293">
        <f t="shared" si="71"/>
        <v>0</v>
      </c>
      <c r="BX126" s="293">
        <v>0</v>
      </c>
      <c r="BY126" s="293">
        <v>0</v>
      </c>
      <c r="BZ126" s="293">
        <v>0</v>
      </c>
      <c r="CA126" s="293">
        <v>0</v>
      </c>
      <c r="CB126" s="293">
        <v>0</v>
      </c>
      <c r="CC126" s="293">
        <v>0</v>
      </c>
      <c r="CD126" s="293">
        <v>0</v>
      </c>
      <c r="CE126" s="293">
        <f t="shared" si="92"/>
        <v>0</v>
      </c>
      <c r="CF126" s="293"/>
      <c r="CG126" s="293">
        <v>0</v>
      </c>
      <c r="CH126" s="293">
        <v>0</v>
      </c>
      <c r="CI126" s="293">
        <v>26488.799999999999</v>
      </c>
      <c r="CJ126" s="293">
        <v>1365</v>
      </c>
      <c r="CK126" s="293">
        <v>522.34</v>
      </c>
      <c r="CL126" s="293">
        <v>0</v>
      </c>
      <c r="CM126" s="293">
        <v>315.89999999999998</v>
      </c>
      <c r="CN126" s="293">
        <f t="shared" si="93"/>
        <v>28692.04</v>
      </c>
      <c r="CO126" s="293"/>
      <c r="CP126" s="58">
        <f t="shared" si="94"/>
        <v>0</v>
      </c>
      <c r="CQ126" s="223">
        <f t="shared" si="95"/>
        <v>0</v>
      </c>
      <c r="CR126" s="223">
        <f t="shared" si="96"/>
        <v>-1103.7000000000007</v>
      </c>
      <c r="CS126" s="223">
        <f t="shared" si="97"/>
        <v>585</v>
      </c>
      <c r="CT126" s="223">
        <f t="shared" si="98"/>
        <v>224.02421052631581</v>
      </c>
      <c r="CU126" s="223">
        <f t="shared" si="99"/>
        <v>0</v>
      </c>
      <c r="CV126" s="223">
        <f t="shared" si="100"/>
        <v>-87.75</v>
      </c>
      <c r="CW126" s="223">
        <f t="shared" si="101"/>
        <v>-382.42578947368492</v>
      </c>
      <c r="CX126" s="223">
        <f t="shared" si="102"/>
        <v>0</v>
      </c>
      <c r="CY126" s="58">
        <f t="shared" si="103"/>
        <v>0</v>
      </c>
      <c r="CZ126" s="399">
        <f t="shared" si="104"/>
        <v>0</v>
      </c>
      <c r="DA126" s="399">
        <f t="shared" si="105"/>
        <v>4414.7999999999993</v>
      </c>
      <c r="DB126" s="399">
        <f t="shared" si="106"/>
        <v>741</v>
      </c>
      <c r="DC126" s="399">
        <f t="shared" si="107"/>
        <v>283.68736842105261</v>
      </c>
      <c r="DD126" s="399">
        <f t="shared" si="108"/>
        <v>0</v>
      </c>
      <c r="DE126" s="399">
        <f t="shared" si="109"/>
        <v>-7.0200000000000387</v>
      </c>
      <c r="DF126" s="399">
        <f t="shared" si="110"/>
        <v>5432.4673684210511</v>
      </c>
      <c r="DG126" s="399">
        <f t="shared" si="111"/>
        <v>0</v>
      </c>
      <c r="DI126" s="399"/>
      <c r="DJ126" s="399"/>
      <c r="DK126" s="399"/>
      <c r="DL126" s="399"/>
      <c r="DM126" s="399"/>
      <c r="DN126" s="399"/>
      <c r="DO126" s="399"/>
      <c r="DP126" s="399"/>
      <c r="DQ126" s="399"/>
      <c r="DS126" s="399"/>
      <c r="DT126" s="399"/>
      <c r="DU126" s="399"/>
      <c r="DV126" s="399"/>
      <c r="DW126" s="399"/>
      <c r="DX126" s="399"/>
      <c r="DY126" s="399"/>
      <c r="DZ126" s="399"/>
      <c r="EB126" s="228">
        <f t="shared" si="112"/>
        <v>73882.149833795018</v>
      </c>
      <c r="EC126" s="228">
        <f t="shared" si="113"/>
        <v>0</v>
      </c>
      <c r="ED126" s="214">
        <f t="shared" si="114"/>
        <v>73882.149833795018</v>
      </c>
    </row>
    <row r="127" spans="1:134" hidden="1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3" t="str">
        <f>VLOOKUP(A127,'Summary Mar 2026'!$A$8:$F$207,6,FALSE)</f>
        <v>Chq Bk</v>
      </c>
      <c r="G127" s="33"/>
      <c r="H127" s="223">
        <v>0</v>
      </c>
      <c r="I127" s="294"/>
      <c r="J127" s="223">
        <v>0</v>
      </c>
      <c r="K127" s="223">
        <v>0</v>
      </c>
      <c r="L127" s="223">
        <v>0</v>
      </c>
      <c r="M127" s="223">
        <v>0</v>
      </c>
      <c r="N127" s="223">
        <v>0</v>
      </c>
      <c r="O127" s="223">
        <v>0</v>
      </c>
      <c r="P127" s="33">
        <f t="shared" si="72"/>
        <v>0</v>
      </c>
      <c r="Q127" s="223">
        <f t="shared" si="73"/>
        <v>0</v>
      </c>
      <c r="R127" s="294"/>
      <c r="S127" s="223">
        <v>0</v>
      </c>
      <c r="T127" s="223">
        <v>0</v>
      </c>
      <c r="U127" s="223">
        <v>0</v>
      </c>
      <c r="V127" s="223">
        <v>0</v>
      </c>
      <c r="W127" s="223">
        <v>0</v>
      </c>
      <c r="X127" s="223">
        <v>0</v>
      </c>
      <c r="Y127" s="223">
        <f t="shared" si="74"/>
        <v>0</v>
      </c>
      <c r="Z127" s="223">
        <f t="shared" si="75"/>
        <v>0</v>
      </c>
      <c r="AA127" s="294"/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223">
        <f t="shared" si="76"/>
        <v>0</v>
      </c>
      <c r="AI127" s="398">
        <f t="shared" si="77"/>
        <v>0</v>
      </c>
      <c r="AJ127" s="294"/>
      <c r="AK127" s="398">
        <v>0</v>
      </c>
      <c r="AL127" s="398">
        <v>0</v>
      </c>
      <c r="AM127" s="398">
        <v>0</v>
      </c>
      <c r="AN127" s="294"/>
      <c r="AO127" s="398">
        <f t="shared" si="78"/>
        <v>0</v>
      </c>
      <c r="AP127" s="398">
        <f t="shared" si="79"/>
        <v>0</v>
      </c>
      <c r="AQ127" s="398">
        <f t="shared" si="80"/>
        <v>0</v>
      </c>
      <c r="AR127" s="293"/>
      <c r="AS127" s="293">
        <v>0</v>
      </c>
      <c r="AT127" s="576">
        <f t="shared" si="81"/>
        <v>0</v>
      </c>
      <c r="AU127" s="293"/>
      <c r="AV127" s="293">
        <v>0</v>
      </c>
      <c r="AW127" s="293">
        <v>0</v>
      </c>
      <c r="AX127" s="293">
        <v>0</v>
      </c>
      <c r="AY127" s="293">
        <v>0</v>
      </c>
      <c r="AZ127" s="293">
        <v>0</v>
      </c>
      <c r="BA127" s="293">
        <v>0</v>
      </c>
      <c r="BB127" s="293">
        <v>0</v>
      </c>
      <c r="BC127" s="293">
        <f t="shared" si="82"/>
        <v>0</v>
      </c>
      <c r="BE127" s="58">
        <f t="shared" si="83"/>
        <v>0</v>
      </c>
      <c r="BF127" s="58">
        <f t="shared" si="84"/>
        <v>0</v>
      </c>
      <c r="BG127" s="58">
        <f t="shared" si="85"/>
        <v>0</v>
      </c>
      <c r="BH127" s="58">
        <f t="shared" si="86"/>
        <v>0</v>
      </c>
      <c r="BI127" s="58">
        <f t="shared" si="87"/>
        <v>0</v>
      </c>
      <c r="BJ127" s="58">
        <f t="shared" si="88"/>
        <v>0</v>
      </c>
      <c r="BK127" s="58">
        <f t="shared" si="89"/>
        <v>0</v>
      </c>
      <c r="BL127" s="58">
        <f t="shared" si="90"/>
        <v>0</v>
      </c>
      <c r="BM127" s="33">
        <f t="shared" si="91"/>
        <v>0</v>
      </c>
      <c r="BN127" s="33"/>
      <c r="BO127" s="293">
        <f t="shared" si="122"/>
        <v>0</v>
      </c>
      <c r="BP127" s="293">
        <f t="shared" si="123"/>
        <v>0</v>
      </c>
      <c r="BQ127" s="293">
        <f t="shared" si="124"/>
        <v>0</v>
      </c>
      <c r="BR127" s="293">
        <f t="shared" si="125"/>
        <v>0</v>
      </c>
      <c r="BS127" s="293">
        <f t="shared" si="126"/>
        <v>0</v>
      </c>
      <c r="BT127" s="293">
        <f t="shared" si="127"/>
        <v>0</v>
      </c>
      <c r="BU127" s="293">
        <f t="shared" si="128"/>
        <v>0</v>
      </c>
      <c r="BV127" s="293">
        <f t="shared" si="70"/>
        <v>0</v>
      </c>
      <c r="BW127" s="293">
        <f t="shared" si="71"/>
        <v>0</v>
      </c>
      <c r="BX127" s="293">
        <v>0</v>
      </c>
      <c r="BY127" s="293">
        <v>0</v>
      </c>
      <c r="BZ127" s="293">
        <v>0</v>
      </c>
      <c r="CA127" s="293">
        <v>0</v>
      </c>
      <c r="CB127" s="293">
        <v>0</v>
      </c>
      <c r="CC127" s="293">
        <v>0</v>
      </c>
      <c r="CD127" s="293">
        <v>0</v>
      </c>
      <c r="CE127" s="293">
        <f t="shared" si="92"/>
        <v>0</v>
      </c>
      <c r="CF127" s="293"/>
      <c r="CG127" s="293">
        <v>0</v>
      </c>
      <c r="CH127" s="293">
        <v>0</v>
      </c>
      <c r="CI127" s="293">
        <v>0</v>
      </c>
      <c r="CJ127" s="293">
        <v>0</v>
      </c>
      <c r="CK127" s="293">
        <v>0</v>
      </c>
      <c r="CL127" s="293">
        <v>0</v>
      </c>
      <c r="CM127" s="293">
        <v>0</v>
      </c>
      <c r="CN127" s="293">
        <f t="shared" si="93"/>
        <v>0</v>
      </c>
      <c r="CO127" s="293"/>
      <c r="CP127" s="58">
        <f t="shared" si="94"/>
        <v>0</v>
      </c>
      <c r="CQ127" s="223">
        <f t="shared" si="95"/>
        <v>0</v>
      </c>
      <c r="CR127" s="223">
        <f t="shared" si="96"/>
        <v>0</v>
      </c>
      <c r="CS127" s="223">
        <f t="shared" si="97"/>
        <v>0</v>
      </c>
      <c r="CT127" s="223">
        <f t="shared" si="98"/>
        <v>0</v>
      </c>
      <c r="CU127" s="223">
        <f t="shared" si="99"/>
        <v>0</v>
      </c>
      <c r="CV127" s="223">
        <f t="shared" si="100"/>
        <v>0</v>
      </c>
      <c r="CW127" s="223">
        <f t="shared" si="101"/>
        <v>0</v>
      </c>
      <c r="CX127" s="223">
        <f t="shared" si="102"/>
        <v>0</v>
      </c>
      <c r="CY127" s="58">
        <f t="shared" si="103"/>
        <v>0</v>
      </c>
      <c r="CZ127" s="399">
        <f t="shared" si="104"/>
        <v>0</v>
      </c>
      <c r="DA127" s="399">
        <f t="shared" si="105"/>
        <v>0</v>
      </c>
      <c r="DB127" s="399">
        <f t="shared" si="106"/>
        <v>0</v>
      </c>
      <c r="DC127" s="399">
        <f t="shared" si="107"/>
        <v>0</v>
      </c>
      <c r="DD127" s="399">
        <f t="shared" si="108"/>
        <v>0</v>
      </c>
      <c r="DE127" s="399">
        <f t="shared" si="109"/>
        <v>0</v>
      </c>
      <c r="DF127" s="399">
        <f t="shared" si="110"/>
        <v>0</v>
      </c>
      <c r="DG127" s="399">
        <f t="shared" si="111"/>
        <v>0</v>
      </c>
      <c r="DI127" s="399"/>
      <c r="DJ127" s="399"/>
      <c r="DK127" s="399"/>
      <c r="DL127" s="399"/>
      <c r="DM127" s="399"/>
      <c r="DN127" s="399"/>
      <c r="DO127" s="399"/>
      <c r="DP127" s="399"/>
      <c r="DQ127" s="399"/>
      <c r="DS127" s="399"/>
      <c r="DT127" s="399"/>
      <c r="DU127" s="399"/>
      <c r="DV127" s="399"/>
      <c r="DW127" s="399"/>
      <c r="DX127" s="399"/>
      <c r="DY127" s="399"/>
      <c r="DZ127" s="399"/>
      <c r="EB127" s="228">
        <f t="shared" si="112"/>
        <v>0</v>
      </c>
      <c r="EC127" s="228">
        <f t="shared" si="113"/>
        <v>0</v>
      </c>
      <c r="ED127" s="214">
        <f t="shared" si="114"/>
        <v>0</v>
      </c>
    </row>
    <row r="128" spans="1:134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3" t="str">
        <f>VLOOKUP(A128,'Summary Mar 2026'!$A$8:$F$207,6,FALSE)</f>
        <v>Chq Bk</v>
      </c>
      <c r="G128" s="33"/>
      <c r="H128" s="223">
        <v>0</v>
      </c>
      <c r="I128" s="294"/>
      <c r="J128" s="223">
        <v>0</v>
      </c>
      <c r="K128" s="223">
        <v>0</v>
      </c>
      <c r="L128" s="223">
        <v>43044.3</v>
      </c>
      <c r="M128" s="223">
        <v>1170</v>
      </c>
      <c r="N128" s="223">
        <v>447.47368421052636</v>
      </c>
      <c r="O128" s="223">
        <v>0</v>
      </c>
      <c r="P128" s="33">
        <f t="shared" si="72"/>
        <v>44661.77368421053</v>
      </c>
      <c r="Q128" s="223">
        <f t="shared" si="73"/>
        <v>35729.418947368424</v>
      </c>
      <c r="R128" s="294"/>
      <c r="S128" s="223">
        <v>0</v>
      </c>
      <c r="T128" s="223">
        <v>0</v>
      </c>
      <c r="U128" s="223">
        <v>37525.800000000003</v>
      </c>
      <c r="V128" s="223">
        <v>1365</v>
      </c>
      <c r="W128" s="223">
        <v>522.0526315789474</v>
      </c>
      <c r="X128" s="223">
        <v>0</v>
      </c>
      <c r="Y128" s="223">
        <f t="shared" si="74"/>
        <v>39412.85263157895</v>
      </c>
      <c r="Z128" s="223">
        <f t="shared" si="75"/>
        <v>31530.282105263163</v>
      </c>
      <c r="AA128" s="294"/>
      <c r="AB128" s="398">
        <v>0</v>
      </c>
      <c r="AC128" s="398">
        <v>0</v>
      </c>
      <c r="AD128" s="398">
        <v>36033.347368421055</v>
      </c>
      <c r="AE128" s="398">
        <v>1080</v>
      </c>
      <c r="AF128" s="398">
        <v>413.05263157894734</v>
      </c>
      <c r="AG128" s="398">
        <v>0</v>
      </c>
      <c r="AH128" s="223">
        <f t="shared" si="76"/>
        <v>37526.400000000001</v>
      </c>
      <c r="AI128" s="398">
        <f t="shared" si="77"/>
        <v>30021.120000000003</v>
      </c>
      <c r="AJ128" s="294"/>
      <c r="AK128" s="398">
        <v>1862.25</v>
      </c>
      <c r="AL128" s="398">
        <v>1571.6999999999998</v>
      </c>
      <c r="AM128" s="398">
        <v>1543.8315789473681</v>
      </c>
      <c r="AN128" s="294"/>
      <c r="AO128" s="398">
        <f t="shared" si="78"/>
        <v>1489.8000000000002</v>
      </c>
      <c r="AP128" s="398">
        <f t="shared" si="79"/>
        <v>1257.3599999999999</v>
      </c>
      <c r="AQ128" s="398">
        <f t="shared" si="80"/>
        <v>1235.0652631578946</v>
      </c>
      <c r="AR128" s="293"/>
      <c r="AS128" s="293">
        <v>0</v>
      </c>
      <c r="AT128" s="576">
        <f t="shared" si="81"/>
        <v>0</v>
      </c>
      <c r="AU128" s="293"/>
      <c r="AV128" s="293">
        <v>0</v>
      </c>
      <c r="AW128" s="293">
        <v>0</v>
      </c>
      <c r="AX128" s="293">
        <v>38629.5</v>
      </c>
      <c r="AY128" s="293">
        <v>1365</v>
      </c>
      <c r="AZ128" s="293">
        <v>522.0526315789474</v>
      </c>
      <c r="BA128" s="293">
        <v>0</v>
      </c>
      <c r="BB128" s="293">
        <v>1556.0999999999997</v>
      </c>
      <c r="BC128" s="293">
        <f t="shared" si="82"/>
        <v>42072.652631578945</v>
      </c>
      <c r="BE128" s="58">
        <f t="shared" si="83"/>
        <v>0</v>
      </c>
      <c r="BF128" s="58">
        <f t="shared" si="84"/>
        <v>0</v>
      </c>
      <c r="BG128" s="58">
        <f t="shared" si="85"/>
        <v>-4414.8000000000029</v>
      </c>
      <c r="BH128" s="58">
        <f t="shared" si="86"/>
        <v>195</v>
      </c>
      <c r="BI128" s="58">
        <f t="shared" si="87"/>
        <v>74.578947368421041</v>
      </c>
      <c r="BJ128" s="58">
        <f t="shared" si="88"/>
        <v>0</v>
      </c>
      <c r="BK128" s="58">
        <f t="shared" si="89"/>
        <v>-306.15000000000032</v>
      </c>
      <c r="BL128" s="58">
        <f t="shared" si="90"/>
        <v>-4451.3710526315826</v>
      </c>
      <c r="BM128" s="33">
        <f t="shared" si="91"/>
        <v>0</v>
      </c>
      <c r="BN128" s="33"/>
      <c r="BO128" s="293">
        <f t="shared" si="122"/>
        <v>0</v>
      </c>
      <c r="BP128" s="293">
        <f t="shared" si="123"/>
        <v>0</v>
      </c>
      <c r="BQ128" s="293">
        <f t="shared" si="124"/>
        <v>4194.0599999999977</v>
      </c>
      <c r="BR128" s="293">
        <f t="shared" si="125"/>
        <v>429</v>
      </c>
      <c r="BS128" s="293">
        <f t="shared" si="126"/>
        <v>164.07368421052627</v>
      </c>
      <c r="BT128" s="293">
        <f t="shared" si="127"/>
        <v>0</v>
      </c>
      <c r="BU128" s="293">
        <f t="shared" si="128"/>
        <v>66.2999999999995</v>
      </c>
      <c r="BV128" s="293">
        <f t="shared" si="70"/>
        <v>4853.4336842105231</v>
      </c>
      <c r="BW128" s="293">
        <f t="shared" si="71"/>
        <v>7.2759576141834259E-12</v>
      </c>
      <c r="BX128" s="293">
        <v>0</v>
      </c>
      <c r="BY128" s="293">
        <v>0</v>
      </c>
      <c r="BZ128" s="293">
        <v>0</v>
      </c>
      <c r="CA128" s="293">
        <v>0</v>
      </c>
      <c r="CB128" s="293">
        <v>0</v>
      </c>
      <c r="CC128" s="293">
        <v>0</v>
      </c>
      <c r="CD128" s="293">
        <v>413.40000000000032</v>
      </c>
      <c r="CE128" s="293">
        <f t="shared" si="92"/>
        <v>413.40000000000032</v>
      </c>
      <c r="CF128" s="293"/>
      <c r="CG128" s="293">
        <v>0</v>
      </c>
      <c r="CH128" s="293">
        <v>0</v>
      </c>
      <c r="CI128" s="293">
        <v>39291.72</v>
      </c>
      <c r="CJ128" s="293">
        <v>1755</v>
      </c>
      <c r="CK128" s="293">
        <v>895.18000000000006</v>
      </c>
      <c r="CL128" s="293">
        <v>0</v>
      </c>
      <c r="CM128" s="293">
        <v>2575.9499999999998</v>
      </c>
      <c r="CN128" s="293">
        <f t="shared" si="93"/>
        <v>44517.85</v>
      </c>
      <c r="CO128" s="293"/>
      <c r="CP128" s="58">
        <f t="shared" si="94"/>
        <v>0</v>
      </c>
      <c r="CQ128" s="223">
        <f t="shared" si="95"/>
        <v>0</v>
      </c>
      <c r="CR128" s="223">
        <f t="shared" si="96"/>
        <v>1765.9199999999983</v>
      </c>
      <c r="CS128" s="223">
        <f t="shared" si="97"/>
        <v>390</v>
      </c>
      <c r="CT128" s="223">
        <f t="shared" si="98"/>
        <v>373.12736842105267</v>
      </c>
      <c r="CU128" s="223">
        <f t="shared" si="99"/>
        <v>0</v>
      </c>
      <c r="CV128" s="223">
        <f t="shared" si="100"/>
        <v>1004.25</v>
      </c>
      <c r="CW128" s="223">
        <f t="shared" si="101"/>
        <v>3533.297368421051</v>
      </c>
      <c r="CX128" s="223">
        <f t="shared" si="102"/>
        <v>0</v>
      </c>
      <c r="CY128" s="58">
        <f t="shared" si="103"/>
        <v>0</v>
      </c>
      <c r="CZ128" s="399">
        <f t="shared" si="104"/>
        <v>0</v>
      </c>
      <c r="DA128" s="399">
        <f t="shared" si="105"/>
        <v>9271.0799999999981</v>
      </c>
      <c r="DB128" s="399">
        <f t="shared" si="106"/>
        <v>663</v>
      </c>
      <c r="DC128" s="399">
        <f t="shared" si="107"/>
        <v>477.53789473684213</v>
      </c>
      <c r="DD128" s="399">
        <f t="shared" si="108"/>
        <v>0</v>
      </c>
      <c r="DE128" s="399">
        <f t="shared" si="109"/>
        <v>1318.59</v>
      </c>
      <c r="DF128" s="399">
        <f t="shared" si="110"/>
        <v>11730.207894736841</v>
      </c>
      <c r="DG128" s="399">
        <f t="shared" si="111"/>
        <v>0</v>
      </c>
      <c r="DI128" s="399"/>
      <c r="DJ128" s="399"/>
      <c r="DK128" s="399"/>
      <c r="DL128" s="399"/>
      <c r="DM128" s="399"/>
      <c r="DN128" s="399"/>
      <c r="DO128" s="399"/>
      <c r="DP128" s="399"/>
      <c r="DQ128" s="399"/>
      <c r="DS128" s="399"/>
      <c r="DT128" s="399"/>
      <c r="DU128" s="399"/>
      <c r="DV128" s="399"/>
      <c r="DW128" s="399"/>
      <c r="DX128" s="399"/>
      <c r="DY128" s="399"/>
      <c r="DZ128" s="399"/>
      <c r="EB128" s="228">
        <f t="shared" si="112"/>
        <v>118260.08789473683</v>
      </c>
      <c r="EC128" s="228">
        <f t="shared" si="113"/>
        <v>0</v>
      </c>
      <c r="ED128" s="214">
        <f t="shared" si="114"/>
        <v>118260.08789473683</v>
      </c>
    </row>
    <row r="129" spans="1:134" hidden="1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3" t="str">
        <f>VLOOKUP(A129,'Summary Mar 2026'!$A$8:$F$207,6,FALSE)</f>
        <v>Chq Bk</v>
      </c>
      <c r="G129" s="33"/>
      <c r="H129" s="223">
        <v>0</v>
      </c>
      <c r="I129" s="294"/>
      <c r="J129" s="223">
        <v>0</v>
      </c>
      <c r="K129" s="223">
        <v>0</v>
      </c>
      <c r="L129" s="223">
        <v>0</v>
      </c>
      <c r="M129" s="223">
        <v>0</v>
      </c>
      <c r="N129" s="223">
        <v>0</v>
      </c>
      <c r="O129" s="223">
        <v>0</v>
      </c>
      <c r="P129" s="33">
        <f t="shared" si="72"/>
        <v>0</v>
      </c>
      <c r="Q129" s="223">
        <f t="shared" si="73"/>
        <v>0</v>
      </c>
      <c r="R129" s="294"/>
      <c r="S129" s="223">
        <v>0</v>
      </c>
      <c r="T129" s="223">
        <v>0</v>
      </c>
      <c r="U129" s="223">
        <v>0</v>
      </c>
      <c r="V129" s="223">
        <v>0</v>
      </c>
      <c r="W129" s="223">
        <v>0</v>
      </c>
      <c r="X129" s="223">
        <v>0</v>
      </c>
      <c r="Y129" s="223">
        <f t="shared" si="74"/>
        <v>0</v>
      </c>
      <c r="Z129" s="223">
        <f t="shared" si="75"/>
        <v>0</v>
      </c>
      <c r="AA129" s="294"/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223">
        <f t="shared" si="76"/>
        <v>0</v>
      </c>
      <c r="AI129" s="398">
        <f t="shared" si="77"/>
        <v>0</v>
      </c>
      <c r="AJ129" s="294"/>
      <c r="AK129" s="398">
        <v>0</v>
      </c>
      <c r="AL129" s="398">
        <v>0</v>
      </c>
      <c r="AM129" s="398">
        <v>0</v>
      </c>
      <c r="AN129" s="294"/>
      <c r="AO129" s="398">
        <f t="shared" si="78"/>
        <v>0</v>
      </c>
      <c r="AP129" s="398">
        <f t="shared" si="79"/>
        <v>0</v>
      </c>
      <c r="AQ129" s="398">
        <f t="shared" si="80"/>
        <v>0</v>
      </c>
      <c r="AR129" s="293"/>
      <c r="AS129" s="293">
        <v>0</v>
      </c>
      <c r="AT129" s="576">
        <f t="shared" si="81"/>
        <v>0</v>
      </c>
      <c r="AU129" s="293"/>
      <c r="AV129" s="293">
        <v>0</v>
      </c>
      <c r="AW129" s="293">
        <v>0</v>
      </c>
      <c r="AX129" s="293">
        <v>0</v>
      </c>
      <c r="AY129" s="293">
        <v>0</v>
      </c>
      <c r="AZ129" s="293">
        <v>0</v>
      </c>
      <c r="BA129" s="293">
        <v>0</v>
      </c>
      <c r="BB129" s="293">
        <v>0</v>
      </c>
      <c r="BC129" s="293">
        <f t="shared" si="82"/>
        <v>0</v>
      </c>
      <c r="BE129" s="58">
        <f t="shared" si="83"/>
        <v>0</v>
      </c>
      <c r="BF129" s="58">
        <f t="shared" si="84"/>
        <v>0</v>
      </c>
      <c r="BG129" s="58">
        <f t="shared" si="85"/>
        <v>0</v>
      </c>
      <c r="BH129" s="58">
        <f t="shared" si="86"/>
        <v>0</v>
      </c>
      <c r="BI129" s="58">
        <f t="shared" si="87"/>
        <v>0</v>
      </c>
      <c r="BJ129" s="58">
        <f t="shared" si="88"/>
        <v>0</v>
      </c>
      <c r="BK129" s="58">
        <f t="shared" si="89"/>
        <v>0</v>
      </c>
      <c r="BL129" s="58">
        <f t="shared" si="90"/>
        <v>0</v>
      </c>
      <c r="BM129" s="33">
        <f t="shared" si="91"/>
        <v>0</v>
      </c>
      <c r="BN129" s="33"/>
      <c r="BO129" s="293">
        <f t="shared" si="122"/>
        <v>0</v>
      </c>
      <c r="BP129" s="293">
        <f t="shared" si="123"/>
        <v>0</v>
      </c>
      <c r="BQ129" s="293">
        <f t="shared" si="124"/>
        <v>0</v>
      </c>
      <c r="BR129" s="293">
        <f t="shared" si="125"/>
        <v>0</v>
      </c>
      <c r="BS129" s="293">
        <f t="shared" si="126"/>
        <v>0</v>
      </c>
      <c r="BT129" s="293">
        <f t="shared" si="127"/>
        <v>0</v>
      </c>
      <c r="BU129" s="293">
        <f t="shared" si="128"/>
        <v>0</v>
      </c>
      <c r="BV129" s="293">
        <f t="shared" si="70"/>
        <v>0</v>
      </c>
      <c r="BW129" s="293">
        <f t="shared" si="71"/>
        <v>0</v>
      </c>
      <c r="BX129" s="293">
        <v>0</v>
      </c>
      <c r="BY129" s="293">
        <v>0</v>
      </c>
      <c r="BZ129" s="293">
        <v>0</v>
      </c>
      <c r="CA129" s="293">
        <v>0</v>
      </c>
      <c r="CB129" s="293">
        <v>0</v>
      </c>
      <c r="CC129" s="293">
        <v>0</v>
      </c>
      <c r="CD129" s="293">
        <v>0</v>
      </c>
      <c r="CE129" s="293">
        <f t="shared" si="92"/>
        <v>0</v>
      </c>
      <c r="CF129" s="293"/>
      <c r="CG129" s="293">
        <v>0</v>
      </c>
      <c r="CH129" s="293">
        <v>0</v>
      </c>
      <c r="CI129" s="293">
        <v>0</v>
      </c>
      <c r="CJ129" s="293">
        <v>0</v>
      </c>
      <c r="CK129" s="293">
        <v>0</v>
      </c>
      <c r="CL129" s="293">
        <v>0</v>
      </c>
      <c r="CM129" s="293">
        <v>0</v>
      </c>
      <c r="CN129" s="293">
        <f t="shared" si="93"/>
        <v>0</v>
      </c>
      <c r="CO129" s="293"/>
      <c r="CP129" s="58">
        <f t="shared" si="94"/>
        <v>0</v>
      </c>
      <c r="CQ129" s="223">
        <f t="shared" si="95"/>
        <v>0</v>
      </c>
      <c r="CR129" s="223">
        <f t="shared" si="96"/>
        <v>0</v>
      </c>
      <c r="CS129" s="223">
        <f t="shared" si="97"/>
        <v>0</v>
      </c>
      <c r="CT129" s="223">
        <f t="shared" si="98"/>
        <v>0</v>
      </c>
      <c r="CU129" s="223">
        <f t="shared" si="99"/>
        <v>0</v>
      </c>
      <c r="CV129" s="223">
        <f t="shared" si="100"/>
        <v>0</v>
      </c>
      <c r="CW129" s="223">
        <f t="shared" si="101"/>
        <v>0</v>
      </c>
      <c r="CX129" s="223">
        <f t="shared" si="102"/>
        <v>0</v>
      </c>
      <c r="CY129" s="58">
        <f t="shared" si="103"/>
        <v>0</v>
      </c>
      <c r="CZ129" s="399">
        <f t="shared" si="104"/>
        <v>0</v>
      </c>
      <c r="DA129" s="399">
        <f t="shared" si="105"/>
        <v>0</v>
      </c>
      <c r="DB129" s="399">
        <f t="shared" si="106"/>
        <v>0</v>
      </c>
      <c r="DC129" s="399">
        <f t="shared" si="107"/>
        <v>0</v>
      </c>
      <c r="DD129" s="399">
        <f t="shared" si="108"/>
        <v>0</v>
      </c>
      <c r="DE129" s="399">
        <f t="shared" si="109"/>
        <v>0</v>
      </c>
      <c r="DF129" s="399">
        <f t="shared" si="110"/>
        <v>0</v>
      </c>
      <c r="DG129" s="399">
        <f t="shared" si="111"/>
        <v>0</v>
      </c>
      <c r="DI129" s="399"/>
      <c r="DJ129" s="399"/>
      <c r="DK129" s="399"/>
      <c r="DL129" s="399"/>
      <c r="DM129" s="399"/>
      <c r="DN129" s="399"/>
      <c r="DO129" s="399"/>
      <c r="DP129" s="399"/>
      <c r="DQ129" s="399"/>
      <c r="DS129" s="399"/>
      <c r="DT129" s="399"/>
      <c r="DU129" s="399"/>
      <c r="DV129" s="399"/>
      <c r="DW129" s="399"/>
      <c r="DX129" s="399"/>
      <c r="DY129" s="399"/>
      <c r="DZ129" s="399"/>
      <c r="EB129" s="228">
        <f t="shared" si="112"/>
        <v>0</v>
      </c>
      <c r="EC129" s="228">
        <f t="shared" si="113"/>
        <v>0</v>
      </c>
      <c r="ED129" s="214">
        <f t="shared" si="114"/>
        <v>0</v>
      </c>
    </row>
    <row r="130" spans="1:134" hidden="1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3" t="str">
        <f>VLOOKUP(A130,'Summary Mar 2026'!$A$8:$F$207,6,FALSE)</f>
        <v>Chq Bk</v>
      </c>
      <c r="G130" s="33"/>
      <c r="H130" s="223">
        <v>0</v>
      </c>
      <c r="I130" s="294"/>
      <c r="J130" s="223">
        <v>0</v>
      </c>
      <c r="K130" s="223">
        <v>0</v>
      </c>
      <c r="L130" s="223">
        <v>0</v>
      </c>
      <c r="M130" s="223">
        <v>0</v>
      </c>
      <c r="N130" s="223">
        <v>0</v>
      </c>
      <c r="O130" s="223">
        <v>0</v>
      </c>
      <c r="P130" s="33">
        <f t="shared" si="72"/>
        <v>0</v>
      </c>
      <c r="Q130" s="223">
        <f t="shared" si="73"/>
        <v>0</v>
      </c>
      <c r="R130" s="294"/>
      <c r="S130" s="223">
        <v>0</v>
      </c>
      <c r="T130" s="223">
        <v>0</v>
      </c>
      <c r="U130" s="223">
        <v>0</v>
      </c>
      <c r="V130" s="223">
        <v>0</v>
      </c>
      <c r="W130" s="223">
        <v>0</v>
      </c>
      <c r="X130" s="223">
        <v>0</v>
      </c>
      <c r="Y130" s="223">
        <f t="shared" si="74"/>
        <v>0</v>
      </c>
      <c r="Z130" s="223">
        <f t="shared" si="75"/>
        <v>0</v>
      </c>
      <c r="AA130" s="294"/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223">
        <f t="shared" si="76"/>
        <v>0</v>
      </c>
      <c r="AI130" s="398">
        <f t="shared" si="77"/>
        <v>0</v>
      </c>
      <c r="AJ130" s="294"/>
      <c r="AK130" s="398">
        <v>0</v>
      </c>
      <c r="AL130" s="398">
        <v>0</v>
      </c>
      <c r="AM130" s="398">
        <v>0</v>
      </c>
      <c r="AN130" s="294"/>
      <c r="AO130" s="398">
        <f t="shared" si="78"/>
        <v>0</v>
      </c>
      <c r="AP130" s="398">
        <f t="shared" si="79"/>
        <v>0</v>
      </c>
      <c r="AQ130" s="398">
        <f t="shared" si="80"/>
        <v>0</v>
      </c>
      <c r="AR130" s="293"/>
      <c r="AS130" s="293">
        <v>0</v>
      </c>
      <c r="AT130" s="576">
        <f t="shared" si="81"/>
        <v>0</v>
      </c>
      <c r="AU130" s="293"/>
      <c r="AV130" s="293">
        <v>0</v>
      </c>
      <c r="AW130" s="293">
        <v>0</v>
      </c>
      <c r="AX130" s="293">
        <v>0</v>
      </c>
      <c r="AY130" s="293">
        <v>0</v>
      </c>
      <c r="AZ130" s="293">
        <v>0</v>
      </c>
      <c r="BA130" s="293">
        <v>0</v>
      </c>
      <c r="BB130" s="293">
        <v>0</v>
      </c>
      <c r="BC130" s="293">
        <f t="shared" si="82"/>
        <v>0</v>
      </c>
      <c r="BE130" s="58">
        <f t="shared" si="83"/>
        <v>0</v>
      </c>
      <c r="BF130" s="58">
        <f t="shared" si="84"/>
        <v>0</v>
      </c>
      <c r="BG130" s="58">
        <f t="shared" si="85"/>
        <v>0</v>
      </c>
      <c r="BH130" s="58">
        <f t="shared" si="86"/>
        <v>0</v>
      </c>
      <c r="BI130" s="58">
        <f t="shared" si="87"/>
        <v>0</v>
      </c>
      <c r="BJ130" s="58">
        <f t="shared" si="88"/>
        <v>0</v>
      </c>
      <c r="BK130" s="58">
        <f t="shared" si="89"/>
        <v>0</v>
      </c>
      <c r="BL130" s="58">
        <f t="shared" si="90"/>
        <v>0</v>
      </c>
      <c r="BM130" s="33">
        <f t="shared" si="91"/>
        <v>0</v>
      </c>
      <c r="BN130" s="33"/>
      <c r="BO130" s="293">
        <f t="shared" si="122"/>
        <v>0</v>
      </c>
      <c r="BP130" s="293">
        <f t="shared" si="123"/>
        <v>0</v>
      </c>
      <c r="BQ130" s="293">
        <f t="shared" si="124"/>
        <v>0</v>
      </c>
      <c r="BR130" s="293">
        <f t="shared" si="125"/>
        <v>0</v>
      </c>
      <c r="BS130" s="293">
        <f t="shared" si="126"/>
        <v>0</v>
      </c>
      <c r="BT130" s="293">
        <f t="shared" si="127"/>
        <v>0</v>
      </c>
      <c r="BU130" s="293">
        <f t="shared" si="128"/>
        <v>0</v>
      </c>
      <c r="BV130" s="293">
        <f t="shared" si="70"/>
        <v>0</v>
      </c>
      <c r="BW130" s="293">
        <f t="shared" si="71"/>
        <v>0</v>
      </c>
      <c r="BX130" s="293">
        <v>0</v>
      </c>
      <c r="BY130" s="293">
        <v>0</v>
      </c>
      <c r="BZ130" s="293">
        <v>0</v>
      </c>
      <c r="CA130" s="293">
        <v>0</v>
      </c>
      <c r="CB130" s="293">
        <v>0</v>
      </c>
      <c r="CC130" s="293">
        <v>0</v>
      </c>
      <c r="CD130" s="293">
        <v>0</v>
      </c>
      <c r="CE130" s="293">
        <f t="shared" si="92"/>
        <v>0</v>
      </c>
      <c r="CF130" s="293"/>
      <c r="CG130" s="293">
        <v>0</v>
      </c>
      <c r="CH130" s="293">
        <v>0</v>
      </c>
      <c r="CI130" s="293">
        <v>0</v>
      </c>
      <c r="CJ130" s="293">
        <v>0</v>
      </c>
      <c r="CK130" s="293">
        <v>0</v>
      </c>
      <c r="CL130" s="293">
        <v>0</v>
      </c>
      <c r="CM130" s="293">
        <v>0</v>
      </c>
      <c r="CN130" s="293">
        <f t="shared" si="93"/>
        <v>0</v>
      </c>
      <c r="CO130" s="293"/>
      <c r="CP130" s="58">
        <f t="shared" si="94"/>
        <v>0</v>
      </c>
      <c r="CQ130" s="223">
        <f t="shared" si="95"/>
        <v>0</v>
      </c>
      <c r="CR130" s="223">
        <f t="shared" si="96"/>
        <v>0</v>
      </c>
      <c r="CS130" s="223">
        <f t="shared" si="97"/>
        <v>0</v>
      </c>
      <c r="CT130" s="223">
        <f t="shared" si="98"/>
        <v>0</v>
      </c>
      <c r="CU130" s="223">
        <f t="shared" si="99"/>
        <v>0</v>
      </c>
      <c r="CV130" s="223">
        <f t="shared" si="100"/>
        <v>0</v>
      </c>
      <c r="CW130" s="223">
        <f t="shared" si="101"/>
        <v>0</v>
      </c>
      <c r="CX130" s="223">
        <f t="shared" si="102"/>
        <v>0</v>
      </c>
      <c r="CY130" s="58">
        <f t="shared" si="103"/>
        <v>0</v>
      </c>
      <c r="CZ130" s="399">
        <f t="shared" si="104"/>
        <v>0</v>
      </c>
      <c r="DA130" s="399">
        <f t="shared" si="105"/>
        <v>0</v>
      </c>
      <c r="DB130" s="399">
        <f t="shared" si="106"/>
        <v>0</v>
      </c>
      <c r="DC130" s="399">
        <f t="shared" si="107"/>
        <v>0</v>
      </c>
      <c r="DD130" s="399">
        <f t="shared" si="108"/>
        <v>0</v>
      </c>
      <c r="DE130" s="399">
        <f t="shared" si="109"/>
        <v>0</v>
      </c>
      <c r="DF130" s="399">
        <f t="shared" si="110"/>
        <v>0</v>
      </c>
      <c r="DG130" s="399">
        <f t="shared" si="111"/>
        <v>0</v>
      </c>
      <c r="DI130" s="399"/>
      <c r="DJ130" s="399"/>
      <c r="DK130" s="399"/>
      <c r="DL130" s="399"/>
      <c r="DM130" s="399"/>
      <c r="DN130" s="399"/>
      <c r="DO130" s="399"/>
      <c r="DP130" s="399"/>
      <c r="DQ130" s="399"/>
      <c r="DS130" s="399"/>
      <c r="DT130" s="399"/>
      <c r="DU130" s="399"/>
      <c r="DV130" s="399"/>
      <c r="DW130" s="399"/>
      <c r="DX130" s="399"/>
      <c r="DY130" s="399"/>
      <c r="DZ130" s="399"/>
      <c r="EB130" s="228">
        <f t="shared" si="112"/>
        <v>0</v>
      </c>
      <c r="EC130" s="228">
        <f t="shared" si="113"/>
        <v>0</v>
      </c>
      <c r="ED130" s="214">
        <f t="shared" si="114"/>
        <v>0</v>
      </c>
    </row>
    <row r="131" spans="1:134" hidden="1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3" t="str">
        <f>VLOOKUP(A131,'Summary Mar 2026'!$A$8:$F$207,6,FALSE)</f>
        <v>Chq Bk</v>
      </c>
      <c r="G131" s="33"/>
      <c r="H131" s="223">
        <v>0</v>
      </c>
      <c r="I131" s="294"/>
      <c r="J131" s="223">
        <v>0</v>
      </c>
      <c r="K131" s="223">
        <v>0</v>
      </c>
      <c r="L131" s="223">
        <v>27592.5</v>
      </c>
      <c r="M131" s="223">
        <v>2925</v>
      </c>
      <c r="N131" s="223">
        <v>0</v>
      </c>
      <c r="O131" s="223">
        <v>0</v>
      </c>
      <c r="P131" s="33">
        <f t="shared" si="72"/>
        <v>30517.5</v>
      </c>
      <c r="Q131" s="223">
        <f t="shared" si="73"/>
        <v>24414</v>
      </c>
      <c r="R131" s="294"/>
      <c r="S131" s="223">
        <v>0</v>
      </c>
      <c r="T131" s="223">
        <v>0</v>
      </c>
      <c r="U131" s="223">
        <v>17659.2</v>
      </c>
      <c r="V131" s="223">
        <v>2145</v>
      </c>
      <c r="W131" s="223">
        <v>0</v>
      </c>
      <c r="X131" s="223">
        <v>0</v>
      </c>
      <c r="Y131" s="223">
        <f t="shared" si="74"/>
        <v>19804.2</v>
      </c>
      <c r="Z131" s="223">
        <f t="shared" si="75"/>
        <v>15843.36</v>
      </c>
      <c r="AA131" s="294"/>
      <c r="AB131" s="398">
        <v>0</v>
      </c>
      <c r="AC131" s="398">
        <v>0</v>
      </c>
      <c r="AD131" s="398">
        <v>19303.578947368424</v>
      </c>
      <c r="AE131" s="398">
        <v>2160</v>
      </c>
      <c r="AF131" s="398">
        <v>0</v>
      </c>
      <c r="AG131" s="398">
        <v>0</v>
      </c>
      <c r="AH131" s="223">
        <f t="shared" si="76"/>
        <v>21463.578947368424</v>
      </c>
      <c r="AI131" s="398">
        <f t="shared" si="77"/>
        <v>17170.863157894739</v>
      </c>
      <c r="AJ131" s="294"/>
      <c r="AK131" s="398">
        <v>1885.65</v>
      </c>
      <c r="AL131" s="398">
        <v>1421.5499999999997</v>
      </c>
      <c r="AM131" s="398">
        <v>1358.5263157894738</v>
      </c>
      <c r="AN131" s="294"/>
      <c r="AO131" s="398">
        <f t="shared" si="78"/>
        <v>1508.5200000000002</v>
      </c>
      <c r="AP131" s="398">
        <f t="shared" si="79"/>
        <v>1137.2399999999998</v>
      </c>
      <c r="AQ131" s="398">
        <f t="shared" si="80"/>
        <v>1086.8210526315791</v>
      </c>
      <c r="AR131" s="293"/>
      <c r="AS131" s="293">
        <v>0</v>
      </c>
      <c r="AT131" s="576">
        <f t="shared" si="81"/>
        <v>0</v>
      </c>
      <c r="AU131" s="293"/>
      <c r="AV131" s="293">
        <v>0</v>
      </c>
      <c r="AW131" s="293">
        <v>0</v>
      </c>
      <c r="AX131" s="293">
        <v>20970.3</v>
      </c>
      <c r="AY131" s="293">
        <v>2535</v>
      </c>
      <c r="AZ131" s="293">
        <v>0</v>
      </c>
      <c r="BA131" s="293">
        <v>0</v>
      </c>
      <c r="BB131" s="293">
        <v>1834.9499999999998</v>
      </c>
      <c r="BC131" s="293">
        <f t="shared" si="82"/>
        <v>25340.25</v>
      </c>
      <c r="BE131" s="58">
        <f t="shared" si="83"/>
        <v>0</v>
      </c>
      <c r="BF131" s="58">
        <f t="shared" si="84"/>
        <v>0</v>
      </c>
      <c r="BG131" s="58">
        <f t="shared" si="85"/>
        <v>-6622.2000000000007</v>
      </c>
      <c r="BH131" s="58">
        <f t="shared" si="86"/>
        <v>-390</v>
      </c>
      <c r="BI131" s="58">
        <f t="shared" si="87"/>
        <v>0</v>
      </c>
      <c r="BJ131" s="58">
        <f t="shared" si="88"/>
        <v>0</v>
      </c>
      <c r="BK131" s="58">
        <f t="shared" si="89"/>
        <v>-50.700000000000273</v>
      </c>
      <c r="BL131" s="58">
        <f t="shared" si="90"/>
        <v>-7062.9000000000015</v>
      </c>
      <c r="BM131" s="33">
        <f t="shared" si="91"/>
        <v>0</v>
      </c>
      <c r="BN131" s="33"/>
      <c r="BO131" s="293">
        <f t="shared" si="122"/>
        <v>0</v>
      </c>
      <c r="BP131" s="293">
        <f t="shared" si="123"/>
        <v>0</v>
      </c>
      <c r="BQ131" s="293">
        <f t="shared" si="124"/>
        <v>-1103.7000000000007</v>
      </c>
      <c r="BR131" s="293">
        <f t="shared" si="125"/>
        <v>195</v>
      </c>
      <c r="BS131" s="293">
        <f t="shared" si="126"/>
        <v>0</v>
      </c>
      <c r="BT131" s="293">
        <f t="shared" si="127"/>
        <v>0</v>
      </c>
      <c r="BU131" s="293">
        <f t="shared" si="128"/>
        <v>326.42999999999961</v>
      </c>
      <c r="BV131" s="293">
        <f t="shared" si="70"/>
        <v>-582.27000000000112</v>
      </c>
      <c r="BW131" s="293">
        <f t="shared" si="71"/>
        <v>0</v>
      </c>
      <c r="BX131" s="293">
        <v>0</v>
      </c>
      <c r="BY131" s="293">
        <v>0</v>
      </c>
      <c r="BZ131" s="293">
        <v>0</v>
      </c>
      <c r="CA131" s="293">
        <v>0</v>
      </c>
      <c r="CB131" s="293">
        <v>0</v>
      </c>
      <c r="CC131" s="293">
        <v>0</v>
      </c>
      <c r="CD131" s="293">
        <v>0</v>
      </c>
      <c r="CE131" s="293">
        <f t="shared" si="92"/>
        <v>0</v>
      </c>
      <c r="CF131" s="293"/>
      <c r="CG131" s="293">
        <v>0</v>
      </c>
      <c r="CH131" s="293">
        <v>0</v>
      </c>
      <c r="CI131" s="293">
        <v>15451.800000000001</v>
      </c>
      <c r="CJ131" s="293">
        <v>1365</v>
      </c>
      <c r="CK131" s="293">
        <v>0</v>
      </c>
      <c r="CL131" s="293">
        <v>0</v>
      </c>
      <c r="CM131" s="293">
        <v>1255.7999999999997</v>
      </c>
      <c r="CN131" s="293">
        <f t="shared" si="93"/>
        <v>18072.600000000002</v>
      </c>
      <c r="CO131" s="293"/>
      <c r="CP131" s="58">
        <f t="shared" si="94"/>
        <v>0</v>
      </c>
      <c r="CQ131" s="223">
        <f t="shared" si="95"/>
        <v>0</v>
      </c>
      <c r="CR131" s="223">
        <f t="shared" si="96"/>
        <v>-2207.3999999999996</v>
      </c>
      <c r="CS131" s="223">
        <f t="shared" si="97"/>
        <v>-780</v>
      </c>
      <c r="CT131" s="223">
        <f t="shared" si="98"/>
        <v>0</v>
      </c>
      <c r="CU131" s="223">
        <f t="shared" si="99"/>
        <v>0</v>
      </c>
      <c r="CV131" s="223">
        <f t="shared" si="100"/>
        <v>-165.75</v>
      </c>
      <c r="CW131" s="223">
        <f t="shared" si="101"/>
        <v>-3153.1499999999996</v>
      </c>
      <c r="CX131" s="223">
        <f t="shared" si="102"/>
        <v>0</v>
      </c>
      <c r="CY131" s="58">
        <f t="shared" si="103"/>
        <v>0</v>
      </c>
      <c r="CZ131" s="399">
        <f t="shared" si="104"/>
        <v>0</v>
      </c>
      <c r="DA131" s="399">
        <f t="shared" si="105"/>
        <v>1324.4400000000005</v>
      </c>
      <c r="DB131" s="399">
        <f t="shared" si="106"/>
        <v>-351</v>
      </c>
      <c r="DC131" s="399">
        <f t="shared" si="107"/>
        <v>0</v>
      </c>
      <c r="DD131" s="399">
        <f t="shared" si="108"/>
        <v>0</v>
      </c>
      <c r="DE131" s="399">
        <f t="shared" si="109"/>
        <v>118.55999999999995</v>
      </c>
      <c r="DF131" s="399">
        <f t="shared" si="110"/>
        <v>1092.0000000000005</v>
      </c>
      <c r="DG131" s="399">
        <f t="shared" si="111"/>
        <v>0</v>
      </c>
      <c r="DI131" s="399"/>
      <c r="DJ131" s="399"/>
      <c r="DK131" s="399"/>
      <c r="DL131" s="399"/>
      <c r="DM131" s="399"/>
      <c r="DN131" s="399"/>
      <c r="DO131" s="399"/>
      <c r="DP131" s="399"/>
      <c r="DQ131" s="399"/>
      <c r="DS131" s="399"/>
      <c r="DT131" s="399"/>
      <c r="DU131" s="399"/>
      <c r="DV131" s="399"/>
      <c r="DW131" s="399"/>
      <c r="DX131" s="399"/>
      <c r="DY131" s="399"/>
      <c r="DZ131" s="399"/>
      <c r="EB131" s="228">
        <f t="shared" si="112"/>
        <v>61670.534210526326</v>
      </c>
      <c r="EC131" s="228">
        <f t="shared" si="113"/>
        <v>0</v>
      </c>
      <c r="ED131" s="214">
        <f t="shared" si="114"/>
        <v>61670.534210526326</v>
      </c>
    </row>
    <row r="132" spans="1:134" hidden="1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3" t="str">
        <f>VLOOKUP(A132,'Summary Mar 2026'!$A$8:$F$207,6,FALSE)</f>
        <v>Chq Bk</v>
      </c>
      <c r="G132" s="33"/>
      <c r="H132" s="223">
        <v>0</v>
      </c>
      <c r="I132" s="294"/>
      <c r="J132" s="223">
        <v>0</v>
      </c>
      <c r="K132" s="223">
        <v>0</v>
      </c>
      <c r="L132" s="223">
        <v>0</v>
      </c>
      <c r="M132" s="223">
        <v>0</v>
      </c>
      <c r="N132" s="223">
        <v>0</v>
      </c>
      <c r="O132" s="223">
        <v>0</v>
      </c>
      <c r="P132" s="33">
        <f t="shared" si="72"/>
        <v>0</v>
      </c>
      <c r="Q132" s="223">
        <f t="shared" si="73"/>
        <v>0</v>
      </c>
      <c r="R132" s="294"/>
      <c r="S132" s="223">
        <v>0</v>
      </c>
      <c r="T132" s="223">
        <v>0</v>
      </c>
      <c r="U132" s="223">
        <v>0</v>
      </c>
      <c r="V132" s="223">
        <v>0</v>
      </c>
      <c r="W132" s="223">
        <v>0</v>
      </c>
      <c r="X132" s="223">
        <v>0</v>
      </c>
      <c r="Y132" s="223">
        <f t="shared" si="74"/>
        <v>0</v>
      </c>
      <c r="Z132" s="223">
        <f t="shared" si="75"/>
        <v>0</v>
      </c>
      <c r="AA132" s="294"/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223">
        <f t="shared" si="76"/>
        <v>0</v>
      </c>
      <c r="AI132" s="398">
        <f t="shared" si="77"/>
        <v>0</v>
      </c>
      <c r="AJ132" s="294"/>
      <c r="AK132" s="398">
        <v>0</v>
      </c>
      <c r="AL132" s="398">
        <v>0</v>
      </c>
      <c r="AM132" s="398">
        <v>0</v>
      </c>
      <c r="AN132" s="294"/>
      <c r="AO132" s="398">
        <f t="shared" si="78"/>
        <v>0</v>
      </c>
      <c r="AP132" s="398">
        <f t="shared" si="79"/>
        <v>0</v>
      </c>
      <c r="AQ132" s="398">
        <f t="shared" si="80"/>
        <v>0</v>
      </c>
      <c r="AR132" s="293"/>
      <c r="AS132" s="293">
        <v>0</v>
      </c>
      <c r="AT132" s="576">
        <f t="shared" si="81"/>
        <v>0</v>
      </c>
      <c r="AU132" s="293"/>
      <c r="AV132" s="293">
        <v>0</v>
      </c>
      <c r="AW132" s="293">
        <v>0</v>
      </c>
      <c r="AX132" s="293">
        <v>0</v>
      </c>
      <c r="AY132" s="293">
        <v>0</v>
      </c>
      <c r="AZ132" s="293">
        <v>0</v>
      </c>
      <c r="BA132" s="293">
        <v>0</v>
      </c>
      <c r="BB132" s="293">
        <v>0</v>
      </c>
      <c r="BC132" s="293">
        <f t="shared" si="82"/>
        <v>0</v>
      </c>
      <c r="BE132" s="58">
        <f t="shared" si="83"/>
        <v>0</v>
      </c>
      <c r="BF132" s="58">
        <f t="shared" si="84"/>
        <v>0</v>
      </c>
      <c r="BG132" s="58">
        <f t="shared" si="85"/>
        <v>0</v>
      </c>
      <c r="BH132" s="58">
        <f t="shared" si="86"/>
        <v>0</v>
      </c>
      <c r="BI132" s="58">
        <f t="shared" si="87"/>
        <v>0</v>
      </c>
      <c r="BJ132" s="58">
        <f t="shared" si="88"/>
        <v>0</v>
      </c>
      <c r="BK132" s="58">
        <f t="shared" si="89"/>
        <v>0</v>
      </c>
      <c r="BL132" s="58">
        <f t="shared" si="90"/>
        <v>0</v>
      </c>
      <c r="BM132" s="33">
        <f t="shared" si="91"/>
        <v>0</v>
      </c>
      <c r="BN132" s="33"/>
      <c r="BO132" s="293">
        <f t="shared" si="122"/>
        <v>0</v>
      </c>
      <c r="BP132" s="293">
        <f t="shared" si="123"/>
        <v>0</v>
      </c>
      <c r="BQ132" s="293">
        <f t="shared" si="124"/>
        <v>0</v>
      </c>
      <c r="BR132" s="293">
        <f t="shared" si="125"/>
        <v>0</v>
      </c>
      <c r="BS132" s="293">
        <f t="shared" si="126"/>
        <v>0</v>
      </c>
      <c r="BT132" s="293">
        <f t="shared" si="127"/>
        <v>0</v>
      </c>
      <c r="BU132" s="293">
        <f t="shared" si="128"/>
        <v>0</v>
      </c>
      <c r="BV132" s="293">
        <f t="shared" si="70"/>
        <v>0</v>
      </c>
      <c r="BW132" s="293">
        <f t="shared" si="71"/>
        <v>0</v>
      </c>
      <c r="BX132" s="293">
        <v>0</v>
      </c>
      <c r="BY132" s="293">
        <v>0</v>
      </c>
      <c r="BZ132" s="293">
        <v>0</v>
      </c>
      <c r="CA132" s="293">
        <v>0</v>
      </c>
      <c r="CB132" s="293">
        <v>0</v>
      </c>
      <c r="CC132" s="293">
        <v>0</v>
      </c>
      <c r="CD132" s="293">
        <v>0</v>
      </c>
      <c r="CE132" s="293">
        <f t="shared" si="92"/>
        <v>0</v>
      </c>
      <c r="CF132" s="293"/>
      <c r="CG132" s="293">
        <v>0</v>
      </c>
      <c r="CH132" s="293">
        <v>0</v>
      </c>
      <c r="CI132" s="293">
        <v>0</v>
      </c>
      <c r="CJ132" s="293">
        <v>0</v>
      </c>
      <c r="CK132" s="293">
        <v>0</v>
      </c>
      <c r="CL132" s="293">
        <v>0</v>
      </c>
      <c r="CM132" s="293">
        <v>0</v>
      </c>
      <c r="CN132" s="293">
        <f t="shared" si="93"/>
        <v>0</v>
      </c>
      <c r="CO132" s="293"/>
      <c r="CP132" s="58">
        <f t="shared" si="94"/>
        <v>0</v>
      </c>
      <c r="CQ132" s="223">
        <f t="shared" si="95"/>
        <v>0</v>
      </c>
      <c r="CR132" s="223">
        <f t="shared" si="96"/>
        <v>0</v>
      </c>
      <c r="CS132" s="223">
        <f t="shared" si="97"/>
        <v>0</v>
      </c>
      <c r="CT132" s="223">
        <f t="shared" si="98"/>
        <v>0</v>
      </c>
      <c r="CU132" s="223">
        <f t="shared" si="99"/>
        <v>0</v>
      </c>
      <c r="CV132" s="223">
        <f t="shared" si="100"/>
        <v>0</v>
      </c>
      <c r="CW132" s="223">
        <f t="shared" si="101"/>
        <v>0</v>
      </c>
      <c r="CX132" s="223">
        <f t="shared" si="102"/>
        <v>0</v>
      </c>
      <c r="CY132" s="58">
        <f t="shared" si="103"/>
        <v>0</v>
      </c>
      <c r="CZ132" s="399">
        <f t="shared" si="104"/>
        <v>0</v>
      </c>
      <c r="DA132" s="399">
        <f t="shared" si="105"/>
        <v>0</v>
      </c>
      <c r="DB132" s="399">
        <f t="shared" si="106"/>
        <v>0</v>
      </c>
      <c r="DC132" s="399">
        <f t="shared" si="107"/>
        <v>0</v>
      </c>
      <c r="DD132" s="399">
        <f t="shared" si="108"/>
        <v>0</v>
      </c>
      <c r="DE132" s="399">
        <f t="shared" si="109"/>
        <v>0</v>
      </c>
      <c r="DF132" s="399">
        <f t="shared" si="110"/>
        <v>0</v>
      </c>
      <c r="DG132" s="399">
        <f t="shared" si="111"/>
        <v>0</v>
      </c>
      <c r="DI132" s="399"/>
      <c r="DJ132" s="399"/>
      <c r="DK132" s="399"/>
      <c r="DL132" s="399"/>
      <c r="DM132" s="399"/>
      <c r="DN132" s="399"/>
      <c r="DO132" s="399"/>
      <c r="DP132" s="399"/>
      <c r="DQ132" s="399"/>
      <c r="DS132" s="399"/>
      <c r="DT132" s="399"/>
      <c r="DU132" s="399"/>
      <c r="DV132" s="399"/>
      <c r="DW132" s="399"/>
      <c r="DX132" s="399"/>
      <c r="DY132" s="399"/>
      <c r="DZ132" s="399"/>
      <c r="EB132" s="228">
        <f t="shared" si="112"/>
        <v>0</v>
      </c>
      <c r="EC132" s="228">
        <f t="shared" si="113"/>
        <v>0</v>
      </c>
      <c r="ED132" s="214">
        <f t="shared" si="114"/>
        <v>0</v>
      </c>
    </row>
    <row r="133" spans="1:134" hidden="1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3" t="str">
        <f>VLOOKUP(A133,'Summary Mar 2026'!$A$8:$F$207,6,FALSE)</f>
        <v>Chq Bk</v>
      </c>
      <c r="G133" s="33"/>
      <c r="H133" s="223">
        <v>0</v>
      </c>
      <c r="I133" s="294"/>
      <c r="J133" s="223">
        <v>0</v>
      </c>
      <c r="K133" s="223">
        <v>0</v>
      </c>
      <c r="L133" s="223">
        <v>0</v>
      </c>
      <c r="M133" s="223">
        <v>0</v>
      </c>
      <c r="N133" s="223">
        <v>0</v>
      </c>
      <c r="O133" s="223">
        <v>0</v>
      </c>
      <c r="P133" s="33">
        <f t="shared" si="72"/>
        <v>0</v>
      </c>
      <c r="Q133" s="223">
        <f t="shared" si="73"/>
        <v>0</v>
      </c>
      <c r="R133" s="294"/>
      <c r="S133" s="223">
        <v>0</v>
      </c>
      <c r="T133" s="223">
        <v>0</v>
      </c>
      <c r="U133" s="223">
        <v>0</v>
      </c>
      <c r="V133" s="223">
        <v>0</v>
      </c>
      <c r="W133" s="223">
        <v>0</v>
      </c>
      <c r="X133" s="223">
        <v>0</v>
      </c>
      <c r="Y133" s="223">
        <f t="shared" si="74"/>
        <v>0</v>
      </c>
      <c r="Z133" s="223">
        <f t="shared" si="75"/>
        <v>0</v>
      </c>
      <c r="AA133" s="294"/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223">
        <f t="shared" si="76"/>
        <v>0</v>
      </c>
      <c r="AI133" s="398">
        <f t="shared" si="77"/>
        <v>0</v>
      </c>
      <c r="AJ133" s="294"/>
      <c r="AK133" s="398">
        <v>0</v>
      </c>
      <c r="AL133" s="398">
        <v>0</v>
      </c>
      <c r="AM133" s="398">
        <v>0</v>
      </c>
      <c r="AN133" s="294"/>
      <c r="AO133" s="398">
        <f t="shared" si="78"/>
        <v>0</v>
      </c>
      <c r="AP133" s="398">
        <f t="shared" si="79"/>
        <v>0</v>
      </c>
      <c r="AQ133" s="398">
        <f t="shared" si="80"/>
        <v>0</v>
      </c>
      <c r="AR133" s="293"/>
      <c r="AS133" s="293">
        <v>0</v>
      </c>
      <c r="AT133" s="576">
        <f t="shared" si="81"/>
        <v>0</v>
      </c>
      <c r="AU133" s="293"/>
      <c r="AV133" s="293">
        <v>0</v>
      </c>
      <c r="AW133" s="293">
        <v>0</v>
      </c>
      <c r="AX133" s="293">
        <v>0</v>
      </c>
      <c r="AY133" s="293">
        <v>0</v>
      </c>
      <c r="AZ133" s="293">
        <v>0</v>
      </c>
      <c r="BA133" s="293">
        <v>0</v>
      </c>
      <c r="BB133" s="293">
        <v>0</v>
      </c>
      <c r="BC133" s="293">
        <f t="shared" si="82"/>
        <v>0</v>
      </c>
      <c r="BE133" s="58">
        <f t="shared" si="83"/>
        <v>0</v>
      </c>
      <c r="BF133" s="58">
        <f t="shared" si="84"/>
        <v>0</v>
      </c>
      <c r="BG133" s="58">
        <f t="shared" si="85"/>
        <v>0</v>
      </c>
      <c r="BH133" s="58">
        <f t="shared" si="86"/>
        <v>0</v>
      </c>
      <c r="BI133" s="58">
        <f t="shared" si="87"/>
        <v>0</v>
      </c>
      <c r="BJ133" s="58">
        <f t="shared" si="88"/>
        <v>0</v>
      </c>
      <c r="BK133" s="58">
        <f t="shared" si="89"/>
        <v>0</v>
      </c>
      <c r="BL133" s="58">
        <f t="shared" si="90"/>
        <v>0</v>
      </c>
      <c r="BM133" s="33">
        <f t="shared" si="91"/>
        <v>0</v>
      </c>
      <c r="BN133" s="33"/>
      <c r="BO133" s="293">
        <f t="shared" si="122"/>
        <v>0</v>
      </c>
      <c r="BP133" s="293">
        <f t="shared" si="123"/>
        <v>0</v>
      </c>
      <c r="BQ133" s="293">
        <f t="shared" si="124"/>
        <v>0</v>
      </c>
      <c r="BR133" s="293">
        <f t="shared" si="125"/>
        <v>0</v>
      </c>
      <c r="BS133" s="293">
        <f t="shared" si="126"/>
        <v>0</v>
      </c>
      <c r="BT133" s="293">
        <f t="shared" si="127"/>
        <v>0</v>
      </c>
      <c r="BU133" s="293">
        <f t="shared" si="128"/>
        <v>0</v>
      </c>
      <c r="BV133" s="293">
        <f t="shared" si="70"/>
        <v>0</v>
      </c>
      <c r="BW133" s="293">
        <f t="shared" si="71"/>
        <v>0</v>
      </c>
      <c r="BX133" s="293">
        <v>0</v>
      </c>
      <c r="BY133" s="293">
        <v>0</v>
      </c>
      <c r="BZ133" s="293">
        <v>0</v>
      </c>
      <c r="CA133" s="293">
        <v>0</v>
      </c>
      <c r="CB133" s="293">
        <v>0</v>
      </c>
      <c r="CC133" s="293">
        <v>0</v>
      </c>
      <c r="CD133" s="293">
        <v>0</v>
      </c>
      <c r="CE133" s="293">
        <f t="shared" si="92"/>
        <v>0</v>
      </c>
      <c r="CF133" s="293"/>
      <c r="CG133" s="293">
        <v>0</v>
      </c>
      <c r="CH133" s="293">
        <v>0</v>
      </c>
      <c r="CI133" s="293">
        <v>0</v>
      </c>
      <c r="CJ133" s="293">
        <v>0</v>
      </c>
      <c r="CK133" s="293">
        <v>0</v>
      </c>
      <c r="CL133" s="293">
        <v>0</v>
      </c>
      <c r="CM133" s="293">
        <v>0</v>
      </c>
      <c r="CN133" s="293">
        <f t="shared" si="93"/>
        <v>0</v>
      </c>
      <c r="CO133" s="293"/>
      <c r="CP133" s="58">
        <f t="shared" si="94"/>
        <v>0</v>
      </c>
      <c r="CQ133" s="223">
        <f t="shared" si="95"/>
        <v>0</v>
      </c>
      <c r="CR133" s="223">
        <f t="shared" si="96"/>
        <v>0</v>
      </c>
      <c r="CS133" s="223">
        <f t="shared" si="97"/>
        <v>0</v>
      </c>
      <c r="CT133" s="223">
        <f t="shared" si="98"/>
        <v>0</v>
      </c>
      <c r="CU133" s="223">
        <f t="shared" si="99"/>
        <v>0</v>
      </c>
      <c r="CV133" s="223">
        <f t="shared" si="100"/>
        <v>0</v>
      </c>
      <c r="CW133" s="223">
        <f t="shared" si="101"/>
        <v>0</v>
      </c>
      <c r="CX133" s="223">
        <f t="shared" si="102"/>
        <v>0</v>
      </c>
      <c r="CY133" s="58">
        <f t="shared" si="103"/>
        <v>0</v>
      </c>
      <c r="CZ133" s="399">
        <f t="shared" si="104"/>
        <v>0</v>
      </c>
      <c r="DA133" s="399">
        <f t="shared" si="105"/>
        <v>0</v>
      </c>
      <c r="DB133" s="399">
        <f t="shared" si="106"/>
        <v>0</v>
      </c>
      <c r="DC133" s="399">
        <f t="shared" si="107"/>
        <v>0</v>
      </c>
      <c r="DD133" s="399">
        <f t="shared" si="108"/>
        <v>0</v>
      </c>
      <c r="DE133" s="399">
        <f t="shared" si="109"/>
        <v>0</v>
      </c>
      <c r="DF133" s="399">
        <f t="shared" si="110"/>
        <v>0</v>
      </c>
      <c r="DG133" s="399">
        <f t="shared" si="111"/>
        <v>0</v>
      </c>
      <c r="DI133" s="399"/>
      <c r="DJ133" s="399"/>
      <c r="DK133" s="399"/>
      <c r="DL133" s="399"/>
      <c r="DM133" s="399"/>
      <c r="DN133" s="399"/>
      <c r="DO133" s="399"/>
      <c r="DP133" s="399"/>
      <c r="DQ133" s="399"/>
      <c r="DS133" s="399"/>
      <c r="DT133" s="399"/>
      <c r="DU133" s="399"/>
      <c r="DV133" s="399"/>
      <c r="DW133" s="399"/>
      <c r="DX133" s="399"/>
      <c r="DY133" s="399"/>
      <c r="DZ133" s="399"/>
      <c r="EB133" s="228">
        <f t="shared" si="112"/>
        <v>0</v>
      </c>
      <c r="EC133" s="228">
        <f t="shared" si="113"/>
        <v>0</v>
      </c>
      <c r="ED133" s="214">
        <f t="shared" si="114"/>
        <v>0</v>
      </c>
    </row>
    <row r="134" spans="1:134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3" t="str">
        <f>VLOOKUP(A134,'Summary Mar 2026'!$A$8:$F$207,6,FALSE)</f>
        <v>Chq Bk</v>
      </c>
      <c r="G134" s="33"/>
      <c r="H134" s="223">
        <v>0</v>
      </c>
      <c r="I134" s="294"/>
      <c r="J134" s="223">
        <v>0</v>
      </c>
      <c r="K134" s="223">
        <v>0</v>
      </c>
      <c r="L134" s="223">
        <v>32007.300000000003</v>
      </c>
      <c r="M134" s="223">
        <v>1950</v>
      </c>
      <c r="N134" s="223">
        <v>745.78947368421052</v>
      </c>
      <c r="O134" s="223">
        <v>0</v>
      </c>
      <c r="P134" s="33">
        <f t="shared" si="72"/>
        <v>34703.089473684217</v>
      </c>
      <c r="Q134" s="223">
        <f t="shared" si="73"/>
        <v>27762.471578947374</v>
      </c>
      <c r="R134" s="294"/>
      <c r="S134" s="223">
        <v>0</v>
      </c>
      <c r="T134" s="223">
        <v>0</v>
      </c>
      <c r="U134" s="223">
        <v>28696.2</v>
      </c>
      <c r="V134" s="223">
        <v>1560</v>
      </c>
      <c r="W134" s="223">
        <v>596.63157894736844</v>
      </c>
      <c r="X134" s="223">
        <v>0</v>
      </c>
      <c r="Y134" s="223">
        <f t="shared" si="74"/>
        <v>30852.831578947371</v>
      </c>
      <c r="Z134" s="223">
        <f t="shared" si="75"/>
        <v>24682.265263157897</v>
      </c>
      <c r="AA134" s="294"/>
      <c r="AB134" s="398">
        <v>0</v>
      </c>
      <c r="AC134" s="398">
        <v>0</v>
      </c>
      <c r="AD134" s="398">
        <v>26703.284210526319</v>
      </c>
      <c r="AE134" s="398">
        <v>1477.8947368421054</v>
      </c>
      <c r="AF134" s="398">
        <v>565.22991689750688</v>
      </c>
      <c r="AG134" s="398">
        <v>0</v>
      </c>
      <c r="AH134" s="223">
        <f t="shared" si="76"/>
        <v>28746.408864265934</v>
      </c>
      <c r="AI134" s="398">
        <f t="shared" si="77"/>
        <v>22997.127091412749</v>
      </c>
      <c r="AJ134" s="294"/>
      <c r="AK134" s="398">
        <v>840.45</v>
      </c>
      <c r="AL134" s="398">
        <v>908.7</v>
      </c>
      <c r="AM134" s="398">
        <v>759.41052631578941</v>
      </c>
      <c r="AN134" s="294"/>
      <c r="AO134" s="398">
        <f t="shared" si="78"/>
        <v>672.36000000000013</v>
      </c>
      <c r="AP134" s="398">
        <f t="shared" si="79"/>
        <v>726.96</v>
      </c>
      <c r="AQ134" s="398">
        <f t="shared" si="80"/>
        <v>607.52842105263153</v>
      </c>
      <c r="AR134" s="293"/>
      <c r="AS134" s="293">
        <v>0</v>
      </c>
      <c r="AT134" s="576">
        <f t="shared" si="81"/>
        <v>0</v>
      </c>
      <c r="AU134" s="293"/>
      <c r="AV134" s="293">
        <v>0</v>
      </c>
      <c r="AW134" s="293">
        <v>0</v>
      </c>
      <c r="AX134" s="293">
        <v>27592.5</v>
      </c>
      <c r="AY134" s="293">
        <v>1950</v>
      </c>
      <c r="AZ134" s="293">
        <v>745.78947368421052</v>
      </c>
      <c r="BA134" s="293">
        <v>0</v>
      </c>
      <c r="BB134" s="293">
        <v>908.7</v>
      </c>
      <c r="BC134" s="293">
        <f t="shared" si="82"/>
        <v>31196.989473684211</v>
      </c>
      <c r="BE134" s="58">
        <f t="shared" si="83"/>
        <v>0</v>
      </c>
      <c r="BF134" s="58">
        <f t="shared" si="84"/>
        <v>0</v>
      </c>
      <c r="BG134" s="58">
        <f t="shared" si="85"/>
        <v>-4414.8000000000029</v>
      </c>
      <c r="BH134" s="58">
        <f t="shared" si="86"/>
        <v>0</v>
      </c>
      <c r="BI134" s="58">
        <f t="shared" si="87"/>
        <v>0</v>
      </c>
      <c r="BJ134" s="58">
        <f t="shared" si="88"/>
        <v>0</v>
      </c>
      <c r="BK134" s="58">
        <f t="shared" si="89"/>
        <v>68.25</v>
      </c>
      <c r="BL134" s="58">
        <f t="shared" si="90"/>
        <v>-4346.5500000000029</v>
      </c>
      <c r="BM134" s="33">
        <f t="shared" si="91"/>
        <v>0</v>
      </c>
      <c r="BN134" s="33"/>
      <c r="BO134" s="293">
        <f t="shared" si="122"/>
        <v>0</v>
      </c>
      <c r="BP134" s="293">
        <f t="shared" si="123"/>
        <v>0</v>
      </c>
      <c r="BQ134" s="293">
        <f t="shared" si="124"/>
        <v>1986.6599999999962</v>
      </c>
      <c r="BR134" s="293">
        <f t="shared" si="125"/>
        <v>390</v>
      </c>
      <c r="BS134" s="293">
        <f t="shared" si="126"/>
        <v>149.15789473684208</v>
      </c>
      <c r="BT134" s="293">
        <f t="shared" si="127"/>
        <v>0</v>
      </c>
      <c r="BU134" s="293">
        <f t="shared" si="128"/>
        <v>236.33999999999992</v>
      </c>
      <c r="BV134" s="293">
        <f t="shared" si="70"/>
        <v>2762.157894736838</v>
      </c>
      <c r="BW134" s="293">
        <f t="shared" si="71"/>
        <v>0</v>
      </c>
      <c r="BX134" s="293">
        <v>0</v>
      </c>
      <c r="BY134" s="293">
        <v>0</v>
      </c>
      <c r="BZ134" s="293">
        <v>0</v>
      </c>
      <c r="CA134" s="293">
        <v>0</v>
      </c>
      <c r="CB134" s="293">
        <v>0</v>
      </c>
      <c r="CC134" s="293">
        <v>0</v>
      </c>
      <c r="CD134" s="293">
        <v>113.09999999999991</v>
      </c>
      <c r="CE134" s="293">
        <f t="shared" si="92"/>
        <v>113.09999999999991</v>
      </c>
      <c r="CF134" s="293"/>
      <c r="CG134" s="293">
        <v>0</v>
      </c>
      <c r="CH134" s="293">
        <v>0</v>
      </c>
      <c r="CI134" s="293">
        <v>32007.300000000003</v>
      </c>
      <c r="CJ134" s="293">
        <v>1560</v>
      </c>
      <c r="CK134" s="293">
        <v>708.76</v>
      </c>
      <c r="CL134" s="293">
        <v>0</v>
      </c>
      <c r="CM134" s="293">
        <v>1041.3</v>
      </c>
      <c r="CN134" s="293">
        <f t="shared" si="93"/>
        <v>35317.360000000008</v>
      </c>
      <c r="CO134" s="293"/>
      <c r="CP134" s="58">
        <f t="shared" si="94"/>
        <v>0</v>
      </c>
      <c r="CQ134" s="223">
        <f t="shared" si="95"/>
        <v>0</v>
      </c>
      <c r="CR134" s="223">
        <f t="shared" si="96"/>
        <v>3311.1000000000022</v>
      </c>
      <c r="CS134" s="223">
        <f t="shared" si="97"/>
        <v>0</v>
      </c>
      <c r="CT134" s="223">
        <f t="shared" si="98"/>
        <v>112.12842105263155</v>
      </c>
      <c r="CU134" s="223">
        <f t="shared" si="99"/>
        <v>0</v>
      </c>
      <c r="CV134" s="223">
        <f t="shared" si="100"/>
        <v>132.59999999999991</v>
      </c>
      <c r="CW134" s="223">
        <f t="shared" si="101"/>
        <v>3555.8284210526335</v>
      </c>
      <c r="CX134" s="223">
        <f t="shared" si="102"/>
        <v>0</v>
      </c>
      <c r="CY134" s="58">
        <f t="shared" si="103"/>
        <v>0</v>
      </c>
      <c r="CZ134" s="399">
        <f t="shared" si="104"/>
        <v>0</v>
      </c>
      <c r="DA134" s="399">
        <f t="shared" si="105"/>
        <v>9050.34</v>
      </c>
      <c r="DB134" s="399">
        <f t="shared" si="106"/>
        <v>312</v>
      </c>
      <c r="DC134" s="399">
        <f t="shared" si="107"/>
        <v>231.45473684210521</v>
      </c>
      <c r="DD134" s="399">
        <f t="shared" si="108"/>
        <v>0</v>
      </c>
      <c r="DE134" s="399">
        <f t="shared" si="109"/>
        <v>314.33999999999992</v>
      </c>
      <c r="DF134" s="399">
        <f t="shared" si="110"/>
        <v>9908.1347368421048</v>
      </c>
      <c r="DG134" s="399">
        <f t="shared" si="111"/>
        <v>0</v>
      </c>
      <c r="DI134" s="399"/>
      <c r="DJ134" s="399"/>
      <c r="DK134" s="399"/>
      <c r="DL134" s="399"/>
      <c r="DM134" s="399"/>
      <c r="DN134" s="399"/>
      <c r="DO134" s="399"/>
      <c r="DP134" s="399"/>
      <c r="DQ134" s="399"/>
      <c r="DS134" s="399"/>
      <c r="DT134" s="399"/>
      <c r="DU134" s="399"/>
      <c r="DV134" s="399"/>
      <c r="DW134" s="399"/>
      <c r="DX134" s="399"/>
      <c r="DY134" s="399"/>
      <c r="DZ134" s="399"/>
      <c r="EB134" s="228">
        <f t="shared" si="112"/>
        <v>90232.104986149599</v>
      </c>
      <c r="EC134" s="228">
        <f t="shared" si="113"/>
        <v>0</v>
      </c>
      <c r="ED134" s="214">
        <f t="shared" si="114"/>
        <v>90232.104986149599</v>
      </c>
    </row>
    <row r="135" spans="1:134" hidden="1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3" t="str">
        <f>VLOOKUP(A135,'Summary Mar 2026'!$A$8:$F$207,6,FALSE)</f>
        <v>Chq Bk</v>
      </c>
      <c r="G135" s="33"/>
      <c r="H135" s="223">
        <v>0</v>
      </c>
      <c r="I135" s="294"/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33">
        <f t="shared" si="72"/>
        <v>0</v>
      </c>
      <c r="Q135" s="223">
        <f t="shared" si="73"/>
        <v>0</v>
      </c>
      <c r="R135" s="294"/>
      <c r="S135" s="223">
        <v>0</v>
      </c>
      <c r="T135" s="223">
        <v>0</v>
      </c>
      <c r="U135" s="223">
        <v>0</v>
      </c>
      <c r="V135" s="223">
        <v>0</v>
      </c>
      <c r="W135" s="223">
        <v>0</v>
      </c>
      <c r="X135" s="223">
        <v>0</v>
      </c>
      <c r="Y135" s="223">
        <f t="shared" si="74"/>
        <v>0</v>
      </c>
      <c r="Z135" s="223">
        <f t="shared" si="75"/>
        <v>0</v>
      </c>
      <c r="AA135" s="294"/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223">
        <f t="shared" si="76"/>
        <v>0</v>
      </c>
      <c r="AI135" s="398">
        <f t="shared" si="77"/>
        <v>0</v>
      </c>
      <c r="AJ135" s="294"/>
      <c r="AK135" s="398">
        <v>0</v>
      </c>
      <c r="AL135" s="398">
        <v>0</v>
      </c>
      <c r="AM135" s="398">
        <v>0</v>
      </c>
      <c r="AN135" s="294"/>
      <c r="AO135" s="398">
        <f t="shared" si="78"/>
        <v>0</v>
      </c>
      <c r="AP135" s="398">
        <f t="shared" si="79"/>
        <v>0</v>
      </c>
      <c r="AQ135" s="398">
        <f t="shared" si="80"/>
        <v>0</v>
      </c>
      <c r="AR135" s="293"/>
      <c r="AS135" s="293">
        <v>0</v>
      </c>
      <c r="AT135" s="576">
        <f t="shared" si="81"/>
        <v>0</v>
      </c>
      <c r="AU135" s="293"/>
      <c r="AV135" s="293">
        <v>0</v>
      </c>
      <c r="AW135" s="293">
        <v>0</v>
      </c>
      <c r="AX135" s="293">
        <v>0</v>
      </c>
      <c r="AY135" s="293">
        <v>0</v>
      </c>
      <c r="AZ135" s="293">
        <v>0</v>
      </c>
      <c r="BA135" s="293">
        <v>0</v>
      </c>
      <c r="BB135" s="293">
        <v>0</v>
      </c>
      <c r="BC135" s="293">
        <f t="shared" si="82"/>
        <v>0</v>
      </c>
      <c r="BE135" s="58">
        <f t="shared" si="83"/>
        <v>0</v>
      </c>
      <c r="BF135" s="58">
        <f t="shared" si="84"/>
        <v>0</v>
      </c>
      <c r="BG135" s="58">
        <f t="shared" si="85"/>
        <v>0</v>
      </c>
      <c r="BH135" s="58">
        <f t="shared" si="86"/>
        <v>0</v>
      </c>
      <c r="BI135" s="58">
        <f t="shared" si="87"/>
        <v>0</v>
      </c>
      <c r="BJ135" s="58">
        <f t="shared" si="88"/>
        <v>0</v>
      </c>
      <c r="BK135" s="58">
        <f t="shared" si="89"/>
        <v>0</v>
      </c>
      <c r="BL135" s="58">
        <f t="shared" si="90"/>
        <v>0</v>
      </c>
      <c r="BM135" s="33">
        <f t="shared" si="91"/>
        <v>0</v>
      </c>
      <c r="BN135" s="33"/>
      <c r="BO135" s="293">
        <f t="shared" si="122"/>
        <v>0</v>
      </c>
      <c r="BP135" s="293">
        <f t="shared" si="123"/>
        <v>0</v>
      </c>
      <c r="BQ135" s="293">
        <f t="shared" si="124"/>
        <v>0</v>
      </c>
      <c r="BR135" s="293">
        <f t="shared" si="125"/>
        <v>0</v>
      </c>
      <c r="BS135" s="293">
        <f t="shared" si="126"/>
        <v>0</v>
      </c>
      <c r="BT135" s="293">
        <f t="shared" si="127"/>
        <v>0</v>
      </c>
      <c r="BU135" s="293">
        <f t="shared" si="128"/>
        <v>0</v>
      </c>
      <c r="BV135" s="293">
        <f t="shared" si="70"/>
        <v>0</v>
      </c>
      <c r="BW135" s="293">
        <f t="shared" si="71"/>
        <v>0</v>
      </c>
      <c r="BX135" s="293">
        <v>0</v>
      </c>
      <c r="BY135" s="293">
        <v>0</v>
      </c>
      <c r="BZ135" s="293">
        <v>0</v>
      </c>
      <c r="CA135" s="293">
        <v>0</v>
      </c>
      <c r="CB135" s="293">
        <v>0</v>
      </c>
      <c r="CC135" s="293">
        <v>0</v>
      </c>
      <c r="CD135" s="293">
        <v>0</v>
      </c>
      <c r="CE135" s="293">
        <f t="shared" si="92"/>
        <v>0</v>
      </c>
      <c r="CF135" s="293"/>
      <c r="CG135" s="293">
        <v>0</v>
      </c>
      <c r="CH135" s="293">
        <v>0</v>
      </c>
      <c r="CI135" s="293">
        <v>0</v>
      </c>
      <c r="CJ135" s="293">
        <v>0</v>
      </c>
      <c r="CK135" s="293">
        <v>0</v>
      </c>
      <c r="CL135" s="293">
        <v>0</v>
      </c>
      <c r="CM135" s="293">
        <v>0</v>
      </c>
      <c r="CN135" s="293">
        <f t="shared" si="93"/>
        <v>0</v>
      </c>
      <c r="CO135" s="293"/>
      <c r="CP135" s="58">
        <f t="shared" si="94"/>
        <v>0</v>
      </c>
      <c r="CQ135" s="223">
        <f t="shared" si="95"/>
        <v>0</v>
      </c>
      <c r="CR135" s="223">
        <f t="shared" si="96"/>
        <v>0</v>
      </c>
      <c r="CS135" s="223">
        <f t="shared" si="97"/>
        <v>0</v>
      </c>
      <c r="CT135" s="223">
        <f t="shared" si="98"/>
        <v>0</v>
      </c>
      <c r="CU135" s="223">
        <f t="shared" si="99"/>
        <v>0</v>
      </c>
      <c r="CV135" s="223">
        <f t="shared" si="100"/>
        <v>0</v>
      </c>
      <c r="CW135" s="223">
        <f t="shared" si="101"/>
        <v>0</v>
      </c>
      <c r="CX135" s="223">
        <f t="shared" si="102"/>
        <v>0</v>
      </c>
      <c r="CY135" s="58">
        <f t="shared" si="103"/>
        <v>0</v>
      </c>
      <c r="CZ135" s="399">
        <f t="shared" si="104"/>
        <v>0</v>
      </c>
      <c r="DA135" s="399">
        <f t="shared" si="105"/>
        <v>0</v>
      </c>
      <c r="DB135" s="399">
        <f t="shared" si="106"/>
        <v>0</v>
      </c>
      <c r="DC135" s="399">
        <f t="shared" si="107"/>
        <v>0</v>
      </c>
      <c r="DD135" s="399">
        <f t="shared" si="108"/>
        <v>0</v>
      </c>
      <c r="DE135" s="399">
        <f t="shared" si="109"/>
        <v>0</v>
      </c>
      <c r="DF135" s="399">
        <f t="shared" si="110"/>
        <v>0</v>
      </c>
      <c r="DG135" s="399">
        <f t="shared" si="111"/>
        <v>0</v>
      </c>
      <c r="DI135" s="399"/>
      <c r="DJ135" s="399"/>
      <c r="DK135" s="399"/>
      <c r="DL135" s="399"/>
      <c r="DM135" s="399"/>
      <c r="DN135" s="399"/>
      <c r="DO135" s="399"/>
      <c r="DP135" s="399"/>
      <c r="DQ135" s="399"/>
      <c r="DS135" s="399"/>
      <c r="DT135" s="399"/>
      <c r="DU135" s="399"/>
      <c r="DV135" s="399"/>
      <c r="DW135" s="399"/>
      <c r="DX135" s="399"/>
      <c r="DY135" s="399"/>
      <c r="DZ135" s="399"/>
      <c r="EB135" s="228">
        <f t="shared" si="112"/>
        <v>0</v>
      </c>
      <c r="EC135" s="228">
        <f t="shared" si="113"/>
        <v>0</v>
      </c>
      <c r="ED135" s="214">
        <f t="shared" si="114"/>
        <v>0</v>
      </c>
    </row>
    <row r="136" spans="1:134" hidden="1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3" t="str">
        <f>VLOOKUP(A136,'Summary Mar 2026'!$A$8:$F$207,6,FALSE)</f>
        <v>Chq Bk</v>
      </c>
      <c r="G136" s="33"/>
      <c r="H136" s="223">
        <v>0</v>
      </c>
      <c r="I136" s="294"/>
      <c r="J136" s="223">
        <v>0</v>
      </c>
      <c r="K136" s="223">
        <v>0</v>
      </c>
      <c r="L136" s="223">
        <v>0</v>
      </c>
      <c r="M136" s="223">
        <v>0</v>
      </c>
      <c r="N136" s="223">
        <v>0</v>
      </c>
      <c r="O136" s="223">
        <v>0</v>
      </c>
      <c r="P136" s="33">
        <f t="shared" si="72"/>
        <v>0</v>
      </c>
      <c r="Q136" s="223">
        <f t="shared" si="73"/>
        <v>0</v>
      </c>
      <c r="R136" s="294"/>
      <c r="S136" s="223">
        <v>0</v>
      </c>
      <c r="T136" s="223">
        <v>0</v>
      </c>
      <c r="U136" s="223">
        <v>0</v>
      </c>
      <c r="V136" s="223">
        <v>0</v>
      </c>
      <c r="W136" s="223">
        <v>0</v>
      </c>
      <c r="X136" s="223">
        <v>0</v>
      </c>
      <c r="Y136" s="223">
        <f t="shared" si="74"/>
        <v>0</v>
      </c>
      <c r="Z136" s="223">
        <f t="shared" si="75"/>
        <v>0</v>
      </c>
      <c r="AA136" s="294"/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223">
        <f t="shared" si="76"/>
        <v>0</v>
      </c>
      <c r="AI136" s="398">
        <f t="shared" si="77"/>
        <v>0</v>
      </c>
      <c r="AJ136" s="294"/>
      <c r="AK136" s="398">
        <v>0</v>
      </c>
      <c r="AL136" s="398">
        <v>0</v>
      </c>
      <c r="AM136" s="398">
        <v>0</v>
      </c>
      <c r="AN136" s="294"/>
      <c r="AO136" s="398">
        <f t="shared" si="78"/>
        <v>0</v>
      </c>
      <c r="AP136" s="398">
        <f t="shared" si="79"/>
        <v>0</v>
      </c>
      <c r="AQ136" s="398">
        <f t="shared" si="80"/>
        <v>0</v>
      </c>
      <c r="AR136" s="293"/>
      <c r="AS136" s="293">
        <v>0</v>
      </c>
      <c r="AT136" s="576">
        <f t="shared" si="81"/>
        <v>0</v>
      </c>
      <c r="AU136" s="293"/>
      <c r="AV136" s="293">
        <v>0</v>
      </c>
      <c r="AW136" s="293">
        <v>0</v>
      </c>
      <c r="AX136" s="293">
        <v>0</v>
      </c>
      <c r="AY136" s="293">
        <v>0</v>
      </c>
      <c r="AZ136" s="293">
        <v>0</v>
      </c>
      <c r="BA136" s="293">
        <v>0</v>
      </c>
      <c r="BB136" s="293">
        <v>0</v>
      </c>
      <c r="BC136" s="293">
        <f t="shared" si="82"/>
        <v>0</v>
      </c>
      <c r="BE136" s="58">
        <f t="shared" si="83"/>
        <v>0</v>
      </c>
      <c r="BF136" s="58">
        <f t="shared" si="84"/>
        <v>0</v>
      </c>
      <c r="BG136" s="58">
        <f t="shared" si="85"/>
        <v>0</v>
      </c>
      <c r="BH136" s="58">
        <f t="shared" si="86"/>
        <v>0</v>
      </c>
      <c r="BI136" s="58">
        <f t="shared" si="87"/>
        <v>0</v>
      </c>
      <c r="BJ136" s="58">
        <f t="shared" si="88"/>
        <v>0</v>
      </c>
      <c r="BK136" s="58">
        <f t="shared" si="89"/>
        <v>0</v>
      </c>
      <c r="BL136" s="58">
        <f t="shared" si="90"/>
        <v>0</v>
      </c>
      <c r="BM136" s="33">
        <f t="shared" si="91"/>
        <v>0</v>
      </c>
      <c r="BN136" s="33"/>
      <c r="BO136" s="293">
        <f t="shared" si="122"/>
        <v>0</v>
      </c>
      <c r="BP136" s="293">
        <f t="shared" si="123"/>
        <v>0</v>
      </c>
      <c r="BQ136" s="293">
        <f t="shared" si="124"/>
        <v>0</v>
      </c>
      <c r="BR136" s="293">
        <f t="shared" si="125"/>
        <v>0</v>
      </c>
      <c r="BS136" s="293">
        <f t="shared" si="126"/>
        <v>0</v>
      </c>
      <c r="BT136" s="293">
        <f t="shared" si="127"/>
        <v>0</v>
      </c>
      <c r="BU136" s="293">
        <f t="shared" si="128"/>
        <v>0</v>
      </c>
      <c r="BV136" s="293">
        <f t="shared" ref="BV136:BV199" si="129">SUM(BO136:BU136)+AT136</f>
        <v>0</v>
      </c>
      <c r="BW136" s="293">
        <f t="shared" ref="BW136:BW199" si="130">(Q136+AO136+AS136+BV136)-BC136-AT136</f>
        <v>0</v>
      </c>
      <c r="BX136" s="293">
        <v>0</v>
      </c>
      <c r="BY136" s="293">
        <v>0</v>
      </c>
      <c r="BZ136" s="293">
        <v>0</v>
      </c>
      <c r="CA136" s="293">
        <v>0</v>
      </c>
      <c r="CB136" s="293">
        <v>0</v>
      </c>
      <c r="CC136" s="293">
        <v>0</v>
      </c>
      <c r="CD136" s="293">
        <v>0</v>
      </c>
      <c r="CE136" s="293">
        <f t="shared" si="92"/>
        <v>0</v>
      </c>
      <c r="CF136" s="293"/>
      <c r="CG136" s="293">
        <v>0</v>
      </c>
      <c r="CH136" s="293">
        <v>0</v>
      </c>
      <c r="CI136" s="293">
        <v>0</v>
      </c>
      <c r="CJ136" s="293">
        <v>0</v>
      </c>
      <c r="CK136" s="293">
        <v>0</v>
      </c>
      <c r="CL136" s="293">
        <v>0</v>
      </c>
      <c r="CM136" s="293">
        <v>0</v>
      </c>
      <c r="CN136" s="293">
        <f t="shared" si="93"/>
        <v>0</v>
      </c>
      <c r="CO136" s="293"/>
      <c r="CP136" s="58">
        <f t="shared" si="94"/>
        <v>0</v>
      </c>
      <c r="CQ136" s="223">
        <f t="shared" si="95"/>
        <v>0</v>
      </c>
      <c r="CR136" s="223">
        <f t="shared" si="96"/>
        <v>0</v>
      </c>
      <c r="CS136" s="223">
        <f t="shared" si="97"/>
        <v>0</v>
      </c>
      <c r="CT136" s="223">
        <f t="shared" si="98"/>
        <v>0</v>
      </c>
      <c r="CU136" s="223">
        <f t="shared" si="99"/>
        <v>0</v>
      </c>
      <c r="CV136" s="223">
        <f t="shared" si="100"/>
        <v>0</v>
      </c>
      <c r="CW136" s="223">
        <f t="shared" si="101"/>
        <v>0</v>
      </c>
      <c r="CX136" s="223">
        <f t="shared" si="102"/>
        <v>0</v>
      </c>
      <c r="CY136" s="58">
        <f t="shared" si="103"/>
        <v>0</v>
      </c>
      <c r="CZ136" s="399">
        <f t="shared" si="104"/>
        <v>0</v>
      </c>
      <c r="DA136" s="399">
        <f t="shared" si="105"/>
        <v>0</v>
      </c>
      <c r="DB136" s="399">
        <f t="shared" si="106"/>
        <v>0</v>
      </c>
      <c r="DC136" s="399">
        <f t="shared" si="107"/>
        <v>0</v>
      </c>
      <c r="DD136" s="399">
        <f t="shared" si="108"/>
        <v>0</v>
      </c>
      <c r="DE136" s="399">
        <f t="shared" si="109"/>
        <v>0</v>
      </c>
      <c r="DF136" s="399">
        <f t="shared" si="110"/>
        <v>0</v>
      </c>
      <c r="DG136" s="399">
        <f t="shared" si="111"/>
        <v>0</v>
      </c>
      <c r="DI136" s="399"/>
      <c r="DJ136" s="399"/>
      <c r="DK136" s="399"/>
      <c r="DL136" s="399"/>
      <c r="DM136" s="399"/>
      <c r="DN136" s="399"/>
      <c r="DO136" s="399"/>
      <c r="DP136" s="399"/>
      <c r="DQ136" s="399"/>
      <c r="DS136" s="399"/>
      <c r="DT136" s="399"/>
      <c r="DU136" s="399"/>
      <c r="DV136" s="399"/>
      <c r="DW136" s="399"/>
      <c r="DX136" s="399"/>
      <c r="DY136" s="399"/>
      <c r="DZ136" s="399"/>
      <c r="EB136" s="228">
        <f t="shared" si="112"/>
        <v>0</v>
      </c>
      <c r="EC136" s="228">
        <f t="shared" si="113"/>
        <v>0</v>
      </c>
      <c r="ED136" s="214">
        <f t="shared" si="114"/>
        <v>0</v>
      </c>
    </row>
    <row r="137" spans="1:134" hidden="1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3" t="str">
        <f>VLOOKUP(A137,'Summary Mar 2026'!$A$8:$F$207,6,FALSE)</f>
        <v>Chq Bk</v>
      </c>
      <c r="G137" s="33"/>
      <c r="H137" s="223">
        <v>0</v>
      </c>
      <c r="I137" s="294"/>
      <c r="J137" s="223">
        <v>0</v>
      </c>
      <c r="K137" s="223">
        <v>0</v>
      </c>
      <c r="L137" s="223">
        <v>0</v>
      </c>
      <c r="M137" s="223">
        <v>0</v>
      </c>
      <c r="N137" s="223">
        <v>0</v>
      </c>
      <c r="O137" s="223">
        <v>0</v>
      </c>
      <c r="P137" s="33">
        <f t="shared" ref="P137:P200" si="131">SUM(J137:O137)</f>
        <v>0</v>
      </c>
      <c r="Q137" s="223">
        <f t="shared" ref="Q137:Q200" si="132">P137*80%</f>
        <v>0</v>
      </c>
      <c r="R137" s="294"/>
      <c r="S137" s="223">
        <v>0</v>
      </c>
      <c r="T137" s="223">
        <v>0</v>
      </c>
      <c r="U137" s="223">
        <v>0</v>
      </c>
      <c r="V137" s="223">
        <v>0</v>
      </c>
      <c r="W137" s="223">
        <v>0</v>
      </c>
      <c r="X137" s="223">
        <v>0</v>
      </c>
      <c r="Y137" s="223">
        <f t="shared" ref="Y137:Y200" si="133">SUM(S137:X137)</f>
        <v>0</v>
      </c>
      <c r="Z137" s="223">
        <f t="shared" ref="Z137:Z200" si="134">Y137*80%</f>
        <v>0</v>
      </c>
      <c r="AA137" s="294"/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223">
        <f t="shared" ref="AH137:AH200" si="135">SUM(AB137:AG137)</f>
        <v>0</v>
      </c>
      <c r="AI137" s="398">
        <f t="shared" ref="AI137:AI200" si="136">AH137*80%</f>
        <v>0</v>
      </c>
      <c r="AJ137" s="294"/>
      <c r="AK137" s="398">
        <v>0</v>
      </c>
      <c r="AL137" s="398">
        <v>0</v>
      </c>
      <c r="AM137" s="398">
        <v>0</v>
      </c>
      <c r="AN137" s="294"/>
      <c r="AO137" s="398">
        <f t="shared" ref="AO137:AO200" si="137">AK137*80%</f>
        <v>0</v>
      </c>
      <c r="AP137" s="398">
        <f t="shared" ref="AP137:AP200" si="138">AL137*80%</f>
        <v>0</v>
      </c>
      <c r="AQ137" s="398">
        <f t="shared" ref="AQ137:AQ200" si="139">AM137*80%</f>
        <v>0</v>
      </c>
      <c r="AR137" s="293"/>
      <c r="AS137" s="293">
        <v>0</v>
      </c>
      <c r="AT137" s="576">
        <f t="shared" ref="AT137:AT200" si="140">AS137-H137</f>
        <v>0</v>
      </c>
      <c r="AU137" s="293"/>
      <c r="AV137" s="293">
        <v>0</v>
      </c>
      <c r="AW137" s="293">
        <v>0</v>
      </c>
      <c r="AX137" s="293">
        <v>0</v>
      </c>
      <c r="AY137" s="293">
        <v>0</v>
      </c>
      <c r="AZ137" s="293">
        <v>0</v>
      </c>
      <c r="BA137" s="293">
        <v>0</v>
      </c>
      <c r="BB137" s="293">
        <v>0</v>
      </c>
      <c r="BC137" s="293">
        <f t="shared" ref="BC137:BC200" si="141">SUM(AV137:BB137)+AS137</f>
        <v>0</v>
      </c>
      <c r="BE137" s="58">
        <f t="shared" ref="BE137:BE200" si="142">AV137-J137</f>
        <v>0</v>
      </c>
      <c r="BF137" s="58">
        <f t="shared" ref="BF137:BF200" si="143">AW137-K137</f>
        <v>0</v>
      </c>
      <c r="BG137" s="58">
        <f t="shared" ref="BG137:BG200" si="144">AX137-L137</f>
        <v>0</v>
      </c>
      <c r="BH137" s="58">
        <f t="shared" ref="BH137:BH200" si="145">AY137-M137</f>
        <v>0</v>
      </c>
      <c r="BI137" s="58">
        <f t="shared" ref="BI137:BI200" si="146">AZ137-N137</f>
        <v>0</v>
      </c>
      <c r="BJ137" s="58">
        <f t="shared" ref="BJ137:BJ200" si="147">BA137-O137</f>
        <v>0</v>
      </c>
      <c r="BK137" s="58">
        <f t="shared" ref="BK137:BK200" si="148">BB137-AK137</f>
        <v>0</v>
      </c>
      <c r="BL137" s="58">
        <f t="shared" ref="BL137:BL200" si="149">SUM(BE137:BK137)+AT137</f>
        <v>0</v>
      </c>
      <c r="BM137" s="33">
        <f t="shared" ref="BM137:BM200" si="150">BC137-(P137+H137+BL137+AK137)</f>
        <v>0</v>
      </c>
      <c r="BN137" s="33"/>
      <c r="BO137" s="293">
        <f t="shared" si="122"/>
        <v>0</v>
      </c>
      <c r="BP137" s="293">
        <f t="shared" si="123"/>
        <v>0</v>
      </c>
      <c r="BQ137" s="293">
        <f t="shared" si="124"/>
        <v>0</v>
      </c>
      <c r="BR137" s="293">
        <f t="shared" si="125"/>
        <v>0</v>
      </c>
      <c r="BS137" s="293">
        <f t="shared" si="126"/>
        <v>0</v>
      </c>
      <c r="BT137" s="293">
        <f t="shared" si="127"/>
        <v>0</v>
      </c>
      <c r="BU137" s="293">
        <f t="shared" si="128"/>
        <v>0</v>
      </c>
      <c r="BV137" s="293">
        <f t="shared" si="129"/>
        <v>0</v>
      </c>
      <c r="BW137" s="293">
        <f t="shared" si="130"/>
        <v>0</v>
      </c>
      <c r="BX137" s="293">
        <v>0</v>
      </c>
      <c r="BY137" s="293">
        <v>0</v>
      </c>
      <c r="BZ137" s="293">
        <v>0</v>
      </c>
      <c r="CA137" s="293">
        <v>0</v>
      </c>
      <c r="CB137" s="293">
        <v>0</v>
      </c>
      <c r="CC137" s="293">
        <v>0</v>
      </c>
      <c r="CD137" s="293">
        <v>0</v>
      </c>
      <c r="CE137" s="293">
        <f t="shared" ref="CE137:CE200" si="151">SUM(BX137:CD137)</f>
        <v>0</v>
      </c>
      <c r="CF137" s="293"/>
      <c r="CG137" s="293">
        <v>0</v>
      </c>
      <c r="CH137" s="293">
        <v>0</v>
      </c>
      <c r="CI137" s="293">
        <v>0</v>
      </c>
      <c r="CJ137" s="293">
        <v>0</v>
      </c>
      <c r="CK137" s="293">
        <v>0</v>
      </c>
      <c r="CL137" s="293">
        <v>0</v>
      </c>
      <c r="CM137" s="293">
        <v>0</v>
      </c>
      <c r="CN137" s="293">
        <f t="shared" ref="CN137:CN200" si="152">SUM(CG137:CM137)</f>
        <v>0</v>
      </c>
      <c r="CO137" s="293"/>
      <c r="CP137" s="58">
        <f t="shared" ref="CP137:CP200" si="153">CG137-S137</f>
        <v>0</v>
      </c>
      <c r="CQ137" s="223">
        <f t="shared" ref="CQ137:CQ200" si="154">CH137-T137</f>
        <v>0</v>
      </c>
      <c r="CR137" s="223">
        <f t="shared" ref="CR137:CR200" si="155">CI137-U137</f>
        <v>0</v>
      </c>
      <c r="CS137" s="223">
        <f t="shared" ref="CS137:CS200" si="156">CJ137-V137</f>
        <v>0</v>
      </c>
      <c r="CT137" s="223">
        <f t="shared" ref="CT137:CT200" si="157">CK137-W137</f>
        <v>0</v>
      </c>
      <c r="CU137" s="223">
        <f t="shared" ref="CU137:CU200" si="158">CL137-X137</f>
        <v>0</v>
      </c>
      <c r="CV137" s="223">
        <f t="shared" ref="CV137:CV200" si="159">CM137-AL137</f>
        <v>0</v>
      </c>
      <c r="CW137" s="223">
        <f t="shared" ref="CW137:CW200" si="160">SUM(CP137:CV137)</f>
        <v>0</v>
      </c>
      <c r="CX137" s="223">
        <f t="shared" ref="CX137:CX200" si="161">(Y137+CW137+AL137)-CN137</f>
        <v>0</v>
      </c>
      <c r="CY137" s="58">
        <f t="shared" ref="CY137:CY200" si="162">CG137-(S137*80%)</f>
        <v>0</v>
      </c>
      <c r="CZ137" s="399">
        <f t="shared" ref="CZ137:CZ200" si="163">CH137-(T137*80%)</f>
        <v>0</v>
      </c>
      <c r="DA137" s="399">
        <f t="shared" ref="DA137:DA200" si="164">CI137-(U137*80%)</f>
        <v>0</v>
      </c>
      <c r="DB137" s="399">
        <f t="shared" ref="DB137:DB200" si="165">CJ137-(V137*80%)</f>
        <v>0</v>
      </c>
      <c r="DC137" s="399">
        <f t="shared" ref="DC137:DC200" si="166">CK137-(W137*80%)</f>
        <v>0</v>
      </c>
      <c r="DD137" s="399">
        <f t="shared" ref="DD137:DD200" si="167">CL137-(X137*80%)</f>
        <v>0</v>
      </c>
      <c r="DE137" s="399">
        <f t="shared" ref="DE137:DE200" si="168">CM137-AP137</f>
        <v>0</v>
      </c>
      <c r="DF137" s="399">
        <f t="shared" ref="DF137:DF200" si="169">SUM(CY137:DE137)</f>
        <v>0</v>
      </c>
      <c r="DG137" s="399">
        <f t="shared" ref="DG137:DG200" si="170">(Z137+DF137+AP137)-CN137</f>
        <v>0</v>
      </c>
      <c r="DI137" s="399"/>
      <c r="DJ137" s="399"/>
      <c r="DK137" s="399"/>
      <c r="DL137" s="399"/>
      <c r="DM137" s="399"/>
      <c r="DN137" s="399"/>
      <c r="DO137" s="399"/>
      <c r="DP137" s="399"/>
      <c r="DQ137" s="399"/>
      <c r="DS137" s="399"/>
      <c r="DT137" s="399"/>
      <c r="DU137" s="399"/>
      <c r="DV137" s="399"/>
      <c r="DW137" s="399"/>
      <c r="DX137" s="399"/>
      <c r="DY137" s="399"/>
      <c r="DZ137" s="399"/>
      <c r="EB137" s="228">
        <f t="shared" ref="EB137:EB200" si="171">((SUMIFS($J137:$AQ137,$J$3:$AQ$3,$EB$7)*80%))+SUMIFS($AS137:$AT137,$AS$3:$AT$3,$EB$7)+SUMIFS($AV137:$CN137,$AV$3:$CN$3,$EB$7)</f>
        <v>0</v>
      </c>
      <c r="EC137" s="228">
        <f t="shared" ref="EC137:EC200" si="172">(SUMIFS($J137:$AQ137,$J$3:$AQ$3,$EC$7)*80%)+SUMIFS($AV137:$CN137,$AV$3:$CN$3,$EC$7)</f>
        <v>0</v>
      </c>
      <c r="ED137" s="214">
        <f t="shared" ref="ED137:ED200" si="173">EB137+EC137</f>
        <v>0</v>
      </c>
    </row>
    <row r="138" spans="1:134" hidden="1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3" t="str">
        <f>VLOOKUP(A138,'Summary Mar 2026'!$A$8:$F$207,6,FALSE)</f>
        <v>Chq Bk</v>
      </c>
      <c r="G138" s="33"/>
      <c r="H138" s="223">
        <v>0</v>
      </c>
      <c r="I138" s="294"/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33">
        <f t="shared" si="131"/>
        <v>0</v>
      </c>
      <c r="Q138" s="223">
        <f t="shared" si="132"/>
        <v>0</v>
      </c>
      <c r="R138" s="294"/>
      <c r="S138" s="223">
        <v>0</v>
      </c>
      <c r="T138" s="223">
        <v>0</v>
      </c>
      <c r="U138" s="223">
        <v>0</v>
      </c>
      <c r="V138" s="223">
        <v>0</v>
      </c>
      <c r="W138" s="223">
        <v>0</v>
      </c>
      <c r="X138" s="223">
        <v>0</v>
      </c>
      <c r="Y138" s="223">
        <f t="shared" si="133"/>
        <v>0</v>
      </c>
      <c r="Z138" s="223">
        <f t="shared" si="134"/>
        <v>0</v>
      </c>
      <c r="AA138" s="294"/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223">
        <f t="shared" si="135"/>
        <v>0</v>
      </c>
      <c r="AI138" s="398">
        <f t="shared" si="136"/>
        <v>0</v>
      </c>
      <c r="AJ138" s="294"/>
      <c r="AK138" s="398">
        <v>0</v>
      </c>
      <c r="AL138" s="398">
        <v>0</v>
      </c>
      <c r="AM138" s="398">
        <v>0</v>
      </c>
      <c r="AN138" s="294"/>
      <c r="AO138" s="398">
        <f t="shared" si="137"/>
        <v>0</v>
      </c>
      <c r="AP138" s="398">
        <f t="shared" si="138"/>
        <v>0</v>
      </c>
      <c r="AQ138" s="398">
        <f t="shared" si="139"/>
        <v>0</v>
      </c>
      <c r="AR138" s="293"/>
      <c r="AS138" s="293">
        <v>0</v>
      </c>
      <c r="AT138" s="576">
        <f t="shared" si="140"/>
        <v>0</v>
      </c>
      <c r="AU138" s="293"/>
      <c r="AV138" s="293">
        <v>0</v>
      </c>
      <c r="AW138" s="293">
        <v>0</v>
      </c>
      <c r="AX138" s="293">
        <v>0</v>
      </c>
      <c r="AY138" s="293">
        <v>0</v>
      </c>
      <c r="AZ138" s="293">
        <v>0</v>
      </c>
      <c r="BA138" s="293">
        <v>0</v>
      </c>
      <c r="BB138" s="293">
        <v>0</v>
      </c>
      <c r="BC138" s="293">
        <f t="shared" si="141"/>
        <v>0</v>
      </c>
      <c r="BE138" s="58">
        <f t="shared" si="142"/>
        <v>0</v>
      </c>
      <c r="BF138" s="58">
        <f t="shared" si="143"/>
        <v>0</v>
      </c>
      <c r="BG138" s="58">
        <f t="shared" si="144"/>
        <v>0</v>
      </c>
      <c r="BH138" s="58">
        <f t="shared" si="145"/>
        <v>0</v>
      </c>
      <c r="BI138" s="58">
        <f t="shared" si="146"/>
        <v>0</v>
      </c>
      <c r="BJ138" s="58">
        <f t="shared" si="147"/>
        <v>0</v>
      </c>
      <c r="BK138" s="58">
        <f t="shared" si="148"/>
        <v>0</v>
      </c>
      <c r="BL138" s="58">
        <f t="shared" si="149"/>
        <v>0</v>
      </c>
      <c r="BM138" s="33">
        <f t="shared" si="150"/>
        <v>0</v>
      </c>
      <c r="BN138" s="33"/>
      <c r="BO138" s="293">
        <f t="shared" si="122"/>
        <v>0</v>
      </c>
      <c r="BP138" s="293">
        <f t="shared" si="123"/>
        <v>0</v>
      </c>
      <c r="BQ138" s="293">
        <f t="shared" si="124"/>
        <v>0</v>
      </c>
      <c r="BR138" s="293">
        <f t="shared" si="125"/>
        <v>0</v>
      </c>
      <c r="BS138" s="293">
        <f t="shared" si="126"/>
        <v>0</v>
      </c>
      <c r="BT138" s="293">
        <f t="shared" si="127"/>
        <v>0</v>
      </c>
      <c r="BU138" s="293">
        <f t="shared" si="128"/>
        <v>0</v>
      </c>
      <c r="BV138" s="293">
        <f t="shared" si="129"/>
        <v>0</v>
      </c>
      <c r="BW138" s="293">
        <f t="shared" si="130"/>
        <v>0</v>
      </c>
      <c r="BX138" s="293">
        <v>0</v>
      </c>
      <c r="BY138" s="293">
        <v>0</v>
      </c>
      <c r="BZ138" s="293">
        <v>0</v>
      </c>
      <c r="CA138" s="293">
        <v>0</v>
      </c>
      <c r="CB138" s="293">
        <v>0</v>
      </c>
      <c r="CC138" s="293">
        <v>0</v>
      </c>
      <c r="CD138" s="293">
        <v>0</v>
      </c>
      <c r="CE138" s="293">
        <f t="shared" si="151"/>
        <v>0</v>
      </c>
      <c r="CF138" s="293"/>
      <c r="CG138" s="293">
        <v>0</v>
      </c>
      <c r="CH138" s="293">
        <v>0</v>
      </c>
      <c r="CI138" s="293">
        <v>0</v>
      </c>
      <c r="CJ138" s="293">
        <v>0</v>
      </c>
      <c r="CK138" s="293">
        <v>0</v>
      </c>
      <c r="CL138" s="293">
        <v>0</v>
      </c>
      <c r="CM138" s="293">
        <v>0</v>
      </c>
      <c r="CN138" s="293">
        <f t="shared" si="152"/>
        <v>0</v>
      </c>
      <c r="CO138" s="293"/>
      <c r="CP138" s="58">
        <f t="shared" si="153"/>
        <v>0</v>
      </c>
      <c r="CQ138" s="223">
        <f t="shared" si="154"/>
        <v>0</v>
      </c>
      <c r="CR138" s="223">
        <f t="shared" si="155"/>
        <v>0</v>
      </c>
      <c r="CS138" s="223">
        <f t="shared" si="156"/>
        <v>0</v>
      </c>
      <c r="CT138" s="223">
        <f t="shared" si="157"/>
        <v>0</v>
      </c>
      <c r="CU138" s="223">
        <f t="shared" si="158"/>
        <v>0</v>
      </c>
      <c r="CV138" s="223">
        <f t="shared" si="159"/>
        <v>0</v>
      </c>
      <c r="CW138" s="223">
        <f t="shared" si="160"/>
        <v>0</v>
      </c>
      <c r="CX138" s="223">
        <f t="shared" si="161"/>
        <v>0</v>
      </c>
      <c r="CY138" s="58">
        <f t="shared" si="162"/>
        <v>0</v>
      </c>
      <c r="CZ138" s="399">
        <f t="shared" si="163"/>
        <v>0</v>
      </c>
      <c r="DA138" s="399">
        <f t="shared" si="164"/>
        <v>0</v>
      </c>
      <c r="DB138" s="399">
        <f t="shared" si="165"/>
        <v>0</v>
      </c>
      <c r="DC138" s="399">
        <f t="shared" si="166"/>
        <v>0</v>
      </c>
      <c r="DD138" s="399">
        <f t="shared" si="167"/>
        <v>0</v>
      </c>
      <c r="DE138" s="399">
        <f t="shared" si="168"/>
        <v>0</v>
      </c>
      <c r="DF138" s="399">
        <f t="shared" si="169"/>
        <v>0</v>
      </c>
      <c r="DG138" s="399">
        <f t="shared" si="170"/>
        <v>0</v>
      </c>
      <c r="DI138" s="399"/>
      <c r="DJ138" s="399"/>
      <c r="DK138" s="399"/>
      <c r="DL138" s="399"/>
      <c r="DM138" s="399"/>
      <c r="DN138" s="399"/>
      <c r="DO138" s="399"/>
      <c r="DP138" s="399"/>
      <c r="DQ138" s="399"/>
      <c r="DS138" s="399"/>
      <c r="DT138" s="399"/>
      <c r="DU138" s="399"/>
      <c r="DV138" s="399"/>
      <c r="DW138" s="399"/>
      <c r="DX138" s="399"/>
      <c r="DY138" s="399"/>
      <c r="DZ138" s="399"/>
      <c r="EB138" s="228">
        <f t="shared" si="171"/>
        <v>0</v>
      </c>
      <c r="EC138" s="228">
        <f t="shared" si="172"/>
        <v>0</v>
      </c>
      <c r="ED138" s="214">
        <f t="shared" si="173"/>
        <v>0</v>
      </c>
    </row>
    <row r="139" spans="1:134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3" t="str">
        <f>VLOOKUP(A139,'Summary Mar 2026'!$A$8:$F$207,6,FALSE)</f>
        <v>Chq Bk</v>
      </c>
      <c r="G139" s="33"/>
      <c r="H139" s="223">
        <v>0</v>
      </c>
      <c r="I139" s="294"/>
      <c r="J139" s="223">
        <v>0</v>
      </c>
      <c r="K139" s="223">
        <v>0</v>
      </c>
      <c r="L139" s="223">
        <v>50770.2</v>
      </c>
      <c r="M139" s="223">
        <v>390</v>
      </c>
      <c r="N139" s="223">
        <v>149.15789473684211</v>
      </c>
      <c r="O139" s="223">
        <v>0</v>
      </c>
      <c r="P139" s="33">
        <f t="shared" si="131"/>
        <v>51309.357894736837</v>
      </c>
      <c r="Q139" s="223">
        <f t="shared" si="132"/>
        <v>41047.486315789472</v>
      </c>
      <c r="R139" s="294"/>
      <c r="S139" s="223">
        <v>0</v>
      </c>
      <c r="T139" s="223">
        <v>0</v>
      </c>
      <c r="U139" s="223">
        <v>41940.6</v>
      </c>
      <c r="V139" s="223">
        <v>195</v>
      </c>
      <c r="W139" s="223">
        <v>74.578947368421055</v>
      </c>
      <c r="X139" s="223">
        <v>0</v>
      </c>
      <c r="Y139" s="223">
        <f t="shared" si="133"/>
        <v>42210.178947368418</v>
      </c>
      <c r="Z139" s="223">
        <f t="shared" si="134"/>
        <v>33768.143157894738</v>
      </c>
      <c r="AA139" s="294"/>
      <c r="AB139" s="398">
        <v>0</v>
      </c>
      <c r="AC139" s="398">
        <v>0</v>
      </c>
      <c r="AD139" s="398">
        <v>41502.69473684211</v>
      </c>
      <c r="AE139" s="398">
        <v>284.21052631578948</v>
      </c>
      <c r="AF139" s="398">
        <v>108.69806094182825</v>
      </c>
      <c r="AG139" s="398">
        <v>0</v>
      </c>
      <c r="AH139" s="223">
        <f t="shared" si="135"/>
        <v>41895.603324099728</v>
      </c>
      <c r="AI139" s="398">
        <f t="shared" si="136"/>
        <v>33516.482659279784</v>
      </c>
      <c r="AJ139" s="294"/>
      <c r="AK139" s="398">
        <v>423.15</v>
      </c>
      <c r="AL139" s="398">
        <v>247.65</v>
      </c>
      <c r="AM139" s="398">
        <v>335.36842105263156</v>
      </c>
      <c r="AN139" s="294"/>
      <c r="AO139" s="398">
        <f t="shared" si="137"/>
        <v>338.52</v>
      </c>
      <c r="AP139" s="398">
        <f t="shared" si="138"/>
        <v>198.12</v>
      </c>
      <c r="AQ139" s="398">
        <f t="shared" si="139"/>
        <v>268.29473684210524</v>
      </c>
      <c r="AR139" s="293"/>
      <c r="AS139" s="293">
        <v>0</v>
      </c>
      <c r="AT139" s="576">
        <f t="shared" si="140"/>
        <v>0</v>
      </c>
      <c r="AU139" s="293"/>
      <c r="AV139" s="293">
        <v>0</v>
      </c>
      <c r="AW139" s="293">
        <v>0</v>
      </c>
      <c r="AX139" s="293">
        <v>45251.7</v>
      </c>
      <c r="AY139" s="293">
        <v>975</v>
      </c>
      <c r="AZ139" s="293">
        <v>372.89473684210526</v>
      </c>
      <c r="BA139" s="293">
        <v>0</v>
      </c>
      <c r="BB139" s="293">
        <v>247.65</v>
      </c>
      <c r="BC139" s="293">
        <f t="shared" si="141"/>
        <v>46847.244736842105</v>
      </c>
      <c r="BE139" s="58">
        <f t="shared" si="142"/>
        <v>0</v>
      </c>
      <c r="BF139" s="58">
        <f t="shared" si="143"/>
        <v>0</v>
      </c>
      <c r="BG139" s="58">
        <f t="shared" si="144"/>
        <v>-5518.5</v>
      </c>
      <c r="BH139" s="58">
        <f t="shared" si="145"/>
        <v>585</v>
      </c>
      <c r="BI139" s="58">
        <f t="shared" si="146"/>
        <v>223.73684210526315</v>
      </c>
      <c r="BJ139" s="58">
        <f t="shared" si="147"/>
        <v>0</v>
      </c>
      <c r="BK139" s="58">
        <f t="shared" si="148"/>
        <v>-175.49999999999997</v>
      </c>
      <c r="BL139" s="58">
        <f t="shared" si="149"/>
        <v>-4885.2631578947367</v>
      </c>
      <c r="BM139" s="33">
        <f t="shared" si="150"/>
        <v>0</v>
      </c>
      <c r="BN139" s="33"/>
      <c r="BO139" s="293">
        <f t="shared" si="122"/>
        <v>0</v>
      </c>
      <c r="BP139" s="293">
        <f t="shared" si="123"/>
        <v>0</v>
      </c>
      <c r="BQ139" s="293">
        <f t="shared" si="124"/>
        <v>4635.5399999999936</v>
      </c>
      <c r="BR139" s="293">
        <f t="shared" si="125"/>
        <v>663</v>
      </c>
      <c r="BS139" s="293">
        <f t="shared" si="126"/>
        <v>253.56842105263155</v>
      </c>
      <c r="BT139" s="293">
        <f t="shared" si="127"/>
        <v>0</v>
      </c>
      <c r="BU139" s="293">
        <f t="shared" si="128"/>
        <v>-90.869999999999976</v>
      </c>
      <c r="BV139" s="293">
        <f t="shared" si="129"/>
        <v>5461.2384210526252</v>
      </c>
      <c r="BW139" s="293">
        <f t="shared" si="130"/>
        <v>-7.2759576141834259E-12</v>
      </c>
      <c r="BX139" s="293">
        <v>0</v>
      </c>
      <c r="BY139" s="293">
        <v>0</v>
      </c>
      <c r="BZ139" s="293">
        <v>0</v>
      </c>
      <c r="CA139" s="293">
        <v>0</v>
      </c>
      <c r="CB139" s="293">
        <v>335.60526315789474</v>
      </c>
      <c r="CC139" s="293">
        <v>0</v>
      </c>
      <c r="CD139" s="293">
        <v>113.1</v>
      </c>
      <c r="CE139" s="293">
        <f t="shared" si="151"/>
        <v>448.70526315789471</v>
      </c>
      <c r="CF139" s="293"/>
      <c r="CG139" s="293">
        <v>0</v>
      </c>
      <c r="CH139" s="293">
        <v>0</v>
      </c>
      <c r="CI139" s="293">
        <v>32007.300000000003</v>
      </c>
      <c r="CJ139" s="293">
        <v>195</v>
      </c>
      <c r="CK139" s="293">
        <v>74.62</v>
      </c>
      <c r="CL139" s="293">
        <v>0</v>
      </c>
      <c r="CM139" s="293">
        <v>282.75</v>
      </c>
      <c r="CN139" s="293">
        <f t="shared" si="152"/>
        <v>32559.670000000002</v>
      </c>
      <c r="CO139" s="293"/>
      <c r="CP139" s="58">
        <f t="shared" si="153"/>
        <v>0</v>
      </c>
      <c r="CQ139" s="223">
        <f t="shared" si="154"/>
        <v>0</v>
      </c>
      <c r="CR139" s="223">
        <f t="shared" si="155"/>
        <v>-9933.2999999999956</v>
      </c>
      <c r="CS139" s="223">
        <f t="shared" si="156"/>
        <v>0</v>
      </c>
      <c r="CT139" s="223">
        <f t="shared" si="157"/>
        <v>4.1052631578949672E-2</v>
      </c>
      <c r="CU139" s="223">
        <f t="shared" si="158"/>
        <v>0</v>
      </c>
      <c r="CV139" s="223">
        <f t="shared" si="159"/>
        <v>35.099999999999994</v>
      </c>
      <c r="CW139" s="223">
        <f t="shared" si="160"/>
        <v>-9898.1589473684162</v>
      </c>
      <c r="CX139" s="223">
        <f t="shared" si="161"/>
        <v>0</v>
      </c>
      <c r="CY139" s="58">
        <f t="shared" si="162"/>
        <v>0</v>
      </c>
      <c r="CZ139" s="399">
        <f t="shared" si="163"/>
        <v>0</v>
      </c>
      <c r="DA139" s="399">
        <f t="shared" si="164"/>
        <v>-1545.1800000000003</v>
      </c>
      <c r="DB139" s="399">
        <f t="shared" si="165"/>
        <v>39</v>
      </c>
      <c r="DC139" s="399">
        <f t="shared" si="166"/>
        <v>14.956842105263156</v>
      </c>
      <c r="DD139" s="399">
        <f t="shared" si="167"/>
        <v>0</v>
      </c>
      <c r="DE139" s="399">
        <f t="shared" si="168"/>
        <v>84.63</v>
      </c>
      <c r="DF139" s="399">
        <f t="shared" si="169"/>
        <v>-1406.593157894737</v>
      </c>
      <c r="DG139" s="399">
        <f t="shared" si="170"/>
        <v>0</v>
      </c>
      <c r="DI139" s="399"/>
      <c r="DJ139" s="399"/>
      <c r="DK139" s="399"/>
      <c r="DL139" s="399"/>
      <c r="DM139" s="399"/>
      <c r="DN139" s="399"/>
      <c r="DO139" s="399"/>
      <c r="DP139" s="399"/>
      <c r="DQ139" s="399"/>
      <c r="DS139" s="399"/>
      <c r="DT139" s="399"/>
      <c r="DU139" s="399"/>
      <c r="DV139" s="399"/>
      <c r="DW139" s="399"/>
      <c r="DX139" s="399"/>
      <c r="DY139" s="399"/>
      <c r="DZ139" s="399"/>
      <c r="EB139" s="228">
        <f t="shared" si="171"/>
        <v>113640.39739612189</v>
      </c>
      <c r="EC139" s="228">
        <f t="shared" si="172"/>
        <v>0</v>
      </c>
      <c r="ED139" s="214">
        <f t="shared" si="173"/>
        <v>113640.39739612189</v>
      </c>
    </row>
    <row r="140" spans="1:134" hidden="1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3" t="str">
        <f>VLOOKUP(A140,'Summary Mar 2026'!$A$8:$F$207,6,FALSE)</f>
        <v>Chq Bk</v>
      </c>
      <c r="G140" s="33"/>
      <c r="H140" s="223">
        <v>0</v>
      </c>
      <c r="I140" s="294"/>
      <c r="J140" s="223">
        <v>0</v>
      </c>
      <c r="K140" s="223">
        <v>0</v>
      </c>
      <c r="L140" s="223">
        <v>0</v>
      </c>
      <c r="M140" s="223">
        <v>0</v>
      </c>
      <c r="N140" s="223">
        <v>0</v>
      </c>
      <c r="O140" s="223">
        <v>0</v>
      </c>
      <c r="P140" s="33">
        <f t="shared" si="131"/>
        <v>0</v>
      </c>
      <c r="Q140" s="223">
        <f t="shared" si="132"/>
        <v>0</v>
      </c>
      <c r="R140" s="294"/>
      <c r="S140" s="223">
        <v>0</v>
      </c>
      <c r="T140" s="223">
        <v>0</v>
      </c>
      <c r="U140" s="223">
        <v>0</v>
      </c>
      <c r="V140" s="223">
        <v>0</v>
      </c>
      <c r="W140" s="223">
        <v>0</v>
      </c>
      <c r="X140" s="223">
        <v>0</v>
      </c>
      <c r="Y140" s="223">
        <f t="shared" si="133"/>
        <v>0</v>
      </c>
      <c r="Z140" s="223">
        <f t="shared" si="134"/>
        <v>0</v>
      </c>
      <c r="AA140" s="294"/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223">
        <f t="shared" si="135"/>
        <v>0</v>
      </c>
      <c r="AI140" s="398">
        <f t="shared" si="136"/>
        <v>0</v>
      </c>
      <c r="AJ140" s="294"/>
      <c r="AK140" s="398">
        <v>0</v>
      </c>
      <c r="AL140" s="398">
        <v>0</v>
      </c>
      <c r="AM140" s="398">
        <v>0</v>
      </c>
      <c r="AN140" s="294"/>
      <c r="AO140" s="398">
        <f t="shared" si="137"/>
        <v>0</v>
      </c>
      <c r="AP140" s="398">
        <f t="shared" si="138"/>
        <v>0</v>
      </c>
      <c r="AQ140" s="398">
        <f t="shared" si="139"/>
        <v>0</v>
      </c>
      <c r="AR140" s="293"/>
      <c r="AS140" s="293">
        <v>0</v>
      </c>
      <c r="AT140" s="576">
        <f t="shared" si="140"/>
        <v>0</v>
      </c>
      <c r="AU140" s="293"/>
      <c r="AV140" s="293">
        <v>0</v>
      </c>
      <c r="AW140" s="293">
        <v>0</v>
      </c>
      <c r="AX140" s="293">
        <v>0</v>
      </c>
      <c r="AY140" s="293">
        <v>0</v>
      </c>
      <c r="AZ140" s="293">
        <v>0</v>
      </c>
      <c r="BA140" s="293">
        <v>0</v>
      </c>
      <c r="BB140" s="293">
        <v>0</v>
      </c>
      <c r="BC140" s="293">
        <f t="shared" si="141"/>
        <v>0</v>
      </c>
      <c r="BE140" s="58">
        <f t="shared" si="142"/>
        <v>0</v>
      </c>
      <c r="BF140" s="58">
        <f t="shared" si="143"/>
        <v>0</v>
      </c>
      <c r="BG140" s="58">
        <f t="shared" si="144"/>
        <v>0</v>
      </c>
      <c r="BH140" s="58">
        <f t="shared" si="145"/>
        <v>0</v>
      </c>
      <c r="BI140" s="58">
        <f t="shared" si="146"/>
        <v>0</v>
      </c>
      <c r="BJ140" s="58">
        <f t="shared" si="147"/>
        <v>0</v>
      </c>
      <c r="BK140" s="58">
        <f t="shared" si="148"/>
        <v>0</v>
      </c>
      <c r="BL140" s="58">
        <f t="shared" si="149"/>
        <v>0</v>
      </c>
      <c r="BM140" s="33">
        <f t="shared" si="150"/>
        <v>0</v>
      </c>
      <c r="BN140" s="33"/>
      <c r="BO140" s="293">
        <f t="shared" si="122"/>
        <v>0</v>
      </c>
      <c r="BP140" s="293">
        <f t="shared" si="123"/>
        <v>0</v>
      </c>
      <c r="BQ140" s="293">
        <f t="shared" si="124"/>
        <v>0</v>
      </c>
      <c r="BR140" s="293">
        <f t="shared" si="125"/>
        <v>0</v>
      </c>
      <c r="BS140" s="293">
        <f t="shared" si="126"/>
        <v>0</v>
      </c>
      <c r="BT140" s="293">
        <f t="shared" si="127"/>
        <v>0</v>
      </c>
      <c r="BU140" s="293">
        <f t="shared" si="128"/>
        <v>0</v>
      </c>
      <c r="BV140" s="293">
        <f t="shared" si="129"/>
        <v>0</v>
      </c>
      <c r="BW140" s="293">
        <f t="shared" si="130"/>
        <v>0</v>
      </c>
      <c r="BX140" s="293">
        <v>0</v>
      </c>
      <c r="BY140" s="293">
        <v>0</v>
      </c>
      <c r="BZ140" s="293">
        <v>0</v>
      </c>
      <c r="CA140" s="293">
        <v>0</v>
      </c>
      <c r="CB140" s="293">
        <v>0</v>
      </c>
      <c r="CC140" s="293">
        <v>0</v>
      </c>
      <c r="CD140" s="293">
        <v>0</v>
      </c>
      <c r="CE140" s="293">
        <f t="shared" si="151"/>
        <v>0</v>
      </c>
      <c r="CF140" s="293"/>
      <c r="CG140" s="293">
        <v>0</v>
      </c>
      <c r="CH140" s="293">
        <v>0</v>
      </c>
      <c r="CI140" s="293">
        <v>0</v>
      </c>
      <c r="CJ140" s="293">
        <v>0</v>
      </c>
      <c r="CK140" s="293">
        <v>0</v>
      </c>
      <c r="CL140" s="293">
        <v>0</v>
      </c>
      <c r="CM140" s="293">
        <v>0</v>
      </c>
      <c r="CN140" s="293">
        <f t="shared" si="152"/>
        <v>0</v>
      </c>
      <c r="CO140" s="293"/>
      <c r="CP140" s="58">
        <f t="shared" si="153"/>
        <v>0</v>
      </c>
      <c r="CQ140" s="223">
        <f t="shared" si="154"/>
        <v>0</v>
      </c>
      <c r="CR140" s="223">
        <f t="shared" si="155"/>
        <v>0</v>
      </c>
      <c r="CS140" s="223">
        <f t="shared" si="156"/>
        <v>0</v>
      </c>
      <c r="CT140" s="223">
        <f t="shared" si="157"/>
        <v>0</v>
      </c>
      <c r="CU140" s="223">
        <f t="shared" si="158"/>
        <v>0</v>
      </c>
      <c r="CV140" s="223">
        <f t="shared" si="159"/>
        <v>0</v>
      </c>
      <c r="CW140" s="223">
        <f t="shared" si="160"/>
        <v>0</v>
      </c>
      <c r="CX140" s="223">
        <f t="shared" si="161"/>
        <v>0</v>
      </c>
      <c r="CY140" s="58">
        <f t="shared" si="162"/>
        <v>0</v>
      </c>
      <c r="CZ140" s="399">
        <f t="shared" si="163"/>
        <v>0</v>
      </c>
      <c r="DA140" s="399">
        <f t="shared" si="164"/>
        <v>0</v>
      </c>
      <c r="DB140" s="399">
        <f t="shared" si="165"/>
        <v>0</v>
      </c>
      <c r="DC140" s="399">
        <f t="shared" si="166"/>
        <v>0</v>
      </c>
      <c r="DD140" s="399">
        <f t="shared" si="167"/>
        <v>0</v>
      </c>
      <c r="DE140" s="399">
        <f t="shared" si="168"/>
        <v>0</v>
      </c>
      <c r="DF140" s="399">
        <f t="shared" si="169"/>
        <v>0</v>
      </c>
      <c r="DG140" s="399">
        <f t="shared" si="170"/>
        <v>0</v>
      </c>
      <c r="DI140" s="399"/>
      <c r="DJ140" s="399"/>
      <c r="DK140" s="399"/>
      <c r="DL140" s="399"/>
      <c r="DM140" s="399"/>
      <c r="DN140" s="399"/>
      <c r="DO140" s="399"/>
      <c r="DP140" s="399"/>
      <c r="DQ140" s="399"/>
      <c r="DS140" s="399"/>
      <c r="DT140" s="399"/>
      <c r="DU140" s="399"/>
      <c r="DV140" s="399"/>
      <c r="DW140" s="399"/>
      <c r="DX140" s="399"/>
      <c r="DY140" s="399"/>
      <c r="DZ140" s="399"/>
      <c r="EB140" s="228">
        <f t="shared" si="171"/>
        <v>0</v>
      </c>
      <c r="EC140" s="228">
        <f t="shared" si="172"/>
        <v>0</v>
      </c>
      <c r="ED140" s="214">
        <f t="shared" si="173"/>
        <v>0</v>
      </c>
    </row>
    <row r="141" spans="1:134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3" t="str">
        <f>VLOOKUP(A141,'Summary Mar 2026'!$A$8:$F$207,6,FALSE)</f>
        <v>Chq Bk</v>
      </c>
      <c r="G141" s="33"/>
      <c r="H141" s="223">
        <v>0</v>
      </c>
      <c r="I141" s="294"/>
      <c r="J141" s="223">
        <v>0</v>
      </c>
      <c r="K141" s="223">
        <v>0</v>
      </c>
      <c r="L141" s="223">
        <v>37231.479999999996</v>
      </c>
      <c r="M141" s="223">
        <v>1560</v>
      </c>
      <c r="N141" s="223">
        <v>149.15789473684211</v>
      </c>
      <c r="O141" s="223">
        <v>0</v>
      </c>
      <c r="P141" s="33">
        <f t="shared" si="131"/>
        <v>38940.637894736836</v>
      </c>
      <c r="Q141" s="223">
        <f t="shared" si="132"/>
        <v>31152.51031578947</v>
      </c>
      <c r="R141" s="294"/>
      <c r="S141" s="223">
        <v>0</v>
      </c>
      <c r="T141" s="223">
        <v>0</v>
      </c>
      <c r="U141" s="223">
        <v>16555.5</v>
      </c>
      <c r="V141" s="223">
        <v>585</v>
      </c>
      <c r="W141" s="223">
        <v>223.73684210526318</v>
      </c>
      <c r="X141" s="223">
        <v>0</v>
      </c>
      <c r="Y141" s="223">
        <f t="shared" si="133"/>
        <v>17364.236842105263</v>
      </c>
      <c r="Z141" s="223">
        <f t="shared" si="134"/>
        <v>13891.389473684212</v>
      </c>
      <c r="AA141" s="294"/>
      <c r="AB141" s="398">
        <v>0</v>
      </c>
      <c r="AC141" s="398">
        <v>0</v>
      </c>
      <c r="AD141" s="398">
        <v>25244.791578947366</v>
      </c>
      <c r="AE141" s="398">
        <v>1136.8421052631579</v>
      </c>
      <c r="AF141" s="398">
        <v>130.4376731301939</v>
      </c>
      <c r="AG141" s="398">
        <v>0</v>
      </c>
      <c r="AH141" s="223">
        <f t="shared" si="135"/>
        <v>26512.071357340716</v>
      </c>
      <c r="AI141" s="398">
        <f t="shared" si="136"/>
        <v>21209.657085872575</v>
      </c>
      <c r="AJ141" s="294"/>
      <c r="AK141" s="398">
        <v>492.82999999999993</v>
      </c>
      <c r="AL141" s="398">
        <v>196.95</v>
      </c>
      <c r="AM141" s="398">
        <v>340.18105263157895</v>
      </c>
      <c r="AN141" s="294"/>
      <c r="AO141" s="398">
        <f t="shared" si="137"/>
        <v>394.26399999999995</v>
      </c>
      <c r="AP141" s="398">
        <f t="shared" si="138"/>
        <v>157.56</v>
      </c>
      <c r="AQ141" s="398">
        <f t="shared" si="139"/>
        <v>272.14484210526319</v>
      </c>
      <c r="AR141" s="293"/>
      <c r="AS141" s="293">
        <v>0</v>
      </c>
      <c r="AT141" s="576">
        <f t="shared" si="140"/>
        <v>0</v>
      </c>
      <c r="AU141" s="293"/>
      <c r="AV141" s="293">
        <v>0</v>
      </c>
      <c r="AW141" s="293">
        <v>0</v>
      </c>
      <c r="AX141" s="293">
        <v>34876.92</v>
      </c>
      <c r="AY141" s="293">
        <v>975</v>
      </c>
      <c r="AZ141" s="293">
        <v>223.73684210526318</v>
      </c>
      <c r="BA141" s="293">
        <v>0</v>
      </c>
      <c r="BB141" s="293">
        <v>926.24999999999989</v>
      </c>
      <c r="BC141" s="293">
        <f t="shared" si="141"/>
        <v>37001.906842105258</v>
      </c>
      <c r="BE141" s="58">
        <f t="shared" si="142"/>
        <v>0</v>
      </c>
      <c r="BF141" s="58">
        <f t="shared" si="143"/>
        <v>0</v>
      </c>
      <c r="BG141" s="58">
        <f t="shared" si="144"/>
        <v>-2354.5599999999977</v>
      </c>
      <c r="BH141" s="58">
        <f t="shared" si="145"/>
        <v>-585</v>
      </c>
      <c r="BI141" s="58">
        <f t="shared" si="146"/>
        <v>74.578947368421069</v>
      </c>
      <c r="BJ141" s="58">
        <f t="shared" si="147"/>
        <v>0</v>
      </c>
      <c r="BK141" s="58">
        <f t="shared" si="148"/>
        <v>433.41999999999996</v>
      </c>
      <c r="BL141" s="58">
        <f t="shared" si="149"/>
        <v>-2431.5610526315763</v>
      </c>
      <c r="BM141" s="33">
        <f t="shared" si="150"/>
        <v>0</v>
      </c>
      <c r="BN141" s="33"/>
      <c r="BO141" s="293">
        <f t="shared" si="122"/>
        <v>0</v>
      </c>
      <c r="BP141" s="293">
        <f t="shared" si="123"/>
        <v>0</v>
      </c>
      <c r="BQ141" s="293">
        <f t="shared" si="124"/>
        <v>5091.7360000000008</v>
      </c>
      <c r="BR141" s="293">
        <f t="shared" si="125"/>
        <v>-273</v>
      </c>
      <c r="BS141" s="293">
        <f t="shared" si="126"/>
        <v>104.41052631578948</v>
      </c>
      <c r="BT141" s="293">
        <f t="shared" si="127"/>
        <v>0</v>
      </c>
      <c r="BU141" s="293">
        <f t="shared" si="128"/>
        <v>531.98599999999988</v>
      </c>
      <c r="BV141" s="293">
        <f t="shared" si="129"/>
        <v>5455.1325263157905</v>
      </c>
      <c r="BW141" s="293">
        <f t="shared" si="130"/>
        <v>0</v>
      </c>
      <c r="BX141" s="293">
        <v>0</v>
      </c>
      <c r="BY141" s="293">
        <v>0</v>
      </c>
      <c r="BZ141" s="293">
        <v>0</v>
      </c>
      <c r="CA141" s="293">
        <v>0</v>
      </c>
      <c r="CB141" s="293">
        <v>0</v>
      </c>
      <c r="CC141" s="293">
        <v>0</v>
      </c>
      <c r="CD141" s="293">
        <v>325.6500000000002</v>
      </c>
      <c r="CE141" s="293">
        <f t="shared" si="151"/>
        <v>325.6500000000002</v>
      </c>
      <c r="CF141" s="293"/>
      <c r="CG141" s="293">
        <v>0</v>
      </c>
      <c r="CH141" s="293">
        <v>0</v>
      </c>
      <c r="CI141" s="293">
        <v>29799.9</v>
      </c>
      <c r="CJ141" s="293">
        <v>975</v>
      </c>
      <c r="CK141" s="293">
        <v>74.62</v>
      </c>
      <c r="CL141" s="293">
        <v>0</v>
      </c>
      <c r="CM141" s="293">
        <v>1489.8</v>
      </c>
      <c r="CN141" s="293">
        <f t="shared" si="152"/>
        <v>32339.32</v>
      </c>
      <c r="CO141" s="293"/>
      <c r="CP141" s="58">
        <f t="shared" si="153"/>
        <v>0</v>
      </c>
      <c r="CQ141" s="223">
        <f t="shared" si="154"/>
        <v>0</v>
      </c>
      <c r="CR141" s="223">
        <f t="shared" si="155"/>
        <v>13244.400000000001</v>
      </c>
      <c r="CS141" s="223">
        <f t="shared" si="156"/>
        <v>390</v>
      </c>
      <c r="CT141" s="223">
        <f t="shared" si="157"/>
        <v>-149.11684210526317</v>
      </c>
      <c r="CU141" s="223">
        <f t="shared" si="158"/>
        <v>0</v>
      </c>
      <c r="CV141" s="223">
        <f t="shared" si="159"/>
        <v>1292.8499999999999</v>
      </c>
      <c r="CW141" s="223">
        <f t="shared" si="160"/>
        <v>14778.133157894739</v>
      </c>
      <c r="CX141" s="223">
        <f t="shared" si="161"/>
        <v>0</v>
      </c>
      <c r="CY141" s="58">
        <f t="shared" si="162"/>
        <v>0</v>
      </c>
      <c r="CZ141" s="399">
        <f t="shared" si="163"/>
        <v>0</v>
      </c>
      <c r="DA141" s="399">
        <f t="shared" si="164"/>
        <v>16555.5</v>
      </c>
      <c r="DB141" s="399">
        <f t="shared" si="165"/>
        <v>507</v>
      </c>
      <c r="DC141" s="399">
        <f t="shared" si="166"/>
        <v>-104.36947368421056</v>
      </c>
      <c r="DD141" s="399">
        <f t="shared" si="167"/>
        <v>0</v>
      </c>
      <c r="DE141" s="399">
        <f t="shared" si="168"/>
        <v>1332.24</v>
      </c>
      <c r="DF141" s="399">
        <f t="shared" si="169"/>
        <v>18290.37052631579</v>
      </c>
      <c r="DG141" s="399">
        <f t="shared" si="170"/>
        <v>0</v>
      </c>
      <c r="DI141" s="399"/>
      <c r="DJ141" s="399"/>
      <c r="DK141" s="399"/>
      <c r="DL141" s="399"/>
      <c r="DM141" s="399"/>
      <c r="DN141" s="399"/>
      <c r="DO141" s="399"/>
      <c r="DP141" s="399"/>
      <c r="DQ141" s="399"/>
      <c r="DS141" s="399"/>
      <c r="DT141" s="399"/>
      <c r="DU141" s="399"/>
      <c r="DV141" s="399"/>
      <c r="DW141" s="399"/>
      <c r="DX141" s="399"/>
      <c r="DY141" s="399"/>
      <c r="DZ141" s="399"/>
      <c r="EB141" s="228">
        <f t="shared" si="171"/>
        <v>91148.67877008309</v>
      </c>
      <c r="EC141" s="228">
        <f t="shared" si="172"/>
        <v>0</v>
      </c>
      <c r="ED141" s="214">
        <f t="shared" si="173"/>
        <v>91148.67877008309</v>
      </c>
    </row>
    <row r="142" spans="1:134" hidden="1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3" t="str">
        <f>VLOOKUP(A142,'Summary Mar 2026'!$A$8:$F$207,6,FALSE)</f>
        <v>Chq Bk</v>
      </c>
      <c r="G142" s="33"/>
      <c r="H142" s="223">
        <v>0</v>
      </c>
      <c r="I142" s="294"/>
      <c r="J142" s="223">
        <v>0</v>
      </c>
      <c r="K142" s="223">
        <v>0</v>
      </c>
      <c r="L142" s="223">
        <v>0</v>
      </c>
      <c r="M142" s="223">
        <v>0</v>
      </c>
      <c r="N142" s="223">
        <v>0</v>
      </c>
      <c r="O142" s="223">
        <v>0</v>
      </c>
      <c r="P142" s="33">
        <f t="shared" si="131"/>
        <v>0</v>
      </c>
      <c r="Q142" s="223">
        <f t="shared" si="132"/>
        <v>0</v>
      </c>
      <c r="R142" s="294"/>
      <c r="S142" s="223">
        <v>0</v>
      </c>
      <c r="T142" s="223">
        <v>0</v>
      </c>
      <c r="U142" s="223">
        <v>0</v>
      </c>
      <c r="V142" s="223">
        <v>0</v>
      </c>
      <c r="W142" s="223">
        <v>0</v>
      </c>
      <c r="X142" s="223">
        <v>0</v>
      </c>
      <c r="Y142" s="223">
        <f t="shared" si="133"/>
        <v>0</v>
      </c>
      <c r="Z142" s="223">
        <f t="shared" si="134"/>
        <v>0</v>
      </c>
      <c r="AA142" s="294"/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223">
        <f t="shared" si="135"/>
        <v>0</v>
      </c>
      <c r="AI142" s="398">
        <f t="shared" si="136"/>
        <v>0</v>
      </c>
      <c r="AJ142" s="294"/>
      <c r="AK142" s="398">
        <v>0</v>
      </c>
      <c r="AL142" s="398">
        <v>0</v>
      </c>
      <c r="AM142" s="398">
        <v>0</v>
      </c>
      <c r="AN142" s="294"/>
      <c r="AO142" s="398">
        <f t="shared" si="137"/>
        <v>0</v>
      </c>
      <c r="AP142" s="398">
        <f t="shared" si="138"/>
        <v>0</v>
      </c>
      <c r="AQ142" s="398">
        <f t="shared" si="139"/>
        <v>0</v>
      </c>
      <c r="AR142" s="293"/>
      <c r="AS142" s="293">
        <v>0</v>
      </c>
      <c r="AT142" s="576">
        <f t="shared" si="140"/>
        <v>0</v>
      </c>
      <c r="AU142" s="293"/>
      <c r="AV142" s="293">
        <v>0</v>
      </c>
      <c r="AW142" s="293">
        <v>0</v>
      </c>
      <c r="AX142" s="293">
        <v>0</v>
      </c>
      <c r="AY142" s="293">
        <v>0</v>
      </c>
      <c r="AZ142" s="293">
        <v>0</v>
      </c>
      <c r="BA142" s="293">
        <v>0</v>
      </c>
      <c r="BB142" s="293">
        <v>0</v>
      </c>
      <c r="BC142" s="293">
        <f t="shared" si="141"/>
        <v>0</v>
      </c>
      <c r="BE142" s="58">
        <f t="shared" si="142"/>
        <v>0</v>
      </c>
      <c r="BF142" s="58">
        <f t="shared" si="143"/>
        <v>0</v>
      </c>
      <c r="BG142" s="58">
        <f t="shared" si="144"/>
        <v>0</v>
      </c>
      <c r="BH142" s="58">
        <f t="shared" si="145"/>
        <v>0</v>
      </c>
      <c r="BI142" s="58">
        <f t="shared" si="146"/>
        <v>0</v>
      </c>
      <c r="BJ142" s="58">
        <f t="shared" si="147"/>
        <v>0</v>
      </c>
      <c r="BK142" s="58">
        <f t="shared" si="148"/>
        <v>0</v>
      </c>
      <c r="BL142" s="58">
        <f t="shared" si="149"/>
        <v>0</v>
      </c>
      <c r="BM142" s="33">
        <f t="shared" si="150"/>
        <v>0</v>
      </c>
      <c r="BN142" s="33"/>
      <c r="BO142" s="293">
        <f t="shared" si="122"/>
        <v>0</v>
      </c>
      <c r="BP142" s="293">
        <f t="shared" si="123"/>
        <v>0</v>
      </c>
      <c r="BQ142" s="293">
        <f t="shared" si="124"/>
        <v>0</v>
      </c>
      <c r="BR142" s="293">
        <f t="shared" si="125"/>
        <v>0</v>
      </c>
      <c r="BS142" s="293">
        <f t="shared" si="126"/>
        <v>0</v>
      </c>
      <c r="BT142" s="293">
        <f t="shared" si="127"/>
        <v>0</v>
      </c>
      <c r="BU142" s="293">
        <f t="shared" si="128"/>
        <v>0</v>
      </c>
      <c r="BV142" s="293">
        <f t="shared" si="129"/>
        <v>0</v>
      </c>
      <c r="BW142" s="293">
        <f t="shared" si="130"/>
        <v>0</v>
      </c>
      <c r="BX142" s="293">
        <v>0</v>
      </c>
      <c r="BY142" s="293">
        <v>0</v>
      </c>
      <c r="BZ142" s="293">
        <v>0</v>
      </c>
      <c r="CA142" s="293">
        <v>0</v>
      </c>
      <c r="CB142" s="293">
        <v>0</v>
      </c>
      <c r="CC142" s="293">
        <v>0</v>
      </c>
      <c r="CD142" s="293">
        <v>0</v>
      </c>
      <c r="CE142" s="293">
        <f t="shared" si="151"/>
        <v>0</v>
      </c>
      <c r="CF142" s="293"/>
      <c r="CG142" s="293">
        <v>0</v>
      </c>
      <c r="CH142" s="293">
        <v>0</v>
      </c>
      <c r="CI142" s="293">
        <v>0</v>
      </c>
      <c r="CJ142" s="293">
        <v>0</v>
      </c>
      <c r="CK142" s="293">
        <v>0</v>
      </c>
      <c r="CL142" s="293">
        <v>0</v>
      </c>
      <c r="CM142" s="293">
        <v>0</v>
      </c>
      <c r="CN142" s="293">
        <f t="shared" si="152"/>
        <v>0</v>
      </c>
      <c r="CO142" s="293"/>
      <c r="CP142" s="58">
        <f t="shared" si="153"/>
        <v>0</v>
      </c>
      <c r="CQ142" s="223">
        <f t="shared" si="154"/>
        <v>0</v>
      </c>
      <c r="CR142" s="223">
        <f t="shared" si="155"/>
        <v>0</v>
      </c>
      <c r="CS142" s="223">
        <f t="shared" si="156"/>
        <v>0</v>
      </c>
      <c r="CT142" s="223">
        <f t="shared" si="157"/>
        <v>0</v>
      </c>
      <c r="CU142" s="223">
        <f t="shared" si="158"/>
        <v>0</v>
      </c>
      <c r="CV142" s="223">
        <f t="shared" si="159"/>
        <v>0</v>
      </c>
      <c r="CW142" s="223">
        <f t="shared" si="160"/>
        <v>0</v>
      </c>
      <c r="CX142" s="223">
        <f t="shared" si="161"/>
        <v>0</v>
      </c>
      <c r="CY142" s="58">
        <f t="shared" si="162"/>
        <v>0</v>
      </c>
      <c r="CZ142" s="399">
        <f t="shared" si="163"/>
        <v>0</v>
      </c>
      <c r="DA142" s="399">
        <f t="shared" si="164"/>
        <v>0</v>
      </c>
      <c r="DB142" s="399">
        <f t="shared" si="165"/>
        <v>0</v>
      </c>
      <c r="DC142" s="399">
        <f t="shared" si="166"/>
        <v>0</v>
      </c>
      <c r="DD142" s="399">
        <f t="shared" si="167"/>
        <v>0</v>
      </c>
      <c r="DE142" s="399">
        <f t="shared" si="168"/>
        <v>0</v>
      </c>
      <c r="DF142" s="399">
        <f t="shared" si="169"/>
        <v>0</v>
      </c>
      <c r="DG142" s="399">
        <f t="shared" si="170"/>
        <v>0</v>
      </c>
      <c r="DI142" s="399"/>
      <c r="DJ142" s="399"/>
      <c r="DK142" s="399"/>
      <c r="DL142" s="399"/>
      <c r="DM142" s="399"/>
      <c r="DN142" s="399"/>
      <c r="DO142" s="399"/>
      <c r="DP142" s="399"/>
      <c r="DQ142" s="399"/>
      <c r="DS142" s="399"/>
      <c r="DT142" s="399"/>
      <c r="DU142" s="399"/>
      <c r="DV142" s="399"/>
      <c r="DW142" s="399"/>
      <c r="DX142" s="399"/>
      <c r="DY142" s="399"/>
      <c r="DZ142" s="399"/>
      <c r="EB142" s="228">
        <f t="shared" si="171"/>
        <v>0</v>
      </c>
      <c r="EC142" s="228">
        <f t="shared" si="172"/>
        <v>0</v>
      </c>
      <c r="ED142" s="214">
        <f t="shared" si="173"/>
        <v>0</v>
      </c>
    </row>
    <row r="143" spans="1:134" hidden="1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3" t="str">
        <f>VLOOKUP(A143,'Summary Mar 2026'!$A$8:$F$207,6,FALSE)</f>
        <v>Chq Bk</v>
      </c>
      <c r="G143" s="33"/>
      <c r="H143" s="223">
        <v>0</v>
      </c>
      <c r="I143" s="294"/>
      <c r="J143" s="223">
        <v>0</v>
      </c>
      <c r="K143" s="223">
        <v>0</v>
      </c>
      <c r="L143" s="223">
        <v>0</v>
      </c>
      <c r="M143" s="223">
        <v>0</v>
      </c>
      <c r="N143" s="223">
        <v>0</v>
      </c>
      <c r="O143" s="223">
        <v>0</v>
      </c>
      <c r="P143" s="33">
        <f t="shared" si="131"/>
        <v>0</v>
      </c>
      <c r="Q143" s="223">
        <f t="shared" si="132"/>
        <v>0</v>
      </c>
      <c r="R143" s="294"/>
      <c r="S143" s="223">
        <v>0</v>
      </c>
      <c r="T143" s="223">
        <v>0</v>
      </c>
      <c r="U143" s="223">
        <v>0</v>
      </c>
      <c r="V143" s="223">
        <v>0</v>
      </c>
      <c r="W143" s="223">
        <v>0</v>
      </c>
      <c r="X143" s="223">
        <v>0</v>
      </c>
      <c r="Y143" s="223">
        <f t="shared" si="133"/>
        <v>0</v>
      </c>
      <c r="Z143" s="223">
        <f t="shared" si="134"/>
        <v>0</v>
      </c>
      <c r="AA143" s="294"/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223">
        <f t="shared" si="135"/>
        <v>0</v>
      </c>
      <c r="AI143" s="398">
        <f t="shared" si="136"/>
        <v>0</v>
      </c>
      <c r="AJ143" s="294"/>
      <c r="AK143" s="398">
        <v>0</v>
      </c>
      <c r="AL143" s="398">
        <v>0</v>
      </c>
      <c r="AM143" s="398">
        <v>0</v>
      </c>
      <c r="AN143" s="294"/>
      <c r="AO143" s="398">
        <f t="shared" si="137"/>
        <v>0</v>
      </c>
      <c r="AP143" s="398">
        <f t="shared" si="138"/>
        <v>0</v>
      </c>
      <c r="AQ143" s="398">
        <f t="shared" si="139"/>
        <v>0</v>
      </c>
      <c r="AR143" s="293"/>
      <c r="AS143" s="293">
        <v>0</v>
      </c>
      <c r="AT143" s="576">
        <f t="shared" si="140"/>
        <v>0</v>
      </c>
      <c r="AU143" s="293"/>
      <c r="AV143" s="293">
        <v>0</v>
      </c>
      <c r="AW143" s="293">
        <v>0</v>
      </c>
      <c r="AX143" s="293">
        <v>0</v>
      </c>
      <c r="AY143" s="293">
        <v>0</v>
      </c>
      <c r="AZ143" s="293">
        <v>0</v>
      </c>
      <c r="BA143" s="293">
        <v>0</v>
      </c>
      <c r="BB143" s="293">
        <v>0</v>
      </c>
      <c r="BC143" s="293">
        <f t="shared" si="141"/>
        <v>0</v>
      </c>
      <c r="BE143" s="58">
        <f t="shared" si="142"/>
        <v>0</v>
      </c>
      <c r="BF143" s="58">
        <f t="shared" si="143"/>
        <v>0</v>
      </c>
      <c r="BG143" s="58">
        <f t="shared" si="144"/>
        <v>0</v>
      </c>
      <c r="BH143" s="58">
        <f t="shared" si="145"/>
        <v>0</v>
      </c>
      <c r="BI143" s="58">
        <f t="shared" si="146"/>
        <v>0</v>
      </c>
      <c r="BJ143" s="58">
        <f t="shared" si="147"/>
        <v>0</v>
      </c>
      <c r="BK143" s="58">
        <f t="shared" si="148"/>
        <v>0</v>
      </c>
      <c r="BL143" s="58">
        <f t="shared" si="149"/>
        <v>0</v>
      </c>
      <c r="BM143" s="33">
        <f t="shared" si="150"/>
        <v>0</v>
      </c>
      <c r="BN143" s="33"/>
      <c r="BO143" s="293">
        <f t="shared" si="122"/>
        <v>0</v>
      </c>
      <c r="BP143" s="293">
        <f t="shared" si="123"/>
        <v>0</v>
      </c>
      <c r="BQ143" s="293">
        <f t="shared" si="124"/>
        <v>0</v>
      </c>
      <c r="BR143" s="293">
        <f t="shared" si="125"/>
        <v>0</v>
      </c>
      <c r="BS143" s="293">
        <f t="shared" si="126"/>
        <v>0</v>
      </c>
      <c r="BT143" s="293">
        <f t="shared" si="127"/>
        <v>0</v>
      </c>
      <c r="BU143" s="293">
        <f t="shared" si="128"/>
        <v>0</v>
      </c>
      <c r="BV143" s="293">
        <f t="shared" si="129"/>
        <v>0</v>
      </c>
      <c r="BW143" s="293">
        <f t="shared" si="130"/>
        <v>0</v>
      </c>
      <c r="BX143" s="293">
        <v>0</v>
      </c>
      <c r="BY143" s="293">
        <v>0</v>
      </c>
      <c r="BZ143" s="293">
        <v>0</v>
      </c>
      <c r="CA143" s="293">
        <v>0</v>
      </c>
      <c r="CB143" s="293">
        <v>0</v>
      </c>
      <c r="CC143" s="293">
        <v>0</v>
      </c>
      <c r="CD143" s="293">
        <v>0</v>
      </c>
      <c r="CE143" s="293">
        <f t="shared" si="151"/>
        <v>0</v>
      </c>
      <c r="CF143" s="293"/>
      <c r="CG143" s="293">
        <v>0</v>
      </c>
      <c r="CH143" s="293">
        <v>0</v>
      </c>
      <c r="CI143" s="293">
        <v>0</v>
      </c>
      <c r="CJ143" s="293">
        <v>0</v>
      </c>
      <c r="CK143" s="293">
        <v>0</v>
      </c>
      <c r="CL143" s="293">
        <v>0</v>
      </c>
      <c r="CM143" s="293">
        <v>0</v>
      </c>
      <c r="CN143" s="293">
        <f t="shared" si="152"/>
        <v>0</v>
      </c>
      <c r="CO143" s="293"/>
      <c r="CP143" s="58">
        <f t="shared" si="153"/>
        <v>0</v>
      </c>
      <c r="CQ143" s="223">
        <f t="shared" si="154"/>
        <v>0</v>
      </c>
      <c r="CR143" s="223">
        <f t="shared" si="155"/>
        <v>0</v>
      </c>
      <c r="CS143" s="223">
        <f t="shared" si="156"/>
        <v>0</v>
      </c>
      <c r="CT143" s="223">
        <f t="shared" si="157"/>
        <v>0</v>
      </c>
      <c r="CU143" s="223">
        <f t="shared" si="158"/>
        <v>0</v>
      </c>
      <c r="CV143" s="223">
        <f t="shared" si="159"/>
        <v>0</v>
      </c>
      <c r="CW143" s="223">
        <f t="shared" si="160"/>
        <v>0</v>
      </c>
      <c r="CX143" s="223">
        <f t="shared" si="161"/>
        <v>0</v>
      </c>
      <c r="CY143" s="58">
        <f t="shared" si="162"/>
        <v>0</v>
      </c>
      <c r="CZ143" s="399">
        <f t="shared" si="163"/>
        <v>0</v>
      </c>
      <c r="DA143" s="399">
        <f t="shared" si="164"/>
        <v>0</v>
      </c>
      <c r="DB143" s="399">
        <f t="shared" si="165"/>
        <v>0</v>
      </c>
      <c r="DC143" s="399">
        <f t="shared" si="166"/>
        <v>0</v>
      </c>
      <c r="DD143" s="399">
        <f t="shared" si="167"/>
        <v>0</v>
      </c>
      <c r="DE143" s="399">
        <f t="shared" si="168"/>
        <v>0</v>
      </c>
      <c r="DF143" s="399">
        <f t="shared" si="169"/>
        <v>0</v>
      </c>
      <c r="DG143" s="399">
        <f t="shared" si="170"/>
        <v>0</v>
      </c>
      <c r="DI143" s="399"/>
      <c r="DJ143" s="399"/>
      <c r="DK143" s="399"/>
      <c r="DL143" s="399"/>
      <c r="DM143" s="399"/>
      <c r="DN143" s="399"/>
      <c r="DO143" s="399"/>
      <c r="DP143" s="399"/>
      <c r="DQ143" s="399"/>
      <c r="DS143" s="399"/>
      <c r="DT143" s="399"/>
      <c r="DU143" s="399"/>
      <c r="DV143" s="399"/>
      <c r="DW143" s="399"/>
      <c r="DX143" s="399"/>
      <c r="DY143" s="399"/>
      <c r="DZ143" s="399"/>
      <c r="EB143" s="228">
        <f t="shared" si="171"/>
        <v>0</v>
      </c>
      <c r="EC143" s="228">
        <f t="shared" si="172"/>
        <v>0</v>
      </c>
      <c r="ED143" s="214">
        <f t="shared" si="173"/>
        <v>0</v>
      </c>
    </row>
    <row r="144" spans="1:134" hidden="1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3" t="str">
        <f>VLOOKUP(A144,'Summary Mar 2026'!$A$8:$F$207,6,FALSE)</f>
        <v>Chq Bk</v>
      </c>
      <c r="G144" s="33"/>
      <c r="H144" s="223">
        <v>0</v>
      </c>
      <c r="I144" s="294"/>
      <c r="J144" s="223">
        <v>0</v>
      </c>
      <c r="K144" s="223">
        <v>0</v>
      </c>
      <c r="L144" s="223">
        <v>0</v>
      </c>
      <c r="M144" s="223">
        <v>0</v>
      </c>
      <c r="N144" s="223">
        <v>0</v>
      </c>
      <c r="O144" s="223">
        <v>0</v>
      </c>
      <c r="P144" s="33">
        <f t="shared" si="131"/>
        <v>0</v>
      </c>
      <c r="Q144" s="223">
        <f t="shared" si="132"/>
        <v>0</v>
      </c>
      <c r="R144" s="294"/>
      <c r="S144" s="223">
        <v>0</v>
      </c>
      <c r="T144" s="223">
        <v>0</v>
      </c>
      <c r="U144" s="223">
        <v>0</v>
      </c>
      <c r="V144" s="223">
        <v>0</v>
      </c>
      <c r="W144" s="223">
        <v>0</v>
      </c>
      <c r="X144" s="223">
        <v>0</v>
      </c>
      <c r="Y144" s="223">
        <f t="shared" si="133"/>
        <v>0</v>
      </c>
      <c r="Z144" s="223">
        <f t="shared" si="134"/>
        <v>0</v>
      </c>
      <c r="AA144" s="294"/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223">
        <f t="shared" si="135"/>
        <v>0</v>
      </c>
      <c r="AI144" s="398">
        <f t="shared" si="136"/>
        <v>0</v>
      </c>
      <c r="AJ144" s="294"/>
      <c r="AK144" s="398">
        <v>0</v>
      </c>
      <c r="AL144" s="398">
        <v>0</v>
      </c>
      <c r="AM144" s="398">
        <v>0</v>
      </c>
      <c r="AN144" s="294"/>
      <c r="AO144" s="398">
        <f t="shared" si="137"/>
        <v>0</v>
      </c>
      <c r="AP144" s="398">
        <f t="shared" si="138"/>
        <v>0</v>
      </c>
      <c r="AQ144" s="398">
        <f t="shared" si="139"/>
        <v>0</v>
      </c>
      <c r="AR144" s="293"/>
      <c r="AS144" s="293">
        <v>0</v>
      </c>
      <c r="AT144" s="576">
        <f t="shared" si="140"/>
        <v>0</v>
      </c>
      <c r="AU144" s="293"/>
      <c r="AV144" s="293">
        <v>0</v>
      </c>
      <c r="AW144" s="293">
        <v>0</v>
      </c>
      <c r="AX144" s="293">
        <v>0</v>
      </c>
      <c r="AY144" s="293">
        <v>0</v>
      </c>
      <c r="AZ144" s="293">
        <v>0</v>
      </c>
      <c r="BA144" s="293">
        <v>0</v>
      </c>
      <c r="BB144" s="293">
        <v>0</v>
      </c>
      <c r="BC144" s="293">
        <f t="shared" si="141"/>
        <v>0</v>
      </c>
      <c r="BE144" s="58">
        <f t="shared" si="142"/>
        <v>0</v>
      </c>
      <c r="BF144" s="58">
        <f t="shared" si="143"/>
        <v>0</v>
      </c>
      <c r="BG144" s="58">
        <f t="shared" si="144"/>
        <v>0</v>
      </c>
      <c r="BH144" s="58">
        <f t="shared" si="145"/>
        <v>0</v>
      </c>
      <c r="BI144" s="58">
        <f t="shared" si="146"/>
        <v>0</v>
      </c>
      <c r="BJ144" s="58">
        <f t="shared" si="147"/>
        <v>0</v>
      </c>
      <c r="BK144" s="58">
        <f t="shared" si="148"/>
        <v>0</v>
      </c>
      <c r="BL144" s="58">
        <f t="shared" si="149"/>
        <v>0</v>
      </c>
      <c r="BM144" s="33">
        <f t="shared" si="150"/>
        <v>0</v>
      </c>
      <c r="BN144" s="33"/>
      <c r="BO144" s="293">
        <f t="shared" si="122"/>
        <v>0</v>
      </c>
      <c r="BP144" s="293">
        <f t="shared" si="123"/>
        <v>0</v>
      </c>
      <c r="BQ144" s="293">
        <f t="shared" si="124"/>
        <v>0</v>
      </c>
      <c r="BR144" s="293">
        <f t="shared" si="125"/>
        <v>0</v>
      </c>
      <c r="BS144" s="293">
        <f t="shared" si="126"/>
        <v>0</v>
      </c>
      <c r="BT144" s="293">
        <f t="shared" si="127"/>
        <v>0</v>
      </c>
      <c r="BU144" s="293">
        <f t="shared" si="128"/>
        <v>0</v>
      </c>
      <c r="BV144" s="293">
        <f t="shared" si="129"/>
        <v>0</v>
      </c>
      <c r="BW144" s="293">
        <f t="shared" si="130"/>
        <v>0</v>
      </c>
      <c r="BX144" s="293"/>
      <c r="BY144" s="293"/>
      <c r="BZ144" s="293"/>
      <c r="CA144" s="293"/>
      <c r="CB144" s="293"/>
      <c r="CC144" s="293"/>
      <c r="CD144" s="293"/>
      <c r="CE144" s="293"/>
      <c r="CF144" s="293"/>
      <c r="CG144" s="293"/>
      <c r="CH144" s="293"/>
      <c r="CI144" s="293"/>
      <c r="CJ144" s="293"/>
      <c r="CK144" s="293"/>
      <c r="CL144" s="293"/>
      <c r="CM144" s="293"/>
      <c r="CN144" s="293"/>
      <c r="CO144" s="293"/>
      <c r="CP144" s="58">
        <f t="shared" si="153"/>
        <v>0</v>
      </c>
      <c r="CQ144" s="223">
        <f t="shared" si="154"/>
        <v>0</v>
      </c>
      <c r="CR144" s="223">
        <f t="shared" si="155"/>
        <v>0</v>
      </c>
      <c r="CS144" s="223">
        <f t="shared" si="156"/>
        <v>0</v>
      </c>
      <c r="CT144" s="223">
        <f t="shared" si="157"/>
        <v>0</v>
      </c>
      <c r="CU144" s="223">
        <f t="shared" si="158"/>
        <v>0</v>
      </c>
      <c r="CV144" s="223">
        <f t="shared" si="159"/>
        <v>0</v>
      </c>
      <c r="CW144" s="223">
        <f t="shared" si="160"/>
        <v>0</v>
      </c>
      <c r="CX144" s="223">
        <f t="shared" si="161"/>
        <v>0</v>
      </c>
      <c r="CY144" s="58">
        <f t="shared" si="162"/>
        <v>0</v>
      </c>
      <c r="CZ144" s="399">
        <f t="shared" si="163"/>
        <v>0</v>
      </c>
      <c r="DA144" s="399">
        <f t="shared" si="164"/>
        <v>0</v>
      </c>
      <c r="DB144" s="399">
        <f t="shared" si="165"/>
        <v>0</v>
      </c>
      <c r="DC144" s="399">
        <f t="shared" si="166"/>
        <v>0</v>
      </c>
      <c r="DD144" s="399">
        <f t="shared" si="167"/>
        <v>0</v>
      </c>
      <c r="DE144" s="399">
        <f t="shared" si="168"/>
        <v>0</v>
      </c>
      <c r="DF144" s="399">
        <f t="shared" si="169"/>
        <v>0</v>
      </c>
      <c r="DG144" s="399">
        <f t="shared" si="170"/>
        <v>0</v>
      </c>
      <c r="DI144" s="399"/>
      <c r="DJ144" s="399"/>
      <c r="DK144" s="399"/>
      <c r="DL144" s="399"/>
      <c r="DM144" s="399"/>
      <c r="DN144" s="399"/>
      <c r="DO144" s="399"/>
      <c r="DP144" s="399"/>
      <c r="DQ144" s="399"/>
      <c r="DS144" s="399"/>
      <c r="DT144" s="399"/>
      <c r="DU144" s="399"/>
      <c r="DV144" s="399"/>
      <c r="DW144" s="399"/>
      <c r="DX144" s="399"/>
      <c r="DY144" s="399"/>
      <c r="DZ144" s="399"/>
      <c r="EB144" s="228">
        <f t="shared" si="171"/>
        <v>0</v>
      </c>
      <c r="EC144" s="228">
        <f t="shared" si="172"/>
        <v>0</v>
      </c>
      <c r="ED144" s="214">
        <f t="shared" si="173"/>
        <v>0</v>
      </c>
    </row>
    <row r="145" spans="1:134" s="378" customFormat="1" hidden="1">
      <c r="A145" s="777">
        <v>3323</v>
      </c>
      <c r="B145" s="446">
        <v>103427</v>
      </c>
      <c r="C145" s="446" t="s">
        <v>306</v>
      </c>
      <c r="D145" s="446" t="s">
        <v>307</v>
      </c>
      <c r="E145" s="372" t="s">
        <v>32</v>
      </c>
      <c r="F145" s="812" t="str">
        <f>VLOOKUP(A145,'Summary Mar 2026'!$A$8:$F$207,6,FALSE)</f>
        <v>Academy</v>
      </c>
      <c r="G145" s="813"/>
      <c r="H145" s="814">
        <v>0</v>
      </c>
      <c r="I145" s="814"/>
      <c r="J145" s="814">
        <v>0</v>
      </c>
      <c r="K145" s="814">
        <v>0</v>
      </c>
      <c r="L145" s="814">
        <v>20970.3</v>
      </c>
      <c r="M145" s="814">
        <v>1170</v>
      </c>
      <c r="N145" s="814">
        <v>0</v>
      </c>
      <c r="O145" s="814">
        <v>0</v>
      </c>
      <c r="P145" s="813">
        <f t="shared" si="131"/>
        <v>22140.3</v>
      </c>
      <c r="Q145" s="814">
        <f t="shared" si="132"/>
        <v>17712.240000000002</v>
      </c>
      <c r="R145" s="814"/>
      <c r="S145" s="814"/>
      <c r="T145" s="814"/>
      <c r="U145" s="814"/>
      <c r="V145" s="814"/>
      <c r="W145" s="814"/>
      <c r="X145" s="814"/>
      <c r="Y145" s="814"/>
      <c r="Z145" s="814"/>
      <c r="AA145" s="814"/>
      <c r="AB145" s="815"/>
      <c r="AC145" s="815"/>
      <c r="AD145" s="815"/>
      <c r="AE145" s="815"/>
      <c r="AF145" s="815"/>
      <c r="AG145" s="815"/>
      <c r="AH145" s="814"/>
      <c r="AI145" s="815"/>
      <c r="AJ145" s="814"/>
      <c r="AK145" s="815">
        <v>1530.7499999999998</v>
      </c>
      <c r="AL145" s="815"/>
      <c r="AM145" s="815"/>
      <c r="AN145" s="814"/>
      <c r="AO145" s="815">
        <f t="shared" si="137"/>
        <v>1224.5999999999999</v>
      </c>
      <c r="AP145" s="815">
        <f t="shared" si="138"/>
        <v>0</v>
      </c>
      <c r="AQ145" s="815">
        <f t="shared" si="139"/>
        <v>0</v>
      </c>
      <c r="AR145" s="816"/>
      <c r="AS145" s="816">
        <v>0</v>
      </c>
      <c r="AT145" s="817">
        <f t="shared" si="140"/>
        <v>0</v>
      </c>
      <c r="AU145" s="816"/>
      <c r="AV145" s="816">
        <v>0</v>
      </c>
      <c r="AW145" s="816">
        <v>0</v>
      </c>
      <c r="AX145" s="816">
        <v>17659.2</v>
      </c>
      <c r="AY145" s="816">
        <v>1365</v>
      </c>
      <c r="AZ145" s="816">
        <v>0</v>
      </c>
      <c r="BA145" s="816">
        <v>0</v>
      </c>
      <c r="BB145" s="816">
        <v>760.49999999999989</v>
      </c>
      <c r="BC145" s="816">
        <f t="shared" si="141"/>
        <v>19784.7</v>
      </c>
      <c r="BE145" s="824">
        <f t="shared" si="142"/>
        <v>0</v>
      </c>
      <c r="BF145" s="824">
        <f t="shared" si="143"/>
        <v>0</v>
      </c>
      <c r="BG145" s="824">
        <f t="shared" si="144"/>
        <v>-3311.0999999999985</v>
      </c>
      <c r="BH145" s="824">
        <f t="shared" si="145"/>
        <v>195</v>
      </c>
      <c r="BI145" s="824">
        <f t="shared" si="146"/>
        <v>0</v>
      </c>
      <c r="BJ145" s="824">
        <f t="shared" si="147"/>
        <v>0</v>
      </c>
      <c r="BK145" s="824">
        <f t="shared" si="148"/>
        <v>-770.24999999999989</v>
      </c>
      <c r="BL145" s="824">
        <f t="shared" si="149"/>
        <v>-3886.3499999999985</v>
      </c>
      <c r="BM145" s="813">
        <f t="shared" si="150"/>
        <v>0</v>
      </c>
      <c r="BN145" s="813"/>
      <c r="BO145" s="816">
        <f t="shared" si="122"/>
        <v>0</v>
      </c>
      <c r="BP145" s="816">
        <f t="shared" si="123"/>
        <v>0</v>
      </c>
      <c r="BQ145" s="816">
        <f t="shared" si="124"/>
        <v>882.95999999999913</v>
      </c>
      <c r="BR145" s="816">
        <f t="shared" si="125"/>
        <v>429</v>
      </c>
      <c r="BS145" s="816">
        <f t="shared" si="126"/>
        <v>0</v>
      </c>
      <c r="BT145" s="816">
        <f t="shared" si="127"/>
        <v>0</v>
      </c>
      <c r="BU145" s="816">
        <f t="shared" si="128"/>
        <v>-464.1</v>
      </c>
      <c r="BV145" s="816">
        <f t="shared" si="129"/>
        <v>847.8599999999991</v>
      </c>
      <c r="BW145" s="816">
        <f t="shared" si="130"/>
        <v>0</v>
      </c>
      <c r="BX145" s="293"/>
      <c r="BY145" s="293"/>
      <c r="BZ145" s="293"/>
      <c r="CA145" s="293"/>
      <c r="CB145" s="293"/>
      <c r="CC145" s="293"/>
      <c r="CD145" s="293"/>
      <c r="CE145" s="293"/>
      <c r="CF145" s="293"/>
      <c r="CG145" s="293"/>
      <c r="CH145" s="293">
        <v>0</v>
      </c>
      <c r="CI145" s="293"/>
      <c r="CJ145" s="293"/>
      <c r="CK145" s="293"/>
      <c r="CL145" s="293"/>
      <c r="CM145" s="293"/>
      <c r="CN145" s="293"/>
      <c r="CO145" s="293"/>
      <c r="CP145" s="58"/>
      <c r="CQ145" s="223"/>
      <c r="CR145" s="223"/>
      <c r="CS145" s="223"/>
      <c r="CT145" s="223"/>
      <c r="CU145" s="223"/>
      <c r="CV145" s="223"/>
      <c r="CW145" s="223"/>
      <c r="CX145" s="223">
        <f t="shared" si="161"/>
        <v>0</v>
      </c>
      <c r="CY145" s="58">
        <f t="shared" si="162"/>
        <v>0</v>
      </c>
      <c r="CZ145" s="399">
        <f t="shared" si="163"/>
        <v>0</v>
      </c>
      <c r="DA145" s="399">
        <f t="shared" si="164"/>
        <v>0</v>
      </c>
      <c r="DB145" s="399">
        <f t="shared" si="165"/>
        <v>0</v>
      </c>
      <c r="DC145" s="399">
        <f t="shared" si="166"/>
        <v>0</v>
      </c>
      <c r="DD145" s="399">
        <f t="shared" si="167"/>
        <v>0</v>
      </c>
      <c r="DE145" s="399">
        <f t="shared" si="168"/>
        <v>0</v>
      </c>
      <c r="DF145" s="399">
        <f t="shared" si="169"/>
        <v>0</v>
      </c>
      <c r="DG145" s="399">
        <f t="shared" si="170"/>
        <v>0</v>
      </c>
      <c r="DH145"/>
      <c r="DI145" s="818"/>
      <c r="DJ145" s="818"/>
      <c r="DK145" s="818"/>
      <c r="DL145" s="818"/>
      <c r="DM145" s="818"/>
      <c r="DN145" s="818"/>
      <c r="DO145" s="818"/>
      <c r="DP145" s="818"/>
      <c r="DQ145" s="818"/>
      <c r="DS145" s="818"/>
      <c r="DT145" s="818"/>
      <c r="DU145" s="818"/>
      <c r="DV145" s="818"/>
      <c r="DW145" s="818"/>
      <c r="DX145" s="818"/>
      <c r="DY145" s="818"/>
      <c r="DZ145" s="818"/>
      <c r="EB145" s="228">
        <f t="shared" si="171"/>
        <v>19784.7</v>
      </c>
      <c r="EC145" s="228">
        <f t="shared" si="172"/>
        <v>0</v>
      </c>
      <c r="ED145" s="778">
        <f t="shared" si="173"/>
        <v>19784.7</v>
      </c>
    </row>
    <row r="146" spans="1:134" hidden="1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3" t="str">
        <f>VLOOKUP(A146,'Summary Mar 2026'!$A$8:$F$207,6,FALSE)</f>
        <v>Chq Bk</v>
      </c>
      <c r="G146" s="33"/>
      <c r="H146" s="223">
        <v>0</v>
      </c>
      <c r="I146" s="294"/>
      <c r="J146" s="223">
        <v>0</v>
      </c>
      <c r="K146" s="223">
        <v>0</v>
      </c>
      <c r="L146" s="223">
        <v>0</v>
      </c>
      <c r="M146" s="223">
        <v>0</v>
      </c>
      <c r="N146" s="223">
        <v>0</v>
      </c>
      <c r="O146" s="223">
        <v>0</v>
      </c>
      <c r="P146" s="33">
        <f t="shared" si="131"/>
        <v>0</v>
      </c>
      <c r="Q146" s="223">
        <f t="shared" si="132"/>
        <v>0</v>
      </c>
      <c r="R146" s="294"/>
      <c r="S146" s="223">
        <v>0</v>
      </c>
      <c r="T146" s="223">
        <v>0</v>
      </c>
      <c r="U146" s="223">
        <v>0</v>
      </c>
      <c r="V146" s="223">
        <v>0</v>
      </c>
      <c r="W146" s="223">
        <v>0</v>
      </c>
      <c r="X146" s="223">
        <v>0</v>
      </c>
      <c r="Y146" s="223">
        <f t="shared" si="133"/>
        <v>0</v>
      </c>
      <c r="Z146" s="223">
        <f t="shared" si="134"/>
        <v>0</v>
      </c>
      <c r="AA146" s="294"/>
      <c r="AB146" s="398"/>
      <c r="AC146" s="398"/>
      <c r="AD146" s="398"/>
      <c r="AE146" s="398"/>
      <c r="AF146" s="398"/>
      <c r="AG146" s="398"/>
      <c r="AH146" s="223"/>
      <c r="AI146" s="398"/>
      <c r="AJ146" s="294"/>
      <c r="AK146" s="398">
        <v>0</v>
      </c>
      <c r="AL146" s="398">
        <v>0</v>
      </c>
      <c r="AM146" s="398">
        <v>0</v>
      </c>
      <c r="AN146" s="294"/>
      <c r="AO146" s="398">
        <f t="shared" si="137"/>
        <v>0</v>
      </c>
      <c r="AP146" s="398">
        <f t="shared" si="138"/>
        <v>0</v>
      </c>
      <c r="AQ146" s="398">
        <f t="shared" si="139"/>
        <v>0</v>
      </c>
      <c r="AR146" s="293"/>
      <c r="AS146" s="293">
        <v>0</v>
      </c>
      <c r="AT146" s="576">
        <f t="shared" si="140"/>
        <v>0</v>
      </c>
      <c r="AU146" s="293"/>
      <c r="AV146" s="293">
        <v>0</v>
      </c>
      <c r="AW146" s="293">
        <v>0</v>
      </c>
      <c r="AX146" s="293">
        <v>0</v>
      </c>
      <c r="AY146" s="293">
        <v>0</v>
      </c>
      <c r="AZ146" s="293">
        <v>0</v>
      </c>
      <c r="BA146" s="293">
        <v>0</v>
      </c>
      <c r="BB146" s="293">
        <v>0</v>
      </c>
      <c r="BC146" s="293">
        <f t="shared" si="141"/>
        <v>0</v>
      </c>
      <c r="BE146" s="58">
        <f t="shared" si="142"/>
        <v>0</v>
      </c>
      <c r="BF146" s="58">
        <f t="shared" si="143"/>
        <v>0</v>
      </c>
      <c r="BG146" s="58">
        <f t="shared" si="144"/>
        <v>0</v>
      </c>
      <c r="BH146" s="58">
        <f t="shared" si="145"/>
        <v>0</v>
      </c>
      <c r="BI146" s="58">
        <f t="shared" si="146"/>
        <v>0</v>
      </c>
      <c r="BJ146" s="58">
        <f t="shared" si="147"/>
        <v>0</v>
      </c>
      <c r="BK146" s="58">
        <f t="shared" si="148"/>
        <v>0</v>
      </c>
      <c r="BL146" s="58">
        <f t="shared" si="149"/>
        <v>0</v>
      </c>
      <c r="BM146" s="33">
        <f t="shared" si="150"/>
        <v>0</v>
      </c>
      <c r="BN146" s="33"/>
      <c r="BO146" s="293">
        <f t="shared" si="122"/>
        <v>0</v>
      </c>
      <c r="BP146" s="293">
        <f t="shared" si="123"/>
        <v>0</v>
      </c>
      <c r="BQ146" s="293">
        <f t="shared" si="124"/>
        <v>0</v>
      </c>
      <c r="BR146" s="293">
        <f t="shared" si="125"/>
        <v>0</v>
      </c>
      <c r="BS146" s="293">
        <f t="shared" si="126"/>
        <v>0</v>
      </c>
      <c r="BT146" s="293">
        <f t="shared" si="127"/>
        <v>0</v>
      </c>
      <c r="BU146" s="293">
        <f t="shared" si="128"/>
        <v>0</v>
      </c>
      <c r="BV146" s="293">
        <f t="shared" si="129"/>
        <v>0</v>
      </c>
      <c r="BW146" s="293">
        <f t="shared" si="130"/>
        <v>0</v>
      </c>
      <c r="BX146" s="293"/>
      <c r="BY146" s="293"/>
      <c r="BZ146" s="293"/>
      <c r="CA146" s="293"/>
      <c r="CB146" s="293"/>
      <c r="CC146" s="293"/>
      <c r="CD146" s="293"/>
      <c r="CE146" s="293"/>
      <c r="CF146" s="293"/>
      <c r="CG146" s="293"/>
      <c r="CH146" s="293"/>
      <c r="CI146" s="293"/>
      <c r="CJ146" s="293"/>
      <c r="CK146" s="293"/>
      <c r="CL146" s="293"/>
      <c r="CM146" s="293"/>
      <c r="CN146" s="293"/>
      <c r="CO146" s="293"/>
      <c r="CP146" s="58">
        <f t="shared" si="153"/>
        <v>0</v>
      </c>
      <c r="CQ146" s="223">
        <f t="shared" si="154"/>
        <v>0</v>
      </c>
      <c r="CR146" s="223">
        <f t="shared" si="155"/>
        <v>0</v>
      </c>
      <c r="CS146" s="223">
        <f t="shared" si="156"/>
        <v>0</v>
      </c>
      <c r="CT146" s="223">
        <f t="shared" si="157"/>
        <v>0</v>
      </c>
      <c r="CU146" s="223">
        <f t="shared" si="158"/>
        <v>0</v>
      </c>
      <c r="CV146" s="223">
        <f t="shared" si="159"/>
        <v>0</v>
      </c>
      <c r="CW146" s="223">
        <f t="shared" si="160"/>
        <v>0</v>
      </c>
      <c r="CX146" s="223">
        <f t="shared" si="161"/>
        <v>0</v>
      </c>
      <c r="CY146" s="58">
        <f t="shared" si="162"/>
        <v>0</v>
      </c>
      <c r="CZ146" s="399">
        <f t="shared" si="163"/>
        <v>0</v>
      </c>
      <c r="DA146" s="399">
        <f t="shared" si="164"/>
        <v>0</v>
      </c>
      <c r="DB146" s="399">
        <f t="shared" si="165"/>
        <v>0</v>
      </c>
      <c r="DC146" s="399">
        <f t="shared" si="166"/>
        <v>0</v>
      </c>
      <c r="DD146" s="399">
        <f t="shared" si="167"/>
        <v>0</v>
      </c>
      <c r="DE146" s="399">
        <f t="shared" si="168"/>
        <v>0</v>
      </c>
      <c r="DF146" s="399">
        <f t="shared" si="169"/>
        <v>0</v>
      </c>
      <c r="DG146" s="399">
        <f t="shared" si="170"/>
        <v>0</v>
      </c>
      <c r="DI146" s="399"/>
      <c r="DJ146" s="399"/>
      <c r="DK146" s="399"/>
      <c r="DL146" s="399"/>
      <c r="DM146" s="399"/>
      <c r="DN146" s="399"/>
      <c r="DO146" s="399"/>
      <c r="DP146" s="399"/>
      <c r="DQ146" s="399"/>
      <c r="DS146" s="399"/>
      <c r="DT146" s="399"/>
      <c r="DU146" s="399"/>
      <c r="DV146" s="399"/>
      <c r="DW146" s="399"/>
      <c r="DX146" s="399"/>
      <c r="DY146" s="399"/>
      <c r="DZ146" s="399"/>
      <c r="EB146" s="228">
        <f t="shared" si="171"/>
        <v>0</v>
      </c>
      <c r="EC146" s="228">
        <f t="shared" si="172"/>
        <v>0</v>
      </c>
      <c r="ED146" s="214">
        <f t="shared" si="173"/>
        <v>0</v>
      </c>
    </row>
    <row r="147" spans="1:134" hidden="1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3" t="str">
        <f>VLOOKUP(A147,'Summary Mar 2026'!$A$8:$F$207,6,FALSE)</f>
        <v>Chq Bk</v>
      </c>
      <c r="G147" s="33"/>
      <c r="H147" s="223">
        <v>0</v>
      </c>
      <c r="I147" s="294"/>
      <c r="J147" s="223">
        <v>0</v>
      </c>
      <c r="K147" s="223">
        <v>0</v>
      </c>
      <c r="L147" s="223">
        <v>0</v>
      </c>
      <c r="M147" s="223">
        <v>0</v>
      </c>
      <c r="N147" s="223">
        <v>0</v>
      </c>
      <c r="O147" s="223">
        <v>0</v>
      </c>
      <c r="P147" s="33">
        <f t="shared" si="131"/>
        <v>0</v>
      </c>
      <c r="Q147" s="223">
        <f t="shared" si="132"/>
        <v>0</v>
      </c>
      <c r="R147" s="294"/>
      <c r="S147" s="223">
        <v>0</v>
      </c>
      <c r="T147" s="223">
        <v>0</v>
      </c>
      <c r="U147" s="223">
        <v>0</v>
      </c>
      <c r="V147" s="223">
        <v>0</v>
      </c>
      <c r="W147" s="223">
        <v>0</v>
      </c>
      <c r="X147" s="223">
        <v>0</v>
      </c>
      <c r="Y147" s="223">
        <f t="shared" si="133"/>
        <v>0</v>
      </c>
      <c r="Z147" s="223">
        <f t="shared" si="134"/>
        <v>0</v>
      </c>
      <c r="AA147" s="294"/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223">
        <f t="shared" si="135"/>
        <v>0</v>
      </c>
      <c r="AI147" s="398">
        <f t="shared" si="136"/>
        <v>0</v>
      </c>
      <c r="AJ147" s="294"/>
      <c r="AK147" s="398">
        <v>0</v>
      </c>
      <c r="AL147" s="398">
        <v>0</v>
      </c>
      <c r="AM147" s="398">
        <v>0</v>
      </c>
      <c r="AN147" s="294"/>
      <c r="AO147" s="398">
        <f t="shared" si="137"/>
        <v>0</v>
      </c>
      <c r="AP147" s="398">
        <f t="shared" si="138"/>
        <v>0</v>
      </c>
      <c r="AQ147" s="398">
        <f t="shared" si="139"/>
        <v>0</v>
      </c>
      <c r="AR147" s="293"/>
      <c r="AS147" s="293">
        <v>0</v>
      </c>
      <c r="AT147" s="576">
        <f t="shared" si="140"/>
        <v>0</v>
      </c>
      <c r="AU147" s="293"/>
      <c r="AV147" s="293">
        <v>0</v>
      </c>
      <c r="AW147" s="293">
        <v>0</v>
      </c>
      <c r="AX147" s="293">
        <v>0</v>
      </c>
      <c r="AY147" s="293">
        <v>0</v>
      </c>
      <c r="AZ147" s="293">
        <v>0</v>
      </c>
      <c r="BA147" s="293">
        <v>0</v>
      </c>
      <c r="BB147" s="293">
        <v>0</v>
      </c>
      <c r="BC147" s="293">
        <f t="shared" si="141"/>
        <v>0</v>
      </c>
      <c r="BE147" s="58">
        <f t="shared" si="142"/>
        <v>0</v>
      </c>
      <c r="BF147" s="58">
        <f t="shared" si="143"/>
        <v>0</v>
      </c>
      <c r="BG147" s="58">
        <f t="shared" si="144"/>
        <v>0</v>
      </c>
      <c r="BH147" s="58">
        <f t="shared" si="145"/>
        <v>0</v>
      </c>
      <c r="BI147" s="58">
        <f t="shared" si="146"/>
        <v>0</v>
      </c>
      <c r="BJ147" s="58">
        <f t="shared" si="147"/>
        <v>0</v>
      </c>
      <c r="BK147" s="58">
        <f t="shared" si="148"/>
        <v>0</v>
      </c>
      <c r="BL147" s="58">
        <f t="shared" si="149"/>
        <v>0</v>
      </c>
      <c r="BM147" s="33">
        <f t="shared" si="150"/>
        <v>0</v>
      </c>
      <c r="BN147" s="33"/>
      <c r="BO147" s="293">
        <f t="shared" si="122"/>
        <v>0</v>
      </c>
      <c r="BP147" s="293">
        <f t="shared" si="123"/>
        <v>0</v>
      </c>
      <c r="BQ147" s="293">
        <f t="shared" si="124"/>
        <v>0</v>
      </c>
      <c r="BR147" s="293">
        <f t="shared" si="125"/>
        <v>0</v>
      </c>
      <c r="BS147" s="293">
        <f t="shared" si="126"/>
        <v>0</v>
      </c>
      <c r="BT147" s="293">
        <f t="shared" si="127"/>
        <v>0</v>
      </c>
      <c r="BU147" s="293">
        <f t="shared" si="128"/>
        <v>0</v>
      </c>
      <c r="BV147" s="293">
        <f t="shared" si="129"/>
        <v>0</v>
      </c>
      <c r="BW147" s="293">
        <f t="shared" si="130"/>
        <v>0</v>
      </c>
      <c r="BX147" s="293">
        <v>0</v>
      </c>
      <c r="BY147" s="293">
        <v>0</v>
      </c>
      <c r="BZ147" s="293">
        <v>0</v>
      </c>
      <c r="CA147" s="293">
        <v>0</v>
      </c>
      <c r="CB147" s="293">
        <v>0</v>
      </c>
      <c r="CC147" s="293">
        <v>0</v>
      </c>
      <c r="CD147" s="293">
        <v>0</v>
      </c>
      <c r="CE147" s="293">
        <f t="shared" si="151"/>
        <v>0</v>
      </c>
      <c r="CF147" s="293"/>
      <c r="CG147" s="293">
        <v>0</v>
      </c>
      <c r="CH147" s="293">
        <v>0</v>
      </c>
      <c r="CI147" s="293">
        <v>0</v>
      </c>
      <c r="CJ147" s="293">
        <v>0</v>
      </c>
      <c r="CK147" s="293">
        <v>0</v>
      </c>
      <c r="CL147" s="293">
        <v>0</v>
      </c>
      <c r="CM147" s="293">
        <v>0</v>
      </c>
      <c r="CN147" s="293">
        <f t="shared" si="152"/>
        <v>0</v>
      </c>
      <c r="CO147" s="293"/>
      <c r="CP147" s="58">
        <f t="shared" si="153"/>
        <v>0</v>
      </c>
      <c r="CQ147" s="223">
        <f t="shared" si="154"/>
        <v>0</v>
      </c>
      <c r="CR147" s="223">
        <f t="shared" si="155"/>
        <v>0</v>
      </c>
      <c r="CS147" s="223">
        <f t="shared" si="156"/>
        <v>0</v>
      </c>
      <c r="CT147" s="223">
        <f t="shared" si="157"/>
        <v>0</v>
      </c>
      <c r="CU147" s="223">
        <f t="shared" si="158"/>
        <v>0</v>
      </c>
      <c r="CV147" s="223">
        <f t="shared" si="159"/>
        <v>0</v>
      </c>
      <c r="CW147" s="223">
        <f t="shared" si="160"/>
        <v>0</v>
      </c>
      <c r="CX147" s="223">
        <f t="shared" si="161"/>
        <v>0</v>
      </c>
      <c r="CY147" s="58">
        <f t="shared" si="162"/>
        <v>0</v>
      </c>
      <c r="CZ147" s="399">
        <f t="shared" si="163"/>
        <v>0</v>
      </c>
      <c r="DA147" s="399">
        <f t="shared" si="164"/>
        <v>0</v>
      </c>
      <c r="DB147" s="399">
        <f t="shared" si="165"/>
        <v>0</v>
      </c>
      <c r="DC147" s="399">
        <f t="shared" si="166"/>
        <v>0</v>
      </c>
      <c r="DD147" s="399">
        <f t="shared" si="167"/>
        <v>0</v>
      </c>
      <c r="DE147" s="399">
        <f t="shared" si="168"/>
        <v>0</v>
      </c>
      <c r="DF147" s="399">
        <f t="shared" si="169"/>
        <v>0</v>
      </c>
      <c r="DG147" s="399">
        <f t="shared" si="170"/>
        <v>0</v>
      </c>
      <c r="DI147" s="399"/>
      <c r="DJ147" s="399"/>
      <c r="DK147" s="399"/>
      <c r="DL147" s="399"/>
      <c r="DM147" s="399"/>
      <c r="DN147" s="399"/>
      <c r="DO147" s="399"/>
      <c r="DP147" s="399"/>
      <c r="DQ147" s="399"/>
      <c r="DS147" s="399"/>
      <c r="DT147" s="399"/>
      <c r="DU147" s="399"/>
      <c r="DV147" s="399"/>
      <c r="DW147" s="399"/>
      <c r="DX147" s="399"/>
      <c r="DY147" s="399"/>
      <c r="DZ147" s="399"/>
      <c r="EB147" s="228">
        <f t="shared" si="171"/>
        <v>0</v>
      </c>
      <c r="EC147" s="228">
        <f t="shared" si="172"/>
        <v>0</v>
      </c>
      <c r="ED147" s="214">
        <f t="shared" si="173"/>
        <v>0</v>
      </c>
    </row>
    <row r="148" spans="1:134" hidden="1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3" t="str">
        <f>VLOOKUP(A148,'Summary Mar 2026'!$A$8:$F$207,6,FALSE)</f>
        <v>Chq Bk</v>
      </c>
      <c r="G148" s="33"/>
      <c r="H148" s="223">
        <v>0</v>
      </c>
      <c r="I148" s="294"/>
      <c r="J148" s="223">
        <v>0</v>
      </c>
      <c r="K148" s="223">
        <v>0</v>
      </c>
      <c r="L148" s="223">
        <v>0</v>
      </c>
      <c r="M148" s="223">
        <v>0</v>
      </c>
      <c r="N148" s="223">
        <v>0</v>
      </c>
      <c r="O148" s="223">
        <v>0</v>
      </c>
      <c r="P148" s="33">
        <f t="shared" si="131"/>
        <v>0</v>
      </c>
      <c r="Q148" s="223">
        <f t="shared" si="132"/>
        <v>0</v>
      </c>
      <c r="R148" s="294"/>
      <c r="S148" s="223">
        <v>0</v>
      </c>
      <c r="T148" s="223">
        <v>0</v>
      </c>
      <c r="U148" s="223">
        <v>0</v>
      </c>
      <c r="V148" s="223">
        <v>0</v>
      </c>
      <c r="W148" s="223">
        <v>0</v>
      </c>
      <c r="X148" s="223">
        <v>0</v>
      </c>
      <c r="Y148" s="223">
        <f t="shared" si="133"/>
        <v>0</v>
      </c>
      <c r="Z148" s="223">
        <f t="shared" si="134"/>
        <v>0</v>
      </c>
      <c r="AA148" s="294"/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223">
        <f t="shared" si="135"/>
        <v>0</v>
      </c>
      <c r="AI148" s="398">
        <f t="shared" si="136"/>
        <v>0</v>
      </c>
      <c r="AJ148" s="294"/>
      <c r="AK148" s="398">
        <v>0</v>
      </c>
      <c r="AL148" s="398">
        <v>0</v>
      </c>
      <c r="AM148" s="398">
        <v>0</v>
      </c>
      <c r="AN148" s="294"/>
      <c r="AO148" s="398">
        <f t="shared" si="137"/>
        <v>0</v>
      </c>
      <c r="AP148" s="398">
        <f t="shared" si="138"/>
        <v>0</v>
      </c>
      <c r="AQ148" s="398">
        <f t="shared" si="139"/>
        <v>0</v>
      </c>
      <c r="AR148" s="293"/>
      <c r="AS148" s="293">
        <v>0</v>
      </c>
      <c r="AT148" s="576">
        <f t="shared" si="140"/>
        <v>0</v>
      </c>
      <c r="AU148" s="293"/>
      <c r="AV148" s="293">
        <v>0</v>
      </c>
      <c r="AW148" s="293">
        <v>0</v>
      </c>
      <c r="AX148" s="293">
        <v>0</v>
      </c>
      <c r="AY148" s="293">
        <v>0</v>
      </c>
      <c r="AZ148" s="293">
        <v>0</v>
      </c>
      <c r="BA148" s="293">
        <v>0</v>
      </c>
      <c r="BB148" s="293">
        <v>0</v>
      </c>
      <c r="BC148" s="293">
        <f t="shared" si="141"/>
        <v>0</v>
      </c>
      <c r="BE148" s="58">
        <f t="shared" si="142"/>
        <v>0</v>
      </c>
      <c r="BF148" s="58">
        <f t="shared" si="143"/>
        <v>0</v>
      </c>
      <c r="BG148" s="58">
        <f t="shared" si="144"/>
        <v>0</v>
      </c>
      <c r="BH148" s="58">
        <f t="shared" si="145"/>
        <v>0</v>
      </c>
      <c r="BI148" s="58">
        <f t="shared" si="146"/>
        <v>0</v>
      </c>
      <c r="BJ148" s="58">
        <f t="shared" si="147"/>
        <v>0</v>
      </c>
      <c r="BK148" s="58">
        <f t="shared" si="148"/>
        <v>0</v>
      </c>
      <c r="BL148" s="58">
        <f t="shared" si="149"/>
        <v>0</v>
      </c>
      <c r="BM148" s="33">
        <f t="shared" si="150"/>
        <v>0</v>
      </c>
      <c r="BN148" s="33"/>
      <c r="BO148" s="293">
        <f t="shared" si="122"/>
        <v>0</v>
      </c>
      <c r="BP148" s="293">
        <f t="shared" si="123"/>
        <v>0</v>
      </c>
      <c r="BQ148" s="293">
        <f t="shared" si="124"/>
        <v>0</v>
      </c>
      <c r="BR148" s="293">
        <f t="shared" si="125"/>
        <v>0</v>
      </c>
      <c r="BS148" s="293">
        <f t="shared" si="126"/>
        <v>0</v>
      </c>
      <c r="BT148" s="293">
        <f t="shared" si="127"/>
        <v>0</v>
      </c>
      <c r="BU148" s="293">
        <f t="shared" si="128"/>
        <v>0</v>
      </c>
      <c r="BV148" s="293">
        <f t="shared" si="129"/>
        <v>0</v>
      </c>
      <c r="BW148" s="293">
        <f t="shared" si="130"/>
        <v>0</v>
      </c>
      <c r="BX148" s="293"/>
      <c r="BY148" s="293"/>
      <c r="BZ148" s="293"/>
      <c r="CA148" s="293"/>
      <c r="CB148" s="293"/>
      <c r="CC148" s="293"/>
      <c r="CD148" s="293"/>
      <c r="CE148" s="293"/>
      <c r="CF148" s="293"/>
      <c r="CG148" s="293"/>
      <c r="CH148" s="293"/>
      <c r="CI148" s="293"/>
      <c r="CJ148" s="293"/>
      <c r="CK148" s="293"/>
      <c r="CL148" s="293"/>
      <c r="CM148" s="293"/>
      <c r="CN148" s="293"/>
      <c r="CO148" s="293"/>
      <c r="CP148" s="58">
        <f t="shared" si="153"/>
        <v>0</v>
      </c>
      <c r="CQ148" s="223">
        <f t="shared" si="154"/>
        <v>0</v>
      </c>
      <c r="CR148" s="223">
        <f t="shared" si="155"/>
        <v>0</v>
      </c>
      <c r="CS148" s="223">
        <f t="shared" si="156"/>
        <v>0</v>
      </c>
      <c r="CT148" s="223">
        <f t="shared" si="157"/>
        <v>0</v>
      </c>
      <c r="CU148" s="223">
        <f t="shared" si="158"/>
        <v>0</v>
      </c>
      <c r="CV148" s="223">
        <f t="shared" si="159"/>
        <v>0</v>
      </c>
      <c r="CW148" s="223">
        <f t="shared" si="160"/>
        <v>0</v>
      </c>
      <c r="CX148" s="223">
        <f t="shared" si="161"/>
        <v>0</v>
      </c>
      <c r="CY148" s="58">
        <f t="shared" si="162"/>
        <v>0</v>
      </c>
      <c r="CZ148" s="399">
        <f t="shared" si="163"/>
        <v>0</v>
      </c>
      <c r="DA148" s="399">
        <f t="shared" si="164"/>
        <v>0</v>
      </c>
      <c r="DB148" s="399">
        <f t="shared" si="165"/>
        <v>0</v>
      </c>
      <c r="DC148" s="399">
        <f t="shared" si="166"/>
        <v>0</v>
      </c>
      <c r="DD148" s="399">
        <f t="shared" si="167"/>
        <v>0</v>
      </c>
      <c r="DE148" s="399">
        <f t="shared" si="168"/>
        <v>0</v>
      </c>
      <c r="DF148" s="399">
        <f t="shared" si="169"/>
        <v>0</v>
      </c>
      <c r="DG148" s="399">
        <f t="shared" si="170"/>
        <v>0</v>
      </c>
      <c r="DI148" s="399"/>
      <c r="DJ148" s="399"/>
      <c r="DK148" s="399"/>
      <c r="DL148" s="399"/>
      <c r="DM148" s="399"/>
      <c r="DN148" s="399"/>
      <c r="DO148" s="399"/>
      <c r="DP148" s="399"/>
      <c r="DQ148" s="399"/>
      <c r="DS148" s="399"/>
      <c r="DT148" s="399"/>
      <c r="DU148" s="399"/>
      <c r="DV148" s="399"/>
      <c r="DW148" s="399"/>
      <c r="DX148" s="399"/>
      <c r="DY148" s="399"/>
      <c r="DZ148" s="399"/>
      <c r="EB148" s="228">
        <f t="shared" si="171"/>
        <v>0</v>
      </c>
      <c r="EC148" s="228">
        <f t="shared" si="172"/>
        <v>0</v>
      </c>
      <c r="ED148" s="214">
        <f t="shared" si="173"/>
        <v>0</v>
      </c>
    </row>
    <row r="149" spans="1:134" hidden="1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3" t="str">
        <f>VLOOKUP(A149,'Summary Mar 2026'!$A$8:$F$207,6,FALSE)</f>
        <v>Chq Bk</v>
      </c>
      <c r="G149" s="33"/>
      <c r="H149" s="223">
        <v>0</v>
      </c>
      <c r="I149" s="294"/>
      <c r="J149" s="223">
        <v>0</v>
      </c>
      <c r="K149" s="223">
        <v>0</v>
      </c>
      <c r="L149" s="223">
        <v>0</v>
      </c>
      <c r="M149" s="223">
        <v>0</v>
      </c>
      <c r="N149" s="223">
        <v>0</v>
      </c>
      <c r="O149" s="223">
        <v>0</v>
      </c>
      <c r="P149" s="33">
        <f t="shared" si="131"/>
        <v>0</v>
      </c>
      <c r="Q149" s="223">
        <f t="shared" si="132"/>
        <v>0</v>
      </c>
      <c r="R149" s="294"/>
      <c r="S149" s="223">
        <v>0</v>
      </c>
      <c r="T149" s="223">
        <v>0</v>
      </c>
      <c r="U149" s="223">
        <v>0</v>
      </c>
      <c r="V149" s="223">
        <v>0</v>
      </c>
      <c r="W149" s="223">
        <v>0</v>
      </c>
      <c r="X149" s="223">
        <v>0</v>
      </c>
      <c r="Y149" s="223">
        <f t="shared" si="133"/>
        <v>0</v>
      </c>
      <c r="Z149" s="223">
        <f t="shared" si="134"/>
        <v>0</v>
      </c>
      <c r="AA149" s="294"/>
      <c r="AB149" s="398"/>
      <c r="AC149" s="398"/>
      <c r="AD149" s="398"/>
      <c r="AE149" s="398"/>
      <c r="AF149" s="398"/>
      <c r="AG149" s="398"/>
      <c r="AH149" s="223"/>
      <c r="AI149" s="398"/>
      <c r="AJ149" s="294"/>
      <c r="AK149" s="398">
        <v>0</v>
      </c>
      <c r="AL149" s="398">
        <v>0</v>
      </c>
      <c r="AM149" s="398">
        <v>0</v>
      </c>
      <c r="AN149" s="294"/>
      <c r="AO149" s="398">
        <f t="shared" si="137"/>
        <v>0</v>
      </c>
      <c r="AP149" s="398">
        <f t="shared" si="138"/>
        <v>0</v>
      </c>
      <c r="AQ149" s="398">
        <f t="shared" si="139"/>
        <v>0</v>
      </c>
      <c r="AR149" s="293"/>
      <c r="AS149" s="293">
        <v>0</v>
      </c>
      <c r="AT149" s="576">
        <f t="shared" si="140"/>
        <v>0</v>
      </c>
      <c r="AU149" s="293"/>
      <c r="AV149" s="293">
        <v>0</v>
      </c>
      <c r="AW149" s="293">
        <v>0</v>
      </c>
      <c r="AX149" s="293">
        <v>0</v>
      </c>
      <c r="AY149" s="293">
        <v>0</v>
      </c>
      <c r="AZ149" s="293">
        <v>0</v>
      </c>
      <c r="BA149" s="293">
        <v>0</v>
      </c>
      <c r="BB149" s="293">
        <v>0</v>
      </c>
      <c r="BC149" s="293">
        <f t="shared" si="141"/>
        <v>0</v>
      </c>
      <c r="BE149" s="58">
        <f t="shared" si="142"/>
        <v>0</v>
      </c>
      <c r="BF149" s="58">
        <f t="shared" si="143"/>
        <v>0</v>
      </c>
      <c r="BG149" s="58">
        <f t="shared" si="144"/>
        <v>0</v>
      </c>
      <c r="BH149" s="58">
        <f t="shared" si="145"/>
        <v>0</v>
      </c>
      <c r="BI149" s="58">
        <f t="shared" si="146"/>
        <v>0</v>
      </c>
      <c r="BJ149" s="58">
        <f t="shared" si="147"/>
        <v>0</v>
      </c>
      <c r="BK149" s="58">
        <f t="shared" si="148"/>
        <v>0</v>
      </c>
      <c r="BL149" s="58">
        <f t="shared" si="149"/>
        <v>0</v>
      </c>
      <c r="BM149" s="33">
        <f t="shared" si="150"/>
        <v>0</v>
      </c>
      <c r="BN149" s="33"/>
      <c r="BO149" s="293">
        <f t="shared" si="122"/>
        <v>0</v>
      </c>
      <c r="BP149" s="293">
        <f t="shared" si="123"/>
        <v>0</v>
      </c>
      <c r="BQ149" s="293">
        <f t="shared" si="124"/>
        <v>0</v>
      </c>
      <c r="BR149" s="293">
        <f t="shared" si="125"/>
        <v>0</v>
      </c>
      <c r="BS149" s="293">
        <f t="shared" si="126"/>
        <v>0</v>
      </c>
      <c r="BT149" s="293">
        <f t="shared" si="127"/>
        <v>0</v>
      </c>
      <c r="BU149" s="293">
        <f t="shared" si="128"/>
        <v>0</v>
      </c>
      <c r="BV149" s="293">
        <f t="shared" si="129"/>
        <v>0</v>
      </c>
      <c r="BW149" s="293">
        <f t="shared" si="130"/>
        <v>0</v>
      </c>
      <c r="BX149" s="293"/>
      <c r="BY149" s="293"/>
      <c r="BZ149" s="293"/>
      <c r="CA149" s="293"/>
      <c r="CB149" s="293"/>
      <c r="CC149" s="293"/>
      <c r="CD149" s="293"/>
      <c r="CE149" s="293"/>
      <c r="CF149" s="293"/>
      <c r="CG149" s="293"/>
      <c r="CH149" s="293"/>
      <c r="CI149" s="293"/>
      <c r="CJ149" s="293"/>
      <c r="CK149" s="293"/>
      <c r="CL149" s="293"/>
      <c r="CM149" s="293"/>
      <c r="CN149" s="293"/>
      <c r="CO149" s="293"/>
      <c r="CP149" s="58">
        <f t="shared" si="153"/>
        <v>0</v>
      </c>
      <c r="CQ149" s="223">
        <f t="shared" si="154"/>
        <v>0</v>
      </c>
      <c r="CR149" s="223">
        <f t="shared" si="155"/>
        <v>0</v>
      </c>
      <c r="CS149" s="223">
        <f t="shared" si="156"/>
        <v>0</v>
      </c>
      <c r="CT149" s="223">
        <f t="shared" si="157"/>
        <v>0</v>
      </c>
      <c r="CU149" s="223">
        <f t="shared" si="158"/>
        <v>0</v>
      </c>
      <c r="CV149" s="223">
        <f t="shared" si="159"/>
        <v>0</v>
      </c>
      <c r="CW149" s="223">
        <f t="shared" si="160"/>
        <v>0</v>
      </c>
      <c r="CX149" s="223">
        <f t="shared" si="161"/>
        <v>0</v>
      </c>
      <c r="CY149" s="58">
        <f t="shared" si="162"/>
        <v>0</v>
      </c>
      <c r="CZ149" s="399">
        <f t="shared" si="163"/>
        <v>0</v>
      </c>
      <c r="DA149" s="399">
        <f t="shared" si="164"/>
        <v>0</v>
      </c>
      <c r="DB149" s="399">
        <f t="shared" si="165"/>
        <v>0</v>
      </c>
      <c r="DC149" s="399">
        <f t="shared" si="166"/>
        <v>0</v>
      </c>
      <c r="DD149" s="399">
        <f t="shared" si="167"/>
        <v>0</v>
      </c>
      <c r="DE149" s="399">
        <f t="shared" si="168"/>
        <v>0</v>
      </c>
      <c r="DF149" s="399">
        <f t="shared" si="169"/>
        <v>0</v>
      </c>
      <c r="DG149" s="399">
        <f t="shared" si="170"/>
        <v>0</v>
      </c>
      <c r="DI149" s="399"/>
      <c r="DJ149" s="399"/>
      <c r="DK149" s="399"/>
      <c r="DL149" s="399"/>
      <c r="DM149" s="399"/>
      <c r="DN149" s="399"/>
      <c r="DO149" s="399"/>
      <c r="DP149" s="399"/>
      <c r="DQ149" s="399"/>
      <c r="DS149" s="399"/>
      <c r="DT149" s="399"/>
      <c r="DU149" s="399"/>
      <c r="DV149" s="399"/>
      <c r="DW149" s="399"/>
      <c r="DX149" s="399"/>
      <c r="DY149" s="399"/>
      <c r="DZ149" s="399"/>
      <c r="EB149" s="228">
        <f t="shared" si="171"/>
        <v>0</v>
      </c>
      <c r="EC149" s="228">
        <f t="shared" si="172"/>
        <v>0</v>
      </c>
      <c r="ED149" s="214">
        <f t="shared" si="173"/>
        <v>0</v>
      </c>
    </row>
    <row r="150" spans="1:134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3" t="str">
        <f>VLOOKUP(A150,'Summary Mar 2026'!$A$8:$F$207,6,FALSE)</f>
        <v>Chq Bk</v>
      </c>
      <c r="G150" s="33"/>
      <c r="H150" s="223">
        <v>0</v>
      </c>
      <c r="I150" s="294"/>
      <c r="J150" s="223">
        <v>0</v>
      </c>
      <c r="K150" s="223">
        <v>0</v>
      </c>
      <c r="L150" s="223">
        <v>107058.9</v>
      </c>
      <c r="M150" s="223">
        <v>0</v>
      </c>
      <c r="N150" s="223">
        <v>0</v>
      </c>
      <c r="O150" s="223">
        <v>0</v>
      </c>
      <c r="P150" s="33">
        <f t="shared" si="131"/>
        <v>107058.9</v>
      </c>
      <c r="Q150" s="223">
        <f t="shared" si="132"/>
        <v>85647.12</v>
      </c>
      <c r="R150" s="294"/>
      <c r="S150" s="223">
        <v>0</v>
      </c>
      <c r="T150" s="223">
        <v>0</v>
      </c>
      <c r="U150" s="223">
        <v>105955.20000000001</v>
      </c>
      <c r="V150" s="223">
        <v>195</v>
      </c>
      <c r="W150" s="223">
        <v>74.578947368421055</v>
      </c>
      <c r="X150" s="223">
        <v>0</v>
      </c>
      <c r="Y150" s="223">
        <f t="shared" si="133"/>
        <v>106224.77894736844</v>
      </c>
      <c r="Z150" s="223">
        <f t="shared" si="134"/>
        <v>84979.82315789476</v>
      </c>
      <c r="AA150" s="294"/>
      <c r="AB150" s="398">
        <v>0</v>
      </c>
      <c r="AC150" s="398">
        <v>0</v>
      </c>
      <c r="AD150" s="398">
        <v>92978.905263157896</v>
      </c>
      <c r="AE150" s="398">
        <v>170.52631578947367</v>
      </c>
      <c r="AF150" s="398">
        <v>43.479224376731295</v>
      </c>
      <c r="AG150" s="398">
        <v>0</v>
      </c>
      <c r="AH150" s="223">
        <f t="shared" si="135"/>
        <v>93192.910803324106</v>
      </c>
      <c r="AI150" s="398">
        <f t="shared" si="136"/>
        <v>74554.328642659282</v>
      </c>
      <c r="AJ150" s="294"/>
      <c r="AK150" s="398">
        <v>269.10000000000002</v>
      </c>
      <c r="AL150" s="398">
        <v>31.2</v>
      </c>
      <c r="AM150" s="398">
        <v>165.97894736842107</v>
      </c>
      <c r="AN150" s="294"/>
      <c r="AO150" s="398">
        <f t="shared" si="137"/>
        <v>215.28000000000003</v>
      </c>
      <c r="AP150" s="398">
        <f t="shared" si="138"/>
        <v>24.96</v>
      </c>
      <c r="AQ150" s="398">
        <f t="shared" si="139"/>
        <v>132.78315789473686</v>
      </c>
      <c r="AR150" s="293"/>
      <c r="AS150" s="293">
        <v>0</v>
      </c>
      <c r="AT150" s="576">
        <f t="shared" si="140"/>
        <v>0</v>
      </c>
      <c r="AU150" s="293"/>
      <c r="AV150" s="293">
        <v>0</v>
      </c>
      <c r="AW150" s="293">
        <v>0</v>
      </c>
      <c r="AX150" s="293">
        <v>104851.5</v>
      </c>
      <c r="AY150" s="293">
        <v>780</v>
      </c>
      <c r="AZ150" s="293">
        <v>223.73684210526318</v>
      </c>
      <c r="BA150" s="293">
        <v>0</v>
      </c>
      <c r="BB150" s="293">
        <v>31.2</v>
      </c>
      <c r="BC150" s="293">
        <f t="shared" si="141"/>
        <v>105886.43684210526</v>
      </c>
      <c r="BE150" s="58">
        <f t="shared" si="142"/>
        <v>0</v>
      </c>
      <c r="BF150" s="58">
        <f t="shared" si="143"/>
        <v>0</v>
      </c>
      <c r="BG150" s="58">
        <f t="shared" si="144"/>
        <v>-2207.3999999999942</v>
      </c>
      <c r="BH150" s="58">
        <f t="shared" si="145"/>
        <v>780</v>
      </c>
      <c r="BI150" s="58">
        <f t="shared" si="146"/>
        <v>223.73684210526318</v>
      </c>
      <c r="BJ150" s="58">
        <f t="shared" si="147"/>
        <v>0</v>
      </c>
      <c r="BK150" s="58">
        <f t="shared" si="148"/>
        <v>-237.90000000000003</v>
      </c>
      <c r="BL150" s="58">
        <f t="shared" si="149"/>
        <v>-1441.5631578947311</v>
      </c>
      <c r="BM150" s="33">
        <f t="shared" si="150"/>
        <v>0</v>
      </c>
      <c r="BN150" s="33"/>
      <c r="BO150" s="293">
        <f t="shared" si="122"/>
        <v>0</v>
      </c>
      <c r="BP150" s="293">
        <f t="shared" si="123"/>
        <v>0</v>
      </c>
      <c r="BQ150" s="293">
        <f t="shared" si="124"/>
        <v>19204.380000000005</v>
      </c>
      <c r="BR150" s="293">
        <f t="shared" si="125"/>
        <v>780</v>
      </c>
      <c r="BS150" s="293">
        <f t="shared" si="126"/>
        <v>223.73684210526318</v>
      </c>
      <c r="BT150" s="293">
        <f t="shared" si="127"/>
        <v>0</v>
      </c>
      <c r="BU150" s="293">
        <f t="shared" si="128"/>
        <v>-184.08000000000004</v>
      </c>
      <c r="BV150" s="293">
        <f t="shared" si="129"/>
        <v>20024.036842105266</v>
      </c>
      <c r="BW150" s="293">
        <f t="shared" si="130"/>
        <v>0</v>
      </c>
      <c r="BX150" s="293">
        <v>0</v>
      </c>
      <c r="BY150" s="293">
        <v>0</v>
      </c>
      <c r="BZ150" s="293">
        <v>0</v>
      </c>
      <c r="CA150" s="293">
        <v>0</v>
      </c>
      <c r="CB150" s="293">
        <v>111.8684210526315</v>
      </c>
      <c r="CC150" s="293">
        <v>0</v>
      </c>
      <c r="CD150" s="293">
        <v>31.2</v>
      </c>
      <c r="CE150" s="293">
        <f t="shared" si="151"/>
        <v>143.06842105263149</v>
      </c>
      <c r="CF150" s="293"/>
      <c r="CG150" s="293">
        <v>0</v>
      </c>
      <c r="CH150" s="293">
        <v>0</v>
      </c>
      <c r="CI150" s="293">
        <v>105955.20000000001</v>
      </c>
      <c r="CJ150" s="293">
        <v>975</v>
      </c>
      <c r="CK150" s="293">
        <v>298.48</v>
      </c>
      <c r="CL150" s="293">
        <v>0</v>
      </c>
      <c r="CM150" s="293">
        <v>1023.75</v>
      </c>
      <c r="CN150" s="293">
        <f t="shared" si="152"/>
        <v>108252.43000000001</v>
      </c>
      <c r="CO150" s="293"/>
      <c r="CP150" s="58">
        <f t="shared" si="153"/>
        <v>0</v>
      </c>
      <c r="CQ150" s="223">
        <f t="shared" si="154"/>
        <v>0</v>
      </c>
      <c r="CR150" s="223">
        <f t="shared" si="155"/>
        <v>0</v>
      </c>
      <c r="CS150" s="223">
        <f t="shared" si="156"/>
        <v>780</v>
      </c>
      <c r="CT150" s="223">
        <f t="shared" si="157"/>
        <v>223.90105263157898</v>
      </c>
      <c r="CU150" s="223">
        <f t="shared" si="158"/>
        <v>0</v>
      </c>
      <c r="CV150" s="223">
        <f t="shared" si="159"/>
        <v>992.55</v>
      </c>
      <c r="CW150" s="223">
        <f t="shared" si="160"/>
        <v>1996.4510526315789</v>
      </c>
      <c r="CX150" s="223">
        <f t="shared" si="161"/>
        <v>0</v>
      </c>
      <c r="CY150" s="58">
        <f t="shared" si="162"/>
        <v>0</v>
      </c>
      <c r="CZ150" s="399">
        <f t="shared" si="163"/>
        <v>0</v>
      </c>
      <c r="DA150" s="399">
        <f t="shared" si="164"/>
        <v>21191.039999999994</v>
      </c>
      <c r="DB150" s="399">
        <f t="shared" si="165"/>
        <v>819</v>
      </c>
      <c r="DC150" s="399">
        <f t="shared" si="166"/>
        <v>238.81684210526316</v>
      </c>
      <c r="DD150" s="399">
        <f t="shared" si="167"/>
        <v>0</v>
      </c>
      <c r="DE150" s="399">
        <f t="shared" si="168"/>
        <v>998.79</v>
      </c>
      <c r="DF150" s="399">
        <f t="shared" si="169"/>
        <v>23247.646842105256</v>
      </c>
      <c r="DG150" s="399">
        <f t="shared" si="170"/>
        <v>0</v>
      </c>
      <c r="DI150" s="399"/>
      <c r="DJ150" s="399"/>
      <c r="DK150" s="399"/>
      <c r="DL150" s="399"/>
      <c r="DM150" s="399"/>
      <c r="DN150" s="399"/>
      <c r="DO150" s="399"/>
      <c r="DP150" s="399"/>
      <c r="DQ150" s="399"/>
      <c r="DS150" s="399"/>
      <c r="DT150" s="399"/>
      <c r="DU150" s="399"/>
      <c r="DV150" s="399"/>
      <c r="DW150" s="399"/>
      <c r="DX150" s="399"/>
      <c r="DY150" s="399"/>
      <c r="DZ150" s="399"/>
      <c r="EB150" s="228">
        <f t="shared" si="171"/>
        <v>288969.04706371191</v>
      </c>
      <c r="EC150" s="228">
        <f t="shared" si="172"/>
        <v>0</v>
      </c>
      <c r="ED150" s="214">
        <f t="shared" si="173"/>
        <v>288969.04706371191</v>
      </c>
    </row>
    <row r="151" spans="1:134" hidden="1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3" t="str">
        <f>VLOOKUP(A151,'Summary Mar 2026'!$A$8:$F$207,6,FALSE)</f>
        <v>Chq Bk</v>
      </c>
      <c r="G151" s="33"/>
      <c r="H151" s="223">
        <v>0</v>
      </c>
      <c r="I151" s="294"/>
      <c r="J151" s="223">
        <v>0</v>
      </c>
      <c r="K151" s="223">
        <v>0</v>
      </c>
      <c r="L151" s="223">
        <v>0</v>
      </c>
      <c r="M151" s="223">
        <v>0</v>
      </c>
      <c r="N151" s="223">
        <v>0</v>
      </c>
      <c r="O151" s="223">
        <v>0</v>
      </c>
      <c r="P151" s="33">
        <f t="shared" si="131"/>
        <v>0</v>
      </c>
      <c r="Q151" s="223">
        <f t="shared" si="132"/>
        <v>0</v>
      </c>
      <c r="R151" s="294"/>
      <c r="S151" s="223">
        <v>0</v>
      </c>
      <c r="T151" s="223">
        <v>0</v>
      </c>
      <c r="U151" s="223">
        <v>0</v>
      </c>
      <c r="V151" s="223">
        <v>0</v>
      </c>
      <c r="W151" s="223">
        <v>0</v>
      </c>
      <c r="X151" s="223">
        <v>0</v>
      </c>
      <c r="Y151" s="223">
        <f t="shared" si="133"/>
        <v>0</v>
      </c>
      <c r="Z151" s="223">
        <f t="shared" si="134"/>
        <v>0</v>
      </c>
      <c r="AA151" s="294"/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223">
        <f t="shared" si="135"/>
        <v>0</v>
      </c>
      <c r="AI151" s="398">
        <f t="shared" si="136"/>
        <v>0</v>
      </c>
      <c r="AJ151" s="294"/>
      <c r="AK151" s="398">
        <v>0</v>
      </c>
      <c r="AL151" s="398">
        <v>0</v>
      </c>
      <c r="AM151" s="398">
        <v>0</v>
      </c>
      <c r="AN151" s="294"/>
      <c r="AO151" s="398">
        <f t="shared" si="137"/>
        <v>0</v>
      </c>
      <c r="AP151" s="398">
        <f t="shared" si="138"/>
        <v>0</v>
      </c>
      <c r="AQ151" s="398">
        <f t="shared" si="139"/>
        <v>0</v>
      </c>
      <c r="AR151" s="293"/>
      <c r="AS151" s="293">
        <v>0</v>
      </c>
      <c r="AT151" s="576">
        <f t="shared" si="140"/>
        <v>0</v>
      </c>
      <c r="AU151" s="293"/>
      <c r="AV151" s="293">
        <v>0</v>
      </c>
      <c r="AW151" s="293">
        <v>0</v>
      </c>
      <c r="AX151" s="293">
        <v>0</v>
      </c>
      <c r="AY151" s="293">
        <v>0</v>
      </c>
      <c r="AZ151" s="293">
        <v>0</v>
      </c>
      <c r="BA151" s="293">
        <v>0</v>
      </c>
      <c r="BB151" s="293">
        <v>0</v>
      </c>
      <c r="BC151" s="293">
        <f t="shared" si="141"/>
        <v>0</v>
      </c>
      <c r="BE151" s="58">
        <f t="shared" si="142"/>
        <v>0</v>
      </c>
      <c r="BF151" s="58">
        <f t="shared" si="143"/>
        <v>0</v>
      </c>
      <c r="BG151" s="58">
        <f t="shared" si="144"/>
        <v>0</v>
      </c>
      <c r="BH151" s="58">
        <f t="shared" si="145"/>
        <v>0</v>
      </c>
      <c r="BI151" s="58">
        <f t="shared" si="146"/>
        <v>0</v>
      </c>
      <c r="BJ151" s="58">
        <f t="shared" si="147"/>
        <v>0</v>
      </c>
      <c r="BK151" s="58">
        <f t="shared" si="148"/>
        <v>0</v>
      </c>
      <c r="BL151" s="58">
        <f t="shared" si="149"/>
        <v>0</v>
      </c>
      <c r="BM151" s="33">
        <f t="shared" si="150"/>
        <v>0</v>
      </c>
      <c r="BN151" s="33"/>
      <c r="BO151" s="293">
        <f t="shared" si="122"/>
        <v>0</v>
      </c>
      <c r="BP151" s="293">
        <f t="shared" si="123"/>
        <v>0</v>
      </c>
      <c r="BQ151" s="293">
        <f t="shared" si="124"/>
        <v>0</v>
      </c>
      <c r="BR151" s="293">
        <f t="shared" si="125"/>
        <v>0</v>
      </c>
      <c r="BS151" s="293">
        <f t="shared" si="126"/>
        <v>0</v>
      </c>
      <c r="BT151" s="293">
        <f t="shared" si="127"/>
        <v>0</v>
      </c>
      <c r="BU151" s="293">
        <f t="shared" si="128"/>
        <v>0</v>
      </c>
      <c r="BV151" s="293">
        <f t="shared" si="129"/>
        <v>0</v>
      </c>
      <c r="BW151" s="293">
        <f t="shared" si="130"/>
        <v>0</v>
      </c>
      <c r="BX151" s="293">
        <v>0</v>
      </c>
      <c r="BY151" s="293">
        <v>0</v>
      </c>
      <c r="BZ151" s="293">
        <v>0</v>
      </c>
      <c r="CA151" s="293">
        <v>0</v>
      </c>
      <c r="CB151" s="293">
        <v>0</v>
      </c>
      <c r="CC151" s="293">
        <v>0</v>
      </c>
      <c r="CD151" s="293">
        <v>0</v>
      </c>
      <c r="CE151" s="293">
        <f t="shared" si="151"/>
        <v>0</v>
      </c>
      <c r="CF151" s="293"/>
      <c r="CG151" s="293">
        <v>0</v>
      </c>
      <c r="CH151" s="293">
        <v>0</v>
      </c>
      <c r="CI151" s="293">
        <v>0</v>
      </c>
      <c r="CJ151" s="293">
        <v>0</v>
      </c>
      <c r="CK151" s="293">
        <v>0</v>
      </c>
      <c r="CL151" s="293">
        <v>0</v>
      </c>
      <c r="CM151" s="293">
        <v>0</v>
      </c>
      <c r="CN151" s="293">
        <f t="shared" si="152"/>
        <v>0</v>
      </c>
      <c r="CO151" s="293"/>
      <c r="CP151" s="58">
        <f t="shared" si="153"/>
        <v>0</v>
      </c>
      <c r="CQ151" s="223">
        <f t="shared" si="154"/>
        <v>0</v>
      </c>
      <c r="CR151" s="223">
        <f t="shared" si="155"/>
        <v>0</v>
      </c>
      <c r="CS151" s="223">
        <f t="shared" si="156"/>
        <v>0</v>
      </c>
      <c r="CT151" s="223">
        <f t="shared" si="157"/>
        <v>0</v>
      </c>
      <c r="CU151" s="223">
        <f t="shared" si="158"/>
        <v>0</v>
      </c>
      <c r="CV151" s="223">
        <f t="shared" si="159"/>
        <v>0</v>
      </c>
      <c r="CW151" s="223">
        <f t="shared" si="160"/>
        <v>0</v>
      </c>
      <c r="CX151" s="223">
        <f t="shared" si="161"/>
        <v>0</v>
      </c>
      <c r="CY151" s="58">
        <f t="shared" si="162"/>
        <v>0</v>
      </c>
      <c r="CZ151" s="399">
        <f t="shared" si="163"/>
        <v>0</v>
      </c>
      <c r="DA151" s="399">
        <f t="shared" si="164"/>
        <v>0</v>
      </c>
      <c r="DB151" s="399">
        <f t="shared" si="165"/>
        <v>0</v>
      </c>
      <c r="DC151" s="399">
        <f t="shared" si="166"/>
        <v>0</v>
      </c>
      <c r="DD151" s="399">
        <f t="shared" si="167"/>
        <v>0</v>
      </c>
      <c r="DE151" s="399">
        <f t="shared" si="168"/>
        <v>0</v>
      </c>
      <c r="DF151" s="399">
        <f t="shared" si="169"/>
        <v>0</v>
      </c>
      <c r="DG151" s="399">
        <f t="shared" si="170"/>
        <v>0</v>
      </c>
      <c r="DI151" s="399"/>
      <c r="DJ151" s="399"/>
      <c r="DK151" s="399"/>
      <c r="DL151" s="399"/>
      <c r="DM151" s="399"/>
      <c r="DN151" s="399"/>
      <c r="DO151" s="399"/>
      <c r="DP151" s="399"/>
      <c r="DQ151" s="399"/>
      <c r="DS151" s="399"/>
      <c r="DT151" s="399"/>
      <c r="DU151" s="399"/>
      <c r="DV151" s="399"/>
      <c r="DW151" s="399"/>
      <c r="DX151" s="399"/>
      <c r="DY151" s="399"/>
      <c r="DZ151" s="399"/>
      <c r="EB151" s="228">
        <f t="shared" si="171"/>
        <v>0</v>
      </c>
      <c r="EC151" s="228">
        <f t="shared" si="172"/>
        <v>0</v>
      </c>
      <c r="ED151" s="214">
        <f t="shared" si="173"/>
        <v>0</v>
      </c>
    </row>
    <row r="152" spans="1:134" hidden="1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3" t="str">
        <f>VLOOKUP(A152,'Summary Mar 2026'!$A$8:$F$207,6,FALSE)</f>
        <v>Chq Bk</v>
      </c>
      <c r="G152" s="33"/>
      <c r="H152" s="223">
        <v>0</v>
      </c>
      <c r="I152" s="294"/>
      <c r="J152" s="223">
        <v>0</v>
      </c>
      <c r="K152" s="223">
        <v>0</v>
      </c>
      <c r="L152" s="223">
        <v>57392.4</v>
      </c>
      <c r="M152" s="223">
        <v>0</v>
      </c>
      <c r="N152" s="223">
        <v>0</v>
      </c>
      <c r="O152" s="223">
        <v>0</v>
      </c>
      <c r="P152" s="33">
        <f t="shared" si="131"/>
        <v>57392.4</v>
      </c>
      <c r="Q152" s="223">
        <f t="shared" si="132"/>
        <v>45913.920000000006</v>
      </c>
      <c r="R152" s="294"/>
      <c r="S152" s="223">
        <v>0</v>
      </c>
      <c r="T152" s="223">
        <v>0</v>
      </c>
      <c r="U152" s="223">
        <v>47459.1</v>
      </c>
      <c r="V152" s="223">
        <v>195</v>
      </c>
      <c r="W152" s="223">
        <v>74.578947368421055</v>
      </c>
      <c r="X152" s="223">
        <v>0</v>
      </c>
      <c r="Y152" s="223">
        <f t="shared" si="133"/>
        <v>47728.678947368418</v>
      </c>
      <c r="Z152" s="223">
        <f t="shared" si="134"/>
        <v>38182.943157894733</v>
      </c>
      <c r="AA152" s="294"/>
      <c r="AB152" s="398">
        <v>0</v>
      </c>
      <c r="AC152" s="398">
        <v>0</v>
      </c>
      <c r="AD152" s="398">
        <v>47293.768421052628</v>
      </c>
      <c r="AE152" s="398">
        <v>738.94736842105272</v>
      </c>
      <c r="AF152" s="398">
        <v>21.739612188365648</v>
      </c>
      <c r="AG152" s="398">
        <v>0</v>
      </c>
      <c r="AH152" s="223">
        <f t="shared" si="135"/>
        <v>48054.455401662046</v>
      </c>
      <c r="AI152" s="398">
        <f t="shared" si="136"/>
        <v>38443.564321329635</v>
      </c>
      <c r="AJ152" s="294"/>
      <c r="AK152" s="398">
        <v>2172.2999999999997</v>
      </c>
      <c r="AL152" s="398">
        <v>1780.35</v>
      </c>
      <c r="AM152" s="398">
        <v>1797.3473684210524</v>
      </c>
      <c r="AN152" s="294"/>
      <c r="AO152" s="398">
        <f t="shared" si="137"/>
        <v>1737.84</v>
      </c>
      <c r="AP152" s="398">
        <f t="shared" si="138"/>
        <v>1424.28</v>
      </c>
      <c r="AQ152" s="398">
        <f t="shared" si="139"/>
        <v>1437.8778947368419</v>
      </c>
      <c r="AR152" s="293"/>
      <c r="AS152" s="293">
        <v>0</v>
      </c>
      <c r="AT152" s="576">
        <f t="shared" si="140"/>
        <v>0</v>
      </c>
      <c r="AU152" s="293"/>
      <c r="AV152" s="293">
        <v>0</v>
      </c>
      <c r="AW152" s="293">
        <v>0</v>
      </c>
      <c r="AX152" s="293">
        <v>49666.5</v>
      </c>
      <c r="AY152" s="293">
        <v>195</v>
      </c>
      <c r="AZ152" s="293">
        <v>0</v>
      </c>
      <c r="BA152" s="293">
        <v>0</v>
      </c>
      <c r="BB152" s="293">
        <v>1811.5499999999997</v>
      </c>
      <c r="BC152" s="293">
        <f t="shared" si="141"/>
        <v>51673.05</v>
      </c>
      <c r="BE152" s="58">
        <f t="shared" si="142"/>
        <v>0</v>
      </c>
      <c r="BF152" s="58">
        <f t="shared" si="143"/>
        <v>0</v>
      </c>
      <c r="BG152" s="58">
        <f t="shared" si="144"/>
        <v>-7725.9000000000015</v>
      </c>
      <c r="BH152" s="58">
        <f t="shared" si="145"/>
        <v>195</v>
      </c>
      <c r="BI152" s="58">
        <f t="shared" si="146"/>
        <v>0</v>
      </c>
      <c r="BJ152" s="58">
        <f t="shared" si="147"/>
        <v>0</v>
      </c>
      <c r="BK152" s="58">
        <f t="shared" si="148"/>
        <v>-360.75</v>
      </c>
      <c r="BL152" s="58">
        <f t="shared" si="149"/>
        <v>-7891.6500000000015</v>
      </c>
      <c r="BM152" s="33">
        <f t="shared" si="150"/>
        <v>0</v>
      </c>
      <c r="BN152" s="33"/>
      <c r="BO152" s="293">
        <f t="shared" si="122"/>
        <v>0</v>
      </c>
      <c r="BP152" s="293">
        <f t="shared" si="123"/>
        <v>0</v>
      </c>
      <c r="BQ152" s="293">
        <f t="shared" si="124"/>
        <v>3752.5799999999945</v>
      </c>
      <c r="BR152" s="293">
        <f t="shared" si="125"/>
        <v>195</v>
      </c>
      <c r="BS152" s="293">
        <f t="shared" si="126"/>
        <v>0</v>
      </c>
      <c r="BT152" s="293">
        <f t="shared" si="127"/>
        <v>0</v>
      </c>
      <c r="BU152" s="293">
        <f t="shared" si="128"/>
        <v>73.709999999999809</v>
      </c>
      <c r="BV152" s="293">
        <f t="shared" si="129"/>
        <v>4021.2899999999945</v>
      </c>
      <c r="BW152" s="293">
        <f t="shared" si="130"/>
        <v>-7.2759576141834259E-12</v>
      </c>
      <c r="BX152" s="293">
        <v>0</v>
      </c>
      <c r="BY152" s="293">
        <v>0</v>
      </c>
      <c r="BZ152" s="293">
        <v>0</v>
      </c>
      <c r="CA152" s="293">
        <v>0</v>
      </c>
      <c r="CB152" s="293">
        <v>0</v>
      </c>
      <c r="CC152" s="293">
        <v>0</v>
      </c>
      <c r="CD152" s="293">
        <v>0</v>
      </c>
      <c r="CE152" s="293">
        <f t="shared" si="151"/>
        <v>0</v>
      </c>
      <c r="CF152" s="293"/>
      <c r="CG152" s="293">
        <v>0</v>
      </c>
      <c r="CH152" s="293">
        <v>0</v>
      </c>
      <c r="CI152" s="293">
        <v>45251.700000000004</v>
      </c>
      <c r="CJ152" s="293">
        <v>0</v>
      </c>
      <c r="CK152" s="293">
        <v>0</v>
      </c>
      <c r="CL152" s="293">
        <v>0</v>
      </c>
      <c r="CM152" s="293">
        <v>1770.6</v>
      </c>
      <c r="CN152" s="293">
        <f t="shared" si="152"/>
        <v>47022.3</v>
      </c>
      <c r="CO152" s="293"/>
      <c r="CP152" s="58">
        <f t="shared" si="153"/>
        <v>0</v>
      </c>
      <c r="CQ152" s="223">
        <f t="shared" si="154"/>
        <v>0</v>
      </c>
      <c r="CR152" s="223">
        <f t="shared" si="155"/>
        <v>-2207.3999999999942</v>
      </c>
      <c r="CS152" s="223">
        <f t="shared" si="156"/>
        <v>-195</v>
      </c>
      <c r="CT152" s="223">
        <f t="shared" si="157"/>
        <v>-74.578947368421055</v>
      </c>
      <c r="CU152" s="223">
        <f t="shared" si="158"/>
        <v>0</v>
      </c>
      <c r="CV152" s="223">
        <f t="shared" si="159"/>
        <v>-9.75</v>
      </c>
      <c r="CW152" s="223">
        <f t="shared" si="160"/>
        <v>-2486.7289473684154</v>
      </c>
      <c r="CX152" s="223">
        <f t="shared" si="161"/>
        <v>0</v>
      </c>
      <c r="CY152" s="58">
        <f t="shared" si="162"/>
        <v>0</v>
      </c>
      <c r="CZ152" s="399">
        <f t="shared" si="163"/>
        <v>0</v>
      </c>
      <c r="DA152" s="399">
        <f t="shared" si="164"/>
        <v>7284.4200000000055</v>
      </c>
      <c r="DB152" s="399">
        <f t="shared" si="165"/>
        <v>-156</v>
      </c>
      <c r="DC152" s="399">
        <f t="shared" si="166"/>
        <v>-59.663157894736848</v>
      </c>
      <c r="DD152" s="399">
        <f t="shared" si="167"/>
        <v>0</v>
      </c>
      <c r="DE152" s="399">
        <f t="shared" si="168"/>
        <v>346.31999999999994</v>
      </c>
      <c r="DF152" s="399">
        <f t="shared" si="169"/>
        <v>7415.076842105268</v>
      </c>
      <c r="DG152" s="399">
        <f t="shared" si="170"/>
        <v>0</v>
      </c>
      <c r="DI152" s="399"/>
      <c r="DJ152" s="399"/>
      <c r="DK152" s="399"/>
      <c r="DL152" s="399"/>
      <c r="DM152" s="399"/>
      <c r="DN152" s="399"/>
      <c r="DO152" s="399"/>
      <c r="DP152" s="399"/>
      <c r="DQ152" s="399"/>
      <c r="DS152" s="399"/>
      <c r="DT152" s="399"/>
      <c r="DU152" s="399"/>
      <c r="DV152" s="399"/>
      <c r="DW152" s="399"/>
      <c r="DX152" s="399"/>
      <c r="DY152" s="399"/>
      <c r="DZ152" s="399"/>
      <c r="EB152" s="228">
        <f t="shared" si="171"/>
        <v>138576.7922160665</v>
      </c>
      <c r="EC152" s="228">
        <f t="shared" si="172"/>
        <v>0</v>
      </c>
      <c r="ED152" s="214">
        <f t="shared" si="173"/>
        <v>138576.7922160665</v>
      </c>
    </row>
    <row r="153" spans="1:134" hidden="1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3" t="str">
        <f>VLOOKUP(A153,'Summary Mar 2026'!$A$8:$F$207,6,FALSE)</f>
        <v>Chq Bk</v>
      </c>
      <c r="G153" s="33"/>
      <c r="H153" s="223">
        <v>0</v>
      </c>
      <c r="I153" s="294"/>
      <c r="J153" s="223">
        <v>0</v>
      </c>
      <c r="K153" s="223">
        <v>0</v>
      </c>
      <c r="L153" s="223">
        <v>0</v>
      </c>
      <c r="M153" s="223">
        <v>0</v>
      </c>
      <c r="N153" s="223">
        <v>0</v>
      </c>
      <c r="O153" s="223">
        <v>0</v>
      </c>
      <c r="P153" s="33">
        <f t="shared" si="131"/>
        <v>0</v>
      </c>
      <c r="Q153" s="223">
        <f t="shared" si="132"/>
        <v>0</v>
      </c>
      <c r="R153" s="294"/>
      <c r="S153" s="223">
        <v>0</v>
      </c>
      <c r="T153" s="223">
        <v>0</v>
      </c>
      <c r="U153" s="223">
        <v>0</v>
      </c>
      <c r="V153" s="223">
        <v>0</v>
      </c>
      <c r="W153" s="223">
        <v>0</v>
      </c>
      <c r="X153" s="223">
        <v>0</v>
      </c>
      <c r="Y153" s="223">
        <f t="shared" si="133"/>
        <v>0</v>
      </c>
      <c r="Z153" s="223">
        <f t="shared" si="134"/>
        <v>0</v>
      </c>
      <c r="AA153" s="294"/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223">
        <f t="shared" si="135"/>
        <v>0</v>
      </c>
      <c r="AI153" s="398">
        <f t="shared" si="136"/>
        <v>0</v>
      </c>
      <c r="AJ153" s="294"/>
      <c r="AK153" s="398">
        <v>0</v>
      </c>
      <c r="AL153" s="398">
        <v>0</v>
      </c>
      <c r="AM153" s="398">
        <v>0</v>
      </c>
      <c r="AN153" s="294"/>
      <c r="AO153" s="398">
        <f t="shared" si="137"/>
        <v>0</v>
      </c>
      <c r="AP153" s="398">
        <f t="shared" si="138"/>
        <v>0</v>
      </c>
      <c r="AQ153" s="398">
        <f t="shared" si="139"/>
        <v>0</v>
      </c>
      <c r="AR153" s="293"/>
      <c r="AS153" s="293">
        <v>0</v>
      </c>
      <c r="AT153" s="576">
        <f t="shared" si="140"/>
        <v>0</v>
      </c>
      <c r="AU153" s="293"/>
      <c r="AV153" s="293">
        <v>0</v>
      </c>
      <c r="AW153" s="293">
        <v>0</v>
      </c>
      <c r="AX153" s="293">
        <v>0</v>
      </c>
      <c r="AY153" s="293">
        <v>0</v>
      </c>
      <c r="AZ153" s="293">
        <v>0</v>
      </c>
      <c r="BA153" s="293">
        <v>0</v>
      </c>
      <c r="BB153" s="293">
        <v>0</v>
      </c>
      <c r="BC153" s="293">
        <f t="shared" si="141"/>
        <v>0</v>
      </c>
      <c r="BE153" s="58">
        <f t="shared" si="142"/>
        <v>0</v>
      </c>
      <c r="BF153" s="58">
        <f t="shared" si="143"/>
        <v>0</v>
      </c>
      <c r="BG153" s="58">
        <f t="shared" si="144"/>
        <v>0</v>
      </c>
      <c r="BH153" s="58">
        <f t="shared" si="145"/>
        <v>0</v>
      </c>
      <c r="BI153" s="58">
        <f t="shared" si="146"/>
        <v>0</v>
      </c>
      <c r="BJ153" s="58">
        <f t="shared" si="147"/>
        <v>0</v>
      </c>
      <c r="BK153" s="58">
        <f t="shared" si="148"/>
        <v>0</v>
      </c>
      <c r="BL153" s="58">
        <f t="shared" si="149"/>
        <v>0</v>
      </c>
      <c r="BM153" s="33">
        <f t="shared" si="150"/>
        <v>0</v>
      </c>
      <c r="BN153" s="33"/>
      <c r="BO153" s="293">
        <f t="shared" si="122"/>
        <v>0</v>
      </c>
      <c r="BP153" s="293">
        <f t="shared" si="123"/>
        <v>0</v>
      </c>
      <c r="BQ153" s="293">
        <f t="shared" si="124"/>
        <v>0</v>
      </c>
      <c r="BR153" s="293">
        <f t="shared" si="125"/>
        <v>0</v>
      </c>
      <c r="BS153" s="293">
        <f t="shared" si="126"/>
        <v>0</v>
      </c>
      <c r="BT153" s="293">
        <f t="shared" si="127"/>
        <v>0</v>
      </c>
      <c r="BU153" s="293">
        <f t="shared" si="128"/>
        <v>0</v>
      </c>
      <c r="BV153" s="293">
        <f t="shared" si="129"/>
        <v>0</v>
      </c>
      <c r="BW153" s="293">
        <f t="shared" si="130"/>
        <v>0</v>
      </c>
      <c r="BX153" s="293">
        <v>0</v>
      </c>
      <c r="BY153" s="293">
        <v>0</v>
      </c>
      <c r="BZ153" s="293">
        <v>0</v>
      </c>
      <c r="CA153" s="293">
        <v>0</v>
      </c>
      <c r="CB153" s="293">
        <v>0</v>
      </c>
      <c r="CC153" s="293">
        <v>0</v>
      </c>
      <c r="CD153" s="293">
        <v>0</v>
      </c>
      <c r="CE153" s="293">
        <f t="shared" si="151"/>
        <v>0</v>
      </c>
      <c r="CF153" s="293"/>
      <c r="CG153" s="293">
        <v>0</v>
      </c>
      <c r="CH153" s="293">
        <v>0</v>
      </c>
      <c r="CI153" s="293">
        <v>0</v>
      </c>
      <c r="CJ153" s="293">
        <v>0</v>
      </c>
      <c r="CK153" s="293">
        <v>0</v>
      </c>
      <c r="CL153" s="293">
        <v>0</v>
      </c>
      <c r="CM153" s="293">
        <v>0</v>
      </c>
      <c r="CN153" s="293">
        <f t="shared" si="152"/>
        <v>0</v>
      </c>
      <c r="CO153" s="293"/>
      <c r="CP153" s="58">
        <f t="shared" si="153"/>
        <v>0</v>
      </c>
      <c r="CQ153" s="223">
        <f t="shared" si="154"/>
        <v>0</v>
      </c>
      <c r="CR153" s="223">
        <f t="shared" si="155"/>
        <v>0</v>
      </c>
      <c r="CS153" s="223">
        <f t="shared" si="156"/>
        <v>0</v>
      </c>
      <c r="CT153" s="223">
        <f t="shared" si="157"/>
        <v>0</v>
      </c>
      <c r="CU153" s="223">
        <f t="shared" si="158"/>
        <v>0</v>
      </c>
      <c r="CV153" s="223">
        <f t="shared" si="159"/>
        <v>0</v>
      </c>
      <c r="CW153" s="223">
        <f t="shared" si="160"/>
        <v>0</v>
      </c>
      <c r="CX153" s="223">
        <f t="shared" si="161"/>
        <v>0</v>
      </c>
      <c r="CY153" s="58">
        <f t="shared" si="162"/>
        <v>0</v>
      </c>
      <c r="CZ153" s="399">
        <f t="shared" si="163"/>
        <v>0</v>
      </c>
      <c r="DA153" s="399">
        <f t="shared" si="164"/>
        <v>0</v>
      </c>
      <c r="DB153" s="399">
        <f t="shared" si="165"/>
        <v>0</v>
      </c>
      <c r="DC153" s="399">
        <f t="shared" si="166"/>
        <v>0</v>
      </c>
      <c r="DD153" s="399">
        <f t="shared" si="167"/>
        <v>0</v>
      </c>
      <c r="DE153" s="399">
        <f t="shared" si="168"/>
        <v>0</v>
      </c>
      <c r="DF153" s="399">
        <f t="shared" si="169"/>
        <v>0</v>
      </c>
      <c r="DG153" s="399">
        <f t="shared" si="170"/>
        <v>0</v>
      </c>
      <c r="DI153" s="399"/>
      <c r="DJ153" s="399"/>
      <c r="DK153" s="399"/>
      <c r="DL153" s="399"/>
      <c r="DM153" s="399"/>
      <c r="DN153" s="399"/>
      <c r="DO153" s="399"/>
      <c r="DP153" s="399"/>
      <c r="DQ153" s="399"/>
      <c r="DS153" s="399"/>
      <c r="DT153" s="399"/>
      <c r="DU153" s="399"/>
      <c r="DV153" s="399"/>
      <c r="DW153" s="399"/>
      <c r="DX153" s="399"/>
      <c r="DY153" s="399"/>
      <c r="DZ153" s="399"/>
      <c r="EB153" s="228">
        <f t="shared" si="171"/>
        <v>0</v>
      </c>
      <c r="EC153" s="228">
        <f t="shared" si="172"/>
        <v>0</v>
      </c>
      <c r="ED153" s="214">
        <f t="shared" si="173"/>
        <v>0</v>
      </c>
    </row>
    <row r="154" spans="1:134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3" t="str">
        <f>VLOOKUP(A154,'Summary Mar 2026'!$A$8:$F$207,6,FALSE)</f>
        <v>Chq Bk</v>
      </c>
      <c r="G154" s="33"/>
      <c r="H154" s="223">
        <v>0</v>
      </c>
      <c r="I154" s="294"/>
      <c r="J154" s="223">
        <v>0</v>
      </c>
      <c r="K154" s="223">
        <v>0</v>
      </c>
      <c r="L154" s="223">
        <v>58496.100000000006</v>
      </c>
      <c r="M154" s="223">
        <v>3120</v>
      </c>
      <c r="N154" s="223">
        <v>149.15789473684211</v>
      </c>
      <c r="O154" s="223">
        <v>0</v>
      </c>
      <c r="P154" s="33">
        <f t="shared" si="131"/>
        <v>61765.257894736846</v>
      </c>
      <c r="Q154" s="223">
        <f t="shared" si="132"/>
        <v>49412.206315789481</v>
      </c>
      <c r="R154" s="294"/>
      <c r="S154" s="223">
        <v>0</v>
      </c>
      <c r="T154" s="223">
        <v>0</v>
      </c>
      <c r="U154" s="223">
        <v>26488.799999999999</v>
      </c>
      <c r="V154" s="223">
        <v>975</v>
      </c>
      <c r="W154" s="223">
        <v>0</v>
      </c>
      <c r="X154" s="223">
        <v>0</v>
      </c>
      <c r="Y154" s="223">
        <f t="shared" si="133"/>
        <v>27463.8</v>
      </c>
      <c r="Z154" s="223">
        <f t="shared" si="134"/>
        <v>21971.040000000001</v>
      </c>
      <c r="AA154" s="294"/>
      <c r="AB154" s="398">
        <v>0</v>
      </c>
      <c r="AC154" s="398">
        <v>0</v>
      </c>
      <c r="AD154" s="398">
        <v>40215.789473684214</v>
      </c>
      <c r="AE154" s="398">
        <v>2046.3157894736842</v>
      </c>
      <c r="AF154" s="398">
        <v>86.958448753462591</v>
      </c>
      <c r="AG154" s="398">
        <v>0</v>
      </c>
      <c r="AH154" s="223">
        <f t="shared" si="135"/>
        <v>42349.06371191136</v>
      </c>
      <c r="AI154" s="398">
        <f t="shared" si="136"/>
        <v>33879.250969529086</v>
      </c>
      <c r="AJ154" s="294"/>
      <c r="AK154" s="398">
        <v>2260.0499999999997</v>
      </c>
      <c r="AL154" s="398">
        <v>992.55</v>
      </c>
      <c r="AM154" s="398">
        <v>1513.7052631578945</v>
      </c>
      <c r="AN154" s="294"/>
      <c r="AO154" s="398">
        <f t="shared" si="137"/>
        <v>1808.04</v>
      </c>
      <c r="AP154" s="398">
        <f t="shared" si="138"/>
        <v>794.04</v>
      </c>
      <c r="AQ154" s="398">
        <f t="shared" si="139"/>
        <v>1210.9642105263156</v>
      </c>
      <c r="AR154" s="293"/>
      <c r="AS154" s="293">
        <v>0</v>
      </c>
      <c r="AT154" s="576">
        <f t="shared" si="140"/>
        <v>0</v>
      </c>
      <c r="AU154" s="293"/>
      <c r="AV154" s="293">
        <v>0</v>
      </c>
      <c r="AW154" s="293">
        <v>0</v>
      </c>
      <c r="AX154" s="293">
        <v>48562.799999999996</v>
      </c>
      <c r="AY154" s="293">
        <v>2145</v>
      </c>
      <c r="AZ154" s="293">
        <v>0</v>
      </c>
      <c r="BA154" s="293">
        <v>0</v>
      </c>
      <c r="BB154" s="293">
        <v>1831.05</v>
      </c>
      <c r="BC154" s="293">
        <f t="shared" si="141"/>
        <v>52538.85</v>
      </c>
      <c r="BE154" s="58">
        <f t="shared" si="142"/>
        <v>0</v>
      </c>
      <c r="BF154" s="58">
        <f t="shared" si="143"/>
        <v>0</v>
      </c>
      <c r="BG154" s="58">
        <f t="shared" si="144"/>
        <v>-9933.3000000000102</v>
      </c>
      <c r="BH154" s="58">
        <f t="shared" si="145"/>
        <v>-975</v>
      </c>
      <c r="BI154" s="58">
        <f t="shared" si="146"/>
        <v>-149.15789473684211</v>
      </c>
      <c r="BJ154" s="58">
        <f t="shared" si="147"/>
        <v>0</v>
      </c>
      <c r="BK154" s="58">
        <f t="shared" si="148"/>
        <v>-428.99999999999977</v>
      </c>
      <c r="BL154" s="58">
        <f t="shared" si="149"/>
        <v>-11486.457894736852</v>
      </c>
      <c r="BM154" s="33">
        <f t="shared" si="150"/>
        <v>0</v>
      </c>
      <c r="BN154" s="33"/>
      <c r="BO154" s="293">
        <f t="shared" si="122"/>
        <v>0</v>
      </c>
      <c r="BP154" s="293">
        <f t="shared" si="123"/>
        <v>0</v>
      </c>
      <c r="BQ154" s="293">
        <f t="shared" si="124"/>
        <v>1765.919999999991</v>
      </c>
      <c r="BR154" s="293">
        <f t="shared" si="125"/>
        <v>-351</v>
      </c>
      <c r="BS154" s="293">
        <f t="shared" si="126"/>
        <v>-119.3263157894737</v>
      </c>
      <c r="BT154" s="293">
        <f t="shared" si="127"/>
        <v>0</v>
      </c>
      <c r="BU154" s="293">
        <f t="shared" si="128"/>
        <v>23.009999999999991</v>
      </c>
      <c r="BV154" s="293">
        <f t="shared" si="129"/>
        <v>1318.6036842105173</v>
      </c>
      <c r="BW154" s="293">
        <f t="shared" si="130"/>
        <v>0</v>
      </c>
      <c r="BX154" s="293">
        <v>0</v>
      </c>
      <c r="BY154" s="293">
        <v>0</v>
      </c>
      <c r="BZ154" s="293">
        <v>0</v>
      </c>
      <c r="CA154" s="293">
        <v>0</v>
      </c>
      <c r="CB154" s="293">
        <v>0</v>
      </c>
      <c r="CC154" s="293">
        <v>0</v>
      </c>
      <c r="CD154" s="293">
        <v>282.75000000000023</v>
      </c>
      <c r="CE154" s="293">
        <f t="shared" si="151"/>
        <v>282.75000000000023</v>
      </c>
      <c r="CF154" s="293"/>
      <c r="CG154" s="293">
        <v>0</v>
      </c>
      <c r="CH154" s="293">
        <v>0</v>
      </c>
      <c r="CI154" s="293">
        <v>34214.699999999997</v>
      </c>
      <c r="CJ154" s="293">
        <v>1755</v>
      </c>
      <c r="CK154" s="293">
        <v>372.84</v>
      </c>
      <c r="CL154" s="293">
        <v>0</v>
      </c>
      <c r="CM154" s="293">
        <v>1476.15</v>
      </c>
      <c r="CN154" s="293">
        <f t="shared" si="152"/>
        <v>37818.689999999995</v>
      </c>
      <c r="CO154" s="293"/>
      <c r="CP154" s="58">
        <f t="shared" si="153"/>
        <v>0</v>
      </c>
      <c r="CQ154" s="223">
        <f t="shared" si="154"/>
        <v>0</v>
      </c>
      <c r="CR154" s="223">
        <f t="shared" si="155"/>
        <v>7725.8999999999978</v>
      </c>
      <c r="CS154" s="223">
        <f t="shared" si="156"/>
        <v>780</v>
      </c>
      <c r="CT154" s="223">
        <f t="shared" si="157"/>
        <v>372.84</v>
      </c>
      <c r="CU154" s="223">
        <f t="shared" si="158"/>
        <v>0</v>
      </c>
      <c r="CV154" s="223">
        <f t="shared" si="159"/>
        <v>483.60000000000014</v>
      </c>
      <c r="CW154" s="223">
        <f t="shared" si="160"/>
        <v>9362.3399999999983</v>
      </c>
      <c r="CX154" s="223">
        <f t="shared" si="161"/>
        <v>0</v>
      </c>
      <c r="CY154" s="58">
        <f t="shared" si="162"/>
        <v>0</v>
      </c>
      <c r="CZ154" s="399">
        <f t="shared" si="163"/>
        <v>0</v>
      </c>
      <c r="DA154" s="399">
        <f t="shared" si="164"/>
        <v>13023.659999999996</v>
      </c>
      <c r="DB154" s="399">
        <f t="shared" si="165"/>
        <v>975</v>
      </c>
      <c r="DC154" s="399">
        <f t="shared" si="166"/>
        <v>372.84</v>
      </c>
      <c r="DD154" s="399">
        <f t="shared" si="167"/>
        <v>0</v>
      </c>
      <c r="DE154" s="399">
        <f t="shared" si="168"/>
        <v>682.11000000000013</v>
      </c>
      <c r="DF154" s="399">
        <f t="shared" si="169"/>
        <v>15053.609999999997</v>
      </c>
      <c r="DG154" s="399">
        <f t="shared" si="170"/>
        <v>0</v>
      </c>
      <c r="DI154" s="399"/>
      <c r="DJ154" s="399"/>
      <c r="DK154" s="399"/>
      <c r="DL154" s="399"/>
      <c r="DM154" s="399"/>
      <c r="DN154" s="399"/>
      <c r="DO154" s="399"/>
      <c r="DP154" s="399"/>
      <c r="DQ154" s="399"/>
      <c r="DS154" s="399"/>
      <c r="DT154" s="399"/>
      <c r="DU154" s="399"/>
      <c r="DV154" s="399"/>
      <c r="DW154" s="399"/>
      <c r="DX154" s="399"/>
      <c r="DY154" s="399"/>
      <c r="DZ154" s="399"/>
      <c r="EB154" s="228">
        <f t="shared" si="171"/>
        <v>125730.50518005539</v>
      </c>
      <c r="EC154" s="228">
        <f t="shared" si="172"/>
        <v>0</v>
      </c>
      <c r="ED154" s="214">
        <f t="shared" si="173"/>
        <v>125730.50518005539</v>
      </c>
    </row>
    <row r="155" spans="1:134" hidden="1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3" t="str">
        <f>VLOOKUP(A155,'Summary Mar 2026'!$A$8:$F$207,6,FALSE)</f>
        <v>Chq Bk</v>
      </c>
      <c r="G155" s="33"/>
      <c r="H155" s="223">
        <v>0</v>
      </c>
      <c r="I155" s="294"/>
      <c r="J155" s="223">
        <v>0</v>
      </c>
      <c r="K155" s="223">
        <v>0</v>
      </c>
      <c r="L155" s="223">
        <v>27592.5</v>
      </c>
      <c r="M155" s="223">
        <v>2730</v>
      </c>
      <c r="N155" s="223">
        <v>1044.1052631578948</v>
      </c>
      <c r="O155" s="223">
        <v>0</v>
      </c>
      <c r="P155" s="33">
        <f t="shared" si="131"/>
        <v>31366.605263157893</v>
      </c>
      <c r="Q155" s="223">
        <f t="shared" si="132"/>
        <v>25093.284210526315</v>
      </c>
      <c r="R155" s="294"/>
      <c r="S155" s="223">
        <v>0</v>
      </c>
      <c r="T155" s="223">
        <v>0</v>
      </c>
      <c r="U155" s="223">
        <v>15451.800000000001</v>
      </c>
      <c r="V155" s="223">
        <v>1950</v>
      </c>
      <c r="W155" s="223">
        <v>745.78947368421052</v>
      </c>
      <c r="X155" s="223">
        <v>0</v>
      </c>
      <c r="Y155" s="223">
        <f t="shared" si="133"/>
        <v>18147.589473684213</v>
      </c>
      <c r="Z155" s="223">
        <f t="shared" si="134"/>
        <v>14518.071578947371</v>
      </c>
      <c r="AA155" s="294"/>
      <c r="AB155" s="398">
        <v>0</v>
      </c>
      <c r="AC155" s="398">
        <v>0</v>
      </c>
      <c r="AD155" s="398">
        <v>20912.21052631579</v>
      </c>
      <c r="AE155" s="398">
        <v>2103.1578947368421</v>
      </c>
      <c r="AF155" s="398">
        <v>782.6260387811634</v>
      </c>
      <c r="AG155" s="398">
        <v>0</v>
      </c>
      <c r="AH155" s="223">
        <f t="shared" si="135"/>
        <v>23797.994459833797</v>
      </c>
      <c r="AI155" s="398">
        <f t="shared" si="136"/>
        <v>19038.395567867039</v>
      </c>
      <c r="AJ155" s="294"/>
      <c r="AK155" s="398">
        <v>2751.45</v>
      </c>
      <c r="AL155" s="398">
        <v>1261.6499999999999</v>
      </c>
      <c r="AM155" s="398">
        <v>1971.852631578947</v>
      </c>
      <c r="AN155" s="294"/>
      <c r="AO155" s="398">
        <f t="shared" si="137"/>
        <v>2201.16</v>
      </c>
      <c r="AP155" s="398">
        <f t="shared" si="138"/>
        <v>1009.3199999999999</v>
      </c>
      <c r="AQ155" s="398">
        <f t="shared" si="139"/>
        <v>1577.4821052631578</v>
      </c>
      <c r="AR155" s="293"/>
      <c r="AS155" s="293">
        <v>0</v>
      </c>
      <c r="AT155" s="576">
        <f t="shared" si="140"/>
        <v>0</v>
      </c>
      <c r="AU155" s="293"/>
      <c r="AV155" s="293">
        <v>0</v>
      </c>
      <c r="AW155" s="293">
        <v>0</v>
      </c>
      <c r="AX155" s="293">
        <v>24281.4</v>
      </c>
      <c r="AY155" s="293">
        <v>3705</v>
      </c>
      <c r="AZ155" s="293">
        <v>1417</v>
      </c>
      <c r="BA155" s="293">
        <v>0</v>
      </c>
      <c r="BB155" s="293">
        <v>2316.6</v>
      </c>
      <c r="BC155" s="293">
        <f t="shared" si="141"/>
        <v>31720</v>
      </c>
      <c r="BE155" s="58">
        <f t="shared" si="142"/>
        <v>0</v>
      </c>
      <c r="BF155" s="58">
        <f t="shared" si="143"/>
        <v>0</v>
      </c>
      <c r="BG155" s="58">
        <f t="shared" si="144"/>
        <v>-3311.0999999999985</v>
      </c>
      <c r="BH155" s="58">
        <f t="shared" si="145"/>
        <v>975</v>
      </c>
      <c r="BI155" s="58">
        <f t="shared" si="146"/>
        <v>372.8947368421052</v>
      </c>
      <c r="BJ155" s="58">
        <f t="shared" si="147"/>
        <v>0</v>
      </c>
      <c r="BK155" s="58">
        <f t="shared" si="148"/>
        <v>-434.84999999999991</v>
      </c>
      <c r="BL155" s="58">
        <f t="shared" si="149"/>
        <v>-2398.055263157893</v>
      </c>
      <c r="BM155" s="33">
        <f t="shared" si="150"/>
        <v>0</v>
      </c>
      <c r="BN155" s="33"/>
      <c r="BO155" s="293">
        <f t="shared" ref="BO155:BO186" si="174">AV155-(J155*80%)</f>
        <v>0</v>
      </c>
      <c r="BP155" s="293">
        <f t="shared" si="123"/>
        <v>0</v>
      </c>
      <c r="BQ155" s="293">
        <f t="shared" si="124"/>
        <v>2207.4000000000015</v>
      </c>
      <c r="BR155" s="293">
        <f t="shared" si="125"/>
        <v>1521</v>
      </c>
      <c r="BS155" s="293">
        <f t="shared" si="126"/>
        <v>581.71578947368414</v>
      </c>
      <c r="BT155" s="293">
        <f t="shared" si="127"/>
        <v>0</v>
      </c>
      <c r="BU155" s="293">
        <f t="shared" si="128"/>
        <v>115.44000000000005</v>
      </c>
      <c r="BV155" s="293">
        <f t="shared" si="129"/>
        <v>4425.5557894736849</v>
      </c>
      <c r="BW155" s="293">
        <f t="shared" si="130"/>
        <v>0</v>
      </c>
      <c r="BX155" s="293">
        <v>0</v>
      </c>
      <c r="BY155" s="293">
        <v>0</v>
      </c>
      <c r="BZ155" s="293">
        <v>0</v>
      </c>
      <c r="CA155" s="293">
        <v>0</v>
      </c>
      <c r="CB155" s="293">
        <v>0</v>
      </c>
      <c r="CC155" s="293">
        <v>0</v>
      </c>
      <c r="CD155" s="293">
        <v>0</v>
      </c>
      <c r="CE155" s="293">
        <f t="shared" si="151"/>
        <v>0</v>
      </c>
      <c r="CF155" s="293"/>
      <c r="CG155" s="293">
        <v>0</v>
      </c>
      <c r="CH155" s="293">
        <v>0</v>
      </c>
      <c r="CI155" s="293">
        <v>24281.4</v>
      </c>
      <c r="CJ155" s="293">
        <v>2730</v>
      </c>
      <c r="CK155" s="293">
        <v>1044.68</v>
      </c>
      <c r="CL155" s="293">
        <v>0</v>
      </c>
      <c r="CM155" s="293">
        <v>2213.25</v>
      </c>
      <c r="CN155" s="293">
        <f t="shared" si="152"/>
        <v>30269.33</v>
      </c>
      <c r="CO155" s="293"/>
      <c r="CP155" s="58">
        <f t="shared" si="153"/>
        <v>0</v>
      </c>
      <c r="CQ155" s="223">
        <f t="shared" si="154"/>
        <v>0</v>
      </c>
      <c r="CR155" s="223">
        <f t="shared" si="155"/>
        <v>8829.6</v>
      </c>
      <c r="CS155" s="223">
        <f t="shared" si="156"/>
        <v>780</v>
      </c>
      <c r="CT155" s="223">
        <f t="shared" si="157"/>
        <v>298.89052631578954</v>
      </c>
      <c r="CU155" s="223">
        <f t="shared" si="158"/>
        <v>0</v>
      </c>
      <c r="CV155" s="223">
        <f t="shared" si="159"/>
        <v>951.60000000000014</v>
      </c>
      <c r="CW155" s="223">
        <f t="shared" si="160"/>
        <v>10860.090526315791</v>
      </c>
      <c r="CX155" s="223">
        <f t="shared" si="161"/>
        <v>0</v>
      </c>
      <c r="CY155" s="58">
        <f t="shared" si="162"/>
        <v>0</v>
      </c>
      <c r="CZ155" s="399">
        <f t="shared" si="163"/>
        <v>0</v>
      </c>
      <c r="DA155" s="399">
        <f t="shared" si="164"/>
        <v>11919.96</v>
      </c>
      <c r="DB155" s="399">
        <f t="shared" si="165"/>
        <v>1170</v>
      </c>
      <c r="DC155" s="399">
        <f t="shared" si="166"/>
        <v>448.04842105263162</v>
      </c>
      <c r="DD155" s="399">
        <f t="shared" si="167"/>
        <v>0</v>
      </c>
      <c r="DE155" s="399">
        <f t="shared" si="168"/>
        <v>1203.93</v>
      </c>
      <c r="DF155" s="399">
        <f t="shared" si="169"/>
        <v>14741.938421052631</v>
      </c>
      <c r="DG155" s="399">
        <f t="shared" si="170"/>
        <v>0</v>
      </c>
      <c r="DI155" s="399"/>
      <c r="DJ155" s="399"/>
      <c r="DK155" s="399"/>
      <c r="DL155" s="399"/>
      <c r="DM155" s="399"/>
      <c r="DN155" s="399"/>
      <c r="DO155" s="399"/>
      <c r="DP155" s="399"/>
      <c r="DQ155" s="399"/>
      <c r="DS155" s="399"/>
      <c r="DT155" s="399"/>
      <c r="DU155" s="399"/>
      <c r="DV155" s="399"/>
      <c r="DW155" s="399"/>
      <c r="DX155" s="399"/>
      <c r="DY155" s="399"/>
      <c r="DZ155" s="399"/>
      <c r="EB155" s="228">
        <f t="shared" si="171"/>
        <v>82605.207673130193</v>
      </c>
      <c r="EC155" s="228">
        <f t="shared" si="172"/>
        <v>0</v>
      </c>
      <c r="ED155" s="214">
        <f t="shared" si="173"/>
        <v>82605.207673130193</v>
      </c>
    </row>
    <row r="156" spans="1:134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3" t="str">
        <f>VLOOKUP(A156,'Summary Mar 2026'!$A$8:$F$207,6,FALSE)</f>
        <v>Chq Bk</v>
      </c>
      <c r="G156" s="33"/>
      <c r="H156" s="223">
        <v>250308.7887819311</v>
      </c>
      <c r="I156" s="294"/>
      <c r="J156" s="223">
        <v>0</v>
      </c>
      <c r="K156" s="223">
        <v>39826.799999999996</v>
      </c>
      <c r="L156" s="223">
        <v>128029.20000000001</v>
      </c>
      <c r="M156" s="223">
        <v>15600</v>
      </c>
      <c r="N156" s="223">
        <v>2386.5263157894738</v>
      </c>
      <c r="O156" s="223">
        <v>1925.3684210526317</v>
      </c>
      <c r="P156" s="33">
        <f t="shared" si="131"/>
        <v>187767.89473684211</v>
      </c>
      <c r="Q156" s="223">
        <f t="shared" si="132"/>
        <v>150214.31578947368</v>
      </c>
      <c r="R156" s="294"/>
      <c r="S156" s="223">
        <v>0</v>
      </c>
      <c r="T156" s="223">
        <v>51442.95</v>
      </c>
      <c r="U156" s="223">
        <v>89399.700000000012</v>
      </c>
      <c r="V156" s="223">
        <v>9945</v>
      </c>
      <c r="W156" s="223">
        <v>1342.421052631579</v>
      </c>
      <c r="X156" s="223">
        <v>962.68421052631584</v>
      </c>
      <c r="Y156" s="223">
        <f t="shared" si="133"/>
        <v>153092.75526315792</v>
      </c>
      <c r="Z156" s="223">
        <f t="shared" si="134"/>
        <v>122474.20421052634</v>
      </c>
      <c r="AA156" s="294"/>
      <c r="AB156" s="398">
        <v>0</v>
      </c>
      <c r="AC156" s="398">
        <v>36279.473684210519</v>
      </c>
      <c r="AD156" s="398">
        <v>102308.96842105263</v>
      </c>
      <c r="AE156" s="398">
        <v>10686.315789473685</v>
      </c>
      <c r="AF156" s="398">
        <v>1847.8670360110805</v>
      </c>
      <c r="AG156" s="398">
        <v>1403.1024930747922</v>
      </c>
      <c r="AH156" s="223">
        <f t="shared" si="135"/>
        <v>152525.72742382268</v>
      </c>
      <c r="AI156" s="398">
        <f t="shared" si="136"/>
        <v>122020.58193905815</v>
      </c>
      <c r="AJ156" s="294"/>
      <c r="AK156" s="398">
        <v>7394.4000000000005</v>
      </c>
      <c r="AL156" s="398">
        <v>4970.5499999999993</v>
      </c>
      <c r="AM156" s="398">
        <v>5229.4736842105267</v>
      </c>
      <c r="AN156" s="294"/>
      <c r="AO156" s="398">
        <f t="shared" si="137"/>
        <v>5915.52</v>
      </c>
      <c r="AP156" s="398">
        <f t="shared" si="138"/>
        <v>3976.4399999999996</v>
      </c>
      <c r="AQ156" s="398">
        <f t="shared" si="139"/>
        <v>4183.5789473684217</v>
      </c>
      <c r="AR156" s="293"/>
      <c r="AS156" s="293">
        <v>245459.98739740971</v>
      </c>
      <c r="AT156" s="576">
        <f t="shared" si="140"/>
        <v>-4848.8013845213864</v>
      </c>
      <c r="AU156" s="293"/>
      <c r="AV156" s="293">
        <v>0</v>
      </c>
      <c r="AW156" s="293">
        <v>39826.799999999996</v>
      </c>
      <c r="AX156" s="293">
        <v>134651.4</v>
      </c>
      <c r="AY156" s="293">
        <v>13260</v>
      </c>
      <c r="AZ156" s="293">
        <v>2162.7894736842104</v>
      </c>
      <c r="BA156" s="293">
        <v>1925.34</v>
      </c>
      <c r="BB156" s="293">
        <v>6436.95</v>
      </c>
      <c r="BC156" s="293">
        <f t="shared" si="141"/>
        <v>443723.26687109389</v>
      </c>
      <c r="BE156" s="58">
        <f t="shared" si="142"/>
        <v>0</v>
      </c>
      <c r="BF156" s="58">
        <f t="shared" si="143"/>
        <v>0</v>
      </c>
      <c r="BG156" s="58">
        <f t="shared" si="144"/>
        <v>6622.1999999999825</v>
      </c>
      <c r="BH156" s="58">
        <f t="shared" si="145"/>
        <v>-2340</v>
      </c>
      <c r="BI156" s="58">
        <f t="shared" si="146"/>
        <v>-223.73684210526335</v>
      </c>
      <c r="BJ156" s="58">
        <f t="shared" si="147"/>
        <v>-2.8421052631756538E-2</v>
      </c>
      <c r="BK156" s="58">
        <f t="shared" si="148"/>
        <v>-957.45000000000073</v>
      </c>
      <c r="BL156" s="58">
        <f t="shared" si="149"/>
        <v>-1747.8166476792994</v>
      </c>
      <c r="BM156" s="33">
        <f t="shared" si="150"/>
        <v>0</v>
      </c>
      <c r="BN156" s="33"/>
      <c r="BO156" s="293">
        <f t="shared" si="174"/>
        <v>0</v>
      </c>
      <c r="BP156" s="293">
        <f t="shared" ref="BP156:BP187" si="175">AW156-(K156*80%)</f>
        <v>7965.3599999999969</v>
      </c>
      <c r="BQ156" s="293">
        <f t="shared" ref="BQ156:BQ187" si="176">AX156-(L156*80%)</f>
        <v>32228.039999999979</v>
      </c>
      <c r="BR156" s="293">
        <f t="shared" ref="BR156:BR187" si="177">AY156-(M156*80%)</f>
        <v>780</v>
      </c>
      <c r="BS156" s="293">
        <f t="shared" ref="BS156:BS187" si="178">AZ156-(N156*80%)</f>
        <v>253.56842105263127</v>
      </c>
      <c r="BT156" s="293">
        <f t="shared" ref="BT156:BT187" si="179">BA156-(O156*80%)</f>
        <v>385.0452631578944</v>
      </c>
      <c r="BU156" s="293">
        <f t="shared" ref="BU156:BU187" si="180">BB156-(AK156*80%)</f>
        <v>521.42999999999938</v>
      </c>
      <c r="BV156" s="293">
        <f t="shared" si="129"/>
        <v>37284.64229968912</v>
      </c>
      <c r="BW156" s="293">
        <f t="shared" si="130"/>
        <v>-2.9103830456733704E-11</v>
      </c>
      <c r="BX156" s="293">
        <v>0</v>
      </c>
      <c r="BY156" s="293">
        <v>-3318.9000000000015</v>
      </c>
      <c r="BZ156" s="293">
        <v>0</v>
      </c>
      <c r="CA156" s="293">
        <v>0</v>
      </c>
      <c r="CB156" s="293">
        <v>447.47368421052624</v>
      </c>
      <c r="CC156" s="293">
        <v>3702.66</v>
      </c>
      <c r="CD156" s="293">
        <v>893.10000000000036</v>
      </c>
      <c r="CE156" s="293">
        <f t="shared" si="151"/>
        <v>1724.333684210525</v>
      </c>
      <c r="CF156" s="293"/>
      <c r="CG156" s="293">
        <v>0</v>
      </c>
      <c r="CH156" s="293">
        <v>50294.1</v>
      </c>
      <c r="CI156" s="293">
        <v>98908.5</v>
      </c>
      <c r="CJ156" s="293">
        <v>10335</v>
      </c>
      <c r="CK156" s="293">
        <v>4140.24</v>
      </c>
      <c r="CL156" s="293">
        <v>1876</v>
      </c>
      <c r="CM156" s="293">
        <v>6286.8</v>
      </c>
      <c r="CN156" s="293">
        <f t="shared" si="152"/>
        <v>171840.63999999998</v>
      </c>
      <c r="CO156" s="293"/>
      <c r="CP156" s="58">
        <f t="shared" si="153"/>
        <v>0</v>
      </c>
      <c r="CQ156" s="223">
        <f t="shared" si="154"/>
        <v>-1148.8499999999985</v>
      </c>
      <c r="CR156" s="223">
        <f t="shared" si="155"/>
        <v>9508.7999999999884</v>
      </c>
      <c r="CS156" s="223">
        <f t="shared" si="156"/>
        <v>390</v>
      </c>
      <c r="CT156" s="223">
        <f t="shared" si="157"/>
        <v>2797.8189473684206</v>
      </c>
      <c r="CU156" s="223">
        <f t="shared" si="158"/>
        <v>913.31578947368416</v>
      </c>
      <c r="CV156" s="223">
        <f t="shared" si="159"/>
        <v>1316.2500000000009</v>
      </c>
      <c r="CW156" s="223">
        <f t="shared" si="160"/>
        <v>13777.334736842095</v>
      </c>
      <c r="CX156" s="223">
        <f t="shared" si="161"/>
        <v>0</v>
      </c>
      <c r="CY156" s="58">
        <f t="shared" si="162"/>
        <v>0</v>
      </c>
      <c r="CZ156" s="399">
        <f t="shared" si="163"/>
        <v>9139.739999999998</v>
      </c>
      <c r="DA156" s="399">
        <f t="shared" si="164"/>
        <v>27388.739999999991</v>
      </c>
      <c r="DB156" s="399">
        <f t="shared" si="165"/>
        <v>2379</v>
      </c>
      <c r="DC156" s="399">
        <f t="shared" si="166"/>
        <v>3066.3031578947366</v>
      </c>
      <c r="DD156" s="399">
        <f t="shared" si="167"/>
        <v>1105.8526315789472</v>
      </c>
      <c r="DE156" s="399">
        <f t="shared" si="168"/>
        <v>2310.3600000000006</v>
      </c>
      <c r="DF156" s="399">
        <f t="shared" si="169"/>
        <v>45389.995789473673</v>
      </c>
      <c r="DG156" s="399">
        <f t="shared" si="170"/>
        <v>0</v>
      </c>
      <c r="DI156" s="399"/>
      <c r="DJ156" s="399"/>
      <c r="DK156" s="399"/>
      <c r="DL156" s="399"/>
      <c r="DM156" s="399"/>
      <c r="DN156" s="399"/>
      <c r="DO156" s="399"/>
      <c r="DP156" s="399"/>
      <c r="DQ156" s="399"/>
      <c r="DS156" s="399"/>
      <c r="DT156" s="399"/>
      <c r="DU156" s="399"/>
      <c r="DV156" s="399"/>
      <c r="DW156" s="399"/>
      <c r="DX156" s="399"/>
      <c r="DY156" s="399"/>
      <c r="DZ156" s="399"/>
      <c r="EB156" s="228">
        <f t="shared" si="171"/>
        <v>734865.91944727115</v>
      </c>
      <c r="EC156" s="228">
        <f t="shared" si="172"/>
        <v>8626.481994459833</v>
      </c>
      <c r="ED156" s="214">
        <f t="shared" si="173"/>
        <v>743492.40144173102</v>
      </c>
    </row>
    <row r="157" spans="1:134" hidden="1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3" t="str">
        <f>VLOOKUP(A157,'Summary Mar 2026'!$A$8:$F$207,6,FALSE)</f>
        <v>Chq Bk</v>
      </c>
      <c r="G157" s="33"/>
      <c r="H157" s="223">
        <v>0</v>
      </c>
      <c r="I157" s="294"/>
      <c r="J157" s="223">
        <v>0</v>
      </c>
      <c r="K157" s="223">
        <v>0</v>
      </c>
      <c r="L157" s="223">
        <v>43044.3</v>
      </c>
      <c r="M157" s="223">
        <v>1755</v>
      </c>
      <c r="N157" s="223">
        <v>671.21052631578948</v>
      </c>
      <c r="O157" s="223">
        <v>0</v>
      </c>
      <c r="P157" s="33">
        <f t="shared" si="131"/>
        <v>45470.510526315789</v>
      </c>
      <c r="Q157" s="223">
        <f t="shared" si="132"/>
        <v>36376.408421052634</v>
      </c>
      <c r="R157" s="294"/>
      <c r="S157" s="223">
        <v>0</v>
      </c>
      <c r="T157" s="223">
        <v>0</v>
      </c>
      <c r="U157" s="223">
        <v>41940.6</v>
      </c>
      <c r="V157" s="223">
        <v>2340</v>
      </c>
      <c r="W157" s="223">
        <v>820.36842105263156</v>
      </c>
      <c r="X157" s="223">
        <v>0</v>
      </c>
      <c r="Y157" s="223">
        <f t="shared" si="133"/>
        <v>45100.968421052632</v>
      </c>
      <c r="Z157" s="223">
        <f t="shared" si="134"/>
        <v>36080.774736842104</v>
      </c>
      <c r="AA157" s="294"/>
      <c r="AB157" s="398">
        <v>0</v>
      </c>
      <c r="AC157" s="398">
        <v>0</v>
      </c>
      <c r="AD157" s="398">
        <v>37320.252631578951</v>
      </c>
      <c r="AE157" s="398">
        <v>1875.7894736842106</v>
      </c>
      <c r="AF157" s="398">
        <v>695.66759002770073</v>
      </c>
      <c r="AG157" s="398">
        <v>0</v>
      </c>
      <c r="AH157" s="223">
        <f t="shared" si="135"/>
        <v>39891.709695290869</v>
      </c>
      <c r="AI157" s="398">
        <f t="shared" si="136"/>
        <v>31913.367756232696</v>
      </c>
      <c r="AJ157" s="294"/>
      <c r="AK157" s="398">
        <v>325.64999999999998</v>
      </c>
      <c r="AL157" s="398">
        <v>1468.3499999999997</v>
      </c>
      <c r="AM157" s="398">
        <v>622.42105263157896</v>
      </c>
      <c r="AN157" s="294"/>
      <c r="AO157" s="398">
        <f t="shared" si="137"/>
        <v>260.52</v>
      </c>
      <c r="AP157" s="398">
        <f t="shared" si="138"/>
        <v>1174.6799999999998</v>
      </c>
      <c r="AQ157" s="398">
        <f t="shared" si="139"/>
        <v>497.93684210526317</v>
      </c>
      <c r="AR157" s="293"/>
      <c r="AS157" s="293">
        <v>0</v>
      </c>
      <c r="AT157" s="576">
        <f t="shared" si="140"/>
        <v>0</v>
      </c>
      <c r="AU157" s="293"/>
      <c r="AV157" s="293">
        <v>0</v>
      </c>
      <c r="AW157" s="293">
        <v>0</v>
      </c>
      <c r="AX157" s="293">
        <v>43044.3</v>
      </c>
      <c r="AY157" s="293">
        <v>3120</v>
      </c>
      <c r="AZ157" s="293">
        <v>0</v>
      </c>
      <c r="BA157" s="293">
        <v>0</v>
      </c>
      <c r="BB157" s="293">
        <v>1468.3499999999997</v>
      </c>
      <c r="BC157" s="293">
        <f t="shared" si="141"/>
        <v>47632.65</v>
      </c>
      <c r="BE157" s="58">
        <f t="shared" si="142"/>
        <v>0</v>
      </c>
      <c r="BF157" s="58">
        <f t="shared" si="143"/>
        <v>0</v>
      </c>
      <c r="BG157" s="58">
        <f t="shared" si="144"/>
        <v>0</v>
      </c>
      <c r="BH157" s="58">
        <f t="shared" si="145"/>
        <v>1365</v>
      </c>
      <c r="BI157" s="58">
        <f t="shared" si="146"/>
        <v>-671.21052631578948</v>
      </c>
      <c r="BJ157" s="58">
        <f t="shared" si="147"/>
        <v>0</v>
      </c>
      <c r="BK157" s="58">
        <f t="shared" si="148"/>
        <v>1142.6999999999998</v>
      </c>
      <c r="BL157" s="58">
        <f t="shared" si="149"/>
        <v>1836.4894736842102</v>
      </c>
      <c r="BM157" s="33">
        <f t="shared" si="150"/>
        <v>0</v>
      </c>
      <c r="BN157" s="33"/>
      <c r="BO157" s="293">
        <f t="shared" si="174"/>
        <v>0</v>
      </c>
      <c r="BP157" s="293">
        <f t="shared" si="175"/>
        <v>0</v>
      </c>
      <c r="BQ157" s="293">
        <f t="shared" si="176"/>
        <v>8608.86</v>
      </c>
      <c r="BR157" s="293">
        <f t="shared" si="177"/>
        <v>1716</v>
      </c>
      <c r="BS157" s="293">
        <f t="shared" si="178"/>
        <v>-536.96842105263158</v>
      </c>
      <c r="BT157" s="293">
        <f t="shared" si="179"/>
        <v>0</v>
      </c>
      <c r="BU157" s="293">
        <f t="shared" si="180"/>
        <v>1207.8299999999997</v>
      </c>
      <c r="BV157" s="293">
        <f t="shared" si="129"/>
        <v>10995.721578947368</v>
      </c>
      <c r="BW157" s="293">
        <f t="shared" si="130"/>
        <v>0</v>
      </c>
      <c r="BX157" s="293">
        <v>0</v>
      </c>
      <c r="BY157" s="293">
        <v>0</v>
      </c>
      <c r="BZ157" s="293">
        <v>0</v>
      </c>
      <c r="CA157" s="293">
        <v>0</v>
      </c>
      <c r="CB157" s="293">
        <v>0</v>
      </c>
      <c r="CC157" s="293">
        <v>0</v>
      </c>
      <c r="CD157" s="293">
        <v>0</v>
      </c>
      <c r="CE157" s="293">
        <f t="shared" si="151"/>
        <v>0</v>
      </c>
      <c r="CF157" s="293"/>
      <c r="CG157" s="293">
        <v>0</v>
      </c>
      <c r="CH157" s="293">
        <v>0</v>
      </c>
      <c r="CI157" s="293">
        <v>41940.6</v>
      </c>
      <c r="CJ157" s="293">
        <v>1365</v>
      </c>
      <c r="CK157" s="293">
        <v>0</v>
      </c>
      <c r="CL157" s="293">
        <v>0</v>
      </c>
      <c r="CM157" s="293">
        <v>879.44999999999993</v>
      </c>
      <c r="CN157" s="293">
        <f t="shared" si="152"/>
        <v>44185.049999999996</v>
      </c>
      <c r="CO157" s="293"/>
      <c r="CP157" s="58">
        <f t="shared" si="153"/>
        <v>0</v>
      </c>
      <c r="CQ157" s="223">
        <f t="shared" si="154"/>
        <v>0</v>
      </c>
      <c r="CR157" s="223">
        <f t="shared" si="155"/>
        <v>0</v>
      </c>
      <c r="CS157" s="223">
        <f t="shared" si="156"/>
        <v>-975</v>
      </c>
      <c r="CT157" s="223">
        <f t="shared" si="157"/>
        <v>-820.36842105263156</v>
      </c>
      <c r="CU157" s="223">
        <f t="shared" si="158"/>
        <v>0</v>
      </c>
      <c r="CV157" s="223">
        <f t="shared" si="159"/>
        <v>-588.89999999999975</v>
      </c>
      <c r="CW157" s="223">
        <f t="shared" si="160"/>
        <v>-2384.2684210526313</v>
      </c>
      <c r="CX157" s="223">
        <f t="shared" si="161"/>
        <v>0</v>
      </c>
      <c r="CY157" s="58">
        <f t="shared" si="162"/>
        <v>0</v>
      </c>
      <c r="CZ157" s="399">
        <f t="shared" si="163"/>
        <v>0</v>
      </c>
      <c r="DA157" s="399">
        <f t="shared" si="164"/>
        <v>8388.1199999999953</v>
      </c>
      <c r="DB157" s="399">
        <f t="shared" si="165"/>
        <v>-507</v>
      </c>
      <c r="DC157" s="399">
        <f t="shared" si="166"/>
        <v>-656.29473684210529</v>
      </c>
      <c r="DD157" s="399">
        <f t="shared" si="167"/>
        <v>0</v>
      </c>
      <c r="DE157" s="399">
        <f t="shared" si="168"/>
        <v>-295.2299999999999</v>
      </c>
      <c r="DF157" s="399">
        <f t="shared" si="169"/>
        <v>6929.5952631578903</v>
      </c>
      <c r="DG157" s="399">
        <f t="shared" si="170"/>
        <v>0</v>
      </c>
      <c r="DI157" s="399"/>
      <c r="DJ157" s="399"/>
      <c r="DK157" s="399"/>
      <c r="DL157" s="399"/>
      <c r="DM157" s="399"/>
      <c r="DN157" s="399"/>
      <c r="DO157" s="399"/>
      <c r="DP157" s="399"/>
      <c r="DQ157" s="399"/>
      <c r="DS157" s="399"/>
      <c r="DT157" s="399"/>
      <c r="DU157" s="399"/>
      <c r="DV157" s="399"/>
      <c r="DW157" s="399"/>
      <c r="DX157" s="399"/>
      <c r="DY157" s="399"/>
      <c r="DZ157" s="399"/>
      <c r="EB157" s="228">
        <f t="shared" si="171"/>
        <v>124229.00459833795</v>
      </c>
      <c r="EC157" s="228">
        <f t="shared" si="172"/>
        <v>0</v>
      </c>
      <c r="ED157" s="214">
        <f t="shared" si="173"/>
        <v>124229.00459833795</v>
      </c>
    </row>
    <row r="158" spans="1:134" hidden="1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3" t="str">
        <f>VLOOKUP(A158,'Summary Mar 2026'!$A$8:$F$207,6,FALSE)</f>
        <v>Chq Bk</v>
      </c>
      <c r="G158" s="33"/>
      <c r="H158" s="223">
        <v>0</v>
      </c>
      <c r="I158" s="294"/>
      <c r="J158" s="223">
        <v>0</v>
      </c>
      <c r="K158" s="223">
        <v>0</v>
      </c>
      <c r="L158" s="223">
        <v>0</v>
      </c>
      <c r="M158" s="223">
        <v>0</v>
      </c>
      <c r="N158" s="223">
        <v>0</v>
      </c>
      <c r="O158" s="223">
        <v>0</v>
      </c>
      <c r="P158" s="33">
        <f t="shared" si="131"/>
        <v>0</v>
      </c>
      <c r="Q158" s="223">
        <f t="shared" si="132"/>
        <v>0</v>
      </c>
      <c r="R158" s="294"/>
      <c r="S158" s="223">
        <v>0</v>
      </c>
      <c r="T158" s="223">
        <v>0</v>
      </c>
      <c r="U158" s="223">
        <v>0</v>
      </c>
      <c r="V158" s="223">
        <v>0</v>
      </c>
      <c r="W158" s="223">
        <v>0</v>
      </c>
      <c r="X158" s="223">
        <v>0</v>
      </c>
      <c r="Y158" s="223">
        <f t="shared" si="133"/>
        <v>0</v>
      </c>
      <c r="Z158" s="223">
        <f t="shared" si="134"/>
        <v>0</v>
      </c>
      <c r="AA158" s="294"/>
      <c r="AB158" s="398">
        <v>0</v>
      </c>
      <c r="AC158" s="398">
        <v>0</v>
      </c>
      <c r="AD158" s="398">
        <v>0</v>
      </c>
      <c r="AE158" s="398">
        <v>0</v>
      </c>
      <c r="AF158" s="398">
        <v>0</v>
      </c>
      <c r="AG158" s="398">
        <v>0</v>
      </c>
      <c r="AH158" s="223">
        <f t="shared" si="135"/>
        <v>0</v>
      </c>
      <c r="AI158" s="398">
        <f t="shared" si="136"/>
        <v>0</v>
      </c>
      <c r="AJ158" s="294"/>
      <c r="AK158" s="398">
        <v>0</v>
      </c>
      <c r="AL158" s="398">
        <v>0</v>
      </c>
      <c r="AM158" s="398">
        <v>0</v>
      </c>
      <c r="AN158" s="294"/>
      <c r="AO158" s="398">
        <f t="shared" si="137"/>
        <v>0</v>
      </c>
      <c r="AP158" s="398">
        <f t="shared" si="138"/>
        <v>0</v>
      </c>
      <c r="AQ158" s="398">
        <f t="shared" si="139"/>
        <v>0</v>
      </c>
      <c r="AR158" s="293"/>
      <c r="AS158" s="293">
        <v>0</v>
      </c>
      <c r="AT158" s="576">
        <f t="shared" si="140"/>
        <v>0</v>
      </c>
      <c r="AU158" s="293"/>
      <c r="AV158" s="293">
        <v>0</v>
      </c>
      <c r="AW158" s="293">
        <v>0</v>
      </c>
      <c r="AX158" s="293">
        <v>0</v>
      </c>
      <c r="AY158" s="293">
        <v>0</v>
      </c>
      <c r="AZ158" s="293">
        <v>0</v>
      </c>
      <c r="BA158" s="293">
        <v>0</v>
      </c>
      <c r="BB158" s="293">
        <v>0</v>
      </c>
      <c r="BC158" s="293">
        <f t="shared" si="141"/>
        <v>0</v>
      </c>
      <c r="BE158" s="58">
        <f t="shared" si="142"/>
        <v>0</v>
      </c>
      <c r="BF158" s="58">
        <f t="shared" si="143"/>
        <v>0</v>
      </c>
      <c r="BG158" s="58">
        <f t="shared" si="144"/>
        <v>0</v>
      </c>
      <c r="BH158" s="58">
        <f t="shared" si="145"/>
        <v>0</v>
      </c>
      <c r="BI158" s="58">
        <f t="shared" si="146"/>
        <v>0</v>
      </c>
      <c r="BJ158" s="58">
        <f t="shared" si="147"/>
        <v>0</v>
      </c>
      <c r="BK158" s="58">
        <f t="shared" si="148"/>
        <v>0</v>
      </c>
      <c r="BL158" s="58">
        <f t="shared" si="149"/>
        <v>0</v>
      </c>
      <c r="BM158" s="33">
        <f t="shared" si="150"/>
        <v>0</v>
      </c>
      <c r="BN158" s="33"/>
      <c r="BO158" s="293">
        <f t="shared" si="174"/>
        <v>0</v>
      </c>
      <c r="BP158" s="293">
        <f t="shared" si="175"/>
        <v>0</v>
      </c>
      <c r="BQ158" s="293">
        <f t="shared" si="176"/>
        <v>0</v>
      </c>
      <c r="BR158" s="293">
        <f t="shared" si="177"/>
        <v>0</v>
      </c>
      <c r="BS158" s="293">
        <f t="shared" si="178"/>
        <v>0</v>
      </c>
      <c r="BT158" s="293">
        <f t="shared" si="179"/>
        <v>0</v>
      </c>
      <c r="BU158" s="293">
        <f t="shared" si="180"/>
        <v>0</v>
      </c>
      <c r="BV158" s="293">
        <f t="shared" si="129"/>
        <v>0</v>
      </c>
      <c r="BW158" s="293">
        <f t="shared" si="130"/>
        <v>0</v>
      </c>
      <c r="BX158" s="293">
        <v>0</v>
      </c>
      <c r="BY158" s="293">
        <v>0</v>
      </c>
      <c r="BZ158" s="293">
        <v>0</v>
      </c>
      <c r="CA158" s="293">
        <v>0</v>
      </c>
      <c r="CB158" s="293">
        <v>0</v>
      </c>
      <c r="CC158" s="293">
        <v>0</v>
      </c>
      <c r="CD158" s="293">
        <v>0</v>
      </c>
      <c r="CE158" s="293">
        <f t="shared" si="151"/>
        <v>0</v>
      </c>
      <c r="CF158" s="293"/>
      <c r="CG158" s="293">
        <v>0</v>
      </c>
      <c r="CH158" s="293">
        <v>0</v>
      </c>
      <c r="CI158" s="293">
        <v>0</v>
      </c>
      <c r="CJ158" s="293">
        <v>0</v>
      </c>
      <c r="CK158" s="293">
        <v>0</v>
      </c>
      <c r="CL158" s="293">
        <v>0</v>
      </c>
      <c r="CM158" s="293">
        <v>0</v>
      </c>
      <c r="CN158" s="293">
        <f t="shared" si="152"/>
        <v>0</v>
      </c>
      <c r="CO158" s="293"/>
      <c r="CP158" s="58">
        <f t="shared" si="153"/>
        <v>0</v>
      </c>
      <c r="CQ158" s="223">
        <f t="shared" si="154"/>
        <v>0</v>
      </c>
      <c r="CR158" s="223">
        <f t="shared" si="155"/>
        <v>0</v>
      </c>
      <c r="CS158" s="223">
        <f t="shared" si="156"/>
        <v>0</v>
      </c>
      <c r="CT158" s="223">
        <f t="shared" si="157"/>
        <v>0</v>
      </c>
      <c r="CU158" s="223">
        <f t="shared" si="158"/>
        <v>0</v>
      </c>
      <c r="CV158" s="223">
        <f t="shared" si="159"/>
        <v>0</v>
      </c>
      <c r="CW158" s="223">
        <f t="shared" si="160"/>
        <v>0</v>
      </c>
      <c r="CX158" s="223">
        <f t="shared" si="161"/>
        <v>0</v>
      </c>
      <c r="CY158" s="58">
        <f t="shared" si="162"/>
        <v>0</v>
      </c>
      <c r="CZ158" s="399">
        <f t="shared" si="163"/>
        <v>0</v>
      </c>
      <c r="DA158" s="399">
        <f t="shared" si="164"/>
        <v>0</v>
      </c>
      <c r="DB158" s="399">
        <f t="shared" si="165"/>
        <v>0</v>
      </c>
      <c r="DC158" s="399">
        <f t="shared" si="166"/>
        <v>0</v>
      </c>
      <c r="DD158" s="399">
        <f t="shared" si="167"/>
        <v>0</v>
      </c>
      <c r="DE158" s="399">
        <f t="shared" si="168"/>
        <v>0</v>
      </c>
      <c r="DF158" s="399">
        <f t="shared" si="169"/>
        <v>0</v>
      </c>
      <c r="DG158" s="399">
        <f t="shared" si="170"/>
        <v>0</v>
      </c>
      <c r="DI158" s="399"/>
      <c r="DJ158" s="399"/>
      <c r="DK158" s="399"/>
      <c r="DL158" s="399"/>
      <c r="DM158" s="399"/>
      <c r="DN158" s="399"/>
      <c r="DO158" s="399"/>
      <c r="DP158" s="399"/>
      <c r="DQ158" s="399"/>
      <c r="DS158" s="399"/>
      <c r="DT158" s="399"/>
      <c r="DU158" s="399"/>
      <c r="DV158" s="399"/>
      <c r="DW158" s="399"/>
      <c r="DX158" s="399"/>
      <c r="DY158" s="399"/>
      <c r="DZ158" s="399"/>
      <c r="EB158" s="228">
        <f t="shared" si="171"/>
        <v>0</v>
      </c>
      <c r="EC158" s="228">
        <f t="shared" si="172"/>
        <v>0</v>
      </c>
      <c r="ED158" s="214">
        <f t="shared" si="173"/>
        <v>0</v>
      </c>
    </row>
    <row r="159" spans="1:134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3" t="str">
        <f>VLOOKUP(A159,'Summary Mar 2026'!$A$8:$F$207,6,FALSE)</f>
        <v>Chq Bk</v>
      </c>
      <c r="G159" s="33"/>
      <c r="H159" s="223">
        <v>0</v>
      </c>
      <c r="I159" s="294"/>
      <c r="J159" s="223">
        <v>0</v>
      </c>
      <c r="K159" s="223">
        <v>0</v>
      </c>
      <c r="L159" s="223">
        <v>57392.4</v>
      </c>
      <c r="M159" s="223">
        <v>0</v>
      </c>
      <c r="N159" s="223">
        <v>0</v>
      </c>
      <c r="O159" s="223">
        <v>0</v>
      </c>
      <c r="P159" s="33">
        <f t="shared" si="131"/>
        <v>57392.4</v>
      </c>
      <c r="Q159" s="223">
        <f t="shared" si="132"/>
        <v>45913.920000000006</v>
      </c>
      <c r="R159" s="294"/>
      <c r="S159" s="223">
        <v>0</v>
      </c>
      <c r="T159" s="223">
        <v>0</v>
      </c>
      <c r="U159" s="223">
        <v>39733.200000000004</v>
      </c>
      <c r="V159" s="223">
        <v>0</v>
      </c>
      <c r="W159" s="223">
        <v>0</v>
      </c>
      <c r="X159" s="223">
        <v>0</v>
      </c>
      <c r="Y159" s="223">
        <f t="shared" si="133"/>
        <v>39733.200000000004</v>
      </c>
      <c r="Z159" s="223">
        <f t="shared" si="134"/>
        <v>31786.560000000005</v>
      </c>
      <c r="AA159" s="294"/>
      <c r="AB159" s="398">
        <v>0</v>
      </c>
      <c r="AC159" s="398">
        <v>0</v>
      </c>
      <c r="AD159" s="398">
        <v>45041.68421052632</v>
      </c>
      <c r="AE159" s="398">
        <v>0</v>
      </c>
      <c r="AF159" s="398">
        <v>0</v>
      </c>
      <c r="AG159" s="398">
        <v>0</v>
      </c>
      <c r="AH159" s="223">
        <f t="shared" si="135"/>
        <v>45041.68421052632</v>
      </c>
      <c r="AI159" s="398">
        <f t="shared" si="136"/>
        <v>36033.347368421055</v>
      </c>
      <c r="AJ159" s="294"/>
      <c r="AK159" s="398">
        <v>46.800000000000004</v>
      </c>
      <c r="AL159" s="398">
        <v>15.6</v>
      </c>
      <c r="AM159" s="398">
        <v>31.831578947368421</v>
      </c>
      <c r="AN159" s="294"/>
      <c r="AO159" s="398">
        <f t="shared" si="137"/>
        <v>37.440000000000005</v>
      </c>
      <c r="AP159" s="398">
        <f t="shared" si="138"/>
        <v>12.48</v>
      </c>
      <c r="AQ159" s="398">
        <f t="shared" si="139"/>
        <v>25.465263157894739</v>
      </c>
      <c r="AR159" s="293"/>
      <c r="AS159" s="293">
        <v>0</v>
      </c>
      <c r="AT159" s="576">
        <f t="shared" si="140"/>
        <v>0</v>
      </c>
      <c r="AU159" s="293"/>
      <c r="AV159" s="293">
        <v>0</v>
      </c>
      <c r="AW159" s="293">
        <v>0</v>
      </c>
      <c r="AX159" s="293">
        <v>48562.8</v>
      </c>
      <c r="AY159" s="293">
        <v>390</v>
      </c>
      <c r="AZ159" s="293">
        <v>149.15789473684211</v>
      </c>
      <c r="BA159" s="293">
        <v>0</v>
      </c>
      <c r="BB159" s="293">
        <v>31.2</v>
      </c>
      <c r="BC159" s="293">
        <f t="shared" si="141"/>
        <v>49133.15789473684</v>
      </c>
      <c r="BE159" s="58">
        <f t="shared" si="142"/>
        <v>0</v>
      </c>
      <c r="BF159" s="58">
        <f t="shared" si="143"/>
        <v>0</v>
      </c>
      <c r="BG159" s="58">
        <f t="shared" si="144"/>
        <v>-8829.5999999999985</v>
      </c>
      <c r="BH159" s="58">
        <f t="shared" si="145"/>
        <v>390</v>
      </c>
      <c r="BI159" s="58">
        <f t="shared" si="146"/>
        <v>149.15789473684211</v>
      </c>
      <c r="BJ159" s="58">
        <f t="shared" si="147"/>
        <v>0</v>
      </c>
      <c r="BK159" s="58">
        <f t="shared" si="148"/>
        <v>-15.600000000000005</v>
      </c>
      <c r="BL159" s="58">
        <f t="shared" si="149"/>
        <v>-8306.0421052631573</v>
      </c>
      <c r="BM159" s="33">
        <f t="shared" si="150"/>
        <v>0</v>
      </c>
      <c r="BN159" s="33"/>
      <c r="BO159" s="293">
        <f t="shared" si="174"/>
        <v>0</v>
      </c>
      <c r="BP159" s="293">
        <f t="shared" si="175"/>
        <v>0</v>
      </c>
      <c r="BQ159" s="293">
        <f t="shared" si="176"/>
        <v>2648.8799999999974</v>
      </c>
      <c r="BR159" s="293">
        <f t="shared" si="177"/>
        <v>390</v>
      </c>
      <c r="BS159" s="293">
        <f t="shared" si="178"/>
        <v>149.15789473684211</v>
      </c>
      <c r="BT159" s="293">
        <f t="shared" si="179"/>
        <v>0</v>
      </c>
      <c r="BU159" s="293">
        <f t="shared" si="180"/>
        <v>-6.2400000000000055</v>
      </c>
      <c r="BV159" s="293">
        <f t="shared" si="129"/>
        <v>3181.7978947368397</v>
      </c>
      <c r="BW159" s="293">
        <f t="shared" si="130"/>
        <v>7.2759576141834259E-12</v>
      </c>
      <c r="BX159" s="293">
        <v>0</v>
      </c>
      <c r="BY159" s="293">
        <v>0</v>
      </c>
      <c r="BZ159" s="293">
        <v>0</v>
      </c>
      <c r="CA159" s="293">
        <v>0</v>
      </c>
      <c r="CB159" s="293">
        <v>223.73684210526315</v>
      </c>
      <c r="CC159" s="293">
        <v>0</v>
      </c>
      <c r="CD159" s="293">
        <v>31.2</v>
      </c>
      <c r="CE159" s="293">
        <f t="shared" si="151"/>
        <v>254.93684210526314</v>
      </c>
      <c r="CF159" s="293"/>
      <c r="CG159" s="293">
        <v>0</v>
      </c>
      <c r="CH159" s="293">
        <v>0</v>
      </c>
      <c r="CI159" s="293">
        <v>40836.9</v>
      </c>
      <c r="CJ159" s="293">
        <v>390</v>
      </c>
      <c r="CK159" s="293">
        <v>261.03999999999996</v>
      </c>
      <c r="CL159" s="293">
        <v>0</v>
      </c>
      <c r="CM159" s="293">
        <v>31.2</v>
      </c>
      <c r="CN159" s="293">
        <f t="shared" si="152"/>
        <v>41519.14</v>
      </c>
      <c r="CO159" s="293"/>
      <c r="CP159" s="58">
        <f t="shared" si="153"/>
        <v>0</v>
      </c>
      <c r="CQ159" s="223">
        <f t="shared" si="154"/>
        <v>0</v>
      </c>
      <c r="CR159" s="223">
        <f t="shared" si="155"/>
        <v>1103.6999999999971</v>
      </c>
      <c r="CS159" s="223">
        <f t="shared" si="156"/>
        <v>390</v>
      </c>
      <c r="CT159" s="223">
        <f t="shared" si="157"/>
        <v>261.03999999999996</v>
      </c>
      <c r="CU159" s="223">
        <f t="shared" si="158"/>
        <v>0</v>
      </c>
      <c r="CV159" s="223">
        <f t="shared" si="159"/>
        <v>15.6</v>
      </c>
      <c r="CW159" s="223">
        <f t="shared" si="160"/>
        <v>1770.339999999997</v>
      </c>
      <c r="CX159" s="223">
        <f t="shared" si="161"/>
        <v>0</v>
      </c>
      <c r="CY159" s="58">
        <f t="shared" si="162"/>
        <v>0</v>
      </c>
      <c r="CZ159" s="399">
        <f t="shared" si="163"/>
        <v>0</v>
      </c>
      <c r="DA159" s="399">
        <f t="shared" si="164"/>
        <v>9050.3399999999965</v>
      </c>
      <c r="DB159" s="399">
        <f t="shared" si="165"/>
        <v>390</v>
      </c>
      <c r="DC159" s="399">
        <f t="shared" si="166"/>
        <v>261.03999999999996</v>
      </c>
      <c r="DD159" s="399">
        <f t="shared" si="167"/>
        <v>0</v>
      </c>
      <c r="DE159" s="399">
        <f t="shared" si="168"/>
        <v>18.72</v>
      </c>
      <c r="DF159" s="399">
        <f t="shared" si="169"/>
        <v>9720.0999999999967</v>
      </c>
      <c r="DG159" s="399">
        <f t="shared" si="170"/>
        <v>0</v>
      </c>
      <c r="DI159" s="399"/>
      <c r="DJ159" s="399"/>
      <c r="DK159" s="399"/>
      <c r="DL159" s="399"/>
      <c r="DM159" s="399"/>
      <c r="DN159" s="399"/>
      <c r="DO159" s="399"/>
      <c r="DP159" s="399"/>
      <c r="DQ159" s="399"/>
      <c r="DS159" s="399"/>
      <c r="DT159" s="399"/>
      <c r="DU159" s="399"/>
      <c r="DV159" s="399"/>
      <c r="DW159" s="399"/>
      <c r="DX159" s="399"/>
      <c r="DY159" s="399"/>
      <c r="DZ159" s="399"/>
      <c r="EB159" s="228">
        <f t="shared" si="171"/>
        <v>126966.04736842104</v>
      </c>
      <c r="EC159" s="228">
        <f t="shared" si="172"/>
        <v>0</v>
      </c>
      <c r="ED159" s="214">
        <f t="shared" si="173"/>
        <v>126966.04736842104</v>
      </c>
    </row>
    <row r="160" spans="1:134" hidden="1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3" t="str">
        <f>VLOOKUP(A160,'Summary Mar 2026'!$A$8:$F$207,6,FALSE)</f>
        <v>Chq Bk</v>
      </c>
      <c r="G160" s="33"/>
      <c r="H160" s="223">
        <v>0</v>
      </c>
      <c r="I160" s="294"/>
      <c r="J160" s="223">
        <v>0</v>
      </c>
      <c r="K160" s="223">
        <v>0</v>
      </c>
      <c r="L160" s="223">
        <v>60703.5</v>
      </c>
      <c r="M160" s="223">
        <v>1950</v>
      </c>
      <c r="N160" s="223">
        <v>0</v>
      </c>
      <c r="O160" s="223">
        <v>0</v>
      </c>
      <c r="P160" s="33">
        <f t="shared" si="131"/>
        <v>62653.5</v>
      </c>
      <c r="Q160" s="223">
        <f t="shared" si="132"/>
        <v>50122.8</v>
      </c>
      <c r="R160" s="294"/>
      <c r="S160" s="223">
        <v>0</v>
      </c>
      <c r="T160" s="223">
        <v>0</v>
      </c>
      <c r="U160" s="223">
        <v>70636.800000000003</v>
      </c>
      <c r="V160" s="223">
        <v>3705</v>
      </c>
      <c r="W160" s="223">
        <v>0</v>
      </c>
      <c r="X160" s="223">
        <v>0</v>
      </c>
      <c r="Y160" s="223">
        <f t="shared" si="133"/>
        <v>74341.8</v>
      </c>
      <c r="Z160" s="223">
        <f t="shared" si="134"/>
        <v>59473.440000000002</v>
      </c>
      <c r="AA160" s="294"/>
      <c r="AB160" s="398">
        <v>0</v>
      </c>
      <c r="AC160" s="398">
        <v>0</v>
      </c>
      <c r="AD160" s="398">
        <v>55336.926315789467</v>
      </c>
      <c r="AE160" s="398">
        <v>2103.1578947368421</v>
      </c>
      <c r="AF160" s="398">
        <v>0</v>
      </c>
      <c r="AG160" s="398">
        <v>0</v>
      </c>
      <c r="AH160" s="223">
        <f t="shared" si="135"/>
        <v>57440.084210526307</v>
      </c>
      <c r="AI160" s="398">
        <f t="shared" si="136"/>
        <v>45952.067368421049</v>
      </c>
      <c r="AJ160" s="294"/>
      <c r="AK160" s="398">
        <v>1329.9</v>
      </c>
      <c r="AL160" s="398">
        <v>1396.1999999999998</v>
      </c>
      <c r="AM160" s="398">
        <v>1156.1684210526316</v>
      </c>
      <c r="AN160" s="294"/>
      <c r="AO160" s="398">
        <f t="shared" si="137"/>
        <v>1063.92</v>
      </c>
      <c r="AP160" s="398">
        <f t="shared" si="138"/>
        <v>1116.9599999999998</v>
      </c>
      <c r="AQ160" s="398">
        <f t="shared" si="139"/>
        <v>924.93473684210539</v>
      </c>
      <c r="AR160" s="293"/>
      <c r="AS160" s="293">
        <v>0</v>
      </c>
      <c r="AT160" s="576">
        <f t="shared" si="140"/>
        <v>0</v>
      </c>
      <c r="AU160" s="293"/>
      <c r="AV160" s="293">
        <v>0</v>
      </c>
      <c r="AW160" s="293">
        <v>0</v>
      </c>
      <c r="AX160" s="293">
        <v>72844.2</v>
      </c>
      <c r="AY160" s="293">
        <v>4680</v>
      </c>
      <c r="AZ160" s="293">
        <v>0</v>
      </c>
      <c r="BA160" s="293">
        <v>0</v>
      </c>
      <c r="BB160" s="293">
        <v>1402.05</v>
      </c>
      <c r="BC160" s="293">
        <f t="shared" si="141"/>
        <v>78926.25</v>
      </c>
      <c r="BE160" s="58">
        <f t="shared" si="142"/>
        <v>0</v>
      </c>
      <c r="BF160" s="58">
        <f t="shared" si="143"/>
        <v>0</v>
      </c>
      <c r="BG160" s="58">
        <f t="shared" si="144"/>
        <v>12140.699999999997</v>
      </c>
      <c r="BH160" s="58">
        <f t="shared" si="145"/>
        <v>2730</v>
      </c>
      <c r="BI160" s="58">
        <f t="shared" si="146"/>
        <v>0</v>
      </c>
      <c r="BJ160" s="58">
        <f t="shared" si="147"/>
        <v>0</v>
      </c>
      <c r="BK160" s="58">
        <f t="shared" si="148"/>
        <v>72.149999999999864</v>
      </c>
      <c r="BL160" s="58">
        <f t="shared" si="149"/>
        <v>14942.849999999997</v>
      </c>
      <c r="BM160" s="33">
        <f t="shared" si="150"/>
        <v>0</v>
      </c>
      <c r="BN160" s="33"/>
      <c r="BO160" s="293">
        <f t="shared" si="174"/>
        <v>0</v>
      </c>
      <c r="BP160" s="293">
        <f t="shared" si="175"/>
        <v>0</v>
      </c>
      <c r="BQ160" s="293">
        <f t="shared" si="176"/>
        <v>24281.399999999994</v>
      </c>
      <c r="BR160" s="293">
        <f t="shared" si="177"/>
        <v>3120</v>
      </c>
      <c r="BS160" s="293">
        <f t="shared" si="178"/>
        <v>0</v>
      </c>
      <c r="BT160" s="293">
        <f t="shared" si="179"/>
        <v>0</v>
      </c>
      <c r="BU160" s="293">
        <f t="shared" si="180"/>
        <v>338.12999999999988</v>
      </c>
      <c r="BV160" s="293">
        <f t="shared" si="129"/>
        <v>27739.529999999995</v>
      </c>
      <c r="BW160" s="293">
        <f t="shared" si="130"/>
        <v>0</v>
      </c>
      <c r="BX160" s="293">
        <v>0</v>
      </c>
      <c r="BY160" s="293">
        <v>0</v>
      </c>
      <c r="BZ160" s="293">
        <v>0</v>
      </c>
      <c r="CA160" s="293">
        <v>0</v>
      </c>
      <c r="CB160" s="293">
        <v>0</v>
      </c>
      <c r="CC160" s="293">
        <v>0</v>
      </c>
      <c r="CD160" s="293">
        <v>0</v>
      </c>
      <c r="CE160" s="293">
        <f t="shared" si="151"/>
        <v>0</v>
      </c>
      <c r="CF160" s="293"/>
      <c r="CG160" s="293">
        <v>0</v>
      </c>
      <c r="CH160" s="293">
        <v>0</v>
      </c>
      <c r="CI160" s="293">
        <v>35318.400000000001</v>
      </c>
      <c r="CJ160" s="293">
        <v>1170</v>
      </c>
      <c r="CK160" s="293">
        <v>0</v>
      </c>
      <c r="CL160" s="293">
        <v>0</v>
      </c>
      <c r="CM160" s="293">
        <v>879.45</v>
      </c>
      <c r="CN160" s="293">
        <f t="shared" si="152"/>
        <v>37367.85</v>
      </c>
      <c r="CO160" s="293"/>
      <c r="CP160" s="58">
        <f t="shared" si="153"/>
        <v>0</v>
      </c>
      <c r="CQ160" s="223">
        <f t="shared" si="154"/>
        <v>0</v>
      </c>
      <c r="CR160" s="223">
        <f t="shared" si="155"/>
        <v>-35318.400000000001</v>
      </c>
      <c r="CS160" s="223">
        <f t="shared" si="156"/>
        <v>-2535</v>
      </c>
      <c r="CT160" s="223">
        <f t="shared" si="157"/>
        <v>0</v>
      </c>
      <c r="CU160" s="223">
        <f t="shared" si="158"/>
        <v>0</v>
      </c>
      <c r="CV160" s="223">
        <f t="shared" si="159"/>
        <v>-516.74999999999977</v>
      </c>
      <c r="CW160" s="223">
        <f t="shared" si="160"/>
        <v>-38370.15</v>
      </c>
      <c r="CX160" s="223">
        <f t="shared" si="161"/>
        <v>0</v>
      </c>
      <c r="CY160" s="58">
        <f t="shared" si="162"/>
        <v>0</v>
      </c>
      <c r="CZ160" s="399">
        <f t="shared" si="163"/>
        <v>0</v>
      </c>
      <c r="DA160" s="399">
        <f t="shared" si="164"/>
        <v>-21191.040000000001</v>
      </c>
      <c r="DB160" s="399">
        <f t="shared" si="165"/>
        <v>-1794</v>
      </c>
      <c r="DC160" s="399">
        <f t="shared" si="166"/>
        <v>0</v>
      </c>
      <c r="DD160" s="399">
        <f t="shared" si="167"/>
        <v>0</v>
      </c>
      <c r="DE160" s="399">
        <f t="shared" si="168"/>
        <v>-237.50999999999976</v>
      </c>
      <c r="DF160" s="399">
        <f t="shared" si="169"/>
        <v>-23222.55</v>
      </c>
      <c r="DG160" s="399">
        <f t="shared" si="170"/>
        <v>0</v>
      </c>
      <c r="DI160" s="399"/>
      <c r="DJ160" s="399"/>
      <c r="DK160" s="399"/>
      <c r="DL160" s="399"/>
      <c r="DM160" s="399"/>
      <c r="DN160" s="399"/>
      <c r="DO160" s="399"/>
      <c r="DP160" s="399"/>
      <c r="DQ160" s="399"/>
      <c r="DS160" s="399"/>
      <c r="DT160" s="399"/>
      <c r="DU160" s="399"/>
      <c r="DV160" s="399"/>
      <c r="DW160" s="399"/>
      <c r="DX160" s="399"/>
      <c r="DY160" s="399"/>
      <c r="DZ160" s="399"/>
      <c r="EB160" s="228">
        <f t="shared" si="171"/>
        <v>163171.10210526315</v>
      </c>
      <c r="EC160" s="228">
        <f t="shared" si="172"/>
        <v>0</v>
      </c>
      <c r="ED160" s="214">
        <f t="shared" si="173"/>
        <v>163171.10210526315</v>
      </c>
    </row>
    <row r="161" spans="1:134" hidden="1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3" t="str">
        <f>VLOOKUP(A161,'Summary Mar 2026'!$A$8:$F$207,6,FALSE)</f>
        <v>Chq Bk</v>
      </c>
      <c r="G161" s="33"/>
      <c r="H161" s="223">
        <v>0</v>
      </c>
      <c r="I161" s="294"/>
      <c r="J161" s="223">
        <v>0</v>
      </c>
      <c r="K161" s="223">
        <v>0</v>
      </c>
      <c r="L161" s="223">
        <v>0</v>
      </c>
      <c r="M161" s="223">
        <v>0</v>
      </c>
      <c r="N161" s="223">
        <v>0</v>
      </c>
      <c r="O161" s="223">
        <v>0</v>
      </c>
      <c r="P161" s="33">
        <f t="shared" si="131"/>
        <v>0</v>
      </c>
      <c r="Q161" s="223">
        <f t="shared" si="132"/>
        <v>0</v>
      </c>
      <c r="R161" s="294"/>
      <c r="S161" s="223">
        <v>0</v>
      </c>
      <c r="T161" s="223">
        <v>0</v>
      </c>
      <c r="U161" s="223">
        <v>0</v>
      </c>
      <c r="V161" s="223">
        <v>0</v>
      </c>
      <c r="W161" s="223">
        <v>0</v>
      </c>
      <c r="X161" s="223">
        <v>0</v>
      </c>
      <c r="Y161" s="223">
        <f t="shared" si="133"/>
        <v>0</v>
      </c>
      <c r="Z161" s="223">
        <f t="shared" si="134"/>
        <v>0</v>
      </c>
      <c r="AA161" s="294"/>
      <c r="AB161" s="398">
        <v>0</v>
      </c>
      <c r="AC161" s="398">
        <v>0</v>
      </c>
      <c r="AD161" s="398">
        <v>0</v>
      </c>
      <c r="AE161" s="398">
        <v>0</v>
      </c>
      <c r="AF161" s="398">
        <v>0</v>
      </c>
      <c r="AG161" s="398">
        <v>0</v>
      </c>
      <c r="AH161" s="223">
        <f t="shared" si="135"/>
        <v>0</v>
      </c>
      <c r="AI161" s="398">
        <f t="shared" si="136"/>
        <v>0</v>
      </c>
      <c r="AJ161" s="294"/>
      <c r="AK161" s="398">
        <v>0</v>
      </c>
      <c r="AL161" s="398">
        <v>0</v>
      </c>
      <c r="AM161" s="398">
        <v>0</v>
      </c>
      <c r="AN161" s="294"/>
      <c r="AO161" s="398">
        <f t="shared" si="137"/>
        <v>0</v>
      </c>
      <c r="AP161" s="398">
        <f t="shared" si="138"/>
        <v>0</v>
      </c>
      <c r="AQ161" s="398">
        <f t="shared" si="139"/>
        <v>0</v>
      </c>
      <c r="AR161" s="293"/>
      <c r="AS161" s="293">
        <v>0</v>
      </c>
      <c r="AT161" s="576">
        <f t="shared" si="140"/>
        <v>0</v>
      </c>
      <c r="AU161" s="293"/>
      <c r="AV161" s="293">
        <v>0</v>
      </c>
      <c r="AW161" s="293">
        <v>0</v>
      </c>
      <c r="AX161" s="293">
        <v>0</v>
      </c>
      <c r="AY161" s="293">
        <v>0</v>
      </c>
      <c r="AZ161" s="293">
        <v>0</v>
      </c>
      <c r="BA161" s="293">
        <v>0</v>
      </c>
      <c r="BB161" s="293">
        <v>0</v>
      </c>
      <c r="BC161" s="293">
        <f t="shared" si="141"/>
        <v>0</v>
      </c>
      <c r="BE161" s="58">
        <f t="shared" si="142"/>
        <v>0</v>
      </c>
      <c r="BF161" s="58">
        <f t="shared" si="143"/>
        <v>0</v>
      </c>
      <c r="BG161" s="58">
        <f t="shared" si="144"/>
        <v>0</v>
      </c>
      <c r="BH161" s="58">
        <f t="shared" si="145"/>
        <v>0</v>
      </c>
      <c r="BI161" s="58">
        <f t="shared" si="146"/>
        <v>0</v>
      </c>
      <c r="BJ161" s="58">
        <f t="shared" si="147"/>
        <v>0</v>
      </c>
      <c r="BK161" s="58">
        <f t="shared" si="148"/>
        <v>0</v>
      </c>
      <c r="BL161" s="58">
        <f t="shared" si="149"/>
        <v>0</v>
      </c>
      <c r="BM161" s="33">
        <f t="shared" si="150"/>
        <v>0</v>
      </c>
      <c r="BN161" s="33"/>
      <c r="BO161" s="293">
        <f t="shared" si="174"/>
        <v>0</v>
      </c>
      <c r="BP161" s="293">
        <f t="shared" si="175"/>
        <v>0</v>
      </c>
      <c r="BQ161" s="293">
        <f t="shared" si="176"/>
        <v>0</v>
      </c>
      <c r="BR161" s="293">
        <f t="shared" si="177"/>
        <v>0</v>
      </c>
      <c r="BS161" s="293">
        <f t="shared" si="178"/>
        <v>0</v>
      </c>
      <c r="BT161" s="293">
        <f t="shared" si="179"/>
        <v>0</v>
      </c>
      <c r="BU161" s="293">
        <f t="shared" si="180"/>
        <v>0</v>
      </c>
      <c r="BV161" s="293">
        <f t="shared" si="129"/>
        <v>0</v>
      </c>
      <c r="BW161" s="293">
        <f t="shared" si="130"/>
        <v>0</v>
      </c>
      <c r="BX161" s="293">
        <v>0</v>
      </c>
      <c r="BY161" s="293">
        <v>0</v>
      </c>
      <c r="BZ161" s="293">
        <v>0</v>
      </c>
      <c r="CA161" s="293">
        <v>0</v>
      </c>
      <c r="CB161" s="293">
        <v>0</v>
      </c>
      <c r="CC161" s="293">
        <v>0</v>
      </c>
      <c r="CD161" s="293">
        <v>0</v>
      </c>
      <c r="CE161" s="293">
        <f t="shared" si="151"/>
        <v>0</v>
      </c>
      <c r="CF161" s="293"/>
      <c r="CG161" s="293">
        <v>0</v>
      </c>
      <c r="CH161" s="293">
        <v>0</v>
      </c>
      <c r="CI161" s="293">
        <v>0</v>
      </c>
      <c r="CJ161" s="293">
        <v>0</v>
      </c>
      <c r="CK161" s="293">
        <v>0</v>
      </c>
      <c r="CL161" s="293">
        <v>0</v>
      </c>
      <c r="CM161" s="293">
        <v>0</v>
      </c>
      <c r="CN161" s="293">
        <f t="shared" si="152"/>
        <v>0</v>
      </c>
      <c r="CO161" s="293"/>
      <c r="CP161" s="58">
        <f t="shared" si="153"/>
        <v>0</v>
      </c>
      <c r="CQ161" s="223">
        <f t="shared" si="154"/>
        <v>0</v>
      </c>
      <c r="CR161" s="223">
        <f t="shared" si="155"/>
        <v>0</v>
      </c>
      <c r="CS161" s="223">
        <f t="shared" si="156"/>
        <v>0</v>
      </c>
      <c r="CT161" s="223">
        <f t="shared" si="157"/>
        <v>0</v>
      </c>
      <c r="CU161" s="223">
        <f t="shared" si="158"/>
        <v>0</v>
      </c>
      <c r="CV161" s="223">
        <f t="shared" si="159"/>
        <v>0</v>
      </c>
      <c r="CW161" s="223">
        <f t="shared" si="160"/>
        <v>0</v>
      </c>
      <c r="CX161" s="223">
        <f t="shared" si="161"/>
        <v>0</v>
      </c>
      <c r="CY161" s="58">
        <f t="shared" si="162"/>
        <v>0</v>
      </c>
      <c r="CZ161" s="399">
        <f t="shared" si="163"/>
        <v>0</v>
      </c>
      <c r="DA161" s="399">
        <f t="shared" si="164"/>
        <v>0</v>
      </c>
      <c r="DB161" s="399">
        <f t="shared" si="165"/>
        <v>0</v>
      </c>
      <c r="DC161" s="399">
        <f t="shared" si="166"/>
        <v>0</v>
      </c>
      <c r="DD161" s="399">
        <f t="shared" si="167"/>
        <v>0</v>
      </c>
      <c r="DE161" s="399">
        <f t="shared" si="168"/>
        <v>0</v>
      </c>
      <c r="DF161" s="399">
        <f t="shared" si="169"/>
        <v>0</v>
      </c>
      <c r="DG161" s="399">
        <f t="shared" si="170"/>
        <v>0</v>
      </c>
      <c r="DI161" s="399"/>
      <c r="DJ161" s="399"/>
      <c r="DK161" s="399"/>
      <c r="DL161" s="399"/>
      <c r="DM161" s="399"/>
      <c r="DN161" s="399"/>
      <c r="DO161" s="399"/>
      <c r="DP161" s="399"/>
      <c r="DQ161" s="399"/>
      <c r="DS161" s="399"/>
      <c r="DT161" s="399"/>
      <c r="DU161" s="399"/>
      <c r="DV161" s="399"/>
      <c r="DW161" s="399"/>
      <c r="DX161" s="399"/>
      <c r="DY161" s="399"/>
      <c r="DZ161" s="399"/>
      <c r="EB161" s="228">
        <f t="shared" si="171"/>
        <v>0</v>
      </c>
      <c r="EC161" s="228">
        <f t="shared" si="172"/>
        <v>0</v>
      </c>
      <c r="ED161" s="214">
        <f t="shared" si="173"/>
        <v>0</v>
      </c>
    </row>
    <row r="162" spans="1:134" s="378" customFormat="1" hidden="1">
      <c r="A162" s="777">
        <v>2314</v>
      </c>
      <c r="B162" s="446">
        <v>103334</v>
      </c>
      <c r="C162" s="446" t="s">
        <v>340</v>
      </c>
      <c r="D162" s="446" t="s">
        <v>341</v>
      </c>
      <c r="E162" s="372" t="s">
        <v>32</v>
      </c>
      <c r="F162" s="812" t="str">
        <f>VLOOKUP(A162,'Summary Mar 2026'!$A$8:$F$207,6,FALSE)</f>
        <v>Academy</v>
      </c>
      <c r="G162" s="813"/>
      <c r="H162" s="814">
        <v>0</v>
      </c>
      <c r="I162" s="814"/>
      <c r="J162" s="814">
        <v>0</v>
      </c>
      <c r="K162" s="814">
        <v>0</v>
      </c>
      <c r="L162" s="814">
        <v>0</v>
      </c>
      <c r="M162" s="814">
        <v>0</v>
      </c>
      <c r="N162" s="814">
        <v>0</v>
      </c>
      <c r="O162" s="814">
        <v>0</v>
      </c>
      <c r="P162" s="813">
        <f t="shared" si="131"/>
        <v>0</v>
      </c>
      <c r="Q162" s="814">
        <f t="shared" si="132"/>
        <v>0</v>
      </c>
      <c r="R162" s="814"/>
      <c r="S162" s="814">
        <v>0</v>
      </c>
      <c r="T162" s="814">
        <v>0</v>
      </c>
      <c r="U162" s="814">
        <v>0</v>
      </c>
      <c r="V162" s="814">
        <v>0</v>
      </c>
      <c r="W162" s="814">
        <v>0</v>
      </c>
      <c r="X162" s="814">
        <v>0</v>
      </c>
      <c r="Y162" s="814">
        <f t="shared" si="133"/>
        <v>0</v>
      </c>
      <c r="Z162" s="814">
        <f t="shared" si="134"/>
        <v>0</v>
      </c>
      <c r="AA162" s="814"/>
      <c r="AB162" s="815">
        <v>0</v>
      </c>
      <c r="AC162" s="815">
        <v>0</v>
      </c>
      <c r="AD162" s="815">
        <v>0</v>
      </c>
      <c r="AE162" s="815">
        <v>0</v>
      </c>
      <c r="AF162" s="815">
        <v>0</v>
      </c>
      <c r="AG162" s="815">
        <v>0</v>
      </c>
      <c r="AH162" s="814">
        <f t="shared" si="135"/>
        <v>0</v>
      </c>
      <c r="AI162" s="815">
        <f t="shared" si="136"/>
        <v>0</v>
      </c>
      <c r="AJ162" s="814"/>
      <c r="AK162" s="815">
        <v>0</v>
      </c>
      <c r="AL162" s="815">
        <v>0</v>
      </c>
      <c r="AM162" s="815">
        <v>0</v>
      </c>
      <c r="AN162" s="814"/>
      <c r="AO162" s="815">
        <f t="shared" si="137"/>
        <v>0</v>
      </c>
      <c r="AP162" s="815">
        <f t="shared" si="138"/>
        <v>0</v>
      </c>
      <c r="AQ162" s="815">
        <f t="shared" si="139"/>
        <v>0</v>
      </c>
      <c r="AR162" s="816"/>
      <c r="AS162" s="816">
        <v>0</v>
      </c>
      <c r="AT162" s="817">
        <f t="shared" si="140"/>
        <v>0</v>
      </c>
      <c r="AU162" s="816"/>
      <c r="AV162" s="816">
        <v>0</v>
      </c>
      <c r="AW162" s="816">
        <v>0</v>
      </c>
      <c r="AX162" s="816">
        <v>0</v>
      </c>
      <c r="AY162" s="816">
        <v>0</v>
      </c>
      <c r="AZ162" s="816">
        <v>0</v>
      </c>
      <c r="BA162" s="816">
        <v>0</v>
      </c>
      <c r="BB162" s="816">
        <v>0</v>
      </c>
      <c r="BC162" s="816">
        <f t="shared" si="141"/>
        <v>0</v>
      </c>
      <c r="BE162" s="824">
        <f t="shared" si="142"/>
        <v>0</v>
      </c>
      <c r="BF162" s="824">
        <f t="shared" si="143"/>
        <v>0</v>
      </c>
      <c r="BG162" s="824">
        <f t="shared" si="144"/>
        <v>0</v>
      </c>
      <c r="BH162" s="824">
        <f t="shared" si="145"/>
        <v>0</v>
      </c>
      <c r="BI162" s="824">
        <f t="shared" si="146"/>
        <v>0</v>
      </c>
      <c r="BJ162" s="824">
        <f t="shared" si="147"/>
        <v>0</v>
      </c>
      <c r="BK162" s="824">
        <f t="shared" si="148"/>
        <v>0</v>
      </c>
      <c r="BL162" s="824">
        <f t="shared" si="149"/>
        <v>0</v>
      </c>
      <c r="BM162" s="813">
        <f t="shared" si="150"/>
        <v>0</v>
      </c>
      <c r="BN162" s="813"/>
      <c r="BO162" s="816">
        <f t="shared" si="174"/>
        <v>0</v>
      </c>
      <c r="BP162" s="816">
        <f t="shared" si="175"/>
        <v>0</v>
      </c>
      <c r="BQ162" s="816">
        <f t="shared" si="176"/>
        <v>0</v>
      </c>
      <c r="BR162" s="816">
        <f t="shared" si="177"/>
        <v>0</v>
      </c>
      <c r="BS162" s="816">
        <f t="shared" si="178"/>
        <v>0</v>
      </c>
      <c r="BT162" s="816">
        <f t="shared" si="179"/>
        <v>0</v>
      </c>
      <c r="BU162" s="816">
        <f t="shared" si="180"/>
        <v>0</v>
      </c>
      <c r="BV162" s="816">
        <f t="shared" si="129"/>
        <v>0</v>
      </c>
      <c r="BW162" s="816">
        <f t="shared" si="130"/>
        <v>0</v>
      </c>
      <c r="BX162" s="293"/>
      <c r="BY162" s="293"/>
      <c r="BZ162" s="293"/>
      <c r="CA162" s="293"/>
      <c r="CB162" s="293"/>
      <c r="CC162" s="293"/>
      <c r="CD162" s="293"/>
      <c r="CE162" s="293"/>
      <c r="CF162" s="293"/>
      <c r="CG162" s="293"/>
      <c r="CH162" s="293">
        <v>0</v>
      </c>
      <c r="CI162" s="293"/>
      <c r="CJ162" s="293"/>
      <c r="CK162" s="293"/>
      <c r="CL162" s="293"/>
      <c r="CM162" s="293"/>
      <c r="CN162" s="293"/>
      <c r="CO162" s="293"/>
      <c r="CP162" s="58"/>
      <c r="CQ162" s="223"/>
      <c r="CR162" s="223"/>
      <c r="CS162" s="223"/>
      <c r="CT162" s="223"/>
      <c r="CU162" s="223"/>
      <c r="CV162" s="223"/>
      <c r="CW162" s="223"/>
      <c r="CX162" s="223">
        <f t="shared" si="161"/>
        <v>0</v>
      </c>
      <c r="CY162" s="58">
        <f t="shared" si="162"/>
        <v>0</v>
      </c>
      <c r="CZ162" s="399">
        <f t="shared" si="163"/>
        <v>0</v>
      </c>
      <c r="DA162" s="399">
        <f t="shared" si="164"/>
        <v>0</v>
      </c>
      <c r="DB162" s="399">
        <f t="shared" si="165"/>
        <v>0</v>
      </c>
      <c r="DC162" s="399">
        <f t="shared" si="166"/>
        <v>0</v>
      </c>
      <c r="DD162" s="399">
        <f t="shared" si="167"/>
        <v>0</v>
      </c>
      <c r="DE162" s="399">
        <f t="shared" si="168"/>
        <v>0</v>
      </c>
      <c r="DF162" s="399">
        <f t="shared" si="169"/>
        <v>0</v>
      </c>
      <c r="DG162" s="399">
        <f t="shared" si="170"/>
        <v>0</v>
      </c>
      <c r="DH162"/>
      <c r="DI162" s="818"/>
      <c r="DJ162" s="818"/>
      <c r="DK162" s="818"/>
      <c r="DL162" s="818"/>
      <c r="DM162" s="818"/>
      <c r="DN162" s="818"/>
      <c r="DO162" s="818"/>
      <c r="DP162" s="818"/>
      <c r="DQ162" s="818"/>
      <c r="DS162" s="818"/>
      <c r="DT162" s="818"/>
      <c r="DU162" s="818"/>
      <c r="DV162" s="818"/>
      <c r="DW162" s="818"/>
      <c r="DX162" s="818"/>
      <c r="DY162" s="818"/>
      <c r="DZ162" s="818"/>
      <c r="EB162" s="228">
        <f t="shared" si="171"/>
        <v>0</v>
      </c>
      <c r="EC162" s="228">
        <f t="shared" si="172"/>
        <v>0</v>
      </c>
      <c r="ED162" s="778">
        <f t="shared" si="173"/>
        <v>0</v>
      </c>
    </row>
    <row r="163" spans="1:134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3" t="str">
        <f>VLOOKUP(A163,'Summary Mar 2026'!$A$8:$F$207,6,FALSE)</f>
        <v>Chq Bk</v>
      </c>
      <c r="G163" s="33"/>
      <c r="H163" s="223">
        <v>0</v>
      </c>
      <c r="I163" s="294"/>
      <c r="J163" s="223">
        <v>0</v>
      </c>
      <c r="K163" s="223">
        <v>0</v>
      </c>
      <c r="L163" s="223">
        <v>79466.399999999994</v>
      </c>
      <c r="M163" s="223">
        <v>1170</v>
      </c>
      <c r="N163" s="223">
        <v>149.15789473684211</v>
      </c>
      <c r="O163" s="223">
        <v>0</v>
      </c>
      <c r="P163" s="33">
        <f t="shared" si="131"/>
        <v>80785.557894736834</v>
      </c>
      <c r="Q163" s="223">
        <f t="shared" si="132"/>
        <v>64628.446315789472</v>
      </c>
      <c r="R163" s="294"/>
      <c r="S163" s="223">
        <v>0</v>
      </c>
      <c r="T163" s="223">
        <v>0</v>
      </c>
      <c r="U163" s="223">
        <v>86088.6</v>
      </c>
      <c r="V163" s="223">
        <v>1950</v>
      </c>
      <c r="W163" s="223">
        <v>745.78947368421052</v>
      </c>
      <c r="X163" s="223">
        <v>0</v>
      </c>
      <c r="Y163" s="223">
        <f t="shared" si="133"/>
        <v>88784.389473684219</v>
      </c>
      <c r="Z163" s="223">
        <f t="shared" si="134"/>
        <v>71027.511578947378</v>
      </c>
      <c r="AA163" s="294"/>
      <c r="AB163" s="398">
        <v>0</v>
      </c>
      <c r="AC163" s="398">
        <v>0</v>
      </c>
      <c r="AD163" s="398">
        <v>70136.336842105273</v>
      </c>
      <c r="AE163" s="398">
        <v>1250.5263157894738</v>
      </c>
      <c r="AF163" s="398">
        <v>304.35457063711908</v>
      </c>
      <c r="AG163" s="398">
        <v>0</v>
      </c>
      <c r="AH163" s="223">
        <f t="shared" si="135"/>
        <v>71691.217728531876</v>
      </c>
      <c r="AI163" s="398">
        <f t="shared" si="136"/>
        <v>57352.974182825506</v>
      </c>
      <c r="AJ163" s="294"/>
      <c r="AK163" s="398">
        <v>1916.8500000000001</v>
      </c>
      <c r="AL163" s="398">
        <v>2088.4499999999998</v>
      </c>
      <c r="AM163" s="398">
        <v>1691.6210526315788</v>
      </c>
      <c r="AN163" s="294"/>
      <c r="AO163" s="398">
        <f t="shared" si="137"/>
        <v>1533.4800000000002</v>
      </c>
      <c r="AP163" s="398">
        <f t="shared" si="138"/>
        <v>1670.76</v>
      </c>
      <c r="AQ163" s="398">
        <f t="shared" si="139"/>
        <v>1353.2968421052631</v>
      </c>
      <c r="AR163" s="293"/>
      <c r="AS163" s="293">
        <v>0</v>
      </c>
      <c r="AT163" s="576">
        <f t="shared" si="140"/>
        <v>0</v>
      </c>
      <c r="AU163" s="293"/>
      <c r="AV163" s="293">
        <v>0</v>
      </c>
      <c r="AW163" s="293">
        <v>0</v>
      </c>
      <c r="AX163" s="293">
        <v>91607.1</v>
      </c>
      <c r="AY163" s="293">
        <v>2340</v>
      </c>
      <c r="AZ163" s="293">
        <v>894.94736842105272</v>
      </c>
      <c r="BA163" s="293">
        <v>0</v>
      </c>
      <c r="BB163" s="293">
        <v>2129.4</v>
      </c>
      <c r="BC163" s="293">
        <f t="shared" si="141"/>
        <v>96971.447368421053</v>
      </c>
      <c r="BE163" s="58">
        <f t="shared" si="142"/>
        <v>0</v>
      </c>
      <c r="BF163" s="58">
        <f t="shared" si="143"/>
        <v>0</v>
      </c>
      <c r="BG163" s="58">
        <f t="shared" si="144"/>
        <v>12140.700000000012</v>
      </c>
      <c r="BH163" s="58">
        <f t="shared" si="145"/>
        <v>1170</v>
      </c>
      <c r="BI163" s="58">
        <f t="shared" si="146"/>
        <v>745.78947368421063</v>
      </c>
      <c r="BJ163" s="58">
        <f t="shared" si="147"/>
        <v>0</v>
      </c>
      <c r="BK163" s="58">
        <f t="shared" si="148"/>
        <v>212.54999999999995</v>
      </c>
      <c r="BL163" s="58">
        <f t="shared" si="149"/>
        <v>14269.039473684221</v>
      </c>
      <c r="BM163" s="33">
        <f t="shared" si="150"/>
        <v>0</v>
      </c>
      <c r="BN163" s="33"/>
      <c r="BO163" s="293">
        <f t="shared" si="174"/>
        <v>0</v>
      </c>
      <c r="BP163" s="293">
        <f t="shared" si="175"/>
        <v>0</v>
      </c>
      <c r="BQ163" s="293">
        <f t="shared" si="176"/>
        <v>28033.98000000001</v>
      </c>
      <c r="BR163" s="293">
        <f t="shared" si="177"/>
        <v>1404</v>
      </c>
      <c r="BS163" s="293">
        <f t="shared" si="178"/>
        <v>775.621052631579</v>
      </c>
      <c r="BT163" s="293">
        <f t="shared" si="179"/>
        <v>0</v>
      </c>
      <c r="BU163" s="293">
        <f t="shared" si="180"/>
        <v>595.91999999999985</v>
      </c>
      <c r="BV163" s="293">
        <f t="shared" si="129"/>
        <v>30809.521052631586</v>
      </c>
      <c r="BW163" s="293">
        <f t="shared" si="130"/>
        <v>1.4551915228366852E-11</v>
      </c>
      <c r="BX163" s="293">
        <v>0</v>
      </c>
      <c r="BY163" s="293">
        <v>0</v>
      </c>
      <c r="BZ163" s="293">
        <v>0</v>
      </c>
      <c r="CA163" s="293">
        <v>0</v>
      </c>
      <c r="CB163" s="293">
        <v>111.86842105263145</v>
      </c>
      <c r="CC163" s="293">
        <v>0</v>
      </c>
      <c r="CD163" s="293">
        <v>651.29999999999973</v>
      </c>
      <c r="CE163" s="293">
        <f t="shared" si="151"/>
        <v>763.16842105263117</v>
      </c>
      <c r="CF163" s="293"/>
      <c r="CG163" s="293">
        <v>0</v>
      </c>
      <c r="CH163" s="293">
        <v>0</v>
      </c>
      <c r="CI163" s="293">
        <v>64014.600000000006</v>
      </c>
      <c r="CJ163" s="293">
        <v>2145</v>
      </c>
      <c r="CK163" s="293">
        <v>932.62</v>
      </c>
      <c r="CL163" s="293">
        <v>0</v>
      </c>
      <c r="CM163" s="293">
        <v>2113.8000000000002</v>
      </c>
      <c r="CN163" s="293">
        <f t="shared" si="152"/>
        <v>69206.02</v>
      </c>
      <c r="CO163" s="293"/>
      <c r="CP163" s="58">
        <f t="shared" si="153"/>
        <v>0</v>
      </c>
      <c r="CQ163" s="223">
        <f t="shared" si="154"/>
        <v>0</v>
      </c>
      <c r="CR163" s="223">
        <f t="shared" si="155"/>
        <v>-22074</v>
      </c>
      <c r="CS163" s="223">
        <f t="shared" si="156"/>
        <v>195</v>
      </c>
      <c r="CT163" s="223">
        <f t="shared" si="157"/>
        <v>186.83052631578948</v>
      </c>
      <c r="CU163" s="223">
        <f t="shared" si="158"/>
        <v>0</v>
      </c>
      <c r="CV163" s="223">
        <f t="shared" si="159"/>
        <v>25.350000000000364</v>
      </c>
      <c r="CW163" s="223">
        <f t="shared" si="160"/>
        <v>-21666.819473684212</v>
      </c>
      <c r="CX163" s="223">
        <f t="shared" si="161"/>
        <v>0</v>
      </c>
      <c r="CY163" s="58">
        <f t="shared" si="162"/>
        <v>0</v>
      </c>
      <c r="CZ163" s="399">
        <f t="shared" si="163"/>
        <v>0</v>
      </c>
      <c r="DA163" s="399">
        <f t="shared" si="164"/>
        <v>-4856.2799999999988</v>
      </c>
      <c r="DB163" s="399">
        <f t="shared" si="165"/>
        <v>585</v>
      </c>
      <c r="DC163" s="399">
        <f t="shared" si="166"/>
        <v>335.98842105263157</v>
      </c>
      <c r="DD163" s="399">
        <f t="shared" si="167"/>
        <v>0</v>
      </c>
      <c r="DE163" s="399">
        <f t="shared" si="168"/>
        <v>443.04000000000019</v>
      </c>
      <c r="DF163" s="399">
        <f t="shared" si="169"/>
        <v>-3492.2515789473673</v>
      </c>
      <c r="DG163" s="399">
        <f t="shared" si="170"/>
        <v>0</v>
      </c>
      <c r="DI163" s="399"/>
      <c r="DJ163" s="399"/>
      <c r="DK163" s="399"/>
      <c r="DL163" s="399"/>
      <c r="DM163" s="399"/>
      <c r="DN163" s="399"/>
      <c r="DO163" s="399"/>
      <c r="DP163" s="399"/>
      <c r="DQ163" s="399"/>
      <c r="DS163" s="399"/>
      <c r="DT163" s="399"/>
      <c r="DU163" s="399"/>
      <c r="DV163" s="399"/>
      <c r="DW163" s="399"/>
      <c r="DX163" s="399"/>
      <c r="DY163" s="399"/>
      <c r="DZ163" s="399"/>
      <c r="EB163" s="228">
        <f t="shared" si="171"/>
        <v>225646.90681440441</v>
      </c>
      <c r="EC163" s="228">
        <f t="shared" si="172"/>
        <v>0</v>
      </c>
      <c r="ED163" s="214">
        <f t="shared" si="173"/>
        <v>225646.90681440441</v>
      </c>
    </row>
    <row r="164" spans="1:134" hidden="1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3" t="str">
        <f>VLOOKUP(A164,'Summary Mar 2026'!$A$8:$F$207,6,FALSE)</f>
        <v>Chq Bk</v>
      </c>
      <c r="G164" s="33"/>
      <c r="H164" s="223">
        <v>0</v>
      </c>
      <c r="I164" s="294"/>
      <c r="J164" s="223">
        <v>0</v>
      </c>
      <c r="K164" s="223">
        <v>0</v>
      </c>
      <c r="L164" s="223">
        <v>0</v>
      </c>
      <c r="M164" s="223">
        <v>0</v>
      </c>
      <c r="N164" s="223">
        <v>0</v>
      </c>
      <c r="O164" s="223">
        <v>0</v>
      </c>
      <c r="P164" s="33">
        <f t="shared" si="131"/>
        <v>0</v>
      </c>
      <c r="Q164" s="223">
        <f t="shared" si="132"/>
        <v>0</v>
      </c>
      <c r="R164" s="294"/>
      <c r="S164" s="223">
        <v>0</v>
      </c>
      <c r="T164" s="223">
        <v>0</v>
      </c>
      <c r="U164" s="223">
        <v>0</v>
      </c>
      <c r="V164" s="223">
        <v>0</v>
      </c>
      <c r="W164" s="223">
        <v>0</v>
      </c>
      <c r="X164" s="223">
        <v>0</v>
      </c>
      <c r="Y164" s="223">
        <f t="shared" si="133"/>
        <v>0</v>
      </c>
      <c r="Z164" s="223">
        <f t="shared" si="134"/>
        <v>0</v>
      </c>
      <c r="AA164" s="294"/>
      <c r="AB164" s="398">
        <v>0</v>
      </c>
      <c r="AC164" s="398">
        <v>0</v>
      </c>
      <c r="AD164" s="398">
        <v>0</v>
      </c>
      <c r="AE164" s="398">
        <v>0</v>
      </c>
      <c r="AF164" s="398">
        <v>0</v>
      </c>
      <c r="AG164" s="398">
        <v>0</v>
      </c>
      <c r="AH164" s="223">
        <f t="shared" si="135"/>
        <v>0</v>
      </c>
      <c r="AI164" s="398">
        <f t="shared" si="136"/>
        <v>0</v>
      </c>
      <c r="AJ164" s="294"/>
      <c r="AK164" s="398">
        <v>0</v>
      </c>
      <c r="AL164" s="398">
        <v>0</v>
      </c>
      <c r="AM164" s="398">
        <v>0</v>
      </c>
      <c r="AN164" s="294"/>
      <c r="AO164" s="398">
        <f t="shared" si="137"/>
        <v>0</v>
      </c>
      <c r="AP164" s="398">
        <f t="shared" si="138"/>
        <v>0</v>
      </c>
      <c r="AQ164" s="398">
        <f t="shared" si="139"/>
        <v>0</v>
      </c>
      <c r="AR164" s="293"/>
      <c r="AS164" s="293">
        <v>0</v>
      </c>
      <c r="AT164" s="576">
        <f t="shared" si="140"/>
        <v>0</v>
      </c>
      <c r="AU164" s="293"/>
      <c r="AV164" s="293">
        <v>0</v>
      </c>
      <c r="AW164" s="293">
        <v>0</v>
      </c>
      <c r="AX164" s="293">
        <v>0</v>
      </c>
      <c r="AY164" s="293">
        <v>0</v>
      </c>
      <c r="AZ164" s="293">
        <v>0</v>
      </c>
      <c r="BA164" s="293">
        <v>0</v>
      </c>
      <c r="BB164" s="293">
        <v>0</v>
      </c>
      <c r="BC164" s="293">
        <f t="shared" si="141"/>
        <v>0</v>
      </c>
      <c r="BE164" s="58">
        <f t="shared" si="142"/>
        <v>0</v>
      </c>
      <c r="BF164" s="58">
        <f t="shared" si="143"/>
        <v>0</v>
      </c>
      <c r="BG164" s="58">
        <f t="shared" si="144"/>
        <v>0</v>
      </c>
      <c r="BH164" s="58">
        <f t="shared" si="145"/>
        <v>0</v>
      </c>
      <c r="BI164" s="58">
        <f t="shared" si="146"/>
        <v>0</v>
      </c>
      <c r="BJ164" s="58">
        <f t="shared" si="147"/>
        <v>0</v>
      </c>
      <c r="BK164" s="58">
        <f t="shared" si="148"/>
        <v>0</v>
      </c>
      <c r="BL164" s="58">
        <f t="shared" si="149"/>
        <v>0</v>
      </c>
      <c r="BM164" s="33">
        <f t="shared" si="150"/>
        <v>0</v>
      </c>
      <c r="BN164" s="33"/>
      <c r="BO164" s="293">
        <f t="shared" si="174"/>
        <v>0</v>
      </c>
      <c r="BP164" s="293">
        <f t="shared" si="175"/>
        <v>0</v>
      </c>
      <c r="BQ164" s="293">
        <f t="shared" si="176"/>
        <v>0</v>
      </c>
      <c r="BR164" s="293">
        <f t="shared" si="177"/>
        <v>0</v>
      </c>
      <c r="BS164" s="293">
        <f t="shared" si="178"/>
        <v>0</v>
      </c>
      <c r="BT164" s="293">
        <f t="shared" si="179"/>
        <v>0</v>
      </c>
      <c r="BU164" s="293">
        <f t="shared" si="180"/>
        <v>0</v>
      </c>
      <c r="BV164" s="293">
        <f t="shared" si="129"/>
        <v>0</v>
      </c>
      <c r="BW164" s="293">
        <f t="shared" si="130"/>
        <v>0</v>
      </c>
      <c r="BX164" s="293">
        <v>0</v>
      </c>
      <c r="BY164" s="293">
        <v>0</v>
      </c>
      <c r="BZ164" s="293">
        <v>0</v>
      </c>
      <c r="CA164" s="293">
        <v>0</v>
      </c>
      <c r="CB164" s="293">
        <v>0</v>
      </c>
      <c r="CC164" s="293">
        <v>0</v>
      </c>
      <c r="CD164" s="293">
        <v>0</v>
      </c>
      <c r="CE164" s="293">
        <f t="shared" si="151"/>
        <v>0</v>
      </c>
      <c r="CF164" s="293"/>
      <c r="CG164" s="293">
        <v>0</v>
      </c>
      <c r="CH164" s="293">
        <v>0</v>
      </c>
      <c r="CI164" s="293">
        <v>0</v>
      </c>
      <c r="CJ164" s="293">
        <v>0</v>
      </c>
      <c r="CK164" s="293">
        <v>0</v>
      </c>
      <c r="CL164" s="293">
        <v>0</v>
      </c>
      <c r="CM164" s="293">
        <v>0</v>
      </c>
      <c r="CN164" s="293">
        <f t="shared" si="152"/>
        <v>0</v>
      </c>
      <c r="CO164" s="293"/>
      <c r="CP164" s="58">
        <f t="shared" si="153"/>
        <v>0</v>
      </c>
      <c r="CQ164" s="223">
        <f t="shared" si="154"/>
        <v>0</v>
      </c>
      <c r="CR164" s="223">
        <f t="shared" si="155"/>
        <v>0</v>
      </c>
      <c r="CS164" s="223">
        <f t="shared" si="156"/>
        <v>0</v>
      </c>
      <c r="CT164" s="223">
        <f t="shared" si="157"/>
        <v>0</v>
      </c>
      <c r="CU164" s="223">
        <f t="shared" si="158"/>
        <v>0</v>
      </c>
      <c r="CV164" s="223">
        <f t="shared" si="159"/>
        <v>0</v>
      </c>
      <c r="CW164" s="223">
        <f t="shared" si="160"/>
        <v>0</v>
      </c>
      <c r="CX164" s="223">
        <f t="shared" si="161"/>
        <v>0</v>
      </c>
      <c r="CY164" s="58">
        <f t="shared" si="162"/>
        <v>0</v>
      </c>
      <c r="CZ164" s="399">
        <f t="shared" si="163"/>
        <v>0</v>
      </c>
      <c r="DA164" s="399">
        <f t="shared" si="164"/>
        <v>0</v>
      </c>
      <c r="DB164" s="399">
        <f t="shared" si="165"/>
        <v>0</v>
      </c>
      <c r="DC164" s="399">
        <f t="shared" si="166"/>
        <v>0</v>
      </c>
      <c r="DD164" s="399">
        <f t="shared" si="167"/>
        <v>0</v>
      </c>
      <c r="DE164" s="399">
        <f t="shared" si="168"/>
        <v>0</v>
      </c>
      <c r="DF164" s="399">
        <f t="shared" si="169"/>
        <v>0</v>
      </c>
      <c r="DG164" s="399">
        <f t="shared" si="170"/>
        <v>0</v>
      </c>
      <c r="DI164" s="399"/>
      <c r="DJ164" s="399"/>
      <c r="DK164" s="399"/>
      <c r="DL164" s="399"/>
      <c r="DM164" s="399"/>
      <c r="DN164" s="399"/>
      <c r="DO164" s="399"/>
      <c r="DP164" s="399"/>
      <c r="DQ164" s="399"/>
      <c r="DS164" s="399"/>
      <c r="DT164" s="399"/>
      <c r="DU164" s="399"/>
      <c r="DV164" s="399"/>
      <c r="DW164" s="399"/>
      <c r="DX164" s="399"/>
      <c r="DY164" s="399"/>
      <c r="DZ164" s="399"/>
      <c r="EB164" s="228">
        <f t="shared" si="171"/>
        <v>0</v>
      </c>
      <c r="EC164" s="228">
        <f t="shared" si="172"/>
        <v>0</v>
      </c>
      <c r="ED164" s="214">
        <f t="shared" si="173"/>
        <v>0</v>
      </c>
    </row>
    <row r="165" spans="1:134" hidden="1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3" t="str">
        <f>VLOOKUP(A165,'Summary Mar 2026'!$A$8:$F$207,6,FALSE)</f>
        <v>Chq Bk</v>
      </c>
      <c r="G165" s="33"/>
      <c r="H165" s="223">
        <v>0</v>
      </c>
      <c r="I165" s="294"/>
      <c r="J165" s="223">
        <v>0</v>
      </c>
      <c r="K165" s="223">
        <v>0</v>
      </c>
      <c r="L165" s="223">
        <v>0</v>
      </c>
      <c r="M165" s="223">
        <v>0</v>
      </c>
      <c r="N165" s="223">
        <v>0</v>
      </c>
      <c r="O165" s="223">
        <v>0</v>
      </c>
      <c r="P165" s="33">
        <f t="shared" si="131"/>
        <v>0</v>
      </c>
      <c r="Q165" s="223">
        <f t="shared" si="132"/>
        <v>0</v>
      </c>
      <c r="R165" s="294"/>
      <c r="S165" s="223">
        <v>0</v>
      </c>
      <c r="T165" s="223">
        <v>0</v>
      </c>
      <c r="U165" s="223">
        <v>0</v>
      </c>
      <c r="V165" s="223">
        <v>0</v>
      </c>
      <c r="W165" s="223">
        <v>0</v>
      </c>
      <c r="X165" s="223">
        <v>0</v>
      </c>
      <c r="Y165" s="223">
        <f t="shared" si="133"/>
        <v>0</v>
      </c>
      <c r="Z165" s="223">
        <f t="shared" si="134"/>
        <v>0</v>
      </c>
      <c r="AA165" s="294"/>
      <c r="AB165" s="398">
        <v>0</v>
      </c>
      <c r="AC165" s="398">
        <v>0</v>
      </c>
      <c r="AD165" s="398">
        <v>0</v>
      </c>
      <c r="AE165" s="398">
        <v>0</v>
      </c>
      <c r="AF165" s="398">
        <v>0</v>
      </c>
      <c r="AG165" s="398">
        <v>0</v>
      </c>
      <c r="AH165" s="223">
        <f t="shared" si="135"/>
        <v>0</v>
      </c>
      <c r="AI165" s="398">
        <f t="shared" si="136"/>
        <v>0</v>
      </c>
      <c r="AJ165" s="294"/>
      <c r="AK165" s="398">
        <v>0</v>
      </c>
      <c r="AL165" s="398">
        <v>0</v>
      </c>
      <c r="AM165" s="398">
        <v>0</v>
      </c>
      <c r="AN165" s="294"/>
      <c r="AO165" s="398">
        <f t="shared" si="137"/>
        <v>0</v>
      </c>
      <c r="AP165" s="398">
        <f t="shared" si="138"/>
        <v>0</v>
      </c>
      <c r="AQ165" s="398">
        <f t="shared" si="139"/>
        <v>0</v>
      </c>
      <c r="AR165" s="293"/>
      <c r="AS165" s="293">
        <v>0</v>
      </c>
      <c r="AT165" s="576">
        <f t="shared" si="140"/>
        <v>0</v>
      </c>
      <c r="AU165" s="293"/>
      <c r="AV165" s="293">
        <v>0</v>
      </c>
      <c r="AW165" s="293">
        <v>0</v>
      </c>
      <c r="AX165" s="293">
        <v>0</v>
      </c>
      <c r="AY165" s="293">
        <v>0</v>
      </c>
      <c r="AZ165" s="293">
        <v>0</v>
      </c>
      <c r="BA165" s="293">
        <v>0</v>
      </c>
      <c r="BB165" s="293">
        <v>0</v>
      </c>
      <c r="BC165" s="293">
        <f t="shared" si="141"/>
        <v>0</v>
      </c>
      <c r="BE165" s="58">
        <f t="shared" si="142"/>
        <v>0</v>
      </c>
      <c r="BF165" s="58">
        <f t="shared" si="143"/>
        <v>0</v>
      </c>
      <c r="BG165" s="58">
        <f t="shared" si="144"/>
        <v>0</v>
      </c>
      <c r="BH165" s="58">
        <f t="shared" si="145"/>
        <v>0</v>
      </c>
      <c r="BI165" s="58">
        <f t="shared" si="146"/>
        <v>0</v>
      </c>
      <c r="BJ165" s="58">
        <f t="shared" si="147"/>
        <v>0</v>
      </c>
      <c r="BK165" s="58">
        <f t="shared" si="148"/>
        <v>0</v>
      </c>
      <c r="BL165" s="58">
        <f t="shared" si="149"/>
        <v>0</v>
      </c>
      <c r="BM165" s="33">
        <f t="shared" si="150"/>
        <v>0</v>
      </c>
      <c r="BN165" s="33"/>
      <c r="BO165" s="293">
        <f t="shared" si="174"/>
        <v>0</v>
      </c>
      <c r="BP165" s="293">
        <f t="shared" si="175"/>
        <v>0</v>
      </c>
      <c r="BQ165" s="293">
        <f t="shared" si="176"/>
        <v>0</v>
      </c>
      <c r="BR165" s="293">
        <f t="shared" si="177"/>
        <v>0</v>
      </c>
      <c r="BS165" s="293">
        <f t="shared" si="178"/>
        <v>0</v>
      </c>
      <c r="BT165" s="293">
        <f t="shared" si="179"/>
        <v>0</v>
      </c>
      <c r="BU165" s="293">
        <f t="shared" si="180"/>
        <v>0</v>
      </c>
      <c r="BV165" s="293">
        <f t="shared" si="129"/>
        <v>0</v>
      </c>
      <c r="BW165" s="293">
        <f t="shared" si="130"/>
        <v>0</v>
      </c>
      <c r="BX165" s="293">
        <v>0</v>
      </c>
      <c r="BY165" s="293">
        <v>0</v>
      </c>
      <c r="BZ165" s="293">
        <v>0</v>
      </c>
      <c r="CA165" s="293">
        <v>0</v>
      </c>
      <c r="CB165" s="293">
        <v>0</v>
      </c>
      <c r="CC165" s="293">
        <v>0</v>
      </c>
      <c r="CD165" s="293">
        <v>0</v>
      </c>
      <c r="CE165" s="293">
        <f t="shared" si="151"/>
        <v>0</v>
      </c>
      <c r="CF165" s="293"/>
      <c r="CG165" s="293">
        <v>0</v>
      </c>
      <c r="CH165" s="293">
        <v>0</v>
      </c>
      <c r="CI165" s="293">
        <v>0</v>
      </c>
      <c r="CJ165" s="293">
        <v>0</v>
      </c>
      <c r="CK165" s="293">
        <v>0</v>
      </c>
      <c r="CL165" s="293">
        <v>0</v>
      </c>
      <c r="CM165" s="293">
        <v>0</v>
      </c>
      <c r="CN165" s="293">
        <f t="shared" si="152"/>
        <v>0</v>
      </c>
      <c r="CO165" s="293"/>
      <c r="CP165" s="58">
        <f t="shared" si="153"/>
        <v>0</v>
      </c>
      <c r="CQ165" s="223">
        <f t="shared" si="154"/>
        <v>0</v>
      </c>
      <c r="CR165" s="223">
        <f t="shared" si="155"/>
        <v>0</v>
      </c>
      <c r="CS165" s="223">
        <f t="shared" si="156"/>
        <v>0</v>
      </c>
      <c r="CT165" s="223">
        <f t="shared" si="157"/>
        <v>0</v>
      </c>
      <c r="CU165" s="223">
        <f t="shared" si="158"/>
        <v>0</v>
      </c>
      <c r="CV165" s="223">
        <f t="shared" si="159"/>
        <v>0</v>
      </c>
      <c r="CW165" s="223">
        <f t="shared" si="160"/>
        <v>0</v>
      </c>
      <c r="CX165" s="223">
        <f t="shared" si="161"/>
        <v>0</v>
      </c>
      <c r="CY165" s="58">
        <f t="shared" si="162"/>
        <v>0</v>
      </c>
      <c r="CZ165" s="399">
        <f t="shared" si="163"/>
        <v>0</v>
      </c>
      <c r="DA165" s="399">
        <f t="shared" si="164"/>
        <v>0</v>
      </c>
      <c r="DB165" s="399">
        <f t="shared" si="165"/>
        <v>0</v>
      </c>
      <c r="DC165" s="399">
        <f t="shared" si="166"/>
        <v>0</v>
      </c>
      <c r="DD165" s="399">
        <f t="shared" si="167"/>
        <v>0</v>
      </c>
      <c r="DE165" s="399">
        <f t="shared" si="168"/>
        <v>0</v>
      </c>
      <c r="DF165" s="399">
        <f t="shared" si="169"/>
        <v>0</v>
      </c>
      <c r="DG165" s="399">
        <f t="shared" si="170"/>
        <v>0</v>
      </c>
      <c r="DI165" s="399"/>
      <c r="DJ165" s="399"/>
      <c r="DK165" s="399"/>
      <c r="DL165" s="399"/>
      <c r="DM165" s="399"/>
      <c r="DN165" s="399"/>
      <c r="DO165" s="399"/>
      <c r="DP165" s="399"/>
      <c r="DQ165" s="399"/>
      <c r="DS165" s="399"/>
      <c r="DT165" s="399"/>
      <c r="DU165" s="399"/>
      <c r="DV165" s="399"/>
      <c r="DW165" s="399"/>
      <c r="DX165" s="399"/>
      <c r="DY165" s="399"/>
      <c r="DZ165" s="399"/>
      <c r="EB165" s="228">
        <f t="shared" si="171"/>
        <v>0</v>
      </c>
      <c r="EC165" s="228">
        <f t="shared" si="172"/>
        <v>0</v>
      </c>
      <c r="ED165" s="214">
        <f t="shared" si="173"/>
        <v>0</v>
      </c>
    </row>
    <row r="166" spans="1:134" hidden="1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3" t="str">
        <f>VLOOKUP(A166,'Summary Mar 2026'!$A$8:$F$207,6,FALSE)</f>
        <v>Chq Bk</v>
      </c>
      <c r="G166" s="33"/>
      <c r="H166" s="223">
        <v>0</v>
      </c>
      <c r="I166" s="294"/>
      <c r="J166" s="223">
        <v>0</v>
      </c>
      <c r="K166" s="223">
        <v>0</v>
      </c>
      <c r="L166" s="223">
        <v>0</v>
      </c>
      <c r="M166" s="223">
        <v>0</v>
      </c>
      <c r="N166" s="223">
        <v>0</v>
      </c>
      <c r="O166" s="223">
        <v>0</v>
      </c>
      <c r="P166" s="33">
        <f t="shared" si="131"/>
        <v>0</v>
      </c>
      <c r="Q166" s="223">
        <f t="shared" si="132"/>
        <v>0</v>
      </c>
      <c r="R166" s="294"/>
      <c r="S166" s="223">
        <v>0</v>
      </c>
      <c r="T166" s="223">
        <v>0</v>
      </c>
      <c r="U166" s="223">
        <v>0</v>
      </c>
      <c r="V166" s="223">
        <v>0</v>
      </c>
      <c r="W166" s="223">
        <v>0</v>
      </c>
      <c r="X166" s="223">
        <v>0</v>
      </c>
      <c r="Y166" s="223">
        <f t="shared" si="133"/>
        <v>0</v>
      </c>
      <c r="Z166" s="223">
        <f t="shared" si="134"/>
        <v>0</v>
      </c>
      <c r="AA166" s="294"/>
      <c r="AB166" s="398">
        <v>0</v>
      </c>
      <c r="AC166" s="398">
        <v>0</v>
      </c>
      <c r="AD166" s="398">
        <v>0</v>
      </c>
      <c r="AE166" s="398">
        <v>0</v>
      </c>
      <c r="AF166" s="398">
        <v>0</v>
      </c>
      <c r="AG166" s="398">
        <v>0</v>
      </c>
      <c r="AH166" s="223">
        <f t="shared" si="135"/>
        <v>0</v>
      </c>
      <c r="AI166" s="398">
        <f t="shared" si="136"/>
        <v>0</v>
      </c>
      <c r="AJ166" s="294"/>
      <c r="AK166" s="398">
        <v>0</v>
      </c>
      <c r="AL166" s="398">
        <v>0</v>
      </c>
      <c r="AM166" s="398">
        <v>0</v>
      </c>
      <c r="AN166" s="294"/>
      <c r="AO166" s="398">
        <f t="shared" si="137"/>
        <v>0</v>
      </c>
      <c r="AP166" s="398">
        <f t="shared" si="138"/>
        <v>0</v>
      </c>
      <c r="AQ166" s="398">
        <f t="shared" si="139"/>
        <v>0</v>
      </c>
      <c r="AR166" s="293"/>
      <c r="AS166" s="293">
        <v>0</v>
      </c>
      <c r="AT166" s="576">
        <f t="shared" si="140"/>
        <v>0</v>
      </c>
      <c r="AU166" s="293"/>
      <c r="AV166" s="293">
        <v>0</v>
      </c>
      <c r="AW166" s="293">
        <v>0</v>
      </c>
      <c r="AX166" s="293">
        <v>0</v>
      </c>
      <c r="AY166" s="293">
        <v>0</v>
      </c>
      <c r="AZ166" s="293">
        <v>0</v>
      </c>
      <c r="BA166" s="293">
        <v>0</v>
      </c>
      <c r="BB166" s="293">
        <v>0</v>
      </c>
      <c r="BC166" s="293">
        <f t="shared" si="141"/>
        <v>0</v>
      </c>
      <c r="BE166" s="58">
        <f t="shared" si="142"/>
        <v>0</v>
      </c>
      <c r="BF166" s="58">
        <f t="shared" si="143"/>
        <v>0</v>
      </c>
      <c r="BG166" s="58">
        <f t="shared" si="144"/>
        <v>0</v>
      </c>
      <c r="BH166" s="58">
        <f t="shared" si="145"/>
        <v>0</v>
      </c>
      <c r="BI166" s="58">
        <f t="shared" si="146"/>
        <v>0</v>
      </c>
      <c r="BJ166" s="58">
        <f t="shared" si="147"/>
        <v>0</v>
      </c>
      <c r="BK166" s="58">
        <f t="shared" si="148"/>
        <v>0</v>
      </c>
      <c r="BL166" s="58">
        <f t="shared" si="149"/>
        <v>0</v>
      </c>
      <c r="BM166" s="33">
        <f t="shared" si="150"/>
        <v>0</v>
      </c>
      <c r="BN166" s="33"/>
      <c r="BO166" s="293">
        <f t="shared" si="174"/>
        <v>0</v>
      </c>
      <c r="BP166" s="293">
        <f t="shared" si="175"/>
        <v>0</v>
      </c>
      <c r="BQ166" s="293">
        <f t="shared" si="176"/>
        <v>0</v>
      </c>
      <c r="BR166" s="293">
        <f t="shared" si="177"/>
        <v>0</v>
      </c>
      <c r="BS166" s="293">
        <f t="shared" si="178"/>
        <v>0</v>
      </c>
      <c r="BT166" s="293">
        <f t="shared" si="179"/>
        <v>0</v>
      </c>
      <c r="BU166" s="293">
        <f t="shared" si="180"/>
        <v>0</v>
      </c>
      <c r="BV166" s="293">
        <f t="shared" si="129"/>
        <v>0</v>
      </c>
      <c r="BW166" s="293">
        <f t="shared" si="130"/>
        <v>0</v>
      </c>
      <c r="BX166" s="293">
        <v>0</v>
      </c>
      <c r="BY166" s="293">
        <v>0</v>
      </c>
      <c r="BZ166" s="293">
        <v>0</v>
      </c>
      <c r="CA166" s="293">
        <v>0</v>
      </c>
      <c r="CB166" s="293">
        <v>0</v>
      </c>
      <c r="CC166" s="293">
        <v>0</v>
      </c>
      <c r="CD166" s="293">
        <v>0</v>
      </c>
      <c r="CE166" s="293">
        <f t="shared" si="151"/>
        <v>0</v>
      </c>
      <c r="CF166" s="293"/>
      <c r="CG166" s="293">
        <v>0</v>
      </c>
      <c r="CH166" s="293">
        <v>0</v>
      </c>
      <c r="CI166" s="293">
        <v>0</v>
      </c>
      <c r="CJ166" s="293">
        <v>0</v>
      </c>
      <c r="CK166" s="293">
        <v>0</v>
      </c>
      <c r="CL166" s="293">
        <v>0</v>
      </c>
      <c r="CM166" s="293">
        <v>0</v>
      </c>
      <c r="CN166" s="293">
        <f t="shared" si="152"/>
        <v>0</v>
      </c>
      <c r="CO166" s="293"/>
      <c r="CP166" s="58">
        <f t="shared" si="153"/>
        <v>0</v>
      </c>
      <c r="CQ166" s="223">
        <f t="shared" si="154"/>
        <v>0</v>
      </c>
      <c r="CR166" s="223">
        <f t="shared" si="155"/>
        <v>0</v>
      </c>
      <c r="CS166" s="223">
        <f t="shared" si="156"/>
        <v>0</v>
      </c>
      <c r="CT166" s="223">
        <f t="shared" si="157"/>
        <v>0</v>
      </c>
      <c r="CU166" s="223">
        <f t="shared" si="158"/>
        <v>0</v>
      </c>
      <c r="CV166" s="223">
        <f t="shared" si="159"/>
        <v>0</v>
      </c>
      <c r="CW166" s="223">
        <f t="shared" si="160"/>
        <v>0</v>
      </c>
      <c r="CX166" s="223">
        <f t="shared" si="161"/>
        <v>0</v>
      </c>
      <c r="CY166" s="58">
        <f t="shared" si="162"/>
        <v>0</v>
      </c>
      <c r="CZ166" s="399">
        <f t="shared" si="163"/>
        <v>0</v>
      </c>
      <c r="DA166" s="399">
        <f t="shared" si="164"/>
        <v>0</v>
      </c>
      <c r="DB166" s="399">
        <f t="shared" si="165"/>
        <v>0</v>
      </c>
      <c r="DC166" s="399">
        <f t="shared" si="166"/>
        <v>0</v>
      </c>
      <c r="DD166" s="399">
        <f t="shared" si="167"/>
        <v>0</v>
      </c>
      <c r="DE166" s="399">
        <f t="shared" si="168"/>
        <v>0</v>
      </c>
      <c r="DF166" s="399">
        <f t="shared" si="169"/>
        <v>0</v>
      </c>
      <c r="DG166" s="399">
        <f t="shared" si="170"/>
        <v>0</v>
      </c>
      <c r="DI166" s="399"/>
      <c r="DJ166" s="399"/>
      <c r="DK166" s="399"/>
      <c r="DL166" s="399"/>
      <c r="DM166" s="399"/>
      <c r="DN166" s="399"/>
      <c r="DO166" s="399"/>
      <c r="DP166" s="399"/>
      <c r="DQ166" s="399"/>
      <c r="DS166" s="399"/>
      <c r="DT166" s="399"/>
      <c r="DU166" s="399"/>
      <c r="DV166" s="399"/>
      <c r="DW166" s="399"/>
      <c r="DX166" s="399"/>
      <c r="DY166" s="399"/>
      <c r="DZ166" s="399"/>
      <c r="EB166" s="228">
        <f t="shared" si="171"/>
        <v>0</v>
      </c>
      <c r="EC166" s="228">
        <f t="shared" si="172"/>
        <v>0</v>
      </c>
      <c r="ED166" s="214">
        <f t="shared" si="173"/>
        <v>0</v>
      </c>
    </row>
    <row r="167" spans="1:134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3" t="str">
        <f>VLOOKUP(A167,'Summary Mar 2026'!$A$8:$F$207,6,FALSE)</f>
        <v>Chq Bk</v>
      </c>
      <c r="G167" s="33"/>
      <c r="H167" s="223">
        <v>0</v>
      </c>
      <c r="I167" s="294"/>
      <c r="J167" s="223">
        <v>0</v>
      </c>
      <c r="K167" s="223">
        <v>0</v>
      </c>
      <c r="L167" s="223">
        <v>68429.399999999994</v>
      </c>
      <c r="M167" s="223">
        <v>4875</v>
      </c>
      <c r="N167" s="223">
        <v>1715.3157894736842</v>
      </c>
      <c r="O167" s="223">
        <v>0</v>
      </c>
      <c r="P167" s="33">
        <f t="shared" si="131"/>
        <v>75019.715789473674</v>
      </c>
      <c r="Q167" s="223">
        <f t="shared" si="132"/>
        <v>60015.77263157894</v>
      </c>
      <c r="R167" s="294"/>
      <c r="S167" s="223">
        <v>0</v>
      </c>
      <c r="T167" s="223">
        <v>0</v>
      </c>
      <c r="U167" s="223">
        <v>27592.5</v>
      </c>
      <c r="V167" s="223">
        <v>2145</v>
      </c>
      <c r="W167" s="223">
        <v>820.36842105263156</v>
      </c>
      <c r="X167" s="223">
        <v>0</v>
      </c>
      <c r="Y167" s="223">
        <f t="shared" si="133"/>
        <v>30557.86842105263</v>
      </c>
      <c r="Z167" s="223">
        <f t="shared" si="134"/>
        <v>24446.294736842105</v>
      </c>
      <c r="AA167" s="294"/>
      <c r="AB167" s="398">
        <v>0</v>
      </c>
      <c r="AC167" s="398">
        <v>0</v>
      </c>
      <c r="AD167" s="398">
        <v>48258.947368421053</v>
      </c>
      <c r="AE167" s="398">
        <v>3183.1578947368416</v>
      </c>
      <c r="AF167" s="398">
        <v>1130.4598337950138</v>
      </c>
      <c r="AG167" s="398">
        <v>0</v>
      </c>
      <c r="AH167" s="223">
        <f t="shared" si="135"/>
        <v>52572.565096952909</v>
      </c>
      <c r="AI167" s="398">
        <f t="shared" si="136"/>
        <v>42058.05207756233</v>
      </c>
      <c r="AJ167" s="294"/>
      <c r="AK167" s="398">
        <v>2843.1</v>
      </c>
      <c r="AL167" s="398">
        <v>1109.5500000000002</v>
      </c>
      <c r="AM167" s="398">
        <v>2017.3263157894737</v>
      </c>
      <c r="AN167" s="294"/>
      <c r="AO167" s="398">
        <f t="shared" si="137"/>
        <v>2274.48</v>
      </c>
      <c r="AP167" s="398">
        <f t="shared" si="138"/>
        <v>887.64000000000021</v>
      </c>
      <c r="AQ167" s="398">
        <f t="shared" si="139"/>
        <v>1613.861052631579</v>
      </c>
      <c r="AR167" s="293"/>
      <c r="AS167" s="293">
        <v>0</v>
      </c>
      <c r="AT167" s="576">
        <f t="shared" si="140"/>
        <v>0</v>
      </c>
      <c r="AU167" s="293"/>
      <c r="AV167" s="293">
        <v>0</v>
      </c>
      <c r="AW167" s="293">
        <v>0</v>
      </c>
      <c r="AX167" s="293">
        <v>58496.1</v>
      </c>
      <c r="AY167" s="293">
        <v>5265</v>
      </c>
      <c r="AZ167" s="293">
        <v>2013.6315789473686</v>
      </c>
      <c r="BA167" s="293">
        <v>320.89</v>
      </c>
      <c r="BB167" s="293">
        <v>2207.3999999999996</v>
      </c>
      <c r="BC167" s="293">
        <f t="shared" si="141"/>
        <v>68303.021578947359</v>
      </c>
      <c r="BE167" s="58">
        <f t="shared" si="142"/>
        <v>0</v>
      </c>
      <c r="BF167" s="58">
        <f t="shared" si="143"/>
        <v>0</v>
      </c>
      <c r="BG167" s="58">
        <f t="shared" si="144"/>
        <v>-9933.2999999999956</v>
      </c>
      <c r="BH167" s="58">
        <f t="shared" si="145"/>
        <v>390</v>
      </c>
      <c r="BI167" s="58">
        <f t="shared" si="146"/>
        <v>298.31578947368439</v>
      </c>
      <c r="BJ167" s="58">
        <f t="shared" si="147"/>
        <v>320.89</v>
      </c>
      <c r="BK167" s="58">
        <f t="shared" si="148"/>
        <v>-635.70000000000027</v>
      </c>
      <c r="BL167" s="58">
        <f t="shared" si="149"/>
        <v>-9559.7942105263119</v>
      </c>
      <c r="BM167" s="33">
        <f t="shared" si="150"/>
        <v>0</v>
      </c>
      <c r="BN167" s="33"/>
      <c r="BO167" s="293">
        <f t="shared" si="174"/>
        <v>0</v>
      </c>
      <c r="BP167" s="293">
        <f t="shared" si="175"/>
        <v>0</v>
      </c>
      <c r="BQ167" s="293">
        <f t="shared" si="176"/>
        <v>3752.5800000000017</v>
      </c>
      <c r="BR167" s="293">
        <f t="shared" si="177"/>
        <v>1365</v>
      </c>
      <c r="BS167" s="293">
        <f t="shared" si="178"/>
        <v>641.37894736842122</v>
      </c>
      <c r="BT167" s="293">
        <f t="shared" si="179"/>
        <v>320.89</v>
      </c>
      <c r="BU167" s="293">
        <f t="shared" si="180"/>
        <v>-67.080000000000382</v>
      </c>
      <c r="BV167" s="293">
        <f t="shared" si="129"/>
        <v>6012.7689473684222</v>
      </c>
      <c r="BW167" s="293">
        <f t="shared" si="130"/>
        <v>1.4551915228366852E-11</v>
      </c>
      <c r="BX167" s="293">
        <v>0</v>
      </c>
      <c r="BY167" s="293">
        <v>0</v>
      </c>
      <c r="BZ167" s="293">
        <v>0</v>
      </c>
      <c r="CA167" s="293">
        <v>0</v>
      </c>
      <c r="CB167" s="293">
        <v>111.86842105263099</v>
      </c>
      <c r="CC167" s="293">
        <v>617.11</v>
      </c>
      <c r="CD167" s="293">
        <v>429.00000000000045</v>
      </c>
      <c r="CE167" s="293">
        <f t="shared" si="151"/>
        <v>1157.9784210526313</v>
      </c>
      <c r="CF167" s="293"/>
      <c r="CG167" s="293">
        <v>0</v>
      </c>
      <c r="CH167" s="293">
        <v>0</v>
      </c>
      <c r="CI167" s="293">
        <v>47459.1</v>
      </c>
      <c r="CJ167" s="293">
        <v>5070</v>
      </c>
      <c r="CK167" s="293">
        <v>2051.92</v>
      </c>
      <c r="CL167" s="293">
        <v>938</v>
      </c>
      <c r="CM167" s="293">
        <v>2445.2999999999997</v>
      </c>
      <c r="CN167" s="293">
        <f t="shared" si="152"/>
        <v>57964.32</v>
      </c>
      <c r="CO167" s="293"/>
      <c r="CP167" s="58">
        <f t="shared" si="153"/>
        <v>0</v>
      </c>
      <c r="CQ167" s="223">
        <f t="shared" si="154"/>
        <v>0</v>
      </c>
      <c r="CR167" s="223">
        <f t="shared" si="155"/>
        <v>19866.599999999999</v>
      </c>
      <c r="CS167" s="223">
        <f t="shared" si="156"/>
        <v>2925</v>
      </c>
      <c r="CT167" s="223">
        <f t="shared" si="157"/>
        <v>1231.5515789473684</v>
      </c>
      <c r="CU167" s="223">
        <f t="shared" si="158"/>
        <v>938</v>
      </c>
      <c r="CV167" s="223">
        <f t="shared" si="159"/>
        <v>1335.7499999999995</v>
      </c>
      <c r="CW167" s="223">
        <f t="shared" si="160"/>
        <v>26296.901578947367</v>
      </c>
      <c r="CX167" s="223">
        <f t="shared" si="161"/>
        <v>0</v>
      </c>
      <c r="CY167" s="58">
        <f t="shared" si="162"/>
        <v>0</v>
      </c>
      <c r="CZ167" s="399">
        <f t="shared" si="163"/>
        <v>0</v>
      </c>
      <c r="DA167" s="399">
        <f t="shared" si="164"/>
        <v>25385.1</v>
      </c>
      <c r="DB167" s="399">
        <f t="shared" si="165"/>
        <v>3354</v>
      </c>
      <c r="DC167" s="399">
        <f t="shared" si="166"/>
        <v>1395.6252631578948</v>
      </c>
      <c r="DD167" s="399">
        <f t="shared" si="167"/>
        <v>938</v>
      </c>
      <c r="DE167" s="399">
        <f t="shared" si="168"/>
        <v>1557.6599999999994</v>
      </c>
      <c r="DF167" s="399">
        <f t="shared" si="169"/>
        <v>32630.385263157892</v>
      </c>
      <c r="DG167" s="399">
        <f t="shared" si="170"/>
        <v>0</v>
      </c>
      <c r="DI167" s="399"/>
      <c r="DJ167" s="399"/>
      <c r="DK167" s="399"/>
      <c r="DL167" s="399"/>
      <c r="DM167" s="399"/>
      <c r="DN167" s="399"/>
      <c r="DO167" s="399"/>
      <c r="DP167" s="399"/>
      <c r="DQ167" s="399"/>
      <c r="DS167" s="399"/>
      <c r="DT167" s="399"/>
      <c r="DU167" s="399"/>
      <c r="DV167" s="399"/>
      <c r="DW167" s="399"/>
      <c r="DX167" s="399"/>
      <c r="DY167" s="399"/>
      <c r="DZ167" s="399"/>
      <c r="EB167" s="228">
        <f t="shared" si="171"/>
        <v>169221.2331301939</v>
      </c>
      <c r="EC167" s="228">
        <f t="shared" si="172"/>
        <v>1876</v>
      </c>
      <c r="ED167" s="214">
        <f t="shared" si="173"/>
        <v>171097.2331301939</v>
      </c>
    </row>
    <row r="168" spans="1:134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3" t="str">
        <f>VLOOKUP(A168,'Summary Mar 2026'!$A$8:$F$207,6,FALSE)</f>
        <v>Chq Bk</v>
      </c>
      <c r="G168" s="33"/>
      <c r="H168" s="223">
        <v>0</v>
      </c>
      <c r="I168" s="294"/>
      <c r="J168" s="223">
        <v>0</v>
      </c>
      <c r="K168" s="223">
        <v>0</v>
      </c>
      <c r="L168" s="223">
        <v>51873.9</v>
      </c>
      <c r="M168" s="223">
        <v>1755</v>
      </c>
      <c r="N168" s="223">
        <v>0</v>
      </c>
      <c r="O168" s="223">
        <v>0</v>
      </c>
      <c r="P168" s="33">
        <f t="shared" si="131"/>
        <v>53628.9</v>
      </c>
      <c r="Q168" s="223">
        <f t="shared" si="132"/>
        <v>42903.12</v>
      </c>
      <c r="R168" s="294"/>
      <c r="S168" s="223">
        <v>0</v>
      </c>
      <c r="T168" s="223">
        <v>0</v>
      </c>
      <c r="U168" s="223">
        <v>35980.619999999995</v>
      </c>
      <c r="V168" s="223">
        <v>897</v>
      </c>
      <c r="W168" s="223">
        <v>0</v>
      </c>
      <c r="X168" s="223">
        <v>0</v>
      </c>
      <c r="Y168" s="223">
        <f t="shared" si="133"/>
        <v>36877.619999999995</v>
      </c>
      <c r="Z168" s="223">
        <f t="shared" si="134"/>
        <v>29502.095999999998</v>
      </c>
      <c r="AA168" s="294"/>
      <c r="AB168" s="398">
        <v>0</v>
      </c>
      <c r="AC168" s="398">
        <v>0</v>
      </c>
      <c r="AD168" s="398">
        <v>39443.646315789476</v>
      </c>
      <c r="AE168" s="398">
        <v>795.78947368421041</v>
      </c>
      <c r="AF168" s="398">
        <v>0</v>
      </c>
      <c r="AG168" s="398">
        <v>0</v>
      </c>
      <c r="AH168" s="223">
        <f t="shared" si="135"/>
        <v>40239.43578947369</v>
      </c>
      <c r="AI168" s="398">
        <f t="shared" si="136"/>
        <v>32191.548631578953</v>
      </c>
      <c r="AJ168" s="294"/>
      <c r="AK168" s="398">
        <v>518.70000000000005</v>
      </c>
      <c r="AL168" s="398">
        <v>202.79999999999998</v>
      </c>
      <c r="AM168" s="398">
        <v>335.93684210526311</v>
      </c>
      <c r="AN168" s="294"/>
      <c r="AO168" s="398">
        <f t="shared" si="137"/>
        <v>414.96000000000004</v>
      </c>
      <c r="AP168" s="398">
        <f t="shared" si="138"/>
        <v>162.24</v>
      </c>
      <c r="AQ168" s="398">
        <f t="shared" si="139"/>
        <v>268.7494736842105</v>
      </c>
      <c r="AR168" s="293"/>
      <c r="AS168" s="293">
        <v>0</v>
      </c>
      <c r="AT168" s="576">
        <f t="shared" si="140"/>
        <v>0</v>
      </c>
      <c r="AU168" s="293"/>
      <c r="AV168" s="293">
        <v>0</v>
      </c>
      <c r="AW168" s="293">
        <v>0</v>
      </c>
      <c r="AX168" s="293">
        <v>38629.5</v>
      </c>
      <c r="AY168" s="293">
        <v>0</v>
      </c>
      <c r="AZ168" s="293">
        <v>0</v>
      </c>
      <c r="BA168" s="293">
        <v>0</v>
      </c>
      <c r="BB168" s="293">
        <v>274.95</v>
      </c>
      <c r="BC168" s="293">
        <f t="shared" si="141"/>
        <v>38904.449999999997</v>
      </c>
      <c r="BE168" s="58">
        <f t="shared" si="142"/>
        <v>0</v>
      </c>
      <c r="BF168" s="58">
        <f t="shared" si="143"/>
        <v>0</v>
      </c>
      <c r="BG168" s="58">
        <f t="shared" si="144"/>
        <v>-13244.400000000001</v>
      </c>
      <c r="BH168" s="58">
        <f t="shared" si="145"/>
        <v>-1755</v>
      </c>
      <c r="BI168" s="58">
        <f t="shared" si="146"/>
        <v>0</v>
      </c>
      <c r="BJ168" s="58">
        <f t="shared" si="147"/>
        <v>0</v>
      </c>
      <c r="BK168" s="58">
        <f t="shared" si="148"/>
        <v>-243.75000000000006</v>
      </c>
      <c r="BL168" s="58">
        <f t="shared" si="149"/>
        <v>-15243.150000000001</v>
      </c>
      <c r="BM168" s="33">
        <f t="shared" si="150"/>
        <v>0</v>
      </c>
      <c r="BN168" s="33"/>
      <c r="BO168" s="293">
        <f t="shared" si="174"/>
        <v>0</v>
      </c>
      <c r="BP168" s="293">
        <f t="shared" si="175"/>
        <v>0</v>
      </c>
      <c r="BQ168" s="293">
        <f t="shared" si="176"/>
        <v>-2869.6200000000026</v>
      </c>
      <c r="BR168" s="293">
        <f t="shared" si="177"/>
        <v>-1404</v>
      </c>
      <c r="BS168" s="293">
        <f t="shared" si="178"/>
        <v>0</v>
      </c>
      <c r="BT168" s="293">
        <f t="shared" si="179"/>
        <v>0</v>
      </c>
      <c r="BU168" s="293">
        <f t="shared" si="180"/>
        <v>-140.01000000000005</v>
      </c>
      <c r="BV168" s="293">
        <f t="shared" si="129"/>
        <v>-4413.6300000000028</v>
      </c>
      <c r="BW168" s="293">
        <f t="shared" si="130"/>
        <v>0</v>
      </c>
      <c r="BX168" s="293">
        <v>0</v>
      </c>
      <c r="BY168" s="293">
        <v>0</v>
      </c>
      <c r="BZ168" s="293">
        <v>0</v>
      </c>
      <c r="CA168" s="293">
        <v>0</v>
      </c>
      <c r="CB168" s="293">
        <v>0</v>
      </c>
      <c r="CC168" s="293">
        <v>0</v>
      </c>
      <c r="CD168" s="293">
        <v>62.400000000000034</v>
      </c>
      <c r="CE168" s="293">
        <f t="shared" si="151"/>
        <v>62.400000000000034</v>
      </c>
      <c r="CF168" s="293"/>
      <c r="CG168" s="293">
        <v>0</v>
      </c>
      <c r="CH168" s="293">
        <v>0</v>
      </c>
      <c r="CI168" s="293">
        <v>30903.599999999999</v>
      </c>
      <c r="CJ168" s="293">
        <v>780</v>
      </c>
      <c r="CK168" s="293">
        <v>0</v>
      </c>
      <c r="CL168" s="293">
        <v>0</v>
      </c>
      <c r="CM168" s="293">
        <v>356.85</v>
      </c>
      <c r="CN168" s="293">
        <f t="shared" si="152"/>
        <v>32040.449999999997</v>
      </c>
      <c r="CO168" s="293"/>
      <c r="CP168" s="58">
        <f t="shared" si="153"/>
        <v>0</v>
      </c>
      <c r="CQ168" s="223">
        <f t="shared" si="154"/>
        <v>0</v>
      </c>
      <c r="CR168" s="223">
        <f t="shared" si="155"/>
        <v>-5077.0199999999968</v>
      </c>
      <c r="CS168" s="223">
        <f t="shared" si="156"/>
        <v>-117</v>
      </c>
      <c r="CT168" s="223">
        <f t="shared" si="157"/>
        <v>0</v>
      </c>
      <c r="CU168" s="223">
        <f t="shared" si="158"/>
        <v>0</v>
      </c>
      <c r="CV168" s="223">
        <f t="shared" si="159"/>
        <v>154.05000000000004</v>
      </c>
      <c r="CW168" s="223">
        <f t="shared" si="160"/>
        <v>-5039.9699999999966</v>
      </c>
      <c r="CX168" s="223">
        <f t="shared" si="161"/>
        <v>0</v>
      </c>
      <c r="CY168" s="58">
        <f t="shared" si="162"/>
        <v>0</v>
      </c>
      <c r="CZ168" s="399">
        <f t="shared" si="163"/>
        <v>0</v>
      </c>
      <c r="DA168" s="399">
        <f t="shared" si="164"/>
        <v>2119.1039999999994</v>
      </c>
      <c r="DB168" s="399">
        <f t="shared" si="165"/>
        <v>62.399999999999977</v>
      </c>
      <c r="DC168" s="399">
        <f t="shared" si="166"/>
        <v>0</v>
      </c>
      <c r="DD168" s="399">
        <f t="shared" si="167"/>
        <v>0</v>
      </c>
      <c r="DE168" s="399">
        <f t="shared" si="168"/>
        <v>194.61</v>
      </c>
      <c r="DF168" s="399">
        <f t="shared" si="169"/>
        <v>2376.1139999999996</v>
      </c>
      <c r="DG168" s="399">
        <f t="shared" si="170"/>
        <v>0</v>
      </c>
      <c r="DI168" s="399"/>
      <c r="DJ168" s="399"/>
      <c r="DK168" s="399"/>
      <c r="DL168" s="399"/>
      <c r="DM168" s="399"/>
      <c r="DN168" s="399"/>
      <c r="DO168" s="399"/>
      <c r="DP168" s="399"/>
      <c r="DQ168" s="399"/>
      <c r="DS168" s="399"/>
      <c r="DT168" s="399"/>
      <c r="DU168" s="399"/>
      <c r="DV168" s="399"/>
      <c r="DW168" s="399"/>
      <c r="DX168" s="399"/>
      <c r="DY168" s="399"/>
      <c r="DZ168" s="399"/>
      <c r="EB168" s="228">
        <f t="shared" si="171"/>
        <v>103467.59810526317</v>
      </c>
      <c r="EC168" s="228">
        <f t="shared" si="172"/>
        <v>0</v>
      </c>
      <c r="ED168" s="214">
        <f t="shared" si="173"/>
        <v>103467.59810526317</v>
      </c>
    </row>
    <row r="169" spans="1:134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3" t="str">
        <f>VLOOKUP(A169,'Summary Mar 2026'!$A$8:$F$207,6,FALSE)</f>
        <v>Chq Bk</v>
      </c>
      <c r="G169" s="33"/>
      <c r="H169" s="223">
        <v>192840.47125457475</v>
      </c>
      <c r="I169" s="294"/>
      <c r="J169" s="223">
        <v>0</v>
      </c>
      <c r="K169" s="223">
        <v>38167.35</v>
      </c>
      <c r="L169" s="223">
        <v>84984.9</v>
      </c>
      <c r="M169" s="223">
        <v>6240</v>
      </c>
      <c r="N169" s="223">
        <v>0</v>
      </c>
      <c r="O169" s="223">
        <v>641.78947368421052</v>
      </c>
      <c r="P169" s="33">
        <f t="shared" si="131"/>
        <v>130034.03947368421</v>
      </c>
      <c r="Q169" s="223">
        <f t="shared" si="132"/>
        <v>104027.23157894738</v>
      </c>
      <c r="R169" s="294"/>
      <c r="S169" s="223">
        <v>0</v>
      </c>
      <c r="T169" s="223">
        <v>41486.25</v>
      </c>
      <c r="U169" s="223">
        <v>49666.500000000007</v>
      </c>
      <c r="V169" s="223">
        <v>5460</v>
      </c>
      <c r="W169" s="223">
        <v>0</v>
      </c>
      <c r="X169" s="223">
        <v>320.89473684210526</v>
      </c>
      <c r="Y169" s="223">
        <f t="shared" si="133"/>
        <v>96933.644736842107</v>
      </c>
      <c r="Z169" s="223">
        <f t="shared" si="134"/>
        <v>77546.915789473685</v>
      </c>
      <c r="AA169" s="294"/>
      <c r="AB169" s="398">
        <v>0</v>
      </c>
      <c r="AC169" s="398">
        <v>27572.399999999998</v>
      </c>
      <c r="AD169" s="398">
        <v>60806.273684210544</v>
      </c>
      <c r="AE169" s="398">
        <v>4149.4736842105267</v>
      </c>
      <c r="AF169" s="398">
        <v>0</v>
      </c>
      <c r="AG169" s="398">
        <v>280.62049861495842</v>
      </c>
      <c r="AH169" s="223">
        <f t="shared" si="135"/>
        <v>92808.767867036033</v>
      </c>
      <c r="AI169" s="398">
        <f t="shared" si="136"/>
        <v>74247.014293628832</v>
      </c>
      <c r="AJ169" s="294"/>
      <c r="AK169" s="398">
        <v>2047.5</v>
      </c>
      <c r="AL169" s="398">
        <v>1593.1499999999999</v>
      </c>
      <c r="AM169" s="398">
        <v>1490.9684210526316</v>
      </c>
      <c r="AN169" s="294"/>
      <c r="AO169" s="398">
        <f t="shared" si="137"/>
        <v>1638</v>
      </c>
      <c r="AP169" s="398">
        <f t="shared" si="138"/>
        <v>1274.52</v>
      </c>
      <c r="AQ169" s="398">
        <f t="shared" si="139"/>
        <v>1192.7747368421053</v>
      </c>
      <c r="AR169" s="293"/>
      <c r="AS169" s="293">
        <v>197057.94851677286</v>
      </c>
      <c r="AT169" s="576">
        <f t="shared" si="140"/>
        <v>4217.4772621981101</v>
      </c>
      <c r="AU169" s="293"/>
      <c r="AV169" s="293">
        <v>0</v>
      </c>
      <c r="AW169" s="293">
        <v>38167.35</v>
      </c>
      <c r="AX169" s="293">
        <v>78362.700000000012</v>
      </c>
      <c r="AY169" s="293">
        <v>6825</v>
      </c>
      <c r="AZ169" s="293">
        <v>0</v>
      </c>
      <c r="BA169" s="293">
        <v>320.89</v>
      </c>
      <c r="BB169" s="293">
        <v>2022.1499999999999</v>
      </c>
      <c r="BC169" s="293">
        <f t="shared" si="141"/>
        <v>322756.03851677285</v>
      </c>
      <c r="BE169" s="58">
        <f t="shared" si="142"/>
        <v>0</v>
      </c>
      <c r="BF169" s="58">
        <f t="shared" si="143"/>
        <v>0</v>
      </c>
      <c r="BG169" s="58">
        <f t="shared" si="144"/>
        <v>-6622.1999999999825</v>
      </c>
      <c r="BH169" s="58">
        <f t="shared" si="145"/>
        <v>585</v>
      </c>
      <c r="BI169" s="58">
        <f t="shared" si="146"/>
        <v>0</v>
      </c>
      <c r="BJ169" s="58">
        <f t="shared" si="147"/>
        <v>-320.89947368421053</v>
      </c>
      <c r="BK169" s="58">
        <f t="shared" si="148"/>
        <v>-25.350000000000136</v>
      </c>
      <c r="BL169" s="58">
        <f t="shared" si="149"/>
        <v>-2165.9722114860833</v>
      </c>
      <c r="BM169" s="33">
        <f t="shared" si="150"/>
        <v>0</v>
      </c>
      <c r="BN169" s="33"/>
      <c r="BO169" s="293">
        <f t="shared" si="174"/>
        <v>0</v>
      </c>
      <c r="BP169" s="293">
        <f t="shared" si="175"/>
        <v>7633.4699999999975</v>
      </c>
      <c r="BQ169" s="293">
        <f t="shared" si="176"/>
        <v>10374.780000000013</v>
      </c>
      <c r="BR169" s="293">
        <f t="shared" si="177"/>
        <v>1833</v>
      </c>
      <c r="BS169" s="293">
        <f t="shared" si="178"/>
        <v>0</v>
      </c>
      <c r="BT169" s="293">
        <f t="shared" si="179"/>
        <v>-192.54157894736841</v>
      </c>
      <c r="BU169" s="293">
        <f t="shared" si="180"/>
        <v>384.14999999999986</v>
      </c>
      <c r="BV169" s="293">
        <f t="shared" si="129"/>
        <v>24250.335683250752</v>
      </c>
      <c r="BW169" s="293">
        <f t="shared" si="130"/>
        <v>0</v>
      </c>
      <c r="BX169" s="293">
        <v>0</v>
      </c>
      <c r="BY169" s="293">
        <v>-1659.4499999999971</v>
      </c>
      <c r="BZ169" s="293">
        <v>0</v>
      </c>
      <c r="CA169" s="293">
        <v>0</v>
      </c>
      <c r="CB169" s="293">
        <v>0</v>
      </c>
      <c r="CC169" s="293">
        <v>617.11</v>
      </c>
      <c r="CD169" s="293">
        <v>31.200000000000045</v>
      </c>
      <c r="CE169" s="293">
        <f t="shared" si="151"/>
        <v>-1011.1399999999969</v>
      </c>
      <c r="CF169" s="293"/>
      <c r="CG169" s="293">
        <v>0</v>
      </c>
      <c r="CH169" s="293">
        <v>46209.3</v>
      </c>
      <c r="CI169" s="293">
        <v>73608.3</v>
      </c>
      <c r="CJ169" s="293">
        <v>7800</v>
      </c>
      <c r="CK169" s="293">
        <v>125.92</v>
      </c>
      <c r="CL169" s="293">
        <v>0</v>
      </c>
      <c r="CM169" s="293">
        <v>2178.15</v>
      </c>
      <c r="CN169" s="293">
        <f t="shared" si="152"/>
        <v>129921.67</v>
      </c>
      <c r="CO169" s="293"/>
      <c r="CP169" s="58">
        <f t="shared" si="153"/>
        <v>0</v>
      </c>
      <c r="CQ169" s="223">
        <f t="shared" si="154"/>
        <v>4723.0500000000029</v>
      </c>
      <c r="CR169" s="223">
        <f t="shared" si="155"/>
        <v>23941.799999999996</v>
      </c>
      <c r="CS169" s="223">
        <f t="shared" si="156"/>
        <v>2340</v>
      </c>
      <c r="CT169" s="223">
        <f t="shared" si="157"/>
        <v>125.92</v>
      </c>
      <c r="CU169" s="223">
        <f t="shared" si="158"/>
        <v>-320.89473684210526</v>
      </c>
      <c r="CV169" s="223">
        <f t="shared" si="159"/>
        <v>585.00000000000023</v>
      </c>
      <c r="CW169" s="223">
        <f t="shared" si="160"/>
        <v>31394.87526315789</v>
      </c>
      <c r="CX169" s="223">
        <f t="shared" si="161"/>
        <v>0</v>
      </c>
      <c r="CY169" s="58">
        <f t="shared" si="162"/>
        <v>0</v>
      </c>
      <c r="CZ169" s="399">
        <f t="shared" si="163"/>
        <v>13020.300000000003</v>
      </c>
      <c r="DA169" s="399">
        <f t="shared" si="164"/>
        <v>33875.099999999991</v>
      </c>
      <c r="DB169" s="399">
        <f t="shared" si="165"/>
        <v>3432</v>
      </c>
      <c r="DC169" s="399">
        <f t="shared" si="166"/>
        <v>125.92</v>
      </c>
      <c r="DD169" s="399">
        <f t="shared" si="167"/>
        <v>-256.7157894736842</v>
      </c>
      <c r="DE169" s="399">
        <f t="shared" si="168"/>
        <v>903.63000000000011</v>
      </c>
      <c r="DF169" s="399">
        <f t="shared" si="169"/>
        <v>51100.234210526309</v>
      </c>
      <c r="DG169" s="399">
        <f t="shared" si="170"/>
        <v>0</v>
      </c>
      <c r="DI169" s="399"/>
      <c r="DJ169" s="399"/>
      <c r="DK169" s="399"/>
      <c r="DL169" s="399"/>
      <c r="DM169" s="399"/>
      <c r="DN169" s="399"/>
      <c r="DO169" s="399"/>
      <c r="DP169" s="399"/>
      <c r="DQ169" s="399"/>
      <c r="DS169" s="399"/>
      <c r="DT169" s="399"/>
      <c r="DU169" s="399"/>
      <c r="DV169" s="399"/>
      <c r="DW169" s="399"/>
      <c r="DX169" s="399"/>
      <c r="DY169" s="399"/>
      <c r="DZ169" s="399"/>
      <c r="EB169" s="228">
        <f t="shared" si="171"/>
        <v>525943.8611483518</v>
      </c>
      <c r="EC169" s="228">
        <f t="shared" si="172"/>
        <v>1162.4963988919667</v>
      </c>
      <c r="ED169" s="214">
        <f t="shared" si="173"/>
        <v>527106.35754724382</v>
      </c>
    </row>
    <row r="170" spans="1:134" hidden="1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3" t="str">
        <f>VLOOKUP(A170,'Summary Mar 2026'!$A$8:$F$207,6,FALSE)</f>
        <v>Chq Bk</v>
      </c>
      <c r="G170" s="33"/>
      <c r="H170" s="223">
        <v>0</v>
      </c>
      <c r="I170" s="294"/>
      <c r="J170" s="223">
        <v>0</v>
      </c>
      <c r="K170" s="223">
        <v>0</v>
      </c>
      <c r="L170" s="223">
        <v>0</v>
      </c>
      <c r="M170" s="223">
        <v>0</v>
      </c>
      <c r="N170" s="223">
        <v>0</v>
      </c>
      <c r="O170" s="223">
        <v>0</v>
      </c>
      <c r="P170" s="33">
        <f t="shared" si="131"/>
        <v>0</v>
      </c>
      <c r="Q170" s="223">
        <f t="shared" si="132"/>
        <v>0</v>
      </c>
      <c r="R170" s="294"/>
      <c r="S170" s="223">
        <v>0</v>
      </c>
      <c r="T170" s="223">
        <v>0</v>
      </c>
      <c r="U170" s="223">
        <v>0</v>
      </c>
      <c r="V170" s="223">
        <v>0</v>
      </c>
      <c r="W170" s="223">
        <v>0</v>
      </c>
      <c r="X170" s="223">
        <v>0</v>
      </c>
      <c r="Y170" s="223">
        <f t="shared" si="133"/>
        <v>0</v>
      </c>
      <c r="Z170" s="223">
        <f t="shared" si="134"/>
        <v>0</v>
      </c>
      <c r="AA170" s="294"/>
      <c r="AB170" s="398">
        <v>0</v>
      </c>
      <c r="AC170" s="398">
        <v>0</v>
      </c>
      <c r="AD170" s="398">
        <v>0</v>
      </c>
      <c r="AE170" s="398">
        <v>0</v>
      </c>
      <c r="AF170" s="398">
        <v>0</v>
      </c>
      <c r="AG170" s="398">
        <v>0</v>
      </c>
      <c r="AH170" s="223">
        <f t="shared" si="135"/>
        <v>0</v>
      </c>
      <c r="AI170" s="398">
        <f t="shared" si="136"/>
        <v>0</v>
      </c>
      <c r="AJ170" s="294"/>
      <c r="AK170" s="398">
        <v>0</v>
      </c>
      <c r="AL170" s="398">
        <v>0</v>
      </c>
      <c r="AM170" s="398">
        <v>0</v>
      </c>
      <c r="AN170" s="294"/>
      <c r="AO170" s="398">
        <f t="shared" si="137"/>
        <v>0</v>
      </c>
      <c r="AP170" s="398">
        <f t="shared" si="138"/>
        <v>0</v>
      </c>
      <c r="AQ170" s="398">
        <f t="shared" si="139"/>
        <v>0</v>
      </c>
      <c r="AR170" s="293"/>
      <c r="AS170" s="293">
        <v>0</v>
      </c>
      <c r="AT170" s="576">
        <f t="shared" si="140"/>
        <v>0</v>
      </c>
      <c r="AU170" s="293"/>
      <c r="AV170" s="293">
        <v>0</v>
      </c>
      <c r="AW170" s="293">
        <v>0</v>
      </c>
      <c r="AX170" s="293">
        <v>0</v>
      </c>
      <c r="AY170" s="293">
        <v>0</v>
      </c>
      <c r="AZ170" s="293">
        <v>0</v>
      </c>
      <c r="BA170" s="293">
        <v>0</v>
      </c>
      <c r="BB170" s="293">
        <v>0</v>
      </c>
      <c r="BC170" s="293">
        <f t="shared" si="141"/>
        <v>0</v>
      </c>
      <c r="BE170" s="58">
        <f t="shared" si="142"/>
        <v>0</v>
      </c>
      <c r="BF170" s="58">
        <f t="shared" si="143"/>
        <v>0</v>
      </c>
      <c r="BG170" s="58">
        <f t="shared" si="144"/>
        <v>0</v>
      </c>
      <c r="BH170" s="58">
        <f t="shared" si="145"/>
        <v>0</v>
      </c>
      <c r="BI170" s="58">
        <f t="shared" si="146"/>
        <v>0</v>
      </c>
      <c r="BJ170" s="58">
        <f t="shared" si="147"/>
        <v>0</v>
      </c>
      <c r="BK170" s="58">
        <f t="shared" si="148"/>
        <v>0</v>
      </c>
      <c r="BL170" s="58">
        <f t="shared" si="149"/>
        <v>0</v>
      </c>
      <c r="BM170" s="33">
        <f t="shared" si="150"/>
        <v>0</v>
      </c>
      <c r="BN170" s="33"/>
      <c r="BO170" s="293">
        <f t="shared" si="174"/>
        <v>0</v>
      </c>
      <c r="BP170" s="293">
        <f t="shared" si="175"/>
        <v>0</v>
      </c>
      <c r="BQ170" s="293">
        <f t="shared" si="176"/>
        <v>0</v>
      </c>
      <c r="BR170" s="293">
        <f t="shared" si="177"/>
        <v>0</v>
      </c>
      <c r="BS170" s="293">
        <f t="shared" si="178"/>
        <v>0</v>
      </c>
      <c r="BT170" s="293">
        <f t="shared" si="179"/>
        <v>0</v>
      </c>
      <c r="BU170" s="293">
        <f t="shared" si="180"/>
        <v>0</v>
      </c>
      <c r="BV170" s="293">
        <f t="shared" si="129"/>
        <v>0</v>
      </c>
      <c r="BW170" s="293">
        <f t="shared" si="130"/>
        <v>0</v>
      </c>
      <c r="BX170" s="293">
        <v>0</v>
      </c>
      <c r="BY170" s="293">
        <v>0</v>
      </c>
      <c r="BZ170" s="293">
        <v>0</v>
      </c>
      <c r="CA170" s="293">
        <v>0</v>
      </c>
      <c r="CB170" s="293">
        <v>0</v>
      </c>
      <c r="CC170" s="293">
        <v>0</v>
      </c>
      <c r="CD170" s="293">
        <v>0</v>
      </c>
      <c r="CE170" s="293">
        <f t="shared" si="151"/>
        <v>0</v>
      </c>
      <c r="CF170" s="293"/>
      <c r="CG170" s="293">
        <v>0</v>
      </c>
      <c r="CH170" s="293">
        <v>0</v>
      </c>
      <c r="CI170" s="293">
        <v>0</v>
      </c>
      <c r="CJ170" s="293">
        <v>0</v>
      </c>
      <c r="CK170" s="293">
        <v>0</v>
      </c>
      <c r="CL170" s="293">
        <v>0</v>
      </c>
      <c r="CM170" s="293">
        <v>0</v>
      </c>
      <c r="CN170" s="293">
        <f t="shared" si="152"/>
        <v>0</v>
      </c>
      <c r="CO170" s="293"/>
      <c r="CP170" s="58">
        <f t="shared" si="153"/>
        <v>0</v>
      </c>
      <c r="CQ170" s="223">
        <f t="shared" si="154"/>
        <v>0</v>
      </c>
      <c r="CR170" s="223">
        <f t="shared" si="155"/>
        <v>0</v>
      </c>
      <c r="CS170" s="223">
        <f t="shared" si="156"/>
        <v>0</v>
      </c>
      <c r="CT170" s="223">
        <f t="shared" si="157"/>
        <v>0</v>
      </c>
      <c r="CU170" s="223">
        <f t="shared" si="158"/>
        <v>0</v>
      </c>
      <c r="CV170" s="223">
        <f t="shared" si="159"/>
        <v>0</v>
      </c>
      <c r="CW170" s="223">
        <f t="shared" si="160"/>
        <v>0</v>
      </c>
      <c r="CX170" s="223">
        <f t="shared" si="161"/>
        <v>0</v>
      </c>
      <c r="CY170" s="58">
        <f t="shared" si="162"/>
        <v>0</v>
      </c>
      <c r="CZ170" s="399">
        <f t="shared" si="163"/>
        <v>0</v>
      </c>
      <c r="DA170" s="399">
        <f t="shared" si="164"/>
        <v>0</v>
      </c>
      <c r="DB170" s="399">
        <f t="shared" si="165"/>
        <v>0</v>
      </c>
      <c r="DC170" s="399">
        <f t="shared" si="166"/>
        <v>0</v>
      </c>
      <c r="DD170" s="399">
        <f t="shared" si="167"/>
        <v>0</v>
      </c>
      <c r="DE170" s="399">
        <f t="shared" si="168"/>
        <v>0</v>
      </c>
      <c r="DF170" s="399">
        <f t="shared" si="169"/>
        <v>0</v>
      </c>
      <c r="DG170" s="399">
        <f t="shared" si="170"/>
        <v>0</v>
      </c>
      <c r="DI170" s="399"/>
      <c r="DJ170" s="399"/>
      <c r="DK170" s="399"/>
      <c r="DL170" s="399"/>
      <c r="DM170" s="399"/>
      <c r="DN170" s="399"/>
      <c r="DO170" s="399"/>
      <c r="DP170" s="399"/>
      <c r="DQ170" s="399"/>
      <c r="DS170" s="399"/>
      <c r="DT170" s="399"/>
      <c r="DU170" s="399"/>
      <c r="DV170" s="399"/>
      <c r="DW170" s="399"/>
      <c r="DX170" s="399"/>
      <c r="DY170" s="399"/>
      <c r="DZ170" s="399"/>
      <c r="EB170" s="228">
        <f t="shared" si="171"/>
        <v>0</v>
      </c>
      <c r="EC170" s="228">
        <f t="shared" si="172"/>
        <v>0</v>
      </c>
      <c r="ED170" s="214">
        <f t="shared" si="173"/>
        <v>0</v>
      </c>
    </row>
    <row r="171" spans="1:134" hidden="1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3" t="str">
        <f>VLOOKUP(A171,'Summary Mar 2026'!$A$8:$F$207,6,FALSE)</f>
        <v>Chq Bk</v>
      </c>
      <c r="G171" s="33"/>
      <c r="H171" s="223">
        <v>0</v>
      </c>
      <c r="I171" s="294"/>
      <c r="J171" s="223">
        <v>0</v>
      </c>
      <c r="K171" s="223">
        <v>0</v>
      </c>
      <c r="L171" s="223">
        <v>20970.3</v>
      </c>
      <c r="M171" s="223">
        <v>2340</v>
      </c>
      <c r="N171" s="223">
        <v>0</v>
      </c>
      <c r="O171" s="223">
        <v>0</v>
      </c>
      <c r="P171" s="33">
        <f t="shared" si="131"/>
        <v>23310.3</v>
      </c>
      <c r="Q171" s="223">
        <f t="shared" si="132"/>
        <v>18648.240000000002</v>
      </c>
      <c r="R171" s="294"/>
      <c r="S171" s="223">
        <v>0</v>
      </c>
      <c r="T171" s="223">
        <v>0</v>
      </c>
      <c r="U171" s="223">
        <v>20970.3</v>
      </c>
      <c r="V171" s="223">
        <v>2145</v>
      </c>
      <c r="W171" s="223">
        <v>0</v>
      </c>
      <c r="X171" s="223">
        <v>0</v>
      </c>
      <c r="Y171" s="223">
        <f t="shared" si="133"/>
        <v>23115.3</v>
      </c>
      <c r="Z171" s="223">
        <f t="shared" si="134"/>
        <v>18492.240000000002</v>
      </c>
      <c r="AA171" s="294"/>
      <c r="AB171" s="398">
        <v>0</v>
      </c>
      <c r="AC171" s="398">
        <v>0</v>
      </c>
      <c r="AD171" s="398">
        <v>17694.947368421053</v>
      </c>
      <c r="AE171" s="398">
        <v>1989.4736842105262</v>
      </c>
      <c r="AF171" s="398">
        <v>0</v>
      </c>
      <c r="AG171" s="398">
        <v>0</v>
      </c>
      <c r="AH171" s="223">
        <f t="shared" si="135"/>
        <v>19684.42105263158</v>
      </c>
      <c r="AI171" s="398">
        <f t="shared" si="136"/>
        <v>15747.536842105264</v>
      </c>
      <c r="AJ171" s="294"/>
      <c r="AK171" s="398">
        <v>1388.3999999999999</v>
      </c>
      <c r="AL171" s="398">
        <v>1513.1999999999998</v>
      </c>
      <c r="AM171" s="398">
        <v>1235.7473684210524</v>
      </c>
      <c r="AN171" s="294"/>
      <c r="AO171" s="398">
        <f t="shared" si="137"/>
        <v>1110.72</v>
      </c>
      <c r="AP171" s="398">
        <f t="shared" si="138"/>
        <v>1210.56</v>
      </c>
      <c r="AQ171" s="398">
        <f t="shared" si="139"/>
        <v>988.59789473684202</v>
      </c>
      <c r="AR171" s="293"/>
      <c r="AS171" s="293">
        <v>0</v>
      </c>
      <c r="AT171" s="576">
        <f t="shared" si="140"/>
        <v>0</v>
      </c>
      <c r="AU171" s="293"/>
      <c r="AV171" s="293">
        <v>0</v>
      </c>
      <c r="AW171" s="293">
        <v>0</v>
      </c>
      <c r="AX171" s="293">
        <v>29799.9</v>
      </c>
      <c r="AY171" s="293">
        <v>2535</v>
      </c>
      <c r="AZ171" s="293">
        <v>969.52631578947376</v>
      </c>
      <c r="BA171" s="293">
        <v>0</v>
      </c>
      <c r="BB171" s="293">
        <v>2012.3999999999999</v>
      </c>
      <c r="BC171" s="293">
        <f t="shared" si="141"/>
        <v>35316.826315789476</v>
      </c>
      <c r="BE171" s="58">
        <f t="shared" si="142"/>
        <v>0</v>
      </c>
      <c r="BF171" s="58">
        <f t="shared" si="143"/>
        <v>0</v>
      </c>
      <c r="BG171" s="58">
        <f t="shared" si="144"/>
        <v>8829.6000000000022</v>
      </c>
      <c r="BH171" s="58">
        <f t="shared" si="145"/>
        <v>195</v>
      </c>
      <c r="BI171" s="58">
        <f t="shared" si="146"/>
        <v>969.52631578947376</v>
      </c>
      <c r="BJ171" s="58">
        <f t="shared" si="147"/>
        <v>0</v>
      </c>
      <c r="BK171" s="58">
        <f t="shared" si="148"/>
        <v>624</v>
      </c>
      <c r="BL171" s="58">
        <f t="shared" si="149"/>
        <v>10618.126315789475</v>
      </c>
      <c r="BM171" s="33">
        <f t="shared" si="150"/>
        <v>0</v>
      </c>
      <c r="BN171" s="33"/>
      <c r="BO171" s="293">
        <f t="shared" si="174"/>
        <v>0</v>
      </c>
      <c r="BP171" s="293">
        <f t="shared" si="175"/>
        <v>0</v>
      </c>
      <c r="BQ171" s="293">
        <f t="shared" si="176"/>
        <v>13023.66</v>
      </c>
      <c r="BR171" s="293">
        <f t="shared" si="177"/>
        <v>663</v>
      </c>
      <c r="BS171" s="293">
        <f t="shared" si="178"/>
        <v>969.52631578947376</v>
      </c>
      <c r="BT171" s="293">
        <f t="shared" si="179"/>
        <v>0</v>
      </c>
      <c r="BU171" s="293">
        <f t="shared" si="180"/>
        <v>901.67999999999984</v>
      </c>
      <c r="BV171" s="293">
        <f t="shared" si="129"/>
        <v>15557.866315789473</v>
      </c>
      <c r="BW171" s="293">
        <f t="shared" si="130"/>
        <v>0</v>
      </c>
      <c r="BX171" s="293">
        <v>0</v>
      </c>
      <c r="BY171" s="293">
        <v>0</v>
      </c>
      <c r="BZ171" s="293">
        <v>0</v>
      </c>
      <c r="CA171" s="293">
        <v>0</v>
      </c>
      <c r="CB171" s="293">
        <v>0</v>
      </c>
      <c r="CC171" s="293">
        <v>0</v>
      </c>
      <c r="CD171" s="293">
        <v>0</v>
      </c>
      <c r="CE171" s="293">
        <f t="shared" si="151"/>
        <v>0</v>
      </c>
      <c r="CF171" s="293"/>
      <c r="CG171" s="293">
        <v>0</v>
      </c>
      <c r="CH171" s="293">
        <v>0</v>
      </c>
      <c r="CI171" s="293">
        <v>18762.900000000001</v>
      </c>
      <c r="CJ171" s="293">
        <v>1560</v>
      </c>
      <c r="CK171" s="293">
        <v>596.96</v>
      </c>
      <c r="CL171" s="293">
        <v>0</v>
      </c>
      <c r="CM171" s="293">
        <v>1134.9000000000001</v>
      </c>
      <c r="CN171" s="293">
        <f t="shared" si="152"/>
        <v>22054.760000000002</v>
      </c>
      <c r="CO171" s="293"/>
      <c r="CP171" s="58">
        <f t="shared" si="153"/>
        <v>0</v>
      </c>
      <c r="CQ171" s="223">
        <f t="shared" si="154"/>
        <v>0</v>
      </c>
      <c r="CR171" s="223">
        <f t="shared" si="155"/>
        <v>-2207.3999999999978</v>
      </c>
      <c r="CS171" s="223">
        <f t="shared" si="156"/>
        <v>-585</v>
      </c>
      <c r="CT171" s="223">
        <f t="shared" si="157"/>
        <v>596.96</v>
      </c>
      <c r="CU171" s="223">
        <f t="shared" si="158"/>
        <v>0</v>
      </c>
      <c r="CV171" s="223">
        <f t="shared" si="159"/>
        <v>-378.29999999999973</v>
      </c>
      <c r="CW171" s="223">
        <f t="shared" si="160"/>
        <v>-2573.7399999999975</v>
      </c>
      <c r="CX171" s="223">
        <f t="shared" si="161"/>
        <v>0</v>
      </c>
      <c r="CY171" s="58">
        <f t="shared" si="162"/>
        <v>0</v>
      </c>
      <c r="CZ171" s="399">
        <f t="shared" si="163"/>
        <v>0</v>
      </c>
      <c r="DA171" s="399">
        <f t="shared" si="164"/>
        <v>1986.6599999999999</v>
      </c>
      <c r="DB171" s="399">
        <f t="shared" si="165"/>
        <v>-156</v>
      </c>
      <c r="DC171" s="399">
        <f t="shared" si="166"/>
        <v>596.96</v>
      </c>
      <c r="DD171" s="399">
        <f t="shared" si="167"/>
        <v>0</v>
      </c>
      <c r="DE171" s="399">
        <f t="shared" si="168"/>
        <v>-75.659999999999854</v>
      </c>
      <c r="DF171" s="399">
        <f t="shared" si="169"/>
        <v>2351.96</v>
      </c>
      <c r="DG171" s="399">
        <f t="shared" si="170"/>
        <v>0</v>
      </c>
      <c r="DI171" s="399"/>
      <c r="DJ171" s="399"/>
      <c r="DK171" s="399"/>
      <c r="DL171" s="399"/>
      <c r="DM171" s="399"/>
      <c r="DN171" s="399"/>
      <c r="DO171" s="399"/>
      <c r="DP171" s="399"/>
      <c r="DQ171" s="399"/>
      <c r="DS171" s="399"/>
      <c r="DT171" s="399"/>
      <c r="DU171" s="399"/>
      <c r="DV171" s="399"/>
      <c r="DW171" s="399"/>
      <c r="DX171" s="399"/>
      <c r="DY171" s="399"/>
      <c r="DZ171" s="399"/>
      <c r="EB171" s="228">
        <f t="shared" si="171"/>
        <v>74107.72105263159</v>
      </c>
      <c r="EC171" s="228">
        <f t="shared" si="172"/>
        <v>0</v>
      </c>
      <c r="ED171" s="214">
        <f t="shared" si="173"/>
        <v>74107.72105263159</v>
      </c>
    </row>
    <row r="172" spans="1:134" hidden="1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3" t="str">
        <f>VLOOKUP(A172,'Summary Mar 2026'!$A$8:$F$207,6,FALSE)</f>
        <v>Chq Bk</v>
      </c>
      <c r="G172" s="33"/>
      <c r="H172" s="223">
        <v>0</v>
      </c>
      <c r="I172" s="294"/>
      <c r="J172" s="223">
        <v>0</v>
      </c>
      <c r="K172" s="223">
        <v>0</v>
      </c>
      <c r="L172" s="223">
        <v>0</v>
      </c>
      <c r="M172" s="223">
        <v>0</v>
      </c>
      <c r="N172" s="223">
        <v>0</v>
      </c>
      <c r="O172" s="223">
        <v>0</v>
      </c>
      <c r="P172" s="33">
        <f t="shared" si="131"/>
        <v>0</v>
      </c>
      <c r="Q172" s="223">
        <f t="shared" si="132"/>
        <v>0</v>
      </c>
      <c r="R172" s="294"/>
      <c r="S172" s="223">
        <v>0</v>
      </c>
      <c r="T172" s="223">
        <v>0</v>
      </c>
      <c r="U172" s="223">
        <v>0</v>
      </c>
      <c r="V172" s="223">
        <v>0</v>
      </c>
      <c r="W172" s="223">
        <v>0</v>
      </c>
      <c r="X172" s="223">
        <v>0</v>
      </c>
      <c r="Y172" s="223">
        <f t="shared" si="133"/>
        <v>0</v>
      </c>
      <c r="Z172" s="223">
        <f t="shared" si="134"/>
        <v>0</v>
      </c>
      <c r="AA172" s="294"/>
      <c r="AB172" s="398">
        <v>0</v>
      </c>
      <c r="AC172" s="398">
        <v>0</v>
      </c>
      <c r="AD172" s="398">
        <v>0</v>
      </c>
      <c r="AE172" s="398">
        <v>0</v>
      </c>
      <c r="AF172" s="398">
        <v>0</v>
      </c>
      <c r="AG172" s="398">
        <v>0</v>
      </c>
      <c r="AH172" s="223">
        <f t="shared" si="135"/>
        <v>0</v>
      </c>
      <c r="AI172" s="398">
        <f t="shared" si="136"/>
        <v>0</v>
      </c>
      <c r="AJ172" s="294"/>
      <c r="AK172" s="398">
        <v>0</v>
      </c>
      <c r="AL172" s="398">
        <v>0</v>
      </c>
      <c r="AM172" s="398">
        <v>0</v>
      </c>
      <c r="AN172" s="294"/>
      <c r="AO172" s="398">
        <f t="shared" si="137"/>
        <v>0</v>
      </c>
      <c r="AP172" s="398">
        <f t="shared" si="138"/>
        <v>0</v>
      </c>
      <c r="AQ172" s="398">
        <f t="shared" si="139"/>
        <v>0</v>
      </c>
      <c r="AR172" s="293"/>
      <c r="AS172" s="293">
        <v>0</v>
      </c>
      <c r="AT172" s="576">
        <f t="shared" si="140"/>
        <v>0</v>
      </c>
      <c r="AU172" s="293"/>
      <c r="AV172" s="293">
        <v>0</v>
      </c>
      <c r="AW172" s="293">
        <v>0</v>
      </c>
      <c r="AX172" s="293">
        <v>0</v>
      </c>
      <c r="AY172" s="293">
        <v>0</v>
      </c>
      <c r="AZ172" s="293">
        <v>0</v>
      </c>
      <c r="BA172" s="293">
        <v>0</v>
      </c>
      <c r="BB172" s="293">
        <v>0</v>
      </c>
      <c r="BC172" s="293">
        <f t="shared" si="141"/>
        <v>0</v>
      </c>
      <c r="BE172" s="58">
        <f t="shared" si="142"/>
        <v>0</v>
      </c>
      <c r="BF172" s="58">
        <f t="shared" si="143"/>
        <v>0</v>
      </c>
      <c r="BG172" s="58">
        <f t="shared" si="144"/>
        <v>0</v>
      </c>
      <c r="BH172" s="58">
        <f t="shared" si="145"/>
        <v>0</v>
      </c>
      <c r="BI172" s="58">
        <f t="shared" si="146"/>
        <v>0</v>
      </c>
      <c r="BJ172" s="58">
        <f t="shared" si="147"/>
        <v>0</v>
      </c>
      <c r="BK172" s="58">
        <f t="shared" si="148"/>
        <v>0</v>
      </c>
      <c r="BL172" s="58">
        <f t="shared" si="149"/>
        <v>0</v>
      </c>
      <c r="BM172" s="33">
        <f t="shared" si="150"/>
        <v>0</v>
      </c>
      <c r="BN172" s="33"/>
      <c r="BO172" s="293">
        <f t="shared" si="174"/>
        <v>0</v>
      </c>
      <c r="BP172" s="293">
        <f t="shared" si="175"/>
        <v>0</v>
      </c>
      <c r="BQ172" s="293">
        <f t="shared" si="176"/>
        <v>0</v>
      </c>
      <c r="BR172" s="293">
        <f t="shared" si="177"/>
        <v>0</v>
      </c>
      <c r="BS172" s="293">
        <f t="shared" si="178"/>
        <v>0</v>
      </c>
      <c r="BT172" s="293">
        <f t="shared" si="179"/>
        <v>0</v>
      </c>
      <c r="BU172" s="293">
        <f t="shared" si="180"/>
        <v>0</v>
      </c>
      <c r="BV172" s="293">
        <f t="shared" si="129"/>
        <v>0</v>
      </c>
      <c r="BW172" s="293">
        <f t="shared" si="130"/>
        <v>0</v>
      </c>
      <c r="BX172" s="293"/>
      <c r="BY172" s="293"/>
      <c r="BZ172" s="293"/>
      <c r="CA172" s="293"/>
      <c r="CB172" s="293"/>
      <c r="CC172" s="293"/>
      <c r="CD172" s="293"/>
      <c r="CE172" s="293"/>
      <c r="CF172" s="293"/>
      <c r="CG172" s="293"/>
      <c r="CH172" s="293"/>
      <c r="CI172" s="293"/>
      <c r="CJ172" s="293"/>
      <c r="CK172" s="293"/>
      <c r="CL172" s="293"/>
      <c r="CM172" s="293"/>
      <c r="CN172" s="293"/>
      <c r="CO172" s="293"/>
      <c r="CP172" s="58">
        <f t="shared" si="153"/>
        <v>0</v>
      </c>
      <c r="CQ172" s="223">
        <f t="shared" si="154"/>
        <v>0</v>
      </c>
      <c r="CR172" s="223">
        <f t="shared" si="155"/>
        <v>0</v>
      </c>
      <c r="CS172" s="223">
        <f t="shared" si="156"/>
        <v>0</v>
      </c>
      <c r="CT172" s="223">
        <f t="shared" si="157"/>
        <v>0</v>
      </c>
      <c r="CU172" s="223">
        <f t="shared" si="158"/>
        <v>0</v>
      </c>
      <c r="CV172" s="223">
        <f t="shared" si="159"/>
        <v>0</v>
      </c>
      <c r="CW172" s="223">
        <f t="shared" si="160"/>
        <v>0</v>
      </c>
      <c r="CX172" s="223">
        <f t="shared" si="161"/>
        <v>0</v>
      </c>
      <c r="CY172" s="58">
        <f t="shared" si="162"/>
        <v>0</v>
      </c>
      <c r="CZ172" s="399">
        <f t="shared" si="163"/>
        <v>0</v>
      </c>
      <c r="DA172" s="399">
        <f t="shared" si="164"/>
        <v>0</v>
      </c>
      <c r="DB172" s="399">
        <f t="shared" si="165"/>
        <v>0</v>
      </c>
      <c r="DC172" s="399">
        <f t="shared" si="166"/>
        <v>0</v>
      </c>
      <c r="DD172" s="399">
        <f t="shared" si="167"/>
        <v>0</v>
      </c>
      <c r="DE172" s="399">
        <f t="shared" si="168"/>
        <v>0</v>
      </c>
      <c r="DF172" s="399">
        <f t="shared" si="169"/>
        <v>0</v>
      </c>
      <c r="DG172" s="399">
        <f t="shared" si="170"/>
        <v>0</v>
      </c>
      <c r="DI172" s="399"/>
      <c r="DJ172" s="399"/>
      <c r="DK172" s="399"/>
      <c r="DL172" s="399"/>
      <c r="DM172" s="399"/>
      <c r="DN172" s="399"/>
      <c r="DO172" s="399"/>
      <c r="DP172" s="399"/>
      <c r="DQ172" s="399"/>
      <c r="DS172" s="399"/>
      <c r="DT172" s="399"/>
      <c r="DU172" s="399"/>
      <c r="DV172" s="399"/>
      <c r="DW172" s="399"/>
      <c r="DX172" s="399"/>
      <c r="DY172" s="399"/>
      <c r="DZ172" s="399"/>
      <c r="EB172" s="228">
        <f t="shared" si="171"/>
        <v>0</v>
      </c>
      <c r="EC172" s="228">
        <f t="shared" si="172"/>
        <v>0</v>
      </c>
      <c r="ED172" s="214">
        <f t="shared" si="173"/>
        <v>0</v>
      </c>
    </row>
    <row r="173" spans="1:134" s="378" customFormat="1" hidden="1">
      <c r="A173" s="777">
        <v>3380</v>
      </c>
      <c r="B173" s="446">
        <v>103465</v>
      </c>
      <c r="C173" s="446" t="s">
        <v>362</v>
      </c>
      <c r="D173" s="446" t="s">
        <v>363</v>
      </c>
      <c r="E173" s="372" t="s">
        <v>32</v>
      </c>
      <c r="F173" s="812" t="str">
        <f>VLOOKUP(A173,'Summary Mar 2026'!$A$8:$F$207,6,FALSE)</f>
        <v>Academy</v>
      </c>
      <c r="G173" s="813"/>
      <c r="H173" s="814">
        <v>0</v>
      </c>
      <c r="I173" s="814"/>
      <c r="J173" s="814">
        <v>0</v>
      </c>
      <c r="K173" s="814">
        <v>0</v>
      </c>
      <c r="L173" s="814">
        <v>0</v>
      </c>
      <c r="M173" s="814">
        <v>0</v>
      </c>
      <c r="N173" s="814">
        <v>0</v>
      </c>
      <c r="O173" s="814">
        <v>0</v>
      </c>
      <c r="P173" s="813">
        <f t="shared" si="131"/>
        <v>0</v>
      </c>
      <c r="Q173" s="814">
        <f t="shared" si="132"/>
        <v>0</v>
      </c>
      <c r="R173" s="814"/>
      <c r="S173" s="814">
        <v>0</v>
      </c>
      <c r="T173" s="814">
        <v>0</v>
      </c>
      <c r="U173" s="814">
        <v>0</v>
      </c>
      <c r="V173" s="814">
        <v>0</v>
      </c>
      <c r="W173" s="814">
        <v>0</v>
      </c>
      <c r="X173" s="814">
        <v>0</v>
      </c>
      <c r="Y173" s="814">
        <f t="shared" si="133"/>
        <v>0</v>
      </c>
      <c r="Z173" s="814">
        <f t="shared" si="134"/>
        <v>0</v>
      </c>
      <c r="AA173" s="814"/>
      <c r="AB173" s="815">
        <v>0</v>
      </c>
      <c r="AC173" s="815">
        <v>0</v>
      </c>
      <c r="AD173" s="815">
        <v>0</v>
      </c>
      <c r="AE173" s="815">
        <v>0</v>
      </c>
      <c r="AF173" s="815">
        <v>0</v>
      </c>
      <c r="AG173" s="815">
        <v>0</v>
      </c>
      <c r="AH173" s="814">
        <f t="shared" si="135"/>
        <v>0</v>
      </c>
      <c r="AI173" s="815">
        <f t="shared" si="136"/>
        <v>0</v>
      </c>
      <c r="AJ173" s="814"/>
      <c r="AK173" s="815">
        <v>0</v>
      </c>
      <c r="AL173" s="815">
        <v>0</v>
      </c>
      <c r="AM173" s="815">
        <v>0</v>
      </c>
      <c r="AN173" s="814"/>
      <c r="AO173" s="815">
        <f t="shared" si="137"/>
        <v>0</v>
      </c>
      <c r="AP173" s="815">
        <f t="shared" si="138"/>
        <v>0</v>
      </c>
      <c r="AQ173" s="815">
        <f t="shared" si="139"/>
        <v>0</v>
      </c>
      <c r="AR173" s="816"/>
      <c r="AS173" s="816">
        <v>0</v>
      </c>
      <c r="AT173" s="817">
        <f t="shared" si="140"/>
        <v>0</v>
      </c>
      <c r="AU173" s="816"/>
      <c r="AV173" s="816">
        <v>0</v>
      </c>
      <c r="AW173" s="816">
        <v>0</v>
      </c>
      <c r="AX173" s="816">
        <v>0</v>
      </c>
      <c r="AY173" s="816">
        <v>0</v>
      </c>
      <c r="AZ173" s="816">
        <v>0</v>
      </c>
      <c r="BA173" s="816">
        <v>0</v>
      </c>
      <c r="BB173" s="816">
        <v>0</v>
      </c>
      <c r="BC173" s="816">
        <f t="shared" si="141"/>
        <v>0</v>
      </c>
      <c r="BE173" s="824">
        <f t="shared" si="142"/>
        <v>0</v>
      </c>
      <c r="BF173" s="824">
        <f t="shared" si="143"/>
        <v>0</v>
      </c>
      <c r="BG173" s="824">
        <f t="shared" si="144"/>
        <v>0</v>
      </c>
      <c r="BH173" s="824">
        <f t="shared" si="145"/>
        <v>0</v>
      </c>
      <c r="BI173" s="824">
        <f t="shared" si="146"/>
        <v>0</v>
      </c>
      <c r="BJ173" s="824">
        <f t="shared" si="147"/>
        <v>0</v>
      </c>
      <c r="BK173" s="824">
        <f t="shared" si="148"/>
        <v>0</v>
      </c>
      <c r="BL173" s="824">
        <f t="shared" si="149"/>
        <v>0</v>
      </c>
      <c r="BM173" s="813">
        <f t="shared" si="150"/>
        <v>0</v>
      </c>
      <c r="BN173" s="813"/>
      <c r="BO173" s="816">
        <f t="shared" si="174"/>
        <v>0</v>
      </c>
      <c r="BP173" s="816">
        <f t="shared" si="175"/>
        <v>0</v>
      </c>
      <c r="BQ173" s="816">
        <f t="shared" si="176"/>
        <v>0</v>
      </c>
      <c r="BR173" s="816">
        <f t="shared" si="177"/>
        <v>0</v>
      </c>
      <c r="BS173" s="816">
        <f t="shared" si="178"/>
        <v>0</v>
      </c>
      <c r="BT173" s="816">
        <f t="shared" si="179"/>
        <v>0</v>
      </c>
      <c r="BU173" s="816">
        <f t="shared" si="180"/>
        <v>0</v>
      </c>
      <c r="BV173" s="816">
        <f t="shared" si="129"/>
        <v>0</v>
      </c>
      <c r="BW173" s="816">
        <f t="shared" si="130"/>
        <v>0</v>
      </c>
      <c r="BX173" s="293"/>
      <c r="BY173" s="293"/>
      <c r="BZ173" s="293"/>
      <c r="CA173" s="293"/>
      <c r="CB173" s="293"/>
      <c r="CC173" s="293"/>
      <c r="CD173" s="293"/>
      <c r="CE173" s="293"/>
      <c r="CF173" s="293"/>
      <c r="CG173" s="293"/>
      <c r="CH173" s="293">
        <v>0</v>
      </c>
      <c r="CI173" s="293"/>
      <c r="CJ173" s="293"/>
      <c r="CK173" s="293"/>
      <c r="CL173" s="293"/>
      <c r="CM173" s="293"/>
      <c r="CN173" s="293"/>
      <c r="CO173" s="293"/>
      <c r="CP173" s="58"/>
      <c r="CQ173" s="223"/>
      <c r="CR173" s="223"/>
      <c r="CS173" s="223"/>
      <c r="CT173" s="223"/>
      <c r="CU173" s="223"/>
      <c r="CV173" s="223"/>
      <c r="CW173" s="223"/>
      <c r="CX173" s="223">
        <f t="shared" si="161"/>
        <v>0</v>
      </c>
      <c r="CY173" s="58">
        <f t="shared" si="162"/>
        <v>0</v>
      </c>
      <c r="CZ173" s="399">
        <f t="shared" si="163"/>
        <v>0</v>
      </c>
      <c r="DA173" s="399">
        <f t="shared" si="164"/>
        <v>0</v>
      </c>
      <c r="DB173" s="399">
        <f t="shared" si="165"/>
        <v>0</v>
      </c>
      <c r="DC173" s="399">
        <f t="shared" si="166"/>
        <v>0</v>
      </c>
      <c r="DD173" s="399">
        <f t="shared" si="167"/>
        <v>0</v>
      </c>
      <c r="DE173" s="399">
        <f t="shared" si="168"/>
        <v>0</v>
      </c>
      <c r="DF173" s="399">
        <f t="shared" si="169"/>
        <v>0</v>
      </c>
      <c r="DG173" s="399">
        <f t="shared" si="170"/>
        <v>0</v>
      </c>
      <c r="DH173"/>
      <c r="DI173" s="818"/>
      <c r="DJ173" s="818"/>
      <c r="DK173" s="818"/>
      <c r="DL173" s="818"/>
      <c r="DM173" s="818"/>
      <c r="DN173" s="818"/>
      <c r="DO173" s="818"/>
      <c r="DP173" s="818"/>
      <c r="DQ173" s="818"/>
      <c r="DS173" s="818"/>
      <c r="DT173" s="818"/>
      <c r="DU173" s="818"/>
      <c r="DV173" s="818"/>
      <c r="DW173" s="818"/>
      <c r="DX173" s="818"/>
      <c r="DY173" s="818"/>
      <c r="DZ173" s="818"/>
      <c r="EB173" s="228">
        <f t="shared" si="171"/>
        <v>0</v>
      </c>
      <c r="EC173" s="228">
        <f t="shared" si="172"/>
        <v>0</v>
      </c>
      <c r="ED173" s="778">
        <f t="shared" si="173"/>
        <v>0</v>
      </c>
    </row>
    <row r="174" spans="1:134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3" t="str">
        <f>VLOOKUP(A174,'Summary Mar 2026'!$A$8:$F$207,6,FALSE)</f>
        <v>Chq Bk</v>
      </c>
      <c r="G174" s="33"/>
      <c r="H174" s="223">
        <v>266423.29856715724</v>
      </c>
      <c r="I174" s="294"/>
      <c r="J174" s="223">
        <v>0</v>
      </c>
      <c r="K174" s="223">
        <v>44805.15</v>
      </c>
      <c r="L174" s="223">
        <v>162243.9</v>
      </c>
      <c r="M174" s="223">
        <v>6435</v>
      </c>
      <c r="N174" s="223">
        <v>298.31578947368422</v>
      </c>
      <c r="O174" s="223">
        <v>320.89473684210526</v>
      </c>
      <c r="P174" s="33">
        <f t="shared" si="131"/>
        <v>214103.26052631577</v>
      </c>
      <c r="Q174" s="223">
        <f t="shared" si="132"/>
        <v>171282.60842105263</v>
      </c>
      <c r="R174" s="294"/>
      <c r="S174" s="223">
        <v>0</v>
      </c>
      <c r="T174" s="223">
        <v>54761.85</v>
      </c>
      <c r="U174" s="223">
        <v>77259</v>
      </c>
      <c r="V174" s="223">
        <v>6630</v>
      </c>
      <c r="W174" s="223">
        <v>223.73684210526318</v>
      </c>
      <c r="X174" s="223">
        <v>0</v>
      </c>
      <c r="Y174" s="223">
        <f t="shared" si="133"/>
        <v>138874.58684210526</v>
      </c>
      <c r="Z174" s="223">
        <f t="shared" si="134"/>
        <v>111099.66947368422</v>
      </c>
      <c r="AA174" s="294"/>
      <c r="AB174" s="398">
        <v>0</v>
      </c>
      <c r="AC174" s="398">
        <v>31442.21052631579</v>
      </c>
      <c r="AD174" s="398">
        <v>113247.66315789473</v>
      </c>
      <c r="AE174" s="398">
        <v>4888.4210526315783</v>
      </c>
      <c r="AF174" s="398">
        <v>195.65650969529085</v>
      </c>
      <c r="AG174" s="398">
        <v>187.0803324099723</v>
      </c>
      <c r="AH174" s="223">
        <f t="shared" si="135"/>
        <v>149961.03157894735</v>
      </c>
      <c r="AI174" s="398">
        <f t="shared" si="136"/>
        <v>119968.82526315789</v>
      </c>
      <c r="AJ174" s="294"/>
      <c r="AK174" s="398">
        <v>4724.8500000000004</v>
      </c>
      <c r="AL174" s="398">
        <v>3839.5499999999997</v>
      </c>
      <c r="AM174" s="398">
        <v>3450.3157894736842</v>
      </c>
      <c r="AN174" s="294"/>
      <c r="AO174" s="398">
        <f t="shared" si="137"/>
        <v>3779.8800000000006</v>
      </c>
      <c r="AP174" s="398">
        <f t="shared" si="138"/>
        <v>3071.64</v>
      </c>
      <c r="AQ174" s="398">
        <f t="shared" si="139"/>
        <v>2760.2526315789473</v>
      </c>
      <c r="AR174" s="293"/>
      <c r="AS174" s="293">
        <v>261937.07425583058</v>
      </c>
      <c r="AT174" s="576">
        <f t="shared" si="140"/>
        <v>-4486.2243113266595</v>
      </c>
      <c r="AU174" s="293"/>
      <c r="AV174" s="293">
        <v>0</v>
      </c>
      <c r="AW174" s="293">
        <v>44805.15</v>
      </c>
      <c r="AX174" s="293">
        <v>139066.20000000001</v>
      </c>
      <c r="AY174" s="293">
        <v>8385</v>
      </c>
      <c r="AZ174" s="293">
        <v>298.31578947368422</v>
      </c>
      <c r="BA174" s="293">
        <v>320.89</v>
      </c>
      <c r="BB174" s="293">
        <v>5323.4999999999991</v>
      </c>
      <c r="BC174" s="293">
        <f t="shared" si="141"/>
        <v>460136.13004530431</v>
      </c>
      <c r="BE174" s="58">
        <f t="shared" si="142"/>
        <v>0</v>
      </c>
      <c r="BF174" s="58">
        <f t="shared" si="143"/>
        <v>0</v>
      </c>
      <c r="BG174" s="58">
        <f t="shared" si="144"/>
        <v>-23177.699999999983</v>
      </c>
      <c r="BH174" s="58">
        <f t="shared" si="145"/>
        <v>1950</v>
      </c>
      <c r="BI174" s="58">
        <f t="shared" si="146"/>
        <v>0</v>
      </c>
      <c r="BJ174" s="58">
        <f t="shared" si="147"/>
        <v>-4.7368421052738086E-3</v>
      </c>
      <c r="BK174" s="58">
        <f t="shared" si="148"/>
        <v>598.64999999999873</v>
      </c>
      <c r="BL174" s="58">
        <f t="shared" si="149"/>
        <v>-25115.279048168748</v>
      </c>
      <c r="BM174" s="33">
        <f t="shared" si="150"/>
        <v>0</v>
      </c>
      <c r="BN174" s="33"/>
      <c r="BO174" s="293">
        <f t="shared" si="174"/>
        <v>0</v>
      </c>
      <c r="BP174" s="293">
        <f t="shared" si="175"/>
        <v>8961.0299999999988</v>
      </c>
      <c r="BQ174" s="293">
        <f t="shared" si="176"/>
        <v>9271.0800000000163</v>
      </c>
      <c r="BR174" s="293">
        <f t="shared" si="177"/>
        <v>3237</v>
      </c>
      <c r="BS174" s="293">
        <f t="shared" si="178"/>
        <v>59.663157894736827</v>
      </c>
      <c r="BT174" s="293">
        <f t="shared" si="179"/>
        <v>64.17421052631579</v>
      </c>
      <c r="BU174" s="293">
        <f t="shared" si="180"/>
        <v>1543.6199999999985</v>
      </c>
      <c r="BV174" s="293">
        <f t="shared" si="129"/>
        <v>18650.343057094407</v>
      </c>
      <c r="BW174" s="293">
        <f t="shared" si="130"/>
        <v>-2.9103830456733704E-11</v>
      </c>
      <c r="BX174" s="293">
        <v>0</v>
      </c>
      <c r="BY174" s="293">
        <v>-6637.8000000000029</v>
      </c>
      <c r="BZ174" s="293">
        <v>0</v>
      </c>
      <c r="CA174" s="293">
        <v>0</v>
      </c>
      <c r="CB174" s="293">
        <v>0</v>
      </c>
      <c r="CC174" s="293">
        <v>617.11</v>
      </c>
      <c r="CD174" s="293">
        <v>733.20000000000073</v>
      </c>
      <c r="CE174" s="293">
        <f t="shared" si="151"/>
        <v>-5287.4900000000025</v>
      </c>
      <c r="CF174" s="293"/>
      <c r="CG174" s="293">
        <v>0</v>
      </c>
      <c r="CH174" s="293">
        <v>34848.449999999997</v>
      </c>
      <c r="CI174" s="293">
        <v>94493.700000000012</v>
      </c>
      <c r="CJ174" s="293">
        <v>4680</v>
      </c>
      <c r="CK174" s="293">
        <v>186.42</v>
      </c>
      <c r="CL174" s="293">
        <v>938</v>
      </c>
      <c r="CM174" s="293">
        <v>4563</v>
      </c>
      <c r="CN174" s="293">
        <f t="shared" si="152"/>
        <v>139709.57000000004</v>
      </c>
      <c r="CO174" s="293"/>
      <c r="CP174" s="58">
        <f t="shared" si="153"/>
        <v>0</v>
      </c>
      <c r="CQ174" s="223">
        <f t="shared" si="154"/>
        <v>-19913.400000000001</v>
      </c>
      <c r="CR174" s="223">
        <f t="shared" si="155"/>
        <v>17234.700000000012</v>
      </c>
      <c r="CS174" s="223">
        <f t="shared" si="156"/>
        <v>-1950</v>
      </c>
      <c r="CT174" s="223">
        <f t="shared" si="157"/>
        <v>-37.316842105263191</v>
      </c>
      <c r="CU174" s="223">
        <f t="shared" si="158"/>
        <v>938</v>
      </c>
      <c r="CV174" s="223">
        <f t="shared" si="159"/>
        <v>723.45000000000027</v>
      </c>
      <c r="CW174" s="223">
        <f t="shared" si="160"/>
        <v>-3004.5668421052528</v>
      </c>
      <c r="CX174" s="223">
        <f t="shared" si="161"/>
        <v>0</v>
      </c>
      <c r="CY174" s="58">
        <f t="shared" si="162"/>
        <v>0</v>
      </c>
      <c r="CZ174" s="399">
        <f t="shared" si="163"/>
        <v>-8961.0300000000061</v>
      </c>
      <c r="DA174" s="399">
        <f t="shared" si="164"/>
        <v>32686.500000000007</v>
      </c>
      <c r="DB174" s="399">
        <f t="shared" si="165"/>
        <v>-624</v>
      </c>
      <c r="DC174" s="399">
        <f t="shared" si="166"/>
        <v>7.4305263157894217</v>
      </c>
      <c r="DD174" s="399">
        <f t="shared" si="167"/>
        <v>938</v>
      </c>
      <c r="DE174" s="399">
        <f t="shared" si="168"/>
        <v>1491.3600000000001</v>
      </c>
      <c r="DF174" s="399">
        <f t="shared" si="169"/>
        <v>25538.260526315793</v>
      </c>
      <c r="DG174" s="399">
        <f t="shared" si="170"/>
        <v>0</v>
      </c>
      <c r="DI174" s="399"/>
      <c r="DJ174" s="399"/>
      <c r="DK174" s="399"/>
      <c r="DL174" s="399"/>
      <c r="DM174" s="399"/>
      <c r="DN174" s="399"/>
      <c r="DO174" s="399"/>
      <c r="DP174" s="399"/>
      <c r="DQ174" s="399"/>
      <c r="DS174" s="399"/>
      <c r="DT174" s="399"/>
      <c r="DU174" s="399"/>
      <c r="DV174" s="399"/>
      <c r="DW174" s="399"/>
      <c r="DX174" s="399"/>
      <c r="DY174" s="399"/>
      <c r="DZ174" s="399"/>
      <c r="EB174" s="228">
        <f t="shared" si="171"/>
        <v>715261.62367411307</v>
      </c>
      <c r="EC174" s="228">
        <f t="shared" si="172"/>
        <v>2025.6642659279778</v>
      </c>
      <c r="ED174" s="214">
        <f t="shared" si="173"/>
        <v>717287.28794004105</v>
      </c>
    </row>
    <row r="175" spans="1:134" hidden="1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3" t="str">
        <f>VLOOKUP(A175,'Summary Mar 2026'!$A$8:$F$207,6,FALSE)</f>
        <v>Chq Bk</v>
      </c>
      <c r="G175" s="33"/>
      <c r="H175" s="223">
        <v>0</v>
      </c>
      <c r="I175" s="294"/>
      <c r="J175" s="223">
        <v>0</v>
      </c>
      <c r="K175" s="223">
        <v>0</v>
      </c>
      <c r="L175" s="223">
        <v>0</v>
      </c>
      <c r="M175" s="223">
        <v>0</v>
      </c>
      <c r="N175" s="223">
        <v>0</v>
      </c>
      <c r="O175" s="223">
        <v>0</v>
      </c>
      <c r="P175" s="33">
        <f t="shared" si="131"/>
        <v>0</v>
      </c>
      <c r="Q175" s="223">
        <f t="shared" si="132"/>
        <v>0</v>
      </c>
      <c r="R175" s="294"/>
      <c r="S175" s="223">
        <v>0</v>
      </c>
      <c r="T175" s="223">
        <v>0</v>
      </c>
      <c r="U175" s="223">
        <v>0</v>
      </c>
      <c r="V175" s="223">
        <v>0</v>
      </c>
      <c r="W175" s="223">
        <v>0</v>
      </c>
      <c r="X175" s="223">
        <v>0</v>
      </c>
      <c r="Y175" s="223">
        <f t="shared" si="133"/>
        <v>0</v>
      </c>
      <c r="Z175" s="223">
        <f t="shared" si="134"/>
        <v>0</v>
      </c>
      <c r="AA175" s="294"/>
      <c r="AB175" s="398">
        <v>0</v>
      </c>
      <c r="AC175" s="398">
        <v>0</v>
      </c>
      <c r="AD175" s="398">
        <v>0</v>
      </c>
      <c r="AE175" s="398">
        <v>0</v>
      </c>
      <c r="AF175" s="398">
        <v>0</v>
      </c>
      <c r="AG175" s="398">
        <v>0</v>
      </c>
      <c r="AH175" s="223">
        <f t="shared" si="135"/>
        <v>0</v>
      </c>
      <c r="AI175" s="398">
        <f t="shared" si="136"/>
        <v>0</v>
      </c>
      <c r="AJ175" s="294"/>
      <c r="AK175" s="398">
        <v>0</v>
      </c>
      <c r="AL175" s="398">
        <v>0</v>
      </c>
      <c r="AM175" s="398">
        <v>0</v>
      </c>
      <c r="AN175" s="294"/>
      <c r="AO175" s="398">
        <f t="shared" si="137"/>
        <v>0</v>
      </c>
      <c r="AP175" s="398">
        <f t="shared" si="138"/>
        <v>0</v>
      </c>
      <c r="AQ175" s="398">
        <f t="shared" si="139"/>
        <v>0</v>
      </c>
      <c r="AR175" s="293"/>
      <c r="AS175" s="293">
        <v>0</v>
      </c>
      <c r="AT175" s="576">
        <f t="shared" si="140"/>
        <v>0</v>
      </c>
      <c r="AU175" s="293"/>
      <c r="AV175" s="293">
        <v>0</v>
      </c>
      <c r="AW175" s="293">
        <v>0</v>
      </c>
      <c r="AX175" s="293">
        <v>0</v>
      </c>
      <c r="AY175" s="293">
        <v>0</v>
      </c>
      <c r="AZ175" s="293">
        <v>0</v>
      </c>
      <c r="BA175" s="293">
        <v>0</v>
      </c>
      <c r="BB175" s="293">
        <v>0</v>
      </c>
      <c r="BC175" s="293">
        <f t="shared" si="141"/>
        <v>0</v>
      </c>
      <c r="BE175" s="58">
        <f t="shared" si="142"/>
        <v>0</v>
      </c>
      <c r="BF175" s="58">
        <f t="shared" si="143"/>
        <v>0</v>
      </c>
      <c r="BG175" s="58">
        <f t="shared" si="144"/>
        <v>0</v>
      </c>
      <c r="BH175" s="58">
        <f t="shared" si="145"/>
        <v>0</v>
      </c>
      <c r="BI175" s="58">
        <f t="shared" si="146"/>
        <v>0</v>
      </c>
      <c r="BJ175" s="58">
        <f t="shared" si="147"/>
        <v>0</v>
      </c>
      <c r="BK175" s="58">
        <f t="shared" si="148"/>
        <v>0</v>
      </c>
      <c r="BL175" s="58">
        <f t="shared" si="149"/>
        <v>0</v>
      </c>
      <c r="BM175" s="33">
        <f t="shared" si="150"/>
        <v>0</v>
      </c>
      <c r="BN175" s="33"/>
      <c r="BO175" s="293">
        <f t="shared" si="174"/>
        <v>0</v>
      </c>
      <c r="BP175" s="293">
        <f t="shared" si="175"/>
        <v>0</v>
      </c>
      <c r="BQ175" s="293">
        <f t="shared" si="176"/>
        <v>0</v>
      </c>
      <c r="BR175" s="293">
        <f t="shared" si="177"/>
        <v>0</v>
      </c>
      <c r="BS175" s="293">
        <f t="shared" si="178"/>
        <v>0</v>
      </c>
      <c r="BT175" s="293">
        <f t="shared" si="179"/>
        <v>0</v>
      </c>
      <c r="BU175" s="293">
        <f t="shared" si="180"/>
        <v>0</v>
      </c>
      <c r="BV175" s="293">
        <f t="shared" si="129"/>
        <v>0</v>
      </c>
      <c r="BW175" s="293">
        <f t="shared" si="130"/>
        <v>0</v>
      </c>
      <c r="BX175" s="293">
        <v>0</v>
      </c>
      <c r="BY175" s="293">
        <v>0</v>
      </c>
      <c r="BZ175" s="293">
        <v>0</v>
      </c>
      <c r="CA175" s="293">
        <v>0</v>
      </c>
      <c r="CB175" s="293">
        <v>0</v>
      </c>
      <c r="CC175" s="293">
        <v>0</v>
      </c>
      <c r="CD175" s="293">
        <v>0</v>
      </c>
      <c r="CE175" s="293">
        <f t="shared" si="151"/>
        <v>0</v>
      </c>
      <c r="CF175" s="293"/>
      <c r="CG175" s="293">
        <v>0</v>
      </c>
      <c r="CH175" s="293">
        <v>0</v>
      </c>
      <c r="CI175" s="293">
        <v>0</v>
      </c>
      <c r="CJ175" s="293">
        <v>0</v>
      </c>
      <c r="CK175" s="293">
        <v>0</v>
      </c>
      <c r="CL175" s="293">
        <v>0</v>
      </c>
      <c r="CM175" s="293">
        <v>0</v>
      </c>
      <c r="CN175" s="293">
        <f t="shared" si="152"/>
        <v>0</v>
      </c>
      <c r="CO175" s="293"/>
      <c r="CP175" s="58">
        <f t="shared" si="153"/>
        <v>0</v>
      </c>
      <c r="CQ175" s="223">
        <f t="shared" si="154"/>
        <v>0</v>
      </c>
      <c r="CR175" s="223">
        <f t="shared" si="155"/>
        <v>0</v>
      </c>
      <c r="CS175" s="223">
        <f t="shared" si="156"/>
        <v>0</v>
      </c>
      <c r="CT175" s="223">
        <f t="shared" si="157"/>
        <v>0</v>
      </c>
      <c r="CU175" s="223">
        <f t="shared" si="158"/>
        <v>0</v>
      </c>
      <c r="CV175" s="223">
        <f t="shared" si="159"/>
        <v>0</v>
      </c>
      <c r="CW175" s="223">
        <f t="shared" si="160"/>
        <v>0</v>
      </c>
      <c r="CX175" s="223">
        <f t="shared" si="161"/>
        <v>0</v>
      </c>
      <c r="CY175" s="58">
        <f t="shared" si="162"/>
        <v>0</v>
      </c>
      <c r="CZ175" s="399">
        <f t="shared" si="163"/>
        <v>0</v>
      </c>
      <c r="DA175" s="399">
        <f t="shared" si="164"/>
        <v>0</v>
      </c>
      <c r="DB175" s="399">
        <f t="shared" si="165"/>
        <v>0</v>
      </c>
      <c r="DC175" s="399">
        <f t="shared" si="166"/>
        <v>0</v>
      </c>
      <c r="DD175" s="399">
        <f t="shared" si="167"/>
        <v>0</v>
      </c>
      <c r="DE175" s="399">
        <f t="shared" si="168"/>
        <v>0</v>
      </c>
      <c r="DF175" s="399">
        <f t="shared" si="169"/>
        <v>0</v>
      </c>
      <c r="DG175" s="399">
        <f t="shared" si="170"/>
        <v>0</v>
      </c>
      <c r="DI175" s="399"/>
      <c r="DJ175" s="399"/>
      <c r="DK175" s="399"/>
      <c r="DL175" s="399"/>
      <c r="DM175" s="399"/>
      <c r="DN175" s="399"/>
      <c r="DO175" s="399"/>
      <c r="DP175" s="399"/>
      <c r="DQ175" s="399"/>
      <c r="DS175" s="399"/>
      <c r="DT175" s="399"/>
      <c r="DU175" s="399"/>
      <c r="DV175" s="399"/>
      <c r="DW175" s="399"/>
      <c r="DX175" s="399"/>
      <c r="DY175" s="399"/>
      <c r="DZ175" s="399"/>
      <c r="EB175" s="228">
        <f t="shared" si="171"/>
        <v>0</v>
      </c>
      <c r="EC175" s="228">
        <f t="shared" si="172"/>
        <v>0</v>
      </c>
      <c r="ED175" s="214">
        <f t="shared" si="173"/>
        <v>0</v>
      </c>
    </row>
    <row r="176" spans="1:134" hidden="1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3" t="str">
        <f>VLOOKUP(A176,'Summary Mar 2026'!$A$8:$F$207,6,FALSE)</f>
        <v>Chq Bk</v>
      </c>
      <c r="G176" s="33"/>
      <c r="H176" s="223">
        <v>0</v>
      </c>
      <c r="I176" s="294"/>
      <c r="J176" s="223">
        <v>0</v>
      </c>
      <c r="K176" s="223">
        <v>0</v>
      </c>
      <c r="L176" s="223">
        <v>33111</v>
      </c>
      <c r="M176" s="223">
        <v>0</v>
      </c>
      <c r="N176" s="223">
        <v>0</v>
      </c>
      <c r="O176" s="223">
        <v>0</v>
      </c>
      <c r="P176" s="33">
        <f t="shared" si="131"/>
        <v>33111</v>
      </c>
      <c r="Q176" s="223">
        <f t="shared" si="132"/>
        <v>26488.800000000003</v>
      </c>
      <c r="R176" s="294"/>
      <c r="S176" s="223">
        <v>0</v>
      </c>
      <c r="T176" s="223">
        <v>0</v>
      </c>
      <c r="U176" s="223">
        <v>39733.200000000004</v>
      </c>
      <c r="V176" s="223">
        <v>2340</v>
      </c>
      <c r="W176" s="223">
        <v>894.94736842105272</v>
      </c>
      <c r="X176" s="223">
        <v>0</v>
      </c>
      <c r="Y176" s="223">
        <f t="shared" si="133"/>
        <v>42968.147368421058</v>
      </c>
      <c r="Z176" s="223">
        <f t="shared" si="134"/>
        <v>34374.517894736848</v>
      </c>
      <c r="AA176" s="294"/>
      <c r="AB176" s="398">
        <v>0</v>
      </c>
      <c r="AC176" s="398">
        <v>0</v>
      </c>
      <c r="AD176" s="398">
        <v>29920.547368421048</v>
      </c>
      <c r="AE176" s="398">
        <v>1080</v>
      </c>
      <c r="AF176" s="398">
        <v>413.05263157894734</v>
      </c>
      <c r="AG176" s="398">
        <v>0</v>
      </c>
      <c r="AH176" s="223">
        <f t="shared" si="135"/>
        <v>31413.599999999995</v>
      </c>
      <c r="AI176" s="398">
        <f t="shared" si="136"/>
        <v>25130.879999999997</v>
      </c>
      <c r="AJ176" s="294"/>
      <c r="AK176" s="398">
        <v>1333.7999999999997</v>
      </c>
      <c r="AL176" s="398">
        <v>1756.95</v>
      </c>
      <c r="AM176" s="398">
        <v>1214.715789473684</v>
      </c>
      <c r="AN176" s="294"/>
      <c r="AO176" s="398">
        <f t="shared" si="137"/>
        <v>1067.0399999999997</v>
      </c>
      <c r="AP176" s="398">
        <f t="shared" si="138"/>
        <v>1405.5600000000002</v>
      </c>
      <c r="AQ176" s="398">
        <f t="shared" si="139"/>
        <v>971.77263157894731</v>
      </c>
      <c r="AR176" s="293"/>
      <c r="AS176" s="293">
        <v>0</v>
      </c>
      <c r="AT176" s="576">
        <f t="shared" si="140"/>
        <v>0</v>
      </c>
      <c r="AU176" s="293"/>
      <c r="AV176" s="293">
        <v>0</v>
      </c>
      <c r="AW176" s="293">
        <v>0</v>
      </c>
      <c r="AX176" s="293">
        <v>35318.400000000001</v>
      </c>
      <c r="AY176" s="293">
        <v>3315</v>
      </c>
      <c r="AZ176" s="293">
        <v>1267.8421052631579</v>
      </c>
      <c r="BA176" s="293">
        <v>0</v>
      </c>
      <c r="BB176" s="293">
        <v>1649.7</v>
      </c>
      <c r="BC176" s="293">
        <f t="shared" si="141"/>
        <v>41550.942105263159</v>
      </c>
      <c r="BE176" s="58">
        <f t="shared" si="142"/>
        <v>0</v>
      </c>
      <c r="BF176" s="58">
        <f t="shared" si="143"/>
        <v>0</v>
      </c>
      <c r="BG176" s="58">
        <f t="shared" si="144"/>
        <v>2207.4000000000015</v>
      </c>
      <c r="BH176" s="58">
        <f t="shared" si="145"/>
        <v>3315</v>
      </c>
      <c r="BI176" s="58">
        <f t="shared" si="146"/>
        <v>1267.8421052631579</v>
      </c>
      <c r="BJ176" s="58">
        <f t="shared" si="147"/>
        <v>0</v>
      </c>
      <c r="BK176" s="58">
        <f t="shared" si="148"/>
        <v>315.90000000000032</v>
      </c>
      <c r="BL176" s="58">
        <f t="shared" si="149"/>
        <v>7106.1421052631604</v>
      </c>
      <c r="BM176" s="33">
        <f t="shared" si="150"/>
        <v>0</v>
      </c>
      <c r="BN176" s="33"/>
      <c r="BO176" s="293">
        <f t="shared" si="174"/>
        <v>0</v>
      </c>
      <c r="BP176" s="293">
        <f t="shared" si="175"/>
        <v>0</v>
      </c>
      <c r="BQ176" s="293">
        <f t="shared" si="176"/>
        <v>8829.5999999999985</v>
      </c>
      <c r="BR176" s="293">
        <f t="shared" si="177"/>
        <v>3315</v>
      </c>
      <c r="BS176" s="293">
        <f t="shared" si="178"/>
        <v>1267.8421052631579</v>
      </c>
      <c r="BT176" s="293">
        <f t="shared" si="179"/>
        <v>0</v>
      </c>
      <c r="BU176" s="293">
        <f t="shared" si="180"/>
        <v>582.66000000000031</v>
      </c>
      <c r="BV176" s="293">
        <f t="shared" si="129"/>
        <v>13995.102105263157</v>
      </c>
      <c r="BW176" s="293">
        <f t="shared" si="130"/>
        <v>0</v>
      </c>
      <c r="BX176" s="293">
        <v>0</v>
      </c>
      <c r="BY176" s="293">
        <v>0</v>
      </c>
      <c r="BZ176" s="293">
        <v>0</v>
      </c>
      <c r="CA176" s="293">
        <v>0</v>
      </c>
      <c r="CB176" s="293">
        <v>0</v>
      </c>
      <c r="CC176" s="293">
        <v>0</v>
      </c>
      <c r="CD176" s="293">
        <v>0</v>
      </c>
      <c r="CE176" s="293">
        <f t="shared" si="151"/>
        <v>0</v>
      </c>
      <c r="CF176" s="293"/>
      <c r="CG176" s="293">
        <v>0</v>
      </c>
      <c r="CH176" s="293">
        <v>0</v>
      </c>
      <c r="CI176" s="293">
        <v>44148</v>
      </c>
      <c r="CJ176" s="293">
        <v>2925</v>
      </c>
      <c r="CK176" s="293">
        <v>1454.7</v>
      </c>
      <c r="CL176" s="293">
        <v>0</v>
      </c>
      <c r="CM176" s="293">
        <v>1708.2</v>
      </c>
      <c r="CN176" s="293">
        <f t="shared" si="152"/>
        <v>50235.899999999994</v>
      </c>
      <c r="CO176" s="293"/>
      <c r="CP176" s="58">
        <f t="shared" si="153"/>
        <v>0</v>
      </c>
      <c r="CQ176" s="223">
        <f t="shared" si="154"/>
        <v>0</v>
      </c>
      <c r="CR176" s="223">
        <f t="shared" si="155"/>
        <v>4414.7999999999956</v>
      </c>
      <c r="CS176" s="223">
        <f t="shared" si="156"/>
        <v>585</v>
      </c>
      <c r="CT176" s="223">
        <f t="shared" si="157"/>
        <v>559.75263157894733</v>
      </c>
      <c r="CU176" s="223">
        <f t="shared" si="158"/>
        <v>0</v>
      </c>
      <c r="CV176" s="223">
        <f t="shared" si="159"/>
        <v>-48.75</v>
      </c>
      <c r="CW176" s="223">
        <f t="shared" si="160"/>
        <v>5510.802631578943</v>
      </c>
      <c r="CX176" s="223">
        <f t="shared" si="161"/>
        <v>0</v>
      </c>
      <c r="CY176" s="58">
        <f t="shared" si="162"/>
        <v>0</v>
      </c>
      <c r="CZ176" s="399">
        <f t="shared" si="163"/>
        <v>0</v>
      </c>
      <c r="DA176" s="399">
        <f t="shared" si="164"/>
        <v>12361.439999999995</v>
      </c>
      <c r="DB176" s="399">
        <f t="shared" si="165"/>
        <v>1053</v>
      </c>
      <c r="DC176" s="399">
        <f t="shared" si="166"/>
        <v>738.74210526315778</v>
      </c>
      <c r="DD176" s="399">
        <f t="shared" si="167"/>
        <v>0</v>
      </c>
      <c r="DE176" s="399">
        <f t="shared" si="168"/>
        <v>302.63999999999987</v>
      </c>
      <c r="DF176" s="399">
        <f t="shared" si="169"/>
        <v>14455.822105263152</v>
      </c>
      <c r="DG176" s="399">
        <f t="shared" si="170"/>
        <v>0</v>
      </c>
      <c r="DI176" s="399"/>
      <c r="DJ176" s="399"/>
      <c r="DK176" s="399"/>
      <c r="DL176" s="399"/>
      <c r="DM176" s="399"/>
      <c r="DN176" s="399"/>
      <c r="DO176" s="399"/>
      <c r="DP176" s="399"/>
      <c r="DQ176" s="399"/>
      <c r="DS176" s="399"/>
      <c r="DT176" s="399"/>
      <c r="DU176" s="399"/>
      <c r="DV176" s="399"/>
      <c r="DW176" s="399"/>
      <c r="DX176" s="399"/>
      <c r="DY176" s="399"/>
      <c r="DZ176" s="399"/>
      <c r="EB176" s="228">
        <f t="shared" si="171"/>
        <v>117889.49473684208</v>
      </c>
      <c r="EC176" s="228">
        <f t="shared" si="172"/>
        <v>0</v>
      </c>
      <c r="ED176" s="214">
        <f t="shared" si="173"/>
        <v>117889.49473684208</v>
      </c>
    </row>
    <row r="177" spans="1:134" hidden="1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3" t="str">
        <f>VLOOKUP(A177,'Summary Mar 2026'!$A$8:$F$207,6,FALSE)</f>
        <v>Chq Bk</v>
      </c>
      <c r="G177" s="33"/>
      <c r="H177" s="223">
        <v>0</v>
      </c>
      <c r="I177" s="294"/>
      <c r="J177" s="223">
        <v>0</v>
      </c>
      <c r="K177" s="223">
        <v>0</v>
      </c>
      <c r="L177" s="223">
        <v>0</v>
      </c>
      <c r="M177" s="223">
        <v>0</v>
      </c>
      <c r="N177" s="223">
        <v>0</v>
      </c>
      <c r="O177" s="223">
        <v>0</v>
      </c>
      <c r="P177" s="33">
        <f t="shared" si="131"/>
        <v>0</v>
      </c>
      <c r="Q177" s="223">
        <f t="shared" si="132"/>
        <v>0</v>
      </c>
      <c r="R177" s="294"/>
      <c r="S177" s="223">
        <v>0</v>
      </c>
      <c r="T177" s="223">
        <v>0</v>
      </c>
      <c r="U177" s="223">
        <v>0</v>
      </c>
      <c r="V177" s="223">
        <v>0</v>
      </c>
      <c r="W177" s="223">
        <v>0</v>
      </c>
      <c r="X177" s="223">
        <v>0</v>
      </c>
      <c r="Y177" s="223">
        <f t="shared" si="133"/>
        <v>0</v>
      </c>
      <c r="Z177" s="223">
        <f t="shared" si="134"/>
        <v>0</v>
      </c>
      <c r="AA177" s="294"/>
      <c r="AB177" s="398"/>
      <c r="AC177" s="398"/>
      <c r="AD177" s="398"/>
      <c r="AE177" s="398"/>
      <c r="AF177" s="398"/>
      <c r="AG177" s="398"/>
      <c r="AH177" s="223"/>
      <c r="AI177" s="398"/>
      <c r="AJ177" s="294"/>
      <c r="AK177" s="398">
        <v>0</v>
      </c>
      <c r="AL177" s="398">
        <v>0</v>
      </c>
      <c r="AM177" s="398">
        <v>0</v>
      </c>
      <c r="AN177" s="294"/>
      <c r="AO177" s="398">
        <f t="shared" si="137"/>
        <v>0</v>
      </c>
      <c r="AP177" s="398">
        <f t="shared" si="138"/>
        <v>0</v>
      </c>
      <c r="AQ177" s="398">
        <f t="shared" si="139"/>
        <v>0</v>
      </c>
      <c r="AR177" s="293"/>
      <c r="AS177" s="293">
        <v>0</v>
      </c>
      <c r="AT177" s="576">
        <f t="shared" si="140"/>
        <v>0</v>
      </c>
      <c r="AU177" s="293"/>
      <c r="AV177" s="293">
        <v>0</v>
      </c>
      <c r="AW177" s="293">
        <v>0</v>
      </c>
      <c r="AX177" s="293">
        <v>0</v>
      </c>
      <c r="AY177" s="293">
        <v>0</v>
      </c>
      <c r="AZ177" s="293">
        <v>0</v>
      </c>
      <c r="BA177" s="293">
        <v>0</v>
      </c>
      <c r="BB177" s="293">
        <v>0</v>
      </c>
      <c r="BC177" s="293">
        <f t="shared" si="141"/>
        <v>0</v>
      </c>
      <c r="BE177" s="58">
        <f t="shared" si="142"/>
        <v>0</v>
      </c>
      <c r="BF177" s="58">
        <f t="shared" si="143"/>
        <v>0</v>
      </c>
      <c r="BG177" s="58">
        <f t="shared" si="144"/>
        <v>0</v>
      </c>
      <c r="BH177" s="58">
        <f t="shared" si="145"/>
        <v>0</v>
      </c>
      <c r="BI177" s="58">
        <f t="shared" si="146"/>
        <v>0</v>
      </c>
      <c r="BJ177" s="58">
        <f t="shared" si="147"/>
        <v>0</v>
      </c>
      <c r="BK177" s="58">
        <f t="shared" si="148"/>
        <v>0</v>
      </c>
      <c r="BL177" s="58">
        <f t="shared" si="149"/>
        <v>0</v>
      </c>
      <c r="BM177" s="33">
        <f t="shared" si="150"/>
        <v>0</v>
      </c>
      <c r="BN177" s="33"/>
      <c r="BO177" s="293">
        <f t="shared" si="174"/>
        <v>0</v>
      </c>
      <c r="BP177" s="293">
        <f t="shared" si="175"/>
        <v>0</v>
      </c>
      <c r="BQ177" s="293">
        <f t="shared" si="176"/>
        <v>0</v>
      </c>
      <c r="BR177" s="293">
        <f t="shared" si="177"/>
        <v>0</v>
      </c>
      <c r="BS177" s="293">
        <f t="shared" si="178"/>
        <v>0</v>
      </c>
      <c r="BT177" s="293">
        <f t="shared" si="179"/>
        <v>0</v>
      </c>
      <c r="BU177" s="293">
        <f t="shared" si="180"/>
        <v>0</v>
      </c>
      <c r="BV177" s="293">
        <f t="shared" si="129"/>
        <v>0</v>
      </c>
      <c r="BW177" s="293">
        <f t="shared" si="130"/>
        <v>0</v>
      </c>
      <c r="BX177" s="293"/>
      <c r="BY177" s="293"/>
      <c r="BZ177" s="293"/>
      <c r="CA177" s="293"/>
      <c r="CB177" s="293"/>
      <c r="CC177" s="293"/>
      <c r="CD177" s="293"/>
      <c r="CE177" s="293"/>
      <c r="CF177" s="293"/>
      <c r="CG177" s="293"/>
      <c r="CH177" s="293"/>
      <c r="CI177" s="293"/>
      <c r="CJ177" s="293"/>
      <c r="CK177" s="293"/>
      <c r="CL177" s="293"/>
      <c r="CM177" s="293"/>
      <c r="CN177" s="293"/>
      <c r="CO177" s="293"/>
      <c r="CP177" s="58">
        <f t="shared" si="153"/>
        <v>0</v>
      </c>
      <c r="CQ177" s="223">
        <f t="shared" si="154"/>
        <v>0</v>
      </c>
      <c r="CR177" s="223">
        <f t="shared" si="155"/>
        <v>0</v>
      </c>
      <c r="CS177" s="223">
        <f t="shared" si="156"/>
        <v>0</v>
      </c>
      <c r="CT177" s="223">
        <f t="shared" si="157"/>
        <v>0</v>
      </c>
      <c r="CU177" s="223">
        <f t="shared" si="158"/>
        <v>0</v>
      </c>
      <c r="CV177" s="223">
        <f t="shared" si="159"/>
        <v>0</v>
      </c>
      <c r="CW177" s="223">
        <f t="shared" si="160"/>
        <v>0</v>
      </c>
      <c r="CX177" s="223">
        <f t="shared" si="161"/>
        <v>0</v>
      </c>
      <c r="CY177" s="58">
        <f t="shared" si="162"/>
        <v>0</v>
      </c>
      <c r="CZ177" s="399">
        <f t="shared" si="163"/>
        <v>0</v>
      </c>
      <c r="DA177" s="399">
        <f t="shared" si="164"/>
        <v>0</v>
      </c>
      <c r="DB177" s="399">
        <f t="shared" si="165"/>
        <v>0</v>
      </c>
      <c r="DC177" s="399">
        <f t="shared" si="166"/>
        <v>0</v>
      </c>
      <c r="DD177" s="399">
        <f t="shared" si="167"/>
        <v>0</v>
      </c>
      <c r="DE177" s="399">
        <f t="shared" si="168"/>
        <v>0</v>
      </c>
      <c r="DF177" s="399">
        <f t="shared" si="169"/>
        <v>0</v>
      </c>
      <c r="DG177" s="399">
        <f t="shared" si="170"/>
        <v>0</v>
      </c>
      <c r="DI177" s="399"/>
      <c r="DJ177" s="399"/>
      <c r="DK177" s="399"/>
      <c r="DL177" s="399"/>
      <c r="DM177" s="399"/>
      <c r="DN177" s="399"/>
      <c r="DO177" s="399"/>
      <c r="DP177" s="399"/>
      <c r="DQ177" s="399"/>
      <c r="DS177" s="399"/>
      <c r="DT177" s="399"/>
      <c r="DU177" s="399"/>
      <c r="DV177" s="399"/>
      <c r="DW177" s="399"/>
      <c r="DX177" s="399"/>
      <c r="DY177" s="399"/>
      <c r="DZ177" s="399"/>
      <c r="EB177" s="228">
        <f t="shared" si="171"/>
        <v>0</v>
      </c>
      <c r="EC177" s="228">
        <f t="shared" si="172"/>
        <v>0</v>
      </c>
      <c r="ED177" s="214">
        <f t="shared" si="173"/>
        <v>0</v>
      </c>
    </row>
    <row r="178" spans="1:134" hidden="1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3" t="str">
        <f>VLOOKUP(A178,'Summary Mar 2026'!$A$8:$F$207,6,FALSE)</f>
        <v>Chq Bk</v>
      </c>
      <c r="G178" s="33"/>
      <c r="H178" s="223">
        <v>0</v>
      </c>
      <c r="I178" s="294"/>
      <c r="J178" s="223">
        <v>0</v>
      </c>
      <c r="K178" s="223">
        <v>0</v>
      </c>
      <c r="L178" s="223">
        <v>0</v>
      </c>
      <c r="M178" s="223">
        <v>0</v>
      </c>
      <c r="N178" s="223">
        <v>0</v>
      </c>
      <c r="O178" s="223">
        <v>0</v>
      </c>
      <c r="P178" s="33">
        <f t="shared" si="131"/>
        <v>0</v>
      </c>
      <c r="Q178" s="223">
        <f t="shared" si="132"/>
        <v>0</v>
      </c>
      <c r="R178" s="294"/>
      <c r="S178" s="223">
        <v>0</v>
      </c>
      <c r="T178" s="223">
        <v>0</v>
      </c>
      <c r="U178" s="223">
        <v>0</v>
      </c>
      <c r="V178" s="223">
        <v>0</v>
      </c>
      <c r="W178" s="223">
        <v>0</v>
      </c>
      <c r="X178" s="223">
        <v>0</v>
      </c>
      <c r="Y178" s="223">
        <f t="shared" si="133"/>
        <v>0</v>
      </c>
      <c r="Z178" s="223">
        <f t="shared" si="134"/>
        <v>0</v>
      </c>
      <c r="AA178" s="294"/>
      <c r="AB178" s="398">
        <v>0</v>
      </c>
      <c r="AC178" s="398">
        <v>0</v>
      </c>
      <c r="AD178" s="398">
        <v>0</v>
      </c>
      <c r="AE178" s="398">
        <v>0</v>
      </c>
      <c r="AF178" s="398">
        <v>0</v>
      </c>
      <c r="AG178" s="398">
        <v>0</v>
      </c>
      <c r="AH178" s="223">
        <f t="shared" si="135"/>
        <v>0</v>
      </c>
      <c r="AI178" s="398">
        <f t="shared" si="136"/>
        <v>0</v>
      </c>
      <c r="AJ178" s="294"/>
      <c r="AK178" s="398">
        <v>0</v>
      </c>
      <c r="AL178" s="398">
        <v>0</v>
      </c>
      <c r="AM178" s="398">
        <v>0</v>
      </c>
      <c r="AN178" s="294"/>
      <c r="AO178" s="398">
        <f t="shared" si="137"/>
        <v>0</v>
      </c>
      <c r="AP178" s="398">
        <f t="shared" si="138"/>
        <v>0</v>
      </c>
      <c r="AQ178" s="398">
        <f t="shared" si="139"/>
        <v>0</v>
      </c>
      <c r="AR178" s="293"/>
      <c r="AS178" s="293">
        <v>0</v>
      </c>
      <c r="AT178" s="576">
        <f t="shared" si="140"/>
        <v>0</v>
      </c>
      <c r="AU178" s="293"/>
      <c r="AV178" s="293">
        <v>0</v>
      </c>
      <c r="AW178" s="293">
        <v>0</v>
      </c>
      <c r="AX178" s="293">
        <v>0</v>
      </c>
      <c r="AY178" s="293">
        <v>0</v>
      </c>
      <c r="AZ178" s="293">
        <v>0</v>
      </c>
      <c r="BA178" s="293">
        <v>0</v>
      </c>
      <c r="BB178" s="293">
        <v>0</v>
      </c>
      <c r="BC178" s="293">
        <f t="shared" si="141"/>
        <v>0</v>
      </c>
      <c r="BE178" s="58">
        <f t="shared" si="142"/>
        <v>0</v>
      </c>
      <c r="BF178" s="58">
        <f t="shared" si="143"/>
        <v>0</v>
      </c>
      <c r="BG178" s="58">
        <f t="shared" si="144"/>
        <v>0</v>
      </c>
      <c r="BH178" s="58">
        <f t="shared" si="145"/>
        <v>0</v>
      </c>
      <c r="BI178" s="58">
        <f t="shared" si="146"/>
        <v>0</v>
      </c>
      <c r="BJ178" s="58">
        <f t="shared" si="147"/>
        <v>0</v>
      </c>
      <c r="BK178" s="58">
        <f t="shared" si="148"/>
        <v>0</v>
      </c>
      <c r="BL178" s="58">
        <f t="shared" si="149"/>
        <v>0</v>
      </c>
      <c r="BM178" s="33">
        <f t="shared" si="150"/>
        <v>0</v>
      </c>
      <c r="BN178" s="33"/>
      <c r="BO178" s="293">
        <f t="shared" si="174"/>
        <v>0</v>
      </c>
      <c r="BP178" s="293">
        <f t="shared" si="175"/>
        <v>0</v>
      </c>
      <c r="BQ178" s="293">
        <f t="shared" si="176"/>
        <v>0</v>
      </c>
      <c r="BR178" s="293">
        <f t="shared" si="177"/>
        <v>0</v>
      </c>
      <c r="BS178" s="293">
        <f t="shared" si="178"/>
        <v>0</v>
      </c>
      <c r="BT178" s="293">
        <f t="shared" si="179"/>
        <v>0</v>
      </c>
      <c r="BU178" s="293">
        <f t="shared" si="180"/>
        <v>0</v>
      </c>
      <c r="BV178" s="293">
        <f t="shared" si="129"/>
        <v>0</v>
      </c>
      <c r="BW178" s="293">
        <f t="shared" si="130"/>
        <v>0</v>
      </c>
      <c r="BX178" s="293">
        <v>0</v>
      </c>
      <c r="BY178" s="293">
        <v>0</v>
      </c>
      <c r="BZ178" s="293">
        <v>0</v>
      </c>
      <c r="CA178" s="293">
        <v>0</v>
      </c>
      <c r="CB178" s="293">
        <v>0</v>
      </c>
      <c r="CC178" s="293">
        <v>0</v>
      </c>
      <c r="CD178" s="293">
        <v>0</v>
      </c>
      <c r="CE178" s="293">
        <f t="shared" si="151"/>
        <v>0</v>
      </c>
      <c r="CF178" s="293"/>
      <c r="CG178" s="293">
        <v>0</v>
      </c>
      <c r="CH178" s="293">
        <v>0</v>
      </c>
      <c r="CI178" s="293">
        <v>0</v>
      </c>
      <c r="CJ178" s="293">
        <v>0</v>
      </c>
      <c r="CK178" s="293">
        <v>0</v>
      </c>
      <c r="CL178" s="293">
        <v>0</v>
      </c>
      <c r="CM178" s="293">
        <v>0</v>
      </c>
      <c r="CN178" s="293">
        <f t="shared" si="152"/>
        <v>0</v>
      </c>
      <c r="CO178" s="293"/>
      <c r="CP178" s="58">
        <f t="shared" si="153"/>
        <v>0</v>
      </c>
      <c r="CQ178" s="223">
        <f t="shared" si="154"/>
        <v>0</v>
      </c>
      <c r="CR178" s="223">
        <f t="shared" si="155"/>
        <v>0</v>
      </c>
      <c r="CS178" s="223">
        <f t="shared" si="156"/>
        <v>0</v>
      </c>
      <c r="CT178" s="223">
        <f t="shared" si="157"/>
        <v>0</v>
      </c>
      <c r="CU178" s="223">
        <f t="shared" si="158"/>
        <v>0</v>
      </c>
      <c r="CV178" s="223">
        <f t="shared" si="159"/>
        <v>0</v>
      </c>
      <c r="CW178" s="223">
        <f t="shared" si="160"/>
        <v>0</v>
      </c>
      <c r="CX178" s="223">
        <f t="shared" si="161"/>
        <v>0</v>
      </c>
      <c r="CY178" s="58">
        <f t="shared" si="162"/>
        <v>0</v>
      </c>
      <c r="CZ178" s="399">
        <f t="shared" si="163"/>
        <v>0</v>
      </c>
      <c r="DA178" s="399">
        <f t="shared" si="164"/>
        <v>0</v>
      </c>
      <c r="DB178" s="399">
        <f t="shared" si="165"/>
        <v>0</v>
      </c>
      <c r="DC178" s="399">
        <f t="shared" si="166"/>
        <v>0</v>
      </c>
      <c r="DD178" s="399">
        <f t="shared" si="167"/>
        <v>0</v>
      </c>
      <c r="DE178" s="399">
        <f t="shared" si="168"/>
        <v>0</v>
      </c>
      <c r="DF178" s="399">
        <f t="shared" si="169"/>
        <v>0</v>
      </c>
      <c r="DG178" s="399">
        <f t="shared" si="170"/>
        <v>0</v>
      </c>
      <c r="DI178" s="399"/>
      <c r="DJ178" s="399"/>
      <c r="DK178" s="399"/>
      <c r="DL178" s="399"/>
      <c r="DM178" s="399"/>
      <c r="DN178" s="399"/>
      <c r="DO178" s="399"/>
      <c r="DP178" s="399"/>
      <c r="DQ178" s="399"/>
      <c r="DS178" s="399"/>
      <c r="DT178" s="399"/>
      <c r="DU178" s="399"/>
      <c r="DV178" s="399"/>
      <c r="DW178" s="399"/>
      <c r="DX178" s="399"/>
      <c r="DY178" s="399"/>
      <c r="DZ178" s="399"/>
      <c r="EB178" s="228">
        <f t="shared" si="171"/>
        <v>0</v>
      </c>
      <c r="EC178" s="228">
        <f t="shared" si="172"/>
        <v>0</v>
      </c>
      <c r="ED178" s="214">
        <f t="shared" si="173"/>
        <v>0</v>
      </c>
    </row>
    <row r="179" spans="1:134" hidden="1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3" t="str">
        <f>VLOOKUP(A179,'Summary Mar 2026'!$A$8:$F$207,6,FALSE)</f>
        <v>Chq Bk</v>
      </c>
      <c r="G179" s="33"/>
      <c r="H179" s="223">
        <v>0</v>
      </c>
      <c r="I179" s="294"/>
      <c r="J179" s="223">
        <v>0</v>
      </c>
      <c r="K179" s="223">
        <v>0</v>
      </c>
      <c r="L179" s="223">
        <v>0</v>
      </c>
      <c r="M179" s="223">
        <v>0</v>
      </c>
      <c r="N179" s="223">
        <v>0</v>
      </c>
      <c r="O179" s="223">
        <v>0</v>
      </c>
      <c r="P179" s="33">
        <f t="shared" si="131"/>
        <v>0</v>
      </c>
      <c r="Q179" s="223">
        <f t="shared" si="132"/>
        <v>0</v>
      </c>
      <c r="R179" s="294"/>
      <c r="S179" s="223">
        <v>0</v>
      </c>
      <c r="T179" s="223">
        <v>0</v>
      </c>
      <c r="U179" s="223">
        <v>0</v>
      </c>
      <c r="V179" s="223">
        <v>0</v>
      </c>
      <c r="W179" s="223">
        <v>0</v>
      </c>
      <c r="X179" s="223">
        <v>0</v>
      </c>
      <c r="Y179" s="223">
        <f t="shared" si="133"/>
        <v>0</v>
      </c>
      <c r="Z179" s="223">
        <f t="shared" si="134"/>
        <v>0</v>
      </c>
      <c r="AA179" s="294"/>
      <c r="AB179" s="398">
        <v>0</v>
      </c>
      <c r="AC179" s="398">
        <v>0</v>
      </c>
      <c r="AD179" s="398">
        <v>0</v>
      </c>
      <c r="AE179" s="398">
        <v>0</v>
      </c>
      <c r="AF179" s="398">
        <v>0</v>
      </c>
      <c r="AG179" s="398">
        <v>0</v>
      </c>
      <c r="AH179" s="223">
        <f t="shared" si="135"/>
        <v>0</v>
      </c>
      <c r="AI179" s="398">
        <f t="shared" si="136"/>
        <v>0</v>
      </c>
      <c r="AJ179" s="294"/>
      <c r="AK179" s="398">
        <v>0</v>
      </c>
      <c r="AL179" s="398">
        <v>0</v>
      </c>
      <c r="AM179" s="398">
        <v>0</v>
      </c>
      <c r="AN179" s="294"/>
      <c r="AO179" s="398">
        <f t="shared" si="137"/>
        <v>0</v>
      </c>
      <c r="AP179" s="398">
        <f t="shared" si="138"/>
        <v>0</v>
      </c>
      <c r="AQ179" s="398">
        <f t="shared" si="139"/>
        <v>0</v>
      </c>
      <c r="AR179" s="293"/>
      <c r="AS179" s="293">
        <v>0</v>
      </c>
      <c r="AT179" s="576">
        <f t="shared" si="140"/>
        <v>0</v>
      </c>
      <c r="AU179" s="293"/>
      <c r="AV179" s="293">
        <v>0</v>
      </c>
      <c r="AW179" s="293">
        <v>0</v>
      </c>
      <c r="AX179" s="293">
        <v>0</v>
      </c>
      <c r="AY179" s="293">
        <v>0</v>
      </c>
      <c r="AZ179" s="293">
        <v>0</v>
      </c>
      <c r="BA179" s="293">
        <v>0</v>
      </c>
      <c r="BB179" s="293">
        <v>0</v>
      </c>
      <c r="BC179" s="293">
        <f t="shared" si="141"/>
        <v>0</v>
      </c>
      <c r="BE179" s="58">
        <f t="shared" si="142"/>
        <v>0</v>
      </c>
      <c r="BF179" s="58">
        <f t="shared" si="143"/>
        <v>0</v>
      </c>
      <c r="BG179" s="58">
        <f t="shared" si="144"/>
        <v>0</v>
      </c>
      <c r="BH179" s="58">
        <f t="shared" si="145"/>
        <v>0</v>
      </c>
      <c r="BI179" s="58">
        <f t="shared" si="146"/>
        <v>0</v>
      </c>
      <c r="BJ179" s="58">
        <f t="shared" si="147"/>
        <v>0</v>
      </c>
      <c r="BK179" s="58">
        <f t="shared" si="148"/>
        <v>0</v>
      </c>
      <c r="BL179" s="58">
        <f t="shared" si="149"/>
        <v>0</v>
      </c>
      <c r="BM179" s="33">
        <f t="shared" si="150"/>
        <v>0</v>
      </c>
      <c r="BN179" s="33"/>
      <c r="BO179" s="293">
        <f t="shared" si="174"/>
        <v>0</v>
      </c>
      <c r="BP179" s="293">
        <f t="shared" si="175"/>
        <v>0</v>
      </c>
      <c r="BQ179" s="293">
        <f t="shared" si="176"/>
        <v>0</v>
      </c>
      <c r="BR179" s="293">
        <f t="shared" si="177"/>
        <v>0</v>
      </c>
      <c r="BS179" s="293">
        <f t="shared" si="178"/>
        <v>0</v>
      </c>
      <c r="BT179" s="293">
        <f t="shared" si="179"/>
        <v>0</v>
      </c>
      <c r="BU179" s="293">
        <f t="shared" si="180"/>
        <v>0</v>
      </c>
      <c r="BV179" s="293">
        <f t="shared" si="129"/>
        <v>0</v>
      </c>
      <c r="BW179" s="293">
        <f t="shared" si="130"/>
        <v>0</v>
      </c>
      <c r="BX179" s="293">
        <v>0</v>
      </c>
      <c r="BY179" s="293">
        <v>0</v>
      </c>
      <c r="BZ179" s="293">
        <v>0</v>
      </c>
      <c r="CA179" s="293">
        <v>0</v>
      </c>
      <c r="CB179" s="293">
        <v>0</v>
      </c>
      <c r="CC179" s="293">
        <v>0</v>
      </c>
      <c r="CD179" s="293">
        <v>0</v>
      </c>
      <c r="CE179" s="293">
        <f t="shared" si="151"/>
        <v>0</v>
      </c>
      <c r="CF179" s="293"/>
      <c r="CG179" s="293">
        <v>0</v>
      </c>
      <c r="CH179" s="293">
        <v>0</v>
      </c>
      <c r="CI179" s="293">
        <v>0</v>
      </c>
      <c r="CJ179" s="293">
        <v>0</v>
      </c>
      <c r="CK179" s="293">
        <v>0</v>
      </c>
      <c r="CL179" s="293">
        <v>0</v>
      </c>
      <c r="CM179" s="293">
        <v>0</v>
      </c>
      <c r="CN179" s="293">
        <f t="shared" si="152"/>
        <v>0</v>
      </c>
      <c r="CO179" s="293"/>
      <c r="CP179" s="58">
        <f t="shared" si="153"/>
        <v>0</v>
      </c>
      <c r="CQ179" s="223">
        <f t="shared" si="154"/>
        <v>0</v>
      </c>
      <c r="CR179" s="223">
        <f t="shared" si="155"/>
        <v>0</v>
      </c>
      <c r="CS179" s="223">
        <f t="shared" si="156"/>
        <v>0</v>
      </c>
      <c r="CT179" s="223">
        <f t="shared" si="157"/>
        <v>0</v>
      </c>
      <c r="CU179" s="223">
        <f t="shared" si="158"/>
        <v>0</v>
      </c>
      <c r="CV179" s="223">
        <f t="shared" si="159"/>
        <v>0</v>
      </c>
      <c r="CW179" s="223">
        <f t="shared" si="160"/>
        <v>0</v>
      </c>
      <c r="CX179" s="223">
        <f t="shared" si="161"/>
        <v>0</v>
      </c>
      <c r="CY179" s="58">
        <f t="shared" si="162"/>
        <v>0</v>
      </c>
      <c r="CZ179" s="399">
        <f t="shared" si="163"/>
        <v>0</v>
      </c>
      <c r="DA179" s="399">
        <f t="shared" si="164"/>
        <v>0</v>
      </c>
      <c r="DB179" s="399">
        <f t="shared" si="165"/>
        <v>0</v>
      </c>
      <c r="DC179" s="399">
        <f t="shared" si="166"/>
        <v>0</v>
      </c>
      <c r="DD179" s="399">
        <f t="shared" si="167"/>
        <v>0</v>
      </c>
      <c r="DE179" s="399">
        <f t="shared" si="168"/>
        <v>0</v>
      </c>
      <c r="DF179" s="399">
        <f t="shared" si="169"/>
        <v>0</v>
      </c>
      <c r="DG179" s="399">
        <f t="shared" si="170"/>
        <v>0</v>
      </c>
      <c r="DI179" s="399"/>
      <c r="DJ179" s="399"/>
      <c r="DK179" s="399"/>
      <c r="DL179" s="399"/>
      <c r="DM179" s="399"/>
      <c r="DN179" s="399"/>
      <c r="DO179" s="399"/>
      <c r="DP179" s="399"/>
      <c r="DQ179" s="399"/>
      <c r="DS179" s="399"/>
      <c r="DT179" s="399"/>
      <c r="DU179" s="399"/>
      <c r="DV179" s="399"/>
      <c r="DW179" s="399"/>
      <c r="DX179" s="399"/>
      <c r="DY179" s="399"/>
      <c r="DZ179" s="399"/>
      <c r="EB179" s="228">
        <f t="shared" si="171"/>
        <v>0</v>
      </c>
      <c r="EC179" s="228">
        <f t="shared" si="172"/>
        <v>0</v>
      </c>
      <c r="ED179" s="214">
        <f t="shared" si="173"/>
        <v>0</v>
      </c>
    </row>
    <row r="180" spans="1:134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3" t="str">
        <f>VLOOKUP(A180,'Summary Mar 2026'!$A$8:$F$207,6,FALSE)</f>
        <v>Chq Bk</v>
      </c>
      <c r="G180" s="33"/>
      <c r="H180" s="223">
        <v>203087.25491126656</v>
      </c>
      <c r="I180" s="294"/>
      <c r="J180" s="223">
        <v>0</v>
      </c>
      <c r="K180" s="223">
        <v>66378</v>
      </c>
      <c r="L180" s="223">
        <v>80570.100000000006</v>
      </c>
      <c r="M180" s="223">
        <v>10335</v>
      </c>
      <c r="N180" s="223">
        <v>3430.6315789473683</v>
      </c>
      <c r="O180" s="223">
        <v>320.89473684210526</v>
      </c>
      <c r="P180" s="33">
        <f t="shared" si="131"/>
        <v>161034.62631578947</v>
      </c>
      <c r="Q180" s="223">
        <f t="shared" si="132"/>
        <v>128827.70105263159</v>
      </c>
      <c r="R180" s="294"/>
      <c r="S180" s="223">
        <v>0</v>
      </c>
      <c r="T180" s="223">
        <v>71356.349999999991</v>
      </c>
      <c r="U180" s="223">
        <v>27592.500000000004</v>
      </c>
      <c r="V180" s="223">
        <v>7605</v>
      </c>
      <c r="W180" s="223">
        <v>2684.8421052631579</v>
      </c>
      <c r="X180" s="223">
        <v>320.89473684210526</v>
      </c>
      <c r="Y180" s="223">
        <f t="shared" si="133"/>
        <v>109559.58684210526</v>
      </c>
      <c r="Z180" s="223">
        <f t="shared" si="134"/>
        <v>87647.669473684218</v>
      </c>
      <c r="AA180" s="294"/>
      <c r="AB180" s="398">
        <v>0</v>
      </c>
      <c r="AC180" s="398">
        <v>48856.357894736844</v>
      </c>
      <c r="AD180" s="398">
        <v>51797.936842105264</v>
      </c>
      <c r="AE180" s="398">
        <v>6536.8421052631575</v>
      </c>
      <c r="AF180" s="398">
        <v>2173.961218836565</v>
      </c>
      <c r="AG180" s="398">
        <v>187.0803324099723</v>
      </c>
      <c r="AH180" s="223">
        <f t="shared" si="135"/>
        <v>109552.1783933518</v>
      </c>
      <c r="AI180" s="398">
        <f t="shared" si="136"/>
        <v>87641.742714681444</v>
      </c>
      <c r="AJ180" s="294"/>
      <c r="AK180" s="398">
        <v>6210.75</v>
      </c>
      <c r="AL180" s="398">
        <v>4418.7</v>
      </c>
      <c r="AM180" s="398">
        <v>3948.8210526315788</v>
      </c>
      <c r="AN180" s="294"/>
      <c r="AO180" s="398">
        <f t="shared" si="137"/>
        <v>4968.6000000000004</v>
      </c>
      <c r="AP180" s="398">
        <f t="shared" si="138"/>
        <v>3534.96</v>
      </c>
      <c r="AQ180" s="398">
        <f t="shared" si="139"/>
        <v>3159.0568421052631</v>
      </c>
      <c r="AR180" s="293"/>
      <c r="AS180" s="293">
        <v>202654.51162375594</v>
      </c>
      <c r="AT180" s="576">
        <f t="shared" si="140"/>
        <v>-432.74328751061694</v>
      </c>
      <c r="AU180" s="293"/>
      <c r="AV180" s="293">
        <v>0</v>
      </c>
      <c r="AW180" s="293">
        <v>67724.399999999994</v>
      </c>
      <c r="AX180" s="293">
        <v>81490.415999999997</v>
      </c>
      <c r="AY180" s="293">
        <v>10335</v>
      </c>
      <c r="AZ180" s="293">
        <v>3952.6842105263158</v>
      </c>
      <c r="BA180" s="293">
        <v>320.89</v>
      </c>
      <c r="BB180" s="293">
        <v>5926.0499999999993</v>
      </c>
      <c r="BC180" s="293">
        <f t="shared" si="141"/>
        <v>372403.95183428226</v>
      </c>
      <c r="BE180" s="58">
        <f t="shared" si="142"/>
        <v>0</v>
      </c>
      <c r="BF180" s="58">
        <f t="shared" si="143"/>
        <v>1346.3999999999942</v>
      </c>
      <c r="BG180" s="58">
        <f t="shared" si="144"/>
        <v>920.31599999999162</v>
      </c>
      <c r="BH180" s="58">
        <f t="shared" si="145"/>
        <v>0</v>
      </c>
      <c r="BI180" s="58">
        <f t="shared" si="146"/>
        <v>522.05263157894751</v>
      </c>
      <c r="BJ180" s="58">
        <f t="shared" si="147"/>
        <v>-4.7368421052738086E-3</v>
      </c>
      <c r="BK180" s="58">
        <f t="shared" si="148"/>
        <v>-284.70000000000073</v>
      </c>
      <c r="BL180" s="58">
        <f t="shared" si="149"/>
        <v>2071.3206072262105</v>
      </c>
      <c r="BM180" s="33">
        <f t="shared" si="150"/>
        <v>0</v>
      </c>
      <c r="BN180" s="33"/>
      <c r="BO180" s="293">
        <f t="shared" si="174"/>
        <v>0</v>
      </c>
      <c r="BP180" s="293">
        <f t="shared" si="175"/>
        <v>14621.999999999993</v>
      </c>
      <c r="BQ180" s="293">
        <f t="shared" si="176"/>
        <v>17034.335999999988</v>
      </c>
      <c r="BR180" s="293">
        <f t="shared" si="177"/>
        <v>2067</v>
      </c>
      <c r="BS180" s="293">
        <f t="shared" si="178"/>
        <v>1208.1789473684212</v>
      </c>
      <c r="BT180" s="293">
        <f t="shared" si="179"/>
        <v>64.17421052631579</v>
      </c>
      <c r="BU180" s="293">
        <f t="shared" si="180"/>
        <v>957.44999999999891</v>
      </c>
      <c r="BV180" s="293">
        <f t="shared" si="129"/>
        <v>35520.395870384098</v>
      </c>
      <c r="BW180" s="293">
        <f t="shared" si="130"/>
        <v>-2.9103830456733704E-11</v>
      </c>
      <c r="BX180" s="293">
        <v>0</v>
      </c>
      <c r="BY180" s="293">
        <v>-4823.586000000003</v>
      </c>
      <c r="BZ180" s="293">
        <v>0</v>
      </c>
      <c r="CA180" s="293">
        <v>0</v>
      </c>
      <c r="CB180" s="293">
        <v>335.60526315789411</v>
      </c>
      <c r="CC180" s="293">
        <v>617.11</v>
      </c>
      <c r="CD180" s="293">
        <v>711.75</v>
      </c>
      <c r="CE180" s="293">
        <f t="shared" si="151"/>
        <v>-3159.1207368421087</v>
      </c>
      <c r="CF180" s="293"/>
      <c r="CG180" s="293">
        <v>0</v>
      </c>
      <c r="CH180" s="293">
        <v>61782.600000000006</v>
      </c>
      <c r="CI180" s="293">
        <v>62656.2</v>
      </c>
      <c r="CJ180" s="293">
        <v>8385</v>
      </c>
      <c r="CK180" s="293">
        <v>3655.86</v>
      </c>
      <c r="CL180" s="293">
        <v>3752</v>
      </c>
      <c r="CM180" s="293">
        <v>4859.3999999999996</v>
      </c>
      <c r="CN180" s="293">
        <f t="shared" si="152"/>
        <v>145091.05999999997</v>
      </c>
      <c r="CO180" s="293"/>
      <c r="CP180" s="58">
        <f t="shared" si="153"/>
        <v>0</v>
      </c>
      <c r="CQ180" s="223">
        <f t="shared" si="154"/>
        <v>-9573.7499999999854</v>
      </c>
      <c r="CR180" s="223">
        <f t="shared" si="155"/>
        <v>35063.699999999997</v>
      </c>
      <c r="CS180" s="223">
        <f t="shared" si="156"/>
        <v>780</v>
      </c>
      <c r="CT180" s="223">
        <f t="shared" si="157"/>
        <v>971.01789473684221</v>
      </c>
      <c r="CU180" s="223">
        <f t="shared" si="158"/>
        <v>3431.1052631578946</v>
      </c>
      <c r="CV180" s="223">
        <f t="shared" si="159"/>
        <v>440.69999999999982</v>
      </c>
      <c r="CW180" s="223">
        <f t="shared" si="160"/>
        <v>31112.773157894746</v>
      </c>
      <c r="CX180" s="223">
        <f t="shared" si="161"/>
        <v>0</v>
      </c>
      <c r="CY180" s="58">
        <f t="shared" si="162"/>
        <v>0</v>
      </c>
      <c r="CZ180" s="399">
        <f t="shared" si="163"/>
        <v>4697.5200000000114</v>
      </c>
      <c r="DA180" s="399">
        <f t="shared" si="164"/>
        <v>40582.199999999997</v>
      </c>
      <c r="DB180" s="399">
        <f t="shared" si="165"/>
        <v>2301</v>
      </c>
      <c r="DC180" s="399">
        <f t="shared" si="166"/>
        <v>1507.9863157894738</v>
      </c>
      <c r="DD180" s="399">
        <f t="shared" si="167"/>
        <v>3495.2842105263157</v>
      </c>
      <c r="DE180" s="399">
        <f t="shared" si="168"/>
        <v>1324.4399999999996</v>
      </c>
      <c r="DF180" s="399">
        <f t="shared" si="169"/>
        <v>53908.430526315802</v>
      </c>
      <c r="DG180" s="399">
        <f t="shared" si="170"/>
        <v>0</v>
      </c>
      <c r="DI180" s="399"/>
      <c r="DJ180" s="399"/>
      <c r="DK180" s="399"/>
      <c r="DL180" s="399"/>
      <c r="DM180" s="399"/>
      <c r="DN180" s="399"/>
      <c r="DO180" s="399"/>
      <c r="DP180" s="399"/>
      <c r="DQ180" s="399"/>
      <c r="DS180" s="399"/>
      <c r="DT180" s="399"/>
      <c r="DU180" s="399"/>
      <c r="DV180" s="399"/>
      <c r="DW180" s="399"/>
      <c r="DX180" s="399"/>
      <c r="DY180" s="399"/>
      <c r="DZ180" s="399"/>
      <c r="EB180" s="228">
        <f t="shared" si="171"/>
        <v>600297.02638829895</v>
      </c>
      <c r="EC180" s="228">
        <f t="shared" si="172"/>
        <v>4839.6642659279778</v>
      </c>
      <c r="ED180" s="214">
        <f t="shared" si="173"/>
        <v>605136.69065422693</v>
      </c>
    </row>
    <row r="181" spans="1:134" hidden="1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3" t="str">
        <f>VLOOKUP(A181,'Summary Mar 2026'!$A$8:$F$207,6,FALSE)</f>
        <v>Chq Bk</v>
      </c>
      <c r="G181" s="33"/>
      <c r="H181" s="223">
        <v>0</v>
      </c>
      <c r="I181" s="294"/>
      <c r="J181" s="223">
        <v>0</v>
      </c>
      <c r="K181" s="223">
        <v>0</v>
      </c>
      <c r="L181" s="223">
        <v>0</v>
      </c>
      <c r="M181" s="223">
        <v>0</v>
      </c>
      <c r="N181" s="223">
        <v>0</v>
      </c>
      <c r="O181" s="223">
        <v>0</v>
      </c>
      <c r="P181" s="33">
        <f t="shared" si="131"/>
        <v>0</v>
      </c>
      <c r="Q181" s="223">
        <f t="shared" si="132"/>
        <v>0</v>
      </c>
      <c r="R181" s="294"/>
      <c r="S181" s="223">
        <v>0</v>
      </c>
      <c r="T181" s="223">
        <v>0</v>
      </c>
      <c r="U181" s="223">
        <v>0</v>
      </c>
      <c r="V181" s="223">
        <v>0</v>
      </c>
      <c r="W181" s="223">
        <v>0</v>
      </c>
      <c r="X181" s="223">
        <v>0</v>
      </c>
      <c r="Y181" s="223">
        <f t="shared" si="133"/>
        <v>0</v>
      </c>
      <c r="Z181" s="223">
        <f t="shared" si="134"/>
        <v>0</v>
      </c>
      <c r="AA181" s="294"/>
      <c r="AB181" s="398">
        <v>0</v>
      </c>
      <c r="AC181" s="398">
        <v>0</v>
      </c>
      <c r="AD181" s="398">
        <v>0</v>
      </c>
      <c r="AE181" s="398">
        <v>0</v>
      </c>
      <c r="AF181" s="398">
        <v>0</v>
      </c>
      <c r="AG181" s="398">
        <v>0</v>
      </c>
      <c r="AH181" s="223">
        <f t="shared" si="135"/>
        <v>0</v>
      </c>
      <c r="AI181" s="398">
        <f t="shared" si="136"/>
        <v>0</v>
      </c>
      <c r="AJ181" s="294"/>
      <c r="AK181" s="398">
        <v>0</v>
      </c>
      <c r="AL181" s="398">
        <v>0</v>
      </c>
      <c r="AM181" s="398">
        <v>0</v>
      </c>
      <c r="AN181" s="294"/>
      <c r="AO181" s="398">
        <f t="shared" si="137"/>
        <v>0</v>
      </c>
      <c r="AP181" s="398">
        <f t="shared" si="138"/>
        <v>0</v>
      </c>
      <c r="AQ181" s="398">
        <f t="shared" si="139"/>
        <v>0</v>
      </c>
      <c r="AR181" s="293"/>
      <c r="AS181" s="293">
        <v>0</v>
      </c>
      <c r="AT181" s="576">
        <f t="shared" si="140"/>
        <v>0</v>
      </c>
      <c r="AU181" s="293"/>
      <c r="AV181" s="293">
        <v>0</v>
      </c>
      <c r="AW181" s="293">
        <v>0</v>
      </c>
      <c r="AX181" s="293">
        <v>0</v>
      </c>
      <c r="AY181" s="293">
        <v>0</v>
      </c>
      <c r="AZ181" s="293">
        <v>0</v>
      </c>
      <c r="BA181" s="293">
        <v>0</v>
      </c>
      <c r="BB181" s="293">
        <v>0</v>
      </c>
      <c r="BC181" s="293">
        <f t="shared" si="141"/>
        <v>0</v>
      </c>
      <c r="BE181" s="58">
        <f t="shared" si="142"/>
        <v>0</v>
      </c>
      <c r="BF181" s="58">
        <f t="shared" si="143"/>
        <v>0</v>
      </c>
      <c r="BG181" s="58">
        <f t="shared" si="144"/>
        <v>0</v>
      </c>
      <c r="BH181" s="58">
        <f t="shared" si="145"/>
        <v>0</v>
      </c>
      <c r="BI181" s="58">
        <f t="shared" si="146"/>
        <v>0</v>
      </c>
      <c r="BJ181" s="58">
        <f t="shared" si="147"/>
        <v>0</v>
      </c>
      <c r="BK181" s="58">
        <f t="shared" si="148"/>
        <v>0</v>
      </c>
      <c r="BL181" s="58">
        <f t="shared" si="149"/>
        <v>0</v>
      </c>
      <c r="BM181" s="33">
        <f t="shared" si="150"/>
        <v>0</v>
      </c>
      <c r="BN181" s="33"/>
      <c r="BO181" s="293">
        <f t="shared" si="174"/>
        <v>0</v>
      </c>
      <c r="BP181" s="293">
        <f t="shared" si="175"/>
        <v>0</v>
      </c>
      <c r="BQ181" s="293">
        <f t="shared" si="176"/>
        <v>0</v>
      </c>
      <c r="BR181" s="293">
        <f t="shared" si="177"/>
        <v>0</v>
      </c>
      <c r="BS181" s="293">
        <f t="shared" si="178"/>
        <v>0</v>
      </c>
      <c r="BT181" s="293">
        <f t="shared" si="179"/>
        <v>0</v>
      </c>
      <c r="BU181" s="293">
        <f t="shared" si="180"/>
        <v>0</v>
      </c>
      <c r="BV181" s="293">
        <f t="shared" si="129"/>
        <v>0</v>
      </c>
      <c r="BW181" s="293">
        <f t="shared" si="130"/>
        <v>0</v>
      </c>
      <c r="BX181" s="293">
        <v>0</v>
      </c>
      <c r="BY181" s="293">
        <v>0</v>
      </c>
      <c r="BZ181" s="293">
        <v>0</v>
      </c>
      <c r="CA181" s="293">
        <v>0</v>
      </c>
      <c r="CB181" s="293">
        <v>0</v>
      </c>
      <c r="CC181" s="293">
        <v>0</v>
      </c>
      <c r="CD181" s="293">
        <v>0</v>
      </c>
      <c r="CE181" s="293">
        <f t="shared" si="151"/>
        <v>0</v>
      </c>
      <c r="CF181" s="293"/>
      <c r="CG181" s="293">
        <v>0</v>
      </c>
      <c r="CH181" s="293">
        <v>0</v>
      </c>
      <c r="CI181" s="293">
        <v>0</v>
      </c>
      <c r="CJ181" s="293">
        <v>0</v>
      </c>
      <c r="CK181" s="293">
        <v>0</v>
      </c>
      <c r="CL181" s="293">
        <v>0</v>
      </c>
      <c r="CM181" s="293">
        <v>0</v>
      </c>
      <c r="CN181" s="293">
        <f t="shared" si="152"/>
        <v>0</v>
      </c>
      <c r="CO181" s="293"/>
      <c r="CP181" s="58">
        <f t="shared" si="153"/>
        <v>0</v>
      </c>
      <c r="CQ181" s="223">
        <f t="shared" si="154"/>
        <v>0</v>
      </c>
      <c r="CR181" s="223">
        <f t="shared" si="155"/>
        <v>0</v>
      </c>
      <c r="CS181" s="223">
        <f t="shared" si="156"/>
        <v>0</v>
      </c>
      <c r="CT181" s="223">
        <f t="shared" si="157"/>
        <v>0</v>
      </c>
      <c r="CU181" s="223">
        <f t="shared" si="158"/>
        <v>0</v>
      </c>
      <c r="CV181" s="223">
        <f t="shared" si="159"/>
        <v>0</v>
      </c>
      <c r="CW181" s="223">
        <f t="shared" si="160"/>
        <v>0</v>
      </c>
      <c r="CX181" s="223">
        <f t="shared" si="161"/>
        <v>0</v>
      </c>
      <c r="CY181" s="58">
        <f t="shared" si="162"/>
        <v>0</v>
      </c>
      <c r="CZ181" s="399">
        <f t="shared" si="163"/>
        <v>0</v>
      </c>
      <c r="DA181" s="399">
        <f t="shared" si="164"/>
        <v>0</v>
      </c>
      <c r="DB181" s="399">
        <f t="shared" si="165"/>
        <v>0</v>
      </c>
      <c r="DC181" s="399">
        <f t="shared" si="166"/>
        <v>0</v>
      </c>
      <c r="DD181" s="399">
        <f t="shared" si="167"/>
        <v>0</v>
      </c>
      <c r="DE181" s="399">
        <f t="shared" si="168"/>
        <v>0</v>
      </c>
      <c r="DF181" s="399">
        <f t="shared" si="169"/>
        <v>0</v>
      </c>
      <c r="DG181" s="399">
        <f t="shared" si="170"/>
        <v>0</v>
      </c>
      <c r="DI181" s="399"/>
      <c r="DJ181" s="399"/>
      <c r="DK181" s="399"/>
      <c r="DL181" s="399"/>
      <c r="DM181" s="399"/>
      <c r="DN181" s="399"/>
      <c r="DO181" s="399"/>
      <c r="DP181" s="399"/>
      <c r="DQ181" s="399"/>
      <c r="DS181" s="399"/>
      <c r="DT181" s="399"/>
      <c r="DU181" s="399"/>
      <c r="DV181" s="399"/>
      <c r="DW181" s="399"/>
      <c r="DX181" s="399"/>
      <c r="DY181" s="399"/>
      <c r="DZ181" s="399"/>
      <c r="EB181" s="228">
        <f t="shared" si="171"/>
        <v>0</v>
      </c>
      <c r="EC181" s="228">
        <f t="shared" si="172"/>
        <v>0</v>
      </c>
      <c r="ED181" s="214">
        <f t="shared" si="173"/>
        <v>0</v>
      </c>
    </row>
    <row r="182" spans="1:134" hidden="1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3" t="str">
        <f>VLOOKUP(A182,'Summary Mar 2026'!$A$8:$F$207,6,FALSE)</f>
        <v>Chq Bk</v>
      </c>
      <c r="G182" s="33"/>
      <c r="H182" s="223">
        <v>0</v>
      </c>
      <c r="I182" s="294"/>
      <c r="J182" s="223">
        <v>0</v>
      </c>
      <c r="K182" s="223">
        <v>0</v>
      </c>
      <c r="L182" s="223">
        <v>0</v>
      </c>
      <c r="M182" s="223">
        <v>0</v>
      </c>
      <c r="N182" s="223">
        <v>0</v>
      </c>
      <c r="O182" s="223">
        <v>0</v>
      </c>
      <c r="P182" s="33">
        <f t="shared" si="131"/>
        <v>0</v>
      </c>
      <c r="Q182" s="223">
        <f t="shared" si="132"/>
        <v>0</v>
      </c>
      <c r="R182" s="294"/>
      <c r="S182" s="223">
        <v>0</v>
      </c>
      <c r="T182" s="223">
        <v>0</v>
      </c>
      <c r="U182" s="223">
        <v>0</v>
      </c>
      <c r="V182" s="223">
        <v>0</v>
      </c>
      <c r="W182" s="223">
        <v>0</v>
      </c>
      <c r="X182" s="223">
        <v>0</v>
      </c>
      <c r="Y182" s="223">
        <f t="shared" si="133"/>
        <v>0</v>
      </c>
      <c r="Z182" s="223">
        <f t="shared" si="134"/>
        <v>0</v>
      </c>
      <c r="AA182" s="294"/>
      <c r="AB182" s="398">
        <v>0</v>
      </c>
      <c r="AC182" s="398">
        <v>0</v>
      </c>
      <c r="AD182" s="398">
        <v>0</v>
      </c>
      <c r="AE182" s="398">
        <v>0</v>
      </c>
      <c r="AF182" s="398">
        <v>0</v>
      </c>
      <c r="AG182" s="398">
        <v>0</v>
      </c>
      <c r="AH182" s="223">
        <f t="shared" si="135"/>
        <v>0</v>
      </c>
      <c r="AI182" s="398">
        <f t="shared" si="136"/>
        <v>0</v>
      </c>
      <c r="AJ182" s="294"/>
      <c r="AK182" s="398">
        <v>0</v>
      </c>
      <c r="AL182" s="398">
        <v>0</v>
      </c>
      <c r="AM182" s="398">
        <v>0</v>
      </c>
      <c r="AN182" s="294"/>
      <c r="AO182" s="398">
        <f t="shared" si="137"/>
        <v>0</v>
      </c>
      <c r="AP182" s="398">
        <f t="shared" si="138"/>
        <v>0</v>
      </c>
      <c r="AQ182" s="398">
        <f t="shared" si="139"/>
        <v>0</v>
      </c>
      <c r="AR182" s="293"/>
      <c r="AS182" s="293">
        <v>0</v>
      </c>
      <c r="AT182" s="576">
        <f t="shared" si="140"/>
        <v>0</v>
      </c>
      <c r="AU182" s="293"/>
      <c r="AV182" s="293">
        <v>0</v>
      </c>
      <c r="AW182" s="293">
        <v>0</v>
      </c>
      <c r="AX182" s="293">
        <v>0</v>
      </c>
      <c r="AY182" s="293">
        <v>0</v>
      </c>
      <c r="AZ182" s="293">
        <v>0</v>
      </c>
      <c r="BA182" s="293">
        <v>0</v>
      </c>
      <c r="BB182" s="293">
        <v>0</v>
      </c>
      <c r="BC182" s="293">
        <f t="shared" si="141"/>
        <v>0</v>
      </c>
      <c r="BE182" s="58">
        <f t="shared" si="142"/>
        <v>0</v>
      </c>
      <c r="BF182" s="58">
        <f t="shared" si="143"/>
        <v>0</v>
      </c>
      <c r="BG182" s="58">
        <f t="shared" si="144"/>
        <v>0</v>
      </c>
      <c r="BH182" s="58">
        <f t="shared" si="145"/>
        <v>0</v>
      </c>
      <c r="BI182" s="58">
        <f t="shared" si="146"/>
        <v>0</v>
      </c>
      <c r="BJ182" s="58">
        <f t="shared" si="147"/>
        <v>0</v>
      </c>
      <c r="BK182" s="58">
        <f t="shared" si="148"/>
        <v>0</v>
      </c>
      <c r="BL182" s="58">
        <f t="shared" si="149"/>
        <v>0</v>
      </c>
      <c r="BM182" s="33">
        <f t="shared" si="150"/>
        <v>0</v>
      </c>
      <c r="BN182" s="33"/>
      <c r="BO182" s="293">
        <f t="shared" si="174"/>
        <v>0</v>
      </c>
      <c r="BP182" s="293">
        <f t="shared" si="175"/>
        <v>0</v>
      </c>
      <c r="BQ182" s="293">
        <f t="shared" si="176"/>
        <v>0</v>
      </c>
      <c r="BR182" s="293">
        <f t="shared" si="177"/>
        <v>0</v>
      </c>
      <c r="BS182" s="293">
        <f t="shared" si="178"/>
        <v>0</v>
      </c>
      <c r="BT182" s="293">
        <f t="shared" si="179"/>
        <v>0</v>
      </c>
      <c r="BU182" s="293">
        <f t="shared" si="180"/>
        <v>0</v>
      </c>
      <c r="BV182" s="293">
        <f t="shared" si="129"/>
        <v>0</v>
      </c>
      <c r="BW182" s="293">
        <f t="shared" si="130"/>
        <v>0</v>
      </c>
      <c r="BX182" s="293">
        <v>0</v>
      </c>
      <c r="BY182" s="293">
        <v>0</v>
      </c>
      <c r="BZ182" s="293">
        <v>0</v>
      </c>
      <c r="CA182" s="293">
        <v>0</v>
      </c>
      <c r="CB182" s="293">
        <v>0</v>
      </c>
      <c r="CC182" s="293">
        <v>0</v>
      </c>
      <c r="CD182" s="293">
        <v>0</v>
      </c>
      <c r="CE182" s="293">
        <f t="shared" si="151"/>
        <v>0</v>
      </c>
      <c r="CF182" s="293"/>
      <c r="CG182" s="293">
        <v>0</v>
      </c>
      <c r="CH182" s="293">
        <v>0</v>
      </c>
      <c r="CI182" s="293">
        <v>0</v>
      </c>
      <c r="CJ182" s="293">
        <v>0</v>
      </c>
      <c r="CK182" s="293">
        <v>0</v>
      </c>
      <c r="CL182" s="293">
        <v>0</v>
      </c>
      <c r="CM182" s="293">
        <v>0</v>
      </c>
      <c r="CN182" s="293">
        <f t="shared" si="152"/>
        <v>0</v>
      </c>
      <c r="CO182" s="293"/>
      <c r="CP182" s="58">
        <f t="shared" si="153"/>
        <v>0</v>
      </c>
      <c r="CQ182" s="223">
        <f t="shared" si="154"/>
        <v>0</v>
      </c>
      <c r="CR182" s="223">
        <f t="shared" si="155"/>
        <v>0</v>
      </c>
      <c r="CS182" s="223">
        <f t="shared" si="156"/>
        <v>0</v>
      </c>
      <c r="CT182" s="223">
        <f t="shared" si="157"/>
        <v>0</v>
      </c>
      <c r="CU182" s="223">
        <f t="shared" si="158"/>
        <v>0</v>
      </c>
      <c r="CV182" s="223">
        <f t="shared" si="159"/>
        <v>0</v>
      </c>
      <c r="CW182" s="223">
        <f t="shared" si="160"/>
        <v>0</v>
      </c>
      <c r="CX182" s="223">
        <f t="shared" si="161"/>
        <v>0</v>
      </c>
      <c r="CY182" s="58">
        <f t="shared" si="162"/>
        <v>0</v>
      </c>
      <c r="CZ182" s="399">
        <f t="shared" si="163"/>
        <v>0</v>
      </c>
      <c r="DA182" s="399">
        <f t="shared" si="164"/>
        <v>0</v>
      </c>
      <c r="DB182" s="399">
        <f t="shared" si="165"/>
        <v>0</v>
      </c>
      <c r="DC182" s="399">
        <f t="shared" si="166"/>
        <v>0</v>
      </c>
      <c r="DD182" s="399">
        <f t="shared" si="167"/>
        <v>0</v>
      </c>
      <c r="DE182" s="399">
        <f t="shared" si="168"/>
        <v>0</v>
      </c>
      <c r="DF182" s="399">
        <f t="shared" si="169"/>
        <v>0</v>
      </c>
      <c r="DG182" s="399">
        <f t="shared" si="170"/>
        <v>0</v>
      </c>
      <c r="DI182" s="399"/>
      <c r="DJ182" s="399"/>
      <c r="DK182" s="399"/>
      <c r="DL182" s="399"/>
      <c r="DM182" s="399"/>
      <c r="DN182" s="399"/>
      <c r="DO182" s="399"/>
      <c r="DP182" s="399"/>
      <c r="DQ182" s="399"/>
      <c r="DS182" s="399"/>
      <c r="DT182" s="399"/>
      <c r="DU182" s="399"/>
      <c r="DV182" s="399"/>
      <c r="DW182" s="399"/>
      <c r="DX182" s="399"/>
      <c r="DY182" s="399"/>
      <c r="DZ182" s="399"/>
      <c r="EB182" s="228">
        <f t="shared" si="171"/>
        <v>0</v>
      </c>
      <c r="EC182" s="228">
        <f t="shared" si="172"/>
        <v>0</v>
      </c>
      <c r="ED182" s="214">
        <f t="shared" si="173"/>
        <v>0</v>
      </c>
    </row>
    <row r="183" spans="1:134" hidden="1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3" t="str">
        <f>VLOOKUP(A183,'Summary Mar 2026'!$A$8:$F$207,6,FALSE)</f>
        <v>Chq Bk</v>
      </c>
      <c r="G183" s="33"/>
      <c r="H183" s="223">
        <v>0</v>
      </c>
      <c r="I183" s="294"/>
      <c r="J183" s="223">
        <v>0</v>
      </c>
      <c r="K183" s="223">
        <v>0</v>
      </c>
      <c r="L183" s="223">
        <v>0</v>
      </c>
      <c r="M183" s="223">
        <v>0</v>
      </c>
      <c r="N183" s="223">
        <v>0</v>
      </c>
      <c r="O183" s="223">
        <v>0</v>
      </c>
      <c r="P183" s="33">
        <f t="shared" si="131"/>
        <v>0</v>
      </c>
      <c r="Q183" s="223">
        <f t="shared" si="132"/>
        <v>0</v>
      </c>
      <c r="R183" s="294"/>
      <c r="S183" s="223">
        <v>0</v>
      </c>
      <c r="T183" s="223">
        <v>0</v>
      </c>
      <c r="U183" s="223">
        <v>0</v>
      </c>
      <c r="V183" s="223">
        <v>0</v>
      </c>
      <c r="W183" s="223">
        <v>0</v>
      </c>
      <c r="X183" s="223">
        <v>0</v>
      </c>
      <c r="Y183" s="223">
        <f t="shared" si="133"/>
        <v>0</v>
      </c>
      <c r="Z183" s="223">
        <f t="shared" si="134"/>
        <v>0</v>
      </c>
      <c r="AA183" s="294"/>
      <c r="AB183" s="398">
        <v>0</v>
      </c>
      <c r="AC183" s="398">
        <v>0</v>
      </c>
      <c r="AD183" s="398">
        <v>0</v>
      </c>
      <c r="AE183" s="398">
        <v>0</v>
      </c>
      <c r="AF183" s="398">
        <v>0</v>
      </c>
      <c r="AG183" s="398">
        <v>0</v>
      </c>
      <c r="AH183" s="223">
        <f t="shared" si="135"/>
        <v>0</v>
      </c>
      <c r="AI183" s="398">
        <f t="shared" si="136"/>
        <v>0</v>
      </c>
      <c r="AJ183" s="294"/>
      <c r="AK183" s="398">
        <v>0</v>
      </c>
      <c r="AL183" s="398">
        <v>0</v>
      </c>
      <c r="AM183" s="398">
        <v>0</v>
      </c>
      <c r="AN183" s="294"/>
      <c r="AO183" s="398">
        <f t="shared" si="137"/>
        <v>0</v>
      </c>
      <c r="AP183" s="398">
        <f t="shared" si="138"/>
        <v>0</v>
      </c>
      <c r="AQ183" s="398">
        <f t="shared" si="139"/>
        <v>0</v>
      </c>
      <c r="AR183" s="293"/>
      <c r="AS183" s="293">
        <v>0</v>
      </c>
      <c r="AT183" s="576">
        <f t="shared" si="140"/>
        <v>0</v>
      </c>
      <c r="AU183" s="293"/>
      <c r="AV183" s="293">
        <v>0</v>
      </c>
      <c r="AW183" s="293">
        <v>0</v>
      </c>
      <c r="AX183" s="293">
        <v>0</v>
      </c>
      <c r="AY183" s="293">
        <v>0</v>
      </c>
      <c r="AZ183" s="293">
        <v>0</v>
      </c>
      <c r="BA183" s="293">
        <v>0</v>
      </c>
      <c r="BB183" s="293">
        <v>0</v>
      </c>
      <c r="BC183" s="293">
        <f t="shared" si="141"/>
        <v>0</v>
      </c>
      <c r="BE183" s="58">
        <f t="shared" si="142"/>
        <v>0</v>
      </c>
      <c r="BF183" s="58">
        <f t="shared" si="143"/>
        <v>0</v>
      </c>
      <c r="BG183" s="58">
        <f t="shared" si="144"/>
        <v>0</v>
      </c>
      <c r="BH183" s="58">
        <f t="shared" si="145"/>
        <v>0</v>
      </c>
      <c r="BI183" s="58">
        <f t="shared" si="146"/>
        <v>0</v>
      </c>
      <c r="BJ183" s="58">
        <f t="shared" si="147"/>
        <v>0</v>
      </c>
      <c r="BK183" s="58">
        <f t="shared" si="148"/>
        <v>0</v>
      </c>
      <c r="BL183" s="58">
        <f t="shared" si="149"/>
        <v>0</v>
      </c>
      <c r="BM183" s="33">
        <f t="shared" si="150"/>
        <v>0</v>
      </c>
      <c r="BN183" s="33"/>
      <c r="BO183" s="293">
        <f t="shared" si="174"/>
        <v>0</v>
      </c>
      <c r="BP183" s="293">
        <f t="shared" si="175"/>
        <v>0</v>
      </c>
      <c r="BQ183" s="293">
        <f t="shared" si="176"/>
        <v>0</v>
      </c>
      <c r="BR183" s="293">
        <f t="shared" si="177"/>
        <v>0</v>
      </c>
      <c r="BS183" s="293">
        <f t="shared" si="178"/>
        <v>0</v>
      </c>
      <c r="BT183" s="293">
        <f t="shared" si="179"/>
        <v>0</v>
      </c>
      <c r="BU183" s="293">
        <f t="shared" si="180"/>
        <v>0</v>
      </c>
      <c r="BV183" s="293">
        <f t="shared" si="129"/>
        <v>0</v>
      </c>
      <c r="BW183" s="293">
        <f t="shared" si="130"/>
        <v>0</v>
      </c>
      <c r="BX183" s="293">
        <v>0</v>
      </c>
      <c r="BY183" s="293">
        <v>0</v>
      </c>
      <c r="BZ183" s="293">
        <v>0</v>
      </c>
      <c r="CA183" s="293">
        <v>0</v>
      </c>
      <c r="CB183" s="293">
        <v>0</v>
      </c>
      <c r="CC183" s="293">
        <v>0</v>
      </c>
      <c r="CD183" s="293">
        <v>0</v>
      </c>
      <c r="CE183" s="293">
        <f t="shared" si="151"/>
        <v>0</v>
      </c>
      <c r="CF183" s="293"/>
      <c r="CG183" s="293">
        <v>0</v>
      </c>
      <c r="CH183" s="293">
        <v>0</v>
      </c>
      <c r="CI183" s="293">
        <v>0</v>
      </c>
      <c r="CJ183" s="293">
        <v>0</v>
      </c>
      <c r="CK183" s="293">
        <v>0</v>
      </c>
      <c r="CL183" s="293">
        <v>0</v>
      </c>
      <c r="CM183" s="293">
        <v>0</v>
      </c>
      <c r="CN183" s="293">
        <f t="shared" si="152"/>
        <v>0</v>
      </c>
      <c r="CO183" s="293"/>
      <c r="CP183" s="58">
        <f t="shared" si="153"/>
        <v>0</v>
      </c>
      <c r="CQ183" s="223">
        <f t="shared" si="154"/>
        <v>0</v>
      </c>
      <c r="CR183" s="223">
        <f t="shared" si="155"/>
        <v>0</v>
      </c>
      <c r="CS183" s="223">
        <f t="shared" si="156"/>
        <v>0</v>
      </c>
      <c r="CT183" s="223">
        <f t="shared" si="157"/>
        <v>0</v>
      </c>
      <c r="CU183" s="223">
        <f t="shared" si="158"/>
        <v>0</v>
      </c>
      <c r="CV183" s="223">
        <f t="shared" si="159"/>
        <v>0</v>
      </c>
      <c r="CW183" s="223">
        <f t="shared" si="160"/>
        <v>0</v>
      </c>
      <c r="CX183" s="223">
        <f t="shared" si="161"/>
        <v>0</v>
      </c>
      <c r="CY183" s="58">
        <f t="shared" si="162"/>
        <v>0</v>
      </c>
      <c r="CZ183" s="399">
        <f t="shared" si="163"/>
        <v>0</v>
      </c>
      <c r="DA183" s="399">
        <f t="shared" si="164"/>
        <v>0</v>
      </c>
      <c r="DB183" s="399">
        <f t="shared" si="165"/>
        <v>0</v>
      </c>
      <c r="DC183" s="399">
        <f t="shared" si="166"/>
        <v>0</v>
      </c>
      <c r="DD183" s="399">
        <f t="shared" si="167"/>
        <v>0</v>
      </c>
      <c r="DE183" s="399">
        <f t="shared" si="168"/>
        <v>0</v>
      </c>
      <c r="DF183" s="399">
        <f t="shared" si="169"/>
        <v>0</v>
      </c>
      <c r="DG183" s="399">
        <f t="shared" si="170"/>
        <v>0</v>
      </c>
      <c r="DI183" s="399"/>
      <c r="DJ183" s="399"/>
      <c r="DK183" s="399"/>
      <c r="DL183" s="399"/>
      <c r="DM183" s="399"/>
      <c r="DN183" s="399"/>
      <c r="DO183" s="399"/>
      <c r="DP183" s="399"/>
      <c r="DQ183" s="399"/>
      <c r="DS183" s="399"/>
      <c r="DT183" s="399"/>
      <c r="DU183" s="399"/>
      <c r="DV183" s="399"/>
      <c r="DW183" s="399"/>
      <c r="DX183" s="399"/>
      <c r="DY183" s="399"/>
      <c r="DZ183" s="399"/>
      <c r="EB183" s="228">
        <f t="shared" si="171"/>
        <v>0</v>
      </c>
      <c r="EC183" s="228">
        <f t="shared" si="172"/>
        <v>0</v>
      </c>
      <c r="ED183" s="214">
        <f t="shared" si="173"/>
        <v>0</v>
      </c>
    </row>
    <row r="184" spans="1:134" hidden="1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3" t="str">
        <f>VLOOKUP(A184,'Summary Mar 2026'!$A$8:$F$207,6,FALSE)</f>
        <v>Chq Bk</v>
      </c>
      <c r="G184" s="33"/>
      <c r="H184" s="223">
        <v>0</v>
      </c>
      <c r="I184" s="294"/>
      <c r="J184" s="223">
        <v>0</v>
      </c>
      <c r="K184" s="223">
        <v>0</v>
      </c>
      <c r="L184" s="223">
        <v>0</v>
      </c>
      <c r="M184" s="223">
        <v>0</v>
      </c>
      <c r="N184" s="223">
        <v>0</v>
      </c>
      <c r="O184" s="223">
        <v>0</v>
      </c>
      <c r="P184" s="33">
        <f t="shared" si="131"/>
        <v>0</v>
      </c>
      <c r="Q184" s="223">
        <f t="shared" si="132"/>
        <v>0</v>
      </c>
      <c r="R184" s="294"/>
      <c r="S184" s="223">
        <v>0</v>
      </c>
      <c r="T184" s="223">
        <v>0</v>
      </c>
      <c r="U184" s="223">
        <v>0</v>
      </c>
      <c r="V184" s="223">
        <v>0</v>
      </c>
      <c r="W184" s="223">
        <v>0</v>
      </c>
      <c r="X184" s="223">
        <v>0</v>
      </c>
      <c r="Y184" s="223">
        <f t="shared" si="133"/>
        <v>0</v>
      </c>
      <c r="Z184" s="223">
        <f t="shared" si="134"/>
        <v>0</v>
      </c>
      <c r="AA184" s="294"/>
      <c r="AB184" s="398">
        <v>0</v>
      </c>
      <c r="AC184" s="398">
        <v>0</v>
      </c>
      <c r="AD184" s="398">
        <v>0</v>
      </c>
      <c r="AE184" s="398">
        <v>0</v>
      </c>
      <c r="AF184" s="398">
        <v>0</v>
      </c>
      <c r="AG184" s="398">
        <v>0</v>
      </c>
      <c r="AH184" s="223">
        <f t="shared" si="135"/>
        <v>0</v>
      </c>
      <c r="AI184" s="398">
        <f t="shared" si="136"/>
        <v>0</v>
      </c>
      <c r="AJ184" s="294"/>
      <c r="AK184" s="398">
        <v>0</v>
      </c>
      <c r="AL184" s="398">
        <v>0</v>
      </c>
      <c r="AM184" s="398">
        <v>0</v>
      </c>
      <c r="AN184" s="294"/>
      <c r="AO184" s="398">
        <f t="shared" si="137"/>
        <v>0</v>
      </c>
      <c r="AP184" s="398">
        <f t="shared" si="138"/>
        <v>0</v>
      </c>
      <c r="AQ184" s="398">
        <f t="shared" si="139"/>
        <v>0</v>
      </c>
      <c r="AR184" s="293"/>
      <c r="AS184" s="293">
        <v>0</v>
      </c>
      <c r="AT184" s="576">
        <f t="shared" si="140"/>
        <v>0</v>
      </c>
      <c r="AU184" s="293"/>
      <c r="AV184" s="293">
        <v>0</v>
      </c>
      <c r="AW184" s="293">
        <v>0</v>
      </c>
      <c r="AX184" s="293">
        <v>0</v>
      </c>
      <c r="AY184" s="293">
        <v>0</v>
      </c>
      <c r="AZ184" s="293">
        <v>0</v>
      </c>
      <c r="BA184" s="293">
        <v>0</v>
      </c>
      <c r="BB184" s="293">
        <v>0</v>
      </c>
      <c r="BC184" s="293">
        <f t="shared" si="141"/>
        <v>0</v>
      </c>
      <c r="BE184" s="58">
        <f t="shared" si="142"/>
        <v>0</v>
      </c>
      <c r="BF184" s="58">
        <f t="shared" si="143"/>
        <v>0</v>
      </c>
      <c r="BG184" s="58">
        <f t="shared" si="144"/>
        <v>0</v>
      </c>
      <c r="BH184" s="58">
        <f t="shared" si="145"/>
        <v>0</v>
      </c>
      <c r="BI184" s="58">
        <f t="shared" si="146"/>
        <v>0</v>
      </c>
      <c r="BJ184" s="58">
        <f t="shared" si="147"/>
        <v>0</v>
      </c>
      <c r="BK184" s="58">
        <f t="shared" si="148"/>
        <v>0</v>
      </c>
      <c r="BL184" s="58">
        <f t="shared" si="149"/>
        <v>0</v>
      </c>
      <c r="BM184" s="33">
        <f t="shared" si="150"/>
        <v>0</v>
      </c>
      <c r="BN184" s="33"/>
      <c r="BO184" s="293">
        <f t="shared" si="174"/>
        <v>0</v>
      </c>
      <c r="BP184" s="293">
        <f t="shared" si="175"/>
        <v>0</v>
      </c>
      <c r="BQ184" s="293">
        <f t="shared" si="176"/>
        <v>0</v>
      </c>
      <c r="BR184" s="293">
        <f t="shared" si="177"/>
        <v>0</v>
      </c>
      <c r="BS184" s="293">
        <f t="shared" si="178"/>
        <v>0</v>
      </c>
      <c r="BT184" s="293">
        <f t="shared" si="179"/>
        <v>0</v>
      </c>
      <c r="BU184" s="293">
        <f t="shared" si="180"/>
        <v>0</v>
      </c>
      <c r="BV184" s="293">
        <f t="shared" si="129"/>
        <v>0</v>
      </c>
      <c r="BW184" s="293">
        <f t="shared" si="130"/>
        <v>0</v>
      </c>
      <c r="BX184" s="293">
        <v>0</v>
      </c>
      <c r="BY184" s="293">
        <v>0</v>
      </c>
      <c r="BZ184" s="293">
        <v>0</v>
      </c>
      <c r="CA184" s="293">
        <v>0</v>
      </c>
      <c r="CB184" s="293">
        <v>0</v>
      </c>
      <c r="CC184" s="293">
        <v>0</v>
      </c>
      <c r="CD184" s="293">
        <v>0</v>
      </c>
      <c r="CE184" s="293">
        <f t="shared" si="151"/>
        <v>0</v>
      </c>
      <c r="CF184" s="293"/>
      <c r="CG184" s="293">
        <v>0</v>
      </c>
      <c r="CH184" s="293">
        <v>0</v>
      </c>
      <c r="CI184" s="293">
        <v>0</v>
      </c>
      <c r="CJ184" s="293">
        <v>0</v>
      </c>
      <c r="CK184" s="293">
        <v>0</v>
      </c>
      <c r="CL184" s="293">
        <v>0</v>
      </c>
      <c r="CM184" s="293">
        <v>0</v>
      </c>
      <c r="CN184" s="293">
        <f t="shared" si="152"/>
        <v>0</v>
      </c>
      <c r="CO184" s="293"/>
      <c r="CP184" s="58">
        <f t="shared" si="153"/>
        <v>0</v>
      </c>
      <c r="CQ184" s="223">
        <f t="shared" si="154"/>
        <v>0</v>
      </c>
      <c r="CR184" s="223">
        <f t="shared" si="155"/>
        <v>0</v>
      </c>
      <c r="CS184" s="223">
        <f t="shared" si="156"/>
        <v>0</v>
      </c>
      <c r="CT184" s="223">
        <f t="shared" si="157"/>
        <v>0</v>
      </c>
      <c r="CU184" s="223">
        <f t="shared" si="158"/>
        <v>0</v>
      </c>
      <c r="CV184" s="223">
        <f t="shared" si="159"/>
        <v>0</v>
      </c>
      <c r="CW184" s="223">
        <f t="shared" si="160"/>
        <v>0</v>
      </c>
      <c r="CX184" s="223">
        <f t="shared" si="161"/>
        <v>0</v>
      </c>
      <c r="CY184" s="58">
        <f t="shared" si="162"/>
        <v>0</v>
      </c>
      <c r="CZ184" s="399">
        <f t="shared" si="163"/>
        <v>0</v>
      </c>
      <c r="DA184" s="399">
        <f t="shared" si="164"/>
        <v>0</v>
      </c>
      <c r="DB184" s="399">
        <f t="shared" si="165"/>
        <v>0</v>
      </c>
      <c r="DC184" s="399">
        <f t="shared" si="166"/>
        <v>0</v>
      </c>
      <c r="DD184" s="399">
        <f t="shared" si="167"/>
        <v>0</v>
      </c>
      <c r="DE184" s="399">
        <f t="shared" si="168"/>
        <v>0</v>
      </c>
      <c r="DF184" s="399">
        <f t="shared" si="169"/>
        <v>0</v>
      </c>
      <c r="DG184" s="399">
        <f t="shared" si="170"/>
        <v>0</v>
      </c>
      <c r="DI184" s="399"/>
      <c r="DJ184" s="399"/>
      <c r="DK184" s="399"/>
      <c r="DL184" s="399"/>
      <c r="DM184" s="399"/>
      <c r="DN184" s="399"/>
      <c r="DO184" s="399"/>
      <c r="DP184" s="399"/>
      <c r="DQ184" s="399"/>
      <c r="DS184" s="399"/>
      <c r="DT184" s="399"/>
      <c r="DU184" s="399"/>
      <c r="DV184" s="399"/>
      <c r="DW184" s="399"/>
      <c r="DX184" s="399"/>
      <c r="DY184" s="399"/>
      <c r="DZ184" s="399"/>
      <c r="EB184" s="228">
        <f t="shared" si="171"/>
        <v>0</v>
      </c>
      <c r="EC184" s="228">
        <f t="shared" si="172"/>
        <v>0</v>
      </c>
      <c r="ED184" s="214">
        <f t="shared" si="173"/>
        <v>0</v>
      </c>
    </row>
    <row r="185" spans="1:134" hidden="1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3" t="str">
        <f>VLOOKUP(A185,'Summary Mar 2026'!$A$8:$F$207,6,FALSE)</f>
        <v>Chq Bk</v>
      </c>
      <c r="G185" s="33"/>
      <c r="H185" s="223">
        <v>0</v>
      </c>
      <c r="I185" s="294"/>
      <c r="J185" s="223">
        <v>0</v>
      </c>
      <c r="K185" s="223">
        <v>0</v>
      </c>
      <c r="L185" s="223">
        <v>0</v>
      </c>
      <c r="M185" s="223">
        <v>0</v>
      </c>
      <c r="N185" s="223">
        <v>0</v>
      </c>
      <c r="O185" s="223">
        <v>0</v>
      </c>
      <c r="P185" s="33">
        <f t="shared" si="131"/>
        <v>0</v>
      </c>
      <c r="Q185" s="223">
        <f t="shared" si="132"/>
        <v>0</v>
      </c>
      <c r="R185" s="294"/>
      <c r="S185" s="223">
        <v>0</v>
      </c>
      <c r="T185" s="223">
        <v>0</v>
      </c>
      <c r="U185" s="223">
        <v>0</v>
      </c>
      <c r="V185" s="223">
        <v>0</v>
      </c>
      <c r="W185" s="223">
        <v>0</v>
      </c>
      <c r="X185" s="223">
        <v>0</v>
      </c>
      <c r="Y185" s="223">
        <f t="shared" si="133"/>
        <v>0</v>
      </c>
      <c r="Z185" s="223">
        <f t="shared" si="134"/>
        <v>0</v>
      </c>
      <c r="AA185" s="294"/>
      <c r="AB185" s="398">
        <v>0</v>
      </c>
      <c r="AC185" s="398">
        <v>0</v>
      </c>
      <c r="AD185" s="398">
        <v>0</v>
      </c>
      <c r="AE185" s="398">
        <v>0</v>
      </c>
      <c r="AF185" s="398">
        <v>0</v>
      </c>
      <c r="AG185" s="398">
        <v>0</v>
      </c>
      <c r="AH185" s="223">
        <f t="shared" si="135"/>
        <v>0</v>
      </c>
      <c r="AI185" s="398">
        <f t="shared" si="136"/>
        <v>0</v>
      </c>
      <c r="AJ185" s="294"/>
      <c r="AK185" s="398">
        <v>0</v>
      </c>
      <c r="AL185" s="398">
        <v>0</v>
      </c>
      <c r="AM185" s="398">
        <v>0</v>
      </c>
      <c r="AN185" s="294"/>
      <c r="AO185" s="398">
        <f t="shared" si="137"/>
        <v>0</v>
      </c>
      <c r="AP185" s="398">
        <f t="shared" si="138"/>
        <v>0</v>
      </c>
      <c r="AQ185" s="398">
        <f t="shared" si="139"/>
        <v>0</v>
      </c>
      <c r="AR185" s="293"/>
      <c r="AS185" s="293">
        <v>0</v>
      </c>
      <c r="AT185" s="576">
        <f t="shared" si="140"/>
        <v>0</v>
      </c>
      <c r="AU185" s="293"/>
      <c r="AV185" s="293">
        <v>0</v>
      </c>
      <c r="AW185" s="293">
        <v>0</v>
      </c>
      <c r="AX185" s="293">
        <v>0</v>
      </c>
      <c r="AY185" s="293">
        <v>0</v>
      </c>
      <c r="AZ185" s="293">
        <v>0</v>
      </c>
      <c r="BA185" s="293">
        <v>0</v>
      </c>
      <c r="BB185" s="293">
        <v>0</v>
      </c>
      <c r="BC185" s="293">
        <f t="shared" si="141"/>
        <v>0</v>
      </c>
      <c r="BE185" s="58">
        <f t="shared" si="142"/>
        <v>0</v>
      </c>
      <c r="BF185" s="58">
        <f t="shared" si="143"/>
        <v>0</v>
      </c>
      <c r="BG185" s="58">
        <f t="shared" si="144"/>
        <v>0</v>
      </c>
      <c r="BH185" s="58">
        <f t="shared" si="145"/>
        <v>0</v>
      </c>
      <c r="BI185" s="58">
        <f t="shared" si="146"/>
        <v>0</v>
      </c>
      <c r="BJ185" s="58">
        <f t="shared" si="147"/>
        <v>0</v>
      </c>
      <c r="BK185" s="58">
        <f t="shared" si="148"/>
        <v>0</v>
      </c>
      <c r="BL185" s="58">
        <f t="shared" si="149"/>
        <v>0</v>
      </c>
      <c r="BM185" s="33">
        <f t="shared" si="150"/>
        <v>0</v>
      </c>
      <c r="BN185" s="33"/>
      <c r="BO185" s="293">
        <f t="shared" si="174"/>
        <v>0</v>
      </c>
      <c r="BP185" s="293">
        <f t="shared" si="175"/>
        <v>0</v>
      </c>
      <c r="BQ185" s="293">
        <f t="shared" si="176"/>
        <v>0</v>
      </c>
      <c r="BR185" s="293">
        <f t="shared" si="177"/>
        <v>0</v>
      </c>
      <c r="BS185" s="293">
        <f t="shared" si="178"/>
        <v>0</v>
      </c>
      <c r="BT185" s="293">
        <f t="shared" si="179"/>
        <v>0</v>
      </c>
      <c r="BU185" s="293">
        <f t="shared" si="180"/>
        <v>0</v>
      </c>
      <c r="BV185" s="293">
        <f t="shared" si="129"/>
        <v>0</v>
      </c>
      <c r="BW185" s="293">
        <f t="shared" si="130"/>
        <v>0</v>
      </c>
      <c r="BX185" s="293">
        <v>0</v>
      </c>
      <c r="BY185" s="293">
        <v>0</v>
      </c>
      <c r="BZ185" s="293">
        <v>0</v>
      </c>
      <c r="CA185" s="293">
        <v>0</v>
      </c>
      <c r="CB185" s="293">
        <v>0</v>
      </c>
      <c r="CC185" s="293">
        <v>0</v>
      </c>
      <c r="CD185" s="293">
        <v>0</v>
      </c>
      <c r="CE185" s="293">
        <f t="shared" si="151"/>
        <v>0</v>
      </c>
      <c r="CF185" s="293"/>
      <c r="CG185" s="293">
        <v>0</v>
      </c>
      <c r="CH185" s="293">
        <v>0</v>
      </c>
      <c r="CI185" s="293">
        <v>0</v>
      </c>
      <c r="CJ185" s="293">
        <v>0</v>
      </c>
      <c r="CK185" s="293">
        <v>0</v>
      </c>
      <c r="CL185" s="293">
        <v>0</v>
      </c>
      <c r="CM185" s="293">
        <v>0</v>
      </c>
      <c r="CN185" s="293">
        <f t="shared" si="152"/>
        <v>0</v>
      </c>
      <c r="CO185" s="293"/>
      <c r="CP185" s="58">
        <f t="shared" si="153"/>
        <v>0</v>
      </c>
      <c r="CQ185" s="223">
        <f t="shared" si="154"/>
        <v>0</v>
      </c>
      <c r="CR185" s="223">
        <f t="shared" si="155"/>
        <v>0</v>
      </c>
      <c r="CS185" s="223">
        <f t="shared" si="156"/>
        <v>0</v>
      </c>
      <c r="CT185" s="223">
        <f t="shared" si="157"/>
        <v>0</v>
      </c>
      <c r="CU185" s="223">
        <f t="shared" si="158"/>
        <v>0</v>
      </c>
      <c r="CV185" s="223">
        <f t="shared" si="159"/>
        <v>0</v>
      </c>
      <c r="CW185" s="223">
        <f t="shared" si="160"/>
        <v>0</v>
      </c>
      <c r="CX185" s="223">
        <f t="shared" si="161"/>
        <v>0</v>
      </c>
      <c r="CY185" s="58">
        <f t="shared" si="162"/>
        <v>0</v>
      </c>
      <c r="CZ185" s="399">
        <f t="shared" si="163"/>
        <v>0</v>
      </c>
      <c r="DA185" s="399">
        <f t="shared" si="164"/>
        <v>0</v>
      </c>
      <c r="DB185" s="399">
        <f t="shared" si="165"/>
        <v>0</v>
      </c>
      <c r="DC185" s="399">
        <f t="shared" si="166"/>
        <v>0</v>
      </c>
      <c r="DD185" s="399">
        <f t="shared" si="167"/>
        <v>0</v>
      </c>
      <c r="DE185" s="399">
        <f t="shared" si="168"/>
        <v>0</v>
      </c>
      <c r="DF185" s="399">
        <f t="shared" si="169"/>
        <v>0</v>
      </c>
      <c r="DG185" s="399">
        <f t="shared" si="170"/>
        <v>0</v>
      </c>
      <c r="DI185" s="399"/>
      <c r="DJ185" s="399"/>
      <c r="DK185" s="399"/>
      <c r="DL185" s="399"/>
      <c r="DM185" s="399"/>
      <c r="DN185" s="399"/>
      <c r="DO185" s="399"/>
      <c r="DP185" s="399"/>
      <c r="DQ185" s="399"/>
      <c r="DS185" s="399"/>
      <c r="DT185" s="399"/>
      <c r="DU185" s="399"/>
      <c r="DV185" s="399"/>
      <c r="DW185" s="399"/>
      <c r="DX185" s="399"/>
      <c r="DY185" s="399"/>
      <c r="DZ185" s="399"/>
      <c r="EB185" s="228">
        <f t="shared" si="171"/>
        <v>0</v>
      </c>
      <c r="EC185" s="228">
        <f t="shared" si="172"/>
        <v>0</v>
      </c>
      <c r="ED185" s="214">
        <f t="shared" si="173"/>
        <v>0</v>
      </c>
    </row>
    <row r="186" spans="1:134" hidden="1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3" t="str">
        <f>VLOOKUP(A186,'Summary Mar 2026'!$A$8:$F$207,6,FALSE)</f>
        <v>Chq Bk</v>
      </c>
      <c r="G186" s="33"/>
      <c r="H186" s="223">
        <v>0</v>
      </c>
      <c r="I186" s="294"/>
      <c r="J186" s="223">
        <v>0</v>
      </c>
      <c r="K186" s="223">
        <v>0</v>
      </c>
      <c r="L186" s="223">
        <v>26488.799999999999</v>
      </c>
      <c r="M186" s="223">
        <v>585</v>
      </c>
      <c r="N186" s="223">
        <v>223.73684210526318</v>
      </c>
      <c r="O186" s="223">
        <v>0</v>
      </c>
      <c r="P186" s="33">
        <f t="shared" si="131"/>
        <v>27297.536842105263</v>
      </c>
      <c r="Q186" s="223">
        <f t="shared" si="132"/>
        <v>21838.029473684212</v>
      </c>
      <c r="R186" s="294"/>
      <c r="S186" s="223">
        <v>0</v>
      </c>
      <c r="T186" s="223">
        <v>0</v>
      </c>
      <c r="U186" s="223">
        <v>8829.6</v>
      </c>
      <c r="V186" s="223">
        <v>0</v>
      </c>
      <c r="W186" s="223">
        <v>0</v>
      </c>
      <c r="X186" s="223">
        <v>0</v>
      </c>
      <c r="Y186" s="223">
        <f t="shared" si="133"/>
        <v>8829.6</v>
      </c>
      <c r="Z186" s="223">
        <f t="shared" si="134"/>
        <v>7063.68</v>
      </c>
      <c r="AA186" s="294"/>
      <c r="AB186" s="398">
        <v>0</v>
      </c>
      <c r="AC186" s="398">
        <v>0</v>
      </c>
      <c r="AD186" s="398">
        <v>17694.947368421053</v>
      </c>
      <c r="AE186" s="398">
        <v>511.57894736842104</v>
      </c>
      <c r="AF186" s="398">
        <v>195.65650969529085</v>
      </c>
      <c r="AG186" s="398">
        <v>0</v>
      </c>
      <c r="AH186" s="223">
        <f t="shared" si="135"/>
        <v>18402.182825484764</v>
      </c>
      <c r="AI186" s="398">
        <f t="shared" si="136"/>
        <v>14721.746260387812</v>
      </c>
      <c r="AJ186" s="294"/>
      <c r="AK186" s="398">
        <v>232.04999999999998</v>
      </c>
      <c r="AL186" s="398">
        <v>113.1</v>
      </c>
      <c r="AM186" s="398">
        <v>151.76842105263157</v>
      </c>
      <c r="AN186" s="294"/>
      <c r="AO186" s="398">
        <f t="shared" si="137"/>
        <v>185.64</v>
      </c>
      <c r="AP186" s="398">
        <f t="shared" si="138"/>
        <v>90.48</v>
      </c>
      <c r="AQ186" s="398">
        <f t="shared" si="139"/>
        <v>121.41473684210526</v>
      </c>
      <c r="AR186" s="293"/>
      <c r="AS186" s="293">
        <v>0</v>
      </c>
      <c r="AT186" s="576">
        <f t="shared" si="140"/>
        <v>0</v>
      </c>
      <c r="AU186" s="293"/>
      <c r="AV186" s="293">
        <v>0</v>
      </c>
      <c r="AW186" s="293">
        <v>0</v>
      </c>
      <c r="AX186" s="293">
        <v>7725.9000000000005</v>
      </c>
      <c r="AY186" s="293">
        <v>0</v>
      </c>
      <c r="AZ186" s="293">
        <v>0</v>
      </c>
      <c r="BA186" s="293">
        <v>0</v>
      </c>
      <c r="BB186" s="293">
        <v>0</v>
      </c>
      <c r="BC186" s="293">
        <f t="shared" si="141"/>
        <v>7725.9000000000005</v>
      </c>
      <c r="BE186" s="58">
        <f t="shared" si="142"/>
        <v>0</v>
      </c>
      <c r="BF186" s="58">
        <f t="shared" si="143"/>
        <v>0</v>
      </c>
      <c r="BG186" s="58">
        <f t="shared" si="144"/>
        <v>-18762.899999999998</v>
      </c>
      <c r="BH186" s="58">
        <f t="shared" si="145"/>
        <v>-585</v>
      </c>
      <c r="BI186" s="58">
        <f t="shared" si="146"/>
        <v>-223.73684210526318</v>
      </c>
      <c r="BJ186" s="58">
        <f t="shared" si="147"/>
        <v>0</v>
      </c>
      <c r="BK186" s="58">
        <f t="shared" si="148"/>
        <v>-232.04999999999998</v>
      </c>
      <c r="BL186" s="58">
        <f t="shared" si="149"/>
        <v>-19803.68684210526</v>
      </c>
      <c r="BM186" s="33">
        <f t="shared" si="150"/>
        <v>0</v>
      </c>
      <c r="BN186" s="33"/>
      <c r="BO186" s="293">
        <f t="shared" si="174"/>
        <v>0</v>
      </c>
      <c r="BP186" s="293">
        <f t="shared" si="175"/>
        <v>0</v>
      </c>
      <c r="BQ186" s="293">
        <f t="shared" si="176"/>
        <v>-13465.14</v>
      </c>
      <c r="BR186" s="293">
        <f t="shared" si="177"/>
        <v>-468</v>
      </c>
      <c r="BS186" s="293">
        <f t="shared" si="178"/>
        <v>-178.98947368421057</v>
      </c>
      <c r="BT186" s="293">
        <f t="shared" si="179"/>
        <v>0</v>
      </c>
      <c r="BU186" s="293">
        <f t="shared" si="180"/>
        <v>-185.64</v>
      </c>
      <c r="BV186" s="293">
        <f t="shared" si="129"/>
        <v>-14297.76947368421</v>
      </c>
      <c r="BW186" s="293">
        <f t="shared" si="130"/>
        <v>9.0949470177292824E-13</v>
      </c>
      <c r="BX186" s="293">
        <v>0</v>
      </c>
      <c r="BY186" s="293">
        <v>0</v>
      </c>
      <c r="BZ186" s="293">
        <v>0</v>
      </c>
      <c r="CA186" s="293">
        <v>0</v>
      </c>
      <c r="CB186" s="293">
        <v>0</v>
      </c>
      <c r="CC186" s="293">
        <v>0</v>
      </c>
      <c r="CD186" s="293">
        <v>0</v>
      </c>
      <c r="CE186" s="293">
        <f t="shared" si="151"/>
        <v>0</v>
      </c>
      <c r="CF186" s="293"/>
      <c r="CG186" s="293">
        <v>0</v>
      </c>
      <c r="CH186" s="293">
        <v>0</v>
      </c>
      <c r="CI186" s="293">
        <v>3311.1</v>
      </c>
      <c r="CJ186" s="293">
        <v>0</v>
      </c>
      <c r="CK186" s="293">
        <v>0</v>
      </c>
      <c r="CL186" s="293">
        <v>0</v>
      </c>
      <c r="CM186" s="293">
        <v>31.2</v>
      </c>
      <c r="CN186" s="293">
        <f t="shared" si="152"/>
        <v>3342.2999999999997</v>
      </c>
      <c r="CO186" s="293"/>
      <c r="CP186" s="58">
        <f t="shared" si="153"/>
        <v>0</v>
      </c>
      <c r="CQ186" s="223">
        <f t="shared" si="154"/>
        <v>0</v>
      </c>
      <c r="CR186" s="223">
        <f t="shared" si="155"/>
        <v>-5518.5</v>
      </c>
      <c r="CS186" s="223">
        <f t="shared" si="156"/>
        <v>0</v>
      </c>
      <c r="CT186" s="223">
        <f t="shared" si="157"/>
        <v>0</v>
      </c>
      <c r="CU186" s="223">
        <f t="shared" si="158"/>
        <v>0</v>
      </c>
      <c r="CV186" s="223">
        <f t="shared" si="159"/>
        <v>-81.899999999999991</v>
      </c>
      <c r="CW186" s="223">
        <f t="shared" si="160"/>
        <v>-5600.4</v>
      </c>
      <c r="CX186" s="223">
        <f t="shared" si="161"/>
        <v>0</v>
      </c>
      <c r="CY186" s="58">
        <f t="shared" si="162"/>
        <v>0</v>
      </c>
      <c r="CZ186" s="399">
        <f t="shared" si="163"/>
        <v>0</v>
      </c>
      <c r="DA186" s="399">
        <f t="shared" si="164"/>
        <v>-3752.5800000000004</v>
      </c>
      <c r="DB186" s="399">
        <f t="shared" si="165"/>
        <v>0</v>
      </c>
      <c r="DC186" s="399">
        <f t="shared" si="166"/>
        <v>0</v>
      </c>
      <c r="DD186" s="399">
        <f t="shared" si="167"/>
        <v>0</v>
      </c>
      <c r="DE186" s="399">
        <f t="shared" si="168"/>
        <v>-59.28</v>
      </c>
      <c r="DF186" s="399">
        <f t="shared" si="169"/>
        <v>-3811.8600000000006</v>
      </c>
      <c r="DG186" s="399">
        <f t="shared" si="170"/>
        <v>0</v>
      </c>
      <c r="DI186" s="399"/>
      <c r="DJ186" s="399"/>
      <c r="DK186" s="399"/>
      <c r="DL186" s="399"/>
      <c r="DM186" s="399"/>
      <c r="DN186" s="399"/>
      <c r="DO186" s="399"/>
      <c r="DP186" s="399"/>
      <c r="DQ186" s="399"/>
      <c r="DS186" s="399"/>
      <c r="DT186" s="399"/>
      <c r="DU186" s="399"/>
      <c r="DV186" s="399"/>
      <c r="DW186" s="399"/>
      <c r="DX186" s="399"/>
      <c r="DY186" s="399"/>
      <c r="DZ186" s="399"/>
      <c r="EB186" s="228">
        <f t="shared" si="171"/>
        <v>25911.360997229916</v>
      </c>
      <c r="EC186" s="228">
        <f t="shared" si="172"/>
        <v>0</v>
      </c>
      <c r="ED186" s="214">
        <f t="shared" si="173"/>
        <v>25911.360997229916</v>
      </c>
    </row>
    <row r="187" spans="1:134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3" t="str">
        <f>VLOOKUP(A187,'Summary Mar 2026'!$A$8:$F$207,6,FALSE)</f>
        <v>Chq Bk</v>
      </c>
      <c r="G187" s="33"/>
      <c r="H187" s="223">
        <v>0</v>
      </c>
      <c r="I187" s="294"/>
      <c r="J187" s="223">
        <v>0</v>
      </c>
      <c r="K187" s="223">
        <v>0</v>
      </c>
      <c r="L187" s="223">
        <v>40262.976000000002</v>
      </c>
      <c r="M187" s="223">
        <v>1755</v>
      </c>
      <c r="N187" s="223">
        <v>671.21052631578948</v>
      </c>
      <c r="O187" s="223">
        <v>0</v>
      </c>
      <c r="P187" s="33">
        <f t="shared" si="131"/>
        <v>42689.186526315789</v>
      </c>
      <c r="Q187" s="223">
        <f t="shared" si="132"/>
        <v>34151.349221052631</v>
      </c>
      <c r="R187" s="294"/>
      <c r="S187" s="223">
        <v>0</v>
      </c>
      <c r="T187" s="223">
        <v>0</v>
      </c>
      <c r="U187" s="223">
        <v>46039.006000000001</v>
      </c>
      <c r="V187" s="223">
        <v>1170</v>
      </c>
      <c r="W187" s="223">
        <v>447.47368421052636</v>
      </c>
      <c r="X187" s="223">
        <v>0</v>
      </c>
      <c r="Y187" s="223">
        <f t="shared" si="133"/>
        <v>47656.479684210528</v>
      </c>
      <c r="Z187" s="223">
        <f t="shared" si="134"/>
        <v>38125.183747368421</v>
      </c>
      <c r="AA187" s="294"/>
      <c r="AB187" s="398">
        <v>0</v>
      </c>
      <c r="AC187" s="398">
        <v>0</v>
      </c>
      <c r="AD187" s="398">
        <v>36571.702736842104</v>
      </c>
      <c r="AE187" s="398">
        <v>1364.2105263157894</v>
      </c>
      <c r="AF187" s="398">
        <v>521.7506925207756</v>
      </c>
      <c r="AG187" s="398">
        <v>0</v>
      </c>
      <c r="AH187" s="223">
        <f t="shared" si="135"/>
        <v>38457.663955678669</v>
      </c>
      <c r="AI187" s="398">
        <f t="shared" si="136"/>
        <v>30766.131164542938</v>
      </c>
      <c r="AJ187" s="294"/>
      <c r="AK187" s="398">
        <v>150.15</v>
      </c>
      <c r="AL187" s="398">
        <v>134.55000000000001</v>
      </c>
      <c r="AM187" s="398">
        <v>126.75789473684208</v>
      </c>
      <c r="AN187" s="294"/>
      <c r="AO187" s="398">
        <f t="shared" si="137"/>
        <v>120.12</v>
      </c>
      <c r="AP187" s="398">
        <f t="shared" si="138"/>
        <v>107.64000000000001</v>
      </c>
      <c r="AQ187" s="398">
        <f t="shared" si="139"/>
        <v>101.40631578947367</v>
      </c>
      <c r="AR187" s="293"/>
      <c r="AS187" s="293">
        <v>0</v>
      </c>
      <c r="AT187" s="576">
        <f t="shared" si="140"/>
        <v>0</v>
      </c>
      <c r="AU187" s="293"/>
      <c r="AV187" s="293">
        <v>0</v>
      </c>
      <c r="AW187" s="293">
        <v>0</v>
      </c>
      <c r="AX187" s="293">
        <v>46465.77</v>
      </c>
      <c r="AY187" s="293">
        <v>1560</v>
      </c>
      <c r="AZ187" s="293">
        <v>596.63157894736844</v>
      </c>
      <c r="BA187" s="293">
        <v>0</v>
      </c>
      <c r="BB187" s="293">
        <v>191.1</v>
      </c>
      <c r="BC187" s="293">
        <f t="shared" si="141"/>
        <v>48813.501578947362</v>
      </c>
      <c r="BE187" s="58">
        <f t="shared" si="142"/>
        <v>0</v>
      </c>
      <c r="BF187" s="58">
        <f t="shared" si="143"/>
        <v>0</v>
      </c>
      <c r="BG187" s="58">
        <f t="shared" si="144"/>
        <v>6202.7939999999944</v>
      </c>
      <c r="BH187" s="58">
        <f t="shared" si="145"/>
        <v>-195</v>
      </c>
      <c r="BI187" s="58">
        <f t="shared" si="146"/>
        <v>-74.578947368421041</v>
      </c>
      <c r="BJ187" s="58">
        <f t="shared" si="147"/>
        <v>0</v>
      </c>
      <c r="BK187" s="58">
        <f t="shared" si="148"/>
        <v>40.949999999999989</v>
      </c>
      <c r="BL187" s="58">
        <f t="shared" si="149"/>
        <v>5974.1650526315734</v>
      </c>
      <c r="BM187" s="33">
        <f t="shared" si="150"/>
        <v>0</v>
      </c>
      <c r="BN187" s="33"/>
      <c r="BO187" s="293">
        <f t="shared" ref="BO187:BO207" si="181">AV187-(J187*80%)</f>
        <v>0</v>
      </c>
      <c r="BP187" s="293">
        <f t="shared" si="175"/>
        <v>0</v>
      </c>
      <c r="BQ187" s="293">
        <f t="shared" si="176"/>
        <v>14255.389199999994</v>
      </c>
      <c r="BR187" s="293">
        <f t="shared" si="177"/>
        <v>156</v>
      </c>
      <c r="BS187" s="293">
        <f t="shared" si="178"/>
        <v>59.663157894736855</v>
      </c>
      <c r="BT187" s="293">
        <f t="shared" si="179"/>
        <v>0</v>
      </c>
      <c r="BU187" s="293">
        <f t="shared" si="180"/>
        <v>70.97999999999999</v>
      </c>
      <c r="BV187" s="293">
        <f t="shared" si="129"/>
        <v>14542.03235789473</v>
      </c>
      <c r="BW187" s="293">
        <f t="shared" si="130"/>
        <v>0</v>
      </c>
      <c r="BX187" s="293">
        <v>0</v>
      </c>
      <c r="BY187" s="293">
        <v>0</v>
      </c>
      <c r="BZ187" s="293">
        <v>0</v>
      </c>
      <c r="CA187" s="293">
        <v>0</v>
      </c>
      <c r="CB187" s="293">
        <v>111.86842105263145</v>
      </c>
      <c r="CC187" s="293">
        <v>0</v>
      </c>
      <c r="CD187" s="293">
        <v>0</v>
      </c>
      <c r="CE187" s="293">
        <f t="shared" si="151"/>
        <v>111.86842105263145</v>
      </c>
      <c r="CF187" s="293"/>
      <c r="CG187" s="293">
        <v>0</v>
      </c>
      <c r="CH187" s="293">
        <v>0</v>
      </c>
      <c r="CI187" s="293">
        <v>24391.77</v>
      </c>
      <c r="CJ187" s="293">
        <v>975</v>
      </c>
      <c r="CK187" s="293">
        <v>373.1</v>
      </c>
      <c r="CL187" s="293">
        <v>0</v>
      </c>
      <c r="CM187" s="293">
        <v>294.45</v>
      </c>
      <c r="CN187" s="293">
        <f t="shared" si="152"/>
        <v>26034.32</v>
      </c>
      <c r="CO187" s="293"/>
      <c r="CP187" s="58">
        <f t="shared" si="153"/>
        <v>0</v>
      </c>
      <c r="CQ187" s="223">
        <f t="shared" si="154"/>
        <v>0</v>
      </c>
      <c r="CR187" s="223">
        <f t="shared" si="155"/>
        <v>-21647.236000000001</v>
      </c>
      <c r="CS187" s="223">
        <f t="shared" si="156"/>
        <v>-195</v>
      </c>
      <c r="CT187" s="223">
        <f t="shared" si="157"/>
        <v>-74.373684210526335</v>
      </c>
      <c r="CU187" s="223">
        <f t="shared" si="158"/>
        <v>0</v>
      </c>
      <c r="CV187" s="223">
        <f t="shared" si="159"/>
        <v>159.89999999999998</v>
      </c>
      <c r="CW187" s="223">
        <f t="shared" si="160"/>
        <v>-21756.709684210524</v>
      </c>
      <c r="CX187" s="223">
        <f t="shared" si="161"/>
        <v>0</v>
      </c>
      <c r="CY187" s="58">
        <f t="shared" si="162"/>
        <v>0</v>
      </c>
      <c r="CZ187" s="399">
        <f t="shared" si="163"/>
        <v>0</v>
      </c>
      <c r="DA187" s="399">
        <f t="shared" si="164"/>
        <v>-12439.434799999999</v>
      </c>
      <c r="DB187" s="399">
        <f t="shared" si="165"/>
        <v>39</v>
      </c>
      <c r="DC187" s="399">
        <f t="shared" si="166"/>
        <v>15.121052631578891</v>
      </c>
      <c r="DD187" s="399">
        <f t="shared" si="167"/>
        <v>0</v>
      </c>
      <c r="DE187" s="399">
        <f t="shared" si="168"/>
        <v>186.80999999999997</v>
      </c>
      <c r="DF187" s="399">
        <f t="shared" si="169"/>
        <v>-12198.503747368421</v>
      </c>
      <c r="DG187" s="399">
        <f t="shared" si="170"/>
        <v>0</v>
      </c>
      <c r="DI187" s="399"/>
      <c r="DJ187" s="399"/>
      <c r="DK187" s="399"/>
      <c r="DL187" s="399"/>
      <c r="DM187" s="399"/>
      <c r="DN187" s="399"/>
      <c r="DO187" s="399"/>
      <c r="DP187" s="399"/>
      <c r="DQ187" s="399"/>
      <c r="DS187" s="399"/>
      <c r="DT187" s="399"/>
      <c r="DU187" s="399"/>
      <c r="DV187" s="399"/>
      <c r="DW187" s="399"/>
      <c r="DX187" s="399"/>
      <c r="DY187" s="399"/>
      <c r="DZ187" s="399"/>
      <c r="EB187" s="228">
        <f t="shared" si="171"/>
        <v>105827.22748033241</v>
      </c>
      <c r="EC187" s="228">
        <f t="shared" si="172"/>
        <v>0</v>
      </c>
      <c r="ED187" s="214">
        <f t="shared" si="173"/>
        <v>105827.22748033241</v>
      </c>
    </row>
    <row r="188" spans="1:134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3" t="str">
        <f>VLOOKUP(A188,'Summary Mar 2026'!$A$8:$F$207,6,FALSE)</f>
        <v>Chq Bk</v>
      </c>
      <c r="G188" s="33"/>
      <c r="H188" s="223">
        <v>207290.77731782084</v>
      </c>
      <c r="I188" s="294"/>
      <c r="J188" s="223">
        <v>0</v>
      </c>
      <c r="K188" s="223">
        <v>43145.7</v>
      </c>
      <c r="L188" s="223">
        <v>81673.8</v>
      </c>
      <c r="M188" s="223">
        <v>8775</v>
      </c>
      <c r="N188" s="223">
        <v>3356.0526315789475</v>
      </c>
      <c r="O188" s="223">
        <v>0</v>
      </c>
      <c r="P188" s="33">
        <f t="shared" si="131"/>
        <v>136950.55263157896</v>
      </c>
      <c r="Q188" s="223">
        <f t="shared" si="132"/>
        <v>109560.44210526318</v>
      </c>
      <c r="R188" s="294"/>
      <c r="S188" s="223">
        <v>0</v>
      </c>
      <c r="T188" s="223">
        <v>66378</v>
      </c>
      <c r="U188" s="223">
        <v>48562.8</v>
      </c>
      <c r="V188" s="223">
        <v>8580</v>
      </c>
      <c r="W188" s="223">
        <v>3281.4736842105262</v>
      </c>
      <c r="X188" s="223">
        <v>0</v>
      </c>
      <c r="Y188" s="223">
        <f t="shared" si="133"/>
        <v>126802.27368421052</v>
      </c>
      <c r="Z188" s="223">
        <f t="shared" si="134"/>
        <v>101441.81894736842</v>
      </c>
      <c r="AA188" s="294"/>
      <c r="AB188" s="398">
        <v>0</v>
      </c>
      <c r="AC188" s="398">
        <v>38698.105263157893</v>
      </c>
      <c r="AD188" s="398">
        <v>59519.368421052641</v>
      </c>
      <c r="AE188" s="398">
        <v>6707.3684210526317</v>
      </c>
      <c r="AF188" s="398">
        <v>2565.2742382271467</v>
      </c>
      <c r="AG188" s="398">
        <v>0</v>
      </c>
      <c r="AH188" s="223">
        <f t="shared" si="135"/>
        <v>107490.11634349031</v>
      </c>
      <c r="AI188" s="398">
        <f t="shared" si="136"/>
        <v>85992.093074792254</v>
      </c>
      <c r="AJ188" s="294"/>
      <c r="AK188" s="398">
        <v>6002.1</v>
      </c>
      <c r="AL188" s="398">
        <v>4843.7999999999993</v>
      </c>
      <c r="AM188" s="398">
        <v>4358.6526315789479</v>
      </c>
      <c r="AN188" s="294"/>
      <c r="AO188" s="398">
        <f t="shared" si="137"/>
        <v>4801.68</v>
      </c>
      <c r="AP188" s="398">
        <f t="shared" si="138"/>
        <v>3875.0399999999995</v>
      </c>
      <c r="AQ188" s="398">
        <f t="shared" si="139"/>
        <v>3486.9221052631583</v>
      </c>
      <c r="AR188" s="293"/>
      <c r="AS188" s="293">
        <v>212980.19602382425</v>
      </c>
      <c r="AT188" s="576">
        <f t="shared" si="140"/>
        <v>5689.4187060034019</v>
      </c>
      <c r="AU188" s="293"/>
      <c r="AV188" s="293">
        <v>0</v>
      </c>
      <c r="AW188" s="293">
        <v>43145.7</v>
      </c>
      <c r="AX188" s="293">
        <v>76892.232000000004</v>
      </c>
      <c r="AY188" s="293">
        <v>11310</v>
      </c>
      <c r="AZ188" s="293">
        <v>3878.105263157895</v>
      </c>
      <c r="BA188" s="293">
        <v>320.89</v>
      </c>
      <c r="BB188" s="293">
        <v>5826.6</v>
      </c>
      <c r="BC188" s="293">
        <f t="shared" si="141"/>
        <v>354353.72328698216</v>
      </c>
      <c r="BE188" s="58">
        <f t="shared" si="142"/>
        <v>0</v>
      </c>
      <c r="BF188" s="58">
        <f t="shared" si="143"/>
        <v>0</v>
      </c>
      <c r="BG188" s="58">
        <f t="shared" si="144"/>
        <v>-4781.5679999999993</v>
      </c>
      <c r="BH188" s="58">
        <f t="shared" si="145"/>
        <v>2535</v>
      </c>
      <c r="BI188" s="58">
        <f t="shared" si="146"/>
        <v>522.05263157894751</v>
      </c>
      <c r="BJ188" s="58">
        <f t="shared" si="147"/>
        <v>320.89</v>
      </c>
      <c r="BK188" s="58">
        <f t="shared" si="148"/>
        <v>-175.5</v>
      </c>
      <c r="BL188" s="58">
        <f t="shared" si="149"/>
        <v>4110.2933375823504</v>
      </c>
      <c r="BM188" s="33">
        <f t="shared" si="150"/>
        <v>0</v>
      </c>
      <c r="BN188" s="33"/>
      <c r="BO188" s="293">
        <f t="shared" si="181"/>
        <v>0</v>
      </c>
      <c r="BP188" s="293">
        <f t="shared" ref="BP188:BP207" si="182">AW188-(K188*80%)</f>
        <v>8629.14</v>
      </c>
      <c r="BQ188" s="293">
        <f t="shared" ref="BQ188:BQ207" si="183">AX188-(L188*80%)</f>
        <v>11553.191999999995</v>
      </c>
      <c r="BR188" s="293">
        <f t="shared" ref="BR188:BR207" si="184">AY188-(M188*80%)</f>
        <v>4290</v>
      </c>
      <c r="BS188" s="293">
        <f t="shared" ref="BS188:BS207" si="185">AZ188-(N188*80%)</f>
        <v>1193.2631578947367</v>
      </c>
      <c r="BT188" s="293">
        <f t="shared" ref="BT188:BT207" si="186">BA188-(O188*80%)</f>
        <v>320.89</v>
      </c>
      <c r="BU188" s="293">
        <f t="shared" ref="BU188:BU207" si="187">BB188-(AK188*80%)</f>
        <v>1024.92</v>
      </c>
      <c r="BV188" s="293">
        <f t="shared" si="129"/>
        <v>32700.823863898135</v>
      </c>
      <c r="BW188" s="293">
        <f t="shared" si="130"/>
        <v>0</v>
      </c>
      <c r="BX188" s="293">
        <v>0</v>
      </c>
      <c r="BY188" s="293">
        <v>16594.5</v>
      </c>
      <c r="BZ188" s="293">
        <v>0</v>
      </c>
      <c r="CA188" s="293">
        <v>0</v>
      </c>
      <c r="CB188" s="293">
        <v>0</v>
      </c>
      <c r="CC188" s="293">
        <v>617.11</v>
      </c>
      <c r="CD188" s="293">
        <v>175.5</v>
      </c>
      <c r="CE188" s="293">
        <f t="shared" si="151"/>
        <v>17387.11</v>
      </c>
      <c r="CF188" s="293"/>
      <c r="CG188" s="293">
        <v>0</v>
      </c>
      <c r="CH188" s="293">
        <v>67526.849999999991</v>
      </c>
      <c r="CI188" s="293">
        <v>45421.500000000007</v>
      </c>
      <c r="CJ188" s="293">
        <v>8970</v>
      </c>
      <c r="CK188" s="293">
        <v>3283.28</v>
      </c>
      <c r="CL188" s="293">
        <v>0</v>
      </c>
      <c r="CM188" s="293">
        <v>4455.75</v>
      </c>
      <c r="CN188" s="293">
        <f t="shared" si="152"/>
        <v>129657.38</v>
      </c>
      <c r="CO188" s="293"/>
      <c r="CP188" s="58">
        <f t="shared" si="153"/>
        <v>0</v>
      </c>
      <c r="CQ188" s="223">
        <f t="shared" si="154"/>
        <v>1148.8499999999913</v>
      </c>
      <c r="CR188" s="223">
        <f t="shared" si="155"/>
        <v>-3141.2999999999956</v>
      </c>
      <c r="CS188" s="223">
        <f t="shared" si="156"/>
        <v>390</v>
      </c>
      <c r="CT188" s="223">
        <f t="shared" si="157"/>
        <v>1.8063157894739561</v>
      </c>
      <c r="CU188" s="223">
        <f t="shared" si="158"/>
        <v>0</v>
      </c>
      <c r="CV188" s="223">
        <f t="shared" si="159"/>
        <v>-388.04999999999927</v>
      </c>
      <c r="CW188" s="223">
        <f t="shared" si="160"/>
        <v>-1988.6936842105297</v>
      </c>
      <c r="CX188" s="223">
        <f t="shared" si="161"/>
        <v>0</v>
      </c>
      <c r="CY188" s="58">
        <f t="shared" si="162"/>
        <v>0</v>
      </c>
      <c r="CZ188" s="399">
        <f t="shared" si="163"/>
        <v>14424.44999999999</v>
      </c>
      <c r="DA188" s="399">
        <f t="shared" si="164"/>
        <v>6571.260000000002</v>
      </c>
      <c r="DB188" s="399">
        <f t="shared" si="165"/>
        <v>2106</v>
      </c>
      <c r="DC188" s="399">
        <f t="shared" si="166"/>
        <v>658.10105263157902</v>
      </c>
      <c r="DD188" s="399">
        <f t="shared" si="167"/>
        <v>0</v>
      </c>
      <c r="DE188" s="399">
        <f t="shared" si="168"/>
        <v>580.71000000000049</v>
      </c>
      <c r="DF188" s="399">
        <f t="shared" si="169"/>
        <v>24340.521052631571</v>
      </c>
      <c r="DG188" s="399">
        <f t="shared" si="170"/>
        <v>0</v>
      </c>
      <c r="DI188" s="399"/>
      <c r="DJ188" s="399"/>
      <c r="DK188" s="399"/>
      <c r="DL188" s="399"/>
      <c r="DM188" s="399"/>
      <c r="DN188" s="399"/>
      <c r="DO188" s="399"/>
      <c r="DP188" s="399"/>
      <c r="DQ188" s="399"/>
      <c r="DS188" s="399"/>
      <c r="DT188" s="399"/>
      <c r="DU188" s="399"/>
      <c r="DV188" s="399"/>
      <c r="DW188" s="399"/>
      <c r="DX188" s="399"/>
      <c r="DY188" s="399"/>
      <c r="DZ188" s="399"/>
      <c r="EB188" s="228">
        <f t="shared" si="171"/>
        <v>589939.22846703767</v>
      </c>
      <c r="EC188" s="228">
        <f t="shared" si="172"/>
        <v>938</v>
      </c>
      <c r="ED188" s="214">
        <f t="shared" si="173"/>
        <v>590877.22846703767</v>
      </c>
    </row>
    <row r="189" spans="1:134" hidden="1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3" t="str">
        <f>VLOOKUP(A189,'Summary Mar 2026'!$A$8:$F$207,6,FALSE)</f>
        <v>Chq Bk</v>
      </c>
      <c r="G189" s="33"/>
      <c r="H189" s="223">
        <v>0</v>
      </c>
      <c r="I189" s="294"/>
      <c r="J189" s="223">
        <v>0</v>
      </c>
      <c r="K189" s="223">
        <v>0</v>
      </c>
      <c r="L189" s="223">
        <v>16555.5</v>
      </c>
      <c r="M189" s="223">
        <v>975</v>
      </c>
      <c r="N189" s="223">
        <v>0</v>
      </c>
      <c r="O189" s="223">
        <v>0</v>
      </c>
      <c r="P189" s="33">
        <f t="shared" si="131"/>
        <v>17530.5</v>
      </c>
      <c r="Q189" s="223">
        <f t="shared" si="132"/>
        <v>14024.400000000001</v>
      </c>
      <c r="R189" s="294"/>
      <c r="S189" s="223">
        <v>0</v>
      </c>
      <c r="T189" s="223">
        <v>0</v>
      </c>
      <c r="U189" s="223">
        <v>16555.5</v>
      </c>
      <c r="V189" s="223">
        <v>1170</v>
      </c>
      <c r="W189" s="223">
        <v>0</v>
      </c>
      <c r="X189" s="223">
        <v>0</v>
      </c>
      <c r="Y189" s="223">
        <f t="shared" si="133"/>
        <v>17725.5</v>
      </c>
      <c r="Z189" s="223">
        <f t="shared" si="134"/>
        <v>14180.400000000001</v>
      </c>
      <c r="AA189" s="294"/>
      <c r="AB189" s="398">
        <v>0</v>
      </c>
      <c r="AC189" s="398">
        <v>0</v>
      </c>
      <c r="AD189" s="398">
        <v>14477.684210526317</v>
      </c>
      <c r="AE189" s="398">
        <v>852.63157894736844</v>
      </c>
      <c r="AF189" s="398">
        <v>0</v>
      </c>
      <c r="AG189" s="398">
        <v>0</v>
      </c>
      <c r="AH189" s="223">
        <f t="shared" si="135"/>
        <v>15330.315789473685</v>
      </c>
      <c r="AI189" s="398">
        <f t="shared" si="136"/>
        <v>12264.252631578949</v>
      </c>
      <c r="AJ189" s="294"/>
      <c r="AK189" s="398">
        <v>181.35</v>
      </c>
      <c r="AL189" s="398">
        <v>347.1</v>
      </c>
      <c r="AM189" s="398">
        <v>206.90526315789475</v>
      </c>
      <c r="AN189" s="294"/>
      <c r="AO189" s="398">
        <f t="shared" si="137"/>
        <v>145.08000000000001</v>
      </c>
      <c r="AP189" s="398">
        <f t="shared" si="138"/>
        <v>277.68</v>
      </c>
      <c r="AQ189" s="398">
        <f t="shared" si="139"/>
        <v>165.52421052631581</v>
      </c>
      <c r="AR189" s="293"/>
      <c r="AS189" s="293">
        <v>0</v>
      </c>
      <c r="AT189" s="576">
        <f t="shared" si="140"/>
        <v>0</v>
      </c>
      <c r="AU189" s="293"/>
      <c r="AV189" s="293">
        <v>0</v>
      </c>
      <c r="AW189" s="293">
        <v>0</v>
      </c>
      <c r="AX189" s="293">
        <v>17659.2</v>
      </c>
      <c r="AY189" s="293">
        <v>1365</v>
      </c>
      <c r="AZ189" s="293">
        <v>0</v>
      </c>
      <c r="BA189" s="293">
        <v>0</v>
      </c>
      <c r="BB189" s="293">
        <v>362.7</v>
      </c>
      <c r="BC189" s="293">
        <f t="shared" si="141"/>
        <v>19386.900000000001</v>
      </c>
      <c r="BE189" s="58">
        <f t="shared" si="142"/>
        <v>0</v>
      </c>
      <c r="BF189" s="58">
        <f t="shared" si="143"/>
        <v>0</v>
      </c>
      <c r="BG189" s="58">
        <f t="shared" si="144"/>
        <v>1103.7000000000007</v>
      </c>
      <c r="BH189" s="58">
        <f t="shared" si="145"/>
        <v>390</v>
      </c>
      <c r="BI189" s="58">
        <f t="shared" si="146"/>
        <v>0</v>
      </c>
      <c r="BJ189" s="58">
        <f t="shared" si="147"/>
        <v>0</v>
      </c>
      <c r="BK189" s="58">
        <f t="shared" si="148"/>
        <v>181.35</v>
      </c>
      <c r="BL189" s="58">
        <f t="shared" si="149"/>
        <v>1675.0500000000006</v>
      </c>
      <c r="BM189" s="33">
        <f t="shared" si="150"/>
        <v>0</v>
      </c>
      <c r="BN189" s="33"/>
      <c r="BO189" s="293">
        <f t="shared" si="181"/>
        <v>0</v>
      </c>
      <c r="BP189" s="293">
        <f t="shared" si="182"/>
        <v>0</v>
      </c>
      <c r="BQ189" s="293">
        <f t="shared" si="183"/>
        <v>4414.7999999999993</v>
      </c>
      <c r="BR189" s="293">
        <f t="shared" si="184"/>
        <v>585</v>
      </c>
      <c r="BS189" s="293">
        <f t="shared" si="185"/>
        <v>0</v>
      </c>
      <c r="BT189" s="293">
        <f t="shared" si="186"/>
        <v>0</v>
      </c>
      <c r="BU189" s="293">
        <f t="shared" si="187"/>
        <v>217.61999999999998</v>
      </c>
      <c r="BV189" s="293">
        <f t="shared" si="129"/>
        <v>5217.4199999999992</v>
      </c>
      <c r="BW189" s="293">
        <f t="shared" si="130"/>
        <v>0</v>
      </c>
      <c r="BX189" s="293">
        <v>0</v>
      </c>
      <c r="BY189" s="293">
        <v>0</v>
      </c>
      <c r="BZ189" s="293">
        <v>0</v>
      </c>
      <c r="CA189" s="293">
        <v>0</v>
      </c>
      <c r="CB189" s="293">
        <v>0</v>
      </c>
      <c r="CC189" s="293">
        <v>0</v>
      </c>
      <c r="CD189" s="293">
        <v>0</v>
      </c>
      <c r="CE189" s="293">
        <f t="shared" si="151"/>
        <v>0</v>
      </c>
      <c r="CF189" s="293"/>
      <c r="CG189" s="293">
        <v>0</v>
      </c>
      <c r="CH189" s="293">
        <v>0</v>
      </c>
      <c r="CI189" s="293">
        <v>0</v>
      </c>
      <c r="CJ189" s="293">
        <v>0</v>
      </c>
      <c r="CK189" s="293">
        <v>0</v>
      </c>
      <c r="CL189" s="293">
        <v>0</v>
      </c>
      <c r="CM189" s="293">
        <v>0</v>
      </c>
      <c r="CN189" s="293">
        <f t="shared" si="152"/>
        <v>0</v>
      </c>
      <c r="CO189" s="293"/>
      <c r="CP189" s="58">
        <f t="shared" si="153"/>
        <v>0</v>
      </c>
      <c r="CQ189" s="223">
        <f t="shared" si="154"/>
        <v>0</v>
      </c>
      <c r="CR189" s="223">
        <f t="shared" si="155"/>
        <v>-16555.5</v>
      </c>
      <c r="CS189" s="223">
        <f t="shared" si="156"/>
        <v>-1170</v>
      </c>
      <c r="CT189" s="223">
        <f t="shared" si="157"/>
        <v>0</v>
      </c>
      <c r="CU189" s="223">
        <f t="shared" si="158"/>
        <v>0</v>
      </c>
      <c r="CV189" s="223">
        <f t="shared" si="159"/>
        <v>-347.1</v>
      </c>
      <c r="CW189" s="223">
        <f t="shared" si="160"/>
        <v>-18072.599999999999</v>
      </c>
      <c r="CX189" s="223">
        <f t="shared" si="161"/>
        <v>1.4779288903810084E-12</v>
      </c>
      <c r="CY189" s="58">
        <f t="shared" si="162"/>
        <v>0</v>
      </c>
      <c r="CZ189" s="399">
        <f t="shared" si="163"/>
        <v>0</v>
      </c>
      <c r="DA189" s="399">
        <f t="shared" si="164"/>
        <v>-13244.400000000001</v>
      </c>
      <c r="DB189" s="399">
        <f t="shared" si="165"/>
        <v>-936</v>
      </c>
      <c r="DC189" s="399">
        <f t="shared" si="166"/>
        <v>0</v>
      </c>
      <c r="DD189" s="399">
        <f t="shared" si="167"/>
        <v>0</v>
      </c>
      <c r="DE189" s="399">
        <f t="shared" si="168"/>
        <v>-277.68</v>
      </c>
      <c r="DF189" s="399">
        <f t="shared" si="169"/>
        <v>-14458.080000000002</v>
      </c>
      <c r="DG189" s="399">
        <f t="shared" si="170"/>
        <v>-2.8421709430404007E-13</v>
      </c>
      <c r="DI189" s="399"/>
      <c r="DJ189" s="399"/>
      <c r="DK189" s="399"/>
      <c r="DL189" s="399"/>
      <c r="DM189" s="399"/>
      <c r="DN189" s="399"/>
      <c r="DO189" s="399"/>
      <c r="DP189" s="399"/>
      <c r="DQ189" s="399"/>
      <c r="DS189" s="399"/>
      <c r="DT189" s="399"/>
      <c r="DU189" s="399"/>
      <c r="DV189" s="399"/>
      <c r="DW189" s="399"/>
      <c r="DX189" s="399"/>
      <c r="DY189" s="399"/>
      <c r="DZ189" s="399"/>
      <c r="EB189" s="228">
        <f t="shared" si="171"/>
        <v>31816.676842105266</v>
      </c>
      <c r="EC189" s="228">
        <f t="shared" si="172"/>
        <v>0</v>
      </c>
      <c r="ED189" s="214">
        <f t="shared" si="173"/>
        <v>31816.676842105266</v>
      </c>
    </row>
    <row r="190" spans="1:134" s="378" customFormat="1" hidden="1">
      <c r="A190" s="777">
        <v>3431</v>
      </c>
      <c r="B190" s="446">
        <v>134774</v>
      </c>
      <c r="C190" s="446" t="s">
        <v>396</v>
      </c>
      <c r="D190" s="446" t="s">
        <v>397</v>
      </c>
      <c r="E190" s="372" t="s">
        <v>32</v>
      </c>
      <c r="F190" s="812" t="str">
        <f>VLOOKUP(A190,'Summary Mar 2026'!$A$8:$F$207,6,FALSE)</f>
        <v>Academy</v>
      </c>
      <c r="G190" s="813"/>
      <c r="H190" s="814">
        <v>0</v>
      </c>
      <c r="I190" s="814"/>
      <c r="J190" s="814">
        <v>0</v>
      </c>
      <c r="K190" s="814">
        <v>0</v>
      </c>
      <c r="L190" s="814">
        <v>82777.5</v>
      </c>
      <c r="M190" s="814">
        <v>1365</v>
      </c>
      <c r="N190" s="814">
        <v>0</v>
      </c>
      <c r="O190" s="814">
        <v>0</v>
      </c>
      <c r="P190" s="813">
        <f t="shared" si="131"/>
        <v>84142.5</v>
      </c>
      <c r="Q190" s="814">
        <f t="shared" si="132"/>
        <v>67314</v>
      </c>
      <c r="R190" s="814"/>
      <c r="S190" s="814"/>
      <c r="T190" s="814"/>
      <c r="U190" s="814"/>
      <c r="V190" s="814"/>
      <c r="W190" s="814"/>
      <c r="X190" s="814"/>
      <c r="Y190" s="814"/>
      <c r="Z190" s="814"/>
      <c r="AA190" s="814"/>
      <c r="AB190" s="815"/>
      <c r="AC190" s="815"/>
      <c r="AD190" s="815"/>
      <c r="AE190" s="815"/>
      <c r="AF190" s="815"/>
      <c r="AG190" s="815"/>
      <c r="AH190" s="814"/>
      <c r="AI190" s="815"/>
      <c r="AJ190" s="814"/>
      <c r="AK190" s="815">
        <v>1023.75</v>
      </c>
      <c r="AL190" s="815"/>
      <c r="AM190" s="815"/>
      <c r="AN190" s="814"/>
      <c r="AO190" s="815">
        <f t="shared" si="137"/>
        <v>819</v>
      </c>
      <c r="AP190" s="815">
        <f t="shared" si="138"/>
        <v>0</v>
      </c>
      <c r="AQ190" s="815">
        <f t="shared" si="139"/>
        <v>0</v>
      </c>
      <c r="AR190" s="816"/>
      <c r="AS190" s="816">
        <v>0</v>
      </c>
      <c r="AT190" s="817">
        <f t="shared" si="140"/>
        <v>0</v>
      </c>
      <c r="AU190" s="816"/>
      <c r="AV190" s="816">
        <v>0</v>
      </c>
      <c r="AW190" s="816">
        <v>0</v>
      </c>
      <c r="AX190" s="816">
        <v>80570.100000000006</v>
      </c>
      <c r="AY190" s="816">
        <v>780</v>
      </c>
      <c r="AZ190" s="816">
        <v>298.31578947368422</v>
      </c>
      <c r="BA190" s="816">
        <v>320.89</v>
      </c>
      <c r="BB190" s="816">
        <v>698.09999999999991</v>
      </c>
      <c r="BC190" s="816">
        <f t="shared" si="141"/>
        <v>82667.405789473691</v>
      </c>
      <c r="BE190" s="824">
        <f t="shared" si="142"/>
        <v>0</v>
      </c>
      <c r="BF190" s="824">
        <f t="shared" si="143"/>
        <v>0</v>
      </c>
      <c r="BG190" s="824">
        <f t="shared" si="144"/>
        <v>-2207.3999999999942</v>
      </c>
      <c r="BH190" s="824">
        <f t="shared" si="145"/>
        <v>-585</v>
      </c>
      <c r="BI190" s="824">
        <f t="shared" si="146"/>
        <v>298.31578947368422</v>
      </c>
      <c r="BJ190" s="824">
        <f t="shared" si="147"/>
        <v>320.89</v>
      </c>
      <c r="BK190" s="824">
        <f t="shared" si="148"/>
        <v>-325.65000000000009</v>
      </c>
      <c r="BL190" s="824">
        <f t="shared" si="149"/>
        <v>-2498.8442105263102</v>
      </c>
      <c r="BM190" s="813">
        <f t="shared" si="150"/>
        <v>0</v>
      </c>
      <c r="BN190" s="813"/>
      <c r="BO190" s="816">
        <f t="shared" si="181"/>
        <v>0</v>
      </c>
      <c r="BP190" s="816">
        <f t="shared" si="182"/>
        <v>0</v>
      </c>
      <c r="BQ190" s="816">
        <f t="shared" si="183"/>
        <v>14348.100000000006</v>
      </c>
      <c r="BR190" s="816">
        <f t="shared" si="184"/>
        <v>-312</v>
      </c>
      <c r="BS190" s="816">
        <f t="shared" si="185"/>
        <v>298.31578947368422</v>
      </c>
      <c r="BT190" s="816">
        <f t="shared" si="186"/>
        <v>320.89</v>
      </c>
      <c r="BU190" s="816">
        <f t="shared" si="187"/>
        <v>-120.90000000000009</v>
      </c>
      <c r="BV190" s="816">
        <f t="shared" si="129"/>
        <v>14534.405789473691</v>
      </c>
      <c r="BW190" s="816">
        <f t="shared" si="130"/>
        <v>0</v>
      </c>
      <c r="BX190" s="293"/>
      <c r="BY190" s="293"/>
      <c r="BZ190" s="293"/>
      <c r="CA190" s="293"/>
      <c r="CB190" s="293"/>
      <c r="CC190" s="293"/>
      <c r="CD190" s="293"/>
      <c r="CE190" s="293"/>
      <c r="CF190" s="293"/>
      <c r="CG190" s="293"/>
      <c r="CH190" s="293">
        <v>0</v>
      </c>
      <c r="CI190" s="293"/>
      <c r="CJ190" s="293"/>
      <c r="CK190" s="293"/>
      <c r="CL190" s="293"/>
      <c r="CM190" s="293"/>
      <c r="CN190" s="293"/>
      <c r="CO190" s="293"/>
      <c r="CP190" s="58"/>
      <c r="CQ190" s="223"/>
      <c r="CR190" s="223"/>
      <c r="CS190" s="223"/>
      <c r="CT190" s="223"/>
      <c r="CU190" s="223"/>
      <c r="CV190" s="223"/>
      <c r="CW190" s="223"/>
      <c r="CX190" s="223">
        <f t="shared" si="161"/>
        <v>0</v>
      </c>
      <c r="CY190" s="58">
        <f t="shared" si="162"/>
        <v>0</v>
      </c>
      <c r="CZ190" s="399">
        <f t="shared" si="163"/>
        <v>0</v>
      </c>
      <c r="DA190" s="399">
        <f t="shared" si="164"/>
        <v>0</v>
      </c>
      <c r="DB190" s="399">
        <f t="shared" si="165"/>
        <v>0</v>
      </c>
      <c r="DC190" s="399">
        <f t="shared" si="166"/>
        <v>0</v>
      </c>
      <c r="DD190" s="399">
        <f t="shared" si="167"/>
        <v>0</v>
      </c>
      <c r="DE190" s="399">
        <f t="shared" si="168"/>
        <v>0</v>
      </c>
      <c r="DF190" s="399">
        <f t="shared" si="169"/>
        <v>0</v>
      </c>
      <c r="DG190" s="399">
        <f t="shared" si="170"/>
        <v>0</v>
      </c>
      <c r="DH190"/>
      <c r="DI190" s="818"/>
      <c r="DJ190" s="818"/>
      <c r="DK190" s="818"/>
      <c r="DL190" s="818"/>
      <c r="DM190" s="818"/>
      <c r="DN190" s="818"/>
      <c r="DO190" s="818"/>
      <c r="DP190" s="818"/>
      <c r="DQ190" s="818"/>
      <c r="DS190" s="818"/>
      <c r="DT190" s="818"/>
      <c r="DU190" s="818"/>
      <c r="DV190" s="818"/>
      <c r="DW190" s="818"/>
      <c r="DX190" s="818"/>
      <c r="DY190" s="818"/>
      <c r="DZ190" s="818"/>
      <c r="EB190" s="228">
        <f t="shared" si="171"/>
        <v>82346.515789473691</v>
      </c>
      <c r="EC190" s="228">
        <f t="shared" si="172"/>
        <v>320.89</v>
      </c>
      <c r="ED190" s="778">
        <f t="shared" si="173"/>
        <v>82667.405789473691</v>
      </c>
    </row>
    <row r="191" spans="1:134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3" t="str">
        <f>VLOOKUP(A191,'Summary Mar 2026'!$A$8:$F$207,6,FALSE)</f>
        <v>Chq Bk</v>
      </c>
      <c r="G191" s="33"/>
      <c r="H191" s="223">
        <v>203311.90064820071</v>
      </c>
      <c r="I191" s="294"/>
      <c r="J191" s="223">
        <v>0</v>
      </c>
      <c r="K191" s="223">
        <v>41486.25</v>
      </c>
      <c r="L191" s="223">
        <v>79466.400000000009</v>
      </c>
      <c r="M191" s="223">
        <v>9945</v>
      </c>
      <c r="N191" s="223">
        <v>1939.0526315789475</v>
      </c>
      <c r="O191" s="223">
        <v>1283.578947368421</v>
      </c>
      <c r="P191" s="33">
        <f t="shared" si="131"/>
        <v>134120.28157894738</v>
      </c>
      <c r="Q191" s="223">
        <f t="shared" si="132"/>
        <v>107296.22526315792</v>
      </c>
      <c r="R191" s="294"/>
      <c r="S191" s="223">
        <v>0</v>
      </c>
      <c r="T191" s="223">
        <v>54761.85</v>
      </c>
      <c r="U191" s="223">
        <v>44148.000000000007</v>
      </c>
      <c r="V191" s="223">
        <v>4680</v>
      </c>
      <c r="W191" s="223">
        <v>1044.1052631578948</v>
      </c>
      <c r="X191" s="223">
        <v>1604.4736842105262</v>
      </c>
      <c r="Y191" s="223">
        <f t="shared" si="133"/>
        <v>106238.42894736842</v>
      </c>
      <c r="Z191" s="223">
        <f t="shared" si="134"/>
        <v>84990.743157894743</v>
      </c>
      <c r="AA191" s="294"/>
      <c r="AB191" s="398">
        <v>0</v>
      </c>
      <c r="AC191" s="398">
        <v>39665.557894736841</v>
      </c>
      <c r="AD191" s="398">
        <v>53728.294736842101</v>
      </c>
      <c r="AE191" s="398">
        <v>6536.8421052631575</v>
      </c>
      <c r="AF191" s="398">
        <v>1282.6371191135734</v>
      </c>
      <c r="AG191" s="398">
        <v>841.86149584487532</v>
      </c>
      <c r="AH191" s="223">
        <f t="shared" si="135"/>
        <v>102055.19335180055</v>
      </c>
      <c r="AI191" s="398">
        <f t="shared" si="136"/>
        <v>81644.154681440443</v>
      </c>
      <c r="AJ191" s="294"/>
      <c r="AK191" s="398">
        <v>7778.5499999999993</v>
      </c>
      <c r="AL191" s="398">
        <v>5604.2999999999993</v>
      </c>
      <c r="AM191" s="398">
        <v>5284.0421052631573</v>
      </c>
      <c r="AN191" s="294"/>
      <c r="AO191" s="398">
        <f t="shared" si="137"/>
        <v>6222.84</v>
      </c>
      <c r="AP191" s="398">
        <f t="shared" si="138"/>
        <v>4483.4399999999996</v>
      </c>
      <c r="AQ191" s="398">
        <f t="shared" si="139"/>
        <v>4227.233684210526</v>
      </c>
      <c r="AR191" s="293"/>
      <c r="AS191" s="293">
        <v>209251.10676641593</v>
      </c>
      <c r="AT191" s="576">
        <f t="shared" si="140"/>
        <v>5939.2061182152247</v>
      </c>
      <c r="AU191" s="293"/>
      <c r="AV191" s="293">
        <v>0</v>
      </c>
      <c r="AW191" s="293">
        <v>41486.25</v>
      </c>
      <c r="AX191" s="293">
        <v>83881.200000000012</v>
      </c>
      <c r="AY191" s="293">
        <v>14430</v>
      </c>
      <c r="AZ191" s="293">
        <v>1939.0526315789475</v>
      </c>
      <c r="BA191" s="293">
        <v>1925.34</v>
      </c>
      <c r="BB191" s="293">
        <v>8901.75</v>
      </c>
      <c r="BC191" s="293">
        <f t="shared" si="141"/>
        <v>361814.6993979949</v>
      </c>
      <c r="BE191" s="58">
        <f t="shared" si="142"/>
        <v>0</v>
      </c>
      <c r="BF191" s="58">
        <f t="shared" si="143"/>
        <v>0</v>
      </c>
      <c r="BG191" s="58">
        <f t="shared" si="144"/>
        <v>4414.8000000000029</v>
      </c>
      <c r="BH191" s="58">
        <f t="shared" si="145"/>
        <v>4485</v>
      </c>
      <c r="BI191" s="58">
        <f t="shared" si="146"/>
        <v>0</v>
      </c>
      <c r="BJ191" s="58">
        <f t="shared" si="147"/>
        <v>641.76105263157888</v>
      </c>
      <c r="BK191" s="58">
        <f t="shared" si="148"/>
        <v>1123.2000000000007</v>
      </c>
      <c r="BL191" s="58">
        <f t="shared" si="149"/>
        <v>16603.967170846809</v>
      </c>
      <c r="BM191" s="33">
        <f t="shared" si="150"/>
        <v>0</v>
      </c>
      <c r="BN191" s="33"/>
      <c r="BO191" s="293">
        <f t="shared" si="181"/>
        <v>0</v>
      </c>
      <c r="BP191" s="293">
        <f t="shared" si="182"/>
        <v>8297.25</v>
      </c>
      <c r="BQ191" s="293">
        <f t="shared" si="183"/>
        <v>20308.080000000002</v>
      </c>
      <c r="BR191" s="293">
        <f t="shared" si="184"/>
        <v>6474</v>
      </c>
      <c r="BS191" s="293">
        <f t="shared" si="185"/>
        <v>387.8105263157895</v>
      </c>
      <c r="BT191" s="293">
        <f t="shared" si="186"/>
        <v>898.47684210526313</v>
      </c>
      <c r="BU191" s="293">
        <f t="shared" si="187"/>
        <v>2678.91</v>
      </c>
      <c r="BV191" s="293">
        <f t="shared" si="129"/>
        <v>44983.73348663628</v>
      </c>
      <c r="BW191" s="293">
        <f t="shared" si="130"/>
        <v>0</v>
      </c>
      <c r="BX191" s="293">
        <v>0</v>
      </c>
      <c r="BY191" s="293">
        <v>24891.75</v>
      </c>
      <c r="BZ191" s="293">
        <v>0</v>
      </c>
      <c r="CA191" s="293">
        <v>0</v>
      </c>
      <c r="CB191" s="293">
        <v>335.60526315789457</v>
      </c>
      <c r="CC191" s="293">
        <v>3702.66</v>
      </c>
      <c r="CD191" s="293">
        <v>444.59999999999854</v>
      </c>
      <c r="CE191" s="293">
        <f t="shared" si="151"/>
        <v>29374.615263157892</v>
      </c>
      <c r="CF191" s="293"/>
      <c r="CG191" s="293">
        <v>0</v>
      </c>
      <c r="CH191" s="293">
        <v>64718.55</v>
      </c>
      <c r="CI191" s="293">
        <v>58496.100000000006</v>
      </c>
      <c r="CJ191" s="293">
        <v>10140</v>
      </c>
      <c r="CK191" s="293">
        <v>1119.3</v>
      </c>
      <c r="CL191" s="293">
        <v>938</v>
      </c>
      <c r="CM191" s="293">
        <v>7236.45</v>
      </c>
      <c r="CN191" s="293">
        <f t="shared" si="152"/>
        <v>142648.40000000002</v>
      </c>
      <c r="CO191" s="293"/>
      <c r="CP191" s="58">
        <f t="shared" si="153"/>
        <v>0</v>
      </c>
      <c r="CQ191" s="223">
        <f t="shared" si="154"/>
        <v>9956.7000000000044</v>
      </c>
      <c r="CR191" s="223">
        <f t="shared" si="155"/>
        <v>14348.099999999999</v>
      </c>
      <c r="CS191" s="223">
        <f t="shared" si="156"/>
        <v>5460</v>
      </c>
      <c r="CT191" s="223">
        <f t="shared" si="157"/>
        <v>75.194736842105158</v>
      </c>
      <c r="CU191" s="223">
        <f t="shared" si="158"/>
        <v>-666.47368421052624</v>
      </c>
      <c r="CV191" s="223">
        <f t="shared" si="159"/>
        <v>1632.1500000000005</v>
      </c>
      <c r="CW191" s="223">
        <f t="shared" si="160"/>
        <v>30805.671052631584</v>
      </c>
      <c r="CX191" s="223">
        <f t="shared" si="161"/>
        <v>0</v>
      </c>
      <c r="CY191" s="58">
        <f t="shared" si="162"/>
        <v>0</v>
      </c>
      <c r="CZ191" s="399">
        <f t="shared" si="163"/>
        <v>20909.07</v>
      </c>
      <c r="DA191" s="399">
        <f t="shared" si="164"/>
        <v>23177.699999999997</v>
      </c>
      <c r="DB191" s="399">
        <f t="shared" si="165"/>
        <v>6396</v>
      </c>
      <c r="DC191" s="399">
        <f t="shared" si="166"/>
        <v>284.01578947368409</v>
      </c>
      <c r="DD191" s="399">
        <f t="shared" si="167"/>
        <v>-345.57894736842104</v>
      </c>
      <c r="DE191" s="399">
        <f t="shared" si="168"/>
        <v>2753.01</v>
      </c>
      <c r="DF191" s="399">
        <f t="shared" si="169"/>
        <v>53174.216842105263</v>
      </c>
      <c r="DG191" s="399">
        <f t="shared" si="170"/>
        <v>0</v>
      </c>
      <c r="DI191" s="399"/>
      <c r="DJ191" s="399"/>
      <c r="DK191" s="399"/>
      <c r="DL191" s="399"/>
      <c r="DM191" s="399"/>
      <c r="DN191" s="399"/>
      <c r="DO191" s="399"/>
      <c r="DP191" s="399"/>
      <c r="DQ191" s="399"/>
      <c r="DS191" s="399"/>
      <c r="DT191" s="399"/>
      <c r="DU191" s="399"/>
      <c r="DV191" s="399"/>
      <c r="DW191" s="399"/>
      <c r="DX191" s="399"/>
      <c r="DY191" s="399"/>
      <c r="DZ191" s="399"/>
      <c r="EB191" s="228">
        <f t="shared" si="171"/>
        <v>612469.61383012799</v>
      </c>
      <c r="EC191" s="228">
        <f t="shared" si="172"/>
        <v>7239.4891966759005</v>
      </c>
      <c r="ED191" s="214">
        <f t="shared" si="173"/>
        <v>619709.10302680393</v>
      </c>
    </row>
    <row r="192" spans="1:134" hidden="1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3" t="str">
        <f>VLOOKUP(A192,'Summary Mar 2026'!$A$8:$F$207,6,FALSE)</f>
        <v>Chq Bk</v>
      </c>
      <c r="G192" s="33"/>
      <c r="H192" s="223">
        <v>0</v>
      </c>
      <c r="I192" s="294"/>
      <c r="J192" s="223">
        <v>0</v>
      </c>
      <c r="K192" s="223">
        <v>0</v>
      </c>
      <c r="L192" s="223">
        <v>27592.5</v>
      </c>
      <c r="M192" s="223">
        <v>0</v>
      </c>
      <c r="N192" s="223">
        <v>0</v>
      </c>
      <c r="O192" s="223">
        <v>0</v>
      </c>
      <c r="P192" s="33">
        <f t="shared" si="131"/>
        <v>27592.5</v>
      </c>
      <c r="Q192" s="223">
        <f t="shared" si="132"/>
        <v>22074</v>
      </c>
      <c r="R192" s="294"/>
      <c r="S192" s="223">
        <v>0</v>
      </c>
      <c r="T192" s="223">
        <v>0</v>
      </c>
      <c r="U192" s="223">
        <v>13244.4</v>
      </c>
      <c r="V192" s="223">
        <v>390</v>
      </c>
      <c r="W192" s="223">
        <v>149.15789473684211</v>
      </c>
      <c r="X192" s="223">
        <v>0</v>
      </c>
      <c r="Y192" s="223">
        <f t="shared" si="133"/>
        <v>13783.557894736841</v>
      </c>
      <c r="Z192" s="223">
        <f t="shared" si="134"/>
        <v>11026.846315789473</v>
      </c>
      <c r="AA192" s="294"/>
      <c r="AB192" s="398">
        <v>0</v>
      </c>
      <c r="AC192" s="398">
        <v>0</v>
      </c>
      <c r="AD192" s="398">
        <v>19947.031578947368</v>
      </c>
      <c r="AE192" s="398">
        <v>625.26315789473688</v>
      </c>
      <c r="AF192" s="398">
        <v>239.13573407202216</v>
      </c>
      <c r="AG192" s="398">
        <v>0</v>
      </c>
      <c r="AH192" s="223">
        <f t="shared" si="135"/>
        <v>20811.430470914125</v>
      </c>
      <c r="AI192" s="398">
        <f t="shared" si="136"/>
        <v>16649.144376731299</v>
      </c>
      <c r="AJ192" s="294"/>
      <c r="AK192" s="398">
        <v>815.09999999999991</v>
      </c>
      <c r="AL192" s="398">
        <v>473.84999999999997</v>
      </c>
      <c r="AM192" s="398">
        <v>613.3263157894736</v>
      </c>
      <c r="AN192" s="294"/>
      <c r="AO192" s="398">
        <f t="shared" si="137"/>
        <v>652.07999999999993</v>
      </c>
      <c r="AP192" s="398">
        <f t="shared" si="138"/>
        <v>379.08</v>
      </c>
      <c r="AQ192" s="398">
        <f t="shared" si="139"/>
        <v>490.66105263157891</v>
      </c>
      <c r="AR192" s="293"/>
      <c r="AS192" s="293">
        <v>0</v>
      </c>
      <c r="AT192" s="576">
        <f t="shared" si="140"/>
        <v>0</v>
      </c>
      <c r="AU192" s="293"/>
      <c r="AV192" s="293">
        <v>0</v>
      </c>
      <c r="AW192" s="293">
        <v>0</v>
      </c>
      <c r="AX192" s="293">
        <v>12140.7</v>
      </c>
      <c r="AY192" s="293">
        <v>585</v>
      </c>
      <c r="AZ192" s="293">
        <v>223.73684210526318</v>
      </c>
      <c r="BA192" s="293">
        <v>0</v>
      </c>
      <c r="BB192" s="293">
        <v>473.84999999999997</v>
      </c>
      <c r="BC192" s="293">
        <f t="shared" si="141"/>
        <v>13423.286842105264</v>
      </c>
      <c r="BE192" s="58">
        <f t="shared" si="142"/>
        <v>0</v>
      </c>
      <c r="BF192" s="58">
        <f t="shared" si="143"/>
        <v>0</v>
      </c>
      <c r="BG192" s="58">
        <f t="shared" si="144"/>
        <v>-15451.8</v>
      </c>
      <c r="BH192" s="58">
        <f t="shared" si="145"/>
        <v>585</v>
      </c>
      <c r="BI192" s="58">
        <f t="shared" si="146"/>
        <v>223.73684210526318</v>
      </c>
      <c r="BJ192" s="58">
        <f t="shared" si="147"/>
        <v>0</v>
      </c>
      <c r="BK192" s="58">
        <f t="shared" si="148"/>
        <v>-341.24999999999994</v>
      </c>
      <c r="BL192" s="58">
        <f t="shared" si="149"/>
        <v>-14984.313157894736</v>
      </c>
      <c r="BM192" s="33">
        <f t="shared" si="150"/>
        <v>0</v>
      </c>
      <c r="BN192" s="33"/>
      <c r="BO192" s="293">
        <f t="shared" si="181"/>
        <v>0</v>
      </c>
      <c r="BP192" s="293">
        <f t="shared" si="182"/>
        <v>0</v>
      </c>
      <c r="BQ192" s="293">
        <f t="shared" si="183"/>
        <v>-9933.2999999999993</v>
      </c>
      <c r="BR192" s="293">
        <f t="shared" si="184"/>
        <v>585</v>
      </c>
      <c r="BS192" s="293">
        <f t="shared" si="185"/>
        <v>223.73684210526318</v>
      </c>
      <c r="BT192" s="293">
        <f t="shared" si="186"/>
        <v>0</v>
      </c>
      <c r="BU192" s="293">
        <f t="shared" si="187"/>
        <v>-178.22999999999996</v>
      </c>
      <c r="BV192" s="293">
        <f t="shared" si="129"/>
        <v>-9302.7931578947355</v>
      </c>
      <c r="BW192" s="293">
        <f t="shared" si="130"/>
        <v>1.8189894035458565E-12</v>
      </c>
      <c r="BX192" s="293">
        <v>0</v>
      </c>
      <c r="BY192" s="293">
        <v>0</v>
      </c>
      <c r="BZ192" s="293">
        <v>0</v>
      </c>
      <c r="CA192" s="293">
        <v>0</v>
      </c>
      <c r="CB192" s="293">
        <v>0</v>
      </c>
      <c r="CC192" s="293">
        <v>0</v>
      </c>
      <c r="CD192" s="293">
        <v>0</v>
      </c>
      <c r="CE192" s="293">
        <f t="shared" si="151"/>
        <v>0</v>
      </c>
      <c r="CF192" s="293"/>
      <c r="CG192" s="293">
        <v>0</v>
      </c>
      <c r="CH192" s="293">
        <v>0</v>
      </c>
      <c r="CI192" s="293">
        <v>0</v>
      </c>
      <c r="CJ192" s="293">
        <v>0</v>
      </c>
      <c r="CK192" s="293">
        <v>0</v>
      </c>
      <c r="CL192" s="293">
        <v>0</v>
      </c>
      <c r="CM192" s="293">
        <v>0</v>
      </c>
      <c r="CN192" s="293">
        <f t="shared" si="152"/>
        <v>0</v>
      </c>
      <c r="CO192" s="293"/>
      <c r="CP192" s="58">
        <f t="shared" si="153"/>
        <v>0</v>
      </c>
      <c r="CQ192" s="223">
        <f t="shared" si="154"/>
        <v>0</v>
      </c>
      <c r="CR192" s="223">
        <f t="shared" si="155"/>
        <v>-13244.4</v>
      </c>
      <c r="CS192" s="223">
        <f t="shared" si="156"/>
        <v>-390</v>
      </c>
      <c r="CT192" s="223">
        <f t="shared" si="157"/>
        <v>-149.15789473684211</v>
      </c>
      <c r="CU192" s="223">
        <f t="shared" si="158"/>
        <v>0</v>
      </c>
      <c r="CV192" s="223">
        <f t="shared" si="159"/>
        <v>-473.84999999999997</v>
      </c>
      <c r="CW192" s="223">
        <f t="shared" si="160"/>
        <v>-14257.407894736842</v>
      </c>
      <c r="CX192" s="223">
        <f t="shared" si="161"/>
        <v>-3.979039320256561E-13</v>
      </c>
      <c r="CY192" s="58">
        <f t="shared" si="162"/>
        <v>0</v>
      </c>
      <c r="CZ192" s="399">
        <f t="shared" si="163"/>
        <v>0</v>
      </c>
      <c r="DA192" s="399">
        <f t="shared" si="164"/>
        <v>-10595.52</v>
      </c>
      <c r="DB192" s="399">
        <f t="shared" si="165"/>
        <v>-312</v>
      </c>
      <c r="DC192" s="399">
        <f t="shared" si="166"/>
        <v>-119.3263157894737</v>
      </c>
      <c r="DD192" s="399">
        <f t="shared" si="167"/>
        <v>0</v>
      </c>
      <c r="DE192" s="399">
        <f t="shared" si="168"/>
        <v>-379.08</v>
      </c>
      <c r="DF192" s="399">
        <f t="shared" si="169"/>
        <v>-11405.926315789475</v>
      </c>
      <c r="DG192" s="399">
        <f t="shared" si="170"/>
        <v>-1.7621459846850485E-12</v>
      </c>
      <c r="DI192" s="399"/>
      <c r="DJ192" s="399"/>
      <c r="DK192" s="399"/>
      <c r="DL192" s="399"/>
      <c r="DM192" s="399"/>
      <c r="DN192" s="399"/>
      <c r="DO192" s="399"/>
      <c r="DP192" s="399"/>
      <c r="DQ192" s="399"/>
      <c r="DS192" s="399"/>
      <c r="DT192" s="399"/>
      <c r="DU192" s="399"/>
      <c r="DV192" s="399"/>
      <c r="DW192" s="399"/>
      <c r="DX192" s="399"/>
      <c r="DY192" s="399"/>
      <c r="DZ192" s="399"/>
      <c r="EB192" s="228">
        <f t="shared" si="171"/>
        <v>30563.092271468144</v>
      </c>
      <c r="EC192" s="228">
        <f t="shared" si="172"/>
        <v>0</v>
      </c>
      <c r="ED192" s="214">
        <f t="shared" si="173"/>
        <v>30563.092271468144</v>
      </c>
    </row>
    <row r="193" spans="1:134" hidden="1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3" t="str">
        <f>VLOOKUP(A193,'Summary Mar 2026'!$A$8:$F$207,6,FALSE)</f>
        <v>Chq Bk</v>
      </c>
      <c r="G193" s="33"/>
      <c r="H193" s="223">
        <v>0</v>
      </c>
      <c r="I193" s="294"/>
      <c r="J193" s="223">
        <v>0</v>
      </c>
      <c r="K193" s="223">
        <v>0</v>
      </c>
      <c r="L193" s="223">
        <v>0</v>
      </c>
      <c r="M193" s="223">
        <v>0</v>
      </c>
      <c r="N193" s="223">
        <v>0</v>
      </c>
      <c r="O193" s="223">
        <v>0</v>
      </c>
      <c r="P193" s="33">
        <f t="shared" si="131"/>
        <v>0</v>
      </c>
      <c r="Q193" s="223">
        <f t="shared" si="132"/>
        <v>0</v>
      </c>
      <c r="R193" s="294"/>
      <c r="S193" s="223">
        <v>0</v>
      </c>
      <c r="T193" s="223">
        <v>0</v>
      </c>
      <c r="U193" s="223">
        <v>0</v>
      </c>
      <c r="V193" s="223">
        <v>0</v>
      </c>
      <c r="W193" s="223">
        <v>0</v>
      </c>
      <c r="X193" s="223">
        <v>0</v>
      </c>
      <c r="Y193" s="223">
        <f t="shared" si="133"/>
        <v>0</v>
      </c>
      <c r="Z193" s="223">
        <f t="shared" si="134"/>
        <v>0</v>
      </c>
      <c r="AA193" s="294"/>
      <c r="AB193" s="398">
        <v>0</v>
      </c>
      <c r="AC193" s="398">
        <v>0</v>
      </c>
      <c r="AD193" s="398">
        <v>0</v>
      </c>
      <c r="AE193" s="398">
        <v>0</v>
      </c>
      <c r="AF193" s="398">
        <v>0</v>
      </c>
      <c r="AG193" s="398">
        <v>0</v>
      </c>
      <c r="AH193" s="223">
        <f t="shared" si="135"/>
        <v>0</v>
      </c>
      <c r="AI193" s="398">
        <f t="shared" si="136"/>
        <v>0</v>
      </c>
      <c r="AJ193" s="294"/>
      <c r="AK193" s="398">
        <v>0</v>
      </c>
      <c r="AL193" s="398">
        <v>0</v>
      </c>
      <c r="AM193" s="398">
        <v>0</v>
      </c>
      <c r="AN193" s="294"/>
      <c r="AO193" s="398">
        <f t="shared" si="137"/>
        <v>0</v>
      </c>
      <c r="AP193" s="398">
        <f t="shared" si="138"/>
        <v>0</v>
      </c>
      <c r="AQ193" s="398">
        <f t="shared" si="139"/>
        <v>0</v>
      </c>
      <c r="AR193" s="293"/>
      <c r="AS193" s="293">
        <v>0</v>
      </c>
      <c r="AT193" s="576">
        <f t="shared" si="140"/>
        <v>0</v>
      </c>
      <c r="AU193" s="293"/>
      <c r="AV193" s="293">
        <v>0</v>
      </c>
      <c r="AW193" s="293">
        <v>0</v>
      </c>
      <c r="AX193" s="293">
        <v>0</v>
      </c>
      <c r="AY193" s="293">
        <v>0</v>
      </c>
      <c r="AZ193" s="293">
        <v>0</v>
      </c>
      <c r="BA193" s="293">
        <v>0</v>
      </c>
      <c r="BB193" s="293">
        <v>0</v>
      </c>
      <c r="BC193" s="293">
        <f t="shared" si="141"/>
        <v>0</v>
      </c>
      <c r="BE193" s="58">
        <f t="shared" si="142"/>
        <v>0</v>
      </c>
      <c r="BF193" s="58">
        <f t="shared" si="143"/>
        <v>0</v>
      </c>
      <c r="BG193" s="58">
        <f t="shared" si="144"/>
        <v>0</v>
      </c>
      <c r="BH193" s="58">
        <f t="shared" si="145"/>
        <v>0</v>
      </c>
      <c r="BI193" s="58">
        <f t="shared" si="146"/>
        <v>0</v>
      </c>
      <c r="BJ193" s="58">
        <f t="shared" si="147"/>
        <v>0</v>
      </c>
      <c r="BK193" s="58">
        <f t="shared" si="148"/>
        <v>0</v>
      </c>
      <c r="BL193" s="58">
        <f t="shared" si="149"/>
        <v>0</v>
      </c>
      <c r="BM193" s="33">
        <f t="shared" si="150"/>
        <v>0</v>
      </c>
      <c r="BN193" s="33"/>
      <c r="BO193" s="293">
        <f t="shared" si="181"/>
        <v>0</v>
      </c>
      <c r="BP193" s="293">
        <f t="shared" si="182"/>
        <v>0</v>
      </c>
      <c r="BQ193" s="293">
        <f t="shared" si="183"/>
        <v>0</v>
      </c>
      <c r="BR193" s="293">
        <f t="shared" si="184"/>
        <v>0</v>
      </c>
      <c r="BS193" s="293">
        <f t="shared" si="185"/>
        <v>0</v>
      </c>
      <c r="BT193" s="293">
        <f t="shared" si="186"/>
        <v>0</v>
      </c>
      <c r="BU193" s="293">
        <f t="shared" si="187"/>
        <v>0</v>
      </c>
      <c r="BV193" s="293">
        <f t="shared" si="129"/>
        <v>0</v>
      </c>
      <c r="BW193" s="293">
        <f t="shared" si="130"/>
        <v>0</v>
      </c>
      <c r="BX193" s="293">
        <v>0</v>
      </c>
      <c r="BY193" s="293">
        <v>0</v>
      </c>
      <c r="BZ193" s="293">
        <v>0</v>
      </c>
      <c r="CA193" s="293">
        <v>0</v>
      </c>
      <c r="CB193" s="293">
        <v>0</v>
      </c>
      <c r="CC193" s="293">
        <v>0</v>
      </c>
      <c r="CD193" s="293">
        <v>0</v>
      </c>
      <c r="CE193" s="293">
        <f t="shared" si="151"/>
        <v>0</v>
      </c>
      <c r="CF193" s="293"/>
      <c r="CG193" s="293">
        <v>0</v>
      </c>
      <c r="CH193" s="293">
        <v>0</v>
      </c>
      <c r="CI193" s="293">
        <v>0</v>
      </c>
      <c r="CJ193" s="293">
        <v>0</v>
      </c>
      <c r="CK193" s="293">
        <v>0</v>
      </c>
      <c r="CL193" s="293">
        <v>0</v>
      </c>
      <c r="CM193" s="293">
        <v>0</v>
      </c>
      <c r="CN193" s="293">
        <f t="shared" si="152"/>
        <v>0</v>
      </c>
      <c r="CO193" s="293"/>
      <c r="CP193" s="58">
        <f t="shared" si="153"/>
        <v>0</v>
      </c>
      <c r="CQ193" s="223">
        <f t="shared" si="154"/>
        <v>0</v>
      </c>
      <c r="CR193" s="223">
        <f t="shared" si="155"/>
        <v>0</v>
      </c>
      <c r="CS193" s="223">
        <f t="shared" si="156"/>
        <v>0</v>
      </c>
      <c r="CT193" s="223">
        <f t="shared" si="157"/>
        <v>0</v>
      </c>
      <c r="CU193" s="223">
        <f t="shared" si="158"/>
        <v>0</v>
      </c>
      <c r="CV193" s="223">
        <f t="shared" si="159"/>
        <v>0</v>
      </c>
      <c r="CW193" s="223">
        <f t="shared" si="160"/>
        <v>0</v>
      </c>
      <c r="CX193" s="223">
        <f t="shared" si="161"/>
        <v>0</v>
      </c>
      <c r="CY193" s="58">
        <f t="shared" si="162"/>
        <v>0</v>
      </c>
      <c r="CZ193" s="399">
        <f t="shared" si="163"/>
        <v>0</v>
      </c>
      <c r="DA193" s="399">
        <f t="shared" si="164"/>
        <v>0</v>
      </c>
      <c r="DB193" s="399">
        <f t="shared" si="165"/>
        <v>0</v>
      </c>
      <c r="DC193" s="399">
        <f t="shared" si="166"/>
        <v>0</v>
      </c>
      <c r="DD193" s="399">
        <f t="shared" si="167"/>
        <v>0</v>
      </c>
      <c r="DE193" s="399">
        <f t="shared" si="168"/>
        <v>0</v>
      </c>
      <c r="DF193" s="399">
        <f t="shared" si="169"/>
        <v>0</v>
      </c>
      <c r="DG193" s="399">
        <f t="shared" si="170"/>
        <v>0</v>
      </c>
      <c r="DI193" s="399"/>
      <c r="DJ193" s="399"/>
      <c r="DK193" s="399"/>
      <c r="DL193" s="399"/>
      <c r="DM193" s="399"/>
      <c r="DN193" s="399"/>
      <c r="DO193" s="399"/>
      <c r="DP193" s="399"/>
      <c r="DQ193" s="399"/>
      <c r="DS193" s="399"/>
      <c r="DT193" s="399"/>
      <c r="DU193" s="399"/>
      <c r="DV193" s="399"/>
      <c r="DW193" s="399"/>
      <c r="DX193" s="399"/>
      <c r="DY193" s="399"/>
      <c r="DZ193" s="399"/>
      <c r="EB193" s="228">
        <f t="shared" si="171"/>
        <v>0</v>
      </c>
      <c r="EC193" s="228">
        <f t="shared" si="172"/>
        <v>0</v>
      </c>
      <c r="ED193" s="214">
        <f t="shared" si="173"/>
        <v>0</v>
      </c>
    </row>
    <row r="194" spans="1:134" hidden="1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3" t="str">
        <f>VLOOKUP(A194,'Summary Mar 2026'!$A$8:$F$207,6,FALSE)</f>
        <v>Chq Bk</v>
      </c>
      <c r="G194" s="33"/>
      <c r="H194" s="223">
        <v>0</v>
      </c>
      <c r="I194" s="294"/>
      <c r="J194" s="223">
        <v>0</v>
      </c>
      <c r="K194" s="223">
        <v>0</v>
      </c>
      <c r="L194" s="223">
        <v>0</v>
      </c>
      <c r="M194" s="223">
        <v>0</v>
      </c>
      <c r="N194" s="223">
        <v>0</v>
      </c>
      <c r="O194" s="223">
        <v>0</v>
      </c>
      <c r="P194" s="33">
        <f t="shared" si="131"/>
        <v>0</v>
      </c>
      <c r="Q194" s="223">
        <f t="shared" si="132"/>
        <v>0</v>
      </c>
      <c r="R194" s="294"/>
      <c r="S194" s="223">
        <v>0</v>
      </c>
      <c r="T194" s="223">
        <v>0</v>
      </c>
      <c r="U194" s="223">
        <v>0</v>
      </c>
      <c r="V194" s="223">
        <v>0</v>
      </c>
      <c r="W194" s="223">
        <v>0</v>
      </c>
      <c r="X194" s="223">
        <v>0</v>
      </c>
      <c r="Y194" s="223">
        <f t="shared" si="133"/>
        <v>0</v>
      </c>
      <c r="Z194" s="223">
        <f t="shared" si="134"/>
        <v>0</v>
      </c>
      <c r="AA194" s="294"/>
      <c r="AB194" s="398"/>
      <c r="AC194" s="398"/>
      <c r="AD194" s="398"/>
      <c r="AE194" s="398"/>
      <c r="AF194" s="398"/>
      <c r="AG194" s="398"/>
      <c r="AH194" s="223"/>
      <c r="AI194" s="398"/>
      <c r="AJ194" s="294"/>
      <c r="AK194" s="398">
        <v>0</v>
      </c>
      <c r="AL194" s="398">
        <v>0</v>
      </c>
      <c r="AM194" s="398">
        <v>0</v>
      </c>
      <c r="AN194" s="294"/>
      <c r="AO194" s="398">
        <f t="shared" si="137"/>
        <v>0</v>
      </c>
      <c r="AP194" s="398">
        <f t="shared" si="138"/>
        <v>0</v>
      </c>
      <c r="AQ194" s="398">
        <f t="shared" si="139"/>
        <v>0</v>
      </c>
      <c r="AR194" s="293"/>
      <c r="AS194" s="293">
        <v>0</v>
      </c>
      <c r="AT194" s="576">
        <f t="shared" si="140"/>
        <v>0</v>
      </c>
      <c r="AU194" s="293"/>
      <c r="AV194" s="293">
        <v>0</v>
      </c>
      <c r="AW194" s="293">
        <v>0</v>
      </c>
      <c r="AX194" s="293">
        <v>0</v>
      </c>
      <c r="AY194" s="293">
        <v>0</v>
      </c>
      <c r="AZ194" s="293">
        <v>0</v>
      </c>
      <c r="BA194" s="293">
        <v>0</v>
      </c>
      <c r="BB194" s="293">
        <v>0</v>
      </c>
      <c r="BC194" s="293">
        <f t="shared" si="141"/>
        <v>0</v>
      </c>
      <c r="BE194" s="58">
        <f t="shared" si="142"/>
        <v>0</v>
      </c>
      <c r="BF194" s="58">
        <f t="shared" si="143"/>
        <v>0</v>
      </c>
      <c r="BG194" s="58">
        <f t="shared" si="144"/>
        <v>0</v>
      </c>
      <c r="BH194" s="58">
        <f t="shared" si="145"/>
        <v>0</v>
      </c>
      <c r="BI194" s="58">
        <f t="shared" si="146"/>
        <v>0</v>
      </c>
      <c r="BJ194" s="58">
        <f t="shared" si="147"/>
        <v>0</v>
      </c>
      <c r="BK194" s="58">
        <f t="shared" si="148"/>
        <v>0</v>
      </c>
      <c r="BL194" s="58">
        <f t="shared" si="149"/>
        <v>0</v>
      </c>
      <c r="BM194" s="33">
        <f t="shared" si="150"/>
        <v>0</v>
      </c>
      <c r="BN194" s="33"/>
      <c r="BO194" s="293">
        <f t="shared" si="181"/>
        <v>0</v>
      </c>
      <c r="BP194" s="293">
        <f t="shared" si="182"/>
        <v>0</v>
      </c>
      <c r="BQ194" s="293">
        <f t="shared" si="183"/>
        <v>0</v>
      </c>
      <c r="BR194" s="293">
        <f t="shared" si="184"/>
        <v>0</v>
      </c>
      <c r="BS194" s="293">
        <f t="shared" si="185"/>
        <v>0</v>
      </c>
      <c r="BT194" s="293">
        <f t="shared" si="186"/>
        <v>0</v>
      </c>
      <c r="BU194" s="293">
        <f t="shared" si="187"/>
        <v>0</v>
      </c>
      <c r="BV194" s="293">
        <f t="shared" si="129"/>
        <v>0</v>
      </c>
      <c r="BW194" s="293">
        <f t="shared" si="130"/>
        <v>0</v>
      </c>
      <c r="BX194" s="293"/>
      <c r="BY194" s="293"/>
      <c r="BZ194" s="293"/>
      <c r="CA194" s="293"/>
      <c r="CB194" s="293"/>
      <c r="CC194" s="293"/>
      <c r="CD194" s="293"/>
      <c r="CE194" s="293"/>
      <c r="CF194" s="293"/>
      <c r="CG194" s="293"/>
      <c r="CH194" s="293"/>
      <c r="CI194" s="293"/>
      <c r="CJ194" s="293"/>
      <c r="CK194" s="293"/>
      <c r="CL194" s="293"/>
      <c r="CM194" s="293"/>
      <c r="CN194" s="293"/>
      <c r="CO194" s="293"/>
      <c r="CP194" s="58">
        <f t="shared" si="153"/>
        <v>0</v>
      </c>
      <c r="CQ194" s="223">
        <f t="shared" si="154"/>
        <v>0</v>
      </c>
      <c r="CR194" s="223">
        <f t="shared" si="155"/>
        <v>0</v>
      </c>
      <c r="CS194" s="223">
        <f t="shared" si="156"/>
        <v>0</v>
      </c>
      <c r="CT194" s="223">
        <f t="shared" si="157"/>
        <v>0</v>
      </c>
      <c r="CU194" s="223">
        <f t="shared" si="158"/>
        <v>0</v>
      </c>
      <c r="CV194" s="223">
        <f t="shared" si="159"/>
        <v>0</v>
      </c>
      <c r="CW194" s="223">
        <f t="shared" si="160"/>
        <v>0</v>
      </c>
      <c r="CX194" s="223">
        <f t="shared" si="161"/>
        <v>0</v>
      </c>
      <c r="CY194" s="58">
        <f t="shared" si="162"/>
        <v>0</v>
      </c>
      <c r="CZ194" s="399">
        <f t="shared" si="163"/>
        <v>0</v>
      </c>
      <c r="DA194" s="399">
        <f t="shared" si="164"/>
        <v>0</v>
      </c>
      <c r="DB194" s="399">
        <f t="shared" si="165"/>
        <v>0</v>
      </c>
      <c r="DC194" s="399">
        <f t="shared" si="166"/>
        <v>0</v>
      </c>
      <c r="DD194" s="399">
        <f t="shared" si="167"/>
        <v>0</v>
      </c>
      <c r="DE194" s="399">
        <f t="shared" si="168"/>
        <v>0</v>
      </c>
      <c r="DF194" s="399">
        <f t="shared" si="169"/>
        <v>0</v>
      </c>
      <c r="DG194" s="399">
        <f t="shared" si="170"/>
        <v>0</v>
      </c>
      <c r="DI194" s="399"/>
      <c r="DJ194" s="399"/>
      <c r="DK194" s="399"/>
      <c r="DL194" s="399"/>
      <c r="DM194" s="399"/>
      <c r="DN194" s="399"/>
      <c r="DO194" s="399"/>
      <c r="DP194" s="399"/>
      <c r="DQ194" s="399"/>
      <c r="DS194" s="399"/>
      <c r="DT194" s="399"/>
      <c r="DU194" s="399"/>
      <c r="DV194" s="399"/>
      <c r="DW194" s="399"/>
      <c r="DX194" s="399"/>
      <c r="DY194" s="399"/>
      <c r="DZ194" s="399"/>
      <c r="EB194" s="228">
        <f t="shared" si="171"/>
        <v>0</v>
      </c>
      <c r="EC194" s="228">
        <f t="shared" si="172"/>
        <v>0</v>
      </c>
      <c r="ED194" s="214">
        <f t="shared" si="173"/>
        <v>0</v>
      </c>
    </row>
    <row r="195" spans="1:134" hidden="1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3" t="str">
        <f>VLOOKUP(A195,'Summary Mar 2026'!$A$8:$F$207,6,FALSE)</f>
        <v>Chq Bk</v>
      </c>
      <c r="G195" s="33"/>
      <c r="H195" s="223">
        <v>0</v>
      </c>
      <c r="I195" s="294"/>
      <c r="J195" s="223">
        <v>0</v>
      </c>
      <c r="K195" s="223">
        <v>0</v>
      </c>
      <c r="L195" s="223">
        <v>43044.3</v>
      </c>
      <c r="M195" s="223">
        <v>0</v>
      </c>
      <c r="N195" s="223">
        <v>0</v>
      </c>
      <c r="O195" s="223">
        <v>0</v>
      </c>
      <c r="P195" s="33">
        <f t="shared" si="131"/>
        <v>43044.3</v>
      </c>
      <c r="Q195" s="223">
        <f t="shared" si="132"/>
        <v>34435.440000000002</v>
      </c>
      <c r="R195" s="294"/>
      <c r="S195" s="223">
        <v>0</v>
      </c>
      <c r="T195" s="223">
        <v>0</v>
      </c>
      <c r="U195" s="223">
        <v>28696.200000000004</v>
      </c>
      <c r="V195" s="223">
        <v>0</v>
      </c>
      <c r="W195" s="223">
        <v>0</v>
      </c>
      <c r="X195" s="223">
        <v>0</v>
      </c>
      <c r="Y195" s="223">
        <f t="shared" si="133"/>
        <v>28696.200000000004</v>
      </c>
      <c r="Z195" s="223">
        <f t="shared" si="134"/>
        <v>22956.960000000006</v>
      </c>
      <c r="AA195" s="294"/>
      <c r="AB195" s="398">
        <v>0</v>
      </c>
      <c r="AC195" s="398">
        <v>0</v>
      </c>
      <c r="AD195" s="398">
        <v>33781.263157894733</v>
      </c>
      <c r="AE195" s="398">
        <v>284.21052631578948</v>
      </c>
      <c r="AF195" s="398">
        <v>108.69806094182825</v>
      </c>
      <c r="AG195" s="398">
        <v>0</v>
      </c>
      <c r="AH195" s="223">
        <f t="shared" si="135"/>
        <v>34174.171745152351</v>
      </c>
      <c r="AI195" s="398">
        <f t="shared" si="136"/>
        <v>27339.337396121882</v>
      </c>
      <c r="AJ195" s="294"/>
      <c r="AK195" s="398">
        <v>150.15</v>
      </c>
      <c r="AL195" s="398">
        <v>0</v>
      </c>
      <c r="AM195" s="398">
        <v>87.536842105263162</v>
      </c>
      <c r="AN195" s="294"/>
      <c r="AO195" s="398">
        <f t="shared" si="137"/>
        <v>120.12</v>
      </c>
      <c r="AP195" s="398">
        <f t="shared" si="138"/>
        <v>0</v>
      </c>
      <c r="AQ195" s="398">
        <f t="shared" si="139"/>
        <v>70.029473684210529</v>
      </c>
      <c r="AR195" s="293"/>
      <c r="AS195" s="293">
        <v>0</v>
      </c>
      <c r="AT195" s="576">
        <f t="shared" si="140"/>
        <v>0</v>
      </c>
      <c r="AU195" s="293"/>
      <c r="AV195" s="293">
        <v>0</v>
      </c>
      <c r="AW195" s="293">
        <v>0</v>
      </c>
      <c r="AX195" s="293">
        <v>30903.599999999999</v>
      </c>
      <c r="AY195" s="293">
        <v>0</v>
      </c>
      <c r="AZ195" s="293">
        <v>0</v>
      </c>
      <c r="BA195" s="293">
        <v>0</v>
      </c>
      <c r="BB195" s="293">
        <v>118.95</v>
      </c>
      <c r="BC195" s="293">
        <f t="shared" si="141"/>
        <v>31022.55</v>
      </c>
      <c r="BE195" s="58">
        <f t="shared" si="142"/>
        <v>0</v>
      </c>
      <c r="BF195" s="58">
        <f t="shared" si="143"/>
        <v>0</v>
      </c>
      <c r="BG195" s="58">
        <f t="shared" si="144"/>
        <v>-12140.700000000004</v>
      </c>
      <c r="BH195" s="58">
        <f t="shared" si="145"/>
        <v>0</v>
      </c>
      <c r="BI195" s="58">
        <f t="shared" si="146"/>
        <v>0</v>
      </c>
      <c r="BJ195" s="58">
        <f t="shared" si="147"/>
        <v>0</v>
      </c>
      <c r="BK195" s="58">
        <f t="shared" si="148"/>
        <v>-31.200000000000003</v>
      </c>
      <c r="BL195" s="58">
        <f t="shared" si="149"/>
        <v>-12171.900000000005</v>
      </c>
      <c r="BM195" s="33">
        <f t="shared" si="150"/>
        <v>0</v>
      </c>
      <c r="BN195" s="33"/>
      <c r="BO195" s="293">
        <f t="shared" si="181"/>
        <v>0</v>
      </c>
      <c r="BP195" s="293">
        <f t="shared" si="182"/>
        <v>0</v>
      </c>
      <c r="BQ195" s="293">
        <f t="shared" si="183"/>
        <v>-3531.8400000000038</v>
      </c>
      <c r="BR195" s="293">
        <f t="shared" si="184"/>
        <v>0</v>
      </c>
      <c r="BS195" s="293">
        <f t="shared" si="185"/>
        <v>0</v>
      </c>
      <c r="BT195" s="293">
        <f t="shared" si="186"/>
        <v>0</v>
      </c>
      <c r="BU195" s="293">
        <f t="shared" si="187"/>
        <v>-1.1700000000000017</v>
      </c>
      <c r="BV195" s="293">
        <f t="shared" si="129"/>
        <v>-3533.0100000000039</v>
      </c>
      <c r="BW195" s="293">
        <f t="shared" si="130"/>
        <v>3.637978807091713E-12</v>
      </c>
      <c r="BX195" s="293">
        <v>0</v>
      </c>
      <c r="BY195" s="293">
        <v>0</v>
      </c>
      <c r="BZ195" s="293">
        <v>0</v>
      </c>
      <c r="CA195" s="293">
        <v>0</v>
      </c>
      <c r="CB195" s="293">
        <v>0</v>
      </c>
      <c r="CC195" s="293">
        <v>0</v>
      </c>
      <c r="CD195" s="293">
        <v>0</v>
      </c>
      <c r="CE195" s="293">
        <f t="shared" si="151"/>
        <v>0</v>
      </c>
      <c r="CF195" s="293"/>
      <c r="CG195" s="293">
        <v>0</v>
      </c>
      <c r="CH195" s="293">
        <v>0</v>
      </c>
      <c r="CI195" s="293">
        <v>35318.400000000001</v>
      </c>
      <c r="CJ195" s="293">
        <v>0</v>
      </c>
      <c r="CK195" s="293">
        <v>0</v>
      </c>
      <c r="CL195" s="293">
        <v>0</v>
      </c>
      <c r="CM195" s="293">
        <v>538.20000000000005</v>
      </c>
      <c r="CN195" s="293">
        <f t="shared" si="152"/>
        <v>35856.6</v>
      </c>
      <c r="CO195" s="293"/>
      <c r="CP195" s="58">
        <f t="shared" si="153"/>
        <v>0</v>
      </c>
      <c r="CQ195" s="223">
        <f t="shared" si="154"/>
        <v>0</v>
      </c>
      <c r="CR195" s="223">
        <f t="shared" si="155"/>
        <v>6622.1999999999971</v>
      </c>
      <c r="CS195" s="223">
        <f t="shared" si="156"/>
        <v>0</v>
      </c>
      <c r="CT195" s="223">
        <f t="shared" si="157"/>
        <v>0</v>
      </c>
      <c r="CU195" s="223">
        <f t="shared" si="158"/>
        <v>0</v>
      </c>
      <c r="CV195" s="223">
        <f t="shared" si="159"/>
        <v>538.20000000000005</v>
      </c>
      <c r="CW195" s="223">
        <f t="shared" si="160"/>
        <v>7160.3999999999969</v>
      </c>
      <c r="CX195" s="223">
        <f t="shared" si="161"/>
        <v>0</v>
      </c>
      <c r="CY195" s="58">
        <f t="shared" si="162"/>
        <v>0</v>
      </c>
      <c r="CZ195" s="399">
        <f t="shared" si="163"/>
        <v>0</v>
      </c>
      <c r="DA195" s="399">
        <f t="shared" si="164"/>
        <v>12361.439999999995</v>
      </c>
      <c r="DB195" s="399">
        <f t="shared" si="165"/>
        <v>0</v>
      </c>
      <c r="DC195" s="399">
        <f t="shared" si="166"/>
        <v>0</v>
      </c>
      <c r="DD195" s="399">
        <f t="shared" si="167"/>
        <v>0</v>
      </c>
      <c r="DE195" s="399">
        <f t="shared" si="168"/>
        <v>538.20000000000005</v>
      </c>
      <c r="DF195" s="399">
        <f t="shared" si="169"/>
        <v>12899.639999999996</v>
      </c>
      <c r="DG195" s="399">
        <f t="shared" si="170"/>
        <v>0</v>
      </c>
      <c r="DI195" s="399"/>
      <c r="DJ195" s="399"/>
      <c r="DK195" s="399"/>
      <c r="DL195" s="399"/>
      <c r="DM195" s="399"/>
      <c r="DN195" s="399"/>
      <c r="DO195" s="399"/>
      <c r="DP195" s="399"/>
      <c r="DQ195" s="399"/>
      <c r="DS195" s="399"/>
      <c r="DT195" s="399"/>
      <c r="DU195" s="399"/>
      <c r="DV195" s="399"/>
      <c r="DW195" s="399"/>
      <c r="DX195" s="399"/>
      <c r="DY195" s="399"/>
      <c r="DZ195" s="399"/>
      <c r="EB195" s="228">
        <f t="shared" si="171"/>
        <v>94288.516869806088</v>
      </c>
      <c r="EC195" s="228">
        <f t="shared" si="172"/>
        <v>0</v>
      </c>
      <c r="ED195" s="214">
        <f t="shared" si="173"/>
        <v>94288.516869806088</v>
      </c>
    </row>
    <row r="196" spans="1:134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3" t="str">
        <f>VLOOKUP(A196,'Summary Mar 2026'!$A$8:$F$207,6,FALSE)</f>
        <v>Chq Bk</v>
      </c>
      <c r="G196" s="33"/>
      <c r="H196" s="223">
        <v>190451.84783912112</v>
      </c>
      <c r="I196" s="294"/>
      <c r="J196" s="223">
        <v>0</v>
      </c>
      <c r="K196" s="223">
        <v>0</v>
      </c>
      <c r="L196" s="223">
        <v>116307.90599999999</v>
      </c>
      <c r="M196" s="223">
        <v>4095</v>
      </c>
      <c r="N196" s="223">
        <v>1566.1578947368421</v>
      </c>
      <c r="O196" s="223">
        <v>962.68421052631584</v>
      </c>
      <c r="P196" s="33">
        <f t="shared" si="131"/>
        <v>122931.74810526315</v>
      </c>
      <c r="Q196" s="223">
        <f t="shared" si="132"/>
        <v>98345.398484210527</v>
      </c>
      <c r="R196" s="294"/>
      <c r="S196" s="223">
        <v>0</v>
      </c>
      <c r="T196" s="223">
        <v>0</v>
      </c>
      <c r="U196" s="223">
        <v>90451.894</v>
      </c>
      <c r="V196" s="223">
        <v>2340</v>
      </c>
      <c r="W196" s="223">
        <v>820.36842105263156</v>
      </c>
      <c r="X196" s="223">
        <v>0</v>
      </c>
      <c r="Y196" s="223">
        <f t="shared" si="133"/>
        <v>93612.262421052626</v>
      </c>
      <c r="Z196" s="223">
        <f t="shared" si="134"/>
        <v>74889.80993684211</v>
      </c>
      <c r="AA196" s="294"/>
      <c r="AB196" s="398">
        <v>0</v>
      </c>
      <c r="AC196" s="398">
        <v>0</v>
      </c>
      <c r="AD196" s="398">
        <v>93148.347789473672</v>
      </c>
      <c r="AE196" s="398">
        <v>3069.4736842105267</v>
      </c>
      <c r="AF196" s="398">
        <v>1152.1994459833793</v>
      </c>
      <c r="AG196" s="398">
        <v>374.1606648199446</v>
      </c>
      <c r="AH196" s="223">
        <f t="shared" si="135"/>
        <v>97744.181584487509</v>
      </c>
      <c r="AI196" s="398">
        <f t="shared" si="136"/>
        <v>78195.345267590004</v>
      </c>
      <c r="AJ196" s="294"/>
      <c r="AK196" s="398">
        <v>1764.75</v>
      </c>
      <c r="AL196" s="398">
        <v>1400.1000000000001</v>
      </c>
      <c r="AM196" s="398">
        <v>1436.9684210526316</v>
      </c>
      <c r="AN196" s="294"/>
      <c r="AO196" s="398">
        <f t="shared" si="137"/>
        <v>1411.8000000000002</v>
      </c>
      <c r="AP196" s="398">
        <f t="shared" si="138"/>
        <v>1120.0800000000002</v>
      </c>
      <c r="AQ196" s="398">
        <f t="shared" si="139"/>
        <v>1149.5747368421053</v>
      </c>
      <c r="AR196" s="293"/>
      <c r="AS196" s="293">
        <v>190343.9087342837</v>
      </c>
      <c r="AT196" s="576">
        <f t="shared" si="140"/>
        <v>-107.93910483742366</v>
      </c>
      <c r="AU196" s="293"/>
      <c r="AV196" s="293">
        <v>0</v>
      </c>
      <c r="AW196" s="293">
        <v>0</v>
      </c>
      <c r="AX196" s="293">
        <v>100333.68799999999</v>
      </c>
      <c r="AY196" s="293">
        <v>3120</v>
      </c>
      <c r="AZ196" s="293">
        <v>1118.6842105263158</v>
      </c>
      <c r="BA196" s="293">
        <v>320.89</v>
      </c>
      <c r="BB196" s="293">
        <v>1973.3999999999996</v>
      </c>
      <c r="BC196" s="293">
        <f t="shared" si="141"/>
        <v>297210.57094481</v>
      </c>
      <c r="BE196" s="58">
        <f t="shared" si="142"/>
        <v>0</v>
      </c>
      <c r="BF196" s="58">
        <f t="shared" si="143"/>
        <v>0</v>
      </c>
      <c r="BG196" s="58">
        <f t="shared" si="144"/>
        <v>-15974.217999999993</v>
      </c>
      <c r="BH196" s="58">
        <f t="shared" si="145"/>
        <v>-975</v>
      </c>
      <c r="BI196" s="58">
        <f t="shared" si="146"/>
        <v>-447.47368421052624</v>
      </c>
      <c r="BJ196" s="58">
        <f t="shared" si="147"/>
        <v>-641.79421052631585</v>
      </c>
      <c r="BK196" s="58">
        <f t="shared" si="148"/>
        <v>208.64999999999964</v>
      </c>
      <c r="BL196" s="58">
        <f t="shared" si="149"/>
        <v>-17937.774999574263</v>
      </c>
      <c r="BM196" s="33">
        <f t="shared" si="150"/>
        <v>0</v>
      </c>
      <c r="BN196" s="33"/>
      <c r="BO196" s="293">
        <f t="shared" si="181"/>
        <v>0</v>
      </c>
      <c r="BP196" s="293">
        <f t="shared" si="182"/>
        <v>0</v>
      </c>
      <c r="BQ196" s="293">
        <f t="shared" si="183"/>
        <v>7287.3631999999925</v>
      </c>
      <c r="BR196" s="293">
        <f t="shared" si="184"/>
        <v>-156</v>
      </c>
      <c r="BS196" s="293">
        <f t="shared" si="185"/>
        <v>-134.24210526315801</v>
      </c>
      <c r="BT196" s="293">
        <f t="shared" si="186"/>
        <v>-449.25736842105277</v>
      </c>
      <c r="BU196" s="293">
        <f t="shared" si="187"/>
        <v>561.59999999999945</v>
      </c>
      <c r="BV196" s="293">
        <f t="shared" si="129"/>
        <v>7001.5246214783574</v>
      </c>
      <c r="BW196" s="293">
        <f t="shared" si="130"/>
        <v>0</v>
      </c>
      <c r="BX196" s="293">
        <v>0</v>
      </c>
      <c r="BY196" s="293">
        <v>0</v>
      </c>
      <c r="BZ196" s="293">
        <v>0</v>
      </c>
      <c r="CA196" s="293">
        <v>0</v>
      </c>
      <c r="CB196" s="293">
        <v>223.73684210526289</v>
      </c>
      <c r="CC196" s="293">
        <v>617.11</v>
      </c>
      <c r="CD196" s="293">
        <v>404.49500000000035</v>
      </c>
      <c r="CE196" s="293">
        <f t="shared" si="151"/>
        <v>1245.3418421052634</v>
      </c>
      <c r="CF196" s="293"/>
      <c r="CG196" s="293">
        <v>0</v>
      </c>
      <c r="CH196" s="293">
        <v>0</v>
      </c>
      <c r="CI196" s="293">
        <v>53586.05</v>
      </c>
      <c r="CJ196" s="293">
        <v>1755</v>
      </c>
      <c r="CK196" s="293">
        <v>596.96</v>
      </c>
      <c r="CL196" s="293">
        <v>0</v>
      </c>
      <c r="CM196" s="293">
        <v>1731.21</v>
      </c>
      <c r="CN196" s="293">
        <f t="shared" si="152"/>
        <v>57669.22</v>
      </c>
      <c r="CO196" s="293"/>
      <c r="CP196" s="58">
        <f t="shared" si="153"/>
        <v>0</v>
      </c>
      <c r="CQ196" s="223">
        <f t="shared" si="154"/>
        <v>0</v>
      </c>
      <c r="CR196" s="223">
        <f t="shared" si="155"/>
        <v>-36865.843999999997</v>
      </c>
      <c r="CS196" s="223">
        <f t="shared" si="156"/>
        <v>-585</v>
      </c>
      <c r="CT196" s="223">
        <f t="shared" si="157"/>
        <v>-223.40842105263152</v>
      </c>
      <c r="CU196" s="223">
        <f t="shared" si="158"/>
        <v>0</v>
      </c>
      <c r="CV196" s="223">
        <f t="shared" si="159"/>
        <v>331.1099999999999</v>
      </c>
      <c r="CW196" s="223">
        <f t="shared" si="160"/>
        <v>-37343.142421052631</v>
      </c>
      <c r="CX196" s="223">
        <f t="shared" si="161"/>
        <v>0</v>
      </c>
      <c r="CY196" s="58">
        <f t="shared" si="162"/>
        <v>0</v>
      </c>
      <c r="CZ196" s="399">
        <f t="shared" si="163"/>
        <v>0</v>
      </c>
      <c r="DA196" s="399">
        <f t="shared" si="164"/>
        <v>-18775.465200000006</v>
      </c>
      <c r="DB196" s="399">
        <f t="shared" si="165"/>
        <v>-117</v>
      </c>
      <c r="DC196" s="399">
        <f t="shared" si="166"/>
        <v>-59.334736842105258</v>
      </c>
      <c r="DD196" s="399">
        <f t="shared" si="167"/>
        <v>0</v>
      </c>
      <c r="DE196" s="399">
        <f t="shared" si="168"/>
        <v>611.12999999999988</v>
      </c>
      <c r="DF196" s="399">
        <f t="shared" si="169"/>
        <v>-18340.66993684211</v>
      </c>
      <c r="DG196" s="399">
        <f t="shared" si="170"/>
        <v>0</v>
      </c>
      <c r="DI196" s="399"/>
      <c r="DJ196" s="399"/>
      <c r="DK196" s="399"/>
      <c r="DL196" s="399"/>
      <c r="DM196" s="399"/>
      <c r="DN196" s="399"/>
      <c r="DO196" s="399"/>
      <c r="DP196" s="399"/>
      <c r="DQ196" s="399"/>
      <c r="DS196" s="399"/>
      <c r="DT196" s="399"/>
      <c r="DU196" s="399"/>
      <c r="DV196" s="399"/>
      <c r="DW196" s="399"/>
      <c r="DX196" s="399"/>
      <c r="DY196" s="399"/>
      <c r="DZ196" s="399"/>
      <c r="EB196" s="228">
        <f t="shared" si="171"/>
        <v>434232.72425949143</v>
      </c>
      <c r="EC196" s="228">
        <f t="shared" si="172"/>
        <v>1237.3285318559556</v>
      </c>
      <c r="ED196" s="214">
        <f t="shared" si="173"/>
        <v>435470.05279134738</v>
      </c>
    </row>
    <row r="197" spans="1:134" s="378" customFormat="1" hidden="1">
      <c r="A197" s="777">
        <v>3329</v>
      </c>
      <c r="B197" s="446">
        <v>103431</v>
      </c>
      <c r="C197" s="446" t="s">
        <v>410</v>
      </c>
      <c r="D197" s="446" t="s">
        <v>411</v>
      </c>
      <c r="E197" s="372" t="s">
        <v>32</v>
      </c>
      <c r="F197" s="812" t="str">
        <f>VLOOKUP(A197,'Summary Mar 2026'!$A$8:$F$207,6,FALSE)</f>
        <v>Academy</v>
      </c>
      <c r="G197" s="813"/>
      <c r="H197" s="814">
        <v>0</v>
      </c>
      <c r="I197" s="814"/>
      <c r="J197" s="814">
        <v>0</v>
      </c>
      <c r="K197" s="814">
        <v>0</v>
      </c>
      <c r="L197" s="814">
        <v>37525.800000000003</v>
      </c>
      <c r="M197" s="814">
        <v>1755</v>
      </c>
      <c r="N197" s="814">
        <v>671.21052631578948</v>
      </c>
      <c r="O197" s="814">
        <v>0</v>
      </c>
      <c r="P197" s="813">
        <f t="shared" si="131"/>
        <v>39952.010526315789</v>
      </c>
      <c r="Q197" s="814">
        <f t="shared" si="132"/>
        <v>31961.608421052631</v>
      </c>
      <c r="R197" s="814"/>
      <c r="S197" s="814"/>
      <c r="T197" s="814"/>
      <c r="U197" s="814"/>
      <c r="V197" s="814"/>
      <c r="W197" s="814"/>
      <c r="X197" s="814"/>
      <c r="Y197" s="814"/>
      <c r="Z197" s="814"/>
      <c r="AA197" s="814"/>
      <c r="AB197" s="815"/>
      <c r="AC197" s="815"/>
      <c r="AD197" s="815"/>
      <c r="AE197" s="815"/>
      <c r="AF197" s="815"/>
      <c r="AG197" s="815"/>
      <c r="AH197" s="814"/>
      <c r="AI197" s="815"/>
      <c r="AJ197" s="814"/>
      <c r="AK197" s="815">
        <v>620.09999999999991</v>
      </c>
      <c r="AL197" s="815"/>
      <c r="AM197" s="815"/>
      <c r="AN197" s="814"/>
      <c r="AO197" s="815">
        <f t="shared" si="137"/>
        <v>496.07999999999993</v>
      </c>
      <c r="AP197" s="815">
        <f t="shared" si="138"/>
        <v>0</v>
      </c>
      <c r="AQ197" s="815">
        <f t="shared" si="139"/>
        <v>0</v>
      </c>
      <c r="AR197" s="816"/>
      <c r="AS197" s="816">
        <v>0</v>
      </c>
      <c r="AT197" s="817">
        <f t="shared" si="140"/>
        <v>0</v>
      </c>
      <c r="AU197" s="816"/>
      <c r="AV197" s="816">
        <v>0</v>
      </c>
      <c r="AW197" s="816">
        <v>0</v>
      </c>
      <c r="AX197" s="816">
        <v>33111</v>
      </c>
      <c r="AY197" s="816">
        <v>1560</v>
      </c>
      <c r="AZ197" s="816">
        <v>596.63157894736844</v>
      </c>
      <c r="BA197" s="816">
        <v>0</v>
      </c>
      <c r="BB197" s="816">
        <v>585</v>
      </c>
      <c r="BC197" s="816">
        <f t="shared" si="141"/>
        <v>35852.631578947367</v>
      </c>
      <c r="BE197" s="824">
        <f t="shared" si="142"/>
        <v>0</v>
      </c>
      <c r="BF197" s="824">
        <f t="shared" si="143"/>
        <v>0</v>
      </c>
      <c r="BG197" s="824">
        <f t="shared" si="144"/>
        <v>-4414.8000000000029</v>
      </c>
      <c r="BH197" s="824">
        <f t="shared" si="145"/>
        <v>-195</v>
      </c>
      <c r="BI197" s="824">
        <f t="shared" si="146"/>
        <v>-74.578947368421041</v>
      </c>
      <c r="BJ197" s="824">
        <f t="shared" si="147"/>
        <v>0</v>
      </c>
      <c r="BK197" s="824">
        <f t="shared" si="148"/>
        <v>-35.099999999999909</v>
      </c>
      <c r="BL197" s="824">
        <f t="shared" si="149"/>
        <v>-4719.4789473684232</v>
      </c>
      <c r="BM197" s="813">
        <f t="shared" si="150"/>
        <v>0</v>
      </c>
      <c r="BN197" s="813"/>
      <c r="BO197" s="816">
        <f t="shared" si="181"/>
        <v>0</v>
      </c>
      <c r="BP197" s="816">
        <f t="shared" si="182"/>
        <v>0</v>
      </c>
      <c r="BQ197" s="816">
        <f t="shared" si="183"/>
        <v>3090.3599999999969</v>
      </c>
      <c r="BR197" s="816">
        <f t="shared" si="184"/>
        <v>156</v>
      </c>
      <c r="BS197" s="816">
        <f t="shared" si="185"/>
        <v>59.663157894736855</v>
      </c>
      <c r="BT197" s="816">
        <f t="shared" si="186"/>
        <v>0</v>
      </c>
      <c r="BU197" s="816">
        <f t="shared" si="187"/>
        <v>88.920000000000073</v>
      </c>
      <c r="BV197" s="816">
        <f t="shared" si="129"/>
        <v>3394.9431578947338</v>
      </c>
      <c r="BW197" s="816">
        <f t="shared" si="130"/>
        <v>0</v>
      </c>
      <c r="BX197" s="293"/>
      <c r="BY197" s="293"/>
      <c r="BZ197" s="293"/>
      <c r="CA197" s="293"/>
      <c r="CB197" s="293"/>
      <c r="CC197" s="293"/>
      <c r="CD197" s="293"/>
      <c r="CE197" s="293"/>
      <c r="CF197" s="293"/>
      <c r="CG197" s="293"/>
      <c r="CH197" s="293">
        <v>0</v>
      </c>
      <c r="CI197" s="293"/>
      <c r="CJ197" s="293"/>
      <c r="CK197" s="293"/>
      <c r="CL197" s="293"/>
      <c r="CM197" s="293"/>
      <c r="CN197" s="293"/>
      <c r="CO197" s="293"/>
      <c r="CP197" s="58"/>
      <c r="CQ197" s="223"/>
      <c r="CR197" s="223"/>
      <c r="CS197" s="223"/>
      <c r="CT197" s="223"/>
      <c r="CU197" s="223"/>
      <c r="CV197" s="223"/>
      <c r="CW197" s="223"/>
      <c r="CX197" s="223">
        <f t="shared" si="161"/>
        <v>0</v>
      </c>
      <c r="CY197" s="58">
        <f t="shared" si="162"/>
        <v>0</v>
      </c>
      <c r="CZ197" s="399">
        <f t="shared" si="163"/>
        <v>0</v>
      </c>
      <c r="DA197" s="399">
        <f t="shared" si="164"/>
        <v>0</v>
      </c>
      <c r="DB197" s="399">
        <f t="shared" si="165"/>
        <v>0</v>
      </c>
      <c r="DC197" s="399">
        <f t="shared" si="166"/>
        <v>0</v>
      </c>
      <c r="DD197" s="399">
        <f t="shared" si="167"/>
        <v>0</v>
      </c>
      <c r="DE197" s="399">
        <f t="shared" si="168"/>
        <v>0</v>
      </c>
      <c r="DF197" s="399">
        <f t="shared" si="169"/>
        <v>0</v>
      </c>
      <c r="DG197" s="399">
        <f t="shared" si="170"/>
        <v>0</v>
      </c>
      <c r="DH197"/>
      <c r="DI197" s="818"/>
      <c r="DJ197" s="818"/>
      <c r="DK197" s="818"/>
      <c r="DL197" s="818"/>
      <c r="DM197" s="818"/>
      <c r="DN197" s="818"/>
      <c r="DO197" s="818"/>
      <c r="DP197" s="818"/>
      <c r="DQ197" s="818"/>
      <c r="DS197" s="818"/>
      <c r="DT197" s="818"/>
      <c r="DU197" s="818"/>
      <c r="DV197" s="818"/>
      <c r="DW197" s="818"/>
      <c r="DX197" s="818"/>
      <c r="DY197" s="818"/>
      <c r="DZ197" s="818"/>
      <c r="EB197" s="228">
        <f t="shared" si="171"/>
        <v>35852.631578947367</v>
      </c>
      <c r="EC197" s="228">
        <f t="shared" si="172"/>
        <v>0</v>
      </c>
      <c r="ED197" s="778">
        <f t="shared" si="173"/>
        <v>35852.631578947367</v>
      </c>
    </row>
    <row r="198" spans="1:134" s="378" customFormat="1" hidden="1">
      <c r="A198" s="777">
        <v>3406</v>
      </c>
      <c r="B198" s="446">
        <v>103476</v>
      </c>
      <c r="C198" s="446" t="s">
        <v>412</v>
      </c>
      <c r="D198" s="446" t="s">
        <v>413</v>
      </c>
      <c r="E198" s="372" t="s">
        <v>32</v>
      </c>
      <c r="F198" s="812" t="str">
        <f>VLOOKUP(A198,'Summary Mar 2026'!$A$8:$F$207,6,FALSE)</f>
        <v>Academy</v>
      </c>
      <c r="G198" s="813"/>
      <c r="H198" s="814">
        <v>0</v>
      </c>
      <c r="I198" s="814"/>
      <c r="J198" s="814">
        <v>0</v>
      </c>
      <c r="K198" s="814">
        <v>0</v>
      </c>
      <c r="L198" s="814">
        <v>24281.4</v>
      </c>
      <c r="M198" s="814">
        <v>0</v>
      </c>
      <c r="N198" s="814">
        <v>0</v>
      </c>
      <c r="O198" s="814">
        <v>0</v>
      </c>
      <c r="P198" s="813">
        <f t="shared" si="131"/>
        <v>24281.4</v>
      </c>
      <c r="Q198" s="814">
        <f t="shared" si="132"/>
        <v>19425.120000000003</v>
      </c>
      <c r="R198" s="814"/>
      <c r="S198" s="814"/>
      <c r="T198" s="814"/>
      <c r="U198" s="814"/>
      <c r="V198" s="814"/>
      <c r="W198" s="814"/>
      <c r="X198" s="814"/>
      <c r="Y198" s="814"/>
      <c r="Z198" s="814"/>
      <c r="AA198" s="814"/>
      <c r="AB198" s="815"/>
      <c r="AC198" s="815"/>
      <c r="AD198" s="815"/>
      <c r="AE198" s="815"/>
      <c r="AF198" s="815"/>
      <c r="AG198" s="815"/>
      <c r="AH198" s="814"/>
      <c r="AI198" s="815"/>
      <c r="AJ198" s="814"/>
      <c r="AK198" s="815">
        <v>633.75</v>
      </c>
      <c r="AL198" s="815"/>
      <c r="AM198" s="815"/>
      <c r="AN198" s="814"/>
      <c r="AO198" s="815">
        <f t="shared" si="137"/>
        <v>507</v>
      </c>
      <c r="AP198" s="815">
        <f t="shared" si="138"/>
        <v>0</v>
      </c>
      <c r="AQ198" s="815">
        <f t="shared" si="139"/>
        <v>0</v>
      </c>
      <c r="AR198" s="816"/>
      <c r="AS198" s="816">
        <v>0</v>
      </c>
      <c r="AT198" s="817">
        <f t="shared" si="140"/>
        <v>0</v>
      </c>
      <c r="AU198" s="816"/>
      <c r="AV198" s="816">
        <v>0</v>
      </c>
      <c r="AW198" s="816">
        <v>0</v>
      </c>
      <c r="AX198" s="816">
        <v>24281.4</v>
      </c>
      <c r="AY198" s="816">
        <v>2340</v>
      </c>
      <c r="AZ198" s="816">
        <v>894.94736842105272</v>
      </c>
      <c r="BA198" s="816">
        <v>0</v>
      </c>
      <c r="BB198" s="816">
        <v>932.1</v>
      </c>
      <c r="BC198" s="816">
        <f t="shared" si="141"/>
        <v>28448.447368421053</v>
      </c>
      <c r="BE198" s="824">
        <f t="shared" si="142"/>
        <v>0</v>
      </c>
      <c r="BF198" s="824">
        <f t="shared" si="143"/>
        <v>0</v>
      </c>
      <c r="BG198" s="824">
        <f t="shared" si="144"/>
        <v>0</v>
      </c>
      <c r="BH198" s="824">
        <f t="shared" si="145"/>
        <v>2340</v>
      </c>
      <c r="BI198" s="824">
        <f t="shared" si="146"/>
        <v>894.94736842105272</v>
      </c>
      <c r="BJ198" s="824">
        <f t="shared" si="147"/>
        <v>0</v>
      </c>
      <c r="BK198" s="824">
        <f t="shared" si="148"/>
        <v>298.35000000000002</v>
      </c>
      <c r="BL198" s="824">
        <f t="shared" si="149"/>
        <v>3533.2973684210524</v>
      </c>
      <c r="BM198" s="813">
        <f t="shared" si="150"/>
        <v>0</v>
      </c>
      <c r="BN198" s="813"/>
      <c r="BO198" s="816">
        <f t="shared" si="181"/>
        <v>0</v>
      </c>
      <c r="BP198" s="816">
        <f t="shared" si="182"/>
        <v>0</v>
      </c>
      <c r="BQ198" s="816">
        <f t="shared" si="183"/>
        <v>4856.2799999999988</v>
      </c>
      <c r="BR198" s="816">
        <f t="shared" si="184"/>
        <v>2340</v>
      </c>
      <c r="BS198" s="816">
        <f t="shared" si="185"/>
        <v>894.94736842105272</v>
      </c>
      <c r="BT198" s="816">
        <f t="shared" si="186"/>
        <v>0</v>
      </c>
      <c r="BU198" s="816">
        <f t="shared" si="187"/>
        <v>425.1</v>
      </c>
      <c r="BV198" s="816">
        <f t="shared" si="129"/>
        <v>8516.3273684210508</v>
      </c>
      <c r="BW198" s="816">
        <f t="shared" si="130"/>
        <v>0</v>
      </c>
      <c r="BX198" s="293"/>
      <c r="BY198" s="293"/>
      <c r="BZ198" s="293"/>
      <c r="CA198" s="293"/>
      <c r="CB198" s="293"/>
      <c r="CC198" s="293"/>
      <c r="CD198" s="293"/>
      <c r="CE198" s="293"/>
      <c r="CF198" s="293"/>
      <c r="CG198" s="293"/>
      <c r="CH198" s="293">
        <v>0</v>
      </c>
      <c r="CI198" s="293"/>
      <c r="CJ198" s="293"/>
      <c r="CK198" s="293"/>
      <c r="CL198" s="293"/>
      <c r="CM198" s="293"/>
      <c r="CN198" s="293"/>
      <c r="CO198" s="293"/>
      <c r="CP198" s="58"/>
      <c r="CQ198" s="223"/>
      <c r="CR198" s="223"/>
      <c r="CS198" s="223"/>
      <c r="CT198" s="223"/>
      <c r="CU198" s="223"/>
      <c r="CV198" s="223"/>
      <c r="CW198" s="223"/>
      <c r="CX198" s="223">
        <f t="shared" si="161"/>
        <v>0</v>
      </c>
      <c r="CY198" s="58">
        <f t="shared" si="162"/>
        <v>0</v>
      </c>
      <c r="CZ198" s="399">
        <f t="shared" si="163"/>
        <v>0</v>
      </c>
      <c r="DA198" s="399">
        <f t="shared" si="164"/>
        <v>0</v>
      </c>
      <c r="DB198" s="399">
        <f t="shared" si="165"/>
        <v>0</v>
      </c>
      <c r="DC198" s="399">
        <f t="shared" si="166"/>
        <v>0</v>
      </c>
      <c r="DD198" s="399">
        <f t="shared" si="167"/>
        <v>0</v>
      </c>
      <c r="DE198" s="399">
        <f t="shared" si="168"/>
        <v>0</v>
      </c>
      <c r="DF198" s="399">
        <f t="shared" si="169"/>
        <v>0</v>
      </c>
      <c r="DG198" s="399">
        <f t="shared" si="170"/>
        <v>0</v>
      </c>
      <c r="DH198"/>
      <c r="DI198" s="818"/>
      <c r="DJ198" s="818"/>
      <c r="DK198" s="818"/>
      <c r="DL198" s="818"/>
      <c r="DM198" s="818"/>
      <c r="DN198" s="818"/>
      <c r="DO198" s="818"/>
      <c r="DP198" s="818"/>
      <c r="DQ198" s="818"/>
      <c r="DS198" s="818"/>
      <c r="DT198" s="818"/>
      <c r="DU198" s="818"/>
      <c r="DV198" s="818"/>
      <c r="DW198" s="818"/>
      <c r="DX198" s="818"/>
      <c r="DY198" s="818"/>
      <c r="DZ198" s="818"/>
      <c r="EB198" s="228">
        <f t="shared" si="171"/>
        <v>28448.447368421053</v>
      </c>
      <c r="EC198" s="228">
        <f t="shared" si="172"/>
        <v>0</v>
      </c>
      <c r="ED198" s="778">
        <f t="shared" si="173"/>
        <v>28448.447368421053</v>
      </c>
    </row>
    <row r="199" spans="1:134" s="378" customFormat="1" hidden="1">
      <c r="A199" s="777">
        <v>3342</v>
      </c>
      <c r="B199" s="446">
        <v>103437</v>
      </c>
      <c r="C199" s="446" t="s">
        <v>414</v>
      </c>
      <c r="D199" s="446" t="s">
        <v>415</v>
      </c>
      <c r="E199" s="372" t="s">
        <v>32</v>
      </c>
      <c r="F199" s="812" t="str">
        <f>VLOOKUP(A199,'Summary Mar 2026'!$A$8:$F$207,6,FALSE)</f>
        <v>Academy</v>
      </c>
      <c r="G199" s="813"/>
      <c r="H199" s="814">
        <v>0</v>
      </c>
      <c r="I199" s="814"/>
      <c r="J199" s="814">
        <v>0</v>
      </c>
      <c r="K199" s="814">
        <v>0</v>
      </c>
      <c r="L199" s="814">
        <v>0</v>
      </c>
      <c r="M199" s="814">
        <v>0</v>
      </c>
      <c r="N199" s="814">
        <v>0</v>
      </c>
      <c r="O199" s="814">
        <v>0</v>
      </c>
      <c r="P199" s="813">
        <f t="shared" si="131"/>
        <v>0</v>
      </c>
      <c r="Q199" s="814">
        <f t="shared" si="132"/>
        <v>0</v>
      </c>
      <c r="R199" s="814"/>
      <c r="S199" s="814">
        <v>0</v>
      </c>
      <c r="T199" s="814">
        <v>0</v>
      </c>
      <c r="U199" s="814">
        <v>0</v>
      </c>
      <c r="V199" s="814">
        <v>0</v>
      </c>
      <c r="W199" s="814">
        <v>0</v>
      </c>
      <c r="X199" s="814">
        <v>0</v>
      </c>
      <c r="Y199" s="814">
        <f t="shared" si="133"/>
        <v>0</v>
      </c>
      <c r="Z199" s="814">
        <f t="shared" si="134"/>
        <v>0</v>
      </c>
      <c r="AA199" s="814"/>
      <c r="AB199" s="815">
        <v>0</v>
      </c>
      <c r="AC199" s="815">
        <v>0</v>
      </c>
      <c r="AD199" s="815">
        <v>0</v>
      </c>
      <c r="AE199" s="815">
        <v>0</v>
      </c>
      <c r="AF199" s="815">
        <v>0</v>
      </c>
      <c r="AG199" s="815">
        <v>0</v>
      </c>
      <c r="AH199" s="814">
        <f t="shared" si="135"/>
        <v>0</v>
      </c>
      <c r="AI199" s="815">
        <f t="shared" si="136"/>
        <v>0</v>
      </c>
      <c r="AJ199" s="814"/>
      <c r="AK199" s="815">
        <v>0</v>
      </c>
      <c r="AL199" s="815">
        <v>0</v>
      </c>
      <c r="AM199" s="815">
        <v>0</v>
      </c>
      <c r="AN199" s="814"/>
      <c r="AO199" s="815">
        <f t="shared" si="137"/>
        <v>0</v>
      </c>
      <c r="AP199" s="815">
        <f t="shared" si="138"/>
        <v>0</v>
      </c>
      <c r="AQ199" s="815">
        <f t="shared" si="139"/>
        <v>0</v>
      </c>
      <c r="AR199" s="816"/>
      <c r="AS199" s="816">
        <v>0</v>
      </c>
      <c r="AT199" s="817">
        <f t="shared" si="140"/>
        <v>0</v>
      </c>
      <c r="AU199" s="816"/>
      <c r="AV199" s="816">
        <v>0</v>
      </c>
      <c r="AW199" s="816">
        <v>0</v>
      </c>
      <c r="AX199" s="816">
        <v>0</v>
      </c>
      <c r="AY199" s="816">
        <v>0</v>
      </c>
      <c r="AZ199" s="816">
        <v>0</v>
      </c>
      <c r="BA199" s="816">
        <v>0</v>
      </c>
      <c r="BB199" s="816">
        <v>0</v>
      </c>
      <c r="BC199" s="816">
        <f t="shared" si="141"/>
        <v>0</v>
      </c>
      <c r="BE199" s="824">
        <f t="shared" si="142"/>
        <v>0</v>
      </c>
      <c r="BF199" s="824">
        <f t="shared" si="143"/>
        <v>0</v>
      </c>
      <c r="BG199" s="824">
        <f t="shared" si="144"/>
        <v>0</v>
      </c>
      <c r="BH199" s="824">
        <f t="shared" si="145"/>
        <v>0</v>
      </c>
      <c r="BI199" s="824">
        <f t="shared" si="146"/>
        <v>0</v>
      </c>
      <c r="BJ199" s="824">
        <f t="shared" si="147"/>
        <v>0</v>
      </c>
      <c r="BK199" s="824">
        <f t="shared" si="148"/>
        <v>0</v>
      </c>
      <c r="BL199" s="824">
        <f t="shared" si="149"/>
        <v>0</v>
      </c>
      <c r="BM199" s="813">
        <f t="shared" si="150"/>
        <v>0</v>
      </c>
      <c r="BN199" s="813"/>
      <c r="BO199" s="816">
        <f t="shared" si="181"/>
        <v>0</v>
      </c>
      <c r="BP199" s="816">
        <f t="shared" si="182"/>
        <v>0</v>
      </c>
      <c r="BQ199" s="816">
        <f t="shared" si="183"/>
        <v>0</v>
      </c>
      <c r="BR199" s="816">
        <f t="shared" si="184"/>
        <v>0</v>
      </c>
      <c r="BS199" s="816">
        <f t="shared" si="185"/>
        <v>0</v>
      </c>
      <c r="BT199" s="816">
        <f t="shared" si="186"/>
        <v>0</v>
      </c>
      <c r="BU199" s="816">
        <f t="shared" si="187"/>
        <v>0</v>
      </c>
      <c r="BV199" s="816">
        <f t="shared" si="129"/>
        <v>0</v>
      </c>
      <c r="BW199" s="816">
        <f t="shared" si="130"/>
        <v>0</v>
      </c>
      <c r="BX199" s="293"/>
      <c r="BY199" s="293"/>
      <c r="BZ199" s="293"/>
      <c r="CA199" s="293"/>
      <c r="CB199" s="293"/>
      <c r="CC199" s="293"/>
      <c r="CD199" s="293"/>
      <c r="CE199" s="293"/>
      <c r="CF199" s="293"/>
      <c r="CG199" s="293"/>
      <c r="CH199" s="293">
        <v>0</v>
      </c>
      <c r="CI199" s="293"/>
      <c r="CJ199" s="293"/>
      <c r="CK199" s="293"/>
      <c r="CL199" s="293"/>
      <c r="CM199" s="293"/>
      <c r="CN199" s="293"/>
      <c r="CO199" s="293"/>
      <c r="CP199" s="58"/>
      <c r="CQ199" s="223"/>
      <c r="CR199" s="223"/>
      <c r="CS199" s="223"/>
      <c r="CT199" s="223"/>
      <c r="CU199" s="223"/>
      <c r="CV199" s="223"/>
      <c r="CW199" s="223"/>
      <c r="CX199" s="223">
        <f t="shared" si="161"/>
        <v>0</v>
      </c>
      <c r="CY199" s="58">
        <f t="shared" si="162"/>
        <v>0</v>
      </c>
      <c r="CZ199" s="399">
        <f t="shared" si="163"/>
        <v>0</v>
      </c>
      <c r="DA199" s="399">
        <f t="shared" si="164"/>
        <v>0</v>
      </c>
      <c r="DB199" s="399">
        <f t="shared" si="165"/>
        <v>0</v>
      </c>
      <c r="DC199" s="399">
        <f t="shared" si="166"/>
        <v>0</v>
      </c>
      <c r="DD199" s="399">
        <f t="shared" si="167"/>
        <v>0</v>
      </c>
      <c r="DE199" s="399">
        <f t="shared" si="168"/>
        <v>0</v>
      </c>
      <c r="DF199" s="399">
        <f t="shared" si="169"/>
        <v>0</v>
      </c>
      <c r="DG199" s="399">
        <f t="shared" si="170"/>
        <v>0</v>
      </c>
      <c r="DH199"/>
      <c r="DI199" s="818"/>
      <c r="DJ199" s="818"/>
      <c r="DK199" s="818"/>
      <c r="DL199" s="818"/>
      <c r="DM199" s="818"/>
      <c r="DN199" s="818"/>
      <c r="DO199" s="818"/>
      <c r="DP199" s="818"/>
      <c r="DQ199" s="818"/>
      <c r="DS199" s="818"/>
      <c r="DT199" s="818"/>
      <c r="DU199" s="818"/>
      <c r="DV199" s="818"/>
      <c r="DW199" s="818"/>
      <c r="DX199" s="818"/>
      <c r="DY199" s="818"/>
      <c r="DZ199" s="818"/>
      <c r="EB199" s="228">
        <f t="shared" si="171"/>
        <v>0</v>
      </c>
      <c r="EC199" s="228">
        <f t="shared" si="172"/>
        <v>0</v>
      </c>
      <c r="ED199" s="778">
        <f t="shared" si="173"/>
        <v>0</v>
      </c>
    </row>
    <row r="200" spans="1:134" hidden="1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3" t="str">
        <f>VLOOKUP(A200,'Summary Mar 2026'!$A$8:$F$207,6,FALSE)</f>
        <v>Chq Bk</v>
      </c>
      <c r="G200" s="33"/>
      <c r="H200" s="223">
        <v>0</v>
      </c>
      <c r="I200" s="294"/>
      <c r="J200" s="223">
        <v>0</v>
      </c>
      <c r="K200" s="223">
        <v>0</v>
      </c>
      <c r="L200" s="223">
        <v>0</v>
      </c>
      <c r="M200" s="223">
        <v>0</v>
      </c>
      <c r="N200" s="223">
        <v>0</v>
      </c>
      <c r="O200" s="223">
        <v>0</v>
      </c>
      <c r="P200" s="33">
        <f t="shared" si="131"/>
        <v>0</v>
      </c>
      <c r="Q200" s="223">
        <f t="shared" si="132"/>
        <v>0</v>
      </c>
      <c r="R200" s="294"/>
      <c r="S200" s="223">
        <v>0</v>
      </c>
      <c r="T200" s="223">
        <v>0</v>
      </c>
      <c r="U200" s="223">
        <v>0</v>
      </c>
      <c r="V200" s="223">
        <v>0</v>
      </c>
      <c r="W200" s="223">
        <v>0</v>
      </c>
      <c r="X200" s="223">
        <v>0</v>
      </c>
      <c r="Y200" s="223">
        <f t="shared" si="133"/>
        <v>0</v>
      </c>
      <c r="Z200" s="223">
        <f t="shared" si="134"/>
        <v>0</v>
      </c>
      <c r="AA200" s="294"/>
      <c r="AB200" s="398">
        <v>0</v>
      </c>
      <c r="AC200" s="398">
        <v>0</v>
      </c>
      <c r="AD200" s="398">
        <v>0</v>
      </c>
      <c r="AE200" s="398">
        <v>0</v>
      </c>
      <c r="AF200" s="398">
        <v>0</v>
      </c>
      <c r="AG200" s="398">
        <v>0</v>
      </c>
      <c r="AH200" s="223">
        <f t="shared" si="135"/>
        <v>0</v>
      </c>
      <c r="AI200" s="398">
        <f t="shared" si="136"/>
        <v>0</v>
      </c>
      <c r="AJ200" s="294"/>
      <c r="AK200" s="398">
        <v>0</v>
      </c>
      <c r="AL200" s="398">
        <v>0</v>
      </c>
      <c r="AM200" s="398">
        <v>0</v>
      </c>
      <c r="AN200" s="294"/>
      <c r="AO200" s="398">
        <f t="shared" si="137"/>
        <v>0</v>
      </c>
      <c r="AP200" s="398">
        <f t="shared" si="138"/>
        <v>0</v>
      </c>
      <c r="AQ200" s="398">
        <f t="shared" si="139"/>
        <v>0</v>
      </c>
      <c r="AR200" s="293"/>
      <c r="AS200" s="293">
        <v>0</v>
      </c>
      <c r="AT200" s="576">
        <f t="shared" si="140"/>
        <v>0</v>
      </c>
      <c r="AU200" s="293"/>
      <c r="AV200" s="293">
        <v>0</v>
      </c>
      <c r="AW200" s="293">
        <v>0</v>
      </c>
      <c r="AX200" s="293">
        <v>0</v>
      </c>
      <c r="AY200" s="293">
        <v>0</v>
      </c>
      <c r="AZ200" s="293">
        <v>0</v>
      </c>
      <c r="BA200" s="293">
        <v>0</v>
      </c>
      <c r="BB200" s="293">
        <v>0</v>
      </c>
      <c r="BC200" s="293">
        <f t="shared" si="141"/>
        <v>0</v>
      </c>
      <c r="BE200" s="58">
        <f t="shared" si="142"/>
        <v>0</v>
      </c>
      <c r="BF200" s="58">
        <f t="shared" si="143"/>
        <v>0</v>
      </c>
      <c r="BG200" s="58">
        <f t="shared" si="144"/>
        <v>0</v>
      </c>
      <c r="BH200" s="58">
        <f t="shared" si="145"/>
        <v>0</v>
      </c>
      <c r="BI200" s="58">
        <f t="shared" si="146"/>
        <v>0</v>
      </c>
      <c r="BJ200" s="58">
        <f t="shared" si="147"/>
        <v>0</v>
      </c>
      <c r="BK200" s="58">
        <f t="shared" si="148"/>
        <v>0</v>
      </c>
      <c r="BL200" s="58">
        <f t="shared" si="149"/>
        <v>0</v>
      </c>
      <c r="BM200" s="33">
        <f t="shared" si="150"/>
        <v>0</v>
      </c>
      <c r="BN200" s="33"/>
      <c r="BO200" s="293">
        <f t="shared" si="181"/>
        <v>0</v>
      </c>
      <c r="BP200" s="293">
        <f t="shared" si="182"/>
        <v>0</v>
      </c>
      <c r="BQ200" s="293">
        <f t="shared" si="183"/>
        <v>0</v>
      </c>
      <c r="BR200" s="293">
        <f t="shared" si="184"/>
        <v>0</v>
      </c>
      <c r="BS200" s="293">
        <f t="shared" si="185"/>
        <v>0</v>
      </c>
      <c r="BT200" s="293">
        <f t="shared" si="186"/>
        <v>0</v>
      </c>
      <c r="BU200" s="293">
        <f t="shared" si="187"/>
        <v>0</v>
      </c>
      <c r="BV200" s="293">
        <f t="shared" ref="BV200:BV206" si="188">SUM(BO200:BU200)+AT200</f>
        <v>0</v>
      </c>
      <c r="BW200" s="293">
        <f t="shared" ref="BW200:BW206" si="189">(Q200+AO200+AS200+BV200)-BC200-AT200</f>
        <v>0</v>
      </c>
      <c r="BX200" s="293">
        <v>0</v>
      </c>
      <c r="BY200" s="293">
        <v>0</v>
      </c>
      <c r="BZ200" s="293">
        <v>0</v>
      </c>
      <c r="CA200" s="293">
        <v>0</v>
      </c>
      <c r="CB200" s="293">
        <v>0</v>
      </c>
      <c r="CC200" s="293">
        <v>0</v>
      </c>
      <c r="CD200" s="293">
        <v>0</v>
      </c>
      <c r="CE200" s="293">
        <f t="shared" si="151"/>
        <v>0</v>
      </c>
      <c r="CF200" s="293"/>
      <c r="CG200" s="293">
        <v>0</v>
      </c>
      <c r="CH200" s="293">
        <v>0</v>
      </c>
      <c r="CI200" s="293">
        <v>0</v>
      </c>
      <c r="CJ200" s="293">
        <v>0</v>
      </c>
      <c r="CK200" s="293">
        <v>0</v>
      </c>
      <c r="CL200" s="293">
        <v>0</v>
      </c>
      <c r="CM200" s="293">
        <v>0</v>
      </c>
      <c r="CN200" s="293">
        <f t="shared" si="152"/>
        <v>0</v>
      </c>
      <c r="CO200" s="293"/>
      <c r="CP200" s="58">
        <f t="shared" si="153"/>
        <v>0</v>
      </c>
      <c r="CQ200" s="223">
        <f t="shared" si="154"/>
        <v>0</v>
      </c>
      <c r="CR200" s="223">
        <f t="shared" si="155"/>
        <v>0</v>
      </c>
      <c r="CS200" s="223">
        <f t="shared" si="156"/>
        <v>0</v>
      </c>
      <c r="CT200" s="223">
        <f t="shared" si="157"/>
        <v>0</v>
      </c>
      <c r="CU200" s="223">
        <f t="shared" si="158"/>
        <v>0</v>
      </c>
      <c r="CV200" s="223">
        <f t="shared" si="159"/>
        <v>0</v>
      </c>
      <c r="CW200" s="223">
        <f t="shared" si="160"/>
        <v>0</v>
      </c>
      <c r="CX200" s="223">
        <f t="shared" si="161"/>
        <v>0</v>
      </c>
      <c r="CY200" s="58">
        <f t="shared" si="162"/>
        <v>0</v>
      </c>
      <c r="CZ200" s="399">
        <f t="shared" si="163"/>
        <v>0</v>
      </c>
      <c r="DA200" s="399">
        <f t="shared" si="164"/>
        <v>0</v>
      </c>
      <c r="DB200" s="399">
        <f t="shared" si="165"/>
        <v>0</v>
      </c>
      <c r="DC200" s="399">
        <f t="shared" si="166"/>
        <v>0</v>
      </c>
      <c r="DD200" s="399">
        <f t="shared" si="167"/>
        <v>0</v>
      </c>
      <c r="DE200" s="399">
        <f t="shared" si="168"/>
        <v>0</v>
      </c>
      <c r="DF200" s="399">
        <f t="shared" si="169"/>
        <v>0</v>
      </c>
      <c r="DG200" s="399">
        <f t="shared" si="170"/>
        <v>0</v>
      </c>
      <c r="DI200" s="399"/>
      <c r="DJ200" s="399"/>
      <c r="DK200" s="399"/>
      <c r="DL200" s="399"/>
      <c r="DM200" s="399"/>
      <c r="DN200" s="399"/>
      <c r="DO200" s="399"/>
      <c r="DP200" s="399"/>
      <c r="DQ200" s="399"/>
      <c r="DS200" s="399"/>
      <c r="DT200" s="399"/>
      <c r="DU200" s="399"/>
      <c r="DV200" s="399"/>
      <c r="DW200" s="399"/>
      <c r="DX200" s="399"/>
      <c r="DY200" s="399"/>
      <c r="DZ200" s="399"/>
      <c r="EB200" s="228">
        <f t="shared" si="171"/>
        <v>0</v>
      </c>
      <c r="EC200" s="228">
        <f t="shared" si="172"/>
        <v>0</v>
      </c>
      <c r="ED200" s="214">
        <f t="shared" si="173"/>
        <v>0</v>
      </c>
    </row>
    <row r="201" spans="1:134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3" t="str">
        <f>VLOOKUP(A201,'Summary Mar 2026'!$A$8:$F$207,6,FALSE)</f>
        <v>Chq Bk</v>
      </c>
      <c r="G201" s="33"/>
      <c r="H201" s="223">
        <v>0</v>
      </c>
      <c r="I201" s="294"/>
      <c r="J201" s="223">
        <v>0</v>
      </c>
      <c r="K201" s="223">
        <v>0</v>
      </c>
      <c r="L201" s="223">
        <v>29799.9</v>
      </c>
      <c r="M201" s="223">
        <v>1365</v>
      </c>
      <c r="N201" s="223">
        <v>223.73684210526318</v>
      </c>
      <c r="O201" s="223">
        <v>0</v>
      </c>
      <c r="P201" s="33">
        <f t="shared" ref="P201:P207" si="190">SUM(J201:O201)</f>
        <v>31388.636842105265</v>
      </c>
      <c r="Q201" s="223">
        <f t="shared" ref="Q201:Q207" si="191">P201*80%</f>
        <v>25110.909473684213</v>
      </c>
      <c r="R201" s="294"/>
      <c r="S201" s="223">
        <v>0</v>
      </c>
      <c r="T201" s="223">
        <v>0</v>
      </c>
      <c r="U201" s="223">
        <v>27592.5</v>
      </c>
      <c r="V201" s="223">
        <v>1365</v>
      </c>
      <c r="W201" s="223">
        <v>522.0526315789474</v>
      </c>
      <c r="X201" s="223">
        <v>0</v>
      </c>
      <c r="Y201" s="223">
        <f t="shared" ref="Y201:Y207" si="192">SUM(S201:X201)</f>
        <v>29479.552631578947</v>
      </c>
      <c r="Z201" s="223">
        <f t="shared" ref="Z201:Z207" si="193">Y201*80%</f>
        <v>23583.642105263159</v>
      </c>
      <c r="AA201" s="294"/>
      <c r="AB201" s="398">
        <v>0</v>
      </c>
      <c r="AC201" s="398">
        <v>0</v>
      </c>
      <c r="AD201" s="398">
        <v>25738.10526315789</v>
      </c>
      <c r="AE201" s="398">
        <v>1250.5263157894738</v>
      </c>
      <c r="AF201" s="398">
        <v>347.83379501385036</v>
      </c>
      <c r="AG201" s="398">
        <v>0</v>
      </c>
      <c r="AH201" s="223">
        <f t="shared" ref="AH201:AH207" si="194">SUM(AB201:AG201)</f>
        <v>27336.465373961215</v>
      </c>
      <c r="AI201" s="398">
        <f t="shared" ref="AI201:AI207" si="195">AH201*80%</f>
        <v>21869.172299168975</v>
      </c>
      <c r="AJ201" s="294"/>
      <c r="AK201" s="398">
        <v>1561.9499999999998</v>
      </c>
      <c r="AL201" s="398">
        <v>1474.2</v>
      </c>
      <c r="AM201" s="398">
        <v>1323.8526315789472</v>
      </c>
      <c r="AN201" s="294"/>
      <c r="AO201" s="398">
        <f t="shared" ref="AO201:AO207" si="196">AK201*80%</f>
        <v>1249.56</v>
      </c>
      <c r="AP201" s="398">
        <f t="shared" ref="AP201:AP207" si="197">AL201*80%</f>
        <v>1179.3600000000001</v>
      </c>
      <c r="AQ201" s="398">
        <f t="shared" ref="AQ201:AQ207" si="198">AM201*80%</f>
        <v>1059.0821052631579</v>
      </c>
      <c r="AR201" s="293"/>
      <c r="AS201" s="293">
        <v>0</v>
      </c>
      <c r="AT201" s="576">
        <f t="shared" ref="AT201:AT207" si="199">AS201-H201</f>
        <v>0</v>
      </c>
      <c r="AU201" s="293"/>
      <c r="AV201" s="293">
        <v>0</v>
      </c>
      <c r="AW201" s="293">
        <v>0</v>
      </c>
      <c r="AX201" s="293">
        <v>32007.3</v>
      </c>
      <c r="AY201" s="293">
        <v>585</v>
      </c>
      <c r="AZ201" s="293">
        <v>0</v>
      </c>
      <c r="BA201" s="293">
        <v>0</v>
      </c>
      <c r="BB201" s="293">
        <v>1571.6999999999998</v>
      </c>
      <c r="BC201" s="293">
        <f t="shared" ref="BC201:BC207" si="200">SUM(AV201:BB201)+AS201</f>
        <v>34164</v>
      </c>
      <c r="BE201" s="58">
        <f t="shared" ref="BE201:BE207" si="201">AV201-J201</f>
        <v>0</v>
      </c>
      <c r="BF201" s="58">
        <f t="shared" ref="BF201:BF207" si="202">AW201-K201</f>
        <v>0</v>
      </c>
      <c r="BG201" s="58">
        <f t="shared" ref="BG201:BG207" si="203">AX201-L201</f>
        <v>2207.3999999999978</v>
      </c>
      <c r="BH201" s="58">
        <f t="shared" ref="BH201:BH207" si="204">AY201-M201</f>
        <v>-780</v>
      </c>
      <c r="BI201" s="58">
        <f t="shared" ref="BI201:BI207" si="205">AZ201-N201</f>
        <v>-223.73684210526318</v>
      </c>
      <c r="BJ201" s="58">
        <f t="shared" ref="BJ201:BJ207" si="206">BA201-O201</f>
        <v>0</v>
      </c>
      <c r="BK201" s="58">
        <f t="shared" ref="BK201:BK207" si="207">BB201-AK201</f>
        <v>9.75</v>
      </c>
      <c r="BL201" s="58">
        <f t="shared" ref="BL201:BL207" si="208">SUM(BE201:BK201)+AT201</f>
        <v>1213.4131578947347</v>
      </c>
      <c r="BM201" s="33">
        <f t="shared" ref="BM201:BM207" si="209">BC201-(P201+H201+BL201+AK201)</f>
        <v>0</v>
      </c>
      <c r="BN201" s="33"/>
      <c r="BO201" s="293">
        <f t="shared" si="181"/>
        <v>0</v>
      </c>
      <c r="BP201" s="293">
        <f t="shared" si="182"/>
        <v>0</v>
      </c>
      <c r="BQ201" s="293">
        <f t="shared" si="183"/>
        <v>8167.3799999999974</v>
      </c>
      <c r="BR201" s="293">
        <f t="shared" si="184"/>
        <v>-507</v>
      </c>
      <c r="BS201" s="293">
        <f t="shared" si="185"/>
        <v>-178.98947368421057</v>
      </c>
      <c r="BT201" s="293">
        <f t="shared" si="186"/>
        <v>0</v>
      </c>
      <c r="BU201" s="293">
        <f t="shared" si="187"/>
        <v>322.13999999999987</v>
      </c>
      <c r="BV201" s="293">
        <f t="shared" si="188"/>
        <v>7803.5305263157861</v>
      </c>
      <c r="BW201" s="293">
        <f t="shared" si="189"/>
        <v>0</v>
      </c>
      <c r="BX201" s="293">
        <v>0</v>
      </c>
      <c r="BY201" s="293">
        <v>0</v>
      </c>
      <c r="BZ201" s="293">
        <v>0</v>
      </c>
      <c r="CA201" s="293">
        <v>0</v>
      </c>
      <c r="CB201" s="293">
        <v>0</v>
      </c>
      <c r="CC201" s="293">
        <v>0</v>
      </c>
      <c r="CD201" s="293">
        <v>226.20000000000005</v>
      </c>
      <c r="CE201" s="293">
        <f t="shared" ref="CE201:CE207" si="210">SUM(BX201:CD201)</f>
        <v>226.20000000000005</v>
      </c>
      <c r="CF201" s="293"/>
      <c r="CG201" s="293">
        <v>0</v>
      </c>
      <c r="CH201" s="293">
        <v>0</v>
      </c>
      <c r="CI201" s="293">
        <v>9933.3000000000011</v>
      </c>
      <c r="CJ201" s="293">
        <v>975</v>
      </c>
      <c r="CK201" s="293">
        <v>373.1</v>
      </c>
      <c r="CL201" s="293">
        <v>0</v>
      </c>
      <c r="CM201" s="293">
        <v>479.70000000000005</v>
      </c>
      <c r="CN201" s="293">
        <f t="shared" ref="CN201:CN207" si="211">SUM(CG201:CM201)</f>
        <v>11761.100000000002</v>
      </c>
      <c r="CO201" s="293"/>
      <c r="CP201" s="58">
        <f t="shared" ref="CP201:CP207" si="212">CG201-S201</f>
        <v>0</v>
      </c>
      <c r="CQ201" s="223">
        <f t="shared" ref="CQ201:CQ207" si="213">CH201-T201</f>
        <v>0</v>
      </c>
      <c r="CR201" s="223">
        <f t="shared" ref="CR201:CR207" si="214">CI201-U201</f>
        <v>-17659.199999999997</v>
      </c>
      <c r="CS201" s="223">
        <f t="shared" ref="CS201:CS207" si="215">CJ201-V201</f>
        <v>-390</v>
      </c>
      <c r="CT201" s="223">
        <f t="shared" ref="CT201:CT207" si="216">CK201-W201</f>
        <v>-148.95263157894738</v>
      </c>
      <c r="CU201" s="223">
        <f t="shared" ref="CU201:CU207" si="217">CL201-X201</f>
        <v>0</v>
      </c>
      <c r="CV201" s="223">
        <f t="shared" ref="CV201:CV207" si="218">CM201-AL201</f>
        <v>-994.5</v>
      </c>
      <c r="CW201" s="223">
        <f t="shared" ref="CW201:CW207" si="219">SUM(CP201:CV201)</f>
        <v>-19192.652631578945</v>
      </c>
      <c r="CX201" s="223">
        <f t="shared" ref="CX201:CX207" si="220">(Y201+CW201+AL201)-CN201</f>
        <v>0</v>
      </c>
      <c r="CY201" s="58">
        <f t="shared" ref="CY201:CY207" si="221">CG201-(S201*80%)</f>
        <v>0</v>
      </c>
      <c r="CZ201" s="399">
        <f t="shared" ref="CZ201:CZ207" si="222">CH201-(T201*80%)</f>
        <v>0</v>
      </c>
      <c r="DA201" s="399">
        <f t="shared" ref="DA201:DA207" si="223">CI201-(U201*80%)</f>
        <v>-12140.699999999999</v>
      </c>
      <c r="DB201" s="399">
        <f t="shared" ref="DB201:DB207" si="224">CJ201-(V201*80%)</f>
        <v>-117</v>
      </c>
      <c r="DC201" s="399">
        <f t="shared" ref="DC201:DC207" si="225">CK201-(W201*80%)</f>
        <v>-44.542105263157907</v>
      </c>
      <c r="DD201" s="399">
        <f t="shared" ref="DD201:DD207" si="226">CL201-(X201*80%)</f>
        <v>0</v>
      </c>
      <c r="DE201" s="399">
        <f t="shared" ref="DE201:DE207" si="227">CM201-AP201</f>
        <v>-699.66000000000008</v>
      </c>
      <c r="DF201" s="399">
        <f t="shared" ref="DF201:DF207" si="228">SUM(CY201:DE201)</f>
        <v>-13001.902105263156</v>
      </c>
      <c r="DG201" s="399">
        <f t="shared" ref="DG201:DG207" si="229">(Z201+DF201+AP201)-CN201</f>
        <v>0</v>
      </c>
      <c r="DI201" s="399"/>
      <c r="DJ201" s="399"/>
      <c r="DK201" s="399"/>
      <c r="DL201" s="399"/>
      <c r="DM201" s="399"/>
      <c r="DN201" s="399"/>
      <c r="DO201" s="399"/>
      <c r="DP201" s="399"/>
      <c r="DQ201" s="399"/>
      <c r="DS201" s="399"/>
      <c r="DT201" s="399"/>
      <c r="DU201" s="399"/>
      <c r="DV201" s="399"/>
      <c r="DW201" s="399"/>
      <c r="DX201" s="399"/>
      <c r="DY201" s="399"/>
      <c r="DZ201" s="399"/>
      <c r="EB201" s="228">
        <f t="shared" ref="EB201:EB207" si="230">((SUMIFS($J201:$AQ201,$J$3:$AQ$3,$EB$7)*80%))+SUMIFS($AS201:$AT201,$AS$3:$AT$3,$EB$7)+SUMIFS($AV201:$CN201,$AV$3:$CN$3,$EB$7)</f>
        <v>69079.554404432129</v>
      </c>
      <c r="EC201" s="228">
        <f t="shared" ref="EC201:EC207" si="231">(SUMIFS($J201:$AQ201,$J$3:$AQ$3,$EC$7)*80%)+SUMIFS($AV201:$CN201,$AV$3:$CN$3,$EC$7)</f>
        <v>0</v>
      </c>
      <c r="ED201" s="214">
        <f t="shared" ref="ED201:ED207" si="232">EB201+EC201</f>
        <v>69079.554404432129</v>
      </c>
    </row>
    <row r="202" spans="1:134" s="378" customFormat="1" hidden="1">
      <c r="A202" s="777">
        <v>3365</v>
      </c>
      <c r="B202" s="446">
        <v>103456</v>
      </c>
      <c r="C202" s="446" t="s">
        <v>420</v>
      </c>
      <c r="D202" s="446" t="s">
        <v>421</v>
      </c>
      <c r="E202" s="372" t="s">
        <v>32</v>
      </c>
      <c r="F202" s="812" t="str">
        <f>VLOOKUP(A202,'Summary Mar 2026'!$A$8:$F$207,6,FALSE)</f>
        <v>Academy</v>
      </c>
      <c r="G202" s="813"/>
      <c r="H202" s="814">
        <v>0</v>
      </c>
      <c r="I202" s="814"/>
      <c r="J202" s="814">
        <v>0</v>
      </c>
      <c r="K202" s="814">
        <v>0</v>
      </c>
      <c r="L202" s="814">
        <v>0</v>
      </c>
      <c r="M202" s="814">
        <v>0</v>
      </c>
      <c r="N202" s="814">
        <v>0</v>
      </c>
      <c r="O202" s="814">
        <v>0</v>
      </c>
      <c r="P202" s="813">
        <f t="shared" si="190"/>
        <v>0</v>
      </c>
      <c r="Q202" s="814">
        <f t="shared" si="191"/>
        <v>0</v>
      </c>
      <c r="R202" s="814"/>
      <c r="S202" s="814">
        <v>0</v>
      </c>
      <c r="T202" s="814">
        <v>0</v>
      </c>
      <c r="U202" s="814">
        <v>0</v>
      </c>
      <c r="V202" s="814">
        <v>0</v>
      </c>
      <c r="W202" s="814">
        <v>0</v>
      </c>
      <c r="X202" s="814">
        <v>0</v>
      </c>
      <c r="Y202" s="814">
        <f t="shared" si="192"/>
        <v>0</v>
      </c>
      <c r="Z202" s="814">
        <f t="shared" si="193"/>
        <v>0</v>
      </c>
      <c r="AA202" s="814"/>
      <c r="AB202" s="815">
        <v>0</v>
      </c>
      <c r="AC202" s="815">
        <v>0</v>
      </c>
      <c r="AD202" s="815">
        <v>0</v>
      </c>
      <c r="AE202" s="815">
        <v>0</v>
      </c>
      <c r="AF202" s="815">
        <v>0</v>
      </c>
      <c r="AG202" s="815">
        <v>0</v>
      </c>
      <c r="AH202" s="814">
        <f t="shared" si="194"/>
        <v>0</v>
      </c>
      <c r="AI202" s="815">
        <f t="shared" si="195"/>
        <v>0</v>
      </c>
      <c r="AJ202" s="814"/>
      <c r="AK202" s="815">
        <v>0</v>
      </c>
      <c r="AL202" s="815">
        <v>0</v>
      </c>
      <c r="AM202" s="815">
        <v>0</v>
      </c>
      <c r="AN202" s="814"/>
      <c r="AO202" s="815">
        <f t="shared" si="196"/>
        <v>0</v>
      </c>
      <c r="AP202" s="815">
        <f t="shared" si="197"/>
        <v>0</v>
      </c>
      <c r="AQ202" s="815">
        <f t="shared" si="198"/>
        <v>0</v>
      </c>
      <c r="AR202" s="816"/>
      <c r="AS202" s="816">
        <v>0</v>
      </c>
      <c r="AT202" s="817">
        <f t="shared" si="199"/>
        <v>0</v>
      </c>
      <c r="AU202" s="816"/>
      <c r="AV202" s="816">
        <v>0</v>
      </c>
      <c r="AW202" s="816">
        <v>0</v>
      </c>
      <c r="AX202" s="816">
        <v>0</v>
      </c>
      <c r="AY202" s="816">
        <v>0</v>
      </c>
      <c r="AZ202" s="816">
        <v>0</v>
      </c>
      <c r="BA202" s="816">
        <v>0</v>
      </c>
      <c r="BB202" s="816">
        <v>0</v>
      </c>
      <c r="BC202" s="816">
        <f t="shared" si="200"/>
        <v>0</v>
      </c>
      <c r="BE202" s="824">
        <f t="shared" si="201"/>
        <v>0</v>
      </c>
      <c r="BF202" s="824">
        <f t="shared" si="202"/>
        <v>0</v>
      </c>
      <c r="BG202" s="824">
        <f t="shared" si="203"/>
        <v>0</v>
      </c>
      <c r="BH202" s="824">
        <f t="shared" si="204"/>
        <v>0</v>
      </c>
      <c r="BI202" s="824">
        <f t="shared" si="205"/>
        <v>0</v>
      </c>
      <c r="BJ202" s="824">
        <f t="shared" si="206"/>
        <v>0</v>
      </c>
      <c r="BK202" s="824">
        <f t="shared" si="207"/>
        <v>0</v>
      </c>
      <c r="BL202" s="824">
        <f t="shared" si="208"/>
        <v>0</v>
      </c>
      <c r="BM202" s="813">
        <f t="shared" si="209"/>
        <v>0</v>
      </c>
      <c r="BN202" s="813"/>
      <c r="BO202" s="816">
        <f t="shared" si="181"/>
        <v>0</v>
      </c>
      <c r="BP202" s="816">
        <f t="shared" si="182"/>
        <v>0</v>
      </c>
      <c r="BQ202" s="816">
        <f t="shared" si="183"/>
        <v>0</v>
      </c>
      <c r="BR202" s="816">
        <f t="shared" si="184"/>
        <v>0</v>
      </c>
      <c r="BS202" s="816">
        <f t="shared" si="185"/>
        <v>0</v>
      </c>
      <c r="BT202" s="816">
        <f t="shared" si="186"/>
        <v>0</v>
      </c>
      <c r="BU202" s="816">
        <f t="shared" si="187"/>
        <v>0</v>
      </c>
      <c r="BV202" s="816">
        <f t="shared" si="188"/>
        <v>0</v>
      </c>
      <c r="BW202" s="816">
        <f t="shared" si="189"/>
        <v>0</v>
      </c>
      <c r="BX202" s="293"/>
      <c r="BY202" s="293"/>
      <c r="BZ202" s="293"/>
      <c r="CA202" s="293"/>
      <c r="CB202" s="293"/>
      <c r="CC202" s="293"/>
      <c r="CD202" s="293"/>
      <c r="CE202" s="293"/>
      <c r="CF202" s="293"/>
      <c r="CG202" s="293"/>
      <c r="CH202" s="293">
        <v>0</v>
      </c>
      <c r="CI202" s="293"/>
      <c r="CJ202" s="293"/>
      <c r="CK202" s="293"/>
      <c r="CL202" s="293"/>
      <c r="CM202" s="293"/>
      <c r="CN202" s="293"/>
      <c r="CO202" s="293"/>
      <c r="CP202" s="58"/>
      <c r="CQ202" s="223"/>
      <c r="CR202" s="223"/>
      <c r="CS202" s="223"/>
      <c r="CT202" s="223"/>
      <c r="CU202" s="223"/>
      <c r="CV202" s="223"/>
      <c r="CW202" s="223"/>
      <c r="CX202" s="223">
        <f t="shared" si="220"/>
        <v>0</v>
      </c>
      <c r="CY202" s="58">
        <f t="shared" si="221"/>
        <v>0</v>
      </c>
      <c r="CZ202" s="399">
        <f t="shared" si="222"/>
        <v>0</v>
      </c>
      <c r="DA202" s="399">
        <f t="shared" si="223"/>
        <v>0</v>
      </c>
      <c r="DB202" s="399">
        <f t="shared" si="224"/>
        <v>0</v>
      </c>
      <c r="DC202" s="399">
        <f t="shared" si="225"/>
        <v>0</v>
      </c>
      <c r="DD202" s="399">
        <f t="shared" si="226"/>
        <v>0</v>
      </c>
      <c r="DE202" s="399">
        <f t="shared" si="227"/>
        <v>0</v>
      </c>
      <c r="DF202" s="399">
        <f t="shared" si="228"/>
        <v>0</v>
      </c>
      <c r="DG202" s="399">
        <f t="shared" si="229"/>
        <v>0</v>
      </c>
      <c r="DH202"/>
      <c r="DI202" s="818"/>
      <c r="DJ202" s="818"/>
      <c r="DK202" s="818"/>
      <c r="DL202" s="818"/>
      <c r="DM202" s="818"/>
      <c r="DN202" s="818"/>
      <c r="DO202" s="818"/>
      <c r="DP202" s="818"/>
      <c r="DQ202" s="818"/>
      <c r="DS202" s="818"/>
      <c r="DT202" s="818"/>
      <c r="DU202" s="818"/>
      <c r="DV202" s="818"/>
      <c r="DW202" s="818"/>
      <c r="DX202" s="818"/>
      <c r="DY202" s="818"/>
      <c r="DZ202" s="818"/>
      <c r="EB202" s="228">
        <f t="shared" si="230"/>
        <v>0</v>
      </c>
      <c r="EC202" s="228">
        <f t="shared" si="231"/>
        <v>0</v>
      </c>
      <c r="ED202" s="778">
        <f t="shared" si="232"/>
        <v>0</v>
      </c>
    </row>
    <row r="203" spans="1:134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3" t="str">
        <f>VLOOKUP(A203,'Summary Mar 2026'!$A$8:$F$207,6,FALSE)</f>
        <v>Chq Bk</v>
      </c>
      <c r="G203" s="33"/>
      <c r="H203" s="223">
        <v>269780.76954675635</v>
      </c>
      <c r="I203" s="294"/>
      <c r="J203" s="223">
        <v>0</v>
      </c>
      <c r="K203" s="223">
        <v>66378</v>
      </c>
      <c r="L203" s="223">
        <v>126557.6</v>
      </c>
      <c r="M203" s="223">
        <v>6630</v>
      </c>
      <c r="N203" s="223">
        <v>2535.6842105263158</v>
      </c>
      <c r="O203" s="223">
        <v>0</v>
      </c>
      <c r="P203" s="33">
        <f t="shared" si="190"/>
        <v>202101.28421052633</v>
      </c>
      <c r="Q203" s="223">
        <f t="shared" si="191"/>
        <v>161681.02736842108</v>
      </c>
      <c r="R203" s="294"/>
      <c r="S203" s="223">
        <v>0</v>
      </c>
      <c r="T203" s="223">
        <v>69696.899999999994</v>
      </c>
      <c r="U203" s="223">
        <v>77259.000000000015</v>
      </c>
      <c r="V203" s="223">
        <v>4095</v>
      </c>
      <c r="W203" s="223">
        <v>1342.421052631579</v>
      </c>
      <c r="X203" s="223">
        <v>0</v>
      </c>
      <c r="Y203" s="223">
        <f t="shared" si="192"/>
        <v>152393.3210526316</v>
      </c>
      <c r="Z203" s="223">
        <f t="shared" si="193"/>
        <v>121914.65684210528</v>
      </c>
      <c r="AA203" s="294"/>
      <c r="AB203" s="398">
        <v>0</v>
      </c>
      <c r="AC203" s="398">
        <v>52726.168421052622</v>
      </c>
      <c r="AD203" s="398">
        <v>88045.768421052635</v>
      </c>
      <c r="AE203" s="398">
        <v>4604.21052631579</v>
      </c>
      <c r="AF203" s="398">
        <v>1673.9501385041549</v>
      </c>
      <c r="AG203" s="398">
        <v>0</v>
      </c>
      <c r="AH203" s="223">
        <f t="shared" si="194"/>
        <v>147050.0975069252</v>
      </c>
      <c r="AI203" s="398">
        <f t="shared" si="195"/>
        <v>117640.07800554017</v>
      </c>
      <c r="AJ203" s="294"/>
      <c r="AK203" s="398">
        <v>7505.5499999999993</v>
      </c>
      <c r="AL203" s="398">
        <v>5231.8500000000004</v>
      </c>
      <c r="AM203" s="398">
        <v>4828.1684210526319</v>
      </c>
      <c r="AN203" s="294"/>
      <c r="AO203" s="398">
        <f t="shared" si="196"/>
        <v>6004.44</v>
      </c>
      <c r="AP203" s="398">
        <f t="shared" si="197"/>
        <v>4185.4800000000005</v>
      </c>
      <c r="AQ203" s="398">
        <f t="shared" si="198"/>
        <v>3862.5347368421058</v>
      </c>
      <c r="AR203" s="293"/>
      <c r="AS203" s="293">
        <v>264254.07967627078</v>
      </c>
      <c r="AT203" s="576">
        <f t="shared" si="199"/>
        <v>-5526.6898704855703</v>
      </c>
      <c r="AU203" s="293"/>
      <c r="AV203" s="293">
        <v>0</v>
      </c>
      <c r="AW203" s="293">
        <v>66378</v>
      </c>
      <c r="AX203" s="293">
        <v>114784.80000000002</v>
      </c>
      <c r="AY203" s="293">
        <v>8775</v>
      </c>
      <c r="AZ203" s="293">
        <v>2983.1578947368421</v>
      </c>
      <c r="BA203" s="293">
        <v>0</v>
      </c>
      <c r="BB203" s="293">
        <v>5838.3</v>
      </c>
      <c r="BC203" s="293">
        <f t="shared" si="200"/>
        <v>463013.33757100767</v>
      </c>
      <c r="BE203" s="58">
        <f t="shared" si="201"/>
        <v>0</v>
      </c>
      <c r="BF203" s="58">
        <f t="shared" si="202"/>
        <v>0</v>
      </c>
      <c r="BG203" s="58">
        <f t="shared" si="203"/>
        <v>-11772.799999999988</v>
      </c>
      <c r="BH203" s="58">
        <f t="shared" si="204"/>
        <v>2145</v>
      </c>
      <c r="BI203" s="58">
        <f t="shared" si="205"/>
        <v>447.47368421052624</v>
      </c>
      <c r="BJ203" s="58">
        <f t="shared" si="206"/>
        <v>0</v>
      </c>
      <c r="BK203" s="58">
        <f t="shared" si="207"/>
        <v>-1667.2499999999991</v>
      </c>
      <c r="BL203" s="58">
        <f t="shared" si="208"/>
        <v>-16374.266186275032</v>
      </c>
      <c r="BM203" s="33">
        <f t="shared" si="209"/>
        <v>0</v>
      </c>
      <c r="BN203" s="33"/>
      <c r="BO203" s="293">
        <f t="shared" si="181"/>
        <v>0</v>
      </c>
      <c r="BP203" s="293">
        <f t="shared" si="182"/>
        <v>13275.599999999999</v>
      </c>
      <c r="BQ203" s="293">
        <f t="shared" si="183"/>
        <v>13538.720000000001</v>
      </c>
      <c r="BR203" s="293">
        <f t="shared" si="184"/>
        <v>3471</v>
      </c>
      <c r="BS203" s="293">
        <f t="shared" si="185"/>
        <v>954.61052631578923</v>
      </c>
      <c r="BT203" s="293">
        <f t="shared" si="186"/>
        <v>0</v>
      </c>
      <c r="BU203" s="293">
        <f t="shared" si="187"/>
        <v>-166.13999999999942</v>
      </c>
      <c r="BV203" s="293">
        <f t="shared" si="188"/>
        <v>25547.100655830218</v>
      </c>
      <c r="BW203" s="293">
        <f t="shared" si="189"/>
        <v>0</v>
      </c>
      <c r="BX203" s="293">
        <v>0</v>
      </c>
      <c r="BY203" s="293">
        <v>-21572.85</v>
      </c>
      <c r="BZ203" s="293">
        <v>0</v>
      </c>
      <c r="CA203" s="293">
        <v>-195</v>
      </c>
      <c r="CB203" s="293">
        <v>0</v>
      </c>
      <c r="CC203" s="293">
        <v>6566</v>
      </c>
      <c r="CD203" s="293">
        <v>1095.8999999999996</v>
      </c>
      <c r="CE203" s="293">
        <f t="shared" si="210"/>
        <v>-14105.949999999999</v>
      </c>
      <c r="CF203" s="293"/>
      <c r="CG203" s="293">
        <v>0</v>
      </c>
      <c r="CH203" s="293">
        <v>48634.649999999994</v>
      </c>
      <c r="CI203" s="293">
        <v>70636.800000000003</v>
      </c>
      <c r="CJ203" s="293">
        <v>6045</v>
      </c>
      <c r="CK203" s="293">
        <v>2574</v>
      </c>
      <c r="CL203" s="293">
        <v>2814</v>
      </c>
      <c r="CM203" s="293">
        <v>5315.7</v>
      </c>
      <c r="CN203" s="293">
        <f t="shared" si="211"/>
        <v>136020.15</v>
      </c>
      <c r="CO203" s="293"/>
      <c r="CP203" s="58">
        <f t="shared" si="212"/>
        <v>0</v>
      </c>
      <c r="CQ203" s="223">
        <f t="shared" si="213"/>
        <v>-21062.25</v>
      </c>
      <c r="CR203" s="223">
        <f t="shared" si="214"/>
        <v>-6622.2000000000116</v>
      </c>
      <c r="CS203" s="223">
        <f t="shared" si="215"/>
        <v>1950</v>
      </c>
      <c r="CT203" s="223">
        <f t="shared" si="216"/>
        <v>1231.578947368421</v>
      </c>
      <c r="CU203" s="223">
        <f t="shared" si="217"/>
        <v>2814</v>
      </c>
      <c r="CV203" s="223">
        <f t="shared" si="218"/>
        <v>83.849999999999454</v>
      </c>
      <c r="CW203" s="223">
        <f t="shared" si="219"/>
        <v>-21605.021052631593</v>
      </c>
      <c r="CX203" s="223">
        <f t="shared" si="220"/>
        <v>0</v>
      </c>
      <c r="CY203" s="58">
        <f t="shared" si="221"/>
        <v>0</v>
      </c>
      <c r="CZ203" s="399">
        <f t="shared" si="222"/>
        <v>-7122.8700000000026</v>
      </c>
      <c r="DA203" s="399">
        <f t="shared" si="223"/>
        <v>8829.5999999999913</v>
      </c>
      <c r="DB203" s="399">
        <f t="shared" si="224"/>
        <v>2769</v>
      </c>
      <c r="DC203" s="399">
        <f t="shared" si="225"/>
        <v>1500.0631578947368</v>
      </c>
      <c r="DD203" s="399">
        <f t="shared" si="226"/>
        <v>2814</v>
      </c>
      <c r="DE203" s="399">
        <f t="shared" si="227"/>
        <v>1130.2199999999993</v>
      </c>
      <c r="DF203" s="399">
        <f t="shared" si="228"/>
        <v>9920.0131578947239</v>
      </c>
      <c r="DG203" s="399">
        <f t="shared" si="229"/>
        <v>0</v>
      </c>
      <c r="DI203" s="399"/>
      <c r="DJ203" s="399"/>
      <c r="DK203" s="399"/>
      <c r="DL203" s="399"/>
      <c r="DM203" s="399"/>
      <c r="DN203" s="399"/>
      <c r="DO203" s="399"/>
      <c r="DP203" s="399"/>
      <c r="DQ203" s="399"/>
      <c r="DS203" s="399"/>
      <c r="DT203" s="399"/>
      <c r="DU203" s="399"/>
      <c r="DV203" s="399"/>
      <c r="DW203" s="399"/>
      <c r="DX203" s="399"/>
      <c r="DY203" s="399"/>
      <c r="DZ203" s="399"/>
      <c r="EB203" s="228">
        <f t="shared" si="230"/>
        <v>697050.15031338995</v>
      </c>
      <c r="EC203" s="228">
        <f t="shared" si="231"/>
        <v>9380</v>
      </c>
      <c r="ED203" s="214">
        <f t="shared" si="232"/>
        <v>706430.15031338995</v>
      </c>
    </row>
    <row r="204" spans="1:134" s="378" customFormat="1" hidden="1">
      <c r="A204" s="777">
        <v>3310</v>
      </c>
      <c r="B204" s="446">
        <v>103417</v>
      </c>
      <c r="C204" s="446" t="s">
        <v>424</v>
      </c>
      <c r="D204" s="446" t="s">
        <v>425</v>
      </c>
      <c r="E204" s="372" t="s">
        <v>32</v>
      </c>
      <c r="F204" s="812" t="str">
        <f>VLOOKUP(A204,'Summary Mar 2026'!$A$8:$F$207,6,FALSE)</f>
        <v>Academy</v>
      </c>
      <c r="G204" s="813"/>
      <c r="H204" s="814">
        <v>0</v>
      </c>
      <c r="I204" s="814"/>
      <c r="J204" s="814">
        <v>0</v>
      </c>
      <c r="K204" s="814">
        <v>0</v>
      </c>
      <c r="L204" s="814">
        <v>27592.5</v>
      </c>
      <c r="M204" s="814">
        <v>2535</v>
      </c>
      <c r="N204" s="814">
        <v>0</v>
      </c>
      <c r="O204" s="814">
        <v>0</v>
      </c>
      <c r="P204" s="813">
        <f t="shared" si="190"/>
        <v>30127.5</v>
      </c>
      <c r="Q204" s="814">
        <f t="shared" si="191"/>
        <v>24102</v>
      </c>
      <c r="R204" s="814"/>
      <c r="S204" s="814"/>
      <c r="T204" s="814"/>
      <c r="U204" s="814"/>
      <c r="V204" s="814"/>
      <c r="W204" s="814"/>
      <c r="X204" s="814"/>
      <c r="Y204" s="814"/>
      <c r="Z204" s="814"/>
      <c r="AA204" s="814"/>
      <c r="AB204" s="815"/>
      <c r="AC204" s="815"/>
      <c r="AD204" s="815"/>
      <c r="AE204" s="815"/>
      <c r="AF204" s="815"/>
      <c r="AG204" s="815"/>
      <c r="AH204" s="814"/>
      <c r="AI204" s="815"/>
      <c r="AJ204" s="814"/>
      <c r="AK204" s="815">
        <v>1942.2</v>
      </c>
      <c r="AL204" s="815"/>
      <c r="AM204" s="815"/>
      <c r="AN204" s="814"/>
      <c r="AO204" s="815">
        <f t="shared" si="196"/>
        <v>1553.7600000000002</v>
      </c>
      <c r="AP204" s="815">
        <f t="shared" si="197"/>
        <v>0</v>
      </c>
      <c r="AQ204" s="815">
        <f t="shared" si="198"/>
        <v>0</v>
      </c>
      <c r="AR204" s="816"/>
      <c r="AS204" s="816">
        <v>0</v>
      </c>
      <c r="AT204" s="817">
        <f t="shared" si="199"/>
        <v>0</v>
      </c>
      <c r="AU204" s="816"/>
      <c r="AV204" s="816">
        <v>0</v>
      </c>
      <c r="AW204" s="816">
        <v>0</v>
      </c>
      <c r="AX204" s="816">
        <v>28696.2</v>
      </c>
      <c r="AY204" s="816">
        <v>2535</v>
      </c>
      <c r="AZ204" s="816">
        <v>969.52631578947376</v>
      </c>
      <c r="BA204" s="816">
        <v>0</v>
      </c>
      <c r="BB204" s="816">
        <v>2269.7999999999997</v>
      </c>
      <c r="BC204" s="816">
        <f t="shared" si="200"/>
        <v>34470.526315789473</v>
      </c>
      <c r="BE204" s="824">
        <f t="shared" si="201"/>
        <v>0</v>
      </c>
      <c r="BF204" s="824">
        <f t="shared" si="202"/>
        <v>0</v>
      </c>
      <c r="BG204" s="824">
        <f t="shared" si="203"/>
        <v>1103.7000000000007</v>
      </c>
      <c r="BH204" s="824">
        <f t="shared" si="204"/>
        <v>0</v>
      </c>
      <c r="BI204" s="824">
        <f t="shared" si="205"/>
        <v>969.52631578947376</v>
      </c>
      <c r="BJ204" s="824">
        <f t="shared" si="206"/>
        <v>0</v>
      </c>
      <c r="BK204" s="824">
        <f t="shared" si="207"/>
        <v>327.59999999999968</v>
      </c>
      <c r="BL204" s="824">
        <f t="shared" si="208"/>
        <v>2400.8263157894744</v>
      </c>
      <c r="BM204" s="813">
        <f t="shared" si="209"/>
        <v>0</v>
      </c>
      <c r="BN204" s="813"/>
      <c r="BO204" s="816">
        <f t="shared" si="181"/>
        <v>0</v>
      </c>
      <c r="BP204" s="816">
        <f t="shared" si="182"/>
        <v>0</v>
      </c>
      <c r="BQ204" s="816">
        <f t="shared" si="183"/>
        <v>6622.2000000000007</v>
      </c>
      <c r="BR204" s="816">
        <f t="shared" si="184"/>
        <v>507</v>
      </c>
      <c r="BS204" s="816">
        <f t="shared" si="185"/>
        <v>969.52631578947376</v>
      </c>
      <c r="BT204" s="816">
        <f t="shared" si="186"/>
        <v>0</v>
      </c>
      <c r="BU204" s="816">
        <f t="shared" si="187"/>
        <v>716.03999999999951</v>
      </c>
      <c r="BV204" s="816">
        <f t="shared" si="188"/>
        <v>8814.7663157894731</v>
      </c>
      <c r="BW204" s="816">
        <f t="shared" si="189"/>
        <v>0</v>
      </c>
      <c r="BX204" s="293"/>
      <c r="BY204" s="293"/>
      <c r="BZ204" s="293"/>
      <c r="CA204" s="293"/>
      <c r="CB204" s="293"/>
      <c r="CC204" s="293"/>
      <c r="CD204" s="293"/>
      <c r="CE204" s="293"/>
      <c r="CF204" s="293"/>
      <c r="CG204" s="293"/>
      <c r="CH204" s="293">
        <v>0</v>
      </c>
      <c r="CI204" s="293"/>
      <c r="CJ204" s="293"/>
      <c r="CK204" s="293"/>
      <c r="CL204" s="293"/>
      <c r="CM204" s="293"/>
      <c r="CN204" s="293"/>
      <c r="CO204" s="293"/>
      <c r="CP204" s="58"/>
      <c r="CQ204" s="223"/>
      <c r="CR204" s="223"/>
      <c r="CS204" s="223"/>
      <c r="CT204" s="223"/>
      <c r="CU204" s="223"/>
      <c r="CV204" s="223"/>
      <c r="CW204" s="223"/>
      <c r="CX204" s="223">
        <f t="shared" si="220"/>
        <v>0</v>
      </c>
      <c r="CY204" s="58">
        <f t="shared" si="221"/>
        <v>0</v>
      </c>
      <c r="CZ204" s="399">
        <f t="shared" si="222"/>
        <v>0</v>
      </c>
      <c r="DA204" s="399">
        <f t="shared" si="223"/>
        <v>0</v>
      </c>
      <c r="DB204" s="399">
        <f t="shared" si="224"/>
        <v>0</v>
      </c>
      <c r="DC204" s="399">
        <f t="shared" si="225"/>
        <v>0</v>
      </c>
      <c r="DD204" s="399">
        <f t="shared" si="226"/>
        <v>0</v>
      </c>
      <c r="DE204" s="399">
        <f t="shared" si="227"/>
        <v>0</v>
      </c>
      <c r="DF204" s="399">
        <f t="shared" si="228"/>
        <v>0</v>
      </c>
      <c r="DG204" s="399">
        <f t="shared" si="229"/>
        <v>0</v>
      </c>
      <c r="DH204"/>
      <c r="DI204" s="818"/>
      <c r="DJ204" s="818"/>
      <c r="DK204" s="818"/>
      <c r="DL204" s="818"/>
      <c r="DM204" s="818"/>
      <c r="DN204" s="818"/>
      <c r="DO204" s="818"/>
      <c r="DP204" s="818"/>
      <c r="DQ204" s="818"/>
      <c r="DS204" s="818"/>
      <c r="DT204" s="818"/>
      <c r="DU204" s="818"/>
      <c r="DV204" s="818"/>
      <c r="DW204" s="818"/>
      <c r="DX204" s="818"/>
      <c r="DY204" s="818"/>
      <c r="DZ204" s="818"/>
      <c r="EB204" s="228">
        <f t="shared" si="230"/>
        <v>34470.526315789473</v>
      </c>
      <c r="EC204" s="228">
        <f t="shared" si="231"/>
        <v>0</v>
      </c>
      <c r="ED204" s="778">
        <f t="shared" si="232"/>
        <v>34470.526315789473</v>
      </c>
    </row>
    <row r="205" spans="1:134" s="378" customFormat="1" hidden="1">
      <c r="A205" s="777">
        <v>2246</v>
      </c>
      <c r="B205" s="446">
        <v>103296</v>
      </c>
      <c r="C205" s="446" t="s">
        <v>426</v>
      </c>
      <c r="D205" s="446" t="s">
        <v>427</v>
      </c>
      <c r="E205" s="372" t="s">
        <v>32</v>
      </c>
      <c r="F205" s="812" t="str">
        <f>VLOOKUP(A205,'Summary Mar 2026'!$A$8:$F$207,6,FALSE)</f>
        <v>Academy</v>
      </c>
      <c r="G205" s="813"/>
      <c r="H205" s="814">
        <v>0</v>
      </c>
      <c r="I205" s="814"/>
      <c r="J205" s="814">
        <v>0</v>
      </c>
      <c r="K205" s="814">
        <v>0</v>
      </c>
      <c r="L205" s="814">
        <v>0</v>
      </c>
      <c r="M205" s="814">
        <v>0</v>
      </c>
      <c r="N205" s="814">
        <v>0</v>
      </c>
      <c r="O205" s="814">
        <v>0</v>
      </c>
      <c r="P205" s="813">
        <f t="shared" si="190"/>
        <v>0</v>
      </c>
      <c r="Q205" s="814">
        <f t="shared" si="191"/>
        <v>0</v>
      </c>
      <c r="R205" s="814"/>
      <c r="S205" s="814">
        <v>0</v>
      </c>
      <c r="T205" s="814">
        <v>0</v>
      </c>
      <c r="U205" s="814">
        <v>0</v>
      </c>
      <c r="V205" s="814">
        <v>0</v>
      </c>
      <c r="W205" s="814">
        <v>0</v>
      </c>
      <c r="X205" s="814">
        <v>0</v>
      </c>
      <c r="Y205" s="814">
        <f t="shared" si="192"/>
        <v>0</v>
      </c>
      <c r="Z205" s="814">
        <f t="shared" si="193"/>
        <v>0</v>
      </c>
      <c r="AA205" s="814"/>
      <c r="AB205" s="815">
        <v>0</v>
      </c>
      <c r="AC205" s="815">
        <v>0</v>
      </c>
      <c r="AD205" s="815">
        <v>0</v>
      </c>
      <c r="AE205" s="815">
        <v>0</v>
      </c>
      <c r="AF205" s="815">
        <v>0</v>
      </c>
      <c r="AG205" s="815">
        <v>0</v>
      </c>
      <c r="AH205" s="814">
        <f t="shared" si="194"/>
        <v>0</v>
      </c>
      <c r="AI205" s="815">
        <f t="shared" si="195"/>
        <v>0</v>
      </c>
      <c r="AJ205" s="814"/>
      <c r="AK205" s="815">
        <v>0</v>
      </c>
      <c r="AL205" s="815">
        <v>0</v>
      </c>
      <c r="AM205" s="815">
        <v>0</v>
      </c>
      <c r="AN205" s="814"/>
      <c r="AO205" s="815">
        <f t="shared" si="196"/>
        <v>0</v>
      </c>
      <c r="AP205" s="815">
        <f t="shared" si="197"/>
        <v>0</v>
      </c>
      <c r="AQ205" s="815">
        <f t="shared" si="198"/>
        <v>0</v>
      </c>
      <c r="AR205" s="816"/>
      <c r="AS205" s="816">
        <v>0</v>
      </c>
      <c r="AT205" s="817">
        <f t="shared" si="199"/>
        <v>0</v>
      </c>
      <c r="AU205" s="816"/>
      <c r="AV205" s="293">
        <v>0</v>
      </c>
      <c r="AW205" s="293">
        <v>0</v>
      </c>
      <c r="AX205" s="293">
        <v>0</v>
      </c>
      <c r="AY205" s="293">
        <v>0</v>
      </c>
      <c r="AZ205" s="293">
        <v>0</v>
      </c>
      <c r="BA205" s="293">
        <v>0</v>
      </c>
      <c r="BB205" s="293">
        <v>0</v>
      </c>
      <c r="BC205" s="293">
        <f t="shared" si="200"/>
        <v>0</v>
      </c>
      <c r="BE205" s="58">
        <f t="shared" si="201"/>
        <v>0</v>
      </c>
      <c r="BF205" s="58">
        <f t="shared" si="202"/>
        <v>0</v>
      </c>
      <c r="BG205" s="58">
        <f t="shared" si="203"/>
        <v>0</v>
      </c>
      <c r="BH205" s="58">
        <f t="shared" si="204"/>
        <v>0</v>
      </c>
      <c r="BI205" s="58">
        <f t="shared" si="205"/>
        <v>0</v>
      </c>
      <c r="BJ205" s="58">
        <f t="shared" si="206"/>
        <v>0</v>
      </c>
      <c r="BK205" s="58">
        <f t="shared" si="207"/>
        <v>0</v>
      </c>
      <c r="BL205" s="58">
        <f t="shared" si="208"/>
        <v>0</v>
      </c>
      <c r="BM205" s="33">
        <f t="shared" si="209"/>
        <v>0</v>
      </c>
      <c r="BN205" s="33"/>
      <c r="BO205" s="293">
        <f t="shared" si="181"/>
        <v>0</v>
      </c>
      <c r="BP205" s="293">
        <f t="shared" si="182"/>
        <v>0</v>
      </c>
      <c r="BQ205" s="293">
        <f t="shared" si="183"/>
        <v>0</v>
      </c>
      <c r="BR205" s="293">
        <f t="shared" si="184"/>
        <v>0</v>
      </c>
      <c r="BS205" s="293">
        <f t="shared" si="185"/>
        <v>0</v>
      </c>
      <c r="BT205" s="293">
        <f t="shared" si="186"/>
        <v>0</v>
      </c>
      <c r="BU205" s="293">
        <f t="shared" si="187"/>
        <v>0</v>
      </c>
      <c r="BV205" s="293">
        <f t="shared" si="188"/>
        <v>0</v>
      </c>
      <c r="BW205" s="293">
        <f t="shared" si="189"/>
        <v>0</v>
      </c>
      <c r="BX205" s="293"/>
      <c r="BY205" s="293"/>
      <c r="BZ205" s="293"/>
      <c r="CA205" s="293"/>
      <c r="CB205" s="293"/>
      <c r="CC205" s="293"/>
      <c r="CD205" s="293"/>
      <c r="CE205" s="293"/>
      <c r="CF205" s="293"/>
      <c r="CG205" s="293"/>
      <c r="CH205" s="293">
        <v>0</v>
      </c>
      <c r="CI205" s="293"/>
      <c r="CJ205" s="293"/>
      <c r="CK205" s="293"/>
      <c r="CL205" s="293"/>
      <c r="CM205" s="293"/>
      <c r="CN205" s="293"/>
      <c r="CO205" s="293"/>
      <c r="CP205" s="58"/>
      <c r="CQ205" s="223"/>
      <c r="CR205" s="223"/>
      <c r="CS205" s="223"/>
      <c r="CT205" s="223"/>
      <c r="CU205" s="223"/>
      <c r="CV205" s="223"/>
      <c r="CW205" s="223"/>
      <c r="CX205" s="223">
        <f t="shared" si="220"/>
        <v>0</v>
      </c>
      <c r="CY205" s="58">
        <f t="shared" si="221"/>
        <v>0</v>
      </c>
      <c r="CZ205" s="399">
        <f t="shared" si="222"/>
        <v>0</v>
      </c>
      <c r="DA205" s="399">
        <f t="shared" si="223"/>
        <v>0</v>
      </c>
      <c r="DB205" s="399">
        <f t="shared" si="224"/>
        <v>0</v>
      </c>
      <c r="DC205" s="399">
        <f t="shared" si="225"/>
        <v>0</v>
      </c>
      <c r="DD205" s="399">
        <f t="shared" si="226"/>
        <v>0</v>
      </c>
      <c r="DE205" s="399">
        <f t="shared" si="227"/>
        <v>0</v>
      </c>
      <c r="DF205" s="399">
        <f t="shared" si="228"/>
        <v>0</v>
      </c>
      <c r="DG205" s="399">
        <f t="shared" si="229"/>
        <v>0</v>
      </c>
      <c r="DH205"/>
      <c r="DI205" s="818"/>
      <c r="DJ205" s="818"/>
      <c r="DK205" s="818"/>
      <c r="DL205" s="818"/>
      <c r="DM205" s="818"/>
      <c r="DN205" s="818"/>
      <c r="DO205" s="818"/>
      <c r="DP205" s="818"/>
      <c r="DQ205" s="818"/>
      <c r="DS205" s="818"/>
      <c r="DT205" s="818"/>
      <c r="DU205" s="818"/>
      <c r="DV205" s="818"/>
      <c r="DW205" s="818"/>
      <c r="DX205" s="818"/>
      <c r="DY205" s="818"/>
      <c r="DZ205" s="818"/>
      <c r="EB205" s="228">
        <f t="shared" si="230"/>
        <v>0</v>
      </c>
      <c r="EC205" s="228">
        <f t="shared" si="231"/>
        <v>0</v>
      </c>
      <c r="ED205" s="778">
        <f t="shared" si="232"/>
        <v>0</v>
      </c>
    </row>
    <row r="206" spans="1:134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3" t="str">
        <f>VLOOKUP(A206,'Summary Mar 2026'!$A$8:$F$207,6,FALSE)</f>
        <v>Chq Bk</v>
      </c>
      <c r="G206" s="33"/>
      <c r="H206" s="223">
        <v>377750.17983128357</v>
      </c>
      <c r="I206" s="294"/>
      <c r="J206" s="223">
        <v>4648.8</v>
      </c>
      <c r="K206" s="223">
        <v>112842.59999999999</v>
      </c>
      <c r="L206" s="223">
        <v>205288.2</v>
      </c>
      <c r="M206" s="223">
        <v>20670</v>
      </c>
      <c r="N206" s="223">
        <v>7979.9473684210525</v>
      </c>
      <c r="O206" s="223">
        <v>2246.2631578947367</v>
      </c>
      <c r="P206" s="33">
        <f t="shared" si="190"/>
        <v>353675.81052631576</v>
      </c>
      <c r="Q206" s="223">
        <f t="shared" si="191"/>
        <v>282940.64842105261</v>
      </c>
      <c r="R206" s="294"/>
      <c r="S206" s="223">
        <v>4648.8</v>
      </c>
      <c r="T206" s="223">
        <v>119480.4</v>
      </c>
      <c r="U206" s="223">
        <v>131340.29999999999</v>
      </c>
      <c r="V206" s="223">
        <v>18330</v>
      </c>
      <c r="W206" s="223">
        <v>7010.4210526315792</v>
      </c>
      <c r="X206" s="223">
        <v>4171.6315789473683</v>
      </c>
      <c r="Y206" s="223">
        <f t="shared" si="192"/>
        <v>284981.55263157893</v>
      </c>
      <c r="Z206" s="223">
        <f t="shared" si="193"/>
        <v>227985.24210526317</v>
      </c>
      <c r="AA206" s="294"/>
      <c r="AB206" s="398">
        <v>4291.2000000000007</v>
      </c>
      <c r="AC206" s="398">
        <v>86103.284210526312</v>
      </c>
      <c r="AD206" s="398">
        <v>149281.01052631577</v>
      </c>
      <c r="AE206" s="398">
        <v>14551.57894736842</v>
      </c>
      <c r="AF206" s="398">
        <v>5521.8614958448752</v>
      </c>
      <c r="AG206" s="398">
        <v>2338.5041551246541</v>
      </c>
      <c r="AH206" s="223">
        <f t="shared" si="194"/>
        <v>262087.43933518004</v>
      </c>
      <c r="AI206" s="398">
        <f t="shared" si="195"/>
        <v>209669.95146814405</v>
      </c>
      <c r="AJ206" s="294"/>
      <c r="AK206" s="398">
        <v>13150.799999999997</v>
      </c>
      <c r="AL206" s="398">
        <v>9689.5499999999993</v>
      </c>
      <c r="AM206" s="398">
        <v>8733.2210526315794</v>
      </c>
      <c r="AN206" s="294"/>
      <c r="AO206" s="398">
        <f t="shared" si="196"/>
        <v>10520.64</v>
      </c>
      <c r="AP206" s="398">
        <f t="shared" si="197"/>
        <v>7751.6399999999994</v>
      </c>
      <c r="AQ206" s="398">
        <f t="shared" si="198"/>
        <v>6986.5768421052635</v>
      </c>
      <c r="AR206" s="293"/>
      <c r="AS206" s="293">
        <v>380731.18563872972</v>
      </c>
      <c r="AT206" s="576">
        <f t="shared" si="199"/>
        <v>2981.0058074461413</v>
      </c>
      <c r="AU206" s="293"/>
      <c r="AV206" s="293">
        <v>4648.8</v>
      </c>
      <c r="AW206" s="293">
        <v>112842.59999999999</v>
      </c>
      <c r="AX206" s="293">
        <v>203080.80000000002</v>
      </c>
      <c r="AY206" s="293">
        <v>23205</v>
      </c>
      <c r="AZ206" s="293">
        <v>8725.7368421052633</v>
      </c>
      <c r="BA206" s="293">
        <v>3529.79</v>
      </c>
      <c r="BB206" s="293">
        <v>12840.749999999998</v>
      </c>
      <c r="BC206" s="293">
        <f t="shared" si="200"/>
        <v>749604.66248083499</v>
      </c>
      <c r="BE206" s="58">
        <f t="shared" si="201"/>
        <v>0</v>
      </c>
      <c r="BF206" s="58">
        <f t="shared" si="202"/>
        <v>0</v>
      </c>
      <c r="BG206" s="58">
        <f t="shared" si="203"/>
        <v>-2207.3999999999942</v>
      </c>
      <c r="BH206" s="58">
        <f t="shared" si="204"/>
        <v>2535</v>
      </c>
      <c r="BI206" s="58">
        <f t="shared" si="205"/>
        <v>745.78947368421086</v>
      </c>
      <c r="BJ206" s="58">
        <f t="shared" si="206"/>
        <v>1283.5268421052633</v>
      </c>
      <c r="BK206" s="58">
        <f t="shared" si="207"/>
        <v>-310.04999999999927</v>
      </c>
      <c r="BL206" s="58">
        <f t="shared" si="208"/>
        <v>5027.872123235622</v>
      </c>
      <c r="BM206" s="33">
        <f t="shared" si="209"/>
        <v>0</v>
      </c>
      <c r="BN206" s="33"/>
      <c r="BO206" s="293">
        <f t="shared" si="181"/>
        <v>929.75999999999976</v>
      </c>
      <c r="BP206" s="293">
        <f t="shared" si="182"/>
        <v>22568.51999999999</v>
      </c>
      <c r="BQ206" s="293">
        <f t="shared" si="183"/>
        <v>38850.239999999991</v>
      </c>
      <c r="BR206" s="293">
        <f t="shared" si="184"/>
        <v>6669</v>
      </c>
      <c r="BS206" s="293">
        <f t="shared" si="185"/>
        <v>2341.7789473684206</v>
      </c>
      <c r="BT206" s="293">
        <f t="shared" si="186"/>
        <v>1732.7794736842106</v>
      </c>
      <c r="BU206" s="293">
        <f t="shared" si="187"/>
        <v>2320.1099999999988</v>
      </c>
      <c r="BV206" s="293">
        <f t="shared" si="188"/>
        <v>78393.194228498745</v>
      </c>
      <c r="BW206" s="293">
        <f t="shared" si="189"/>
        <v>-5.8207660913467407E-11</v>
      </c>
      <c r="BX206" s="293">
        <v>0</v>
      </c>
      <c r="BY206" s="293">
        <v>4978.3499999999913</v>
      </c>
      <c r="BZ206" s="293">
        <v>0</v>
      </c>
      <c r="CA206" s="293">
        <v>0</v>
      </c>
      <c r="CB206" s="293">
        <v>783.0789473684199</v>
      </c>
      <c r="CC206" s="293">
        <v>6788.21</v>
      </c>
      <c r="CD206" s="293">
        <v>1864.2000000000007</v>
      </c>
      <c r="CE206" s="293">
        <f t="shared" si="210"/>
        <v>14413.838947368411</v>
      </c>
      <c r="CF206" s="293"/>
      <c r="CG206" s="293">
        <v>4648.8</v>
      </c>
      <c r="CH206" s="293">
        <v>141819.14999999997</v>
      </c>
      <c r="CI206" s="293">
        <v>103747.8</v>
      </c>
      <c r="CJ206" s="293">
        <v>16770</v>
      </c>
      <c r="CK206" s="293">
        <v>6678.1</v>
      </c>
      <c r="CL206" s="293">
        <v>0</v>
      </c>
      <c r="CM206" s="293">
        <v>10933.65</v>
      </c>
      <c r="CN206" s="293">
        <f t="shared" si="211"/>
        <v>284597.49999999994</v>
      </c>
      <c r="CO206" s="293"/>
      <c r="CP206" s="58">
        <f t="shared" si="212"/>
        <v>0</v>
      </c>
      <c r="CQ206" s="223">
        <f t="shared" si="213"/>
        <v>22338.749999999971</v>
      </c>
      <c r="CR206" s="223">
        <f t="shared" si="214"/>
        <v>-27592.499999999985</v>
      </c>
      <c r="CS206" s="223">
        <f t="shared" si="215"/>
        <v>-1560</v>
      </c>
      <c r="CT206" s="223">
        <f t="shared" si="216"/>
        <v>-332.32105263157882</v>
      </c>
      <c r="CU206" s="223">
        <f t="shared" si="217"/>
        <v>-4171.6315789473683</v>
      </c>
      <c r="CV206" s="223">
        <f t="shared" si="218"/>
        <v>1244.1000000000004</v>
      </c>
      <c r="CW206" s="223">
        <f t="shared" si="219"/>
        <v>-10073.602631578962</v>
      </c>
      <c r="CX206" s="223">
        <f t="shared" si="220"/>
        <v>0</v>
      </c>
      <c r="CY206" s="58">
        <f t="shared" si="221"/>
        <v>929.75999999999976</v>
      </c>
      <c r="CZ206" s="399">
        <f t="shared" si="222"/>
        <v>46234.829999999958</v>
      </c>
      <c r="DA206" s="399">
        <f t="shared" si="223"/>
        <v>-1324.4399999999878</v>
      </c>
      <c r="DB206" s="399">
        <f t="shared" si="224"/>
        <v>2106</v>
      </c>
      <c r="DC206" s="399">
        <f t="shared" si="225"/>
        <v>1069.7631578947367</v>
      </c>
      <c r="DD206" s="399">
        <f t="shared" si="226"/>
        <v>-3337.3052631578948</v>
      </c>
      <c r="DE206" s="399">
        <f t="shared" si="227"/>
        <v>3182.01</v>
      </c>
      <c r="DF206" s="399">
        <f t="shared" si="228"/>
        <v>48860.617894736817</v>
      </c>
      <c r="DG206" s="399">
        <f t="shared" si="229"/>
        <v>0</v>
      </c>
      <c r="DI206" s="399"/>
      <c r="DJ206" s="399"/>
      <c r="DK206" s="399"/>
      <c r="DL206" s="399"/>
      <c r="DM206" s="399"/>
      <c r="DN206" s="399"/>
      <c r="DO206" s="399"/>
      <c r="DP206" s="399"/>
      <c r="DQ206" s="399"/>
      <c r="DS206" s="399"/>
      <c r="DT206" s="399"/>
      <c r="DU206" s="399"/>
      <c r="DV206" s="399"/>
      <c r="DW206" s="399"/>
      <c r="DX206" s="399"/>
      <c r="DY206" s="399"/>
      <c r="DZ206" s="399"/>
      <c r="EB206" s="228">
        <f t="shared" si="230"/>
        <v>1253083.7264143531</v>
      </c>
      <c r="EC206" s="228">
        <f t="shared" si="231"/>
        <v>12188.803324099723</v>
      </c>
      <c r="ED206" s="214">
        <f t="shared" si="232"/>
        <v>1265272.5297384528</v>
      </c>
    </row>
    <row r="207" spans="1:134" hidden="1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3" t="str">
        <f>VLOOKUP(A207,'Summary Mar 2026'!$A$8:$F$207,6,FALSE)</f>
        <v>Chq Bk</v>
      </c>
      <c r="G207" s="33"/>
      <c r="H207" s="223">
        <v>0</v>
      </c>
      <c r="I207" s="294"/>
      <c r="J207" s="223">
        <v>0</v>
      </c>
      <c r="K207" s="223">
        <v>0</v>
      </c>
      <c r="L207" s="223">
        <v>0</v>
      </c>
      <c r="M207" s="223">
        <v>0</v>
      </c>
      <c r="N207" s="223">
        <v>0</v>
      </c>
      <c r="O207" s="223">
        <v>0</v>
      </c>
      <c r="P207" s="33">
        <f t="shared" si="190"/>
        <v>0</v>
      </c>
      <c r="Q207" s="223">
        <f t="shared" si="191"/>
        <v>0</v>
      </c>
      <c r="R207" s="294"/>
      <c r="S207" s="223">
        <v>0</v>
      </c>
      <c r="T207" s="223">
        <v>0</v>
      </c>
      <c r="U207" s="223">
        <v>0</v>
      </c>
      <c r="V207" s="223">
        <v>0</v>
      </c>
      <c r="W207" s="223">
        <v>0</v>
      </c>
      <c r="X207" s="223">
        <v>0</v>
      </c>
      <c r="Y207" s="223">
        <f t="shared" si="192"/>
        <v>0</v>
      </c>
      <c r="Z207" s="223">
        <f t="shared" si="193"/>
        <v>0</v>
      </c>
      <c r="AA207" s="294"/>
      <c r="AB207" s="398">
        <v>0</v>
      </c>
      <c r="AC207" s="398">
        <v>0</v>
      </c>
      <c r="AD207" s="398">
        <v>0</v>
      </c>
      <c r="AE207" s="398">
        <v>0</v>
      </c>
      <c r="AF207" s="398">
        <v>0</v>
      </c>
      <c r="AG207" s="398">
        <v>0</v>
      </c>
      <c r="AH207" s="223">
        <f t="shared" si="194"/>
        <v>0</v>
      </c>
      <c r="AI207" s="398">
        <f t="shared" si="195"/>
        <v>0</v>
      </c>
      <c r="AJ207" s="294"/>
      <c r="AK207" s="398">
        <v>0</v>
      </c>
      <c r="AL207" s="398">
        <v>0</v>
      </c>
      <c r="AM207" s="398">
        <v>0</v>
      </c>
      <c r="AN207" s="294"/>
      <c r="AO207" s="398">
        <f t="shared" si="196"/>
        <v>0</v>
      </c>
      <c r="AP207" s="398">
        <f t="shared" si="197"/>
        <v>0</v>
      </c>
      <c r="AQ207" s="398">
        <f t="shared" si="198"/>
        <v>0</v>
      </c>
      <c r="AR207" s="293"/>
      <c r="AS207" s="293"/>
      <c r="AT207" s="576">
        <f t="shared" si="199"/>
        <v>0</v>
      </c>
      <c r="AU207" s="293"/>
      <c r="AV207" s="293">
        <v>0</v>
      </c>
      <c r="AW207" s="293">
        <v>0</v>
      </c>
      <c r="AX207" s="293">
        <v>0</v>
      </c>
      <c r="AY207" s="293">
        <v>0</v>
      </c>
      <c r="AZ207" s="293">
        <v>0</v>
      </c>
      <c r="BA207" s="293">
        <v>0</v>
      </c>
      <c r="BB207" s="293">
        <v>0</v>
      </c>
      <c r="BC207" s="293">
        <f t="shared" si="200"/>
        <v>0</v>
      </c>
      <c r="BE207" s="58">
        <f t="shared" si="201"/>
        <v>0</v>
      </c>
      <c r="BF207" s="58">
        <f t="shared" si="202"/>
        <v>0</v>
      </c>
      <c r="BG207" s="58">
        <f t="shared" si="203"/>
        <v>0</v>
      </c>
      <c r="BH207" s="58">
        <f t="shared" si="204"/>
        <v>0</v>
      </c>
      <c r="BI207" s="58">
        <f t="shared" si="205"/>
        <v>0</v>
      </c>
      <c r="BJ207" s="58">
        <f t="shared" si="206"/>
        <v>0</v>
      </c>
      <c r="BK207" s="58">
        <f t="shared" si="207"/>
        <v>0</v>
      </c>
      <c r="BL207" s="58">
        <f t="shared" si="208"/>
        <v>0</v>
      </c>
      <c r="BM207" s="33">
        <f t="shared" si="209"/>
        <v>0</v>
      </c>
      <c r="BN207" s="33"/>
      <c r="BO207" s="293">
        <f t="shared" si="181"/>
        <v>0</v>
      </c>
      <c r="BP207" s="293">
        <f t="shared" si="182"/>
        <v>0</v>
      </c>
      <c r="BQ207" s="293">
        <f t="shared" si="183"/>
        <v>0</v>
      </c>
      <c r="BR207" s="293">
        <f t="shared" si="184"/>
        <v>0</v>
      </c>
      <c r="BS207" s="293">
        <f t="shared" si="185"/>
        <v>0</v>
      </c>
      <c r="BT207" s="293">
        <f t="shared" si="186"/>
        <v>0</v>
      </c>
      <c r="BU207" s="293">
        <f t="shared" si="187"/>
        <v>0</v>
      </c>
      <c r="BV207" s="293">
        <f t="shared" ref="BV207" si="233">SUM(BO207:BU207)+AT207</f>
        <v>0</v>
      </c>
      <c r="BW207" s="293">
        <f t="shared" ref="BW207" si="234">(Q207+AO207+AS207+BV207)-BC207-AT207</f>
        <v>0</v>
      </c>
      <c r="BX207" s="293">
        <v>0</v>
      </c>
      <c r="BY207" s="293">
        <v>0</v>
      </c>
      <c r="BZ207" s="293">
        <v>0</v>
      </c>
      <c r="CA207" s="293">
        <v>0</v>
      </c>
      <c r="CB207" s="293">
        <v>0</v>
      </c>
      <c r="CC207" s="293">
        <v>0</v>
      </c>
      <c r="CD207" s="293">
        <v>0</v>
      </c>
      <c r="CE207" s="293">
        <f t="shared" si="210"/>
        <v>0</v>
      </c>
      <c r="CF207" s="293"/>
      <c r="CG207" s="293">
        <v>0</v>
      </c>
      <c r="CH207" s="293">
        <v>0</v>
      </c>
      <c r="CI207" s="293">
        <v>0</v>
      </c>
      <c r="CJ207" s="293">
        <v>0</v>
      </c>
      <c r="CK207" s="293">
        <v>0</v>
      </c>
      <c r="CL207" s="293">
        <v>0</v>
      </c>
      <c r="CM207" s="293">
        <v>0</v>
      </c>
      <c r="CN207" s="293">
        <f t="shared" si="211"/>
        <v>0</v>
      </c>
      <c r="CO207" s="293"/>
      <c r="CP207" s="58">
        <f t="shared" si="212"/>
        <v>0</v>
      </c>
      <c r="CQ207" s="223">
        <f t="shared" si="213"/>
        <v>0</v>
      </c>
      <c r="CR207" s="223">
        <f t="shared" si="214"/>
        <v>0</v>
      </c>
      <c r="CS207" s="223">
        <f t="shared" si="215"/>
        <v>0</v>
      </c>
      <c r="CT207" s="223">
        <f t="shared" si="216"/>
        <v>0</v>
      </c>
      <c r="CU207" s="223">
        <f t="shared" si="217"/>
        <v>0</v>
      </c>
      <c r="CV207" s="223">
        <f t="shared" si="218"/>
        <v>0</v>
      </c>
      <c r="CW207" s="223">
        <f t="shared" si="219"/>
        <v>0</v>
      </c>
      <c r="CX207" s="223">
        <f t="shared" si="220"/>
        <v>0</v>
      </c>
      <c r="CY207" s="58">
        <f t="shared" si="221"/>
        <v>0</v>
      </c>
      <c r="CZ207" s="399">
        <f t="shared" si="222"/>
        <v>0</v>
      </c>
      <c r="DA207" s="399">
        <f t="shared" si="223"/>
        <v>0</v>
      </c>
      <c r="DB207" s="399">
        <f t="shared" si="224"/>
        <v>0</v>
      </c>
      <c r="DC207" s="399">
        <f t="shared" si="225"/>
        <v>0</v>
      </c>
      <c r="DD207" s="399">
        <f t="shared" si="226"/>
        <v>0</v>
      </c>
      <c r="DE207" s="399">
        <f t="shared" si="227"/>
        <v>0</v>
      </c>
      <c r="DF207" s="399">
        <f t="shared" si="228"/>
        <v>0</v>
      </c>
      <c r="DG207" s="399">
        <f t="shared" si="229"/>
        <v>0</v>
      </c>
      <c r="DI207" s="399"/>
      <c r="DJ207" s="399"/>
      <c r="DK207" s="399"/>
      <c r="DL207" s="399"/>
      <c r="DM207" s="399"/>
      <c r="DN207" s="399"/>
      <c r="DO207" s="399"/>
      <c r="DP207" s="399"/>
      <c r="DQ207" s="399"/>
      <c r="DS207" s="399"/>
      <c r="DT207" s="399"/>
      <c r="DU207" s="399"/>
      <c r="DV207" s="399"/>
      <c r="DW207" s="399"/>
      <c r="DX207" s="399"/>
      <c r="DY207" s="399"/>
      <c r="DZ207" s="399"/>
      <c r="EB207" s="228">
        <f t="shared" si="230"/>
        <v>0</v>
      </c>
      <c r="EC207" s="228">
        <f t="shared" si="231"/>
        <v>0</v>
      </c>
      <c r="ED207" s="214">
        <f t="shared" si="232"/>
        <v>0</v>
      </c>
    </row>
    <row r="208" spans="1:134" s="280" customFormat="1" ht="15" thickBot="1">
      <c r="A208" s="283"/>
      <c r="B208" s="284"/>
      <c r="C208" s="284"/>
      <c r="D208" s="285" t="s">
        <v>1052</v>
      </c>
      <c r="E208" s="286"/>
      <c r="F208" s="287"/>
      <c r="G208" s="282"/>
      <c r="H208" s="400">
        <f>SUM(H8:H207)</f>
        <v>6724229.9999999991</v>
      </c>
      <c r="I208" s="395"/>
      <c r="J208" s="404">
        <f>SUM(J8:J207)</f>
        <v>6973.2000000000007</v>
      </c>
      <c r="K208" s="404">
        <f t="shared" ref="K208:S208" si="235">SUM(K8:K207)</f>
        <v>1279435.9500000002</v>
      </c>
      <c r="L208" s="404">
        <f t="shared" si="235"/>
        <v>6803493.762000002</v>
      </c>
      <c r="M208" s="404">
        <f t="shared" si="235"/>
        <v>417495</v>
      </c>
      <c r="N208" s="404">
        <f t="shared" si="235"/>
        <v>90986.31578947368</v>
      </c>
      <c r="O208" s="404">
        <f t="shared" si="235"/>
        <v>37865.578947368413</v>
      </c>
      <c r="P208" s="404">
        <f t="shared" si="235"/>
        <v>8636249.8067368455</v>
      </c>
      <c r="Q208" s="404">
        <f t="shared" si="235"/>
        <v>6908999.8453894742</v>
      </c>
      <c r="R208" s="395"/>
      <c r="S208" s="404">
        <f t="shared" si="235"/>
        <v>6973.2000000000007</v>
      </c>
      <c r="T208" s="404">
        <f t="shared" ref="T208" si="236">SUM(T8:T207)</f>
        <v>1553908.98</v>
      </c>
      <c r="U208" s="404">
        <f t="shared" ref="U208" si="237">SUM(U8:U207)</f>
        <v>4697678.3100000005</v>
      </c>
      <c r="V208" s="404">
        <f t="shared" ref="V208" si="238">SUM(V8:V207)</f>
        <v>319397</v>
      </c>
      <c r="W208" s="404">
        <f t="shared" ref="W208" si="239">SUM(W8:W207)</f>
        <v>83975.894736842063</v>
      </c>
      <c r="X208" s="404">
        <f t="shared" ref="X208" si="240">SUM(X8:X207)</f>
        <v>30164.1052631579</v>
      </c>
      <c r="Y208" s="404">
        <f t="shared" ref="Y208" si="241">SUM(Y8:Y207)</f>
        <v>6692097.4900000012</v>
      </c>
      <c r="Z208" s="404">
        <f>SUM(Z8:Z207)</f>
        <v>5353677.9919999996</v>
      </c>
      <c r="AA208" s="395"/>
      <c r="AB208" s="404">
        <f t="shared" ref="AB208:AH208" si="242">SUM(AB8:AB207)</f>
        <v>6436.8000000000011</v>
      </c>
      <c r="AC208" s="404">
        <f t="shared" si="242"/>
        <v>1045332.5684210527</v>
      </c>
      <c r="AD208" s="404">
        <f t="shared" si="242"/>
        <v>5025697.5031578951</v>
      </c>
      <c r="AE208" s="404">
        <f t="shared" si="242"/>
        <v>299614.73684210522</v>
      </c>
      <c r="AF208" s="404">
        <f t="shared" si="242"/>
        <v>70979.833795013867</v>
      </c>
      <c r="AG208" s="404">
        <f t="shared" si="242"/>
        <v>32306.027700831022</v>
      </c>
      <c r="AH208" s="404">
        <f t="shared" si="242"/>
        <v>6480367.469916896</v>
      </c>
      <c r="AI208" s="404">
        <f>SUM(AI8:AI207)</f>
        <v>5184293.9759335192</v>
      </c>
      <c r="AJ208" s="395"/>
      <c r="AK208" s="398">
        <f>SUM(AK8:AK207)</f>
        <v>259787.05999999994</v>
      </c>
      <c r="AL208" s="398">
        <f>SUM(AL8:AL207)</f>
        <v>193285.94999999998</v>
      </c>
      <c r="AM208" s="398">
        <f>SUM(AM8:AM207)</f>
        <v>185468.89263157893</v>
      </c>
      <c r="AN208" s="395"/>
      <c r="AO208" s="398">
        <f>SUM(AO8:AO207)</f>
        <v>207829.64799999993</v>
      </c>
      <c r="AP208" s="398">
        <f>SUM(AP8:AP207)</f>
        <v>154628.75999999995</v>
      </c>
      <c r="AQ208" s="398">
        <f>SUM(AQ8:AQ207)</f>
        <v>148375.11410526314</v>
      </c>
      <c r="AR208" s="187"/>
      <c r="AS208" s="187">
        <f>SUM(AS8:AS207)</f>
        <v>6724229.9999999991</v>
      </c>
      <c r="AT208" s="576">
        <f>SUM(AT8:AT207)</f>
        <v>-1.7462298274040222E-10</v>
      </c>
      <c r="AU208" s="187"/>
      <c r="AV208" s="293">
        <f>SUM(AV8:AV207)</f>
        <v>6973.2000000000007</v>
      </c>
      <c r="AW208" s="293">
        <f t="shared" ref="AW208:BB208" si="243">SUM(AW8:AW207)</f>
        <v>1280782.3500000001</v>
      </c>
      <c r="AX208" s="293">
        <f t="shared" si="243"/>
        <v>6439454.4480000008</v>
      </c>
      <c r="AY208" s="293">
        <f t="shared" si="243"/>
        <v>470340</v>
      </c>
      <c r="AZ208" s="293">
        <f t="shared" si="243"/>
        <v>116194.00000000004</v>
      </c>
      <c r="BA208" s="293">
        <f t="shared" si="243"/>
        <v>50058.839999999982</v>
      </c>
      <c r="BB208" s="293">
        <f t="shared" si="243"/>
        <v>245950.28900000008</v>
      </c>
      <c r="BC208" s="293">
        <f>SUM(BC8:BC207)</f>
        <v>15333983.127000002</v>
      </c>
      <c r="BD208"/>
      <c r="BE208" s="293">
        <f>SUM(BE8:BE207)</f>
        <v>0</v>
      </c>
      <c r="BF208" s="293">
        <f t="shared" ref="BF208:BL208" si="244">SUM(BF8:BF207)</f>
        <v>1346.3999999999942</v>
      </c>
      <c r="BG208" s="293">
        <f t="shared" si="244"/>
        <v>-271328.51399999985</v>
      </c>
      <c r="BH208" s="293">
        <f t="shared" si="244"/>
        <v>56355</v>
      </c>
      <c r="BI208" s="293">
        <f t="shared" si="244"/>
        <v>25207.684210526302</v>
      </c>
      <c r="BJ208" s="293">
        <f t="shared" si="244"/>
        <v>12193.261052631577</v>
      </c>
      <c r="BK208" s="293">
        <f t="shared" si="244"/>
        <v>-11935.520999999995</v>
      </c>
      <c r="BL208" s="293">
        <f t="shared" si="244"/>
        <v>-188161.68973684212</v>
      </c>
      <c r="BM208" s="293">
        <f>SUM(BM8:BM207)</f>
        <v>0</v>
      </c>
      <c r="BN208" s="293"/>
      <c r="BO208" s="187">
        <f>SUM(BO8:BO207)</f>
        <v>1394.6399999999996</v>
      </c>
      <c r="BP208" s="187">
        <f t="shared" ref="BP208:BW208" si="245">SUM(BP8:BP207)</f>
        <v>257233.58999999997</v>
      </c>
      <c r="BQ208" s="187">
        <f t="shared" si="245"/>
        <v>1070828.0784</v>
      </c>
      <c r="BR208" s="187">
        <f t="shared" si="245"/>
        <v>139152</v>
      </c>
      <c r="BS208" s="187">
        <f t="shared" si="245"/>
        <v>43404.947368421039</v>
      </c>
      <c r="BT208" s="187">
        <f t="shared" si="245"/>
        <v>19766.376842105259</v>
      </c>
      <c r="BU208" s="187">
        <f t="shared" si="245"/>
        <v>39641.640999999974</v>
      </c>
      <c r="BV208" s="187">
        <f t="shared" si="245"/>
        <v>1571421.2736105262</v>
      </c>
      <c r="BW208" s="187">
        <f t="shared" si="245"/>
        <v>4.5474735088646412E-12</v>
      </c>
      <c r="BX208" s="187">
        <f>SUM(BX8:BX207)</f>
        <v>0</v>
      </c>
      <c r="BY208" s="187">
        <f t="shared" ref="BY208:CE208" si="246">SUM(BY8:BY207)</f>
        <v>11770.913999999964</v>
      </c>
      <c r="BZ208" s="187">
        <f t="shared" si="246"/>
        <v>0</v>
      </c>
      <c r="CA208" s="187">
        <f t="shared" si="246"/>
        <v>-195</v>
      </c>
      <c r="CB208" s="187">
        <f t="shared" si="246"/>
        <v>15885.315789473683</v>
      </c>
      <c r="CC208" s="187">
        <f t="shared" si="246"/>
        <v>102218.05000000002</v>
      </c>
      <c r="CD208" s="187">
        <f t="shared" si="246"/>
        <v>32851.455000000002</v>
      </c>
      <c r="CE208" s="187">
        <f t="shared" si="246"/>
        <v>162530.73478947362</v>
      </c>
      <c r="CF208" s="187"/>
      <c r="CG208" s="187">
        <f t="shared" ref="CG208:CP208" si="247">SUM(CG8:CG207)</f>
        <v>20919.599999999999</v>
      </c>
      <c r="CH208" s="187">
        <f t="shared" si="247"/>
        <v>1667466.4200000002</v>
      </c>
      <c r="CI208" s="187">
        <f t="shared" si="247"/>
        <v>4481765.7240000004</v>
      </c>
      <c r="CJ208" s="187">
        <f t="shared" si="247"/>
        <v>320872.5</v>
      </c>
      <c r="CK208" s="187">
        <f t="shared" si="247"/>
        <v>96673.13999999997</v>
      </c>
      <c r="CL208" s="187">
        <f t="shared" si="247"/>
        <v>59094</v>
      </c>
      <c r="CM208" s="187">
        <f t="shared" si="247"/>
        <v>210877.576</v>
      </c>
      <c r="CN208" s="187">
        <f t="shared" si="247"/>
        <v>6857668.9599999981</v>
      </c>
      <c r="CO208" s="187"/>
      <c r="CP208" s="187">
        <f t="shared" si="247"/>
        <v>13946.4</v>
      </c>
      <c r="CQ208" s="187">
        <f t="shared" ref="CQ208" si="248">SUM(CQ8:CQ207)</f>
        <v>113557.44</v>
      </c>
      <c r="CR208" s="187">
        <f t="shared" ref="CR208" si="249">SUM(CR8:CR207)</f>
        <v>-215912.58600000013</v>
      </c>
      <c r="CS208" s="187">
        <f t="shared" ref="CS208" si="250">SUM(CS8:CS207)</f>
        <v>1475.5</v>
      </c>
      <c r="CT208" s="187">
        <f t="shared" ref="CT208" si="251">SUM(CT8:CT207)</f>
        <v>12697.2452631579</v>
      </c>
      <c r="CU208" s="187">
        <f t="shared" ref="CU208" si="252">SUM(CU8:CU207)</f>
        <v>28929.8947368421</v>
      </c>
      <c r="CV208" s="187">
        <f t="shared" ref="CV208" si="253">SUM(CV8:CV207)</f>
        <v>17591.626000000004</v>
      </c>
      <c r="CW208" s="187">
        <f t="shared" ref="CW208:CY208" si="254">SUM(CW8:CW207)</f>
        <v>-27714.480000000047</v>
      </c>
      <c r="CX208" s="187"/>
      <c r="CY208" s="187">
        <f t="shared" si="254"/>
        <v>15341.039999999999</v>
      </c>
      <c r="CZ208" s="187">
        <f t="shared" ref="CZ208" si="255">SUM(CZ8:CZ207)</f>
        <v>424339.23599999992</v>
      </c>
      <c r="DA208" s="187">
        <f t="shared" ref="DA208" si="256">SUM(DA8:DA207)</f>
        <v>723623.07599999965</v>
      </c>
      <c r="DB208" s="187">
        <f t="shared" ref="DB208" si="257">SUM(DB8:DB207)</f>
        <v>65354.9</v>
      </c>
      <c r="DC208" s="187">
        <f t="shared" ref="DC208" si="258">SUM(DC8:DC207)</f>
        <v>29492.424210526304</v>
      </c>
      <c r="DD208" s="187">
        <f t="shared" ref="DD208" si="259">SUM(DD8:DD207)</f>
        <v>34962.715789473681</v>
      </c>
      <c r="DE208" s="187">
        <f t="shared" ref="DE208" si="260">SUM(DE8:DE207)</f>
        <v>56248.81599999997</v>
      </c>
      <c r="DF208" s="187">
        <f t="shared" ref="DF208" si="261">SUM(DF8:DF207)</f>
        <v>1349362.2079999992</v>
      </c>
      <c r="DG208" s="187"/>
      <c r="DH208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/>
      <c r="DS208" s="187"/>
      <c r="DT208" s="187"/>
      <c r="DU208" s="187"/>
      <c r="DV208" s="187"/>
      <c r="DW208" s="187"/>
      <c r="DX208" s="187"/>
      <c r="DY208" s="187"/>
      <c r="DZ208" s="187"/>
      <c r="EB208" s="290">
        <f>SUM(EB8:EB207)</f>
        <v>27528133.839667592</v>
      </c>
      <c r="EC208" s="291">
        <f>SUM(EC8:EC207)</f>
        <v>237215.71216066481</v>
      </c>
      <c r="ED208" s="292">
        <f>SUM(ED8:ED207)</f>
        <v>27765349.55182825</v>
      </c>
    </row>
    <row r="209" spans="55:55" ht="15" thickTop="1"/>
    <row r="210" spans="55:55">
      <c r="BC210" s="58"/>
    </row>
  </sheetData>
  <sheetProtection algorithmName="SHA-512" hashValue="qUt7SspymK3iSH1sC7yKa/+H/batuaFYioFKoPXLvoX7NkTp8oxZsPYW4fIASsvy58WYzAIJyz260tWcPgkgPQ==" saltValue="A+XSLn8Dc0POaaYZ+Cz2Dg==" spinCount="100000" sheet="1" autoFilter="0"/>
  <autoFilter ref="A7:EF208" xr:uid="{559EC715-CAF1-44E8-A16C-304CD5956029}">
    <filterColumn colId="82">
      <filters>
        <filter val="-£1,011.14"/>
        <filter val="£1,032.66"/>
        <filter val="£1,136.54"/>
        <filter val="£1,157.98"/>
        <filter val="£1,218.00"/>
        <filter val="£1,245.34"/>
        <filter val="£1,510.94"/>
        <filter val="£1,724.33"/>
        <filter val="£10,998.90"/>
        <filter val="£111.87"/>
        <filter val="£113.10"/>
        <filter val="£117.00"/>
        <filter val="£118.95"/>
        <filter val="£134.55"/>
        <filter val="-£14,105.95"/>
        <filter val="£14,413.84"/>
        <filter val="£143.07"/>
        <filter val="£15,171.20"/>
        <filter val="-£16,009.03"/>
        <filter val="£162,530.73"/>
        <filter val="£17,387.11"/>
        <filter val="£2,927.22"/>
        <filter val="£200.85"/>
        <filter val="£21,026.02"/>
        <filter val="£22,277.81"/>
        <filter val="£223.74"/>
        <filter val="£226.20"/>
        <filter val="£23,582.07"/>
        <filter val="£246.42"/>
        <filter val="£253.50"/>
        <filter val="£254.94"/>
        <filter val="£282.75"/>
        <filter val="£29,374.62"/>
        <filter val="-£3,159.12"/>
        <filter val="£31.20"/>
        <filter val="£325.65"/>
        <filter val="£342.69"/>
        <filter val="£349.77"/>
        <filter val="£365.32"/>
        <filter val="£365.37"/>
        <filter val="£401.70"/>
        <filter val="£413.40"/>
        <filter val="£430.44"/>
        <filter val="£448.71"/>
        <filter val="£485.76"/>
        <filter val="-£5,287.49"/>
        <filter val="-£5,726.24"/>
        <filter val="£540.87"/>
        <filter val="£592.80"/>
        <filter val="£6,496.00"/>
        <filter val="£6,620.13"/>
        <filter val="£62.40"/>
        <filter val="£645.45"/>
        <filter val="£663.91"/>
        <filter val="£7,469.28"/>
        <filter val="£763.17"/>
        <filter val="£8,193.27"/>
        <filter val="-£8,921.42"/>
        <filter val="£888.88"/>
        <filter val="£9,790.06"/>
        <filter val="£976.18"/>
      </filters>
    </filterColumn>
    <filterColumn colId="109">
      <filters>
        <filter val="(1,406.59)"/>
        <filter val="(10,104.90)"/>
        <filter val="(11,405.93)"/>
        <filter val="(12,198.50)"/>
        <filter val="(13,001.90)"/>
        <filter val="(14,458.08)"/>
        <filter val="(17,143.33)"/>
        <filter val="(17,341.79)"/>
        <filter val="(18,340.67)"/>
        <filter val="(2,057.19)"/>
        <filter val="(2,067.16)"/>
        <filter val="(2,950.15)"/>
        <filter val="(23,222.55)"/>
        <filter val="(290.94)"/>
        <filter val="(3,301.78)"/>
        <filter val="(3,408.60)"/>
        <filter val="(3,492.25)"/>
        <filter val="(3,811.86)"/>
        <filter val="(46.51)"/>
        <filter val="(5,100.61)"/>
        <filter val="(590.85)"/>
        <filter val="(7,973.67)"/>
        <filter val="£1,349,362.21"/>
        <filter val="1,092.00"/>
        <filter val="10,117.45"/>
        <filter val="10,405.19"/>
        <filter val="11,084.74"/>
        <filter val="11,343.18"/>
        <filter val="11,730.21"/>
        <filter val="12,181.33"/>
        <filter val="12,504.90"/>
        <filter val="12,899.64"/>
        <filter val="13,073.62"/>
        <filter val="14,455.82"/>
        <filter val="14,741.94"/>
        <filter val="15,053.61"/>
        <filter val="15,767.46"/>
        <filter val="15,798.78"/>
        <filter val="158.36"/>
        <filter val="16,484.58"/>
        <filter val="16,951.12"/>
        <filter val="17,453.88"/>
        <filter val="17,902.03"/>
        <filter val="18,290.37"/>
        <filter val="18,606.64"/>
        <filter val="18,764.85"/>
        <filter val="2,351.96"/>
        <filter val="2,376.11"/>
        <filter val="2,737.83"/>
        <filter val="20,408.29"/>
        <filter val="20,568.00"/>
        <filter val="21,740.69"/>
        <filter val="22,079.37"/>
        <filter val="23,247.65"/>
        <filter val="23,953.85"/>
        <filter val="24,340.52"/>
        <filter val="25,538.26"/>
        <filter val="29,936.66"/>
        <filter val="31,641.27"/>
        <filter val="32,630.39"/>
        <filter val="33,466.72"/>
        <filter val="41,620.10"/>
        <filter val="43,414.65"/>
        <filter val="45,390.00"/>
        <filter val="45,842.39"/>
        <filter val="48,860.62"/>
        <filter val="49,323.78"/>
        <filter val="5,363.90"/>
        <filter val="5,432.47"/>
        <filter val="5,710.38"/>
        <filter val="50,868.15"/>
        <filter val="51,100.23"/>
        <filter val="52,754.67"/>
        <filter val="53,174.22"/>
        <filter val="53,908.43"/>
        <filter val="57,143.42"/>
        <filter val="6,133.66"/>
        <filter val="6,929.60"/>
        <filter val="66,599.98"/>
        <filter val="68,010.05"/>
        <filter val="7,014.15"/>
        <filter val="7,176.13"/>
        <filter val="7,283.38"/>
        <filter val="7,415.08"/>
        <filter val="73,951.84"/>
        <filter val="757.39"/>
        <filter val="8,471.84"/>
        <filter val="9,720.10"/>
        <filter val="9,908.13"/>
        <filter val="9,920.01"/>
      </filters>
    </filterColumn>
  </autoFilter>
  <phoneticPr fontId="94" type="noConversion"/>
  <conditionalFormatting sqref="A7:F7 A8:E8 E9:E208">
    <cfRule type="cellIs" dxfId="5" priority="2" operator="lessThan">
      <formula>0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E7DA-57AD-470C-A196-8FC22E0C8349}">
  <sheetPr codeName="Sheet9">
    <tabColor theme="5" tint="0.79998168889431442"/>
  </sheetPr>
  <dimension ref="A1:AR16"/>
  <sheetViews>
    <sheetView zoomScale="80" zoomScaleNormal="80" workbookViewId="0">
      <pane xSplit="5" ySplit="8" topLeftCell="AC9" activePane="bottomRight" state="frozen"/>
      <selection pane="topRight" activeCell="F1" sqref="F1"/>
      <selection pane="bottomLeft" activeCell="A9" sqref="A9"/>
      <selection pane="bottomRight" activeCell="AN9" sqref="AN9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14.26953125" bestFit="1" customWidth="1"/>
    <col min="8" max="15" width="12.26953125" bestFit="1" customWidth="1"/>
    <col min="16" max="16" width="13.81640625" bestFit="1" customWidth="1"/>
    <col min="17" max="21" width="13.81640625" customWidth="1"/>
    <col min="22" max="22" width="18.1796875" customWidth="1"/>
    <col min="24" max="31" width="12.26953125" bestFit="1" customWidth="1"/>
    <col min="32" max="32" width="13.81640625" bestFit="1" customWidth="1"/>
    <col min="33" max="36" width="12.26953125" bestFit="1" customWidth="1"/>
    <col min="37" max="37" width="13.81640625" bestFit="1" customWidth="1"/>
    <col min="38" max="38" width="18.1796875" bestFit="1" customWidth="1"/>
    <col min="40" max="40" width="11.7265625" bestFit="1" customWidth="1"/>
    <col min="41" max="41" width="14.1796875" customWidth="1"/>
    <col min="44" max="44" width="13.81640625" customWidth="1"/>
  </cols>
  <sheetData>
    <row r="1" spans="1:44">
      <c r="A1" s="1" t="s">
        <v>1066</v>
      </c>
      <c r="B1" s="1"/>
    </row>
    <row r="2" spans="1:44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</row>
    <row r="3" spans="1:44">
      <c r="D3" s="66"/>
      <c r="G3" s="66" t="s">
        <v>1011</v>
      </c>
    </row>
    <row r="4" spans="1:44" ht="15" thickBot="1">
      <c r="D4" s="66"/>
      <c r="G4" s="66" t="s">
        <v>1012</v>
      </c>
    </row>
    <row r="5" spans="1:44" ht="15" thickBot="1">
      <c r="D5" s="66"/>
      <c r="H5" s="911" t="s">
        <v>1067</v>
      </c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913"/>
      <c r="X5" s="911" t="s">
        <v>1068</v>
      </c>
      <c r="Y5" s="912"/>
      <c r="Z5" s="912"/>
      <c r="AA5" s="912"/>
      <c r="AB5" s="912"/>
      <c r="AC5" s="912"/>
      <c r="AD5" s="912"/>
      <c r="AE5" s="912"/>
      <c r="AF5" s="912"/>
      <c r="AG5" s="912"/>
      <c r="AH5" s="912"/>
      <c r="AI5" s="912"/>
      <c r="AJ5" s="912"/>
      <c r="AK5" s="912"/>
      <c r="AL5" s="913"/>
    </row>
    <row r="6" spans="1:44" ht="15" thickBot="1">
      <c r="D6" s="66"/>
      <c r="G6" s="66"/>
      <c r="H6" s="908" t="s">
        <v>1069</v>
      </c>
      <c r="I6" s="909"/>
      <c r="J6" s="909"/>
      <c r="K6" s="909"/>
      <c r="L6" s="909"/>
      <c r="M6" s="909"/>
      <c r="N6" s="909"/>
      <c r="O6" s="909"/>
      <c r="P6" s="910"/>
      <c r="Q6" s="908" t="s">
        <v>1070</v>
      </c>
      <c r="R6" s="909"/>
      <c r="S6" s="909"/>
      <c r="T6" s="909"/>
      <c r="U6" s="910"/>
      <c r="V6" s="410" t="s">
        <v>479</v>
      </c>
      <c r="X6" s="908" t="s">
        <v>1070</v>
      </c>
      <c r="Y6" s="909"/>
      <c r="Z6" s="909"/>
      <c r="AA6" s="909"/>
      <c r="AB6" s="909"/>
      <c r="AC6" s="909"/>
      <c r="AD6" s="909"/>
      <c r="AE6" s="909"/>
      <c r="AF6" s="910"/>
      <c r="AG6" s="908" t="s">
        <v>1071</v>
      </c>
      <c r="AH6" s="909"/>
      <c r="AI6" s="909"/>
      <c r="AJ6" s="909"/>
      <c r="AK6" s="910"/>
      <c r="AL6" s="410" t="s">
        <v>479</v>
      </c>
    </row>
    <row r="7" spans="1:44" ht="43.5">
      <c r="H7" s="905"/>
      <c r="I7" s="905"/>
      <c r="J7" s="905"/>
      <c r="K7" s="905"/>
      <c r="L7" s="905"/>
      <c r="M7" s="905"/>
      <c r="N7" s="905"/>
      <c r="O7" s="905"/>
      <c r="P7" s="905"/>
      <c r="Q7" s="906"/>
      <c r="R7" s="906"/>
      <c r="S7" s="906"/>
      <c r="T7" s="906"/>
      <c r="U7" s="906"/>
      <c r="V7" s="907"/>
      <c r="X7" s="905"/>
      <c r="Y7" s="905"/>
      <c r="Z7" s="905"/>
      <c r="AA7" s="905"/>
      <c r="AB7" s="905"/>
      <c r="AC7" s="905"/>
      <c r="AD7" s="905"/>
      <c r="AE7" s="905"/>
      <c r="AF7" s="905"/>
      <c r="AG7" s="906"/>
      <c r="AH7" s="906"/>
      <c r="AI7" s="906"/>
      <c r="AJ7" s="906"/>
      <c r="AK7" s="906"/>
      <c r="AL7" s="907"/>
      <c r="AN7" s="776" t="s">
        <v>1072</v>
      </c>
      <c r="AO7" s="776" t="s">
        <v>1207</v>
      </c>
      <c r="AR7" s="64" t="s">
        <v>25</v>
      </c>
    </row>
    <row r="8" spans="1:44">
      <c r="A8" s="406" t="s">
        <v>15</v>
      </c>
      <c r="B8" s="406" t="s">
        <v>16</v>
      </c>
      <c r="C8" s="406" t="s">
        <v>17</v>
      </c>
      <c r="D8" s="406" t="s">
        <v>18</v>
      </c>
      <c r="E8" s="406" t="s">
        <v>19</v>
      </c>
      <c r="F8" s="406" t="s">
        <v>20</v>
      </c>
      <c r="G8" s="208"/>
      <c r="H8" s="408">
        <v>45505</v>
      </c>
      <c r="I8" s="408">
        <v>45536</v>
      </c>
      <c r="J8" s="408">
        <v>45566</v>
      </c>
      <c r="K8" s="408">
        <v>45597</v>
      </c>
      <c r="L8" s="408">
        <v>45627</v>
      </c>
      <c r="M8" s="408">
        <v>45658</v>
      </c>
      <c r="N8" s="408">
        <v>45689</v>
      </c>
      <c r="O8" s="408">
        <v>45717</v>
      </c>
      <c r="P8" s="4" t="s">
        <v>479</v>
      </c>
      <c r="Q8" s="409">
        <v>45748</v>
      </c>
      <c r="R8" s="409">
        <v>45778</v>
      </c>
      <c r="S8" s="409">
        <v>45809</v>
      </c>
      <c r="T8" s="409">
        <v>45839</v>
      </c>
      <c r="U8" s="4" t="s">
        <v>479</v>
      </c>
      <c r="V8" s="4" t="s">
        <v>1073</v>
      </c>
      <c r="X8" s="408">
        <v>45505</v>
      </c>
      <c r="Y8" s="408">
        <v>45536</v>
      </c>
      <c r="Z8" s="408">
        <v>45566</v>
      </c>
      <c r="AA8" s="408">
        <v>45597</v>
      </c>
      <c r="AB8" s="408">
        <v>45627</v>
      </c>
      <c r="AC8" s="408">
        <v>45658</v>
      </c>
      <c r="AD8" s="408">
        <v>45689</v>
      </c>
      <c r="AE8" s="408">
        <v>45717</v>
      </c>
      <c r="AF8" s="4" t="s">
        <v>479</v>
      </c>
      <c r="AG8" s="409">
        <v>45748</v>
      </c>
      <c r="AH8" s="409">
        <v>45778</v>
      </c>
      <c r="AI8" s="409">
        <v>45809</v>
      </c>
      <c r="AJ8" s="409">
        <v>45839</v>
      </c>
      <c r="AK8" s="4" t="s">
        <v>479</v>
      </c>
      <c r="AL8" s="4" t="s">
        <v>1073</v>
      </c>
    </row>
    <row r="9" spans="1:44">
      <c r="A9" s="2">
        <v>5413</v>
      </c>
      <c r="B9" s="407">
        <v>103560</v>
      </c>
      <c r="C9" s="407" t="s">
        <v>56</v>
      </c>
      <c r="D9" s="407" t="s">
        <v>57</v>
      </c>
      <c r="E9" s="189" t="s">
        <v>58</v>
      </c>
      <c r="F9" s="189" t="s">
        <v>912</v>
      </c>
      <c r="G9" s="33"/>
      <c r="H9" s="405">
        <v>119090.58333333333</v>
      </c>
      <c r="I9" s="405">
        <v>119090.58333333333</v>
      </c>
      <c r="J9" s="405">
        <v>119090.58333333333</v>
      </c>
      <c r="K9" s="405">
        <v>119090.58333333333</v>
      </c>
      <c r="L9" s="405">
        <v>119090.58333333333</v>
      </c>
      <c r="M9" s="405">
        <v>119090.58333333333</v>
      </c>
      <c r="N9" s="405">
        <v>119090.58333333333</v>
      </c>
      <c r="O9" s="405">
        <v>119090.58333333333</v>
      </c>
      <c r="P9" s="405">
        <v>952724.66666666674</v>
      </c>
      <c r="Q9" s="578">
        <v>119090.58333333333</v>
      </c>
      <c r="R9" s="405">
        <v>119090.58333333333</v>
      </c>
      <c r="S9" s="405">
        <v>119090.58333333333</v>
      </c>
      <c r="T9" s="405">
        <v>119090.58333333333</v>
      </c>
      <c r="U9" s="405">
        <v>476362.33333333302</v>
      </c>
      <c r="V9" s="405">
        <v>1429087</v>
      </c>
      <c r="W9" s="411">
        <f>U9+P9-V9</f>
        <v>0</v>
      </c>
      <c r="X9" s="405">
        <v>132581.83333333334</v>
      </c>
      <c r="Y9" s="405">
        <v>132581.83333333334</v>
      </c>
      <c r="Z9" s="405">
        <v>132581.83333333334</v>
      </c>
      <c r="AA9" s="405">
        <v>132581.83333333334</v>
      </c>
      <c r="AB9" s="405">
        <f t="shared" ref="Y9:AE14" si="0">$AL9/12</f>
        <v>132581.83333333334</v>
      </c>
      <c r="AC9" s="405">
        <f t="shared" si="0"/>
        <v>132581.83333333334</v>
      </c>
      <c r="AD9" s="405">
        <f t="shared" si="0"/>
        <v>132581.83333333334</v>
      </c>
      <c r="AE9" s="405">
        <f t="shared" si="0"/>
        <v>132581.83333333334</v>
      </c>
      <c r="AF9" s="405">
        <f>SUM(X9:AE9)</f>
        <v>1060654.6666666667</v>
      </c>
      <c r="AG9" s="405">
        <f>$AL9/12</f>
        <v>132581.83333333334</v>
      </c>
      <c r="AH9" s="405">
        <f t="shared" ref="AH9:AJ14" si="1">$AL9/12</f>
        <v>132581.83333333334</v>
      </c>
      <c r="AI9" s="405">
        <f t="shared" si="1"/>
        <v>132581.83333333334</v>
      </c>
      <c r="AJ9" s="405">
        <f t="shared" si="1"/>
        <v>132581.83333333334</v>
      </c>
      <c r="AK9" s="405">
        <f>SUM(AG9:AJ9)</f>
        <v>530327.33333333337</v>
      </c>
      <c r="AL9" s="405">
        <v>1590982</v>
      </c>
      <c r="AM9" s="33">
        <f>AK9+AF9-AL9</f>
        <v>0</v>
      </c>
      <c r="AN9" s="451">
        <f>1412956-V9</f>
        <v>-16131</v>
      </c>
      <c r="AO9" s="451">
        <f>(1590092*8/12)-AF9</f>
        <v>-593.33333333348855</v>
      </c>
      <c r="AR9" s="398">
        <f>U9+AF9+AN9+AO9</f>
        <v>1520292.6666666663</v>
      </c>
    </row>
    <row r="10" spans="1:44">
      <c r="A10" s="2">
        <v>4115</v>
      </c>
      <c r="B10" s="2">
        <v>103493</v>
      </c>
      <c r="C10" s="2" t="s">
        <v>65</v>
      </c>
      <c r="D10" s="2" t="s">
        <v>66</v>
      </c>
      <c r="E10" s="189" t="s">
        <v>58</v>
      </c>
      <c r="F10" s="190" t="s">
        <v>912</v>
      </c>
      <c r="G10" s="33"/>
      <c r="H10" s="405">
        <v>180369.25</v>
      </c>
      <c r="I10" s="405">
        <v>180369.25</v>
      </c>
      <c r="J10" s="405">
        <v>180369.25</v>
      </c>
      <c r="K10" s="405">
        <v>180369.25</v>
      </c>
      <c r="L10" s="405">
        <v>180369.25</v>
      </c>
      <c r="M10" s="405">
        <v>180369.25</v>
      </c>
      <c r="N10" s="405">
        <v>180369.25</v>
      </c>
      <c r="O10" s="405">
        <v>180369.25</v>
      </c>
      <c r="P10" s="405">
        <v>1442954</v>
      </c>
      <c r="Q10" s="578">
        <v>180369.25</v>
      </c>
      <c r="R10" s="405">
        <v>180369.25</v>
      </c>
      <c r="S10" s="405">
        <v>180369.25</v>
      </c>
      <c r="T10" s="405">
        <v>180369.25</v>
      </c>
      <c r="U10" s="405">
        <v>721477</v>
      </c>
      <c r="V10" s="405">
        <v>2164431</v>
      </c>
      <c r="W10" s="411">
        <f t="shared" ref="W10:W14" si="2">U10+P10-V10</f>
        <v>0</v>
      </c>
      <c r="X10" s="405">
        <f t="shared" ref="X10:X14" si="3">$AL10/12</f>
        <v>197073.33333333334</v>
      </c>
      <c r="Y10" s="405">
        <f t="shared" si="0"/>
        <v>197073.33333333334</v>
      </c>
      <c r="Z10" s="405">
        <f t="shared" si="0"/>
        <v>197073.33333333334</v>
      </c>
      <c r="AA10" s="405">
        <f t="shared" si="0"/>
        <v>197073.33333333334</v>
      </c>
      <c r="AB10" s="405">
        <f t="shared" si="0"/>
        <v>197073.33333333334</v>
      </c>
      <c r="AC10" s="405">
        <f t="shared" si="0"/>
        <v>197073.33333333334</v>
      </c>
      <c r="AD10" s="405">
        <f t="shared" si="0"/>
        <v>197073.33333333334</v>
      </c>
      <c r="AE10" s="405">
        <f t="shared" si="0"/>
        <v>197073.33333333334</v>
      </c>
      <c r="AF10" s="405">
        <f t="shared" ref="AF10:AF13" si="4">SUM(X10:AE10)</f>
        <v>1576586.6666666665</v>
      </c>
      <c r="AG10" s="405">
        <f t="shared" ref="AG10:AG14" si="5">$AL10/12</f>
        <v>197073.33333333334</v>
      </c>
      <c r="AH10" s="405">
        <f t="shared" si="1"/>
        <v>197073.33333333334</v>
      </c>
      <c r="AI10" s="405">
        <f t="shared" si="1"/>
        <v>197073.33333333334</v>
      </c>
      <c r="AJ10" s="405">
        <f t="shared" si="1"/>
        <v>197073.33333333334</v>
      </c>
      <c r="AK10" s="405">
        <f t="shared" ref="AK10:AK14" si="6">SUM(AG10:AJ10)</f>
        <v>788293.33333333337</v>
      </c>
      <c r="AL10" s="405">
        <v>2364880</v>
      </c>
      <c r="AM10" s="33">
        <f t="shared" ref="AM10:AM14" si="7">AK10+AF10-AL10</f>
        <v>0</v>
      </c>
      <c r="AN10" s="451">
        <f>2170578-V10</f>
        <v>6147</v>
      </c>
      <c r="AR10" s="398">
        <f t="shared" ref="AR10:AR14" si="8">U10+AF10+AN10</f>
        <v>2304210.6666666665</v>
      </c>
    </row>
    <row r="11" spans="1:44">
      <c r="A11" s="2">
        <v>5416</v>
      </c>
      <c r="B11" s="2">
        <v>103563</v>
      </c>
      <c r="C11" s="2" t="s">
        <v>106</v>
      </c>
      <c r="D11" s="2" t="s">
        <v>107</v>
      </c>
      <c r="E11" s="189" t="s">
        <v>58</v>
      </c>
      <c r="F11" s="190" t="s">
        <v>912</v>
      </c>
      <c r="G11" s="33"/>
      <c r="H11" s="405">
        <v>27352.75</v>
      </c>
      <c r="I11" s="405">
        <v>27352.75</v>
      </c>
      <c r="J11" s="405">
        <v>27352.75</v>
      </c>
      <c r="K11" s="405">
        <v>27352.75</v>
      </c>
      <c r="L11" s="405">
        <v>27352.75</v>
      </c>
      <c r="M11" s="405">
        <v>27352.75</v>
      </c>
      <c r="N11" s="405">
        <v>27352.75</v>
      </c>
      <c r="O11" s="405">
        <v>27352.75</v>
      </c>
      <c r="P11" s="405">
        <v>218821.99999999997</v>
      </c>
      <c r="Q11" s="578">
        <v>27352.75</v>
      </c>
      <c r="R11" s="405">
        <v>27352.75</v>
      </c>
      <c r="S11" s="405">
        <v>27352.75</v>
      </c>
      <c r="T11" s="405">
        <v>27352.75</v>
      </c>
      <c r="U11" s="405">
        <v>109411</v>
      </c>
      <c r="V11" s="405">
        <v>328233</v>
      </c>
      <c r="W11" s="411">
        <f t="shared" si="2"/>
        <v>0</v>
      </c>
      <c r="X11" s="405">
        <f t="shared" si="3"/>
        <v>28396.166666666668</v>
      </c>
      <c r="Y11" s="405">
        <f t="shared" si="0"/>
        <v>28396.166666666668</v>
      </c>
      <c r="Z11" s="405">
        <f t="shared" si="0"/>
        <v>28396.166666666668</v>
      </c>
      <c r="AA11" s="405">
        <f t="shared" si="0"/>
        <v>28396.166666666668</v>
      </c>
      <c r="AB11" s="405">
        <f t="shared" si="0"/>
        <v>28396.166666666668</v>
      </c>
      <c r="AC11" s="405">
        <f t="shared" si="0"/>
        <v>28396.166666666668</v>
      </c>
      <c r="AD11" s="405">
        <f t="shared" si="0"/>
        <v>28396.166666666668</v>
      </c>
      <c r="AE11" s="405">
        <f t="shared" si="0"/>
        <v>28396.166666666668</v>
      </c>
      <c r="AF11" s="405">
        <f t="shared" si="4"/>
        <v>227169.33333333331</v>
      </c>
      <c r="AG11" s="405">
        <f t="shared" si="5"/>
        <v>28396.166666666668</v>
      </c>
      <c r="AH11" s="405">
        <f t="shared" si="1"/>
        <v>28396.166666666668</v>
      </c>
      <c r="AI11" s="405">
        <f t="shared" si="1"/>
        <v>28396.166666666668</v>
      </c>
      <c r="AJ11" s="405">
        <f t="shared" si="1"/>
        <v>28396.166666666668</v>
      </c>
      <c r="AK11" s="405">
        <f t="shared" si="6"/>
        <v>113584.66666666667</v>
      </c>
      <c r="AL11" s="405">
        <v>340754</v>
      </c>
      <c r="AM11" s="33">
        <f t="shared" si="7"/>
        <v>0</v>
      </c>
      <c r="AN11" s="451"/>
      <c r="AR11" s="398">
        <f t="shared" si="8"/>
        <v>336580.33333333331</v>
      </c>
    </row>
    <row r="12" spans="1:44">
      <c r="A12" s="2">
        <v>4223</v>
      </c>
      <c r="B12" s="2">
        <v>103509</v>
      </c>
      <c r="C12" s="2" t="s">
        <v>162</v>
      </c>
      <c r="D12" s="2" t="s">
        <v>163</v>
      </c>
      <c r="E12" s="189" t="s">
        <v>58</v>
      </c>
      <c r="F12" s="190" t="s">
        <v>912</v>
      </c>
      <c r="G12" s="33"/>
      <c r="H12" s="405">
        <v>77447.166666666672</v>
      </c>
      <c r="I12" s="405">
        <v>77447.166666666672</v>
      </c>
      <c r="J12" s="405">
        <v>77447.166666666672</v>
      </c>
      <c r="K12" s="405">
        <v>77447.166666666672</v>
      </c>
      <c r="L12" s="405">
        <v>77447.166666666672</v>
      </c>
      <c r="M12" s="405">
        <v>77447.166666666672</v>
      </c>
      <c r="N12" s="405">
        <v>77447.166666666672</v>
      </c>
      <c r="O12" s="405">
        <v>77447.166666666672</v>
      </c>
      <c r="P12" s="405">
        <v>619577.33333333337</v>
      </c>
      <c r="Q12" s="578">
        <v>77447.166666666672</v>
      </c>
      <c r="R12" s="405">
        <v>77447.166666666672</v>
      </c>
      <c r="S12" s="405">
        <v>77447.166666666672</v>
      </c>
      <c r="T12" s="405">
        <v>77447.166666666672</v>
      </c>
      <c r="U12" s="405">
        <v>309788.66666666669</v>
      </c>
      <c r="V12" s="405">
        <v>929366</v>
      </c>
      <c r="W12" s="411">
        <f t="shared" si="2"/>
        <v>0</v>
      </c>
      <c r="X12" s="405">
        <f t="shared" si="3"/>
        <v>105956.08333333333</v>
      </c>
      <c r="Y12" s="405">
        <f t="shared" si="0"/>
        <v>105956.08333333333</v>
      </c>
      <c r="Z12" s="405">
        <f t="shared" si="0"/>
        <v>105956.08333333333</v>
      </c>
      <c r="AA12" s="405">
        <f t="shared" si="0"/>
        <v>105956.08333333333</v>
      </c>
      <c r="AB12" s="405">
        <f t="shared" si="0"/>
        <v>105956.08333333333</v>
      </c>
      <c r="AC12" s="405">
        <f t="shared" si="0"/>
        <v>105956.08333333333</v>
      </c>
      <c r="AD12" s="405">
        <f t="shared" si="0"/>
        <v>105956.08333333333</v>
      </c>
      <c r="AE12" s="405">
        <f t="shared" si="0"/>
        <v>105956.08333333333</v>
      </c>
      <c r="AF12" s="405">
        <f t="shared" si="4"/>
        <v>847648.66666666674</v>
      </c>
      <c r="AG12" s="405">
        <f t="shared" si="5"/>
        <v>105956.08333333333</v>
      </c>
      <c r="AH12" s="405">
        <f t="shared" si="1"/>
        <v>105956.08333333333</v>
      </c>
      <c r="AI12" s="405">
        <f t="shared" si="1"/>
        <v>105956.08333333333</v>
      </c>
      <c r="AJ12" s="405">
        <f t="shared" si="1"/>
        <v>105956.08333333333</v>
      </c>
      <c r="AK12" s="405">
        <f t="shared" si="6"/>
        <v>423824.33333333331</v>
      </c>
      <c r="AL12" s="405">
        <v>1271473</v>
      </c>
      <c r="AM12" s="33">
        <f t="shared" si="7"/>
        <v>0</v>
      </c>
      <c r="AN12" s="451">
        <f>938929-V12</f>
        <v>9563</v>
      </c>
      <c r="AR12" s="398">
        <f t="shared" si="8"/>
        <v>1167000.3333333335</v>
      </c>
    </row>
    <row r="13" spans="1:44">
      <c r="A13" s="2">
        <v>4245</v>
      </c>
      <c r="B13" s="2">
        <v>103519</v>
      </c>
      <c r="C13" s="2" t="s">
        <v>206</v>
      </c>
      <c r="D13" s="2" t="s">
        <v>207</v>
      </c>
      <c r="E13" s="189" t="s">
        <v>58</v>
      </c>
      <c r="F13" s="190" t="s">
        <v>912</v>
      </c>
      <c r="G13" s="33"/>
      <c r="H13" s="405">
        <v>111744.25</v>
      </c>
      <c r="I13" s="405">
        <v>111744.25</v>
      </c>
      <c r="J13" s="405">
        <v>111744.25</v>
      </c>
      <c r="K13" s="405">
        <v>111744.25</v>
      </c>
      <c r="L13" s="405">
        <v>111744.25</v>
      </c>
      <c r="M13" s="405">
        <v>111744.25</v>
      </c>
      <c r="N13" s="405">
        <v>111744.25</v>
      </c>
      <c r="O13" s="405">
        <v>111744.25</v>
      </c>
      <c r="P13" s="405">
        <v>893954.00000000012</v>
      </c>
      <c r="Q13" s="578">
        <v>111744.25</v>
      </c>
      <c r="R13" s="405">
        <v>111744.25</v>
      </c>
      <c r="S13" s="405">
        <v>111744.25</v>
      </c>
      <c r="T13" s="405">
        <v>111744.25</v>
      </c>
      <c r="U13" s="405">
        <v>446977</v>
      </c>
      <c r="V13" s="405">
        <v>1340931</v>
      </c>
      <c r="W13" s="411">
        <f t="shared" si="2"/>
        <v>0</v>
      </c>
      <c r="X13" s="405">
        <f t="shared" si="3"/>
        <v>117252.25</v>
      </c>
      <c r="Y13" s="405">
        <f t="shared" si="0"/>
        <v>117252.25</v>
      </c>
      <c r="Z13" s="405">
        <f t="shared" si="0"/>
        <v>117252.25</v>
      </c>
      <c r="AA13" s="405">
        <f t="shared" si="0"/>
        <v>117252.25</v>
      </c>
      <c r="AB13" s="405">
        <f t="shared" si="0"/>
        <v>117252.25</v>
      </c>
      <c r="AC13" s="405">
        <f t="shared" si="0"/>
        <v>117252.25</v>
      </c>
      <c r="AD13" s="405">
        <f t="shared" si="0"/>
        <v>117252.25</v>
      </c>
      <c r="AE13" s="405">
        <f t="shared" si="0"/>
        <v>117252.25</v>
      </c>
      <c r="AF13" s="405">
        <f t="shared" si="4"/>
        <v>938018</v>
      </c>
      <c r="AG13" s="405">
        <f t="shared" si="5"/>
        <v>117252.25</v>
      </c>
      <c r="AH13" s="405">
        <f t="shared" si="1"/>
        <v>117252.25</v>
      </c>
      <c r="AI13" s="405">
        <f t="shared" si="1"/>
        <v>117252.25</v>
      </c>
      <c r="AJ13" s="405">
        <f t="shared" si="1"/>
        <v>117252.25</v>
      </c>
      <c r="AK13" s="405">
        <f t="shared" si="6"/>
        <v>469009</v>
      </c>
      <c r="AL13" s="405">
        <v>1407027</v>
      </c>
      <c r="AM13" s="33">
        <f t="shared" si="7"/>
        <v>0</v>
      </c>
      <c r="AN13" s="451"/>
      <c r="AR13" s="398">
        <f t="shared" si="8"/>
        <v>1384995</v>
      </c>
    </row>
    <row r="14" spans="1:44">
      <c r="A14" s="2">
        <v>4606</v>
      </c>
      <c r="B14" s="2">
        <v>103531</v>
      </c>
      <c r="C14" s="2" t="s">
        <v>292</v>
      </c>
      <c r="D14" s="2" t="s">
        <v>293</v>
      </c>
      <c r="E14" s="189" t="s">
        <v>58</v>
      </c>
      <c r="F14" s="190" t="s">
        <v>912</v>
      </c>
      <c r="G14" s="33"/>
      <c r="H14" s="405">
        <v>95493.916666666672</v>
      </c>
      <c r="I14" s="405">
        <v>95493.916666666672</v>
      </c>
      <c r="J14" s="405">
        <v>95493.916666666672</v>
      </c>
      <c r="K14" s="405">
        <v>95493.916666666672</v>
      </c>
      <c r="L14" s="405">
        <v>95493.916666666672</v>
      </c>
      <c r="M14" s="405">
        <v>95493.916666666672</v>
      </c>
      <c r="N14" s="405">
        <v>95493.916666666672</v>
      </c>
      <c r="O14" s="405">
        <v>95493.916666666672</v>
      </c>
      <c r="P14" s="405">
        <v>763951.33333333337</v>
      </c>
      <c r="Q14" s="578">
        <v>95493.916666666672</v>
      </c>
      <c r="R14" s="405">
        <v>95493.916666666672</v>
      </c>
      <c r="S14" s="405">
        <v>95493.916666666672</v>
      </c>
      <c r="T14" s="405">
        <v>95493.916666666672</v>
      </c>
      <c r="U14" s="405">
        <v>381975.66666666669</v>
      </c>
      <c r="V14" s="405">
        <v>1145927</v>
      </c>
      <c r="W14" s="411">
        <f t="shared" si="2"/>
        <v>0</v>
      </c>
      <c r="X14" s="405">
        <f t="shared" si="3"/>
        <v>106607.83333333333</v>
      </c>
      <c r="Y14" s="405">
        <f t="shared" si="0"/>
        <v>106607.83333333333</v>
      </c>
      <c r="Z14" s="405">
        <f t="shared" si="0"/>
        <v>106607.83333333333</v>
      </c>
      <c r="AA14" s="405">
        <f t="shared" si="0"/>
        <v>106607.83333333333</v>
      </c>
      <c r="AB14" s="405">
        <f t="shared" si="0"/>
        <v>106607.83333333333</v>
      </c>
      <c r="AC14" s="405">
        <f t="shared" si="0"/>
        <v>106607.83333333333</v>
      </c>
      <c r="AD14" s="405">
        <f t="shared" si="0"/>
        <v>106607.83333333333</v>
      </c>
      <c r="AE14" s="405">
        <f t="shared" si="0"/>
        <v>106607.83333333333</v>
      </c>
      <c r="AF14" s="405">
        <f>SUM(X14:AE14)</f>
        <v>852862.66666666674</v>
      </c>
      <c r="AG14" s="405">
        <f t="shared" si="5"/>
        <v>106607.83333333333</v>
      </c>
      <c r="AH14" s="405">
        <f t="shared" si="1"/>
        <v>106607.83333333333</v>
      </c>
      <c r="AI14" s="405">
        <f t="shared" si="1"/>
        <v>106607.83333333333</v>
      </c>
      <c r="AJ14" s="405">
        <f t="shared" si="1"/>
        <v>106607.83333333333</v>
      </c>
      <c r="AK14" s="405">
        <f t="shared" si="6"/>
        <v>426431.33333333331</v>
      </c>
      <c r="AL14" s="405">
        <v>1279294</v>
      </c>
      <c r="AM14" s="33">
        <f t="shared" si="7"/>
        <v>0</v>
      </c>
      <c r="AR14" s="398">
        <f t="shared" si="8"/>
        <v>1234838.3333333335</v>
      </c>
    </row>
    <row r="15" spans="1:44">
      <c r="D15" s="1"/>
      <c r="E15" s="186"/>
      <c r="F15" s="33"/>
      <c r="G15" s="33"/>
      <c r="AR15" s="398"/>
    </row>
    <row r="16" spans="1:44" ht="15" thickBot="1">
      <c r="H16" s="412">
        <f t="shared" ref="H16:V16" si="9">H14+H13+H12+H11+H10+H9</f>
        <v>611497.91666666674</v>
      </c>
      <c r="I16" s="412">
        <f t="shared" si="9"/>
        <v>611497.91666666674</v>
      </c>
      <c r="J16" s="412">
        <f t="shared" si="9"/>
        <v>611497.91666666674</v>
      </c>
      <c r="K16" s="412">
        <f t="shared" si="9"/>
        <v>611497.91666666674</v>
      </c>
      <c r="L16" s="412">
        <f t="shared" si="9"/>
        <v>611497.91666666674</v>
      </c>
      <c r="M16" s="412">
        <f t="shared" si="9"/>
        <v>611497.91666666674</v>
      </c>
      <c r="N16" s="412">
        <f t="shared" si="9"/>
        <v>611497.91666666674</v>
      </c>
      <c r="O16" s="412">
        <f t="shared" si="9"/>
        <v>611497.91666666674</v>
      </c>
      <c r="P16" s="412">
        <f t="shared" si="9"/>
        <v>4891983.333333334</v>
      </c>
      <c r="Q16" s="412">
        <f t="shared" si="9"/>
        <v>611497.91666666674</v>
      </c>
      <c r="R16" s="412">
        <f t="shared" si="9"/>
        <v>611497.91666666674</v>
      </c>
      <c r="S16" s="412">
        <f t="shared" si="9"/>
        <v>611497.91666666674</v>
      </c>
      <c r="T16" s="412">
        <f t="shared" si="9"/>
        <v>611497.91666666674</v>
      </c>
      <c r="U16" s="412">
        <f t="shared" si="9"/>
        <v>2445991.6666666665</v>
      </c>
      <c r="V16" s="412">
        <f t="shared" si="9"/>
        <v>7337975</v>
      </c>
      <c r="X16" s="412">
        <f t="shared" ref="X16:AK16" si="10">SUM(X9:X14)</f>
        <v>687867.50000000012</v>
      </c>
      <c r="Y16" s="412">
        <f t="shared" si="10"/>
        <v>687867.50000000012</v>
      </c>
      <c r="Z16" s="412">
        <f t="shared" si="10"/>
        <v>687867.50000000012</v>
      </c>
      <c r="AA16" s="412">
        <f t="shared" si="10"/>
        <v>687867.50000000012</v>
      </c>
      <c r="AB16" s="412">
        <f t="shared" si="10"/>
        <v>687867.50000000012</v>
      </c>
      <c r="AC16" s="412">
        <f t="shared" si="10"/>
        <v>687867.50000000012</v>
      </c>
      <c r="AD16" s="412">
        <f t="shared" si="10"/>
        <v>687867.50000000012</v>
      </c>
      <c r="AE16" s="412">
        <f t="shared" si="10"/>
        <v>687867.50000000012</v>
      </c>
      <c r="AF16" s="412">
        <f t="shared" si="10"/>
        <v>5502940</v>
      </c>
      <c r="AG16" s="412">
        <f t="shared" si="10"/>
        <v>687867.50000000012</v>
      </c>
      <c r="AH16" s="412">
        <f t="shared" si="10"/>
        <v>687867.50000000012</v>
      </c>
      <c r="AI16" s="412">
        <f t="shared" si="10"/>
        <v>687867.50000000012</v>
      </c>
      <c r="AJ16" s="412">
        <f t="shared" si="10"/>
        <v>687867.50000000012</v>
      </c>
      <c r="AK16" s="412">
        <f t="shared" si="10"/>
        <v>2751470.0000000005</v>
      </c>
      <c r="AL16" s="412">
        <f>AL14+AL13+AL12+AL11+AL10+AL9</f>
        <v>8254410</v>
      </c>
      <c r="AM16" s="412"/>
      <c r="AN16" s="412"/>
      <c r="AO16" s="412"/>
      <c r="AP16" s="412"/>
      <c r="AQ16" s="412"/>
      <c r="AR16" s="412">
        <f t="shared" ref="AR16" si="11">AR14+AR13+AR12+AR11+AR10+AR9</f>
        <v>7947917.333333333</v>
      </c>
    </row>
  </sheetData>
  <sheetProtection algorithmName="SHA-512" hashValue="VnY1vDm8/vyNuowuuxE9ltBmsoJ299uOQLDZxT5jd+dbbTkymgO9jZj732bpQzO7plJSCXr/5DO/j9WJRm0dwQ==" saltValue="l09rzG1lWqtZ3Dc6sw7COw==" spinCount="100000" sheet="1" autoFilter="0"/>
  <autoFilter ref="A8:G15" xr:uid="{28D720FD-B264-4603-8A3F-AC523F45178E}"/>
  <mergeCells count="8">
    <mergeCell ref="H7:V7"/>
    <mergeCell ref="Q6:U6"/>
    <mergeCell ref="H6:P6"/>
    <mergeCell ref="H5:V5"/>
    <mergeCell ref="X5:AL5"/>
    <mergeCell ref="X6:AF6"/>
    <mergeCell ref="AG6:AK6"/>
    <mergeCell ref="X7:AL7"/>
  </mergeCells>
  <conditionalFormatting sqref="A8:F8 B9:E9 E10:E15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47EC-2E6A-4F1A-A963-A49EFE7252B8}">
  <sheetPr codeName="Sheet12">
    <tabColor theme="3" tint="0.79998168889431442"/>
  </sheetPr>
  <dimension ref="A1:BY158"/>
  <sheetViews>
    <sheetView workbookViewId="0">
      <selection activeCell="B58" sqref="B58:BY58"/>
    </sheetView>
  </sheetViews>
  <sheetFormatPr defaultRowHeight="14.5"/>
  <cols>
    <col min="2" max="2" width="7" bestFit="1" customWidth="1"/>
    <col min="3" max="3" width="8.54296875" bestFit="1" customWidth="1"/>
    <col min="4" max="4" width="67" bestFit="1" customWidth="1"/>
    <col min="5" max="6" width="9" bestFit="1" customWidth="1"/>
    <col min="8" max="10" width="12.7265625" bestFit="1" customWidth="1"/>
    <col min="11" max="13" width="11.1796875" bestFit="1" customWidth="1"/>
    <col min="14" max="14" width="12.7265625" bestFit="1" customWidth="1"/>
    <col min="15" max="16" width="10.1796875" bestFit="1" customWidth="1"/>
    <col min="17" max="20" width="11.1796875" bestFit="1" customWidth="1"/>
    <col min="21" max="21" width="10.1796875" bestFit="1" customWidth="1"/>
    <col min="22" max="30" width="11.1796875" bestFit="1" customWidth="1"/>
    <col min="31" max="32" width="10.1796875" bestFit="1" customWidth="1"/>
    <col min="33" max="33" width="11.1796875" bestFit="1" customWidth="1"/>
    <col min="34" max="34" width="8.1796875" bestFit="1" customWidth="1"/>
    <col min="35" max="35" width="7.54296875" bestFit="1" customWidth="1"/>
    <col min="36" max="36" width="10.1796875" bestFit="1" customWidth="1"/>
    <col min="37" max="38" width="11.1796875" bestFit="1" customWidth="1"/>
    <col min="39" max="39" width="15.453125" bestFit="1" customWidth="1"/>
    <col min="40" max="40" width="13.1796875" bestFit="1" customWidth="1"/>
    <col min="41" max="45" width="8.7265625" bestFit="1" customWidth="1"/>
    <col min="46" max="47" width="12.7265625" bestFit="1" customWidth="1"/>
    <col min="48" max="48" width="11.1796875" bestFit="1" customWidth="1"/>
    <col min="49" max="49" width="12.7265625" bestFit="1" customWidth="1"/>
    <col min="50" max="51" width="13.81640625" bestFit="1" customWidth="1"/>
    <col min="53" max="53" width="13.81640625" bestFit="1" customWidth="1"/>
    <col min="54" max="55" width="13.54296875" bestFit="1" customWidth="1"/>
    <col min="56" max="56" width="13.81640625" bestFit="1" customWidth="1"/>
    <col min="57" max="57" width="12.7265625" bestFit="1" customWidth="1"/>
    <col min="58" max="59" width="13.81640625" bestFit="1" customWidth="1"/>
    <col min="60" max="60" width="12.7265625" bestFit="1" customWidth="1"/>
    <col min="61" max="61" width="13.81640625" bestFit="1" customWidth="1"/>
    <col min="62" max="63" width="10.1796875" bestFit="1" customWidth="1"/>
    <col min="64" max="64" width="7.26953125" bestFit="1" customWidth="1"/>
    <col min="65" max="65" width="8.1796875" bestFit="1" customWidth="1"/>
    <col min="66" max="66" width="11.1796875" bestFit="1" customWidth="1"/>
    <col min="67" max="67" width="13.81640625" bestFit="1" customWidth="1"/>
    <col min="68" max="68" width="9.54296875" bestFit="1" customWidth="1"/>
    <col min="69" max="69" width="15.81640625" bestFit="1" customWidth="1"/>
    <col min="71" max="71" width="7.54296875" bestFit="1" customWidth="1"/>
    <col min="72" max="72" width="10.81640625" bestFit="1" customWidth="1"/>
    <col min="73" max="73" width="13.81640625" bestFit="1" customWidth="1"/>
    <col min="74" max="74" width="8.81640625" bestFit="1" customWidth="1"/>
    <col min="75" max="75" width="13.81640625" bestFit="1" customWidth="1"/>
    <col min="76" max="76" width="11.1796875" bestFit="1" customWidth="1"/>
    <col min="77" max="77" width="14.81640625" bestFit="1" customWidth="1"/>
  </cols>
  <sheetData>
    <row r="1" spans="1:7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</row>
    <row r="2" spans="1:77" ht="120" customHeight="1">
      <c r="B2" s="49" t="s">
        <v>16</v>
      </c>
      <c r="C2" s="49" t="s">
        <v>1074</v>
      </c>
      <c r="D2" s="49" t="s">
        <v>1075</v>
      </c>
      <c r="E2" s="50" t="s">
        <v>1076</v>
      </c>
      <c r="F2" s="50" t="s">
        <v>1077</v>
      </c>
      <c r="G2" s="50" t="s">
        <v>1078</v>
      </c>
      <c r="H2" s="42" t="s">
        <v>1079</v>
      </c>
      <c r="I2" s="42" t="s">
        <v>1080</v>
      </c>
      <c r="J2" s="42" t="s">
        <v>1081</v>
      </c>
      <c r="K2" s="42" t="s">
        <v>1082</v>
      </c>
      <c r="L2" s="42" t="s">
        <v>1083</v>
      </c>
      <c r="M2" s="42" t="s">
        <v>1084</v>
      </c>
      <c r="N2" s="42" t="s">
        <v>1085</v>
      </c>
      <c r="O2" s="42" t="s">
        <v>1086</v>
      </c>
      <c r="P2" s="42" t="s">
        <v>1087</v>
      </c>
      <c r="Q2" s="42" t="s">
        <v>1088</v>
      </c>
      <c r="R2" s="42" t="s">
        <v>1089</v>
      </c>
      <c r="S2" s="42" t="s">
        <v>1090</v>
      </c>
      <c r="T2" s="42" t="s">
        <v>1091</v>
      </c>
      <c r="U2" s="42" t="s">
        <v>1092</v>
      </c>
      <c r="V2" s="42" t="s">
        <v>1093</v>
      </c>
      <c r="W2" s="42" t="s">
        <v>1094</v>
      </c>
      <c r="X2" s="42" t="s">
        <v>1095</v>
      </c>
      <c r="Y2" s="42" t="s">
        <v>1096</v>
      </c>
      <c r="Z2" s="42" t="s">
        <v>1097</v>
      </c>
      <c r="AA2" s="42" t="s">
        <v>1098</v>
      </c>
      <c r="AB2" s="42" t="s">
        <v>1099</v>
      </c>
      <c r="AC2" s="42" t="s">
        <v>1100</v>
      </c>
      <c r="AD2" s="42" t="s">
        <v>1101</v>
      </c>
      <c r="AE2" s="42" t="s">
        <v>1102</v>
      </c>
      <c r="AF2" s="42" t="s">
        <v>1103</v>
      </c>
      <c r="AG2" s="42" t="s">
        <v>1104</v>
      </c>
      <c r="AH2" s="42" t="s">
        <v>1105</v>
      </c>
      <c r="AI2" s="42" t="s">
        <v>1106</v>
      </c>
      <c r="AJ2" s="42" t="s">
        <v>1107</v>
      </c>
      <c r="AK2" s="42" t="s">
        <v>708</v>
      </c>
      <c r="AL2" s="42" t="s">
        <v>1108</v>
      </c>
      <c r="AM2" s="42" t="s">
        <v>1109</v>
      </c>
      <c r="AN2" s="42" t="s">
        <v>1110</v>
      </c>
      <c r="AO2" s="42" t="s">
        <v>1111</v>
      </c>
      <c r="AP2" s="42" t="s">
        <v>1112</v>
      </c>
      <c r="AQ2" s="42" t="s">
        <v>1113</v>
      </c>
      <c r="AR2" s="42" t="s">
        <v>1114</v>
      </c>
      <c r="AS2" s="42" t="s">
        <v>1115</v>
      </c>
      <c r="AT2" s="42" t="s">
        <v>1116</v>
      </c>
      <c r="AU2" s="42" t="s">
        <v>1117</v>
      </c>
      <c r="AV2" s="43" t="s">
        <v>1118</v>
      </c>
      <c r="AW2" s="42" t="s">
        <v>1119</v>
      </c>
      <c r="AX2" s="42" t="s">
        <v>1120</v>
      </c>
      <c r="AY2" s="51" t="s">
        <v>1121</v>
      </c>
      <c r="AZ2" s="51" t="s">
        <v>1122</v>
      </c>
      <c r="BA2" s="51" t="s">
        <v>1123</v>
      </c>
      <c r="BB2" s="51" t="s">
        <v>1124</v>
      </c>
      <c r="BC2" s="51" t="s">
        <v>1125</v>
      </c>
      <c r="BD2" s="51" t="s">
        <v>1126</v>
      </c>
      <c r="BE2" s="52" t="s">
        <v>1127</v>
      </c>
      <c r="BF2" s="52" t="s">
        <v>1128</v>
      </c>
      <c r="BG2" s="51" t="s">
        <v>1129</v>
      </c>
      <c r="BH2" s="51" t="s">
        <v>1130</v>
      </c>
      <c r="BI2" s="51" t="s">
        <v>1131</v>
      </c>
      <c r="BJ2" s="51" t="s">
        <v>1132</v>
      </c>
      <c r="BK2" s="51" t="s">
        <v>1133</v>
      </c>
      <c r="BL2" s="44" t="s">
        <v>1134</v>
      </c>
      <c r="BM2" s="44" t="s">
        <v>1135</v>
      </c>
      <c r="BN2" s="51" t="s">
        <v>1136</v>
      </c>
      <c r="BO2" s="51" t="s">
        <v>1137</v>
      </c>
      <c r="BP2" s="51" t="s">
        <v>1138</v>
      </c>
      <c r="BQ2" s="51" t="s">
        <v>1139</v>
      </c>
      <c r="BR2" s="52" t="s">
        <v>1140</v>
      </c>
      <c r="BS2" s="45" t="s">
        <v>1141</v>
      </c>
      <c r="BT2" s="52" t="s">
        <v>9</v>
      </c>
      <c r="BU2" s="52" t="s">
        <v>1142</v>
      </c>
      <c r="BV2" s="52" t="s">
        <v>1143</v>
      </c>
      <c r="BW2" s="52" t="s">
        <v>1144</v>
      </c>
      <c r="BX2" s="52" t="s">
        <v>1145</v>
      </c>
      <c r="BY2" s="52" t="s">
        <v>1146</v>
      </c>
    </row>
    <row r="3" spans="1:77">
      <c r="B3" s="914" t="s">
        <v>479</v>
      </c>
      <c r="C3" s="915"/>
      <c r="D3" s="916"/>
      <c r="E3" s="53">
        <f>SUBTOTAL(9,E4:E156)</f>
        <v>62208</v>
      </c>
      <c r="F3" s="53">
        <f t="shared" ref="F3:BQ3" si="0">SUBTOTAL(9,F4:F156)</f>
        <v>49760</v>
      </c>
      <c r="G3" s="53">
        <f t="shared" si="0"/>
        <v>12448</v>
      </c>
      <c r="H3" s="53">
        <f t="shared" si="0"/>
        <v>190906300.06400007</v>
      </c>
      <c r="I3" s="53">
        <f t="shared" si="0"/>
        <v>40660643.012400001</v>
      </c>
      <c r="J3" s="53">
        <f t="shared" si="0"/>
        <v>30198178.967599999</v>
      </c>
      <c r="K3" s="53">
        <f t="shared" si="0"/>
        <v>9535292.1599999983</v>
      </c>
      <c r="L3" s="53">
        <f t="shared" si="0"/>
        <v>2765467.1999999988</v>
      </c>
      <c r="M3" s="53">
        <f t="shared" si="0"/>
        <v>20846513.999999993</v>
      </c>
      <c r="N3" s="53">
        <f t="shared" si="0"/>
        <v>9396536.959999999</v>
      </c>
      <c r="O3" s="53">
        <f t="shared" si="0"/>
        <v>913067.02961362037</v>
      </c>
      <c r="P3" s="53">
        <f t="shared" si="0"/>
        <v>1765391.3591249262</v>
      </c>
      <c r="Q3" s="53">
        <f t="shared" si="0"/>
        <v>2011427.3063285993</v>
      </c>
      <c r="R3" s="53">
        <f t="shared" si="0"/>
        <v>3331602.1401955113</v>
      </c>
      <c r="S3" s="53">
        <f t="shared" si="0"/>
        <v>4877571.82053761</v>
      </c>
      <c r="T3" s="53">
        <f t="shared" si="0"/>
        <v>2319153.0588747626</v>
      </c>
      <c r="U3" s="53">
        <f t="shared" si="0"/>
        <v>263807.92863782874</v>
      </c>
      <c r="V3" s="53">
        <f t="shared" si="0"/>
        <v>828369.52117792435</v>
      </c>
      <c r="W3" s="53">
        <f t="shared" si="0"/>
        <v>721579.60912740475</v>
      </c>
      <c r="X3" s="53">
        <f t="shared" si="0"/>
        <v>1448904.5800667065</v>
      </c>
      <c r="Y3" s="53">
        <f t="shared" si="0"/>
        <v>2239417.2159948139</v>
      </c>
      <c r="Z3" s="53">
        <f t="shared" si="0"/>
        <v>872422.06150967104</v>
      </c>
      <c r="AA3" s="53">
        <f t="shared" si="0"/>
        <v>6405983.5860159658</v>
      </c>
      <c r="AB3" s="53">
        <f t="shared" si="0"/>
        <v>1018139.7122962713</v>
      </c>
      <c r="AC3" s="53">
        <f t="shared" si="0"/>
        <v>19033965.945465088</v>
      </c>
      <c r="AD3" s="53">
        <f t="shared" si="0"/>
        <v>5171164.4993295642</v>
      </c>
      <c r="AE3" s="53">
        <f t="shared" si="0"/>
        <v>642725.71511705825</v>
      </c>
      <c r="AF3" s="53">
        <f t="shared" si="0"/>
        <v>17629.688185714334</v>
      </c>
      <c r="AG3" s="53">
        <f t="shared" si="0"/>
        <v>21721483.440000053</v>
      </c>
      <c r="AH3" s="53">
        <f t="shared" si="0"/>
        <v>0</v>
      </c>
      <c r="AI3" s="53">
        <f t="shared" si="0"/>
        <v>0</v>
      </c>
      <c r="AJ3" s="53">
        <f t="shared" si="0"/>
        <v>371184.72575850529</v>
      </c>
      <c r="AK3" s="53">
        <f t="shared" si="0"/>
        <v>4693783.8100000052</v>
      </c>
      <c r="AL3" s="53">
        <f t="shared" si="0"/>
        <v>1660028.6676600003</v>
      </c>
      <c r="AM3" s="53">
        <f t="shared" si="0"/>
        <v>0</v>
      </c>
      <c r="AN3" s="53">
        <f t="shared" si="0"/>
        <v>0</v>
      </c>
      <c r="AO3" s="53">
        <f t="shared" si="0"/>
        <v>0</v>
      </c>
      <c r="AP3" s="53">
        <f t="shared" si="0"/>
        <v>0</v>
      </c>
      <c r="AQ3" s="53">
        <f t="shared" si="0"/>
        <v>0</v>
      </c>
      <c r="AR3" s="53">
        <f t="shared" si="0"/>
        <v>0</v>
      </c>
      <c r="AS3" s="53">
        <f t="shared" si="0"/>
        <v>0</v>
      </c>
      <c r="AT3" s="53">
        <f t="shared" si="0"/>
        <v>261765122.04400003</v>
      </c>
      <c r="AU3" s="53">
        <f t="shared" si="0"/>
        <v>96426133.09759903</v>
      </c>
      <c r="AV3" s="53">
        <f t="shared" si="0"/>
        <v>28446480.643418513</v>
      </c>
      <c r="AW3" s="53">
        <f t="shared" si="0"/>
        <v>60382535.169422828</v>
      </c>
      <c r="AX3" s="53">
        <f t="shared" si="0"/>
        <v>386637735.78501737</v>
      </c>
      <c r="AY3" s="53">
        <f t="shared" si="0"/>
        <v>379912738.58159882</v>
      </c>
      <c r="AZ3" s="53">
        <f t="shared" si="0"/>
        <v>779255</v>
      </c>
      <c r="BA3" s="53">
        <f t="shared" si="0"/>
        <v>327037120</v>
      </c>
      <c r="BB3" s="53">
        <f t="shared" si="0"/>
        <v>1608893.641729722</v>
      </c>
      <c r="BC3" s="53">
        <f t="shared" si="0"/>
        <v>0</v>
      </c>
      <c r="BD3" s="53">
        <f t="shared" si="0"/>
        <v>388246629.42674714</v>
      </c>
      <c r="BE3" s="53">
        <f t="shared" si="0"/>
        <v>289505517.15042126</v>
      </c>
      <c r="BF3" s="53">
        <f t="shared" si="0"/>
        <v>98741112.276325911</v>
      </c>
      <c r="BG3" s="53">
        <f t="shared" si="0"/>
        <v>333762117.20341855</v>
      </c>
      <c r="BH3" s="53">
        <f t="shared" si="0"/>
        <v>305315636.56000048</v>
      </c>
      <c r="BI3" s="53">
        <f t="shared" si="0"/>
        <v>359800148.78332877</v>
      </c>
      <c r="BJ3" s="53">
        <f t="shared" si="0"/>
        <v>848002.70379060064</v>
      </c>
      <c r="BK3" s="53">
        <f t="shared" si="0"/>
        <v>850478.28101277538</v>
      </c>
      <c r="BL3" s="53">
        <f t="shared" si="0"/>
        <v>-0.3845097109901352</v>
      </c>
      <c r="BM3" s="53">
        <f t="shared" si="0"/>
        <v>1.1846807224423632</v>
      </c>
      <c r="BN3" s="53">
        <f t="shared" si="0"/>
        <v>2233486.311578257</v>
      </c>
      <c r="BO3" s="53">
        <f t="shared" si="0"/>
        <v>390480115.73832542</v>
      </c>
      <c r="BP3" s="53">
        <f t="shared" si="0"/>
        <v>922487.25722367642</v>
      </c>
      <c r="BQ3" s="53">
        <f t="shared" si="0"/>
        <v>0</v>
      </c>
      <c r="BR3" s="53">
        <f t="shared" ref="BR3:BY3" si="1">SUBTOTAL(9,BR4:BR156)</f>
        <v>938449.73415038316</v>
      </c>
      <c r="BS3" s="53">
        <f t="shared" si="1"/>
        <v>1.0456682997678588</v>
      </c>
      <c r="BT3" s="53">
        <f t="shared" si="1"/>
        <v>-1548319.04</v>
      </c>
      <c r="BU3" s="53">
        <f t="shared" si="1"/>
        <v>388931796.6983254</v>
      </c>
      <c r="BV3" s="53">
        <f t="shared" si="1"/>
        <v>0</v>
      </c>
      <c r="BW3" s="53">
        <f t="shared" si="1"/>
        <v>388931796.6983254</v>
      </c>
      <c r="BX3" s="53">
        <f t="shared" si="1"/>
        <v>4693783.8100000052</v>
      </c>
      <c r="BY3" s="53">
        <f t="shared" si="1"/>
        <v>384238012.88832563</v>
      </c>
    </row>
    <row r="4" spans="1:77">
      <c r="A4">
        <f>_xlfn.XLOOKUP(B4,'Summary Mar 2026'!B:B,'Summary Mar 2026'!A:A,0,0)</f>
        <v>2004</v>
      </c>
      <c r="B4" s="54">
        <v>134094</v>
      </c>
      <c r="C4" s="54">
        <v>3302004</v>
      </c>
      <c r="D4" s="55" t="s">
        <v>395</v>
      </c>
      <c r="E4" s="46">
        <v>299</v>
      </c>
      <c r="F4" s="46">
        <v>299</v>
      </c>
      <c r="G4" s="46">
        <v>0</v>
      </c>
      <c r="H4" s="40">
        <v>1147125.8785999999</v>
      </c>
      <c r="I4" s="40">
        <v>0</v>
      </c>
      <c r="J4" s="40">
        <v>0</v>
      </c>
      <c r="K4" s="40">
        <v>60539.999999999949</v>
      </c>
      <c r="L4" s="40">
        <v>0</v>
      </c>
      <c r="M4" s="40">
        <v>129642.49999999991</v>
      </c>
      <c r="N4" s="40">
        <v>0</v>
      </c>
      <c r="O4" s="40">
        <v>943.30880000000127</v>
      </c>
      <c r="P4" s="40">
        <v>1716.0191999999979</v>
      </c>
      <c r="Q4" s="40">
        <v>446.56639999999993</v>
      </c>
      <c r="R4" s="40">
        <v>59990.425600000031</v>
      </c>
      <c r="S4" s="40">
        <v>12523.929600000001</v>
      </c>
      <c r="T4" s="40">
        <v>16497.8688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19718.734648437498</v>
      </c>
      <c r="AB4" s="40">
        <v>0</v>
      </c>
      <c r="AC4" s="40">
        <v>102851.07602630119</v>
      </c>
      <c r="AD4" s="40">
        <v>0</v>
      </c>
      <c r="AE4" s="40">
        <v>0</v>
      </c>
      <c r="AF4" s="40">
        <v>0</v>
      </c>
      <c r="AG4" s="40">
        <v>141970.48000000001</v>
      </c>
      <c r="AH4" s="40">
        <v>0</v>
      </c>
      <c r="AI4" s="40">
        <v>0</v>
      </c>
      <c r="AJ4" s="40">
        <v>0</v>
      </c>
      <c r="AK4" s="40">
        <v>23631.7</v>
      </c>
      <c r="AL4" s="40">
        <v>0</v>
      </c>
      <c r="AM4" s="40">
        <v>0</v>
      </c>
      <c r="AN4" s="40">
        <v>0</v>
      </c>
      <c r="AO4" s="40">
        <v>0</v>
      </c>
      <c r="AP4" s="40">
        <v>0</v>
      </c>
      <c r="AQ4" s="40">
        <v>0</v>
      </c>
      <c r="AR4" s="40">
        <v>0</v>
      </c>
      <c r="AS4" s="40">
        <v>0</v>
      </c>
      <c r="AT4" s="40">
        <v>1147125.8785999999</v>
      </c>
      <c r="AU4" s="40">
        <v>404870.42907473852</v>
      </c>
      <c r="AV4" s="40">
        <v>165602.18000000002</v>
      </c>
      <c r="AW4" s="40">
        <v>261835.59258030113</v>
      </c>
      <c r="AX4" s="56">
        <v>1717598.4876747385</v>
      </c>
      <c r="AY4" s="56">
        <v>1693966.7876747386</v>
      </c>
      <c r="AZ4" s="56">
        <v>4955</v>
      </c>
      <c r="BA4" s="56">
        <v>1481545</v>
      </c>
      <c r="BB4" s="56">
        <v>0</v>
      </c>
      <c r="BC4" s="56">
        <v>0</v>
      </c>
      <c r="BD4" s="56">
        <v>1717598.4876747385</v>
      </c>
      <c r="BE4" s="40">
        <v>1717598.4876747383</v>
      </c>
      <c r="BF4" s="40">
        <v>0</v>
      </c>
      <c r="BG4" s="56">
        <v>1505176.7</v>
      </c>
      <c r="BH4" s="56">
        <v>1339574.52</v>
      </c>
      <c r="BI4" s="40">
        <v>1551996.3076747386</v>
      </c>
      <c r="BJ4" s="40">
        <v>5190.6231025910993</v>
      </c>
      <c r="BK4" s="40">
        <v>5283.1780272435899</v>
      </c>
      <c r="BL4" s="41">
        <v>-1.7518797241966047E-2</v>
      </c>
      <c r="BM4" s="41">
        <v>1.7518797241966047E-2</v>
      </c>
      <c r="BN4" s="40">
        <v>27673.922471094698</v>
      </c>
      <c r="BO4" s="56">
        <v>1745272.4101458332</v>
      </c>
      <c r="BP4" s="56">
        <v>5757.9956861064657</v>
      </c>
      <c r="BQ4" s="56" t="s">
        <v>1006</v>
      </c>
      <c r="BR4" s="56">
        <v>5837.0314720596425</v>
      </c>
      <c r="BS4" s="47">
        <v>3.9692825044879143E-3</v>
      </c>
      <c r="BT4" s="40">
        <v>-7797.9199999999992</v>
      </c>
      <c r="BU4" s="40">
        <v>1737474.4901458332</v>
      </c>
      <c r="BV4" s="40">
        <v>0</v>
      </c>
      <c r="BW4" s="40">
        <v>1737474.4901458332</v>
      </c>
      <c r="BX4" s="40">
        <v>23631.7</v>
      </c>
      <c r="BY4" s="40">
        <v>1713842.7901458333</v>
      </c>
    </row>
    <row r="5" spans="1:77">
      <c r="A5">
        <f>_xlfn.XLOOKUP(B5,'Summary Mar 2026'!B:B,'Summary Mar 2026'!A:A,0,0)</f>
        <v>2005</v>
      </c>
      <c r="B5" s="54">
        <v>134098</v>
      </c>
      <c r="C5" s="54">
        <v>3302005</v>
      </c>
      <c r="D5" s="55" t="s">
        <v>391</v>
      </c>
      <c r="E5" s="46">
        <v>626</v>
      </c>
      <c r="F5" s="46">
        <v>626</v>
      </c>
      <c r="G5" s="46">
        <v>0</v>
      </c>
      <c r="H5" s="40">
        <v>2401674.9164</v>
      </c>
      <c r="I5" s="40">
        <v>0</v>
      </c>
      <c r="J5" s="40">
        <v>0</v>
      </c>
      <c r="K5" s="40">
        <v>65383.199999999903</v>
      </c>
      <c r="L5" s="40">
        <v>0</v>
      </c>
      <c r="M5" s="40">
        <v>142088.18</v>
      </c>
      <c r="N5" s="40">
        <v>0</v>
      </c>
      <c r="O5" s="40">
        <v>4480.7167999999983</v>
      </c>
      <c r="P5" s="40">
        <v>10868.121599999995</v>
      </c>
      <c r="Q5" s="40">
        <v>4912.2304000000113</v>
      </c>
      <c r="R5" s="40">
        <v>11801.395200000014</v>
      </c>
      <c r="S5" s="40">
        <v>9392.947199999986</v>
      </c>
      <c r="T5" s="40">
        <v>10998.579199999998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53315.991074073965</v>
      </c>
      <c r="AB5" s="40">
        <v>0</v>
      </c>
      <c r="AC5" s="40">
        <v>193763.62046844413</v>
      </c>
      <c r="AD5" s="40">
        <v>0</v>
      </c>
      <c r="AE5" s="40">
        <v>1359.6336000000081</v>
      </c>
      <c r="AF5" s="40">
        <v>0</v>
      </c>
      <c r="AG5" s="40">
        <v>141970.48000000001</v>
      </c>
      <c r="AH5" s="40">
        <v>0</v>
      </c>
      <c r="AI5" s="40">
        <v>0</v>
      </c>
      <c r="AJ5" s="40">
        <v>0</v>
      </c>
      <c r="AK5" s="40">
        <v>59344.800000000003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0">
        <v>0</v>
      </c>
      <c r="AT5" s="40">
        <v>2401674.9164</v>
      </c>
      <c r="AU5" s="40">
        <v>508364.61554251797</v>
      </c>
      <c r="AV5" s="40">
        <v>201315.28000000003</v>
      </c>
      <c r="AW5" s="40">
        <v>407420.49963244412</v>
      </c>
      <c r="AX5" s="56">
        <v>3111354.8119425178</v>
      </c>
      <c r="AY5" s="56">
        <v>3052010.0119425179</v>
      </c>
      <c r="AZ5" s="56">
        <v>4955</v>
      </c>
      <c r="BA5" s="56">
        <v>3101830</v>
      </c>
      <c r="BB5" s="56">
        <v>49819.988057482056</v>
      </c>
      <c r="BC5" s="56">
        <v>0</v>
      </c>
      <c r="BD5" s="56">
        <v>3161174.8</v>
      </c>
      <c r="BE5" s="40">
        <v>3161174.8000000007</v>
      </c>
      <c r="BF5" s="40">
        <v>0</v>
      </c>
      <c r="BG5" s="56">
        <v>3161174.8</v>
      </c>
      <c r="BH5" s="56">
        <v>2959859.52</v>
      </c>
      <c r="BI5" s="40">
        <v>2959859.52</v>
      </c>
      <c r="BJ5" s="40">
        <v>4728.2100958466453</v>
      </c>
      <c r="BK5" s="40">
        <v>4710.5067753184712</v>
      </c>
      <c r="BL5" s="41">
        <v>3.7582624062730955E-3</v>
      </c>
      <c r="BM5" s="41">
        <v>0</v>
      </c>
      <c r="BN5" s="40">
        <v>0</v>
      </c>
      <c r="BO5" s="56">
        <v>3161174.8</v>
      </c>
      <c r="BP5" s="56">
        <v>4955</v>
      </c>
      <c r="BQ5" s="56" t="s">
        <v>1006</v>
      </c>
      <c r="BR5" s="56">
        <v>5049.7999999999993</v>
      </c>
      <c r="BS5" s="47">
        <v>4.8976218419214401E-3</v>
      </c>
      <c r="BT5" s="40">
        <v>-16326.079999999998</v>
      </c>
      <c r="BU5" s="40">
        <v>3144848.7199999997</v>
      </c>
      <c r="BV5" s="40">
        <v>0</v>
      </c>
      <c r="BW5" s="40">
        <v>3144848.7199999997</v>
      </c>
      <c r="BX5" s="40">
        <v>59344.800000000003</v>
      </c>
      <c r="BY5" s="40">
        <v>3085503.92</v>
      </c>
    </row>
    <row r="6" spans="1:77">
      <c r="A6">
        <f>_xlfn.XLOOKUP(B6,'Summary Mar 2026'!B:B,'Summary Mar 2026'!A:A,0,0)</f>
        <v>2008</v>
      </c>
      <c r="B6" s="54">
        <v>103157</v>
      </c>
      <c r="C6" s="54">
        <v>3302008</v>
      </c>
      <c r="D6" s="55" t="s">
        <v>243</v>
      </c>
      <c r="E6" s="46">
        <v>426</v>
      </c>
      <c r="F6" s="46">
        <v>426</v>
      </c>
      <c r="G6" s="46">
        <v>0</v>
      </c>
      <c r="H6" s="40">
        <v>1634366.6364</v>
      </c>
      <c r="I6" s="40">
        <v>0</v>
      </c>
      <c r="J6" s="40">
        <v>0</v>
      </c>
      <c r="K6" s="40">
        <v>105581.76000000001</v>
      </c>
      <c r="L6" s="40">
        <v>0</v>
      </c>
      <c r="M6" s="40">
        <v>226096.52000000005</v>
      </c>
      <c r="N6" s="40">
        <v>0</v>
      </c>
      <c r="O6" s="40">
        <v>1414.9631999999979</v>
      </c>
      <c r="P6" s="40">
        <v>63492.710399999967</v>
      </c>
      <c r="Q6" s="40">
        <v>14736.691200000007</v>
      </c>
      <c r="R6" s="40">
        <v>19177.267200000006</v>
      </c>
      <c r="S6" s="40">
        <v>59488.665600000029</v>
      </c>
      <c r="T6" s="40">
        <v>3437.0559999999905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91298.330439560406</v>
      </c>
      <c r="AB6" s="40">
        <v>0</v>
      </c>
      <c r="AC6" s="40">
        <v>112901.45267368417</v>
      </c>
      <c r="AD6" s="40">
        <v>0</v>
      </c>
      <c r="AE6" s="40">
        <v>0</v>
      </c>
      <c r="AF6" s="40">
        <v>0</v>
      </c>
      <c r="AG6" s="40">
        <v>141970.48000000001</v>
      </c>
      <c r="AH6" s="40">
        <v>0</v>
      </c>
      <c r="AI6" s="40">
        <v>0</v>
      </c>
      <c r="AJ6" s="40">
        <v>0</v>
      </c>
      <c r="AK6" s="40">
        <v>28884.83</v>
      </c>
      <c r="AL6" s="40">
        <v>0</v>
      </c>
      <c r="AM6" s="40">
        <v>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1634366.6364</v>
      </c>
      <c r="AU6" s="40">
        <v>697625.41671324451</v>
      </c>
      <c r="AV6" s="40">
        <v>170855.31</v>
      </c>
      <c r="AW6" s="40">
        <v>372253.01258968416</v>
      </c>
      <c r="AX6" s="56">
        <v>2502847.3631132445</v>
      </c>
      <c r="AY6" s="56">
        <v>2473962.5331132445</v>
      </c>
      <c r="AZ6" s="56">
        <v>4955</v>
      </c>
      <c r="BA6" s="56">
        <v>2110830</v>
      </c>
      <c r="BB6" s="56">
        <v>0</v>
      </c>
      <c r="BC6" s="56">
        <v>0</v>
      </c>
      <c r="BD6" s="56">
        <v>2502847.3631132445</v>
      </c>
      <c r="BE6" s="40">
        <v>2502847.363113245</v>
      </c>
      <c r="BF6" s="40">
        <v>0</v>
      </c>
      <c r="BG6" s="56">
        <v>2139714.83</v>
      </c>
      <c r="BH6" s="56">
        <v>1968859.52</v>
      </c>
      <c r="BI6" s="40">
        <v>2331992.0531132445</v>
      </c>
      <c r="BJ6" s="40">
        <v>5474.1597490921231</v>
      </c>
      <c r="BK6" s="40">
        <v>5549.7752542452827</v>
      </c>
      <c r="BL6" s="41">
        <v>-1.362496708228279E-2</v>
      </c>
      <c r="BM6" s="41">
        <v>1.362496708228279E-2</v>
      </c>
      <c r="BN6" s="40">
        <v>32212.205195245981</v>
      </c>
      <c r="BO6" s="56">
        <v>2535059.5683084903</v>
      </c>
      <c r="BP6" s="56">
        <v>5883.0392918039679</v>
      </c>
      <c r="BQ6" s="56" t="s">
        <v>1006</v>
      </c>
      <c r="BR6" s="56">
        <v>5950.8440570621842</v>
      </c>
      <c r="BS6" s="47">
        <v>-3.1780915702983581E-4</v>
      </c>
      <c r="BT6" s="40">
        <v>-11110.08</v>
      </c>
      <c r="BU6" s="40">
        <v>2523949.4883084903</v>
      </c>
      <c r="BV6" s="40">
        <v>0</v>
      </c>
      <c r="BW6" s="40">
        <v>2523949.4883084903</v>
      </c>
      <c r="BX6" s="40">
        <v>28884.83</v>
      </c>
      <c r="BY6" s="40">
        <v>2495064.6583084902</v>
      </c>
    </row>
    <row r="7" spans="1:77">
      <c r="A7">
        <f>_xlfn.XLOOKUP(B7,'Summary Mar 2026'!B:B,'Summary Mar 2026'!A:A,0,0)</f>
        <v>2010</v>
      </c>
      <c r="B7" s="54">
        <v>103159</v>
      </c>
      <c r="C7" s="54">
        <v>3302010</v>
      </c>
      <c r="D7" s="55" t="s">
        <v>31</v>
      </c>
      <c r="E7" s="46">
        <v>419</v>
      </c>
      <c r="F7" s="46">
        <v>419</v>
      </c>
      <c r="G7" s="46">
        <v>0</v>
      </c>
      <c r="H7" s="40">
        <v>1607510.8466</v>
      </c>
      <c r="I7" s="40">
        <v>0</v>
      </c>
      <c r="J7" s="40">
        <v>0</v>
      </c>
      <c r="K7" s="40">
        <v>115752.48000000005</v>
      </c>
      <c r="L7" s="40">
        <v>0</v>
      </c>
      <c r="M7" s="40">
        <v>254099.3</v>
      </c>
      <c r="N7" s="40">
        <v>0</v>
      </c>
      <c r="O7" s="40">
        <v>2594.0992000000015</v>
      </c>
      <c r="P7" s="40">
        <v>6006.0671999999959</v>
      </c>
      <c r="Q7" s="40">
        <v>26793.983999999979</v>
      </c>
      <c r="R7" s="40">
        <v>49172.479999999894</v>
      </c>
      <c r="S7" s="40">
        <v>114802.68800000007</v>
      </c>
      <c r="T7" s="40">
        <v>2062.2336000000014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92280.105529100445</v>
      </c>
      <c r="AB7" s="40">
        <v>0</v>
      </c>
      <c r="AC7" s="40">
        <v>142791.51527849404</v>
      </c>
      <c r="AD7" s="40">
        <v>0</v>
      </c>
      <c r="AE7" s="40">
        <v>31970.273399999853</v>
      </c>
      <c r="AF7" s="40">
        <v>0</v>
      </c>
      <c r="AG7" s="40">
        <v>141970.48000000001</v>
      </c>
      <c r="AH7" s="40">
        <v>0</v>
      </c>
      <c r="AI7" s="40">
        <v>0</v>
      </c>
      <c r="AJ7" s="40">
        <v>0</v>
      </c>
      <c r="AK7" s="40">
        <v>47169.72</v>
      </c>
      <c r="AL7" s="40">
        <v>0</v>
      </c>
      <c r="AM7" s="40">
        <v>0</v>
      </c>
      <c r="AN7" s="40">
        <v>0</v>
      </c>
      <c r="AO7" s="40">
        <v>0</v>
      </c>
      <c r="AP7" s="40">
        <v>0</v>
      </c>
      <c r="AQ7" s="40">
        <v>0</v>
      </c>
      <c r="AR7" s="40">
        <v>0</v>
      </c>
      <c r="AS7" s="40">
        <v>0</v>
      </c>
      <c r="AT7" s="40">
        <v>1607510.8466</v>
      </c>
      <c r="AU7" s="40">
        <v>838325.22620759439</v>
      </c>
      <c r="AV7" s="40">
        <v>189140.2</v>
      </c>
      <c r="AW7" s="40">
        <v>428829.05712849402</v>
      </c>
      <c r="AX7" s="56">
        <v>2634976.2728075944</v>
      </c>
      <c r="AY7" s="56">
        <v>2587806.5528075942</v>
      </c>
      <c r="AZ7" s="56">
        <v>4955</v>
      </c>
      <c r="BA7" s="56">
        <v>2076145</v>
      </c>
      <c r="BB7" s="56">
        <v>0</v>
      </c>
      <c r="BC7" s="56">
        <v>0</v>
      </c>
      <c r="BD7" s="56">
        <v>2634976.2728075944</v>
      </c>
      <c r="BE7" s="40">
        <v>2634976.2728075944</v>
      </c>
      <c r="BF7" s="40">
        <v>0</v>
      </c>
      <c r="BG7" s="56">
        <v>2123314.7200000002</v>
      </c>
      <c r="BH7" s="56">
        <v>1934174.5200000003</v>
      </c>
      <c r="BI7" s="40">
        <v>2445836.0728075942</v>
      </c>
      <c r="BJ7" s="40">
        <v>5837.3175961995084</v>
      </c>
      <c r="BK7" s="40">
        <v>5836.7852266509426</v>
      </c>
      <c r="BL7" s="41">
        <v>9.1209377747021285E-5</v>
      </c>
      <c r="BM7" s="41">
        <v>0</v>
      </c>
      <c r="BN7" s="40">
        <v>0</v>
      </c>
      <c r="BO7" s="56">
        <v>2634976.2728075944</v>
      </c>
      <c r="BP7" s="56">
        <v>6176.1492907102484</v>
      </c>
      <c r="BQ7" s="56" t="s">
        <v>1006</v>
      </c>
      <c r="BR7" s="56">
        <v>6288.726188084951</v>
      </c>
      <c r="BS7" s="47">
        <v>9.3199183057834922E-4</v>
      </c>
      <c r="BT7" s="40">
        <v>-10927.519999999999</v>
      </c>
      <c r="BU7" s="40">
        <v>2624048.7528075944</v>
      </c>
      <c r="BV7" s="40">
        <v>0</v>
      </c>
      <c r="BW7" s="40">
        <v>2624048.7528075944</v>
      </c>
      <c r="BX7" s="40">
        <v>47169.72</v>
      </c>
      <c r="BY7" s="40">
        <v>2576879.0328075942</v>
      </c>
    </row>
    <row r="8" spans="1:77">
      <c r="A8">
        <f>_xlfn.XLOOKUP(B8,'Summary Mar 2026'!B:B,'Summary Mar 2026'!A:A,0,0)</f>
        <v>2011</v>
      </c>
      <c r="B8" s="54">
        <v>134099</v>
      </c>
      <c r="C8" s="54">
        <v>3302011</v>
      </c>
      <c r="D8" s="55" t="s">
        <v>331</v>
      </c>
      <c r="E8" s="46">
        <v>610</v>
      </c>
      <c r="F8" s="46">
        <v>610</v>
      </c>
      <c r="G8" s="46">
        <v>0</v>
      </c>
      <c r="H8" s="40">
        <v>2340290.2540000002</v>
      </c>
      <c r="I8" s="40">
        <v>0</v>
      </c>
      <c r="J8" s="40">
        <v>0</v>
      </c>
      <c r="K8" s="40">
        <v>108003.35999999991</v>
      </c>
      <c r="L8" s="40">
        <v>0</v>
      </c>
      <c r="M8" s="40">
        <v>232319.35999999981</v>
      </c>
      <c r="N8" s="40">
        <v>0</v>
      </c>
      <c r="O8" s="40">
        <v>1886.6176000000064</v>
      </c>
      <c r="P8" s="40">
        <v>52910.591999999975</v>
      </c>
      <c r="Q8" s="40">
        <v>6251.9295999999867</v>
      </c>
      <c r="R8" s="40">
        <v>6884.1471999999867</v>
      </c>
      <c r="S8" s="40">
        <v>33397.145599999923</v>
      </c>
      <c r="T8" s="40">
        <v>32308.32640000002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66334.426981132186</v>
      </c>
      <c r="AB8" s="40">
        <v>0</v>
      </c>
      <c r="AC8" s="40">
        <v>283907.17214099847</v>
      </c>
      <c r="AD8" s="40">
        <v>0</v>
      </c>
      <c r="AE8" s="40">
        <v>0</v>
      </c>
      <c r="AF8" s="40">
        <v>0</v>
      </c>
      <c r="AG8" s="40">
        <v>141970.48000000001</v>
      </c>
      <c r="AH8" s="40">
        <v>0</v>
      </c>
      <c r="AI8" s="40">
        <v>0</v>
      </c>
      <c r="AJ8" s="40">
        <v>0</v>
      </c>
      <c r="AK8" s="40">
        <v>93050.07</v>
      </c>
      <c r="AL8" s="40">
        <v>0</v>
      </c>
      <c r="AM8" s="40">
        <v>0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2340290.2540000002</v>
      </c>
      <c r="AU8" s="40">
        <v>824203.07752213022</v>
      </c>
      <c r="AV8" s="40">
        <v>235020.55000000002</v>
      </c>
      <c r="AW8" s="40">
        <v>571547.81706499844</v>
      </c>
      <c r="AX8" s="56">
        <v>3399513.8815221302</v>
      </c>
      <c r="AY8" s="56">
        <v>3306463.8115221304</v>
      </c>
      <c r="AZ8" s="56">
        <v>4955</v>
      </c>
      <c r="BA8" s="56">
        <v>3022550</v>
      </c>
      <c r="BB8" s="56">
        <v>0</v>
      </c>
      <c r="BC8" s="56">
        <v>0</v>
      </c>
      <c r="BD8" s="56">
        <v>3399513.8815221302</v>
      </c>
      <c r="BE8" s="40">
        <v>3399513.8815221302</v>
      </c>
      <c r="BF8" s="40">
        <v>0</v>
      </c>
      <c r="BG8" s="56">
        <v>3115600.07</v>
      </c>
      <c r="BH8" s="56">
        <v>2880579.52</v>
      </c>
      <c r="BI8" s="40">
        <v>3164493.3315221304</v>
      </c>
      <c r="BJ8" s="40">
        <v>5187.6939861018527</v>
      </c>
      <c r="BK8" s="40">
        <v>5106.7303404220784</v>
      </c>
      <c r="BL8" s="41">
        <v>1.5854302123397921E-2</v>
      </c>
      <c r="BM8" s="41">
        <v>0</v>
      </c>
      <c r="BN8" s="40">
        <v>0</v>
      </c>
      <c r="BO8" s="56">
        <v>3399513.8815221302</v>
      </c>
      <c r="BP8" s="56">
        <v>5420.4324779051321</v>
      </c>
      <c r="BQ8" s="56" t="s">
        <v>1006</v>
      </c>
      <c r="BR8" s="56">
        <v>5572.9735762657874</v>
      </c>
      <c r="BS8" s="47">
        <v>1.7179132933196506E-2</v>
      </c>
      <c r="BT8" s="40">
        <v>-15908.8</v>
      </c>
      <c r="BU8" s="40">
        <v>3383605.0815221304</v>
      </c>
      <c r="BV8" s="40">
        <v>0</v>
      </c>
      <c r="BW8" s="40">
        <v>3383605.0815221304</v>
      </c>
      <c r="BX8" s="40">
        <v>93050.07</v>
      </c>
      <c r="BY8" s="40">
        <v>3290555.0115221306</v>
      </c>
    </row>
    <row r="9" spans="1:77">
      <c r="A9">
        <f>_xlfn.XLOOKUP(B9,'Summary Mar 2026'!B:B,'Summary Mar 2026'!A:A,0,0)</f>
        <v>2014</v>
      </c>
      <c r="B9" s="54">
        <v>103162</v>
      </c>
      <c r="C9" s="54">
        <v>3302014</v>
      </c>
      <c r="D9" s="55" t="s">
        <v>369</v>
      </c>
      <c r="E9" s="46">
        <v>392</v>
      </c>
      <c r="F9" s="46">
        <v>392</v>
      </c>
      <c r="G9" s="46">
        <v>0</v>
      </c>
      <c r="H9" s="40">
        <v>1503924.2287999999</v>
      </c>
      <c r="I9" s="40">
        <v>0</v>
      </c>
      <c r="J9" s="40">
        <v>0</v>
      </c>
      <c r="K9" s="40">
        <v>79428.480000000083</v>
      </c>
      <c r="L9" s="40">
        <v>0</v>
      </c>
      <c r="M9" s="40">
        <v>176313.79999999996</v>
      </c>
      <c r="N9" s="40">
        <v>0</v>
      </c>
      <c r="O9" s="40">
        <v>2358.272000000004</v>
      </c>
      <c r="P9" s="40">
        <v>17732.198399999947</v>
      </c>
      <c r="Q9" s="40">
        <v>11610.7264</v>
      </c>
      <c r="R9" s="40">
        <v>2950.348800000002</v>
      </c>
      <c r="S9" s="40">
        <v>100713.26719999997</v>
      </c>
      <c r="T9" s="40">
        <v>19934.924800000004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66620.497391304263</v>
      </c>
      <c r="AB9" s="40">
        <v>0</v>
      </c>
      <c r="AC9" s="40">
        <v>160009.76992686751</v>
      </c>
      <c r="AD9" s="40">
        <v>0</v>
      </c>
      <c r="AE9" s="40">
        <v>16603.448335549812</v>
      </c>
      <c r="AF9" s="40">
        <v>0</v>
      </c>
      <c r="AG9" s="40">
        <v>141970.48000000001</v>
      </c>
      <c r="AH9" s="40">
        <v>0</v>
      </c>
      <c r="AI9" s="40">
        <v>0</v>
      </c>
      <c r="AJ9" s="40">
        <v>0</v>
      </c>
      <c r="AK9" s="40">
        <v>34184.79</v>
      </c>
      <c r="AL9" s="40">
        <v>0</v>
      </c>
      <c r="AM9" s="40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1503924.2287999999</v>
      </c>
      <c r="AU9" s="40">
        <v>654275.73325372138</v>
      </c>
      <c r="AV9" s="40">
        <v>176155.27000000002</v>
      </c>
      <c r="AW9" s="40">
        <v>383181.10770286748</v>
      </c>
      <c r="AX9" s="56">
        <v>2334355.2320537213</v>
      </c>
      <c r="AY9" s="56">
        <v>2300170.4420537213</v>
      </c>
      <c r="AZ9" s="56">
        <v>4955</v>
      </c>
      <c r="BA9" s="56">
        <v>1942360</v>
      </c>
      <c r="BB9" s="56">
        <v>0</v>
      </c>
      <c r="BC9" s="56">
        <v>0</v>
      </c>
      <c r="BD9" s="56">
        <v>2334355.2320537213</v>
      </c>
      <c r="BE9" s="40">
        <v>2334355.2320537213</v>
      </c>
      <c r="BF9" s="40">
        <v>0</v>
      </c>
      <c r="BG9" s="56">
        <v>1976544.79</v>
      </c>
      <c r="BH9" s="56">
        <v>1800389.52</v>
      </c>
      <c r="BI9" s="40">
        <v>2158199.9620537213</v>
      </c>
      <c r="BJ9" s="40">
        <v>5505.6121480962274</v>
      </c>
      <c r="BK9" s="40">
        <v>5533.625818575063</v>
      </c>
      <c r="BL9" s="41">
        <v>-5.062443937716276E-3</v>
      </c>
      <c r="BM9" s="41">
        <v>5.062443937716276E-3</v>
      </c>
      <c r="BN9" s="40">
        <v>10981.358827703552</v>
      </c>
      <c r="BO9" s="56">
        <v>2345336.590881425</v>
      </c>
      <c r="BP9" s="56">
        <v>5895.795410411798</v>
      </c>
      <c r="BQ9" s="56" t="s">
        <v>1006</v>
      </c>
      <c r="BR9" s="56">
        <v>5983.0015073505738</v>
      </c>
      <c r="BS9" s="47">
        <v>1.9115291247628896E-4</v>
      </c>
      <c r="BT9" s="40">
        <v>-10223.359999999999</v>
      </c>
      <c r="BU9" s="40">
        <v>2335113.2308814251</v>
      </c>
      <c r="BV9" s="40">
        <v>0</v>
      </c>
      <c r="BW9" s="40">
        <v>2335113.2308814251</v>
      </c>
      <c r="BX9" s="40">
        <v>34184.79</v>
      </c>
      <c r="BY9" s="40">
        <v>2300928.440881425</v>
      </c>
    </row>
    <row r="10" spans="1:77">
      <c r="A10">
        <f>_xlfn.XLOOKUP(B10,'Summary Mar 2026'!B:B,'Summary Mar 2026'!A:A,0,0)</f>
        <v>2015</v>
      </c>
      <c r="B10" s="54">
        <v>134102</v>
      </c>
      <c r="C10" s="54">
        <v>3302015</v>
      </c>
      <c r="D10" s="55" t="s">
        <v>169</v>
      </c>
      <c r="E10" s="46">
        <v>392</v>
      </c>
      <c r="F10" s="46">
        <v>392</v>
      </c>
      <c r="G10" s="46">
        <v>0</v>
      </c>
      <c r="H10" s="40">
        <v>1503924.2287999999</v>
      </c>
      <c r="I10" s="40">
        <v>0</v>
      </c>
      <c r="J10" s="40">
        <v>0</v>
      </c>
      <c r="K10" s="40">
        <v>96379.680000000051</v>
      </c>
      <c r="L10" s="40">
        <v>0</v>
      </c>
      <c r="M10" s="40">
        <v>206390.86000000013</v>
      </c>
      <c r="N10" s="40">
        <v>0</v>
      </c>
      <c r="O10" s="40">
        <v>1182.1516930946254</v>
      </c>
      <c r="P10" s="40">
        <v>4587.7546557544792</v>
      </c>
      <c r="Q10" s="40">
        <v>65365.442979028085</v>
      </c>
      <c r="R10" s="40">
        <v>12817.542612787734</v>
      </c>
      <c r="S10" s="40">
        <v>46561.685409718659</v>
      </c>
      <c r="T10" s="40">
        <v>71673.605630690596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79873.723999999987</v>
      </c>
      <c r="AB10" s="40">
        <v>0</v>
      </c>
      <c r="AC10" s="40">
        <v>196809.56633802236</v>
      </c>
      <c r="AD10" s="40">
        <v>0</v>
      </c>
      <c r="AE10" s="40">
        <v>0</v>
      </c>
      <c r="AF10" s="40">
        <v>0</v>
      </c>
      <c r="AG10" s="40">
        <v>141970.48000000001</v>
      </c>
      <c r="AH10" s="40">
        <v>0</v>
      </c>
      <c r="AI10" s="40">
        <v>0</v>
      </c>
      <c r="AJ10" s="40">
        <v>0</v>
      </c>
      <c r="AK10" s="40">
        <v>41332.1</v>
      </c>
      <c r="AL10" s="40"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v>0</v>
      </c>
      <c r="AR10" s="40">
        <v>0</v>
      </c>
      <c r="AS10" s="40">
        <v>0</v>
      </c>
      <c r="AT10" s="40">
        <v>1503924.2287999999</v>
      </c>
      <c r="AU10" s="40">
        <v>781642.01331909664</v>
      </c>
      <c r="AV10" s="40">
        <v>183302.58000000002</v>
      </c>
      <c r="AW10" s="40">
        <v>453790.91805120913</v>
      </c>
      <c r="AX10" s="56">
        <v>2468868.8221190968</v>
      </c>
      <c r="AY10" s="56">
        <v>2427536.7221190967</v>
      </c>
      <c r="AZ10" s="56">
        <v>4955</v>
      </c>
      <c r="BA10" s="56">
        <v>1942360</v>
      </c>
      <c r="BB10" s="56">
        <v>0</v>
      </c>
      <c r="BC10" s="56">
        <v>0</v>
      </c>
      <c r="BD10" s="56">
        <v>2468868.8221190968</v>
      </c>
      <c r="BE10" s="40">
        <v>2468868.8221190963</v>
      </c>
      <c r="BF10" s="40">
        <v>0</v>
      </c>
      <c r="BG10" s="56">
        <v>1983692.1</v>
      </c>
      <c r="BH10" s="56">
        <v>1800389.52</v>
      </c>
      <c r="BI10" s="40">
        <v>2285566.2421190967</v>
      </c>
      <c r="BJ10" s="40">
        <v>5830.5261278548387</v>
      </c>
      <c r="BK10" s="40">
        <v>5872.2653663414631</v>
      </c>
      <c r="BL10" s="41">
        <v>-7.107859724096343E-3</v>
      </c>
      <c r="BM10" s="41">
        <v>7.107859724096343E-3</v>
      </c>
      <c r="BN10" s="40">
        <v>16361.781486756743</v>
      </c>
      <c r="BO10" s="56">
        <v>2485230.6036058534</v>
      </c>
      <c r="BP10" s="56">
        <v>6234.4349581781971</v>
      </c>
      <c r="BQ10" s="56" t="s">
        <v>1006</v>
      </c>
      <c r="BR10" s="56">
        <v>6339.8739887904421</v>
      </c>
      <c r="BS10" s="47">
        <v>3.2486214294997762E-3</v>
      </c>
      <c r="BT10" s="40">
        <v>-10223.359999999999</v>
      </c>
      <c r="BU10" s="40">
        <v>2475007.2436058535</v>
      </c>
      <c r="BV10" s="40">
        <v>0</v>
      </c>
      <c r="BW10" s="40">
        <v>2475007.2436058535</v>
      </c>
      <c r="BX10" s="40">
        <v>41332.1</v>
      </c>
      <c r="BY10" s="40">
        <v>2433675.1436058534</v>
      </c>
    </row>
    <row r="11" spans="1:77">
      <c r="A11">
        <f>_xlfn.XLOOKUP(B11,'Summary Mar 2026'!B:B,'Summary Mar 2026'!A:A,0,0)</f>
        <v>2016</v>
      </c>
      <c r="B11" s="54">
        <v>103163</v>
      </c>
      <c r="C11" s="54">
        <v>3302016</v>
      </c>
      <c r="D11" s="55" t="s">
        <v>51</v>
      </c>
      <c r="E11" s="46">
        <v>359</v>
      </c>
      <c r="F11" s="46">
        <v>359</v>
      </c>
      <c r="G11" s="46">
        <v>0</v>
      </c>
      <c r="H11" s="40">
        <v>1377318.3626000001</v>
      </c>
      <c r="I11" s="40">
        <v>0</v>
      </c>
      <c r="J11" s="40">
        <v>0</v>
      </c>
      <c r="K11" s="40">
        <v>79428.48000000001</v>
      </c>
      <c r="L11" s="40">
        <v>0</v>
      </c>
      <c r="M11" s="40">
        <v>172165.23999999985</v>
      </c>
      <c r="N11" s="40">
        <v>0</v>
      </c>
      <c r="O11" s="40">
        <v>21931.92959999997</v>
      </c>
      <c r="P11" s="40">
        <v>9438.1055999999953</v>
      </c>
      <c r="Q11" s="40">
        <v>2232.8319999999985</v>
      </c>
      <c r="R11" s="40">
        <v>3442.0735999999938</v>
      </c>
      <c r="S11" s="40">
        <v>9392.9471999999987</v>
      </c>
      <c r="T11" s="40">
        <v>687.41119999999955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14011.10815642458</v>
      </c>
      <c r="AB11" s="40">
        <v>0</v>
      </c>
      <c r="AC11" s="40">
        <v>149492.37991153411</v>
      </c>
      <c r="AD11" s="40">
        <v>0</v>
      </c>
      <c r="AE11" s="40">
        <v>0</v>
      </c>
      <c r="AF11" s="40">
        <v>0</v>
      </c>
      <c r="AG11" s="40">
        <v>141970.48000000001</v>
      </c>
      <c r="AH11" s="40">
        <v>0</v>
      </c>
      <c r="AI11" s="40">
        <v>0</v>
      </c>
      <c r="AJ11" s="40">
        <v>0</v>
      </c>
      <c r="AK11" s="40">
        <v>42611.74</v>
      </c>
      <c r="AL11" s="40">
        <v>261953.57430000001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1377318.3626000001</v>
      </c>
      <c r="AU11" s="40">
        <v>462222.50726795848</v>
      </c>
      <c r="AV11" s="40">
        <v>446535.79430000001</v>
      </c>
      <c r="AW11" s="40">
        <v>325897.14495353407</v>
      </c>
      <c r="AX11" s="56">
        <v>2286076.6641679588</v>
      </c>
      <c r="AY11" s="56">
        <v>1981511.3498679586</v>
      </c>
      <c r="AZ11" s="56">
        <v>4955</v>
      </c>
      <c r="BA11" s="56">
        <v>1778845</v>
      </c>
      <c r="BB11" s="56">
        <v>0</v>
      </c>
      <c r="BC11" s="56">
        <v>0</v>
      </c>
      <c r="BD11" s="56">
        <v>2286076.6641679588</v>
      </c>
      <c r="BE11" s="40">
        <v>2286076.6641679583</v>
      </c>
      <c r="BF11" s="40">
        <v>0</v>
      </c>
      <c r="BG11" s="56">
        <v>2083410.3143</v>
      </c>
      <c r="BH11" s="56">
        <v>1636874.52</v>
      </c>
      <c r="BI11" s="40">
        <v>1839540.8698679586</v>
      </c>
      <c r="BJ11" s="40">
        <v>5124.069275398213</v>
      </c>
      <c r="BK11" s="40">
        <v>5057.5919775623261</v>
      </c>
      <c r="BL11" s="41">
        <v>1.3144061073097452E-2</v>
      </c>
      <c r="BM11" s="41">
        <v>0</v>
      </c>
      <c r="BN11" s="40">
        <v>0</v>
      </c>
      <c r="BO11" s="56">
        <v>2286076.6641679588</v>
      </c>
      <c r="BP11" s="56">
        <v>5519.5302224734223</v>
      </c>
      <c r="BQ11" s="56" t="s">
        <v>1006</v>
      </c>
      <c r="BR11" s="56">
        <v>6367.9015714984926</v>
      </c>
      <c r="BS11" s="47">
        <v>1.4284731086525282E-2</v>
      </c>
      <c r="BT11" s="40">
        <v>-9362.7199999999993</v>
      </c>
      <c r="BU11" s="40">
        <v>2276713.9441679586</v>
      </c>
      <c r="BV11" s="40">
        <v>0</v>
      </c>
      <c r="BW11" s="40">
        <v>2276713.9441679586</v>
      </c>
      <c r="BX11" s="40">
        <v>42611.74</v>
      </c>
      <c r="BY11" s="40">
        <v>2234102.2041679583</v>
      </c>
    </row>
    <row r="12" spans="1:77">
      <c r="A12">
        <f>_xlfn.XLOOKUP(B12,'Summary Mar 2026'!B:B,'Summary Mar 2026'!A:A,0,0)</f>
        <v>2017</v>
      </c>
      <c r="B12" s="54">
        <v>103164</v>
      </c>
      <c r="C12" s="54">
        <v>3302017</v>
      </c>
      <c r="D12" s="55" t="s">
        <v>49</v>
      </c>
      <c r="E12" s="46">
        <v>265</v>
      </c>
      <c r="F12" s="46">
        <v>265</v>
      </c>
      <c r="G12" s="46">
        <v>0</v>
      </c>
      <c r="H12" s="40">
        <v>1016683.471</v>
      </c>
      <c r="I12" s="40">
        <v>0</v>
      </c>
      <c r="J12" s="40">
        <v>0</v>
      </c>
      <c r="K12" s="40">
        <v>47947.679999999949</v>
      </c>
      <c r="L12" s="40">
        <v>0</v>
      </c>
      <c r="M12" s="40">
        <v>103714.00000000009</v>
      </c>
      <c r="N12" s="40">
        <v>0</v>
      </c>
      <c r="O12" s="40">
        <v>16507.903999999977</v>
      </c>
      <c r="P12" s="40">
        <v>9438.1055999999644</v>
      </c>
      <c r="Q12" s="40">
        <v>4912.2303999999931</v>
      </c>
      <c r="R12" s="40">
        <v>983.44959999999935</v>
      </c>
      <c r="S12" s="40">
        <v>4174.6431999999977</v>
      </c>
      <c r="T12" s="40">
        <v>1374.8223999999991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32478.95789473689</v>
      </c>
      <c r="AB12" s="40">
        <v>0</v>
      </c>
      <c r="AC12" s="40">
        <v>94549.624137930936</v>
      </c>
      <c r="AD12" s="40">
        <v>0</v>
      </c>
      <c r="AE12" s="40">
        <v>0</v>
      </c>
      <c r="AF12" s="40">
        <v>0</v>
      </c>
      <c r="AG12" s="40">
        <v>141970.48000000001</v>
      </c>
      <c r="AH12" s="40">
        <v>0</v>
      </c>
      <c r="AI12" s="40">
        <v>0</v>
      </c>
      <c r="AJ12" s="40">
        <v>0</v>
      </c>
      <c r="AK12" s="40">
        <v>28407.83</v>
      </c>
      <c r="AL12" s="40">
        <v>262281.98798999999</v>
      </c>
      <c r="AM12" s="40">
        <v>0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1016683.471</v>
      </c>
      <c r="AU12" s="40">
        <v>316081.41723266779</v>
      </c>
      <c r="AV12" s="40">
        <v>432660.29798999999</v>
      </c>
      <c r="AW12" s="40">
        <v>213442.81835993091</v>
      </c>
      <c r="AX12" s="56">
        <v>1765425.1862226678</v>
      </c>
      <c r="AY12" s="56">
        <v>1474735.3682326677</v>
      </c>
      <c r="AZ12" s="56">
        <v>4955</v>
      </c>
      <c r="BA12" s="56">
        <v>1313075</v>
      </c>
      <c r="BB12" s="56">
        <v>0</v>
      </c>
      <c r="BC12" s="56">
        <v>0</v>
      </c>
      <c r="BD12" s="56">
        <v>1765425.1862226678</v>
      </c>
      <c r="BE12" s="40">
        <v>1765425.1862226678</v>
      </c>
      <c r="BF12" s="40">
        <v>0</v>
      </c>
      <c r="BG12" s="56">
        <v>1603764.8179900001</v>
      </c>
      <c r="BH12" s="56">
        <v>1171104.52</v>
      </c>
      <c r="BI12" s="40">
        <v>1332764.8882326677</v>
      </c>
      <c r="BJ12" s="40">
        <v>5029.3014650289351</v>
      </c>
      <c r="BK12" s="40">
        <v>5098.7625151515149</v>
      </c>
      <c r="BL12" s="41">
        <v>-1.3623119318887449E-2</v>
      </c>
      <c r="BM12" s="41">
        <v>1.3623119318887449E-2</v>
      </c>
      <c r="BN12" s="40">
        <v>18407.178282483637</v>
      </c>
      <c r="BO12" s="56">
        <v>1783832.3645051515</v>
      </c>
      <c r="BP12" s="56">
        <v>5634.5001755288731</v>
      </c>
      <c r="BQ12" s="56" t="s">
        <v>1006</v>
      </c>
      <c r="BR12" s="56">
        <v>6731.4428849250999</v>
      </c>
      <c r="BS12" s="47">
        <v>2.4052849957323374E-3</v>
      </c>
      <c r="BT12" s="40">
        <v>-6911.2</v>
      </c>
      <c r="BU12" s="40">
        <v>1776921.1645051516</v>
      </c>
      <c r="BV12" s="40">
        <v>0</v>
      </c>
      <c r="BW12" s="40">
        <v>1776921.1645051516</v>
      </c>
      <c r="BX12" s="40">
        <v>28407.83</v>
      </c>
      <c r="BY12" s="40">
        <v>1748513.3345051515</v>
      </c>
    </row>
    <row r="13" spans="1:77">
      <c r="A13">
        <f>_xlfn.XLOOKUP(B13,'Summary Mar 2026'!B:B,'Summary Mar 2026'!A:A,0,0)</f>
        <v>2019</v>
      </c>
      <c r="B13" s="54">
        <v>134279</v>
      </c>
      <c r="C13" s="54">
        <v>3302019</v>
      </c>
      <c r="D13" s="55" t="s">
        <v>431</v>
      </c>
      <c r="E13" s="46">
        <v>405</v>
      </c>
      <c r="F13" s="46">
        <v>405</v>
      </c>
      <c r="G13" s="46">
        <v>0</v>
      </c>
      <c r="H13" s="40">
        <v>1553799.267</v>
      </c>
      <c r="I13" s="40">
        <v>0</v>
      </c>
      <c r="J13" s="40">
        <v>0</v>
      </c>
      <c r="K13" s="40">
        <v>94926.720000000074</v>
      </c>
      <c r="L13" s="40">
        <v>0</v>
      </c>
      <c r="M13" s="40">
        <v>206390.86</v>
      </c>
      <c r="N13" s="40">
        <v>0</v>
      </c>
      <c r="O13" s="40">
        <v>2358.272000000004</v>
      </c>
      <c r="P13" s="40">
        <v>8008.0895999999984</v>
      </c>
      <c r="Q13" s="40">
        <v>20095.487999999976</v>
      </c>
      <c r="R13" s="40">
        <v>34912.460800000074</v>
      </c>
      <c r="S13" s="40">
        <v>66794.29119999992</v>
      </c>
      <c r="T13" s="40">
        <v>9623.7567999999992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13511.681948424079</v>
      </c>
      <c r="AB13" s="40">
        <v>0</v>
      </c>
      <c r="AC13" s="40">
        <v>145267.98033240993</v>
      </c>
      <c r="AD13" s="40">
        <v>0</v>
      </c>
      <c r="AE13" s="40">
        <v>0</v>
      </c>
      <c r="AF13" s="40">
        <v>0</v>
      </c>
      <c r="AG13" s="40">
        <v>141970.48000000001</v>
      </c>
      <c r="AH13" s="40">
        <v>0</v>
      </c>
      <c r="AI13" s="40">
        <v>0</v>
      </c>
      <c r="AJ13" s="40">
        <v>0</v>
      </c>
      <c r="AK13" s="40">
        <v>61406.26</v>
      </c>
      <c r="AL13" s="40">
        <v>0</v>
      </c>
      <c r="AM13" s="40">
        <v>0</v>
      </c>
      <c r="AN13" s="40">
        <v>0</v>
      </c>
      <c r="AO13" s="40">
        <v>0</v>
      </c>
      <c r="AP13" s="40">
        <v>0</v>
      </c>
      <c r="AQ13" s="40">
        <v>0</v>
      </c>
      <c r="AR13" s="40">
        <v>0</v>
      </c>
      <c r="AS13" s="40">
        <v>0</v>
      </c>
      <c r="AT13" s="40">
        <v>1553799.267</v>
      </c>
      <c r="AU13" s="40">
        <v>601889.60068083403</v>
      </c>
      <c r="AV13" s="40">
        <v>203376.74000000002</v>
      </c>
      <c r="AW13" s="40">
        <v>382477.52150640998</v>
      </c>
      <c r="AX13" s="56">
        <v>2359065.6076808344</v>
      </c>
      <c r="AY13" s="56">
        <v>2297659.3476808346</v>
      </c>
      <c r="AZ13" s="56">
        <v>4955</v>
      </c>
      <c r="BA13" s="56">
        <v>2006775</v>
      </c>
      <c r="BB13" s="56">
        <v>0</v>
      </c>
      <c r="BC13" s="56">
        <v>0</v>
      </c>
      <c r="BD13" s="56">
        <v>2359065.6076808344</v>
      </c>
      <c r="BE13" s="40">
        <v>2359065.6076808344</v>
      </c>
      <c r="BF13" s="40">
        <v>0</v>
      </c>
      <c r="BG13" s="56">
        <v>2068181.26</v>
      </c>
      <c r="BH13" s="56">
        <v>1864804.52</v>
      </c>
      <c r="BI13" s="40">
        <v>2155688.8676808346</v>
      </c>
      <c r="BJ13" s="40">
        <v>5322.6885621749007</v>
      </c>
      <c r="BK13" s="40">
        <v>5375.1334130864198</v>
      </c>
      <c r="BL13" s="41">
        <v>-9.756939387557468E-3</v>
      </c>
      <c r="BM13" s="41">
        <v>9.756939387557468E-3</v>
      </c>
      <c r="BN13" s="40">
        <v>21240.164619165233</v>
      </c>
      <c r="BO13" s="56">
        <v>2380305.7722999994</v>
      </c>
      <c r="BP13" s="56">
        <v>5725.6778081481471</v>
      </c>
      <c r="BQ13" s="56" t="s">
        <v>1006</v>
      </c>
      <c r="BR13" s="56">
        <v>5877.2982032098753</v>
      </c>
      <c r="BS13" s="47">
        <v>1.6088863899708095E-3</v>
      </c>
      <c r="BT13" s="40">
        <v>-10562.4</v>
      </c>
      <c r="BU13" s="40">
        <v>2369743.3722999995</v>
      </c>
      <c r="BV13" s="40">
        <v>0</v>
      </c>
      <c r="BW13" s="40">
        <v>2369743.3722999995</v>
      </c>
      <c r="BX13" s="40">
        <v>61406.26</v>
      </c>
      <c r="BY13" s="40">
        <v>2308337.1122999997</v>
      </c>
    </row>
    <row r="14" spans="1:77">
      <c r="A14">
        <f>_xlfn.XLOOKUP(B14,'Summary Mar 2026'!B:B,'Summary Mar 2026'!A:A,0,0)</f>
        <v>2030</v>
      </c>
      <c r="B14" s="54">
        <v>103172</v>
      </c>
      <c r="C14" s="54">
        <v>3302030</v>
      </c>
      <c r="D14" s="55" t="s">
        <v>68</v>
      </c>
      <c r="E14" s="46">
        <v>619</v>
      </c>
      <c r="F14" s="46">
        <v>619</v>
      </c>
      <c r="G14" s="46">
        <v>0</v>
      </c>
      <c r="H14" s="40">
        <v>2374819.1266000001</v>
      </c>
      <c r="I14" s="40">
        <v>0</v>
      </c>
      <c r="J14" s="40">
        <v>0</v>
      </c>
      <c r="K14" s="40">
        <v>143843.03999999998</v>
      </c>
      <c r="L14" s="40">
        <v>0</v>
      </c>
      <c r="M14" s="40">
        <v>310104.8600000001</v>
      </c>
      <c r="N14" s="40">
        <v>0</v>
      </c>
      <c r="O14" s="40">
        <v>20045.312000000016</v>
      </c>
      <c r="P14" s="40">
        <v>4004.044800000006</v>
      </c>
      <c r="Q14" s="40">
        <v>132183.65439999991</v>
      </c>
      <c r="R14" s="40">
        <v>86051.839999999982</v>
      </c>
      <c r="S14" s="40">
        <v>17220.403200000008</v>
      </c>
      <c r="T14" s="40">
        <v>2749.6448000000014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170698.3721052632</v>
      </c>
      <c r="AB14" s="40">
        <v>0</v>
      </c>
      <c r="AC14" s="40">
        <v>245244.27483250186</v>
      </c>
      <c r="AD14" s="40">
        <v>0</v>
      </c>
      <c r="AE14" s="40">
        <v>14030.663400000003</v>
      </c>
      <c r="AF14" s="40">
        <v>0</v>
      </c>
      <c r="AG14" s="40">
        <v>141970.48000000001</v>
      </c>
      <c r="AH14" s="40">
        <v>0</v>
      </c>
      <c r="AI14" s="40">
        <v>0</v>
      </c>
      <c r="AJ14" s="40">
        <v>0</v>
      </c>
      <c r="AK14" s="40">
        <v>33389.800000000003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2374819.1266000001</v>
      </c>
      <c r="AU14" s="40">
        <v>1146176.1095377652</v>
      </c>
      <c r="AV14" s="40">
        <v>175360.28000000003</v>
      </c>
      <c r="AW14" s="40">
        <v>621818.2388745019</v>
      </c>
      <c r="AX14" s="56">
        <v>3696355.5161377657</v>
      </c>
      <c r="AY14" s="56">
        <v>3662965.7161377659</v>
      </c>
      <c r="AZ14" s="56">
        <v>4955</v>
      </c>
      <c r="BA14" s="56">
        <v>3067145</v>
      </c>
      <c r="BB14" s="56">
        <v>0</v>
      </c>
      <c r="BC14" s="56">
        <v>0</v>
      </c>
      <c r="BD14" s="56">
        <v>3696355.5161377657</v>
      </c>
      <c r="BE14" s="40">
        <v>3696355.5161377648</v>
      </c>
      <c r="BF14" s="40">
        <v>0</v>
      </c>
      <c r="BG14" s="56">
        <v>3100534.8</v>
      </c>
      <c r="BH14" s="56">
        <v>2925174.52</v>
      </c>
      <c r="BI14" s="40">
        <v>3520995.2361377659</v>
      </c>
      <c r="BJ14" s="40">
        <v>5688.1990890755505</v>
      </c>
      <c r="BK14" s="40">
        <v>5685.1764148325356</v>
      </c>
      <c r="BL14" s="41">
        <v>5.3167641994870734E-4</v>
      </c>
      <c r="BM14" s="41">
        <v>0</v>
      </c>
      <c r="BN14" s="40">
        <v>0</v>
      </c>
      <c r="BO14" s="56">
        <v>3696355.5161377657</v>
      </c>
      <c r="BP14" s="56">
        <v>5917.5536609656965</v>
      </c>
      <c r="BQ14" s="56" t="s">
        <v>1006</v>
      </c>
      <c r="BR14" s="56">
        <v>5971.4951795440484</v>
      </c>
      <c r="BS14" s="47">
        <v>1.1127335366638569E-3</v>
      </c>
      <c r="BT14" s="40">
        <v>-16143.519999999999</v>
      </c>
      <c r="BU14" s="40">
        <v>3680211.9961377657</v>
      </c>
      <c r="BV14" s="40">
        <v>0</v>
      </c>
      <c r="BW14" s="40">
        <v>3680211.9961377657</v>
      </c>
      <c r="BX14" s="40">
        <v>33389.800000000003</v>
      </c>
      <c r="BY14" s="40">
        <v>3646822.1961377659</v>
      </c>
    </row>
    <row r="15" spans="1:77">
      <c r="A15">
        <f>_xlfn.XLOOKUP(B15,'Summary Mar 2026'!B:B,'Summary Mar 2026'!A:A,0,0)</f>
        <v>2040</v>
      </c>
      <c r="B15" s="54">
        <v>103178</v>
      </c>
      <c r="C15" s="54">
        <v>3302040</v>
      </c>
      <c r="D15" s="55" t="s">
        <v>90</v>
      </c>
      <c r="E15" s="46">
        <v>425</v>
      </c>
      <c r="F15" s="46">
        <v>425</v>
      </c>
      <c r="G15" s="46">
        <v>0</v>
      </c>
      <c r="H15" s="40">
        <v>1630530.095</v>
      </c>
      <c r="I15" s="40">
        <v>0</v>
      </c>
      <c r="J15" s="40">
        <v>0</v>
      </c>
      <c r="K15" s="40">
        <v>56665.440000000039</v>
      </c>
      <c r="L15" s="40">
        <v>0</v>
      </c>
      <c r="M15" s="40">
        <v>122382.51999999983</v>
      </c>
      <c r="N15" s="40">
        <v>0</v>
      </c>
      <c r="O15" s="40">
        <v>13913.804800000031</v>
      </c>
      <c r="P15" s="40">
        <v>8866.0991999999951</v>
      </c>
      <c r="Q15" s="40">
        <v>4019.0976000000005</v>
      </c>
      <c r="R15" s="40">
        <v>6884.1471999999931</v>
      </c>
      <c r="S15" s="40">
        <v>19829.555200000013</v>
      </c>
      <c r="T15" s="40">
        <v>1374.8224000000012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36224.804558011165</v>
      </c>
      <c r="AB15" s="40">
        <v>0</v>
      </c>
      <c r="AC15" s="40">
        <v>225832.60885978446</v>
      </c>
      <c r="AD15" s="40">
        <v>0</v>
      </c>
      <c r="AE15" s="40">
        <v>0</v>
      </c>
      <c r="AF15" s="40">
        <v>0</v>
      </c>
      <c r="AG15" s="40">
        <v>141970.48000000001</v>
      </c>
      <c r="AH15" s="40">
        <v>0</v>
      </c>
      <c r="AI15" s="40">
        <v>0</v>
      </c>
      <c r="AJ15" s="40">
        <v>52835.33</v>
      </c>
      <c r="AK15" s="40">
        <v>30474.82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1630530.095</v>
      </c>
      <c r="AU15" s="40">
        <v>495992.89981779561</v>
      </c>
      <c r="AV15" s="40">
        <v>225280.63</v>
      </c>
      <c r="AW15" s="40">
        <v>391575.8887137844</v>
      </c>
      <c r="AX15" s="56">
        <v>2351803.6248177956</v>
      </c>
      <c r="AY15" s="56">
        <v>2268493.4748177957</v>
      </c>
      <c r="AZ15" s="56">
        <v>4955</v>
      </c>
      <c r="BA15" s="56">
        <v>2105875</v>
      </c>
      <c r="BB15" s="56">
        <v>0</v>
      </c>
      <c r="BC15" s="56">
        <v>0</v>
      </c>
      <c r="BD15" s="56">
        <v>2351803.6248177956</v>
      </c>
      <c r="BE15" s="40">
        <v>2351803.6248177956</v>
      </c>
      <c r="BF15" s="40">
        <v>0</v>
      </c>
      <c r="BG15" s="56">
        <v>2189185.15</v>
      </c>
      <c r="BH15" s="56">
        <v>1963904.5199999998</v>
      </c>
      <c r="BI15" s="40">
        <v>2126522.9948177957</v>
      </c>
      <c r="BJ15" s="40">
        <v>5003.5835172183424</v>
      </c>
      <c r="BK15" s="40">
        <v>4944.4801283062652</v>
      </c>
      <c r="BL15" s="41">
        <v>1.1953408119434208E-2</v>
      </c>
      <c r="BM15" s="41">
        <v>0</v>
      </c>
      <c r="BN15" s="40">
        <v>0</v>
      </c>
      <c r="BO15" s="56">
        <v>2351803.6248177956</v>
      </c>
      <c r="BP15" s="56">
        <v>5337.6317054536366</v>
      </c>
      <c r="BQ15" s="56" t="s">
        <v>1006</v>
      </c>
      <c r="BR15" s="56">
        <v>5533.6555878065783</v>
      </c>
      <c r="BS15" s="47">
        <v>3.5376057609605827E-2</v>
      </c>
      <c r="BT15" s="40">
        <v>-11084</v>
      </c>
      <c r="BU15" s="40">
        <v>2340719.6248177956</v>
      </c>
      <c r="BV15" s="40">
        <v>0</v>
      </c>
      <c r="BW15" s="40">
        <v>2340719.6248177956</v>
      </c>
      <c r="BX15" s="40">
        <v>30474.82</v>
      </c>
      <c r="BY15" s="40">
        <v>2310244.8048177958</v>
      </c>
    </row>
    <row r="16" spans="1:77">
      <c r="A16">
        <f>_xlfn.XLOOKUP(B16,'Summary Mar 2026'!B:B,'Summary Mar 2026'!A:A,0,0)</f>
        <v>2053</v>
      </c>
      <c r="B16" s="54">
        <v>103188</v>
      </c>
      <c r="C16" s="54">
        <v>3302053</v>
      </c>
      <c r="D16" s="55" t="s">
        <v>111</v>
      </c>
      <c r="E16" s="46">
        <v>480</v>
      </c>
      <c r="F16" s="46">
        <v>480</v>
      </c>
      <c r="G16" s="46">
        <v>0</v>
      </c>
      <c r="H16" s="40">
        <v>1841539.872</v>
      </c>
      <c r="I16" s="40">
        <v>0</v>
      </c>
      <c r="J16" s="40">
        <v>0</v>
      </c>
      <c r="K16" s="40">
        <v>62477.279999999999</v>
      </c>
      <c r="L16" s="40">
        <v>0</v>
      </c>
      <c r="M16" s="40">
        <v>133791.06000000003</v>
      </c>
      <c r="N16" s="40">
        <v>0</v>
      </c>
      <c r="O16" s="40">
        <v>1650.7903999999962</v>
      </c>
      <c r="P16" s="40">
        <v>25454.284800000049</v>
      </c>
      <c r="Q16" s="40">
        <v>4019.0976000000001</v>
      </c>
      <c r="R16" s="40">
        <v>11309.670400000008</v>
      </c>
      <c r="S16" s="40">
        <v>40180.940800000091</v>
      </c>
      <c r="T16" s="40">
        <v>1374.8224000000012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16300.759999999989</v>
      </c>
      <c r="AB16" s="40">
        <v>0</v>
      </c>
      <c r="AC16" s="40">
        <v>159495.05267996213</v>
      </c>
      <c r="AD16" s="40">
        <v>0</v>
      </c>
      <c r="AE16" s="40">
        <v>0</v>
      </c>
      <c r="AF16" s="40">
        <v>0</v>
      </c>
      <c r="AG16" s="40">
        <v>141970.48000000001</v>
      </c>
      <c r="AH16" s="40">
        <v>0</v>
      </c>
      <c r="AI16" s="40">
        <v>0</v>
      </c>
      <c r="AJ16" s="40">
        <v>0</v>
      </c>
      <c r="AK16" s="40">
        <v>20481.73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1841539.872</v>
      </c>
      <c r="AU16" s="40">
        <v>456053.75907996233</v>
      </c>
      <c r="AV16" s="40">
        <v>162452.21000000002</v>
      </c>
      <c r="AW16" s="40">
        <v>352464.90698396217</v>
      </c>
      <c r="AX16" s="56">
        <v>2460045.8410799624</v>
      </c>
      <c r="AY16" s="56">
        <v>2439564.1110799625</v>
      </c>
      <c r="AZ16" s="56">
        <v>4955</v>
      </c>
      <c r="BA16" s="56">
        <v>2378400</v>
      </c>
      <c r="BB16" s="56">
        <v>0</v>
      </c>
      <c r="BC16" s="56">
        <v>0</v>
      </c>
      <c r="BD16" s="56">
        <v>2460045.8410799624</v>
      </c>
      <c r="BE16" s="40">
        <v>2460045.841079962</v>
      </c>
      <c r="BF16" s="40">
        <v>0</v>
      </c>
      <c r="BG16" s="56">
        <v>2398881.73</v>
      </c>
      <c r="BH16" s="56">
        <v>2236429.52</v>
      </c>
      <c r="BI16" s="40">
        <v>2297593.6310799625</v>
      </c>
      <c r="BJ16" s="40">
        <v>4786.6533980832555</v>
      </c>
      <c r="BK16" s="40">
        <v>4747.7937912317329</v>
      </c>
      <c r="BL16" s="41">
        <v>8.1847714033597765E-3</v>
      </c>
      <c r="BM16" s="41">
        <v>0</v>
      </c>
      <c r="BN16" s="40">
        <v>0</v>
      </c>
      <c r="BO16" s="56">
        <v>2460045.8410799624</v>
      </c>
      <c r="BP16" s="56">
        <v>5082.4252314165888</v>
      </c>
      <c r="BQ16" s="56" t="s">
        <v>1006</v>
      </c>
      <c r="BR16" s="56">
        <v>5125.095502249922</v>
      </c>
      <c r="BS16" s="47">
        <v>7.5001923988222696E-3</v>
      </c>
      <c r="BT16" s="40">
        <v>-12518.4</v>
      </c>
      <c r="BU16" s="40">
        <v>2447527.4410799625</v>
      </c>
      <c r="BV16" s="40">
        <v>0</v>
      </c>
      <c r="BW16" s="40">
        <v>2447527.4410799625</v>
      </c>
      <c r="BX16" s="40">
        <v>20481.73</v>
      </c>
      <c r="BY16" s="40">
        <v>2427045.7110799626</v>
      </c>
    </row>
    <row r="17" spans="1:77">
      <c r="A17">
        <f>_xlfn.XLOOKUP(B17,'Summary Mar 2026'!B:B,'Summary Mar 2026'!A:A,0,0)</f>
        <v>2054</v>
      </c>
      <c r="B17" s="54">
        <v>103189</v>
      </c>
      <c r="C17" s="54">
        <v>3302054</v>
      </c>
      <c r="D17" s="55" t="s">
        <v>109</v>
      </c>
      <c r="E17" s="46">
        <v>360</v>
      </c>
      <c r="F17" s="46">
        <v>360</v>
      </c>
      <c r="G17" s="46">
        <v>0</v>
      </c>
      <c r="H17" s="40">
        <v>1381154.9040000001</v>
      </c>
      <c r="I17" s="40">
        <v>0</v>
      </c>
      <c r="J17" s="40">
        <v>0</v>
      </c>
      <c r="K17" s="40">
        <v>32449.439999999981</v>
      </c>
      <c r="L17" s="40">
        <v>0</v>
      </c>
      <c r="M17" s="40">
        <v>69488.379999999961</v>
      </c>
      <c r="N17" s="40">
        <v>0</v>
      </c>
      <c r="O17" s="40">
        <v>235.8272000000002</v>
      </c>
      <c r="P17" s="40">
        <v>17446.195199999955</v>
      </c>
      <c r="Q17" s="40">
        <v>6251.9296000000022</v>
      </c>
      <c r="R17" s="40">
        <v>11309.670400000003</v>
      </c>
      <c r="S17" s="40">
        <v>20351.38559999994</v>
      </c>
      <c r="T17" s="40">
        <v>3437.0560000000032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53268.555000000066</v>
      </c>
      <c r="AB17" s="40">
        <v>0</v>
      </c>
      <c r="AC17" s="40">
        <v>116511.76134453785</v>
      </c>
      <c r="AD17" s="40">
        <v>0</v>
      </c>
      <c r="AE17" s="40">
        <v>0</v>
      </c>
      <c r="AF17" s="40">
        <v>0</v>
      </c>
      <c r="AG17" s="40">
        <v>141970.48000000001</v>
      </c>
      <c r="AH17" s="40">
        <v>0</v>
      </c>
      <c r="AI17" s="40">
        <v>0</v>
      </c>
      <c r="AJ17" s="40">
        <v>0</v>
      </c>
      <c r="AK17" s="40">
        <v>14233.07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1381154.9040000001</v>
      </c>
      <c r="AU17" s="40">
        <v>330750.20034453779</v>
      </c>
      <c r="AV17" s="40">
        <v>156203.55000000002</v>
      </c>
      <c r="AW17" s="40">
        <v>243518.6647845378</v>
      </c>
      <c r="AX17" s="56">
        <v>1868108.654344538</v>
      </c>
      <c r="AY17" s="56">
        <v>1853875.5843445379</v>
      </c>
      <c r="AZ17" s="56">
        <v>4955</v>
      </c>
      <c r="BA17" s="56">
        <v>1783800</v>
      </c>
      <c r="BB17" s="56">
        <v>0</v>
      </c>
      <c r="BC17" s="56">
        <v>0</v>
      </c>
      <c r="BD17" s="56">
        <v>1868108.654344538</v>
      </c>
      <c r="BE17" s="40">
        <v>1868108.6543445378</v>
      </c>
      <c r="BF17" s="40">
        <v>0</v>
      </c>
      <c r="BG17" s="56">
        <v>1798033.07</v>
      </c>
      <c r="BH17" s="56">
        <v>1641829.52</v>
      </c>
      <c r="BI17" s="40">
        <v>1711905.1043445379</v>
      </c>
      <c r="BJ17" s="40">
        <v>4755.2919565126058</v>
      </c>
      <c r="BK17" s="40">
        <v>4827.4035777158779</v>
      </c>
      <c r="BL17" s="41">
        <v>-1.4937972357677257E-2</v>
      </c>
      <c r="BM17" s="41">
        <v>1.4937972357677257E-2</v>
      </c>
      <c r="BN17" s="40">
        <v>25960.183633177949</v>
      </c>
      <c r="BO17" s="56">
        <v>1894068.837977716</v>
      </c>
      <c r="BP17" s="56">
        <v>5221.7660221603219</v>
      </c>
      <c r="BQ17" s="56" t="s">
        <v>1006</v>
      </c>
      <c r="BR17" s="56">
        <v>5261.3023277158782</v>
      </c>
      <c r="BS17" s="47">
        <v>-2.2966823726133789E-4</v>
      </c>
      <c r="BT17" s="40">
        <v>-9388.7999999999993</v>
      </c>
      <c r="BU17" s="40">
        <v>1884680.037977716</v>
      </c>
      <c r="BV17" s="40">
        <v>0</v>
      </c>
      <c r="BW17" s="40">
        <v>1884680.037977716</v>
      </c>
      <c r="BX17" s="40">
        <v>14233.07</v>
      </c>
      <c r="BY17" s="40">
        <v>1870446.9679777159</v>
      </c>
    </row>
    <row r="18" spans="1:77">
      <c r="A18">
        <f>_xlfn.XLOOKUP(B18,'Summary Mar 2026'!B:B,'Summary Mar 2026'!A:A,0,0)</f>
        <v>2055</v>
      </c>
      <c r="B18" s="54">
        <v>103190</v>
      </c>
      <c r="C18" s="54">
        <v>3302055</v>
      </c>
      <c r="D18" s="55" t="s">
        <v>115</v>
      </c>
      <c r="E18" s="46">
        <v>414</v>
      </c>
      <c r="F18" s="46">
        <v>414</v>
      </c>
      <c r="G18" s="46">
        <v>0</v>
      </c>
      <c r="H18" s="40">
        <v>1588328.1396000001</v>
      </c>
      <c r="I18" s="40">
        <v>0</v>
      </c>
      <c r="J18" s="40">
        <v>0</v>
      </c>
      <c r="K18" s="40">
        <v>51822.239999999954</v>
      </c>
      <c r="L18" s="40">
        <v>0</v>
      </c>
      <c r="M18" s="40">
        <v>113048.25999999985</v>
      </c>
      <c r="N18" s="40">
        <v>0</v>
      </c>
      <c r="O18" s="40">
        <v>3065.7536000000023</v>
      </c>
      <c r="P18" s="40">
        <v>28600.320000000029</v>
      </c>
      <c r="Q18" s="40">
        <v>9824.4608000000026</v>
      </c>
      <c r="R18" s="40">
        <v>7867.5968000000039</v>
      </c>
      <c r="S18" s="40">
        <v>18264.064000000009</v>
      </c>
      <c r="T18" s="40">
        <v>15810.457600000012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17853.213333333337</v>
      </c>
      <c r="AB18" s="40">
        <v>0</v>
      </c>
      <c r="AC18" s="40">
        <v>120671.60892742057</v>
      </c>
      <c r="AD18" s="40">
        <v>0</v>
      </c>
      <c r="AE18" s="40">
        <v>0</v>
      </c>
      <c r="AF18" s="40">
        <v>0</v>
      </c>
      <c r="AG18" s="40">
        <v>141970.48000000001</v>
      </c>
      <c r="AH18" s="40">
        <v>0</v>
      </c>
      <c r="AI18" s="40">
        <v>0</v>
      </c>
      <c r="AJ18" s="40">
        <v>0</v>
      </c>
      <c r="AK18" s="40">
        <v>27824.83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1588328.1396000001</v>
      </c>
      <c r="AU18" s="40">
        <v>386827.97506075376</v>
      </c>
      <c r="AV18" s="40">
        <v>169795.31</v>
      </c>
      <c r="AW18" s="40">
        <v>289477.15091542056</v>
      </c>
      <c r="AX18" s="56">
        <v>2144951.4246607539</v>
      </c>
      <c r="AY18" s="56">
        <v>2117126.5946607538</v>
      </c>
      <c r="AZ18" s="56">
        <v>4955</v>
      </c>
      <c r="BA18" s="56">
        <v>2051370</v>
      </c>
      <c r="BB18" s="56">
        <v>0</v>
      </c>
      <c r="BC18" s="56">
        <v>0</v>
      </c>
      <c r="BD18" s="56">
        <v>2144951.4246607539</v>
      </c>
      <c r="BE18" s="40">
        <v>2144951.4246607539</v>
      </c>
      <c r="BF18" s="40">
        <v>0</v>
      </c>
      <c r="BG18" s="56">
        <v>2079194.83</v>
      </c>
      <c r="BH18" s="56">
        <v>1909399.52</v>
      </c>
      <c r="BI18" s="40">
        <v>1975156.1146607539</v>
      </c>
      <c r="BJ18" s="40">
        <v>4770.9084895187289</v>
      </c>
      <c r="BK18" s="40">
        <v>4941.3747749403337</v>
      </c>
      <c r="BL18" s="41">
        <v>-3.4497744693664373E-2</v>
      </c>
      <c r="BM18" s="41">
        <v>3.4497744693664373E-2</v>
      </c>
      <c r="BN18" s="40">
        <v>70573.042164544415</v>
      </c>
      <c r="BO18" s="56">
        <v>2215524.4668252985</v>
      </c>
      <c r="BP18" s="56">
        <v>5284.2986396746337</v>
      </c>
      <c r="BQ18" s="56" t="s">
        <v>1006</v>
      </c>
      <c r="BR18" s="56">
        <v>5351.5083739741513</v>
      </c>
      <c r="BS18" s="47">
        <v>9.1538224553566749E-4</v>
      </c>
      <c r="BT18" s="40">
        <v>-10797.119999999999</v>
      </c>
      <c r="BU18" s="40">
        <v>2204727.3468252984</v>
      </c>
      <c r="BV18" s="40">
        <v>0</v>
      </c>
      <c r="BW18" s="40">
        <v>2204727.3468252984</v>
      </c>
      <c r="BX18" s="40">
        <v>27824.83</v>
      </c>
      <c r="BY18" s="40">
        <v>2176902.5168252983</v>
      </c>
    </row>
    <row r="19" spans="1:77">
      <c r="A19">
        <f>_xlfn.XLOOKUP(B19,'Summary Mar 2026'!B:B,'Summary Mar 2026'!A:A,0,0)</f>
        <v>2062</v>
      </c>
      <c r="B19" s="54">
        <v>103192</v>
      </c>
      <c r="C19" s="54">
        <v>3302062</v>
      </c>
      <c r="D19" s="55" t="s">
        <v>40</v>
      </c>
      <c r="E19" s="46">
        <v>393</v>
      </c>
      <c r="F19" s="46">
        <v>393</v>
      </c>
      <c r="G19" s="46">
        <v>0</v>
      </c>
      <c r="H19" s="40">
        <v>1507760.7701999999</v>
      </c>
      <c r="I19" s="40">
        <v>0</v>
      </c>
      <c r="J19" s="40">
        <v>0</v>
      </c>
      <c r="K19" s="40">
        <v>100738.56000000001</v>
      </c>
      <c r="L19" s="40">
        <v>0</v>
      </c>
      <c r="M19" s="40">
        <v>216762.25999999983</v>
      </c>
      <c r="N19" s="40">
        <v>0</v>
      </c>
      <c r="O19" s="40">
        <v>16979.558400000002</v>
      </c>
      <c r="P19" s="40">
        <v>13442.150399999984</v>
      </c>
      <c r="Q19" s="40">
        <v>16076.3904</v>
      </c>
      <c r="R19" s="40">
        <v>63432.499199999947</v>
      </c>
      <c r="S19" s="40">
        <v>32353.484800000031</v>
      </c>
      <c r="T19" s="40">
        <v>13748.224000000006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111751.40141618508</v>
      </c>
      <c r="AB19" s="40">
        <v>0</v>
      </c>
      <c r="AC19" s="40">
        <v>218433.57050431479</v>
      </c>
      <c r="AD19" s="40">
        <v>0</v>
      </c>
      <c r="AE19" s="40">
        <v>21168.739800000134</v>
      </c>
      <c r="AF19" s="40">
        <v>0</v>
      </c>
      <c r="AG19" s="40">
        <v>141970.48000000001</v>
      </c>
      <c r="AH19" s="40">
        <v>0</v>
      </c>
      <c r="AI19" s="40">
        <v>0</v>
      </c>
      <c r="AJ19" s="40">
        <v>0</v>
      </c>
      <c r="AK19" s="40">
        <v>48655.93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1507760.7701999999</v>
      </c>
      <c r="AU19" s="40">
        <v>824886.83892049966</v>
      </c>
      <c r="AV19" s="40">
        <v>190626.41</v>
      </c>
      <c r="AW19" s="40">
        <v>464293.53480631474</v>
      </c>
      <c r="AX19" s="56">
        <v>2523274.0191204995</v>
      </c>
      <c r="AY19" s="56">
        <v>2474618.0891204993</v>
      </c>
      <c r="AZ19" s="56">
        <v>4955</v>
      </c>
      <c r="BA19" s="56">
        <v>1947315</v>
      </c>
      <c r="BB19" s="56">
        <v>0</v>
      </c>
      <c r="BC19" s="56">
        <v>0</v>
      </c>
      <c r="BD19" s="56">
        <v>2523274.0191204995</v>
      </c>
      <c r="BE19" s="40">
        <v>2523274.0191204995</v>
      </c>
      <c r="BF19" s="40">
        <v>0</v>
      </c>
      <c r="BG19" s="56">
        <v>1995970.93</v>
      </c>
      <c r="BH19" s="56">
        <v>1805344.52</v>
      </c>
      <c r="BI19" s="40">
        <v>2332647.6091204993</v>
      </c>
      <c r="BJ19" s="40">
        <v>5935.4900995432554</v>
      </c>
      <c r="BK19" s="40">
        <v>5905.21351862745</v>
      </c>
      <c r="BL19" s="41">
        <v>5.1270933422306831E-3</v>
      </c>
      <c r="BM19" s="41">
        <v>0</v>
      </c>
      <c r="BN19" s="40">
        <v>0</v>
      </c>
      <c r="BO19" s="56">
        <v>2523274.0191204995</v>
      </c>
      <c r="BP19" s="56">
        <v>6296.7381402557239</v>
      </c>
      <c r="BQ19" s="56" t="s">
        <v>1006</v>
      </c>
      <c r="BR19" s="56">
        <v>6420.5445779147567</v>
      </c>
      <c r="BS19" s="47">
        <v>7.5496204051150873E-3</v>
      </c>
      <c r="BT19" s="40">
        <v>-10249.439999999999</v>
      </c>
      <c r="BU19" s="40">
        <v>2513024.5791204995</v>
      </c>
      <c r="BV19" s="40">
        <v>0</v>
      </c>
      <c r="BW19" s="40">
        <v>2513024.5791204995</v>
      </c>
      <c r="BX19" s="40">
        <v>48655.93</v>
      </c>
      <c r="BY19" s="40">
        <v>2464368.6491204994</v>
      </c>
    </row>
    <row r="20" spans="1:77">
      <c r="A20">
        <f>_xlfn.XLOOKUP(B20,'Summary Mar 2026'!B:B,'Summary Mar 2026'!A:A,0,0)</f>
        <v>2063</v>
      </c>
      <c r="B20" s="54">
        <v>103193</v>
      </c>
      <c r="C20" s="54">
        <v>3302063</v>
      </c>
      <c r="D20" s="55" t="s">
        <v>233</v>
      </c>
      <c r="E20" s="46">
        <v>379</v>
      </c>
      <c r="F20" s="46">
        <v>379</v>
      </c>
      <c r="G20" s="46">
        <v>0</v>
      </c>
      <c r="H20" s="40">
        <v>1454049.1906000001</v>
      </c>
      <c r="I20" s="40">
        <v>0</v>
      </c>
      <c r="J20" s="40">
        <v>0</v>
      </c>
      <c r="K20" s="40">
        <v>120595.68000000005</v>
      </c>
      <c r="L20" s="40">
        <v>0</v>
      </c>
      <c r="M20" s="40">
        <v>258247.86000000013</v>
      </c>
      <c r="N20" s="40">
        <v>0</v>
      </c>
      <c r="O20" s="40">
        <v>2594.0992000000028</v>
      </c>
      <c r="P20" s="40">
        <v>5720.0640000000039</v>
      </c>
      <c r="Q20" s="40">
        <v>48675.7376</v>
      </c>
      <c r="R20" s="40">
        <v>15243.468799999995</v>
      </c>
      <c r="S20" s="40">
        <v>97582.284799999921</v>
      </c>
      <c r="T20" s="40">
        <v>8936.3455999999933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94656.269063444051</v>
      </c>
      <c r="AB20" s="40">
        <v>0</v>
      </c>
      <c r="AC20" s="40">
        <v>168236.80220749034</v>
      </c>
      <c r="AD20" s="40">
        <v>0</v>
      </c>
      <c r="AE20" s="40">
        <v>0</v>
      </c>
      <c r="AF20" s="40">
        <v>0</v>
      </c>
      <c r="AG20" s="40">
        <v>141970.48000000001</v>
      </c>
      <c r="AH20" s="40">
        <v>0</v>
      </c>
      <c r="AI20" s="40">
        <v>0</v>
      </c>
      <c r="AJ20" s="40">
        <v>0</v>
      </c>
      <c r="AK20" s="40">
        <v>60475.18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1454049.1906000001</v>
      </c>
      <c r="AU20" s="40">
        <v>820488.61127093446</v>
      </c>
      <c r="AV20" s="40">
        <v>202445.66</v>
      </c>
      <c r="AW20" s="40">
        <v>441673.65613749041</v>
      </c>
      <c r="AX20" s="56">
        <v>2476983.4618709348</v>
      </c>
      <c r="AY20" s="56">
        <v>2416508.2818709346</v>
      </c>
      <c r="AZ20" s="56">
        <v>4955</v>
      </c>
      <c r="BA20" s="56">
        <v>1877945</v>
      </c>
      <c r="BB20" s="56">
        <v>0</v>
      </c>
      <c r="BC20" s="56">
        <v>0</v>
      </c>
      <c r="BD20" s="56">
        <v>2476983.4618709348</v>
      </c>
      <c r="BE20" s="40">
        <v>2476983.4618709348</v>
      </c>
      <c r="BF20" s="40">
        <v>0</v>
      </c>
      <c r="BG20" s="56">
        <v>1938420.18</v>
      </c>
      <c r="BH20" s="56">
        <v>1735974.52</v>
      </c>
      <c r="BI20" s="40">
        <v>2274537.8018709347</v>
      </c>
      <c r="BJ20" s="40">
        <v>6001.419002297981</v>
      </c>
      <c r="BK20" s="40">
        <v>5935.915305651105</v>
      </c>
      <c r="BL20" s="41">
        <v>1.1035146775850269E-2</v>
      </c>
      <c r="BM20" s="41">
        <v>0</v>
      </c>
      <c r="BN20" s="40">
        <v>0</v>
      </c>
      <c r="BO20" s="56">
        <v>2476983.4618709348</v>
      </c>
      <c r="BP20" s="56">
        <v>6376.0112978124926</v>
      </c>
      <c r="BQ20" s="56" t="s">
        <v>1006</v>
      </c>
      <c r="BR20" s="56">
        <v>6535.5764165460023</v>
      </c>
      <c r="BS20" s="47">
        <v>1.7357137836291781E-2</v>
      </c>
      <c r="BT20" s="40">
        <v>-9884.32</v>
      </c>
      <c r="BU20" s="40">
        <v>2467099.141870935</v>
      </c>
      <c r="BV20" s="40">
        <v>0</v>
      </c>
      <c r="BW20" s="40">
        <v>2467099.141870935</v>
      </c>
      <c r="BX20" s="40">
        <v>60475.18</v>
      </c>
      <c r="BY20" s="40">
        <v>2406623.9618709348</v>
      </c>
    </row>
    <row r="21" spans="1:77">
      <c r="A21">
        <f>_xlfn.XLOOKUP(B21,'Summary Mar 2026'!B:B,'Summary Mar 2026'!A:A,0,0)</f>
        <v>2081</v>
      </c>
      <c r="B21" s="54">
        <v>103201</v>
      </c>
      <c r="C21" s="54">
        <v>3302081</v>
      </c>
      <c r="D21" s="55" t="s">
        <v>133</v>
      </c>
      <c r="E21" s="46">
        <v>417</v>
      </c>
      <c r="F21" s="46">
        <v>417</v>
      </c>
      <c r="G21" s="46">
        <v>0</v>
      </c>
      <c r="H21" s="40">
        <v>1599837.7638000001</v>
      </c>
      <c r="I21" s="40">
        <v>0</v>
      </c>
      <c r="J21" s="40">
        <v>0</v>
      </c>
      <c r="K21" s="40">
        <v>75069.599999999948</v>
      </c>
      <c r="L21" s="40">
        <v>0</v>
      </c>
      <c r="M21" s="40">
        <v>160756.6999999999</v>
      </c>
      <c r="N21" s="40">
        <v>0</v>
      </c>
      <c r="O21" s="40">
        <v>10401.340061538483</v>
      </c>
      <c r="P21" s="40">
        <v>10034.174769230771</v>
      </c>
      <c r="Q21" s="40">
        <v>1790.5595076923082</v>
      </c>
      <c r="R21" s="40">
        <v>6900.6956307692408</v>
      </c>
      <c r="S21" s="40">
        <v>4707.763200000004</v>
      </c>
      <c r="T21" s="40">
        <v>1378.1272615384621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25768.340279329594</v>
      </c>
      <c r="AB21" s="40">
        <v>0</v>
      </c>
      <c r="AC21" s="40">
        <v>117807.29982437562</v>
      </c>
      <c r="AD21" s="40">
        <v>0</v>
      </c>
      <c r="AE21" s="40">
        <v>0</v>
      </c>
      <c r="AF21" s="40">
        <v>0</v>
      </c>
      <c r="AG21" s="40">
        <v>141970.48000000001</v>
      </c>
      <c r="AH21" s="40">
        <v>0</v>
      </c>
      <c r="AI21" s="40">
        <v>0</v>
      </c>
      <c r="AJ21" s="40">
        <v>0</v>
      </c>
      <c r="AK21" s="40">
        <v>41339.75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1599837.7638000001</v>
      </c>
      <c r="AU21" s="40">
        <v>414614.60053447424</v>
      </c>
      <c r="AV21" s="40">
        <v>183310.23</v>
      </c>
      <c r="AW21" s="40">
        <v>295373.21376945247</v>
      </c>
      <c r="AX21" s="56">
        <v>2197762.5943344743</v>
      </c>
      <c r="AY21" s="56">
        <v>2156422.8443344743</v>
      </c>
      <c r="AZ21" s="56">
        <v>4955</v>
      </c>
      <c r="BA21" s="56">
        <v>2066235</v>
      </c>
      <c r="BB21" s="56">
        <v>0</v>
      </c>
      <c r="BC21" s="56">
        <v>0</v>
      </c>
      <c r="BD21" s="56">
        <v>2197762.5943344743</v>
      </c>
      <c r="BE21" s="40">
        <v>2197762.5943344743</v>
      </c>
      <c r="BF21" s="40">
        <v>0</v>
      </c>
      <c r="BG21" s="56">
        <v>2107574.75</v>
      </c>
      <c r="BH21" s="56">
        <v>1924264.52</v>
      </c>
      <c r="BI21" s="40">
        <v>2014452.3643344743</v>
      </c>
      <c r="BJ21" s="40">
        <v>4830.821017588667</v>
      </c>
      <c r="BK21" s="40">
        <v>4810.8647375598084</v>
      </c>
      <c r="BL21" s="41">
        <v>4.148169012746122E-3</v>
      </c>
      <c r="BM21" s="41">
        <v>0</v>
      </c>
      <c r="BN21" s="40">
        <v>0</v>
      </c>
      <c r="BO21" s="56">
        <v>2197762.5943344743</v>
      </c>
      <c r="BP21" s="56">
        <v>5171.2778041594111</v>
      </c>
      <c r="BQ21" s="56" t="s">
        <v>1006</v>
      </c>
      <c r="BR21" s="56">
        <v>5270.4138952865087</v>
      </c>
      <c r="BS21" s="47">
        <v>4.0019647557205662E-3</v>
      </c>
      <c r="BT21" s="40">
        <v>-10875.359999999999</v>
      </c>
      <c r="BU21" s="40">
        <v>2186887.2343344744</v>
      </c>
      <c r="BV21" s="40">
        <v>0</v>
      </c>
      <c r="BW21" s="40">
        <v>2186887.2343344744</v>
      </c>
      <c r="BX21" s="40">
        <v>41339.75</v>
      </c>
      <c r="BY21" s="40">
        <v>2145547.4843344744</v>
      </c>
    </row>
    <row r="22" spans="1:77">
      <c r="A22">
        <f>_xlfn.XLOOKUP(B22,'Summary Mar 2026'!B:B,'Summary Mar 2026'!A:A,0,0)</f>
        <v>2087</v>
      </c>
      <c r="B22" s="54">
        <v>103205</v>
      </c>
      <c r="C22" s="54">
        <v>3302087</v>
      </c>
      <c r="D22" s="55" t="s">
        <v>141</v>
      </c>
      <c r="E22" s="46">
        <v>339</v>
      </c>
      <c r="F22" s="46">
        <v>339</v>
      </c>
      <c r="G22" s="46">
        <v>0</v>
      </c>
      <c r="H22" s="40">
        <v>1300587.5346000001</v>
      </c>
      <c r="I22" s="40">
        <v>0</v>
      </c>
      <c r="J22" s="40">
        <v>0</v>
      </c>
      <c r="K22" s="40">
        <v>87661.919999999955</v>
      </c>
      <c r="L22" s="40">
        <v>0</v>
      </c>
      <c r="M22" s="40">
        <v>193945.18000000002</v>
      </c>
      <c r="N22" s="40">
        <v>0</v>
      </c>
      <c r="O22" s="40">
        <v>9904.7424000000392</v>
      </c>
      <c r="P22" s="40">
        <v>11440.127999999975</v>
      </c>
      <c r="Q22" s="40">
        <v>32599.347199999986</v>
      </c>
      <c r="R22" s="40">
        <v>45238.681599999996</v>
      </c>
      <c r="S22" s="40">
        <v>17220.403199999997</v>
      </c>
      <c r="T22" s="40">
        <v>17185.280000000002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28102.419805825142</v>
      </c>
      <c r="AB22" s="40">
        <v>0</v>
      </c>
      <c r="AC22" s="40">
        <v>185696.2464367286</v>
      </c>
      <c r="AD22" s="40">
        <v>0</v>
      </c>
      <c r="AE22" s="40">
        <v>19506.965400000041</v>
      </c>
      <c r="AF22" s="40">
        <v>0</v>
      </c>
      <c r="AG22" s="40">
        <v>141970.48000000001</v>
      </c>
      <c r="AH22" s="40">
        <v>0</v>
      </c>
      <c r="AI22" s="40">
        <v>0</v>
      </c>
      <c r="AJ22" s="40">
        <v>0</v>
      </c>
      <c r="AK22" s="40">
        <v>25826.99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1300587.5346000001</v>
      </c>
      <c r="AU22" s="40">
        <v>648501.31404255377</v>
      </c>
      <c r="AV22" s="40">
        <v>167797.47</v>
      </c>
      <c r="AW22" s="40">
        <v>400196.06883072859</v>
      </c>
      <c r="AX22" s="56">
        <v>2116886.3186425539</v>
      </c>
      <c r="AY22" s="56">
        <v>2091059.3286425539</v>
      </c>
      <c r="AZ22" s="56">
        <v>4955</v>
      </c>
      <c r="BA22" s="56">
        <v>1679745</v>
      </c>
      <c r="BB22" s="56">
        <v>0</v>
      </c>
      <c r="BC22" s="56">
        <v>0</v>
      </c>
      <c r="BD22" s="56">
        <v>2116886.3186425539</v>
      </c>
      <c r="BE22" s="40">
        <v>2116886.3186425543</v>
      </c>
      <c r="BF22" s="40">
        <v>0</v>
      </c>
      <c r="BG22" s="56">
        <v>1705571.99</v>
      </c>
      <c r="BH22" s="56">
        <v>1537774.52</v>
      </c>
      <c r="BI22" s="40">
        <v>1949088.8486425539</v>
      </c>
      <c r="BJ22" s="40">
        <v>5749.5246272641707</v>
      </c>
      <c r="BK22" s="40">
        <v>5763.3002313019388</v>
      </c>
      <c r="BL22" s="41">
        <v>-2.390228425538076E-3</v>
      </c>
      <c r="BM22" s="41">
        <v>2.390228425538076E-3</v>
      </c>
      <c r="BN22" s="40">
        <v>4669.929768803373</v>
      </c>
      <c r="BO22" s="56">
        <v>2121556.2484113574</v>
      </c>
      <c r="BP22" s="56">
        <v>6182.0922077031191</v>
      </c>
      <c r="BQ22" s="56" t="s">
        <v>1006</v>
      </c>
      <c r="BR22" s="56">
        <v>6258.2780189125588</v>
      </c>
      <c r="BS22" s="47">
        <v>4.8433370606530968E-3</v>
      </c>
      <c r="BT22" s="40">
        <v>-8841.119999999999</v>
      </c>
      <c r="BU22" s="40">
        <v>2112715.1284113573</v>
      </c>
      <c r="BV22" s="40">
        <v>0</v>
      </c>
      <c r="BW22" s="40">
        <v>2112715.1284113573</v>
      </c>
      <c r="BX22" s="40">
        <v>25826.99</v>
      </c>
      <c r="BY22" s="40">
        <v>2086888.1384113573</v>
      </c>
    </row>
    <row r="23" spans="1:77">
      <c r="A23">
        <f>_xlfn.XLOOKUP(B23,'Summary Mar 2026'!B:B,'Summary Mar 2026'!A:A,0,0)</f>
        <v>2091</v>
      </c>
      <c r="B23" s="54">
        <v>103208</v>
      </c>
      <c r="C23" s="54">
        <v>3302091</v>
      </c>
      <c r="D23" s="55" t="s">
        <v>381</v>
      </c>
      <c r="E23" s="46">
        <v>186</v>
      </c>
      <c r="F23" s="46">
        <v>186</v>
      </c>
      <c r="G23" s="46">
        <v>0</v>
      </c>
      <c r="H23" s="40">
        <v>713596.70039999997</v>
      </c>
      <c r="I23" s="40">
        <v>0</v>
      </c>
      <c r="J23" s="40">
        <v>0</v>
      </c>
      <c r="K23" s="40">
        <v>44557.440000000046</v>
      </c>
      <c r="L23" s="40">
        <v>0</v>
      </c>
      <c r="M23" s="40">
        <v>97491.160000000091</v>
      </c>
      <c r="N23" s="40">
        <v>0</v>
      </c>
      <c r="O23" s="40">
        <v>17922.867199999982</v>
      </c>
      <c r="P23" s="40">
        <v>1144.0127999999988</v>
      </c>
      <c r="Q23" s="40">
        <v>893.13279999999907</v>
      </c>
      <c r="R23" s="40">
        <v>29503.487999999968</v>
      </c>
      <c r="S23" s="40">
        <v>8871.1168000000016</v>
      </c>
      <c r="T23" s="40">
        <v>6874.1120000000064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18917.01795180724</v>
      </c>
      <c r="AB23" s="40">
        <v>0</v>
      </c>
      <c r="AC23" s="40">
        <v>91470.118325449352</v>
      </c>
      <c r="AD23" s="40">
        <v>0</v>
      </c>
      <c r="AE23" s="40">
        <v>8551.8982956521668</v>
      </c>
      <c r="AF23" s="40">
        <v>0</v>
      </c>
      <c r="AG23" s="40">
        <v>141970.48000000001</v>
      </c>
      <c r="AH23" s="40">
        <v>0</v>
      </c>
      <c r="AI23" s="40">
        <v>0</v>
      </c>
      <c r="AJ23" s="40">
        <v>0</v>
      </c>
      <c r="AK23" s="40">
        <v>16916.68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713596.70039999997</v>
      </c>
      <c r="AU23" s="40">
        <v>326196.36417290883</v>
      </c>
      <c r="AV23" s="40">
        <v>158887.16</v>
      </c>
      <c r="AW23" s="40">
        <v>201762.59200144937</v>
      </c>
      <c r="AX23" s="56">
        <v>1198680.2245729088</v>
      </c>
      <c r="AY23" s="56">
        <v>1181763.5445729089</v>
      </c>
      <c r="AZ23" s="56">
        <v>4955</v>
      </c>
      <c r="BA23" s="56">
        <v>921630</v>
      </c>
      <c r="BB23" s="56">
        <v>0</v>
      </c>
      <c r="BC23" s="56">
        <v>0</v>
      </c>
      <c r="BD23" s="56">
        <v>1198680.2245729088</v>
      </c>
      <c r="BE23" s="40">
        <v>1198680.2245729086</v>
      </c>
      <c r="BF23" s="40">
        <v>0</v>
      </c>
      <c r="BG23" s="56">
        <v>938546.68</v>
      </c>
      <c r="BH23" s="56">
        <v>779659.52</v>
      </c>
      <c r="BI23" s="40">
        <v>1039793.0645729088</v>
      </c>
      <c r="BJ23" s="40">
        <v>5590.2852934027351</v>
      </c>
      <c r="BK23" s="40">
        <v>5530.5149247191021</v>
      </c>
      <c r="BL23" s="41">
        <v>1.0807378607095757E-2</v>
      </c>
      <c r="BM23" s="41">
        <v>0</v>
      </c>
      <c r="BN23" s="40">
        <v>0</v>
      </c>
      <c r="BO23" s="56">
        <v>1198680.2245729088</v>
      </c>
      <c r="BP23" s="56">
        <v>6353.5674439403701</v>
      </c>
      <c r="BQ23" s="56" t="s">
        <v>1006</v>
      </c>
      <c r="BR23" s="56">
        <v>6444.517336413488</v>
      </c>
      <c r="BS23" s="47">
        <v>3.3282661199585117E-3</v>
      </c>
      <c r="BT23" s="40">
        <v>-4850.88</v>
      </c>
      <c r="BU23" s="40">
        <v>1193829.3445729089</v>
      </c>
      <c r="BV23" s="40">
        <v>0</v>
      </c>
      <c r="BW23" s="40">
        <v>1193829.3445729089</v>
      </c>
      <c r="BX23" s="40">
        <v>16916.68</v>
      </c>
      <c r="BY23" s="40">
        <v>1176912.664572909</v>
      </c>
    </row>
    <row r="24" spans="1:77">
      <c r="A24">
        <f>_xlfn.XLOOKUP(B24,'Summary Mar 2026'!B:B,'Summary Mar 2026'!A:A,0,0)</f>
        <v>2092</v>
      </c>
      <c r="B24" s="54">
        <v>103209</v>
      </c>
      <c r="C24" s="54">
        <v>3302092</v>
      </c>
      <c r="D24" s="55" t="s">
        <v>147</v>
      </c>
      <c r="E24" s="46">
        <v>484</v>
      </c>
      <c r="F24" s="46">
        <v>484</v>
      </c>
      <c r="G24" s="46">
        <v>0</v>
      </c>
      <c r="H24" s="40">
        <v>1856886.0375999999</v>
      </c>
      <c r="I24" s="40">
        <v>0</v>
      </c>
      <c r="J24" s="40">
        <v>0</v>
      </c>
      <c r="K24" s="40">
        <v>81365.760000000009</v>
      </c>
      <c r="L24" s="40">
        <v>0</v>
      </c>
      <c r="M24" s="40">
        <v>176313.80000000022</v>
      </c>
      <c r="N24" s="40">
        <v>0</v>
      </c>
      <c r="O24" s="40">
        <v>11579.457298550744</v>
      </c>
      <c r="P24" s="40">
        <v>18342.101704347846</v>
      </c>
      <c r="Q24" s="40">
        <v>4474.9096811594191</v>
      </c>
      <c r="R24" s="40">
        <v>5420.1715014492738</v>
      </c>
      <c r="S24" s="40">
        <v>7320.7511188405779</v>
      </c>
      <c r="T24" s="40">
        <v>1377.6688231884052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12225.569999999994</v>
      </c>
      <c r="AB24" s="40">
        <v>0</v>
      </c>
      <c r="AC24" s="40">
        <v>133535.06220662413</v>
      </c>
      <c r="AD24" s="40">
        <v>0</v>
      </c>
      <c r="AE24" s="40">
        <v>0</v>
      </c>
      <c r="AF24" s="40">
        <v>0</v>
      </c>
      <c r="AG24" s="40">
        <v>141970.48000000001</v>
      </c>
      <c r="AH24" s="40">
        <v>0</v>
      </c>
      <c r="AI24" s="40">
        <v>0</v>
      </c>
      <c r="AJ24" s="40">
        <v>0</v>
      </c>
      <c r="AK24" s="40">
        <v>27754.63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1856886.0375999999</v>
      </c>
      <c r="AU24" s="40">
        <v>451955.25233416061</v>
      </c>
      <c r="AV24" s="40">
        <v>169725.11000000002</v>
      </c>
      <c r="AW24" s="40">
        <v>336609.42733253725</v>
      </c>
      <c r="AX24" s="56">
        <v>2478566.3999341605</v>
      </c>
      <c r="AY24" s="56">
        <v>2450811.7699341606</v>
      </c>
      <c r="AZ24" s="56">
        <v>4955</v>
      </c>
      <c r="BA24" s="56">
        <v>2398220</v>
      </c>
      <c r="BB24" s="56">
        <v>0</v>
      </c>
      <c r="BC24" s="56">
        <v>0</v>
      </c>
      <c r="BD24" s="56">
        <v>2478566.3999341605</v>
      </c>
      <c r="BE24" s="40">
        <v>2478566.3999341605</v>
      </c>
      <c r="BF24" s="40">
        <v>0</v>
      </c>
      <c r="BG24" s="56">
        <v>2425974.63</v>
      </c>
      <c r="BH24" s="56">
        <v>2256249.52</v>
      </c>
      <c r="BI24" s="40">
        <v>2308841.2899341607</v>
      </c>
      <c r="BJ24" s="40">
        <v>4770.333243665621</v>
      </c>
      <c r="BK24" s="40">
        <v>4765.7198303719015</v>
      </c>
      <c r="BL24" s="41">
        <v>9.6804123152986852E-4</v>
      </c>
      <c r="BM24" s="41">
        <v>0</v>
      </c>
      <c r="BN24" s="40">
        <v>0</v>
      </c>
      <c r="BO24" s="56">
        <v>2478566.3999341605</v>
      </c>
      <c r="BP24" s="56">
        <v>5063.6606816821504</v>
      </c>
      <c r="BQ24" s="56" t="s">
        <v>1006</v>
      </c>
      <c r="BR24" s="56">
        <v>5121.0049585416537</v>
      </c>
      <c r="BS24" s="47">
        <v>9.016927756446691E-4</v>
      </c>
      <c r="BT24" s="40">
        <v>-12622.72</v>
      </c>
      <c r="BU24" s="40">
        <v>2465943.6799341603</v>
      </c>
      <c r="BV24" s="40">
        <v>0</v>
      </c>
      <c r="BW24" s="40">
        <v>2465943.6799341603</v>
      </c>
      <c r="BX24" s="40">
        <v>27754.63</v>
      </c>
      <c r="BY24" s="40">
        <v>2438189.0499341604</v>
      </c>
    </row>
    <row r="25" spans="1:77">
      <c r="A25">
        <f>_xlfn.XLOOKUP(B25,'Summary Mar 2026'!B:B,'Summary Mar 2026'!A:A,0,0)</f>
        <v>2093</v>
      </c>
      <c r="B25" s="54">
        <v>103210</v>
      </c>
      <c r="C25" s="54">
        <v>3302093</v>
      </c>
      <c r="D25" s="55" t="s">
        <v>145</v>
      </c>
      <c r="E25" s="46">
        <v>360</v>
      </c>
      <c r="F25" s="46">
        <v>360</v>
      </c>
      <c r="G25" s="46">
        <v>0</v>
      </c>
      <c r="H25" s="40">
        <v>1381154.9040000001</v>
      </c>
      <c r="I25" s="40">
        <v>0</v>
      </c>
      <c r="J25" s="40">
        <v>0</v>
      </c>
      <c r="K25" s="40">
        <v>35355.360000000044</v>
      </c>
      <c r="L25" s="40">
        <v>0</v>
      </c>
      <c r="M25" s="40">
        <v>76748.360000000175</v>
      </c>
      <c r="N25" s="40">
        <v>0</v>
      </c>
      <c r="O25" s="40">
        <v>9197.2607999999709</v>
      </c>
      <c r="P25" s="40">
        <v>11726.131200000013</v>
      </c>
      <c r="Q25" s="40">
        <v>3572.5311999999958</v>
      </c>
      <c r="R25" s="40">
        <v>2950.3488000000061</v>
      </c>
      <c r="S25" s="40">
        <v>5218.3040000000055</v>
      </c>
      <c r="T25" s="40">
        <v>687.41120000000058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130114.99499999992</v>
      </c>
      <c r="AB25" s="40">
        <v>0</v>
      </c>
      <c r="AC25" s="40">
        <v>92765.668965517165</v>
      </c>
      <c r="AD25" s="40">
        <v>0</v>
      </c>
      <c r="AE25" s="40">
        <v>0</v>
      </c>
      <c r="AF25" s="40">
        <v>0</v>
      </c>
      <c r="AG25" s="40">
        <v>141970.48000000001</v>
      </c>
      <c r="AH25" s="40">
        <v>0</v>
      </c>
      <c r="AI25" s="40">
        <v>0</v>
      </c>
      <c r="AJ25" s="40">
        <v>0</v>
      </c>
      <c r="AK25" s="40">
        <v>19886.79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1381154.9040000001</v>
      </c>
      <c r="AU25" s="40">
        <v>368336.37116551725</v>
      </c>
      <c r="AV25" s="40">
        <v>161857.27000000002</v>
      </c>
      <c r="AW25" s="40">
        <v>214187.46875751723</v>
      </c>
      <c r="AX25" s="56">
        <v>1911348.5451655174</v>
      </c>
      <c r="AY25" s="56">
        <v>1891461.7551655173</v>
      </c>
      <c r="AZ25" s="56">
        <v>4955</v>
      </c>
      <c r="BA25" s="56">
        <v>1783800</v>
      </c>
      <c r="BB25" s="56">
        <v>0</v>
      </c>
      <c r="BC25" s="56">
        <v>0</v>
      </c>
      <c r="BD25" s="56">
        <v>1911348.5451655174</v>
      </c>
      <c r="BE25" s="40">
        <v>1911348.5451655174</v>
      </c>
      <c r="BF25" s="40">
        <v>0</v>
      </c>
      <c r="BG25" s="56">
        <v>1803686.79</v>
      </c>
      <c r="BH25" s="56">
        <v>1641829.52</v>
      </c>
      <c r="BI25" s="40">
        <v>1749491.2751655173</v>
      </c>
      <c r="BJ25" s="40">
        <v>4859.6979865708818</v>
      </c>
      <c r="BK25" s="40">
        <v>4924.1852561604592</v>
      </c>
      <c r="BL25" s="41">
        <v>-1.309602832446238E-2</v>
      </c>
      <c r="BM25" s="41">
        <v>1.309602832446238E-2</v>
      </c>
      <c r="BN25" s="40">
        <v>23215.417052247867</v>
      </c>
      <c r="BO25" s="56">
        <v>1934563.9622177652</v>
      </c>
      <c r="BP25" s="56">
        <v>5318.5477006049032</v>
      </c>
      <c r="BQ25" s="56" t="s">
        <v>1006</v>
      </c>
      <c r="BR25" s="56">
        <v>5373.7887839382365</v>
      </c>
      <c r="BS25" s="47">
        <v>-2.6301022466473922E-3</v>
      </c>
      <c r="BT25" s="40">
        <v>-9388.7999999999993</v>
      </c>
      <c r="BU25" s="40">
        <v>1925175.1622177651</v>
      </c>
      <c r="BV25" s="40">
        <v>0</v>
      </c>
      <c r="BW25" s="40">
        <v>1925175.1622177651</v>
      </c>
      <c r="BX25" s="40">
        <v>19886.79</v>
      </c>
      <c r="BY25" s="40">
        <v>1905288.3722177651</v>
      </c>
    </row>
    <row r="26" spans="1:77">
      <c r="A26">
        <f>_xlfn.XLOOKUP(B26,'Summary Mar 2026'!B:B,'Summary Mar 2026'!A:A,0,0)</f>
        <v>2099</v>
      </c>
      <c r="B26" s="54">
        <v>103214</v>
      </c>
      <c r="C26" s="54">
        <v>3302099</v>
      </c>
      <c r="D26" s="55" t="s">
        <v>151</v>
      </c>
      <c r="E26" s="46">
        <v>209</v>
      </c>
      <c r="F26" s="46">
        <v>209</v>
      </c>
      <c r="G26" s="46">
        <v>0</v>
      </c>
      <c r="H26" s="40">
        <v>801837.15260000003</v>
      </c>
      <c r="I26" s="40">
        <v>0</v>
      </c>
      <c r="J26" s="40">
        <v>0</v>
      </c>
      <c r="K26" s="40">
        <v>61024.319999999978</v>
      </c>
      <c r="L26" s="40">
        <v>0</v>
      </c>
      <c r="M26" s="40">
        <v>133791.06</v>
      </c>
      <c r="N26" s="40">
        <v>0</v>
      </c>
      <c r="O26" s="40">
        <v>2122.4448000000002</v>
      </c>
      <c r="P26" s="40">
        <v>2860.0319999999992</v>
      </c>
      <c r="Q26" s="40">
        <v>4019.0976000000001</v>
      </c>
      <c r="R26" s="40">
        <v>23602.790400000009</v>
      </c>
      <c r="S26" s="40">
        <v>24004.198399999968</v>
      </c>
      <c r="T26" s="40">
        <v>41932.083200000008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21751.692513966431</v>
      </c>
      <c r="AB26" s="40">
        <v>0</v>
      </c>
      <c r="AC26" s="40">
        <v>68623.275359026316</v>
      </c>
      <c r="AD26" s="40">
        <v>0</v>
      </c>
      <c r="AE26" s="40">
        <v>0</v>
      </c>
      <c r="AF26" s="40">
        <v>0</v>
      </c>
      <c r="AG26" s="40">
        <v>141970.48000000001</v>
      </c>
      <c r="AH26" s="40">
        <v>0</v>
      </c>
      <c r="AI26" s="40">
        <v>0</v>
      </c>
      <c r="AJ26" s="40">
        <v>0</v>
      </c>
      <c r="AK26" s="40">
        <v>15883.6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801837.15260000003</v>
      </c>
      <c r="AU26" s="40">
        <v>383730.99427299271</v>
      </c>
      <c r="AV26" s="40">
        <v>157854.08000000002</v>
      </c>
      <c r="AW26" s="40">
        <v>214323.30249302631</v>
      </c>
      <c r="AX26" s="56">
        <v>1343422.2268729927</v>
      </c>
      <c r="AY26" s="56">
        <v>1327538.6268729926</v>
      </c>
      <c r="AZ26" s="56">
        <v>4955</v>
      </c>
      <c r="BA26" s="56">
        <v>1035595</v>
      </c>
      <c r="BB26" s="56">
        <v>0</v>
      </c>
      <c r="BC26" s="56">
        <v>0</v>
      </c>
      <c r="BD26" s="56">
        <v>1343422.2268729927</v>
      </c>
      <c r="BE26" s="40">
        <v>1343422.2268729929</v>
      </c>
      <c r="BF26" s="40">
        <v>0</v>
      </c>
      <c r="BG26" s="56">
        <v>1051478.6000000001</v>
      </c>
      <c r="BH26" s="56">
        <v>893624.52000000014</v>
      </c>
      <c r="BI26" s="40">
        <v>1185568.1468729926</v>
      </c>
      <c r="BJ26" s="40">
        <v>5672.5748654210174</v>
      </c>
      <c r="BK26" s="40">
        <v>6044.348885784314</v>
      </c>
      <c r="BL26" s="41">
        <v>-6.1507703706129666E-2</v>
      </c>
      <c r="BM26" s="41">
        <v>6.1507703706129666E-2</v>
      </c>
      <c r="BN26" s="40">
        <v>77700.77025592899</v>
      </c>
      <c r="BO26" s="56">
        <v>1421122.9971289218</v>
      </c>
      <c r="BP26" s="56">
        <v>6723.63347908575</v>
      </c>
      <c r="BQ26" s="56" t="s">
        <v>1006</v>
      </c>
      <c r="BR26" s="56">
        <v>6799.6315652101521</v>
      </c>
      <c r="BS26" s="47">
        <v>-2.7150837558009844E-3</v>
      </c>
      <c r="BT26" s="40">
        <v>-5450.7199999999993</v>
      </c>
      <c r="BU26" s="40">
        <v>1415672.2771289218</v>
      </c>
      <c r="BV26" s="40">
        <v>0</v>
      </c>
      <c r="BW26" s="40">
        <v>1415672.2771289218</v>
      </c>
      <c r="BX26" s="40">
        <v>15883.6</v>
      </c>
      <c r="BY26" s="40">
        <v>1399788.6771289217</v>
      </c>
    </row>
    <row r="27" spans="1:77">
      <c r="A27">
        <f>_xlfn.XLOOKUP(B27,'Summary Mar 2026'!B:B,'Summary Mar 2026'!A:A,0,0)</f>
        <v>2108</v>
      </c>
      <c r="B27" s="54">
        <v>103217</v>
      </c>
      <c r="C27" s="54">
        <v>3302108</v>
      </c>
      <c r="D27" s="55" t="s">
        <v>321</v>
      </c>
      <c r="E27" s="46">
        <v>836</v>
      </c>
      <c r="F27" s="46">
        <v>836</v>
      </c>
      <c r="G27" s="46">
        <v>0</v>
      </c>
      <c r="H27" s="40">
        <v>3207348.6104000001</v>
      </c>
      <c r="I27" s="40">
        <v>0</v>
      </c>
      <c r="J27" s="40">
        <v>0</v>
      </c>
      <c r="K27" s="40">
        <v>172902.23999999979</v>
      </c>
      <c r="L27" s="40">
        <v>0</v>
      </c>
      <c r="M27" s="40">
        <v>373370.4</v>
      </c>
      <c r="N27" s="40">
        <v>0</v>
      </c>
      <c r="O27" s="40">
        <v>4952.3712000000032</v>
      </c>
      <c r="P27" s="40">
        <v>33176.371199999994</v>
      </c>
      <c r="Q27" s="40">
        <v>43316.940799999888</v>
      </c>
      <c r="R27" s="40">
        <v>38354.534400000019</v>
      </c>
      <c r="S27" s="40">
        <v>219690.59839999981</v>
      </c>
      <c r="T27" s="40">
        <v>6186.7008000000296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93225.91594366201</v>
      </c>
      <c r="AB27" s="40">
        <v>0</v>
      </c>
      <c r="AC27" s="40">
        <v>400374.31074498547</v>
      </c>
      <c r="AD27" s="40">
        <v>0</v>
      </c>
      <c r="AE27" s="40">
        <v>0</v>
      </c>
      <c r="AF27" s="40">
        <v>0</v>
      </c>
      <c r="AG27" s="40">
        <v>141970.48000000001</v>
      </c>
      <c r="AH27" s="40">
        <v>0</v>
      </c>
      <c r="AI27" s="40">
        <v>0</v>
      </c>
      <c r="AJ27" s="40">
        <v>0</v>
      </c>
      <c r="AK27" s="40">
        <v>75170.080000000002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3207348.6104000001</v>
      </c>
      <c r="AU27" s="40">
        <v>1385550.3834886469</v>
      </c>
      <c r="AV27" s="40">
        <v>217140.56</v>
      </c>
      <c r="AW27" s="40">
        <v>881843.79771298531</v>
      </c>
      <c r="AX27" s="56">
        <v>4810039.5538886469</v>
      </c>
      <c r="AY27" s="56">
        <v>4734869.4738886468</v>
      </c>
      <c r="AZ27" s="56">
        <v>4955</v>
      </c>
      <c r="BA27" s="56">
        <v>4142380</v>
      </c>
      <c r="BB27" s="56">
        <v>0</v>
      </c>
      <c r="BC27" s="56">
        <v>0</v>
      </c>
      <c r="BD27" s="56">
        <v>4810039.5538886469</v>
      </c>
      <c r="BE27" s="40">
        <v>4810039.5538886478</v>
      </c>
      <c r="BF27" s="40">
        <v>0</v>
      </c>
      <c r="BG27" s="56">
        <v>4217550.08</v>
      </c>
      <c r="BH27" s="56">
        <v>4000409.52</v>
      </c>
      <c r="BI27" s="40">
        <v>4592898.9938886464</v>
      </c>
      <c r="BJ27" s="40">
        <v>5493.8983180486202</v>
      </c>
      <c r="BK27" s="40">
        <v>5522.3465330969248</v>
      </c>
      <c r="BL27" s="41">
        <v>-5.1514722732096995E-3</v>
      </c>
      <c r="BM27" s="41">
        <v>5.1514722732096995E-3</v>
      </c>
      <c r="BN27" s="40">
        <v>23782.707780382578</v>
      </c>
      <c r="BO27" s="56">
        <v>4833822.2616690295</v>
      </c>
      <c r="BP27" s="56">
        <v>5692.1676814222837</v>
      </c>
      <c r="BQ27" s="56" t="s">
        <v>1006</v>
      </c>
      <c r="BR27" s="56">
        <v>5782.0840450586475</v>
      </c>
      <c r="BS27" s="47">
        <v>1.4900370460191326E-3</v>
      </c>
      <c r="BT27" s="40">
        <v>-21802.879999999997</v>
      </c>
      <c r="BU27" s="40">
        <v>4812019.3816690296</v>
      </c>
      <c r="BV27" s="40">
        <v>0</v>
      </c>
      <c r="BW27" s="40">
        <v>4812019.3816690296</v>
      </c>
      <c r="BX27" s="40">
        <v>75170.080000000002</v>
      </c>
      <c r="BY27" s="40">
        <v>4736849.3016690295</v>
      </c>
    </row>
    <row r="28" spans="1:77">
      <c r="A28">
        <f>_xlfn.XLOOKUP(B28,'Summary Mar 2026'!B:B,'Summary Mar 2026'!A:A,0,0)</f>
        <v>2115</v>
      </c>
      <c r="B28" s="54">
        <v>103221</v>
      </c>
      <c r="C28" s="54">
        <v>3302115</v>
      </c>
      <c r="D28" s="55" t="s">
        <v>175</v>
      </c>
      <c r="E28" s="46">
        <v>279</v>
      </c>
      <c r="F28" s="46">
        <v>279</v>
      </c>
      <c r="G28" s="46">
        <v>0</v>
      </c>
      <c r="H28" s="40">
        <v>1070395.0506</v>
      </c>
      <c r="I28" s="40">
        <v>0</v>
      </c>
      <c r="J28" s="40">
        <v>0</v>
      </c>
      <c r="K28" s="40">
        <v>73616.640000000072</v>
      </c>
      <c r="L28" s="40">
        <v>0</v>
      </c>
      <c r="M28" s="40">
        <v>157645.28000000017</v>
      </c>
      <c r="N28" s="40">
        <v>0</v>
      </c>
      <c r="O28" s="40">
        <v>11555.532799999988</v>
      </c>
      <c r="P28" s="40">
        <v>2574.0287999999969</v>
      </c>
      <c r="Q28" s="40">
        <v>446.56639999999953</v>
      </c>
      <c r="R28" s="40">
        <v>1475.1743999999985</v>
      </c>
      <c r="S28" s="40">
        <v>76187.238400000089</v>
      </c>
      <c r="T28" s="40">
        <v>19247.513599999984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18617.934664031658</v>
      </c>
      <c r="AB28" s="40">
        <v>0</v>
      </c>
      <c r="AC28" s="40">
        <v>77451.50940133039</v>
      </c>
      <c r="AD28" s="40">
        <v>0</v>
      </c>
      <c r="AE28" s="40">
        <v>4966.4394000000066</v>
      </c>
      <c r="AF28" s="40">
        <v>0</v>
      </c>
      <c r="AG28" s="40">
        <v>141970.48000000001</v>
      </c>
      <c r="AH28" s="40">
        <v>0</v>
      </c>
      <c r="AI28" s="40">
        <v>0</v>
      </c>
      <c r="AJ28" s="40">
        <v>0</v>
      </c>
      <c r="AK28" s="40">
        <v>41869.75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1070395.0506</v>
      </c>
      <c r="AU28" s="40">
        <v>443783.85786536243</v>
      </c>
      <c r="AV28" s="40">
        <v>183840.23</v>
      </c>
      <c r="AW28" s="40">
        <v>254360.53271533048</v>
      </c>
      <c r="AX28" s="56">
        <v>1698019.1384653624</v>
      </c>
      <c r="AY28" s="56">
        <v>1656149.3884653624</v>
      </c>
      <c r="AZ28" s="56">
        <v>4955</v>
      </c>
      <c r="BA28" s="56">
        <v>1382445</v>
      </c>
      <c r="BB28" s="56">
        <v>0</v>
      </c>
      <c r="BC28" s="56">
        <v>0</v>
      </c>
      <c r="BD28" s="56">
        <v>1698019.1384653624</v>
      </c>
      <c r="BE28" s="40">
        <v>1698019.1384653624</v>
      </c>
      <c r="BF28" s="40">
        <v>0</v>
      </c>
      <c r="BG28" s="56">
        <v>1424314.75</v>
      </c>
      <c r="BH28" s="56">
        <v>1240474.52</v>
      </c>
      <c r="BI28" s="40">
        <v>1514178.9084653624</v>
      </c>
      <c r="BJ28" s="40">
        <v>5427.1645464708326</v>
      </c>
      <c r="BK28" s="40">
        <v>5381.5762722408026</v>
      </c>
      <c r="BL28" s="41">
        <v>8.4711749725044413E-3</v>
      </c>
      <c r="BM28" s="41">
        <v>0</v>
      </c>
      <c r="BN28" s="40">
        <v>0</v>
      </c>
      <c r="BO28" s="56">
        <v>1698019.1384653624</v>
      </c>
      <c r="BP28" s="56">
        <v>5936.0193134959227</v>
      </c>
      <c r="BQ28" s="56" t="s">
        <v>1006</v>
      </c>
      <c r="BR28" s="56">
        <v>6086.0901020263882</v>
      </c>
      <c r="BS28" s="47">
        <v>1.4952832596538013E-2</v>
      </c>
      <c r="BT28" s="40">
        <v>-7276.32</v>
      </c>
      <c r="BU28" s="40">
        <v>1690742.8184653623</v>
      </c>
      <c r="BV28" s="40">
        <v>0</v>
      </c>
      <c r="BW28" s="40">
        <v>1690742.8184653623</v>
      </c>
      <c r="BX28" s="40">
        <v>41869.75</v>
      </c>
      <c r="BY28" s="40">
        <v>1648873.0684653623</v>
      </c>
    </row>
    <row r="29" spans="1:77">
      <c r="A29">
        <f>_xlfn.XLOOKUP(B29,'Summary Mar 2026'!B:B,'Summary Mar 2026'!A:A,0,0)</f>
        <v>2127</v>
      </c>
      <c r="B29" s="54">
        <v>103227</v>
      </c>
      <c r="C29" s="54">
        <v>3302127</v>
      </c>
      <c r="D29" s="55" t="s">
        <v>187</v>
      </c>
      <c r="E29" s="46">
        <v>420</v>
      </c>
      <c r="F29" s="46">
        <v>420</v>
      </c>
      <c r="G29" s="46">
        <v>0</v>
      </c>
      <c r="H29" s="40">
        <v>1611347.388</v>
      </c>
      <c r="I29" s="40">
        <v>0</v>
      </c>
      <c r="J29" s="40">
        <v>0</v>
      </c>
      <c r="K29" s="40">
        <v>124470.24</v>
      </c>
      <c r="L29" s="40">
        <v>0</v>
      </c>
      <c r="M29" s="40">
        <v>275879.23999999987</v>
      </c>
      <c r="N29" s="40">
        <v>0</v>
      </c>
      <c r="O29" s="40">
        <v>2122.444799999997</v>
      </c>
      <c r="P29" s="40">
        <v>2860.0319999999988</v>
      </c>
      <c r="Q29" s="40">
        <v>3125.9648000000061</v>
      </c>
      <c r="R29" s="40">
        <v>71791.820800000089</v>
      </c>
      <c r="S29" s="40">
        <v>109062.5536000001</v>
      </c>
      <c r="T29" s="40">
        <v>26809.036800000016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83093.010584958232</v>
      </c>
      <c r="AB29" s="40">
        <v>0</v>
      </c>
      <c r="AC29" s="40">
        <v>138190.84255614228</v>
      </c>
      <c r="AD29" s="40">
        <v>0</v>
      </c>
      <c r="AE29" s="40">
        <v>0</v>
      </c>
      <c r="AF29" s="40">
        <v>0</v>
      </c>
      <c r="AG29" s="40">
        <v>141970.48000000001</v>
      </c>
      <c r="AH29" s="40">
        <v>0</v>
      </c>
      <c r="AI29" s="40">
        <v>0</v>
      </c>
      <c r="AJ29" s="40">
        <v>0</v>
      </c>
      <c r="AK29" s="40">
        <v>62170.74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1611347.388</v>
      </c>
      <c r="AU29" s="40">
        <v>837405.18594110059</v>
      </c>
      <c r="AV29" s="40">
        <v>204141.22</v>
      </c>
      <c r="AW29" s="40">
        <v>440561.89176414232</v>
      </c>
      <c r="AX29" s="56">
        <v>2652893.7939411006</v>
      </c>
      <c r="AY29" s="56">
        <v>2590723.0539411004</v>
      </c>
      <c r="AZ29" s="56">
        <v>4955</v>
      </c>
      <c r="BA29" s="56">
        <v>2081100</v>
      </c>
      <c r="BB29" s="56">
        <v>0</v>
      </c>
      <c r="BC29" s="56">
        <v>0</v>
      </c>
      <c r="BD29" s="56">
        <v>2652893.7939411006</v>
      </c>
      <c r="BE29" s="40">
        <v>2652893.7939411006</v>
      </c>
      <c r="BF29" s="40">
        <v>0</v>
      </c>
      <c r="BG29" s="56">
        <v>2143270.7400000002</v>
      </c>
      <c r="BH29" s="56">
        <v>1939129.5200000003</v>
      </c>
      <c r="BI29" s="40">
        <v>2448752.5739411004</v>
      </c>
      <c r="BJ29" s="40">
        <v>5830.3632712883345</v>
      </c>
      <c r="BK29" s="40">
        <v>5785.5844413875602</v>
      </c>
      <c r="BL29" s="41">
        <v>7.7397245437204254E-3</v>
      </c>
      <c r="BM29" s="41">
        <v>0</v>
      </c>
      <c r="BN29" s="40">
        <v>0</v>
      </c>
      <c r="BO29" s="56">
        <v>2652893.7939411006</v>
      </c>
      <c r="BP29" s="56">
        <v>6168.3882236692862</v>
      </c>
      <c r="BQ29" s="56" t="s">
        <v>1006</v>
      </c>
      <c r="BR29" s="56">
        <v>6316.4137950978584</v>
      </c>
      <c r="BS29" s="47">
        <v>8.2548587475836932E-3</v>
      </c>
      <c r="BT29" s="40">
        <v>-10953.599999999999</v>
      </c>
      <c r="BU29" s="40">
        <v>2641940.1939411005</v>
      </c>
      <c r="BV29" s="40">
        <v>0</v>
      </c>
      <c r="BW29" s="40">
        <v>2641940.1939411005</v>
      </c>
      <c r="BX29" s="40">
        <v>62170.74</v>
      </c>
      <c r="BY29" s="40">
        <v>2579769.4539411003</v>
      </c>
    </row>
    <row r="30" spans="1:77">
      <c r="A30">
        <f>_xlfn.XLOOKUP(B30,'Summary Mar 2026'!B:B,'Summary Mar 2026'!A:A,0,0)</f>
        <v>2128</v>
      </c>
      <c r="B30" s="54">
        <v>103228</v>
      </c>
      <c r="C30" s="54">
        <v>3302128</v>
      </c>
      <c r="D30" s="55" t="s">
        <v>191</v>
      </c>
      <c r="E30" s="46">
        <v>369</v>
      </c>
      <c r="F30" s="46">
        <v>369</v>
      </c>
      <c r="G30" s="46">
        <v>0</v>
      </c>
      <c r="H30" s="40">
        <v>1415683.7766</v>
      </c>
      <c r="I30" s="40">
        <v>0</v>
      </c>
      <c r="J30" s="40">
        <v>0</v>
      </c>
      <c r="K30" s="40">
        <v>67804.79999999993</v>
      </c>
      <c r="L30" s="40">
        <v>0</v>
      </c>
      <c r="M30" s="40">
        <v>146236.73999999987</v>
      </c>
      <c r="N30" s="40">
        <v>0</v>
      </c>
      <c r="O30" s="40">
        <v>19102.003199999981</v>
      </c>
      <c r="P30" s="40">
        <v>10582.118399999987</v>
      </c>
      <c r="Q30" s="40">
        <v>2232.8319999999981</v>
      </c>
      <c r="R30" s="40">
        <v>12293.120000000008</v>
      </c>
      <c r="S30" s="40">
        <v>19829.555199999981</v>
      </c>
      <c r="T30" s="40">
        <v>1374.8224000000012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11061.230000000009</v>
      </c>
      <c r="AB30" s="40">
        <v>0</v>
      </c>
      <c r="AC30" s="40">
        <v>133718.43476190494</v>
      </c>
      <c r="AD30" s="40">
        <v>0</v>
      </c>
      <c r="AE30" s="40">
        <v>0</v>
      </c>
      <c r="AF30" s="40">
        <v>0</v>
      </c>
      <c r="AG30" s="40">
        <v>141970.48000000001</v>
      </c>
      <c r="AH30" s="40">
        <v>0</v>
      </c>
      <c r="AI30" s="40">
        <v>0</v>
      </c>
      <c r="AJ30" s="40">
        <v>0</v>
      </c>
      <c r="AK30" s="40">
        <v>19016.28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1415683.7766</v>
      </c>
      <c r="AU30" s="40">
        <v>424235.65596190467</v>
      </c>
      <c r="AV30" s="40">
        <v>160986.76</v>
      </c>
      <c r="AW30" s="40">
        <v>305106.78042390483</v>
      </c>
      <c r="AX30" s="56">
        <v>2000906.1925619047</v>
      </c>
      <c r="AY30" s="56">
        <v>1981889.9125619046</v>
      </c>
      <c r="AZ30" s="56">
        <v>4955</v>
      </c>
      <c r="BA30" s="56">
        <v>1828395</v>
      </c>
      <c r="BB30" s="56">
        <v>0</v>
      </c>
      <c r="BC30" s="56">
        <v>0</v>
      </c>
      <c r="BD30" s="56">
        <v>2000906.1925619047</v>
      </c>
      <c r="BE30" s="40">
        <v>2000906.1925619044</v>
      </c>
      <c r="BF30" s="40">
        <v>0</v>
      </c>
      <c r="BG30" s="56">
        <v>1847411.28</v>
      </c>
      <c r="BH30" s="56">
        <v>1686424.52</v>
      </c>
      <c r="BI30" s="40">
        <v>1839919.4325619047</v>
      </c>
      <c r="BJ30" s="40">
        <v>4986.2315245580075</v>
      </c>
      <c r="BK30" s="40">
        <v>4914.7131110810806</v>
      </c>
      <c r="BL30" s="41">
        <v>1.4551899950309654E-2</v>
      </c>
      <c r="BM30" s="41">
        <v>0</v>
      </c>
      <c r="BN30" s="40">
        <v>0</v>
      </c>
      <c r="BO30" s="56">
        <v>2000906.1925619047</v>
      </c>
      <c r="BP30" s="56">
        <v>5370.9753727964899</v>
      </c>
      <c r="BQ30" s="56" t="s">
        <v>1006</v>
      </c>
      <c r="BR30" s="56">
        <v>5422.5100069428308</v>
      </c>
      <c r="BS30" s="47">
        <v>1.3588802415205548E-2</v>
      </c>
      <c r="BT30" s="40">
        <v>-9623.5199999999986</v>
      </c>
      <c r="BU30" s="40">
        <v>1991282.6725619046</v>
      </c>
      <c r="BV30" s="40">
        <v>0</v>
      </c>
      <c r="BW30" s="40">
        <v>1991282.6725619046</v>
      </c>
      <c r="BX30" s="40">
        <v>19016.28</v>
      </c>
      <c r="BY30" s="40">
        <v>1972266.3925619046</v>
      </c>
    </row>
    <row r="31" spans="1:77">
      <c r="A31">
        <f>_xlfn.XLOOKUP(B31,'Summary Mar 2026'!B:B,'Summary Mar 2026'!A:A,0,0)</f>
        <v>2129</v>
      </c>
      <c r="B31" s="54">
        <v>103229</v>
      </c>
      <c r="C31" s="54">
        <v>3302129</v>
      </c>
      <c r="D31" s="55" t="s">
        <v>189</v>
      </c>
      <c r="E31" s="46">
        <v>264</v>
      </c>
      <c r="F31" s="46">
        <v>264</v>
      </c>
      <c r="G31" s="46">
        <v>0</v>
      </c>
      <c r="H31" s="40">
        <v>1012846.9296</v>
      </c>
      <c r="I31" s="40">
        <v>0</v>
      </c>
      <c r="J31" s="40">
        <v>0</v>
      </c>
      <c r="K31" s="40">
        <v>33902.399999999987</v>
      </c>
      <c r="L31" s="40">
        <v>0</v>
      </c>
      <c r="M31" s="40">
        <v>75711.219999999856</v>
      </c>
      <c r="N31" s="40">
        <v>0</v>
      </c>
      <c r="O31" s="40">
        <v>13677.977600000018</v>
      </c>
      <c r="P31" s="40">
        <v>9724.1088000000163</v>
      </c>
      <c r="Q31" s="40">
        <v>893.13280000000054</v>
      </c>
      <c r="R31" s="40">
        <v>4917.2480000000032</v>
      </c>
      <c r="S31" s="40">
        <v>17742.233600000032</v>
      </c>
      <c r="T31" s="40">
        <v>687.41120000000046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28428.74080924856</v>
      </c>
      <c r="AB31" s="40">
        <v>0</v>
      </c>
      <c r="AC31" s="40">
        <v>87236.476167664659</v>
      </c>
      <c r="AD31" s="40">
        <v>0</v>
      </c>
      <c r="AE31" s="40">
        <v>0</v>
      </c>
      <c r="AF31" s="40">
        <v>0</v>
      </c>
      <c r="AG31" s="40">
        <v>141970.48000000001</v>
      </c>
      <c r="AH31" s="40">
        <v>0</v>
      </c>
      <c r="AI31" s="40">
        <v>0</v>
      </c>
      <c r="AJ31" s="40">
        <v>0</v>
      </c>
      <c r="AK31" s="40">
        <v>17553.5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1012846.9296</v>
      </c>
      <c r="AU31" s="40">
        <v>272920.94897691312</v>
      </c>
      <c r="AV31" s="40">
        <v>159523.98000000001</v>
      </c>
      <c r="AW31" s="40">
        <v>194490.88616766463</v>
      </c>
      <c r="AX31" s="56">
        <v>1445291.8585769131</v>
      </c>
      <c r="AY31" s="56">
        <v>1427738.3585769131</v>
      </c>
      <c r="AZ31" s="56">
        <v>4955</v>
      </c>
      <c r="BA31" s="56">
        <v>1308120</v>
      </c>
      <c r="BB31" s="56">
        <v>0</v>
      </c>
      <c r="BC31" s="56">
        <v>0</v>
      </c>
      <c r="BD31" s="56">
        <v>1445291.8585769131</v>
      </c>
      <c r="BE31" s="40">
        <v>1445291.8585769131</v>
      </c>
      <c r="BF31" s="40">
        <v>0</v>
      </c>
      <c r="BG31" s="56">
        <v>1325673.5</v>
      </c>
      <c r="BH31" s="56">
        <v>1166149.52</v>
      </c>
      <c r="BI31" s="40">
        <v>1285767.8785769132</v>
      </c>
      <c r="BJ31" s="40">
        <v>4870.3328733973985</v>
      </c>
      <c r="BK31" s="40">
        <v>4867.1360961685823</v>
      </c>
      <c r="BL31" s="41">
        <v>6.5680867879013157E-4</v>
      </c>
      <c r="BM31" s="41">
        <v>0</v>
      </c>
      <c r="BN31" s="40">
        <v>0</v>
      </c>
      <c r="BO31" s="56">
        <v>1445291.8585769131</v>
      </c>
      <c r="BP31" s="56">
        <v>5408.0998430943682</v>
      </c>
      <c r="BQ31" s="56" t="s">
        <v>1006</v>
      </c>
      <c r="BR31" s="56">
        <v>5474.5903733973983</v>
      </c>
      <c r="BS31" s="47">
        <v>-6.8427879672838809E-4</v>
      </c>
      <c r="BT31" s="40">
        <v>-6885.12</v>
      </c>
      <c r="BU31" s="40">
        <v>1438406.738576913</v>
      </c>
      <c r="BV31" s="40">
        <v>0</v>
      </c>
      <c r="BW31" s="40">
        <v>1438406.738576913</v>
      </c>
      <c r="BX31" s="40">
        <v>17553.5</v>
      </c>
      <c r="BY31" s="40">
        <v>1420853.238576913</v>
      </c>
    </row>
    <row r="32" spans="1:77">
      <c r="A32">
        <f>_xlfn.XLOOKUP(B32,'Summary Mar 2026'!B:B,'Summary Mar 2026'!A:A,0,0)</f>
        <v>2133</v>
      </c>
      <c r="B32" s="54">
        <v>103233</v>
      </c>
      <c r="C32" s="54">
        <v>3302133</v>
      </c>
      <c r="D32" s="55" t="s">
        <v>197</v>
      </c>
      <c r="E32" s="46">
        <v>419</v>
      </c>
      <c r="F32" s="46">
        <v>419</v>
      </c>
      <c r="G32" s="46">
        <v>0</v>
      </c>
      <c r="H32" s="40">
        <v>1607510.8466</v>
      </c>
      <c r="I32" s="40">
        <v>0</v>
      </c>
      <c r="J32" s="40">
        <v>0</v>
      </c>
      <c r="K32" s="40">
        <v>98801.280000000013</v>
      </c>
      <c r="L32" s="40">
        <v>0</v>
      </c>
      <c r="M32" s="40">
        <v>214687.97999999992</v>
      </c>
      <c r="N32" s="40">
        <v>0</v>
      </c>
      <c r="O32" s="40">
        <v>21696.102400000036</v>
      </c>
      <c r="P32" s="40">
        <v>8294.0927999999985</v>
      </c>
      <c r="Q32" s="40">
        <v>2232.8320000000044</v>
      </c>
      <c r="R32" s="40">
        <v>38354.534399999931</v>
      </c>
      <c r="S32" s="40">
        <v>37571.788800000017</v>
      </c>
      <c r="T32" s="40">
        <v>38495.027199999953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28537.681504178272</v>
      </c>
      <c r="AB32" s="40">
        <v>0</v>
      </c>
      <c r="AC32" s="40">
        <v>151187.80530554662</v>
      </c>
      <c r="AD32" s="40">
        <v>0</v>
      </c>
      <c r="AE32" s="40">
        <v>0</v>
      </c>
      <c r="AF32" s="40">
        <v>0</v>
      </c>
      <c r="AG32" s="40">
        <v>141970.48000000001</v>
      </c>
      <c r="AH32" s="40">
        <v>0</v>
      </c>
      <c r="AI32" s="40">
        <v>0</v>
      </c>
      <c r="AJ32" s="40">
        <v>0</v>
      </c>
      <c r="AK32" s="40">
        <v>46374.720000000001</v>
      </c>
      <c r="AL32" s="40">
        <v>288352.43712000002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1607510.8466</v>
      </c>
      <c r="AU32" s="40">
        <v>639859.12440972473</v>
      </c>
      <c r="AV32" s="40">
        <v>476697.63712000003</v>
      </c>
      <c r="AW32" s="40">
        <v>397211.45717154653</v>
      </c>
      <c r="AX32" s="56">
        <v>2724067.6081297249</v>
      </c>
      <c r="AY32" s="56">
        <v>2389340.4510097248</v>
      </c>
      <c r="AZ32" s="56">
        <v>4955</v>
      </c>
      <c r="BA32" s="56">
        <v>2076145</v>
      </c>
      <c r="BB32" s="56">
        <v>0</v>
      </c>
      <c r="BC32" s="56">
        <v>0</v>
      </c>
      <c r="BD32" s="56">
        <v>2724067.6081297249</v>
      </c>
      <c r="BE32" s="40">
        <v>2724067.6081297249</v>
      </c>
      <c r="BF32" s="40">
        <v>0</v>
      </c>
      <c r="BG32" s="56">
        <v>2410872.1571200001</v>
      </c>
      <c r="BH32" s="56">
        <v>1934174.52</v>
      </c>
      <c r="BI32" s="40">
        <v>2247369.9710097248</v>
      </c>
      <c r="BJ32" s="40">
        <v>5363.6514821234477</v>
      </c>
      <c r="BK32" s="40">
        <v>5287.5902358851672</v>
      </c>
      <c r="BL32" s="41">
        <v>1.4384860181123234E-2</v>
      </c>
      <c r="BM32" s="41">
        <v>0</v>
      </c>
      <c r="BN32" s="40">
        <v>0</v>
      </c>
      <c r="BO32" s="56">
        <v>2724067.6081297249</v>
      </c>
      <c r="BP32" s="56">
        <v>5702.4831766341877</v>
      </c>
      <c r="BQ32" s="56" t="s">
        <v>1006</v>
      </c>
      <c r="BR32" s="56">
        <v>6501.354673340632</v>
      </c>
      <c r="BS32" s="47">
        <v>1.3855587146290649E-2</v>
      </c>
      <c r="BT32" s="40">
        <v>-10927.519999999999</v>
      </c>
      <c r="BU32" s="40">
        <v>2713140.0881297248</v>
      </c>
      <c r="BV32" s="40">
        <v>0</v>
      </c>
      <c r="BW32" s="40">
        <v>2713140.0881297248</v>
      </c>
      <c r="BX32" s="40">
        <v>46374.720000000001</v>
      </c>
      <c r="BY32" s="40">
        <v>2666765.3681297246</v>
      </c>
    </row>
    <row r="33" spans="1:77">
      <c r="A33">
        <f>_xlfn.XLOOKUP(B33,'Summary Mar 2026'!B:B,'Summary Mar 2026'!A:A,0,0)</f>
        <v>2142</v>
      </c>
      <c r="B33" s="54">
        <v>103237</v>
      </c>
      <c r="C33" s="54">
        <v>3302142</v>
      </c>
      <c r="D33" s="55" t="s">
        <v>1147</v>
      </c>
      <c r="E33" s="46">
        <v>414</v>
      </c>
      <c r="F33" s="46">
        <v>414</v>
      </c>
      <c r="G33" s="46">
        <v>0</v>
      </c>
      <c r="H33" s="40">
        <v>1588328.1396000001</v>
      </c>
      <c r="I33" s="40">
        <v>0</v>
      </c>
      <c r="J33" s="40">
        <v>0</v>
      </c>
      <c r="K33" s="40">
        <v>85724.64</v>
      </c>
      <c r="L33" s="40">
        <v>0</v>
      </c>
      <c r="M33" s="40">
        <v>197056.60000000006</v>
      </c>
      <c r="N33" s="40">
        <v>0</v>
      </c>
      <c r="O33" s="40">
        <v>1650.7904000000026</v>
      </c>
      <c r="P33" s="40">
        <v>2002.022400000003</v>
      </c>
      <c r="Q33" s="40">
        <v>24561.152000000053</v>
      </c>
      <c r="R33" s="40">
        <v>8851.0463999999974</v>
      </c>
      <c r="S33" s="40">
        <v>21395.046400000007</v>
      </c>
      <c r="T33" s="40">
        <v>136107.4175999999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110664.77729577469</v>
      </c>
      <c r="AB33" s="40">
        <v>0</v>
      </c>
      <c r="AC33" s="40">
        <v>198383.47895944343</v>
      </c>
      <c r="AD33" s="40">
        <v>0</v>
      </c>
      <c r="AE33" s="40">
        <v>0</v>
      </c>
      <c r="AF33" s="40">
        <v>0</v>
      </c>
      <c r="AG33" s="40">
        <v>141970.48000000001</v>
      </c>
      <c r="AH33" s="40">
        <v>0</v>
      </c>
      <c r="AI33" s="40">
        <v>0</v>
      </c>
      <c r="AJ33" s="40">
        <v>0</v>
      </c>
      <c r="AK33" s="40">
        <v>23115.16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1588328.1396000001</v>
      </c>
      <c r="AU33" s="40">
        <v>786396.97145521804</v>
      </c>
      <c r="AV33" s="40">
        <v>165085.64000000001</v>
      </c>
      <c r="AW33" s="40">
        <v>449645.42341144336</v>
      </c>
      <c r="AX33" s="56">
        <v>2539810.7510552183</v>
      </c>
      <c r="AY33" s="56">
        <v>2516695.5910552181</v>
      </c>
      <c r="AZ33" s="56">
        <v>4955</v>
      </c>
      <c r="BA33" s="56">
        <v>2051370</v>
      </c>
      <c r="BB33" s="56">
        <v>0</v>
      </c>
      <c r="BC33" s="56">
        <v>0</v>
      </c>
      <c r="BD33" s="56">
        <v>2539810.7510552183</v>
      </c>
      <c r="BE33" s="40">
        <v>2539810.7510552183</v>
      </c>
      <c r="BF33" s="40">
        <v>0</v>
      </c>
      <c r="BG33" s="56">
        <v>2074485.16</v>
      </c>
      <c r="BH33" s="56">
        <v>1909399.52</v>
      </c>
      <c r="BI33" s="40">
        <v>2374725.1110552181</v>
      </c>
      <c r="BJ33" s="40">
        <v>5736.0509928870006</v>
      </c>
      <c r="BK33" s="40">
        <v>6010.8262103117504</v>
      </c>
      <c r="BL33" s="41">
        <v>-4.5713385782700691E-2</v>
      </c>
      <c r="BM33" s="41">
        <v>4.5713385782700691E-2</v>
      </c>
      <c r="BN33" s="40">
        <v>113756.94001384643</v>
      </c>
      <c r="BO33" s="56">
        <v>2653567.6910690647</v>
      </c>
      <c r="BP33" s="56">
        <v>6353.7500750460495</v>
      </c>
      <c r="BQ33" s="56" t="s">
        <v>1006</v>
      </c>
      <c r="BR33" s="56">
        <v>6409.5837948528133</v>
      </c>
      <c r="BS33" s="47">
        <v>4.477738724495417E-4</v>
      </c>
      <c r="BT33" s="40">
        <v>-10797.119999999999</v>
      </c>
      <c r="BU33" s="40">
        <v>2642770.5710690646</v>
      </c>
      <c r="BV33" s="40">
        <v>0</v>
      </c>
      <c r="BW33" s="40">
        <v>2642770.5710690646</v>
      </c>
      <c r="BX33" s="40">
        <v>23115.16</v>
      </c>
      <c r="BY33" s="40">
        <v>2619655.4110690644</v>
      </c>
    </row>
    <row r="34" spans="1:77">
      <c r="A34">
        <f>_xlfn.XLOOKUP(B34,'Summary Mar 2026'!B:B,'Summary Mar 2026'!A:A,0,0)</f>
        <v>2150</v>
      </c>
      <c r="B34" s="54">
        <v>103241</v>
      </c>
      <c r="C34" s="54">
        <v>3302150</v>
      </c>
      <c r="D34" s="55" t="s">
        <v>401</v>
      </c>
      <c r="E34" s="46">
        <v>258</v>
      </c>
      <c r="F34" s="46">
        <v>258</v>
      </c>
      <c r="G34" s="46">
        <v>0</v>
      </c>
      <c r="H34" s="40">
        <v>989827.68119999999</v>
      </c>
      <c r="I34" s="40">
        <v>0</v>
      </c>
      <c r="J34" s="40">
        <v>0</v>
      </c>
      <c r="K34" s="40">
        <v>51337.920000000056</v>
      </c>
      <c r="L34" s="40">
        <v>0</v>
      </c>
      <c r="M34" s="40">
        <v>120308.23999999995</v>
      </c>
      <c r="N34" s="40">
        <v>0</v>
      </c>
      <c r="O34" s="40">
        <v>5659.8528000000006</v>
      </c>
      <c r="P34" s="40">
        <v>12584.140800000019</v>
      </c>
      <c r="Q34" s="40">
        <v>4019.0976000000046</v>
      </c>
      <c r="R34" s="40">
        <v>41796.607999999971</v>
      </c>
      <c r="S34" s="40">
        <v>25569.689599999994</v>
      </c>
      <c r="T34" s="40">
        <v>7561.5232000000042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14492.968947368414</v>
      </c>
      <c r="AB34" s="40">
        <v>0</v>
      </c>
      <c r="AC34" s="40">
        <v>91984.218344963418</v>
      </c>
      <c r="AD34" s="40">
        <v>0</v>
      </c>
      <c r="AE34" s="40">
        <v>2379.3587999999972</v>
      </c>
      <c r="AF34" s="40">
        <v>0</v>
      </c>
      <c r="AG34" s="40">
        <v>141970.48000000001</v>
      </c>
      <c r="AH34" s="40">
        <v>0</v>
      </c>
      <c r="AI34" s="40">
        <v>0</v>
      </c>
      <c r="AJ34" s="40">
        <v>0</v>
      </c>
      <c r="AK34" s="40">
        <v>35244.79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989827.68119999999</v>
      </c>
      <c r="AU34" s="40">
        <v>377693.61809233186</v>
      </c>
      <c r="AV34" s="40">
        <v>177215.27000000002</v>
      </c>
      <c r="AW34" s="40">
        <v>238256.94832496339</v>
      </c>
      <c r="AX34" s="56">
        <v>1544736.5692923318</v>
      </c>
      <c r="AY34" s="56">
        <v>1509491.7792923318</v>
      </c>
      <c r="AZ34" s="56">
        <v>4955</v>
      </c>
      <c r="BA34" s="56">
        <v>1278390</v>
      </c>
      <c r="BB34" s="56">
        <v>0</v>
      </c>
      <c r="BC34" s="56">
        <v>0</v>
      </c>
      <c r="BD34" s="56">
        <v>1544736.5692923318</v>
      </c>
      <c r="BE34" s="40">
        <v>1544736.5692923316</v>
      </c>
      <c r="BF34" s="40">
        <v>0</v>
      </c>
      <c r="BG34" s="56">
        <v>1313634.79</v>
      </c>
      <c r="BH34" s="56">
        <v>1136419.52</v>
      </c>
      <c r="BI34" s="40">
        <v>1367521.2992923318</v>
      </c>
      <c r="BJ34" s="40">
        <v>5300.4701522958594</v>
      </c>
      <c r="BK34" s="40">
        <v>5433.7716088235293</v>
      </c>
      <c r="BL34" s="41">
        <v>-2.453203154715056E-2</v>
      </c>
      <c r="BM34" s="41">
        <v>2.453203154715056E-2</v>
      </c>
      <c r="BN34" s="40">
        <v>34391.775784138823</v>
      </c>
      <c r="BO34" s="56">
        <v>1579128.3450764706</v>
      </c>
      <c r="BP34" s="56">
        <v>5984.0447871181032</v>
      </c>
      <c r="BQ34" s="56" t="s">
        <v>1006</v>
      </c>
      <c r="BR34" s="56">
        <v>6120.6525002963981</v>
      </c>
      <c r="BS34" s="47">
        <v>5.8097666827767735E-3</v>
      </c>
      <c r="BT34" s="40">
        <v>-6728.6399999999994</v>
      </c>
      <c r="BU34" s="40">
        <v>1572399.7050764707</v>
      </c>
      <c r="BV34" s="40">
        <v>0</v>
      </c>
      <c r="BW34" s="40">
        <v>1572399.7050764707</v>
      </c>
      <c r="BX34" s="40">
        <v>35244.79</v>
      </c>
      <c r="BY34" s="40">
        <v>1537154.9150764707</v>
      </c>
    </row>
    <row r="35" spans="1:77">
      <c r="A35">
        <f>_xlfn.XLOOKUP(B35,'Summary Mar 2026'!B:B,'Summary Mar 2026'!A:A,0,0)</f>
        <v>2153</v>
      </c>
      <c r="B35" s="54">
        <v>103243</v>
      </c>
      <c r="C35" s="54">
        <v>3302153</v>
      </c>
      <c r="D35" s="55" t="s">
        <v>38</v>
      </c>
      <c r="E35" s="46">
        <v>399</v>
      </c>
      <c r="F35" s="46">
        <v>399</v>
      </c>
      <c r="G35" s="46">
        <v>0</v>
      </c>
      <c r="H35" s="40">
        <v>1530780.0186000001</v>
      </c>
      <c r="I35" s="40">
        <v>0</v>
      </c>
      <c r="J35" s="40">
        <v>0</v>
      </c>
      <c r="K35" s="40">
        <v>116236.79999999994</v>
      </c>
      <c r="L35" s="40">
        <v>0</v>
      </c>
      <c r="M35" s="40">
        <v>248913.59999999992</v>
      </c>
      <c r="N35" s="40">
        <v>0</v>
      </c>
      <c r="O35" s="40">
        <v>2122.4447999999993</v>
      </c>
      <c r="P35" s="40">
        <v>27170.303999999986</v>
      </c>
      <c r="Q35" s="40">
        <v>13843.558399999993</v>
      </c>
      <c r="R35" s="40">
        <v>5900.6975999999977</v>
      </c>
      <c r="S35" s="40">
        <v>90276.659199999936</v>
      </c>
      <c r="T35" s="40">
        <v>12373.401599999996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37507.910226628912</v>
      </c>
      <c r="AB35" s="40">
        <v>0</v>
      </c>
      <c r="AC35" s="40">
        <v>226069.18654585746</v>
      </c>
      <c r="AD35" s="40">
        <v>0</v>
      </c>
      <c r="AE35" s="40">
        <v>5721.7913999999892</v>
      </c>
      <c r="AF35" s="40">
        <v>0</v>
      </c>
      <c r="AG35" s="40">
        <v>141970.48000000001</v>
      </c>
      <c r="AH35" s="40">
        <v>0</v>
      </c>
      <c r="AI35" s="40">
        <v>0</v>
      </c>
      <c r="AJ35" s="40">
        <v>0</v>
      </c>
      <c r="AK35" s="40">
        <v>24708.45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1530780.0186000001</v>
      </c>
      <c r="AU35" s="40">
        <v>786136.35377248609</v>
      </c>
      <c r="AV35" s="40">
        <v>166678.93000000002</v>
      </c>
      <c r="AW35" s="40">
        <v>488669.67509185738</v>
      </c>
      <c r="AX35" s="56">
        <v>2483595.3023724863</v>
      </c>
      <c r="AY35" s="56">
        <v>2458886.8523724861</v>
      </c>
      <c r="AZ35" s="56">
        <v>4955</v>
      </c>
      <c r="BA35" s="56">
        <v>1977045</v>
      </c>
      <c r="BB35" s="56">
        <v>0</v>
      </c>
      <c r="BC35" s="56">
        <v>0</v>
      </c>
      <c r="BD35" s="56">
        <v>2483595.3023724863</v>
      </c>
      <c r="BE35" s="40">
        <v>2483595.3023724863</v>
      </c>
      <c r="BF35" s="40">
        <v>0</v>
      </c>
      <c r="BG35" s="56">
        <v>2001753.45</v>
      </c>
      <c r="BH35" s="56">
        <v>1835074.52</v>
      </c>
      <c r="BI35" s="40">
        <v>2316916.3723724862</v>
      </c>
      <c r="BJ35" s="40">
        <v>5806.8079508082355</v>
      </c>
      <c r="BK35" s="40">
        <v>5765.2185137681154</v>
      </c>
      <c r="BL35" s="41">
        <v>7.2138526823916594E-3</v>
      </c>
      <c r="BM35" s="41">
        <v>0</v>
      </c>
      <c r="BN35" s="40">
        <v>0</v>
      </c>
      <c r="BO35" s="56">
        <v>2483595.3023724863</v>
      </c>
      <c r="BP35" s="56">
        <v>6162.6236901566072</v>
      </c>
      <c r="BQ35" s="56" t="s">
        <v>1006</v>
      </c>
      <c r="BR35" s="56">
        <v>6224.5496300062314</v>
      </c>
      <c r="BS35" s="47">
        <v>9.1969225094681306E-3</v>
      </c>
      <c r="BT35" s="40">
        <v>-10405.92</v>
      </c>
      <c r="BU35" s="40">
        <v>2473189.3823724864</v>
      </c>
      <c r="BV35" s="40">
        <v>0</v>
      </c>
      <c r="BW35" s="40">
        <v>2473189.3823724864</v>
      </c>
      <c r="BX35" s="40">
        <v>24708.45</v>
      </c>
      <c r="BY35" s="40">
        <v>2448480.9323724862</v>
      </c>
    </row>
    <row r="36" spans="1:77">
      <c r="A36">
        <f>_xlfn.XLOOKUP(B36,'Summary Mar 2026'!B:B,'Summary Mar 2026'!A:A,0,0)</f>
        <v>2157</v>
      </c>
      <c r="B36" s="54">
        <v>103246</v>
      </c>
      <c r="C36" s="54">
        <v>3302157</v>
      </c>
      <c r="D36" s="55" t="s">
        <v>407</v>
      </c>
      <c r="E36" s="46">
        <v>385</v>
      </c>
      <c r="F36" s="46">
        <v>385</v>
      </c>
      <c r="G36" s="46">
        <v>0</v>
      </c>
      <c r="H36" s="40">
        <v>1477068.439</v>
      </c>
      <c r="I36" s="40">
        <v>0</v>
      </c>
      <c r="J36" s="40">
        <v>0</v>
      </c>
      <c r="K36" s="40">
        <v>43588.800000000047</v>
      </c>
      <c r="L36" s="40">
        <v>0</v>
      </c>
      <c r="M36" s="40">
        <v>101639.7200000002</v>
      </c>
      <c r="N36" s="40">
        <v>0</v>
      </c>
      <c r="O36" s="40">
        <v>2594.0992000000024</v>
      </c>
      <c r="P36" s="40">
        <v>21736.243199999954</v>
      </c>
      <c r="Q36" s="40">
        <v>4465.6640000000043</v>
      </c>
      <c r="R36" s="40">
        <v>10326.220799999992</v>
      </c>
      <c r="S36" s="40">
        <v>22438.707200000066</v>
      </c>
      <c r="T36" s="40">
        <v>2749.6448000000032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29929.066023738946</v>
      </c>
      <c r="AB36" s="40">
        <v>0</v>
      </c>
      <c r="AC36" s="40">
        <v>114556.43145567513</v>
      </c>
      <c r="AD36" s="40">
        <v>0</v>
      </c>
      <c r="AE36" s="40">
        <v>21621.95099999983</v>
      </c>
      <c r="AF36" s="40">
        <v>0</v>
      </c>
      <c r="AG36" s="40">
        <v>141970.48000000001</v>
      </c>
      <c r="AH36" s="40">
        <v>0</v>
      </c>
      <c r="AI36" s="40">
        <v>0</v>
      </c>
      <c r="AJ36" s="40">
        <v>0</v>
      </c>
      <c r="AK36" s="40">
        <v>27559.83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1477068.439</v>
      </c>
      <c r="AU36" s="40">
        <v>375646.54767941416</v>
      </c>
      <c r="AV36" s="40">
        <v>169530.31</v>
      </c>
      <c r="AW36" s="40">
        <v>263843.92911767523</v>
      </c>
      <c r="AX36" s="56">
        <v>2022245.2966794143</v>
      </c>
      <c r="AY36" s="56">
        <v>1994685.4666794143</v>
      </c>
      <c r="AZ36" s="56">
        <v>4955</v>
      </c>
      <c r="BA36" s="56">
        <v>1907675</v>
      </c>
      <c r="BB36" s="56">
        <v>0</v>
      </c>
      <c r="BC36" s="56">
        <v>0</v>
      </c>
      <c r="BD36" s="56">
        <v>2022245.2966794143</v>
      </c>
      <c r="BE36" s="40">
        <v>2022245.2966794143</v>
      </c>
      <c r="BF36" s="40">
        <v>0</v>
      </c>
      <c r="BG36" s="56">
        <v>1935234.83</v>
      </c>
      <c r="BH36" s="56">
        <v>1765704.52</v>
      </c>
      <c r="BI36" s="40">
        <v>1852714.9866794143</v>
      </c>
      <c r="BJ36" s="40">
        <v>4812.2467186478298</v>
      </c>
      <c r="BK36" s="40">
        <v>4799.3707656914894</v>
      </c>
      <c r="BL36" s="41">
        <v>2.6828418942717825E-3</v>
      </c>
      <c r="BM36" s="41">
        <v>0</v>
      </c>
      <c r="BN36" s="40">
        <v>0</v>
      </c>
      <c r="BO36" s="56">
        <v>2022245.2966794143</v>
      </c>
      <c r="BP36" s="56">
        <v>5181.0012121543232</v>
      </c>
      <c r="BQ36" s="56" t="s">
        <v>1006</v>
      </c>
      <c r="BR36" s="56">
        <v>5252.5851861802967</v>
      </c>
      <c r="BS36" s="47">
        <v>4.4491915243316527E-4</v>
      </c>
      <c r="BT36" s="40">
        <v>-10040.799999999999</v>
      </c>
      <c r="BU36" s="40">
        <v>2012204.4966794143</v>
      </c>
      <c r="BV36" s="40">
        <v>0</v>
      </c>
      <c r="BW36" s="40">
        <v>2012204.4966794143</v>
      </c>
      <c r="BX36" s="40">
        <v>27559.83</v>
      </c>
      <c r="BY36" s="40">
        <v>1984644.6666794142</v>
      </c>
    </row>
    <row r="37" spans="1:77">
      <c r="A37">
        <f>_xlfn.XLOOKUP(B37,'Summary Mar 2026'!B:B,'Summary Mar 2026'!A:A,0,0)</f>
        <v>2159</v>
      </c>
      <c r="B37" s="54">
        <v>103247</v>
      </c>
      <c r="C37" s="54">
        <v>3302159</v>
      </c>
      <c r="D37" s="55" t="s">
        <v>227</v>
      </c>
      <c r="E37" s="46">
        <v>208</v>
      </c>
      <c r="F37" s="46">
        <v>208</v>
      </c>
      <c r="G37" s="46">
        <v>0</v>
      </c>
      <c r="H37" s="40">
        <v>798000.61120000004</v>
      </c>
      <c r="I37" s="40">
        <v>0</v>
      </c>
      <c r="J37" s="40">
        <v>0</v>
      </c>
      <c r="K37" s="40">
        <v>45526.080000000009</v>
      </c>
      <c r="L37" s="40">
        <v>0</v>
      </c>
      <c r="M37" s="40">
        <v>101639.71999999997</v>
      </c>
      <c r="N37" s="40">
        <v>0</v>
      </c>
      <c r="O37" s="40">
        <v>2358.2720000000013</v>
      </c>
      <c r="P37" s="40">
        <v>12584.140800000028</v>
      </c>
      <c r="Q37" s="40">
        <v>12950.425600000008</v>
      </c>
      <c r="R37" s="40">
        <v>58023.526399999966</v>
      </c>
      <c r="S37" s="40">
        <v>1043.6608000000006</v>
      </c>
      <c r="T37" s="40">
        <v>687.41120000000035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52382.217528089845</v>
      </c>
      <c r="AB37" s="40">
        <v>0</v>
      </c>
      <c r="AC37" s="40">
        <v>93217.411838658969</v>
      </c>
      <c r="AD37" s="40">
        <v>0</v>
      </c>
      <c r="AE37" s="40">
        <v>6156.118799999992</v>
      </c>
      <c r="AF37" s="40">
        <v>0</v>
      </c>
      <c r="AG37" s="40">
        <v>141970.48000000001</v>
      </c>
      <c r="AH37" s="40">
        <v>0</v>
      </c>
      <c r="AI37" s="40">
        <v>0</v>
      </c>
      <c r="AJ37" s="40">
        <v>0</v>
      </c>
      <c r="AK37" s="40">
        <v>16658.41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798000.61120000004</v>
      </c>
      <c r="AU37" s="40">
        <v>386568.9849667488</v>
      </c>
      <c r="AV37" s="40">
        <v>158628.89000000001</v>
      </c>
      <c r="AW37" s="40">
        <v>217650.20764665899</v>
      </c>
      <c r="AX37" s="56">
        <v>1343198.4861667487</v>
      </c>
      <c r="AY37" s="56">
        <v>1326540.0761667488</v>
      </c>
      <c r="AZ37" s="56">
        <v>4955</v>
      </c>
      <c r="BA37" s="56">
        <v>1030640</v>
      </c>
      <c r="BB37" s="56">
        <v>0</v>
      </c>
      <c r="BC37" s="56">
        <v>0</v>
      </c>
      <c r="BD37" s="56">
        <v>1343198.4861667487</v>
      </c>
      <c r="BE37" s="40">
        <v>1343198.4861667487</v>
      </c>
      <c r="BF37" s="40">
        <v>0</v>
      </c>
      <c r="BG37" s="56">
        <v>1047298.41</v>
      </c>
      <c r="BH37" s="56">
        <v>888669.52</v>
      </c>
      <c r="BI37" s="40">
        <v>1184569.5961667488</v>
      </c>
      <c r="BJ37" s="40">
        <v>5695.0461354170611</v>
      </c>
      <c r="BK37" s="40">
        <v>5686.2419227722776</v>
      </c>
      <c r="BL37" s="41">
        <v>1.5483359245628315E-3</v>
      </c>
      <c r="BM37" s="41">
        <v>0</v>
      </c>
      <c r="BN37" s="40">
        <v>0</v>
      </c>
      <c r="BO37" s="56">
        <v>1343198.4861667487</v>
      </c>
      <c r="BP37" s="56">
        <v>6377.5965200324463</v>
      </c>
      <c r="BQ37" s="56" t="s">
        <v>1006</v>
      </c>
      <c r="BR37" s="56">
        <v>6457.6850296478306</v>
      </c>
      <c r="BS37" s="47">
        <v>-2.1398989696980175E-3</v>
      </c>
      <c r="BT37" s="40">
        <v>-5424.6399999999994</v>
      </c>
      <c r="BU37" s="40">
        <v>1337773.8461667488</v>
      </c>
      <c r="BV37" s="40">
        <v>0</v>
      </c>
      <c r="BW37" s="40">
        <v>1337773.8461667488</v>
      </c>
      <c r="BX37" s="40">
        <v>16658.41</v>
      </c>
      <c r="BY37" s="40">
        <v>1321115.4361667489</v>
      </c>
    </row>
    <row r="38" spans="1:77">
      <c r="A38">
        <f>_xlfn.XLOOKUP(B38,'Summary Mar 2026'!B:B,'Summary Mar 2026'!A:A,0,0)</f>
        <v>2160</v>
      </c>
      <c r="B38" s="54">
        <v>103248</v>
      </c>
      <c r="C38" s="54">
        <v>3302160</v>
      </c>
      <c r="D38" s="55" t="s">
        <v>231</v>
      </c>
      <c r="E38" s="46">
        <v>343</v>
      </c>
      <c r="F38" s="46">
        <v>343</v>
      </c>
      <c r="G38" s="46">
        <v>0</v>
      </c>
      <c r="H38" s="40">
        <v>1315933.7002000001</v>
      </c>
      <c r="I38" s="40">
        <v>0</v>
      </c>
      <c r="J38" s="40">
        <v>0</v>
      </c>
      <c r="K38" s="40">
        <v>69257.760000000053</v>
      </c>
      <c r="L38" s="40">
        <v>0</v>
      </c>
      <c r="M38" s="40">
        <v>206390.86000000016</v>
      </c>
      <c r="N38" s="40">
        <v>0</v>
      </c>
      <c r="O38" s="40">
        <v>6367.3344000000043</v>
      </c>
      <c r="P38" s="40">
        <v>8580.0959999999941</v>
      </c>
      <c r="Q38" s="40">
        <v>3572.5312000000072</v>
      </c>
      <c r="R38" s="40">
        <v>56056.627199999923</v>
      </c>
      <c r="S38" s="40">
        <v>34962.636799999993</v>
      </c>
      <c r="T38" s="40">
        <v>12373.401600000008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7568.2099999999973</v>
      </c>
      <c r="AB38" s="40">
        <v>0</v>
      </c>
      <c r="AC38" s="40">
        <v>139911.32909390202</v>
      </c>
      <c r="AD38" s="40">
        <v>0</v>
      </c>
      <c r="AE38" s="40">
        <v>0</v>
      </c>
      <c r="AF38" s="40">
        <v>0</v>
      </c>
      <c r="AG38" s="40">
        <v>141970.48000000001</v>
      </c>
      <c r="AH38" s="40">
        <v>0</v>
      </c>
      <c r="AI38" s="40">
        <v>0</v>
      </c>
      <c r="AJ38" s="40">
        <v>0</v>
      </c>
      <c r="AK38" s="40">
        <v>26354.1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1315933.7002000001</v>
      </c>
      <c r="AU38" s="40">
        <v>545040.7862939022</v>
      </c>
      <c r="AV38" s="40">
        <v>168324.58000000002</v>
      </c>
      <c r="AW38" s="40">
        <v>348830.06309590203</v>
      </c>
      <c r="AX38" s="56">
        <v>2029299.0664939024</v>
      </c>
      <c r="AY38" s="56">
        <v>2002944.9664939023</v>
      </c>
      <c r="AZ38" s="56">
        <v>4955</v>
      </c>
      <c r="BA38" s="56">
        <v>1699565</v>
      </c>
      <c r="BB38" s="56">
        <v>0</v>
      </c>
      <c r="BC38" s="56">
        <v>0</v>
      </c>
      <c r="BD38" s="56">
        <v>2029299.0664939024</v>
      </c>
      <c r="BE38" s="40">
        <v>2029299.0664939024</v>
      </c>
      <c r="BF38" s="40">
        <v>0</v>
      </c>
      <c r="BG38" s="56">
        <v>1725919.1</v>
      </c>
      <c r="BH38" s="56">
        <v>1557594.52</v>
      </c>
      <c r="BI38" s="40">
        <v>1860974.4864939023</v>
      </c>
      <c r="BJ38" s="40">
        <v>5425.5815932766827</v>
      </c>
      <c r="BK38" s="40">
        <v>5453.9141791788852</v>
      </c>
      <c r="BL38" s="41">
        <v>-5.1949086420109564E-3</v>
      </c>
      <c r="BM38" s="41">
        <v>5.1949086420109564E-3</v>
      </c>
      <c r="BN38" s="40">
        <v>9718.0769644554512</v>
      </c>
      <c r="BO38" s="56">
        <v>2039017.1434583578</v>
      </c>
      <c r="BP38" s="56">
        <v>5867.8222841351535</v>
      </c>
      <c r="BQ38" s="56" t="s">
        <v>1006</v>
      </c>
      <c r="BR38" s="56">
        <v>5944.6563949223255</v>
      </c>
      <c r="BS38" s="47">
        <v>-4.8394059638678932E-4</v>
      </c>
      <c r="BT38" s="40">
        <v>-8945.4399999999987</v>
      </c>
      <c r="BU38" s="40">
        <v>2030071.7034583578</v>
      </c>
      <c r="BV38" s="40">
        <v>0</v>
      </c>
      <c r="BW38" s="40">
        <v>2030071.7034583578</v>
      </c>
      <c r="BX38" s="40">
        <v>26354.1</v>
      </c>
      <c r="BY38" s="40">
        <v>2003717.6034583577</v>
      </c>
    </row>
    <row r="39" spans="1:77">
      <c r="A39">
        <f>_xlfn.XLOOKUP(B39,'Summary Mar 2026'!B:B,'Summary Mar 2026'!A:A,0,0)</f>
        <v>2161</v>
      </c>
      <c r="B39" s="54">
        <v>103249</v>
      </c>
      <c r="C39" s="54">
        <v>3302161</v>
      </c>
      <c r="D39" s="55" t="s">
        <v>229</v>
      </c>
      <c r="E39" s="46">
        <v>240</v>
      </c>
      <c r="F39" s="46">
        <v>240</v>
      </c>
      <c r="G39" s="46">
        <v>0</v>
      </c>
      <c r="H39" s="40">
        <v>920769.93599999999</v>
      </c>
      <c r="I39" s="40">
        <v>0</v>
      </c>
      <c r="J39" s="40">
        <v>0</v>
      </c>
      <c r="K39" s="40">
        <v>48916.319999999956</v>
      </c>
      <c r="L39" s="40">
        <v>0</v>
      </c>
      <c r="M39" s="40">
        <v>105788.28000000001</v>
      </c>
      <c r="N39" s="40">
        <v>0</v>
      </c>
      <c r="O39" s="40">
        <v>3301.5807999999979</v>
      </c>
      <c r="P39" s="40">
        <v>7436.0831999999773</v>
      </c>
      <c r="Q39" s="40">
        <v>2232.8319999999962</v>
      </c>
      <c r="R39" s="40">
        <v>39829.7088</v>
      </c>
      <c r="S39" s="40">
        <v>25047.859200000003</v>
      </c>
      <c r="T39" s="40">
        <v>7561.5231999999951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10499.250867052016</v>
      </c>
      <c r="AB39" s="40">
        <v>0</v>
      </c>
      <c r="AC39" s="40">
        <v>106494.8210526317</v>
      </c>
      <c r="AD39" s="40">
        <v>0</v>
      </c>
      <c r="AE39" s="40">
        <v>0</v>
      </c>
      <c r="AF39" s="40">
        <v>0</v>
      </c>
      <c r="AG39" s="40">
        <v>141970.48000000001</v>
      </c>
      <c r="AH39" s="40">
        <v>0</v>
      </c>
      <c r="AI39" s="40">
        <v>0</v>
      </c>
      <c r="AJ39" s="40">
        <v>0</v>
      </c>
      <c r="AK39" s="40">
        <v>14190.66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920769.93599999999</v>
      </c>
      <c r="AU39" s="40">
        <v>357108.25911968364</v>
      </c>
      <c r="AV39" s="40">
        <v>156161.14000000001</v>
      </c>
      <c r="AW39" s="40">
        <v>238974.42524463165</v>
      </c>
      <c r="AX39" s="56">
        <v>1434039.3351196838</v>
      </c>
      <c r="AY39" s="56">
        <v>1419848.6751196838</v>
      </c>
      <c r="AZ39" s="56">
        <v>4955</v>
      </c>
      <c r="BA39" s="56">
        <v>1189200</v>
      </c>
      <c r="BB39" s="56">
        <v>0</v>
      </c>
      <c r="BC39" s="56">
        <v>0</v>
      </c>
      <c r="BD39" s="56">
        <v>1434039.3351196838</v>
      </c>
      <c r="BE39" s="40">
        <v>1434039.3351196833</v>
      </c>
      <c r="BF39" s="40">
        <v>0</v>
      </c>
      <c r="BG39" s="56">
        <v>1203390.6599999999</v>
      </c>
      <c r="BH39" s="56">
        <v>1047229.5199999999</v>
      </c>
      <c r="BI39" s="40">
        <v>1277878.1951196839</v>
      </c>
      <c r="BJ39" s="40">
        <v>5324.4924796653495</v>
      </c>
      <c r="BK39" s="40">
        <v>5381.4896403921566</v>
      </c>
      <c r="BL39" s="41">
        <v>-1.0591335213023594E-2</v>
      </c>
      <c r="BM39" s="41">
        <v>1.0591335213023594E-2</v>
      </c>
      <c r="BN39" s="40">
        <v>13679.31857443371</v>
      </c>
      <c r="BO39" s="56">
        <v>1447718.6536941174</v>
      </c>
      <c r="BP39" s="56">
        <v>5973.0333070588231</v>
      </c>
      <c r="BQ39" s="56" t="s">
        <v>1006</v>
      </c>
      <c r="BR39" s="56">
        <v>6032.1610570588227</v>
      </c>
      <c r="BS39" s="47">
        <v>6.385638216231726E-3</v>
      </c>
      <c r="BT39" s="40">
        <v>-6259.2</v>
      </c>
      <c r="BU39" s="40">
        <v>1441459.4536941175</v>
      </c>
      <c r="BV39" s="40">
        <v>0</v>
      </c>
      <c r="BW39" s="40">
        <v>1441459.4536941175</v>
      </c>
      <c r="BX39" s="40">
        <v>14190.66</v>
      </c>
      <c r="BY39" s="40">
        <v>1427268.7936941176</v>
      </c>
    </row>
    <row r="40" spans="1:77">
      <c r="A40">
        <f>_xlfn.XLOOKUP(B40,'Summary Mar 2026'!B:B,'Summary Mar 2026'!A:A,0,0)</f>
        <v>2169</v>
      </c>
      <c r="B40" s="54">
        <v>103252</v>
      </c>
      <c r="C40" s="54">
        <v>3302169</v>
      </c>
      <c r="D40" s="55" t="s">
        <v>241</v>
      </c>
      <c r="E40" s="46">
        <v>364</v>
      </c>
      <c r="F40" s="46">
        <v>364</v>
      </c>
      <c r="G40" s="46">
        <v>0</v>
      </c>
      <c r="H40" s="40">
        <v>1396501.0696</v>
      </c>
      <c r="I40" s="40">
        <v>0</v>
      </c>
      <c r="J40" s="40">
        <v>0</v>
      </c>
      <c r="K40" s="40">
        <v>119627.04000000008</v>
      </c>
      <c r="L40" s="40">
        <v>0</v>
      </c>
      <c r="M40" s="40">
        <v>256173.58000000019</v>
      </c>
      <c r="N40" s="40">
        <v>0</v>
      </c>
      <c r="O40" s="40">
        <v>4952.3712000000005</v>
      </c>
      <c r="P40" s="40">
        <v>6578.0736000000006</v>
      </c>
      <c r="Q40" s="40">
        <v>2679.3984000000028</v>
      </c>
      <c r="R40" s="40">
        <v>46222.13119999996</v>
      </c>
      <c r="S40" s="40">
        <v>90276.659199999951</v>
      </c>
      <c r="T40" s="40">
        <v>3437.0559999999909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76053.545889570465</v>
      </c>
      <c r="AB40" s="40">
        <v>0</v>
      </c>
      <c r="AC40" s="40">
        <v>137452.03759290333</v>
      </c>
      <c r="AD40" s="40">
        <v>0</v>
      </c>
      <c r="AE40" s="40">
        <v>34141.910399999884</v>
      </c>
      <c r="AF40" s="40">
        <v>0</v>
      </c>
      <c r="AG40" s="40">
        <v>141970.48000000001</v>
      </c>
      <c r="AH40" s="40">
        <v>0</v>
      </c>
      <c r="AI40" s="40">
        <v>0</v>
      </c>
      <c r="AJ40" s="40">
        <v>0</v>
      </c>
      <c r="AK40" s="40">
        <v>29679.82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1396501.0696</v>
      </c>
      <c r="AU40" s="40">
        <v>777593.80348247394</v>
      </c>
      <c r="AV40" s="40">
        <v>171650.30000000002</v>
      </c>
      <c r="AW40" s="40">
        <v>398057.76252890343</v>
      </c>
      <c r="AX40" s="56">
        <v>2345745.1730824737</v>
      </c>
      <c r="AY40" s="56">
        <v>2316065.3530824739</v>
      </c>
      <c r="AZ40" s="56">
        <v>4955</v>
      </c>
      <c r="BA40" s="56">
        <v>1803620</v>
      </c>
      <c r="BB40" s="56">
        <v>0</v>
      </c>
      <c r="BC40" s="56">
        <v>0</v>
      </c>
      <c r="BD40" s="56">
        <v>2345745.1730824737</v>
      </c>
      <c r="BE40" s="40">
        <v>2345745.1730824737</v>
      </c>
      <c r="BF40" s="40">
        <v>0</v>
      </c>
      <c r="BG40" s="56">
        <v>1833299.82</v>
      </c>
      <c r="BH40" s="56">
        <v>1661649.52</v>
      </c>
      <c r="BI40" s="40">
        <v>2174094.8730824739</v>
      </c>
      <c r="BJ40" s="40">
        <v>5972.7881128639392</v>
      </c>
      <c r="BK40" s="40">
        <v>5886.078139947781</v>
      </c>
      <c r="BL40" s="41">
        <v>1.4731366260273174E-2</v>
      </c>
      <c r="BM40" s="41">
        <v>0</v>
      </c>
      <c r="BN40" s="40">
        <v>0</v>
      </c>
      <c r="BO40" s="56">
        <v>2345745.1730824737</v>
      </c>
      <c r="BP40" s="56">
        <v>6362.8169040727307</v>
      </c>
      <c r="BQ40" s="56" t="s">
        <v>1006</v>
      </c>
      <c r="BR40" s="56">
        <v>6444.3548711056974</v>
      </c>
      <c r="BS40" s="47">
        <v>1.7382263477550008E-2</v>
      </c>
      <c r="BT40" s="40">
        <v>-9493.119999999999</v>
      </c>
      <c r="BU40" s="40">
        <v>2336252.0530824736</v>
      </c>
      <c r="BV40" s="40">
        <v>0</v>
      </c>
      <c r="BW40" s="40">
        <v>2336252.0530824736</v>
      </c>
      <c r="BX40" s="40">
        <v>29679.82</v>
      </c>
      <c r="BY40" s="40">
        <v>2306572.2330824737</v>
      </c>
    </row>
    <row r="41" spans="1:77">
      <c r="A41">
        <f>_xlfn.XLOOKUP(B41,'Summary Mar 2026'!B:B,'Summary Mar 2026'!A:A,0,0)</f>
        <v>2174</v>
      </c>
      <c r="B41" s="54">
        <v>103255</v>
      </c>
      <c r="C41" s="54">
        <v>3302174</v>
      </c>
      <c r="D41" s="55" t="s">
        <v>247</v>
      </c>
      <c r="E41" s="46">
        <v>300</v>
      </c>
      <c r="F41" s="46">
        <v>300</v>
      </c>
      <c r="G41" s="46">
        <v>0</v>
      </c>
      <c r="H41" s="40">
        <v>1150962.42</v>
      </c>
      <c r="I41" s="40">
        <v>0</v>
      </c>
      <c r="J41" s="40">
        <v>0</v>
      </c>
      <c r="K41" s="40">
        <v>61508.639999999948</v>
      </c>
      <c r="L41" s="40">
        <v>0</v>
      </c>
      <c r="M41" s="40">
        <v>132753.92000000013</v>
      </c>
      <c r="N41" s="40">
        <v>0</v>
      </c>
      <c r="O41" s="40">
        <v>1886.6176000000025</v>
      </c>
      <c r="P41" s="40">
        <v>26312.294400000028</v>
      </c>
      <c r="Q41" s="40">
        <v>31259.647999999954</v>
      </c>
      <c r="R41" s="40">
        <v>29503.488000000001</v>
      </c>
      <c r="S41" s="40">
        <v>27135.180799999951</v>
      </c>
      <c r="T41" s="40">
        <v>2062.2336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71523.742857142934</v>
      </c>
      <c r="AB41" s="40">
        <v>0</v>
      </c>
      <c r="AC41" s="40">
        <v>75126.297029702924</v>
      </c>
      <c r="AD41" s="40">
        <v>0</v>
      </c>
      <c r="AE41" s="40">
        <v>0</v>
      </c>
      <c r="AF41" s="40">
        <v>0</v>
      </c>
      <c r="AG41" s="40">
        <v>141970.48000000001</v>
      </c>
      <c r="AH41" s="40">
        <v>0</v>
      </c>
      <c r="AI41" s="40">
        <v>0</v>
      </c>
      <c r="AJ41" s="40">
        <v>0</v>
      </c>
      <c r="AK41" s="40">
        <v>20532.46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1150962.42</v>
      </c>
      <c r="AU41" s="40">
        <v>459072.06228684587</v>
      </c>
      <c r="AV41" s="40">
        <v>162502.94</v>
      </c>
      <c r="AW41" s="40">
        <v>245146.34609370292</v>
      </c>
      <c r="AX41" s="56">
        <v>1772537.4222868457</v>
      </c>
      <c r="AY41" s="56">
        <v>1752004.9622868458</v>
      </c>
      <c r="AZ41" s="56">
        <v>4955</v>
      </c>
      <c r="BA41" s="56">
        <v>1486500</v>
      </c>
      <c r="BB41" s="56">
        <v>0</v>
      </c>
      <c r="BC41" s="56">
        <v>0</v>
      </c>
      <c r="BD41" s="56">
        <v>1772537.4222868457</v>
      </c>
      <c r="BE41" s="40">
        <v>1772537.4222868457</v>
      </c>
      <c r="BF41" s="40">
        <v>0</v>
      </c>
      <c r="BG41" s="56">
        <v>1507032.46</v>
      </c>
      <c r="BH41" s="56">
        <v>1344529.52</v>
      </c>
      <c r="BI41" s="40">
        <v>1610034.4822868458</v>
      </c>
      <c r="BJ41" s="40">
        <v>5366.7816076228191</v>
      </c>
      <c r="BK41" s="40">
        <v>5414.6212436746991</v>
      </c>
      <c r="BL41" s="41">
        <v>-8.8352691534547764E-3</v>
      </c>
      <c r="BM41" s="41">
        <v>8.8352691534547764E-3</v>
      </c>
      <c r="BN41" s="40">
        <v>14351.890815564002</v>
      </c>
      <c r="BO41" s="56">
        <v>1786889.3131024097</v>
      </c>
      <c r="BP41" s="56">
        <v>5887.8561770080323</v>
      </c>
      <c r="BQ41" s="56" t="s">
        <v>1006</v>
      </c>
      <c r="BR41" s="56">
        <v>5956.2977103413659</v>
      </c>
      <c r="BS41" s="47">
        <v>8.8429882032516893E-3</v>
      </c>
      <c r="BT41" s="40">
        <v>-7823.9999999999991</v>
      </c>
      <c r="BU41" s="40">
        <v>1779065.3131024097</v>
      </c>
      <c r="BV41" s="40">
        <v>0</v>
      </c>
      <c r="BW41" s="40">
        <v>1779065.3131024097</v>
      </c>
      <c r="BX41" s="40">
        <v>20532.46</v>
      </c>
      <c r="BY41" s="40">
        <v>1758532.8531024097</v>
      </c>
    </row>
    <row r="42" spans="1:77">
      <c r="A42">
        <f>_xlfn.XLOOKUP(B42,'Summary Mar 2026'!B:B,'Summary Mar 2026'!A:A,0,0)</f>
        <v>2176</v>
      </c>
      <c r="B42" s="54">
        <v>103256</v>
      </c>
      <c r="C42" s="54">
        <v>3302176</v>
      </c>
      <c r="D42" s="55" t="s">
        <v>249</v>
      </c>
      <c r="E42" s="46">
        <v>650</v>
      </c>
      <c r="F42" s="46">
        <v>650</v>
      </c>
      <c r="G42" s="46">
        <v>0</v>
      </c>
      <c r="H42" s="40">
        <v>2493751.91</v>
      </c>
      <c r="I42" s="40">
        <v>0</v>
      </c>
      <c r="J42" s="40">
        <v>0</v>
      </c>
      <c r="K42" s="40">
        <v>171449.28000000012</v>
      </c>
      <c r="L42" s="40">
        <v>0</v>
      </c>
      <c r="M42" s="40">
        <v>367147.56000000029</v>
      </c>
      <c r="N42" s="40">
        <v>0</v>
      </c>
      <c r="O42" s="40">
        <v>1179.1359999999995</v>
      </c>
      <c r="P42" s="40">
        <v>85800.960000000079</v>
      </c>
      <c r="Q42" s="40">
        <v>79042.2527999999</v>
      </c>
      <c r="R42" s="40">
        <v>48680.755199999905</v>
      </c>
      <c r="S42" s="40">
        <v>29744.332800000004</v>
      </c>
      <c r="T42" s="40">
        <v>2062.2336000000023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196638.31339285709</v>
      </c>
      <c r="AB42" s="40">
        <v>0</v>
      </c>
      <c r="AC42" s="40">
        <v>284816.78793542914</v>
      </c>
      <c r="AD42" s="40">
        <v>0</v>
      </c>
      <c r="AE42" s="40">
        <v>0</v>
      </c>
      <c r="AF42" s="40">
        <v>0</v>
      </c>
      <c r="AG42" s="40">
        <v>141970.48000000001</v>
      </c>
      <c r="AH42" s="40">
        <v>0</v>
      </c>
      <c r="AI42" s="40">
        <v>0</v>
      </c>
      <c r="AJ42" s="40">
        <v>0</v>
      </c>
      <c r="AK42" s="40">
        <v>66127.06</v>
      </c>
      <c r="AL42" s="40"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2493751.91</v>
      </c>
      <c r="AU42" s="40">
        <v>1266561.6117282866</v>
      </c>
      <c r="AV42" s="40">
        <v>208097.54</v>
      </c>
      <c r="AW42" s="40">
        <v>692142.72717942926</v>
      </c>
      <c r="AX42" s="56">
        <v>3968411.0617282866</v>
      </c>
      <c r="AY42" s="56">
        <v>3902284.0017282865</v>
      </c>
      <c r="AZ42" s="56">
        <v>4955</v>
      </c>
      <c r="BA42" s="56">
        <v>3220750</v>
      </c>
      <c r="BB42" s="56">
        <v>0</v>
      </c>
      <c r="BC42" s="56">
        <v>0</v>
      </c>
      <c r="BD42" s="56">
        <v>3968411.0617282866</v>
      </c>
      <c r="BE42" s="40">
        <v>3968411.061728287</v>
      </c>
      <c r="BF42" s="40">
        <v>0</v>
      </c>
      <c r="BG42" s="56">
        <v>3286877.06</v>
      </c>
      <c r="BH42" s="56">
        <v>3078779.52</v>
      </c>
      <c r="BI42" s="40">
        <v>3760313.5217282865</v>
      </c>
      <c r="BJ42" s="40">
        <v>5785.0977257358254</v>
      </c>
      <c r="BK42" s="40">
        <v>5651.8264700154568</v>
      </c>
      <c r="BL42" s="41">
        <v>2.358021011922613E-2</v>
      </c>
      <c r="BM42" s="41">
        <v>0</v>
      </c>
      <c r="BN42" s="40">
        <v>0</v>
      </c>
      <c r="BO42" s="56">
        <v>3968411.0617282866</v>
      </c>
      <c r="BP42" s="56">
        <v>6003.5138488127486</v>
      </c>
      <c r="BQ42" s="56" t="s">
        <v>1006</v>
      </c>
      <c r="BR42" s="56">
        <v>6105.2477872742866</v>
      </c>
      <c r="BS42" s="47">
        <v>2.3152073001324158E-2</v>
      </c>
      <c r="BT42" s="40">
        <v>-16952</v>
      </c>
      <c r="BU42" s="40">
        <v>3951459.0617282866</v>
      </c>
      <c r="BV42" s="40">
        <v>0</v>
      </c>
      <c r="BW42" s="40">
        <v>3951459.0617282866</v>
      </c>
      <c r="BX42" s="40">
        <v>66127.06</v>
      </c>
      <c r="BY42" s="40">
        <v>3885332.0017282865</v>
      </c>
    </row>
    <row r="43" spans="1:77">
      <c r="A43">
        <f>_xlfn.XLOOKUP(B43,'Summary Mar 2026'!B:B,'Summary Mar 2026'!A:A,0,0)</f>
        <v>2178</v>
      </c>
      <c r="B43" s="54">
        <v>103257</v>
      </c>
      <c r="C43" s="54">
        <v>3302178</v>
      </c>
      <c r="D43" s="55" t="s">
        <v>299</v>
      </c>
      <c r="E43" s="46">
        <v>206</v>
      </c>
      <c r="F43" s="46">
        <v>206</v>
      </c>
      <c r="G43" s="46">
        <v>0</v>
      </c>
      <c r="H43" s="40">
        <v>790327.52840000007</v>
      </c>
      <c r="I43" s="40">
        <v>0</v>
      </c>
      <c r="J43" s="40">
        <v>0</v>
      </c>
      <c r="K43" s="40">
        <v>47947.680000000037</v>
      </c>
      <c r="L43" s="40">
        <v>0</v>
      </c>
      <c r="M43" s="40">
        <v>106825.42000000001</v>
      </c>
      <c r="N43" s="40">
        <v>0</v>
      </c>
      <c r="O43" s="40">
        <v>3773.2352000000019</v>
      </c>
      <c r="P43" s="40">
        <v>2002.0223999999973</v>
      </c>
      <c r="Q43" s="40">
        <v>893.13279999999997</v>
      </c>
      <c r="R43" s="40">
        <v>39829.708800000044</v>
      </c>
      <c r="S43" s="40">
        <v>25047.859199999995</v>
      </c>
      <c r="T43" s="40">
        <v>9623.756800000001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13020.647885714337</v>
      </c>
      <c r="AB43" s="40">
        <v>0</v>
      </c>
      <c r="AC43" s="40">
        <v>77034.800175824217</v>
      </c>
      <c r="AD43" s="40">
        <v>0</v>
      </c>
      <c r="AE43" s="40">
        <v>0</v>
      </c>
      <c r="AF43" s="40">
        <v>0</v>
      </c>
      <c r="AG43" s="40">
        <v>141970.48000000001</v>
      </c>
      <c r="AH43" s="40">
        <v>0</v>
      </c>
      <c r="AI43" s="40">
        <v>0</v>
      </c>
      <c r="AJ43" s="40">
        <v>0</v>
      </c>
      <c r="AK43" s="40">
        <v>16400.14</v>
      </c>
      <c r="AL43" s="40">
        <v>0</v>
      </c>
      <c r="AM43" s="40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790327.52840000007</v>
      </c>
      <c r="AU43" s="40">
        <v>325998.26326153864</v>
      </c>
      <c r="AV43" s="40">
        <v>158370.62</v>
      </c>
      <c r="AW43" s="40">
        <v>201490.59006782423</v>
      </c>
      <c r="AX43" s="56">
        <v>1274696.4116615388</v>
      </c>
      <c r="AY43" s="56">
        <v>1258296.2716615389</v>
      </c>
      <c r="AZ43" s="56">
        <v>4955</v>
      </c>
      <c r="BA43" s="56">
        <v>1020730</v>
      </c>
      <c r="BB43" s="56">
        <v>0</v>
      </c>
      <c r="BC43" s="56">
        <v>0</v>
      </c>
      <c r="BD43" s="56">
        <v>1274696.4116615388</v>
      </c>
      <c r="BE43" s="40">
        <v>1274696.4116615388</v>
      </c>
      <c r="BF43" s="40">
        <v>0</v>
      </c>
      <c r="BG43" s="56">
        <v>1037130.14</v>
      </c>
      <c r="BH43" s="56">
        <v>878759.52</v>
      </c>
      <c r="BI43" s="40">
        <v>1116325.7916615389</v>
      </c>
      <c r="BJ43" s="40">
        <v>5419.0572410754312</v>
      </c>
      <c r="BK43" s="40">
        <v>5709.2480009569381</v>
      </c>
      <c r="BL43" s="41">
        <v>-5.0828193105793874E-2</v>
      </c>
      <c r="BM43" s="41">
        <v>5.0828193105793874E-2</v>
      </c>
      <c r="BN43" s="40">
        <v>59779.296535590416</v>
      </c>
      <c r="BO43" s="56">
        <v>1334475.7081971292</v>
      </c>
      <c r="BP43" s="56">
        <v>6398.4250883355789</v>
      </c>
      <c r="BQ43" s="56" t="s">
        <v>1006</v>
      </c>
      <c r="BR43" s="56">
        <v>6478.0374184326656</v>
      </c>
      <c r="BS43" s="47">
        <v>1.7063941710662167E-3</v>
      </c>
      <c r="BT43" s="40">
        <v>-5372.48</v>
      </c>
      <c r="BU43" s="40">
        <v>1329103.2281971292</v>
      </c>
      <c r="BV43" s="40">
        <v>0</v>
      </c>
      <c r="BW43" s="40">
        <v>1329103.2281971292</v>
      </c>
      <c r="BX43" s="40">
        <v>16400.14</v>
      </c>
      <c r="BY43" s="40">
        <v>1312703.0881971293</v>
      </c>
    </row>
    <row r="44" spans="1:77">
      <c r="A44">
        <f>_xlfn.XLOOKUP(B44,'Summary Mar 2026'!B:B,'Summary Mar 2026'!A:A,0,0)</f>
        <v>2183</v>
      </c>
      <c r="B44" s="54">
        <v>103261</v>
      </c>
      <c r="C44" s="54">
        <v>3302183</v>
      </c>
      <c r="D44" s="55" t="s">
        <v>259</v>
      </c>
      <c r="E44" s="46">
        <v>342</v>
      </c>
      <c r="F44" s="46">
        <v>342</v>
      </c>
      <c r="G44" s="46">
        <v>0</v>
      </c>
      <c r="H44" s="40">
        <v>1312097.1588000001</v>
      </c>
      <c r="I44" s="40">
        <v>0</v>
      </c>
      <c r="J44" s="40">
        <v>0</v>
      </c>
      <c r="K44" s="40">
        <v>88630.560000000056</v>
      </c>
      <c r="L44" s="40">
        <v>0</v>
      </c>
      <c r="M44" s="40">
        <v>196019.45999999988</v>
      </c>
      <c r="N44" s="40">
        <v>0</v>
      </c>
      <c r="O44" s="40">
        <v>1414.9631999999995</v>
      </c>
      <c r="P44" s="40">
        <v>36036.403200000001</v>
      </c>
      <c r="Q44" s="40">
        <v>49122.304000000033</v>
      </c>
      <c r="R44" s="40">
        <v>42780.057600000051</v>
      </c>
      <c r="S44" s="40">
        <v>3130.982399999999</v>
      </c>
      <c r="T44" s="40">
        <v>687.41119999999898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111037.73192307698</v>
      </c>
      <c r="AB44" s="40">
        <v>0</v>
      </c>
      <c r="AC44" s="40">
        <v>171432.39385797956</v>
      </c>
      <c r="AD44" s="40">
        <v>0</v>
      </c>
      <c r="AE44" s="40">
        <v>31911.400376470683</v>
      </c>
      <c r="AF44" s="40">
        <v>0</v>
      </c>
      <c r="AG44" s="40">
        <v>141970.48000000001</v>
      </c>
      <c r="AH44" s="40">
        <v>0</v>
      </c>
      <c r="AI44" s="40">
        <v>0</v>
      </c>
      <c r="AJ44" s="40">
        <v>0</v>
      </c>
      <c r="AK44" s="40">
        <v>37394.07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1312097.1588000001</v>
      </c>
      <c r="AU44" s="40">
        <v>732203.6677575272</v>
      </c>
      <c r="AV44" s="40">
        <v>179364.55000000002</v>
      </c>
      <c r="AW44" s="40">
        <v>387453.22277397953</v>
      </c>
      <c r="AX44" s="56">
        <v>2223665.3765575271</v>
      </c>
      <c r="AY44" s="56">
        <v>2186271.3065575273</v>
      </c>
      <c r="AZ44" s="56">
        <v>4955</v>
      </c>
      <c r="BA44" s="56">
        <v>1694610</v>
      </c>
      <c r="BB44" s="56">
        <v>0</v>
      </c>
      <c r="BC44" s="56">
        <v>0</v>
      </c>
      <c r="BD44" s="56">
        <v>2223665.3765575271</v>
      </c>
      <c r="BE44" s="40">
        <v>2223665.3765575276</v>
      </c>
      <c r="BF44" s="40">
        <v>0</v>
      </c>
      <c r="BG44" s="56">
        <v>1732004.07</v>
      </c>
      <c r="BH44" s="56">
        <v>1552639.52</v>
      </c>
      <c r="BI44" s="40">
        <v>2044300.8265575271</v>
      </c>
      <c r="BJ44" s="40">
        <v>5977.4877969518338</v>
      </c>
      <c r="BK44" s="40">
        <v>5889.6440177650438</v>
      </c>
      <c r="BL44" s="41">
        <v>1.4914955627509096E-2</v>
      </c>
      <c r="BM44" s="41">
        <v>0</v>
      </c>
      <c r="BN44" s="40">
        <v>0</v>
      </c>
      <c r="BO44" s="56">
        <v>2223665.3765575271</v>
      </c>
      <c r="BP44" s="56">
        <v>6392.6061595249339</v>
      </c>
      <c r="BQ44" s="56" t="s">
        <v>1006</v>
      </c>
      <c r="BR44" s="56">
        <v>6501.9455454898452</v>
      </c>
      <c r="BS44" s="47">
        <v>1.5360618556221173E-2</v>
      </c>
      <c r="BT44" s="40">
        <v>-8919.3599999999988</v>
      </c>
      <c r="BU44" s="40">
        <v>2214746.0165575272</v>
      </c>
      <c r="BV44" s="40">
        <v>0</v>
      </c>
      <c r="BW44" s="40">
        <v>2214746.0165575272</v>
      </c>
      <c r="BX44" s="40">
        <v>37394.07</v>
      </c>
      <c r="BY44" s="40">
        <v>2177351.9465575274</v>
      </c>
    </row>
    <row r="45" spans="1:77">
      <c r="A45">
        <f>_xlfn.XLOOKUP(B45,'Summary Mar 2026'!B:B,'Summary Mar 2026'!A:A,0,0)</f>
        <v>2184</v>
      </c>
      <c r="B45" s="54">
        <v>103262</v>
      </c>
      <c r="C45" s="54">
        <v>3302184</v>
      </c>
      <c r="D45" s="55" t="s">
        <v>301</v>
      </c>
      <c r="E45" s="46">
        <v>414</v>
      </c>
      <c r="F45" s="46">
        <v>414</v>
      </c>
      <c r="G45" s="46">
        <v>0</v>
      </c>
      <c r="H45" s="40">
        <v>1588328.1396000001</v>
      </c>
      <c r="I45" s="40">
        <v>0</v>
      </c>
      <c r="J45" s="40">
        <v>0</v>
      </c>
      <c r="K45" s="40">
        <v>85724.64</v>
      </c>
      <c r="L45" s="40">
        <v>0</v>
      </c>
      <c r="M45" s="40">
        <v>186685.19999999992</v>
      </c>
      <c r="N45" s="40">
        <v>0</v>
      </c>
      <c r="O45" s="40">
        <v>15800.422400000047</v>
      </c>
      <c r="P45" s="40">
        <v>50622.566399999996</v>
      </c>
      <c r="Q45" s="40">
        <v>5358.7967999999983</v>
      </c>
      <c r="R45" s="40">
        <v>44746.956799999964</v>
      </c>
      <c r="S45" s="40">
        <v>11480.268800000005</v>
      </c>
      <c r="T45" s="40">
        <v>24746.803199999991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68765.131016949177</v>
      </c>
      <c r="AB45" s="40">
        <v>0</v>
      </c>
      <c r="AC45" s="40">
        <v>143046.46854851645</v>
      </c>
      <c r="AD45" s="40">
        <v>0</v>
      </c>
      <c r="AE45" s="40">
        <v>0</v>
      </c>
      <c r="AF45" s="40">
        <v>0</v>
      </c>
      <c r="AG45" s="40">
        <v>141970.48000000001</v>
      </c>
      <c r="AH45" s="40">
        <v>0</v>
      </c>
      <c r="AI45" s="40">
        <v>0</v>
      </c>
      <c r="AJ45" s="40">
        <v>0</v>
      </c>
      <c r="AK45" s="40">
        <v>30739.81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1588328.1396000001</v>
      </c>
      <c r="AU45" s="40">
        <v>636977.25396546558</v>
      </c>
      <c r="AV45" s="40">
        <v>172710.29</v>
      </c>
      <c r="AW45" s="40">
        <v>375522.51111251651</v>
      </c>
      <c r="AX45" s="56">
        <v>2398015.6835654657</v>
      </c>
      <c r="AY45" s="56">
        <v>2367275.8735654657</v>
      </c>
      <c r="AZ45" s="56">
        <v>4955</v>
      </c>
      <c r="BA45" s="56">
        <v>2051370</v>
      </c>
      <c r="BB45" s="56">
        <v>0</v>
      </c>
      <c r="BC45" s="56">
        <v>0</v>
      </c>
      <c r="BD45" s="56">
        <v>2398015.6835654657</v>
      </c>
      <c r="BE45" s="40">
        <v>2398015.6835654653</v>
      </c>
      <c r="BF45" s="40">
        <v>0</v>
      </c>
      <c r="BG45" s="56">
        <v>2082109.81</v>
      </c>
      <c r="BH45" s="56">
        <v>1909399.52</v>
      </c>
      <c r="BI45" s="40">
        <v>2225305.3935654657</v>
      </c>
      <c r="BJ45" s="40">
        <v>5375.133800882767</v>
      </c>
      <c r="BK45" s="40">
        <v>5261.4764043795612</v>
      </c>
      <c r="BL45" s="41">
        <v>2.1601806749261349E-2</v>
      </c>
      <c r="BM45" s="41">
        <v>0</v>
      </c>
      <c r="BN45" s="40">
        <v>0</v>
      </c>
      <c r="BO45" s="56">
        <v>2398015.6835654657</v>
      </c>
      <c r="BP45" s="56">
        <v>5718.057665617067</v>
      </c>
      <c r="BQ45" s="56" t="s">
        <v>1006</v>
      </c>
      <c r="BR45" s="56">
        <v>5792.3084144093373</v>
      </c>
      <c r="BS45" s="47">
        <v>1.9468187776459978E-2</v>
      </c>
      <c r="BT45" s="40">
        <v>-10797.119999999999</v>
      </c>
      <c r="BU45" s="40">
        <v>2387218.5635654656</v>
      </c>
      <c r="BV45" s="40">
        <v>0</v>
      </c>
      <c r="BW45" s="40">
        <v>2387218.5635654656</v>
      </c>
      <c r="BX45" s="40">
        <v>30739.81</v>
      </c>
      <c r="BY45" s="40">
        <v>2356478.7535654656</v>
      </c>
    </row>
    <row r="46" spans="1:77">
      <c r="A46">
        <f>_xlfn.XLOOKUP(B46,'Summary Mar 2026'!B:B,'Summary Mar 2026'!A:A,0,0)</f>
        <v>2185</v>
      </c>
      <c r="B46" s="54">
        <v>103263</v>
      </c>
      <c r="C46" s="54">
        <v>3302185</v>
      </c>
      <c r="D46" s="55" t="s">
        <v>105</v>
      </c>
      <c r="E46" s="46">
        <v>422</v>
      </c>
      <c r="F46" s="46">
        <v>422</v>
      </c>
      <c r="G46" s="46">
        <v>0</v>
      </c>
      <c r="H46" s="40">
        <v>1619020.4708</v>
      </c>
      <c r="I46" s="40">
        <v>0</v>
      </c>
      <c r="J46" s="40">
        <v>0</v>
      </c>
      <c r="K46" s="40">
        <v>69742.080000000075</v>
      </c>
      <c r="L46" s="40">
        <v>0</v>
      </c>
      <c r="M46" s="40">
        <v>152459.57999999993</v>
      </c>
      <c r="N46" s="40">
        <v>0</v>
      </c>
      <c r="O46" s="40">
        <v>5424.0255999999954</v>
      </c>
      <c r="P46" s="40">
        <v>45760.512000000039</v>
      </c>
      <c r="Q46" s="40">
        <v>0</v>
      </c>
      <c r="R46" s="40">
        <v>6392.4224000000067</v>
      </c>
      <c r="S46" s="40">
        <v>9914.7776000000104</v>
      </c>
      <c r="T46" s="40">
        <v>3437.0560000000032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57007.630276243181</v>
      </c>
      <c r="AB46" s="40">
        <v>0</v>
      </c>
      <c r="AC46" s="40">
        <v>210041.32422454079</v>
      </c>
      <c r="AD46" s="40">
        <v>0</v>
      </c>
      <c r="AE46" s="40">
        <v>0</v>
      </c>
      <c r="AF46" s="40">
        <v>0</v>
      </c>
      <c r="AG46" s="40">
        <v>141970.48000000001</v>
      </c>
      <c r="AH46" s="40">
        <v>0</v>
      </c>
      <c r="AI46" s="40">
        <v>0</v>
      </c>
      <c r="AJ46" s="40">
        <v>0</v>
      </c>
      <c r="AK46" s="40">
        <v>23760.83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1619020.4708</v>
      </c>
      <c r="AU46" s="40">
        <v>560179.40810078406</v>
      </c>
      <c r="AV46" s="40">
        <v>165731.31</v>
      </c>
      <c r="AW46" s="40">
        <v>396519.31106054079</v>
      </c>
      <c r="AX46" s="56">
        <v>2344931.1889007841</v>
      </c>
      <c r="AY46" s="56">
        <v>2321170.358900784</v>
      </c>
      <c r="AZ46" s="56">
        <v>4955</v>
      </c>
      <c r="BA46" s="56">
        <v>2091010</v>
      </c>
      <c r="BB46" s="56">
        <v>0</v>
      </c>
      <c r="BC46" s="56">
        <v>0</v>
      </c>
      <c r="BD46" s="56">
        <v>2344931.1889007841</v>
      </c>
      <c r="BE46" s="40">
        <v>2344931.1889007841</v>
      </c>
      <c r="BF46" s="40">
        <v>0</v>
      </c>
      <c r="BG46" s="56">
        <v>2114770.83</v>
      </c>
      <c r="BH46" s="56">
        <v>1949039.52</v>
      </c>
      <c r="BI46" s="40">
        <v>2179199.8789007841</v>
      </c>
      <c r="BJ46" s="40">
        <v>5163.9807556890619</v>
      </c>
      <c r="BK46" s="40">
        <v>5173.179678333333</v>
      </c>
      <c r="BL46" s="41">
        <v>-1.7781950785120879E-3</v>
      </c>
      <c r="BM46" s="41">
        <v>1.7781950785120879E-3</v>
      </c>
      <c r="BN46" s="40">
        <v>3881.9453558823952</v>
      </c>
      <c r="BO46" s="56">
        <v>2348813.1342566665</v>
      </c>
      <c r="BP46" s="56">
        <v>5509.6026167219588</v>
      </c>
      <c r="BQ46" s="56" t="s">
        <v>1006</v>
      </c>
      <c r="BR46" s="56">
        <v>5565.9079010821479</v>
      </c>
      <c r="BS46" s="47">
        <v>-3.358852278462221E-4</v>
      </c>
      <c r="BT46" s="40">
        <v>-11005.759999999998</v>
      </c>
      <c r="BU46" s="40">
        <v>2337807.3742566667</v>
      </c>
      <c r="BV46" s="40">
        <v>0</v>
      </c>
      <c r="BW46" s="40">
        <v>2337807.3742566667</v>
      </c>
      <c r="BX46" s="40">
        <v>23760.83</v>
      </c>
      <c r="BY46" s="40">
        <v>2314046.5442566667</v>
      </c>
    </row>
    <row r="47" spans="1:77">
      <c r="A47">
        <f>_xlfn.XLOOKUP(B47,'Summary Mar 2026'!B:B,'Summary Mar 2026'!A:A,0,0)</f>
        <v>2189</v>
      </c>
      <c r="B47" s="54">
        <v>103265</v>
      </c>
      <c r="C47" s="54">
        <v>3302189</v>
      </c>
      <c r="D47" s="55" t="s">
        <v>359</v>
      </c>
      <c r="E47" s="46">
        <v>220</v>
      </c>
      <c r="F47" s="46">
        <v>220</v>
      </c>
      <c r="G47" s="46">
        <v>0</v>
      </c>
      <c r="H47" s="40">
        <v>844039.10800000001</v>
      </c>
      <c r="I47" s="40">
        <v>0</v>
      </c>
      <c r="J47" s="40">
        <v>0</v>
      </c>
      <c r="K47" s="40">
        <v>55212.479999999981</v>
      </c>
      <c r="L47" s="40">
        <v>0</v>
      </c>
      <c r="M47" s="40">
        <v>124456.7999999999</v>
      </c>
      <c r="N47" s="40">
        <v>0</v>
      </c>
      <c r="O47" s="40">
        <v>1414.9632000000015</v>
      </c>
      <c r="P47" s="40">
        <v>2002.0223999999989</v>
      </c>
      <c r="Q47" s="40">
        <v>6698.4960000000019</v>
      </c>
      <c r="R47" s="40">
        <v>16226.9184</v>
      </c>
      <c r="S47" s="40">
        <v>37049.958400000032</v>
      </c>
      <c r="T47" s="40">
        <v>53618.073600000069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55949.601052631588</v>
      </c>
      <c r="AB47" s="40">
        <v>0</v>
      </c>
      <c r="AC47" s="40">
        <v>84779.339701117162</v>
      </c>
      <c r="AD47" s="40">
        <v>0</v>
      </c>
      <c r="AE47" s="40">
        <v>5476.3020000000097</v>
      </c>
      <c r="AF47" s="40">
        <v>0</v>
      </c>
      <c r="AG47" s="40">
        <v>141970.48000000001</v>
      </c>
      <c r="AH47" s="40">
        <v>0</v>
      </c>
      <c r="AI47" s="40">
        <v>0</v>
      </c>
      <c r="AJ47" s="40">
        <v>0</v>
      </c>
      <c r="AK47" s="40">
        <v>31534.81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844039.10800000001</v>
      </c>
      <c r="AU47" s="40">
        <v>442884.95475374872</v>
      </c>
      <c r="AV47" s="40">
        <v>173505.29</v>
      </c>
      <c r="AW47" s="40">
        <v>233785.99142111716</v>
      </c>
      <c r="AX47" s="56">
        <v>1460429.3527537487</v>
      </c>
      <c r="AY47" s="56">
        <v>1428894.5427537486</v>
      </c>
      <c r="AZ47" s="56">
        <v>4955</v>
      </c>
      <c r="BA47" s="56">
        <v>1090100</v>
      </c>
      <c r="BB47" s="56">
        <v>0</v>
      </c>
      <c r="BC47" s="56">
        <v>0</v>
      </c>
      <c r="BD47" s="56">
        <v>1460429.3527537487</v>
      </c>
      <c r="BE47" s="40">
        <v>1460429.3527537489</v>
      </c>
      <c r="BF47" s="40">
        <v>0</v>
      </c>
      <c r="BG47" s="56">
        <v>1121634.81</v>
      </c>
      <c r="BH47" s="56">
        <v>948129.52</v>
      </c>
      <c r="BI47" s="40">
        <v>1286924.0627537486</v>
      </c>
      <c r="BJ47" s="40">
        <v>5849.654830698857</v>
      </c>
      <c r="BK47" s="40">
        <v>5864.7644862068973</v>
      </c>
      <c r="BL47" s="41">
        <v>-2.5763448035425966E-3</v>
      </c>
      <c r="BM47" s="41">
        <v>2.5763448035425966E-3</v>
      </c>
      <c r="BN47" s="40">
        <v>3324.1242117688676</v>
      </c>
      <c r="BO47" s="56">
        <v>1463753.4769655175</v>
      </c>
      <c r="BP47" s="56">
        <v>6510.0848498432615</v>
      </c>
      <c r="BQ47" s="56" t="s">
        <v>1006</v>
      </c>
      <c r="BR47" s="56">
        <v>6653.4248952978069</v>
      </c>
      <c r="BS47" s="47">
        <v>6.1689171676193588E-3</v>
      </c>
      <c r="BT47" s="40">
        <v>-5737.5999999999995</v>
      </c>
      <c r="BU47" s="40">
        <v>1458015.8769655174</v>
      </c>
      <c r="BV47" s="40">
        <v>0</v>
      </c>
      <c r="BW47" s="40">
        <v>1458015.8769655174</v>
      </c>
      <c r="BX47" s="40">
        <v>31534.81</v>
      </c>
      <c r="BY47" s="40">
        <v>1426481.0669655174</v>
      </c>
    </row>
    <row r="48" spans="1:77">
      <c r="A48">
        <f>_xlfn.XLOOKUP(B48,'Summary Mar 2026'!B:B,'Summary Mar 2026'!A:A,0,0)</f>
        <v>2190</v>
      </c>
      <c r="B48" s="54">
        <v>103266</v>
      </c>
      <c r="C48" s="54">
        <v>3302190</v>
      </c>
      <c r="D48" s="55" t="s">
        <v>303</v>
      </c>
      <c r="E48" s="46">
        <v>156</v>
      </c>
      <c r="F48" s="46">
        <v>156</v>
      </c>
      <c r="G48" s="46">
        <v>0</v>
      </c>
      <c r="H48" s="40">
        <v>598500.4584</v>
      </c>
      <c r="I48" s="40">
        <v>0</v>
      </c>
      <c r="J48" s="40">
        <v>0</v>
      </c>
      <c r="K48" s="40">
        <v>46979.040000000023</v>
      </c>
      <c r="L48" s="40">
        <v>0</v>
      </c>
      <c r="M48" s="40">
        <v>101639.71999999997</v>
      </c>
      <c r="N48" s="40">
        <v>0</v>
      </c>
      <c r="O48" s="40">
        <v>10848.051200000005</v>
      </c>
      <c r="P48" s="40">
        <v>1430.0159999999976</v>
      </c>
      <c r="Q48" s="40">
        <v>1339.6991999999977</v>
      </c>
      <c r="R48" s="40">
        <v>0</v>
      </c>
      <c r="S48" s="40">
        <v>29744.332799999971</v>
      </c>
      <c r="T48" s="40">
        <v>2062.2335999999968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17028.4725</v>
      </c>
      <c r="AB48" s="40">
        <v>0</v>
      </c>
      <c r="AC48" s="40">
        <v>54835.151494736841</v>
      </c>
      <c r="AD48" s="40">
        <v>0</v>
      </c>
      <c r="AE48" s="40">
        <v>6269.4216000000652</v>
      </c>
      <c r="AF48" s="40">
        <v>0</v>
      </c>
      <c r="AG48" s="40">
        <v>141970.48000000001</v>
      </c>
      <c r="AH48" s="40">
        <v>0</v>
      </c>
      <c r="AI48" s="40">
        <v>0</v>
      </c>
      <c r="AJ48" s="40">
        <v>0</v>
      </c>
      <c r="AK48" s="40">
        <v>21694.67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598500.4584</v>
      </c>
      <c r="AU48" s="40">
        <v>272176.13839473692</v>
      </c>
      <c r="AV48" s="40">
        <v>163665.15000000002</v>
      </c>
      <c r="AW48" s="40">
        <v>154615.6878227368</v>
      </c>
      <c r="AX48" s="56">
        <v>1034341.7467947369</v>
      </c>
      <c r="AY48" s="56">
        <v>1012647.0767947369</v>
      </c>
      <c r="AZ48" s="56">
        <v>4955</v>
      </c>
      <c r="BA48" s="56">
        <v>772980</v>
      </c>
      <c r="BB48" s="56">
        <v>0</v>
      </c>
      <c r="BC48" s="56">
        <v>0</v>
      </c>
      <c r="BD48" s="56">
        <v>1034341.7467947369</v>
      </c>
      <c r="BE48" s="40">
        <v>1034341.7467947369</v>
      </c>
      <c r="BF48" s="40">
        <v>0</v>
      </c>
      <c r="BG48" s="56">
        <v>794674.67</v>
      </c>
      <c r="BH48" s="56">
        <v>631009.52</v>
      </c>
      <c r="BI48" s="40">
        <v>870676.59679473692</v>
      </c>
      <c r="BJ48" s="40">
        <v>5581.2602358636987</v>
      </c>
      <c r="BK48" s="40">
        <v>5567.9957231213875</v>
      </c>
      <c r="BL48" s="41">
        <v>2.3822778252557842E-3</v>
      </c>
      <c r="BM48" s="41">
        <v>0</v>
      </c>
      <c r="BN48" s="40">
        <v>0</v>
      </c>
      <c r="BO48" s="56">
        <v>1034341.7467947369</v>
      </c>
      <c r="BP48" s="56">
        <v>6491.3274153508773</v>
      </c>
      <c r="BQ48" s="56" t="s">
        <v>1006</v>
      </c>
      <c r="BR48" s="56">
        <v>6630.3958127867754</v>
      </c>
      <c r="BS48" s="47">
        <v>1.7862772232644319E-2</v>
      </c>
      <c r="BT48" s="40">
        <v>-4068.4799999999996</v>
      </c>
      <c r="BU48" s="40">
        <v>1030273.266794737</v>
      </c>
      <c r="BV48" s="40">
        <v>0</v>
      </c>
      <c r="BW48" s="40">
        <v>1030273.266794737</v>
      </c>
      <c r="BX48" s="40">
        <v>21694.67</v>
      </c>
      <c r="BY48" s="40">
        <v>1008578.5967947369</v>
      </c>
    </row>
    <row r="49" spans="1:77">
      <c r="A49">
        <f>_xlfn.XLOOKUP(B49,'Summary Mar 2026'!B:B,'Summary Mar 2026'!A:A,0,0)</f>
        <v>2192</v>
      </c>
      <c r="B49" s="54">
        <v>103268</v>
      </c>
      <c r="C49" s="54">
        <v>3302192</v>
      </c>
      <c r="D49" s="55" t="s">
        <v>311</v>
      </c>
      <c r="E49" s="46">
        <v>480</v>
      </c>
      <c r="F49" s="46">
        <v>480</v>
      </c>
      <c r="G49" s="46">
        <v>0</v>
      </c>
      <c r="H49" s="40">
        <v>1841539.872</v>
      </c>
      <c r="I49" s="40">
        <v>0</v>
      </c>
      <c r="J49" s="40">
        <v>0</v>
      </c>
      <c r="K49" s="40">
        <v>115752.48000000008</v>
      </c>
      <c r="L49" s="40">
        <v>0</v>
      </c>
      <c r="M49" s="40">
        <v>265507.83999999985</v>
      </c>
      <c r="N49" s="40">
        <v>0</v>
      </c>
      <c r="O49" s="40">
        <v>2594.0992000000037</v>
      </c>
      <c r="P49" s="40">
        <v>47762.53440000004</v>
      </c>
      <c r="Q49" s="40">
        <v>35725.312000000071</v>
      </c>
      <c r="R49" s="40">
        <v>44746.95679999992</v>
      </c>
      <c r="S49" s="40">
        <v>51139.37920000009</v>
      </c>
      <c r="T49" s="40">
        <v>3437.056000000011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71606.909999999989</v>
      </c>
      <c r="AB49" s="40">
        <v>0</v>
      </c>
      <c r="AC49" s="40">
        <v>154522.1496380856</v>
      </c>
      <c r="AD49" s="40">
        <v>0</v>
      </c>
      <c r="AE49" s="40">
        <v>0</v>
      </c>
      <c r="AF49" s="40">
        <v>0</v>
      </c>
      <c r="AG49" s="40">
        <v>141970.48000000001</v>
      </c>
      <c r="AH49" s="40">
        <v>0</v>
      </c>
      <c r="AI49" s="40">
        <v>0</v>
      </c>
      <c r="AJ49" s="40">
        <v>0</v>
      </c>
      <c r="AK49" s="40">
        <v>33654.800000000003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1841539.872</v>
      </c>
      <c r="AU49" s="40">
        <v>792794.71723808581</v>
      </c>
      <c r="AV49" s="40">
        <v>175625.28000000003</v>
      </c>
      <c r="AW49" s="40">
        <v>450598.77997408563</v>
      </c>
      <c r="AX49" s="56">
        <v>2809959.869238086</v>
      </c>
      <c r="AY49" s="56">
        <v>2776305.0692380862</v>
      </c>
      <c r="AZ49" s="56">
        <v>4955</v>
      </c>
      <c r="BA49" s="56">
        <v>2378400</v>
      </c>
      <c r="BB49" s="56">
        <v>0</v>
      </c>
      <c r="BC49" s="56">
        <v>0</v>
      </c>
      <c r="BD49" s="56">
        <v>2809959.869238086</v>
      </c>
      <c r="BE49" s="40">
        <v>2809959.869238086</v>
      </c>
      <c r="BF49" s="40">
        <v>0</v>
      </c>
      <c r="BG49" s="56">
        <v>2412054.7999999998</v>
      </c>
      <c r="BH49" s="56">
        <v>2236429.52</v>
      </c>
      <c r="BI49" s="40">
        <v>2634334.5892380862</v>
      </c>
      <c r="BJ49" s="40">
        <v>5488.1970609126793</v>
      </c>
      <c r="BK49" s="40">
        <v>5365.8123517745307</v>
      </c>
      <c r="BL49" s="41">
        <v>2.28082350098722E-2</v>
      </c>
      <c r="BM49" s="41">
        <v>0</v>
      </c>
      <c r="BN49" s="40">
        <v>0</v>
      </c>
      <c r="BO49" s="56">
        <v>2809959.869238086</v>
      </c>
      <c r="BP49" s="56">
        <v>5783.9688942460134</v>
      </c>
      <c r="BQ49" s="56" t="s">
        <v>1006</v>
      </c>
      <c r="BR49" s="56">
        <v>5854.0830609126797</v>
      </c>
      <c r="BS49" s="47">
        <v>2.121616347620181E-2</v>
      </c>
      <c r="BT49" s="40">
        <v>-12518.4</v>
      </c>
      <c r="BU49" s="40">
        <v>2797441.4692380861</v>
      </c>
      <c r="BV49" s="40">
        <v>0</v>
      </c>
      <c r="BW49" s="40">
        <v>2797441.4692380861</v>
      </c>
      <c r="BX49" s="40">
        <v>33654.800000000003</v>
      </c>
      <c r="BY49" s="40">
        <v>2763786.6692380863</v>
      </c>
    </row>
    <row r="50" spans="1:77">
      <c r="A50">
        <f>_xlfn.XLOOKUP(B50,'Summary Mar 2026'!B:B,'Summary Mar 2026'!A:A,0,0)</f>
        <v>2225</v>
      </c>
      <c r="B50" s="54">
        <v>103279</v>
      </c>
      <c r="C50" s="54">
        <v>3302225</v>
      </c>
      <c r="D50" s="55" t="s">
        <v>345</v>
      </c>
      <c r="E50" s="46">
        <v>361</v>
      </c>
      <c r="F50" s="46">
        <v>361</v>
      </c>
      <c r="G50" s="46">
        <v>0</v>
      </c>
      <c r="H50" s="40">
        <v>1384991.4454000001</v>
      </c>
      <c r="I50" s="40">
        <v>0</v>
      </c>
      <c r="J50" s="40">
        <v>0</v>
      </c>
      <c r="K50" s="40">
        <v>90083.520000000019</v>
      </c>
      <c r="L50" s="40">
        <v>0</v>
      </c>
      <c r="M50" s="40">
        <v>197056.59999999992</v>
      </c>
      <c r="N50" s="40">
        <v>0</v>
      </c>
      <c r="O50" s="40">
        <v>1414.9632000000047</v>
      </c>
      <c r="P50" s="40">
        <v>286.00319999999954</v>
      </c>
      <c r="Q50" s="40">
        <v>51355.136000000064</v>
      </c>
      <c r="R50" s="40">
        <v>21635.891199999947</v>
      </c>
      <c r="S50" s="40">
        <v>28178.841599999996</v>
      </c>
      <c r="T50" s="40">
        <v>48806.195199999922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32931.582193732254</v>
      </c>
      <c r="AB50" s="40">
        <v>0</v>
      </c>
      <c r="AC50" s="40">
        <v>153154.20478909221</v>
      </c>
      <c r="AD50" s="40">
        <v>0</v>
      </c>
      <c r="AE50" s="40">
        <v>0</v>
      </c>
      <c r="AF50" s="40">
        <v>0</v>
      </c>
      <c r="AG50" s="40">
        <v>141970.48000000001</v>
      </c>
      <c r="AH50" s="40">
        <v>0</v>
      </c>
      <c r="AI50" s="40">
        <v>0</v>
      </c>
      <c r="AJ50" s="40">
        <v>0</v>
      </c>
      <c r="AK50" s="40">
        <v>20391.63</v>
      </c>
      <c r="AL50" s="40">
        <v>0</v>
      </c>
      <c r="AM50" s="4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1384991.4454000001</v>
      </c>
      <c r="AU50" s="40">
        <v>624902.93738282425</v>
      </c>
      <c r="AV50" s="40">
        <v>162362.11000000002</v>
      </c>
      <c r="AW50" s="40">
        <v>380377.95120309212</v>
      </c>
      <c r="AX50" s="56">
        <v>2172256.4927828242</v>
      </c>
      <c r="AY50" s="56">
        <v>2151864.8627828243</v>
      </c>
      <c r="AZ50" s="56">
        <v>4955</v>
      </c>
      <c r="BA50" s="56">
        <v>1788755</v>
      </c>
      <c r="BB50" s="56">
        <v>0</v>
      </c>
      <c r="BC50" s="56">
        <v>0</v>
      </c>
      <c r="BD50" s="56">
        <v>2172256.4927828242</v>
      </c>
      <c r="BE50" s="40">
        <v>2172256.4927828247</v>
      </c>
      <c r="BF50" s="40">
        <v>0</v>
      </c>
      <c r="BG50" s="56">
        <v>1809146.63</v>
      </c>
      <c r="BH50" s="56">
        <v>1646784.52</v>
      </c>
      <c r="BI50" s="40">
        <v>2009894.3827828243</v>
      </c>
      <c r="BJ50" s="40">
        <v>5567.5744675424494</v>
      </c>
      <c r="BK50" s="40">
        <v>5381.8809629729731</v>
      </c>
      <c r="BL50" s="41">
        <v>3.4503458149118642E-2</v>
      </c>
      <c r="BM50" s="41">
        <v>0</v>
      </c>
      <c r="BN50" s="40">
        <v>0</v>
      </c>
      <c r="BO50" s="56">
        <v>2172256.4927828242</v>
      </c>
      <c r="BP50" s="56">
        <v>5960.844495243281</v>
      </c>
      <c r="BQ50" s="56" t="s">
        <v>1006</v>
      </c>
      <c r="BR50" s="56">
        <v>6017.3310049385709</v>
      </c>
      <c r="BS50" s="47">
        <v>3.3781781177670389E-2</v>
      </c>
      <c r="BT50" s="40">
        <v>-9414.8799999999992</v>
      </c>
      <c r="BU50" s="40">
        <v>2162841.6127828243</v>
      </c>
      <c r="BV50" s="40">
        <v>0</v>
      </c>
      <c r="BW50" s="40">
        <v>2162841.6127828243</v>
      </c>
      <c r="BX50" s="40">
        <v>20391.63</v>
      </c>
      <c r="BY50" s="40">
        <v>2142449.9827828244</v>
      </c>
    </row>
    <row r="51" spans="1:77">
      <c r="A51">
        <f>_xlfn.XLOOKUP(B51,'Summary Mar 2026'!B:B,'Summary Mar 2026'!A:A,0,0)</f>
        <v>2227</v>
      </c>
      <c r="B51" s="54">
        <v>103281</v>
      </c>
      <c r="C51" s="54">
        <v>3302227</v>
      </c>
      <c r="D51" s="55" t="s">
        <v>351</v>
      </c>
      <c r="E51" s="46">
        <v>406</v>
      </c>
      <c r="F51" s="46">
        <v>406</v>
      </c>
      <c r="G51" s="46">
        <v>0</v>
      </c>
      <c r="H51" s="40">
        <v>1557635.8084</v>
      </c>
      <c r="I51" s="40">
        <v>0</v>
      </c>
      <c r="J51" s="40">
        <v>0</v>
      </c>
      <c r="K51" s="40">
        <v>112362.2399999999</v>
      </c>
      <c r="L51" s="40">
        <v>0</v>
      </c>
      <c r="M51" s="40">
        <v>241653.62000000023</v>
      </c>
      <c r="N51" s="40">
        <v>0</v>
      </c>
      <c r="O51" s="40">
        <v>943.30879999999968</v>
      </c>
      <c r="P51" s="40">
        <v>11726.131200000018</v>
      </c>
      <c r="Q51" s="40">
        <v>13396.992000000009</v>
      </c>
      <c r="R51" s="40">
        <v>8851.0463999999956</v>
      </c>
      <c r="S51" s="40">
        <v>125761.12639999992</v>
      </c>
      <c r="T51" s="40">
        <v>9623.7568000000138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68012.715156695209</v>
      </c>
      <c r="AB51" s="40">
        <v>0</v>
      </c>
      <c r="AC51" s="40">
        <v>260748.75664784756</v>
      </c>
      <c r="AD51" s="40">
        <v>0</v>
      </c>
      <c r="AE51" s="40">
        <v>15711.321600000061</v>
      </c>
      <c r="AF51" s="40">
        <v>0</v>
      </c>
      <c r="AG51" s="40">
        <v>141970.48000000001</v>
      </c>
      <c r="AH51" s="40">
        <v>0</v>
      </c>
      <c r="AI51" s="40">
        <v>0</v>
      </c>
      <c r="AJ51" s="40">
        <v>0</v>
      </c>
      <c r="AK51" s="40">
        <v>20919.87</v>
      </c>
      <c r="AL51" s="40"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1557635.8084</v>
      </c>
      <c r="AU51" s="40">
        <v>868791.01500454289</v>
      </c>
      <c r="AV51" s="40">
        <v>162890.35</v>
      </c>
      <c r="AW51" s="40">
        <v>527385.10684384755</v>
      </c>
      <c r="AX51" s="56">
        <v>2589317.1734045432</v>
      </c>
      <c r="AY51" s="56">
        <v>2568397.3034045431</v>
      </c>
      <c r="AZ51" s="56">
        <v>4955</v>
      </c>
      <c r="BA51" s="56">
        <v>2011730</v>
      </c>
      <c r="BB51" s="56">
        <v>0</v>
      </c>
      <c r="BC51" s="56">
        <v>0</v>
      </c>
      <c r="BD51" s="56">
        <v>2589317.1734045432</v>
      </c>
      <c r="BE51" s="40">
        <v>2589317.1734045432</v>
      </c>
      <c r="BF51" s="40">
        <v>0</v>
      </c>
      <c r="BG51" s="56">
        <v>2032649.87</v>
      </c>
      <c r="BH51" s="56">
        <v>1869759.52</v>
      </c>
      <c r="BI51" s="40">
        <v>2426426.8234045431</v>
      </c>
      <c r="BJ51" s="40">
        <v>5976.4207473018305</v>
      </c>
      <c r="BK51" s="40">
        <v>5997.241868085106</v>
      </c>
      <c r="BL51" s="41">
        <v>-3.4717827363403707E-3</v>
      </c>
      <c r="BM51" s="41">
        <v>3.4717827363403707E-3</v>
      </c>
      <c r="BN51" s="40">
        <v>8453.3750380098718</v>
      </c>
      <c r="BO51" s="56">
        <v>2597770.5484425533</v>
      </c>
      <c r="BP51" s="56">
        <v>6346.9228533067808</v>
      </c>
      <c r="BQ51" s="56" t="s">
        <v>1006</v>
      </c>
      <c r="BR51" s="56">
        <v>6398.4496267057966</v>
      </c>
      <c r="BS51" s="47">
        <v>2.5263814949294527E-3</v>
      </c>
      <c r="BT51" s="40">
        <v>-10588.48</v>
      </c>
      <c r="BU51" s="40">
        <v>2587182.0684425533</v>
      </c>
      <c r="BV51" s="40">
        <v>0</v>
      </c>
      <c r="BW51" s="40">
        <v>2587182.0684425533</v>
      </c>
      <c r="BX51" s="40">
        <v>20919.87</v>
      </c>
      <c r="BY51" s="40">
        <v>2566262.1984425532</v>
      </c>
    </row>
    <row r="52" spans="1:77">
      <c r="A52">
        <f>_xlfn.XLOOKUP(B52,'Summary Mar 2026'!B:B,'Summary Mar 2026'!A:A,0,0)</f>
        <v>2231</v>
      </c>
      <c r="B52" s="54">
        <v>103284</v>
      </c>
      <c r="C52" s="54">
        <v>3302231</v>
      </c>
      <c r="D52" s="55" t="s">
        <v>353</v>
      </c>
      <c r="E52" s="46">
        <v>429</v>
      </c>
      <c r="F52" s="46">
        <v>429</v>
      </c>
      <c r="G52" s="46">
        <v>0</v>
      </c>
      <c r="H52" s="40">
        <v>1645876.2605999999</v>
      </c>
      <c r="I52" s="40">
        <v>0</v>
      </c>
      <c r="J52" s="40">
        <v>0</v>
      </c>
      <c r="K52" s="40">
        <v>99285.60000000002</v>
      </c>
      <c r="L52" s="40">
        <v>0</v>
      </c>
      <c r="M52" s="40">
        <v>217799.40000000023</v>
      </c>
      <c r="N52" s="40">
        <v>0</v>
      </c>
      <c r="O52" s="40">
        <v>8489.779199999999</v>
      </c>
      <c r="P52" s="40">
        <v>74360.83199999998</v>
      </c>
      <c r="Q52" s="40">
        <v>21881.753599999956</v>
      </c>
      <c r="R52" s="40">
        <v>10326.22080000001</v>
      </c>
      <c r="S52" s="40">
        <v>8349.2864000000027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71744.16959349587</v>
      </c>
      <c r="AB52" s="40">
        <v>0</v>
      </c>
      <c r="AC52" s="40">
        <v>142807.13916545841</v>
      </c>
      <c r="AD52" s="40">
        <v>0</v>
      </c>
      <c r="AE52" s="40">
        <v>4022.2493999999865</v>
      </c>
      <c r="AF52" s="40">
        <v>0</v>
      </c>
      <c r="AG52" s="40">
        <v>141970.48000000001</v>
      </c>
      <c r="AH52" s="40">
        <v>0</v>
      </c>
      <c r="AI52" s="40">
        <v>0</v>
      </c>
      <c r="AJ52" s="40">
        <v>0</v>
      </c>
      <c r="AK52" s="40">
        <v>25697.86</v>
      </c>
      <c r="AL52" s="40"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v>0</v>
      </c>
      <c r="AR52" s="40">
        <v>0</v>
      </c>
      <c r="AS52" s="40">
        <v>0</v>
      </c>
      <c r="AT52" s="40">
        <v>1645876.2605999999</v>
      </c>
      <c r="AU52" s="40">
        <v>659066.43015895435</v>
      </c>
      <c r="AV52" s="40">
        <v>167668.34000000003</v>
      </c>
      <c r="AW52" s="40">
        <v>383678.3861154585</v>
      </c>
      <c r="AX52" s="56">
        <v>2472611.0307589541</v>
      </c>
      <c r="AY52" s="56">
        <v>2446913.1707589542</v>
      </c>
      <c r="AZ52" s="56">
        <v>4955</v>
      </c>
      <c r="BA52" s="56">
        <v>2125695</v>
      </c>
      <c r="BB52" s="56">
        <v>0</v>
      </c>
      <c r="BC52" s="56">
        <v>0</v>
      </c>
      <c r="BD52" s="56">
        <v>2472611.0307589541</v>
      </c>
      <c r="BE52" s="40">
        <v>2472611.0307589541</v>
      </c>
      <c r="BF52" s="40">
        <v>0</v>
      </c>
      <c r="BG52" s="56">
        <v>2151392.86</v>
      </c>
      <c r="BH52" s="56">
        <v>1983724.5199999998</v>
      </c>
      <c r="BI52" s="40">
        <v>2304942.6907589543</v>
      </c>
      <c r="BJ52" s="40">
        <v>5372.8267849859076</v>
      </c>
      <c r="BK52" s="40">
        <v>5241.9127221176468</v>
      </c>
      <c r="BL52" s="41">
        <v>2.4974483515508367E-2</v>
      </c>
      <c r="BM52" s="41">
        <v>0</v>
      </c>
      <c r="BN52" s="40">
        <v>0</v>
      </c>
      <c r="BO52" s="56">
        <v>2472611.0307589541</v>
      </c>
      <c r="BP52" s="56">
        <v>5703.7603047994271</v>
      </c>
      <c r="BQ52" s="56" t="s">
        <v>1006</v>
      </c>
      <c r="BR52" s="56">
        <v>5763.6620763611982</v>
      </c>
      <c r="BS52" s="47">
        <v>2.2573808759090985E-2</v>
      </c>
      <c r="BT52" s="40">
        <v>-11188.32</v>
      </c>
      <c r="BU52" s="40">
        <v>2461422.7107589543</v>
      </c>
      <c r="BV52" s="40">
        <v>0</v>
      </c>
      <c r="BW52" s="40">
        <v>2461422.7107589543</v>
      </c>
      <c r="BX52" s="40">
        <v>25697.86</v>
      </c>
      <c r="BY52" s="40">
        <v>2435724.8507589544</v>
      </c>
    </row>
    <row r="53" spans="1:77">
      <c r="A53">
        <f>_xlfn.XLOOKUP(B53,'Summary Mar 2026'!B:B,'Summary Mar 2026'!A:A,0,0)</f>
        <v>2236</v>
      </c>
      <c r="B53" s="54">
        <v>103286</v>
      </c>
      <c r="C53" s="54">
        <v>3302236</v>
      </c>
      <c r="D53" s="55" t="s">
        <v>78</v>
      </c>
      <c r="E53" s="46">
        <v>220</v>
      </c>
      <c r="F53" s="46">
        <v>220</v>
      </c>
      <c r="G53" s="46">
        <v>0</v>
      </c>
      <c r="H53" s="40">
        <v>844039.10800000001</v>
      </c>
      <c r="I53" s="40">
        <v>0</v>
      </c>
      <c r="J53" s="40">
        <v>0</v>
      </c>
      <c r="K53" s="40">
        <v>59087.040000000045</v>
      </c>
      <c r="L53" s="40">
        <v>0</v>
      </c>
      <c r="M53" s="40">
        <v>126531.08000000012</v>
      </c>
      <c r="N53" s="40">
        <v>0</v>
      </c>
      <c r="O53" s="40">
        <v>5895.6800000000185</v>
      </c>
      <c r="P53" s="40">
        <v>12298.137599999971</v>
      </c>
      <c r="Q53" s="40">
        <v>2232.8319999999972</v>
      </c>
      <c r="R53" s="40">
        <v>1966.8992000000019</v>
      </c>
      <c r="S53" s="40">
        <v>27135.180799999962</v>
      </c>
      <c r="T53" s="40">
        <v>39182.438399999985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11643.399999999998</v>
      </c>
      <c r="AB53" s="40">
        <v>0</v>
      </c>
      <c r="AC53" s="40">
        <v>83444.208309143694</v>
      </c>
      <c r="AD53" s="40">
        <v>0</v>
      </c>
      <c r="AE53" s="40">
        <v>0</v>
      </c>
      <c r="AF53" s="40">
        <v>0</v>
      </c>
      <c r="AG53" s="40">
        <v>141970.48000000001</v>
      </c>
      <c r="AH53" s="40">
        <v>0</v>
      </c>
      <c r="AI53" s="40">
        <v>0</v>
      </c>
      <c r="AJ53" s="40">
        <v>0</v>
      </c>
      <c r="AK53" s="40">
        <v>16027.1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844039.10800000001</v>
      </c>
      <c r="AU53" s="40">
        <v>369416.89630914386</v>
      </c>
      <c r="AV53" s="40">
        <v>157997.58000000002</v>
      </c>
      <c r="AW53" s="40">
        <v>224404.70738914373</v>
      </c>
      <c r="AX53" s="56">
        <v>1371453.5843091439</v>
      </c>
      <c r="AY53" s="56">
        <v>1355426.4843091439</v>
      </c>
      <c r="AZ53" s="56">
        <v>4955</v>
      </c>
      <c r="BA53" s="56">
        <v>1090100</v>
      </c>
      <c r="BB53" s="56">
        <v>0</v>
      </c>
      <c r="BC53" s="56">
        <v>0</v>
      </c>
      <c r="BD53" s="56">
        <v>1371453.5843091439</v>
      </c>
      <c r="BE53" s="40">
        <v>1371453.5843091439</v>
      </c>
      <c r="BF53" s="40">
        <v>0</v>
      </c>
      <c r="BG53" s="56">
        <v>1106127.1000000001</v>
      </c>
      <c r="BH53" s="56">
        <v>948129.52000000014</v>
      </c>
      <c r="BI53" s="40">
        <v>1213456.0043091439</v>
      </c>
      <c r="BJ53" s="40">
        <v>5515.7091104961082</v>
      </c>
      <c r="BK53" s="40">
        <v>5576.5713475113125</v>
      </c>
      <c r="BL53" s="41">
        <v>-1.0913917032975043E-2</v>
      </c>
      <c r="BM53" s="41">
        <v>1.0913917032975043E-2</v>
      </c>
      <c r="BN53" s="40">
        <v>13389.692143344946</v>
      </c>
      <c r="BO53" s="56">
        <v>1384843.276452489</v>
      </c>
      <c r="BP53" s="56">
        <v>6221.8917111476767</v>
      </c>
      <c r="BQ53" s="56" t="s">
        <v>1006</v>
      </c>
      <c r="BR53" s="56">
        <v>6294.7421656931319</v>
      </c>
      <c r="BS53" s="47">
        <v>5.1651364105476105E-4</v>
      </c>
      <c r="BT53" s="40">
        <v>-5737.5999999999995</v>
      </c>
      <c r="BU53" s="40">
        <v>1379105.6764524889</v>
      </c>
      <c r="BV53" s="40">
        <v>0</v>
      </c>
      <c r="BW53" s="40">
        <v>1379105.6764524889</v>
      </c>
      <c r="BX53" s="40">
        <v>16027.1</v>
      </c>
      <c r="BY53" s="40">
        <v>1363078.5764524888</v>
      </c>
    </row>
    <row r="54" spans="1:77">
      <c r="A54">
        <f>_xlfn.XLOOKUP(B54,'Summary Mar 2026'!B:B,'Summary Mar 2026'!A:A,0,0)</f>
        <v>2238</v>
      </c>
      <c r="B54" s="54">
        <v>103288</v>
      </c>
      <c r="C54" s="54">
        <v>3302238</v>
      </c>
      <c r="D54" s="55" t="s">
        <v>76</v>
      </c>
      <c r="E54" s="46">
        <v>134</v>
      </c>
      <c r="F54" s="46">
        <v>134</v>
      </c>
      <c r="G54" s="46">
        <v>0</v>
      </c>
      <c r="H54" s="40">
        <v>514096.54759999999</v>
      </c>
      <c r="I54" s="40">
        <v>0</v>
      </c>
      <c r="J54" s="40">
        <v>0</v>
      </c>
      <c r="K54" s="40">
        <v>29059.200000000012</v>
      </c>
      <c r="L54" s="40">
        <v>0</v>
      </c>
      <c r="M54" s="40">
        <v>62228.400000000038</v>
      </c>
      <c r="N54" s="40">
        <v>0</v>
      </c>
      <c r="O54" s="40">
        <v>3537.4080000000099</v>
      </c>
      <c r="P54" s="40">
        <v>10582.118400000014</v>
      </c>
      <c r="Q54" s="40">
        <v>446.56639999999999</v>
      </c>
      <c r="R54" s="40">
        <v>4425.5231999999996</v>
      </c>
      <c r="S54" s="40">
        <v>7305.6256000000349</v>
      </c>
      <c r="T54" s="40">
        <v>28183.85919999997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7801.0779999999995</v>
      </c>
      <c r="AB54" s="40">
        <v>0</v>
      </c>
      <c r="AC54" s="40">
        <v>49746.746250000047</v>
      </c>
      <c r="AD54" s="40">
        <v>0</v>
      </c>
      <c r="AE54" s="40">
        <v>0</v>
      </c>
      <c r="AF54" s="40">
        <v>0</v>
      </c>
      <c r="AG54" s="40">
        <v>141970.48000000001</v>
      </c>
      <c r="AH54" s="40">
        <v>0</v>
      </c>
      <c r="AI54" s="40">
        <v>0</v>
      </c>
      <c r="AJ54" s="40">
        <v>0</v>
      </c>
      <c r="AK54" s="40">
        <v>13652.72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514096.54759999999</v>
      </c>
      <c r="AU54" s="40">
        <v>203316.52505000011</v>
      </c>
      <c r="AV54" s="40">
        <v>155623.20000000001</v>
      </c>
      <c r="AW54" s="40">
        <v>127928.30591800009</v>
      </c>
      <c r="AX54" s="56">
        <v>873036.27265000017</v>
      </c>
      <c r="AY54" s="56">
        <v>859383.5526500002</v>
      </c>
      <c r="AZ54" s="56">
        <v>4955</v>
      </c>
      <c r="BA54" s="56">
        <v>663970</v>
      </c>
      <c r="BB54" s="56">
        <v>0</v>
      </c>
      <c r="BC54" s="56">
        <v>0</v>
      </c>
      <c r="BD54" s="56">
        <v>873036.27265000017</v>
      </c>
      <c r="BE54" s="40">
        <v>873036.27265000017</v>
      </c>
      <c r="BF54" s="40">
        <v>0</v>
      </c>
      <c r="BG54" s="56">
        <v>677622.72</v>
      </c>
      <c r="BH54" s="56">
        <v>521999.52</v>
      </c>
      <c r="BI54" s="40">
        <v>717413.07265000022</v>
      </c>
      <c r="BJ54" s="40">
        <v>5353.8289003731361</v>
      </c>
      <c r="BK54" s="40">
        <v>5421.4180000000006</v>
      </c>
      <c r="BL54" s="41">
        <v>-1.2467051909088079E-2</v>
      </c>
      <c r="BM54" s="41">
        <v>1.2467051909088079E-2</v>
      </c>
      <c r="BN54" s="40">
        <v>9056.9393499998405</v>
      </c>
      <c r="BO54" s="56">
        <v>882093.21200000006</v>
      </c>
      <c r="BP54" s="56">
        <v>6480.8991940298511</v>
      </c>
      <c r="BQ54" s="56" t="s">
        <v>1006</v>
      </c>
      <c r="BR54" s="56">
        <v>6582.7851641791049</v>
      </c>
      <c r="BS54" s="47">
        <v>2.5515264381096525E-2</v>
      </c>
      <c r="BT54" s="40">
        <v>-3494.72</v>
      </c>
      <c r="BU54" s="40">
        <v>878598.49200000009</v>
      </c>
      <c r="BV54" s="40">
        <v>0</v>
      </c>
      <c r="BW54" s="40">
        <v>878598.49200000009</v>
      </c>
      <c r="BX54" s="40">
        <v>13652.72</v>
      </c>
      <c r="BY54" s="40">
        <v>864945.77200000011</v>
      </c>
    </row>
    <row r="55" spans="1:77">
      <c r="A55">
        <f>_xlfn.XLOOKUP(B55,'Summary Mar 2026'!B:B,'Summary Mar 2026'!A:A,0,0)</f>
        <v>2239</v>
      </c>
      <c r="B55" s="54">
        <v>103289</v>
      </c>
      <c r="C55" s="54">
        <v>3302239</v>
      </c>
      <c r="D55" s="55" t="s">
        <v>53</v>
      </c>
      <c r="E55" s="46">
        <v>147</v>
      </c>
      <c r="F55" s="46">
        <v>147</v>
      </c>
      <c r="G55" s="46">
        <v>0</v>
      </c>
      <c r="H55" s="40">
        <v>563971.5858</v>
      </c>
      <c r="I55" s="40">
        <v>0</v>
      </c>
      <c r="J55" s="40">
        <v>0</v>
      </c>
      <c r="K55" s="40">
        <v>34871.040000000001</v>
      </c>
      <c r="L55" s="40">
        <v>0</v>
      </c>
      <c r="M55" s="40">
        <v>75711.219999999958</v>
      </c>
      <c r="N55" s="40">
        <v>0</v>
      </c>
      <c r="O55" s="40">
        <v>471.65439999999836</v>
      </c>
      <c r="P55" s="40">
        <v>2288.0255999999999</v>
      </c>
      <c r="Q55" s="40">
        <v>4912.2303999999995</v>
      </c>
      <c r="R55" s="40">
        <v>2458.6240000000021</v>
      </c>
      <c r="S55" s="40">
        <v>21395.046399999977</v>
      </c>
      <c r="T55" s="40">
        <v>22684.569599999966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25170.291176470626</v>
      </c>
      <c r="AB55" s="40">
        <v>0</v>
      </c>
      <c r="AC55" s="40">
        <v>66206.193402061806</v>
      </c>
      <c r="AD55" s="40">
        <v>0</v>
      </c>
      <c r="AE55" s="40">
        <v>0</v>
      </c>
      <c r="AF55" s="40">
        <v>0</v>
      </c>
      <c r="AG55" s="40">
        <v>141970.48000000001</v>
      </c>
      <c r="AH55" s="40">
        <v>0</v>
      </c>
      <c r="AI55" s="40">
        <v>0</v>
      </c>
      <c r="AJ55" s="40">
        <v>0</v>
      </c>
      <c r="AK55" s="40">
        <v>11105.6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563971.5858</v>
      </c>
      <c r="AU55" s="40">
        <v>256168.89497853233</v>
      </c>
      <c r="AV55" s="40">
        <v>153076.08000000002</v>
      </c>
      <c r="AW55" s="40">
        <v>153730.04043606174</v>
      </c>
      <c r="AX55" s="56">
        <v>973216.56077853241</v>
      </c>
      <c r="AY55" s="56">
        <v>962110.96077853243</v>
      </c>
      <c r="AZ55" s="56">
        <v>4955</v>
      </c>
      <c r="BA55" s="56">
        <v>728385</v>
      </c>
      <c r="BB55" s="56">
        <v>0</v>
      </c>
      <c r="BC55" s="56">
        <v>0</v>
      </c>
      <c r="BD55" s="56">
        <v>973216.56077853241</v>
      </c>
      <c r="BE55" s="40">
        <v>973216.56077853241</v>
      </c>
      <c r="BF55" s="40">
        <v>0</v>
      </c>
      <c r="BG55" s="56">
        <v>739490.6</v>
      </c>
      <c r="BH55" s="56">
        <v>586414.52</v>
      </c>
      <c r="BI55" s="40">
        <v>820140.48077853245</v>
      </c>
      <c r="BJ55" s="40">
        <v>5579.1869440716491</v>
      </c>
      <c r="BK55" s="40">
        <v>5556.7759934131736</v>
      </c>
      <c r="BL55" s="41">
        <v>4.0330851351648364E-3</v>
      </c>
      <c r="BM55" s="41">
        <v>0</v>
      </c>
      <c r="BN55" s="40">
        <v>0</v>
      </c>
      <c r="BO55" s="56">
        <v>973216.56077853241</v>
      </c>
      <c r="BP55" s="56">
        <v>6544.9725223029418</v>
      </c>
      <c r="BQ55" s="56" t="s">
        <v>1006</v>
      </c>
      <c r="BR55" s="56">
        <v>6620.5208216226692</v>
      </c>
      <c r="BS55" s="47">
        <v>2.2727100479784212E-2</v>
      </c>
      <c r="BT55" s="40">
        <v>-3833.7599999999998</v>
      </c>
      <c r="BU55" s="40">
        <v>969382.8007785324</v>
      </c>
      <c r="BV55" s="40">
        <v>0</v>
      </c>
      <c r="BW55" s="40">
        <v>969382.8007785324</v>
      </c>
      <c r="BX55" s="40">
        <v>11105.6</v>
      </c>
      <c r="BY55" s="40">
        <v>958277.20077853242</v>
      </c>
    </row>
    <row r="56" spans="1:77">
      <c r="A56">
        <f>_xlfn.XLOOKUP(B56,'Summary Mar 2026'!B:B,'Summary Mar 2026'!A:A,0,0)</f>
        <v>2241</v>
      </c>
      <c r="B56" s="54">
        <v>103291</v>
      </c>
      <c r="C56" s="54">
        <v>3302241</v>
      </c>
      <c r="D56" s="55" t="s">
        <v>55</v>
      </c>
      <c r="E56" s="46">
        <v>244</v>
      </c>
      <c r="F56" s="46">
        <v>244</v>
      </c>
      <c r="G56" s="46">
        <v>0</v>
      </c>
      <c r="H56" s="40">
        <v>936116.10160000005</v>
      </c>
      <c r="I56" s="40">
        <v>0</v>
      </c>
      <c r="J56" s="40">
        <v>0</v>
      </c>
      <c r="K56" s="40">
        <v>66836.159999999974</v>
      </c>
      <c r="L56" s="40">
        <v>0</v>
      </c>
      <c r="M56" s="40">
        <v>149348.16000000015</v>
      </c>
      <c r="N56" s="40">
        <v>0</v>
      </c>
      <c r="O56" s="40">
        <v>471.65440000000001</v>
      </c>
      <c r="P56" s="40">
        <v>3432.0384000000031</v>
      </c>
      <c r="Q56" s="40">
        <v>8484.7615999999998</v>
      </c>
      <c r="R56" s="40">
        <v>2950.3487999999966</v>
      </c>
      <c r="S56" s="40">
        <v>46442.905600000035</v>
      </c>
      <c r="T56" s="40">
        <v>48806.195199999987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15718.589999999995</v>
      </c>
      <c r="AB56" s="40">
        <v>0</v>
      </c>
      <c r="AC56" s="40">
        <v>104388.8722248749</v>
      </c>
      <c r="AD56" s="40">
        <v>0</v>
      </c>
      <c r="AE56" s="40">
        <v>0</v>
      </c>
      <c r="AF56" s="40">
        <v>0</v>
      </c>
      <c r="AG56" s="40">
        <v>141970.48000000001</v>
      </c>
      <c r="AH56" s="40">
        <v>0</v>
      </c>
      <c r="AI56" s="40">
        <v>0</v>
      </c>
      <c r="AJ56" s="40">
        <v>0</v>
      </c>
      <c r="AK56" s="40">
        <v>14721.39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936116.10160000005</v>
      </c>
      <c r="AU56" s="40">
        <v>446879.68622487504</v>
      </c>
      <c r="AV56" s="40">
        <v>156691.87</v>
      </c>
      <c r="AW56" s="40">
        <v>268832.67794487491</v>
      </c>
      <c r="AX56" s="56">
        <v>1539687.6578248753</v>
      </c>
      <c r="AY56" s="56">
        <v>1524966.2678248754</v>
      </c>
      <c r="AZ56" s="56">
        <v>4955</v>
      </c>
      <c r="BA56" s="56">
        <v>1209020</v>
      </c>
      <c r="BB56" s="56">
        <v>0</v>
      </c>
      <c r="BC56" s="56">
        <v>0</v>
      </c>
      <c r="BD56" s="56">
        <v>1539687.6578248753</v>
      </c>
      <c r="BE56" s="40">
        <v>1539687.6578248753</v>
      </c>
      <c r="BF56" s="40">
        <v>0</v>
      </c>
      <c r="BG56" s="56">
        <v>1223741.3899999999</v>
      </c>
      <c r="BH56" s="56">
        <v>1067049.52</v>
      </c>
      <c r="BI56" s="40">
        <v>1382995.7878248754</v>
      </c>
      <c r="BJ56" s="40">
        <v>5668.0155238724401</v>
      </c>
      <c r="BK56" s="40">
        <v>5656.4626746938784</v>
      </c>
      <c r="BL56" s="41">
        <v>2.0424158777264325E-3</v>
      </c>
      <c r="BM56" s="41">
        <v>0</v>
      </c>
      <c r="BN56" s="40">
        <v>0</v>
      </c>
      <c r="BO56" s="56">
        <v>1539687.6578248753</v>
      </c>
      <c r="BP56" s="56">
        <v>6249.8617533806373</v>
      </c>
      <c r="BQ56" s="56" t="s">
        <v>1006</v>
      </c>
      <c r="BR56" s="56">
        <v>6310.1953189544074</v>
      </c>
      <c r="BS56" s="47">
        <v>2.2512616240388805E-3</v>
      </c>
      <c r="BT56" s="40">
        <v>-6363.5199999999995</v>
      </c>
      <c r="BU56" s="40">
        <v>1533324.1378248753</v>
      </c>
      <c r="BV56" s="40">
        <v>0</v>
      </c>
      <c r="BW56" s="40">
        <v>1533324.1378248753</v>
      </c>
      <c r="BX56" s="40">
        <v>14721.39</v>
      </c>
      <c r="BY56" s="40">
        <v>1518602.7478248754</v>
      </c>
    </row>
    <row r="57" spans="1:77">
      <c r="A57">
        <f>_xlfn.XLOOKUP(B57,'Summary Mar 2026'!B:B,'Summary Mar 2026'!A:A,0,0)</f>
        <v>2245</v>
      </c>
      <c r="B57" s="54">
        <v>103295</v>
      </c>
      <c r="C57" s="54">
        <v>3302245</v>
      </c>
      <c r="D57" s="55" t="s">
        <v>327</v>
      </c>
      <c r="E57" s="46">
        <v>211</v>
      </c>
      <c r="F57" s="46">
        <v>211</v>
      </c>
      <c r="G57" s="46">
        <v>0</v>
      </c>
      <c r="H57" s="40">
        <v>809510.23540000001</v>
      </c>
      <c r="I57" s="40">
        <v>0</v>
      </c>
      <c r="J57" s="40">
        <v>0</v>
      </c>
      <c r="K57" s="40">
        <v>72163.679999999978</v>
      </c>
      <c r="L57" s="40">
        <v>0</v>
      </c>
      <c r="M57" s="40">
        <v>157645.27999999997</v>
      </c>
      <c r="N57" s="40">
        <v>0</v>
      </c>
      <c r="O57" s="40">
        <v>235.8272000000002</v>
      </c>
      <c r="P57" s="40">
        <v>1144.0128000000009</v>
      </c>
      <c r="Q57" s="40">
        <v>1786.2656000000015</v>
      </c>
      <c r="R57" s="40">
        <v>2950.3488000000029</v>
      </c>
      <c r="S57" s="40">
        <v>6783.7951999999968</v>
      </c>
      <c r="T57" s="40">
        <v>120296.95999999996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44302.182622950808</v>
      </c>
      <c r="AB57" s="40">
        <v>0</v>
      </c>
      <c r="AC57" s="40">
        <v>88371.833646353698</v>
      </c>
      <c r="AD57" s="40">
        <v>0</v>
      </c>
      <c r="AE57" s="40">
        <v>5986.1645999999973</v>
      </c>
      <c r="AF57" s="40">
        <v>0</v>
      </c>
      <c r="AG57" s="40">
        <v>141970.48000000001</v>
      </c>
      <c r="AH57" s="40">
        <v>0</v>
      </c>
      <c r="AI57" s="40">
        <v>0</v>
      </c>
      <c r="AJ57" s="40">
        <v>0</v>
      </c>
      <c r="AK57" s="40">
        <v>18595.43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809510.23540000001</v>
      </c>
      <c r="AU57" s="40">
        <v>501666.35046930442</v>
      </c>
      <c r="AV57" s="40">
        <v>160565.91</v>
      </c>
      <c r="AW57" s="40">
        <v>259529.56647235365</v>
      </c>
      <c r="AX57" s="56">
        <v>1471742.4958693043</v>
      </c>
      <c r="AY57" s="56">
        <v>1453147.0658693044</v>
      </c>
      <c r="AZ57" s="56">
        <v>4955</v>
      </c>
      <c r="BA57" s="56">
        <v>1045505</v>
      </c>
      <c r="BB57" s="56">
        <v>0</v>
      </c>
      <c r="BC57" s="56">
        <v>0</v>
      </c>
      <c r="BD57" s="56">
        <v>1471742.4958693043</v>
      </c>
      <c r="BE57" s="40">
        <v>1471742.4958693045</v>
      </c>
      <c r="BF57" s="40">
        <v>0</v>
      </c>
      <c r="BG57" s="56">
        <v>1064100.43</v>
      </c>
      <c r="BH57" s="56">
        <v>903534.5199999999</v>
      </c>
      <c r="BI57" s="40">
        <v>1311176.5858693044</v>
      </c>
      <c r="BJ57" s="40">
        <v>6214.1070420346177</v>
      </c>
      <c r="BK57" s="40">
        <v>6485.9670985781995</v>
      </c>
      <c r="BL57" s="41">
        <v>-4.1915114956900833E-2</v>
      </c>
      <c r="BM57" s="41">
        <v>4.1915114956900833E-2</v>
      </c>
      <c r="BN57" s="40">
        <v>57362.471930695756</v>
      </c>
      <c r="BO57" s="56">
        <v>1529104.9678</v>
      </c>
      <c r="BP57" s="56">
        <v>7158.8129753554504</v>
      </c>
      <c r="BQ57" s="56" t="s">
        <v>1006</v>
      </c>
      <c r="BR57" s="56">
        <v>7246.9429753554505</v>
      </c>
      <c r="BS57" s="47">
        <v>0</v>
      </c>
      <c r="BT57" s="40">
        <v>-5502.8799999999992</v>
      </c>
      <c r="BU57" s="40">
        <v>1523602.0878000001</v>
      </c>
      <c r="BV57" s="40">
        <v>0</v>
      </c>
      <c r="BW57" s="40">
        <v>1523602.0878000001</v>
      </c>
      <c r="BX57" s="40">
        <v>18595.43</v>
      </c>
      <c r="BY57" s="40">
        <v>1505006.6578000002</v>
      </c>
    </row>
    <row r="58" spans="1:77">
      <c r="A58">
        <f>_xlfn.XLOOKUP(B58,'Summary Mar 2026'!B:B,'Summary Mar 2026'!A:A,0,0)</f>
        <v>2246</v>
      </c>
      <c r="B58" s="54">
        <v>103296</v>
      </c>
      <c r="C58" s="54">
        <v>3302246</v>
      </c>
      <c r="D58" s="55" t="s">
        <v>427</v>
      </c>
      <c r="E58" s="46">
        <v>484</v>
      </c>
      <c r="F58" s="46">
        <v>484</v>
      </c>
      <c r="G58" s="46">
        <v>0</v>
      </c>
      <c r="H58" s="40">
        <v>1856886.0375999999</v>
      </c>
      <c r="I58" s="40">
        <v>0</v>
      </c>
      <c r="J58" s="40">
        <v>0</v>
      </c>
      <c r="K58" s="40">
        <v>94442.39999999998</v>
      </c>
      <c r="L58" s="40">
        <v>0</v>
      </c>
      <c r="M58" s="40">
        <v>207428.00000000015</v>
      </c>
      <c r="N58" s="40">
        <v>0</v>
      </c>
      <c r="O58" s="40">
        <v>20281.139199999983</v>
      </c>
      <c r="P58" s="40">
        <v>3146.0351999999962</v>
      </c>
      <c r="Q58" s="40">
        <v>6698.4960000000037</v>
      </c>
      <c r="R58" s="40">
        <v>32945.561600000074</v>
      </c>
      <c r="S58" s="40">
        <v>66794.291199999905</v>
      </c>
      <c r="T58" s="40">
        <v>23371.98079999999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5737.4038914027024</v>
      </c>
      <c r="AB58" s="40">
        <v>0</v>
      </c>
      <c r="AC58" s="40">
        <v>292872.11095941928</v>
      </c>
      <c r="AD58" s="40">
        <v>0</v>
      </c>
      <c r="AE58" s="40">
        <v>0</v>
      </c>
      <c r="AF58" s="40">
        <v>0</v>
      </c>
      <c r="AG58" s="40">
        <v>141970.48000000001</v>
      </c>
      <c r="AH58" s="40">
        <v>0</v>
      </c>
      <c r="AI58" s="40">
        <v>0</v>
      </c>
      <c r="AJ58" s="40">
        <v>0</v>
      </c>
      <c r="AK58" s="40">
        <v>27029.84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1856886.0375999999</v>
      </c>
      <c r="AU58" s="40">
        <v>753717.41885082214</v>
      </c>
      <c r="AV58" s="40">
        <v>169000.32000000001</v>
      </c>
      <c r="AW58" s="40">
        <v>549555.25827941927</v>
      </c>
      <c r="AX58" s="56">
        <v>2779603.7764508217</v>
      </c>
      <c r="AY58" s="56">
        <v>2752573.9364508218</v>
      </c>
      <c r="AZ58" s="56">
        <v>4955</v>
      </c>
      <c r="BA58" s="56">
        <v>2398220</v>
      </c>
      <c r="BB58" s="56">
        <v>0</v>
      </c>
      <c r="BC58" s="56">
        <v>0</v>
      </c>
      <c r="BD58" s="56">
        <v>2779603.7764508217</v>
      </c>
      <c r="BE58" s="40">
        <v>2779603.7764508217</v>
      </c>
      <c r="BF58" s="40">
        <v>0</v>
      </c>
      <c r="BG58" s="56">
        <v>2425249.84</v>
      </c>
      <c r="BH58" s="56">
        <v>2256249.52</v>
      </c>
      <c r="BI58" s="40">
        <v>2610603.4564508218</v>
      </c>
      <c r="BJ58" s="40">
        <v>5393.8087943198798</v>
      </c>
      <c r="BK58" s="40">
        <v>5379.2031064575649</v>
      </c>
      <c r="BL58" s="41">
        <v>2.7152140518325492E-3</v>
      </c>
      <c r="BM58" s="41">
        <v>0</v>
      </c>
      <c r="BN58" s="40">
        <v>0</v>
      </c>
      <c r="BO58" s="56">
        <v>2779603.7764508217</v>
      </c>
      <c r="BP58" s="56">
        <v>5687.1362323364083</v>
      </c>
      <c r="BQ58" s="56" t="s">
        <v>1006</v>
      </c>
      <c r="BR58" s="56">
        <v>5742.9830091959129</v>
      </c>
      <c r="BS58" s="47">
        <v>9.1321536382662494E-3</v>
      </c>
      <c r="BT58" s="40">
        <v>-12622.72</v>
      </c>
      <c r="BU58" s="40">
        <v>2766981.0564508215</v>
      </c>
      <c r="BV58" s="40">
        <v>0</v>
      </c>
      <c r="BW58" s="40">
        <v>2766981.0564508215</v>
      </c>
      <c r="BX58" s="40">
        <v>27029.84</v>
      </c>
      <c r="BY58" s="40">
        <v>2739951.2164508216</v>
      </c>
    </row>
    <row r="59" spans="1:77">
      <c r="A59">
        <f>_xlfn.XLOOKUP(B59,'Summary Mar 2026'!B:B,'Summary Mar 2026'!A:A,0,0)</f>
        <v>2251</v>
      </c>
      <c r="B59" s="54">
        <v>103298</v>
      </c>
      <c r="C59" s="54">
        <v>3302251</v>
      </c>
      <c r="D59" s="55" t="s">
        <v>92</v>
      </c>
      <c r="E59" s="46">
        <v>419</v>
      </c>
      <c r="F59" s="46">
        <v>419</v>
      </c>
      <c r="G59" s="46">
        <v>0</v>
      </c>
      <c r="H59" s="40">
        <v>1607510.8466</v>
      </c>
      <c r="I59" s="40">
        <v>0</v>
      </c>
      <c r="J59" s="40">
        <v>0</v>
      </c>
      <c r="K59" s="40">
        <v>39229.920000000093</v>
      </c>
      <c r="L59" s="40">
        <v>0</v>
      </c>
      <c r="M59" s="40">
        <v>85045.479999999894</v>
      </c>
      <c r="N59" s="40">
        <v>0</v>
      </c>
      <c r="O59" s="40">
        <v>235.82720000000049</v>
      </c>
      <c r="P59" s="40">
        <v>858.00960000000043</v>
      </c>
      <c r="Q59" s="40">
        <v>446.5664000000009</v>
      </c>
      <c r="R59" s="40">
        <v>983.44960000000003</v>
      </c>
      <c r="S59" s="40">
        <v>1565.4912000000011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36112.427905027893</v>
      </c>
      <c r="AB59" s="40">
        <v>0</v>
      </c>
      <c r="AC59" s="40">
        <v>137893.95931093587</v>
      </c>
      <c r="AD59" s="40">
        <v>0</v>
      </c>
      <c r="AE59" s="40">
        <v>0</v>
      </c>
      <c r="AF59" s="40">
        <v>0</v>
      </c>
      <c r="AG59" s="40">
        <v>141970.48000000001</v>
      </c>
      <c r="AH59" s="40">
        <v>0</v>
      </c>
      <c r="AI59" s="40">
        <v>0</v>
      </c>
      <c r="AJ59" s="40">
        <v>0</v>
      </c>
      <c r="AK59" s="40">
        <v>17820.63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1607510.8466</v>
      </c>
      <c r="AU59" s="40">
        <v>302371.13121596375</v>
      </c>
      <c r="AV59" s="40">
        <v>159791.11000000002</v>
      </c>
      <c r="AW59" s="40">
        <v>264480.80948093586</v>
      </c>
      <c r="AX59" s="56">
        <v>2069673.0878159639</v>
      </c>
      <c r="AY59" s="56">
        <v>2051852.457815964</v>
      </c>
      <c r="AZ59" s="56">
        <v>4955</v>
      </c>
      <c r="BA59" s="56">
        <v>2076145</v>
      </c>
      <c r="BB59" s="56">
        <v>24292.542184035992</v>
      </c>
      <c r="BC59" s="56">
        <v>0</v>
      </c>
      <c r="BD59" s="56">
        <v>2093965.63</v>
      </c>
      <c r="BE59" s="40">
        <v>2093965.63</v>
      </c>
      <c r="BF59" s="40">
        <v>0</v>
      </c>
      <c r="BG59" s="56">
        <v>2093965.63</v>
      </c>
      <c r="BH59" s="56">
        <v>1934174.52</v>
      </c>
      <c r="BI59" s="40">
        <v>1934174.52</v>
      </c>
      <c r="BJ59" s="40">
        <v>4616.1683054892601</v>
      </c>
      <c r="BK59" s="40">
        <v>4601.80152</v>
      </c>
      <c r="BL59" s="41">
        <v>3.1219915563112139E-3</v>
      </c>
      <c r="BM59" s="41">
        <v>0</v>
      </c>
      <c r="BN59" s="40">
        <v>0</v>
      </c>
      <c r="BO59" s="56">
        <v>2093965.63</v>
      </c>
      <c r="BP59" s="56">
        <v>4955</v>
      </c>
      <c r="BQ59" s="56" t="s">
        <v>1006</v>
      </c>
      <c r="BR59" s="56">
        <v>4997.5313365155125</v>
      </c>
      <c r="BS59" s="47">
        <v>3.0658382545492024E-3</v>
      </c>
      <c r="BT59" s="40">
        <v>-10927.519999999999</v>
      </c>
      <c r="BU59" s="40">
        <v>2083038.1099999999</v>
      </c>
      <c r="BV59" s="40">
        <v>0</v>
      </c>
      <c r="BW59" s="40">
        <v>2083038.1099999999</v>
      </c>
      <c r="BX59" s="40">
        <v>17820.63</v>
      </c>
      <c r="BY59" s="40">
        <v>2065217.48</v>
      </c>
    </row>
    <row r="60" spans="1:77">
      <c r="A60">
        <f>_xlfn.XLOOKUP(B60,'Summary Mar 2026'!B:B,'Summary Mar 2026'!A:A,0,0)</f>
        <v>2254</v>
      </c>
      <c r="B60" s="54">
        <v>103300</v>
      </c>
      <c r="C60" s="54">
        <v>3302254</v>
      </c>
      <c r="D60" s="55" t="s">
        <v>375</v>
      </c>
      <c r="E60" s="46">
        <v>522</v>
      </c>
      <c r="F60" s="46">
        <v>522</v>
      </c>
      <c r="G60" s="46">
        <v>0</v>
      </c>
      <c r="H60" s="40">
        <v>2002674.6108000001</v>
      </c>
      <c r="I60" s="40">
        <v>0</v>
      </c>
      <c r="J60" s="40">
        <v>0</v>
      </c>
      <c r="K60" s="40">
        <v>120111.35999999999</v>
      </c>
      <c r="L60" s="40">
        <v>0</v>
      </c>
      <c r="M60" s="40">
        <v>264470.70000000013</v>
      </c>
      <c r="N60" s="40">
        <v>0</v>
      </c>
      <c r="O60" s="40">
        <v>28535.091200000013</v>
      </c>
      <c r="P60" s="40">
        <v>20878.233599999974</v>
      </c>
      <c r="Q60" s="40">
        <v>12503.859199999995</v>
      </c>
      <c r="R60" s="40">
        <v>98344.959999999934</v>
      </c>
      <c r="S60" s="40">
        <v>32353.484799999933</v>
      </c>
      <c r="T60" s="40">
        <v>15810.457599999985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112985.76230769236</v>
      </c>
      <c r="AB60" s="40">
        <v>0</v>
      </c>
      <c r="AC60" s="40">
        <v>282809.1285732931</v>
      </c>
      <c r="AD60" s="40">
        <v>0</v>
      </c>
      <c r="AE60" s="40">
        <v>33688.699200000032</v>
      </c>
      <c r="AF60" s="40">
        <v>0</v>
      </c>
      <c r="AG60" s="40">
        <v>141970.48000000001</v>
      </c>
      <c r="AH60" s="40">
        <v>0</v>
      </c>
      <c r="AI60" s="40">
        <v>0</v>
      </c>
      <c r="AJ60" s="40">
        <v>0</v>
      </c>
      <c r="AK60" s="40">
        <v>77430.84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2002674.6108000001</v>
      </c>
      <c r="AU60" s="40">
        <v>1022491.7364809854</v>
      </c>
      <c r="AV60" s="40">
        <v>219401.32</v>
      </c>
      <c r="AW60" s="40">
        <v>596425.79181729304</v>
      </c>
      <c r="AX60" s="56">
        <v>3244567.6672809855</v>
      </c>
      <c r="AY60" s="56">
        <v>3167136.8272809857</v>
      </c>
      <c r="AZ60" s="56">
        <v>4955</v>
      </c>
      <c r="BA60" s="56">
        <v>2586510</v>
      </c>
      <c r="BB60" s="56">
        <v>0</v>
      </c>
      <c r="BC60" s="56">
        <v>0</v>
      </c>
      <c r="BD60" s="56">
        <v>3244567.6672809855</v>
      </c>
      <c r="BE60" s="40">
        <v>3244567.667280985</v>
      </c>
      <c r="BF60" s="40">
        <v>0</v>
      </c>
      <c r="BG60" s="56">
        <v>2663940.84</v>
      </c>
      <c r="BH60" s="56">
        <v>2444539.52</v>
      </c>
      <c r="BI60" s="40">
        <v>3025166.3472809857</v>
      </c>
      <c r="BJ60" s="40">
        <v>5795.3378300402028</v>
      </c>
      <c r="BK60" s="40">
        <v>5772.7486024344571</v>
      </c>
      <c r="BL60" s="41">
        <v>3.9130800873988288E-3</v>
      </c>
      <c r="BM60" s="41">
        <v>0</v>
      </c>
      <c r="BN60" s="40">
        <v>0</v>
      </c>
      <c r="BO60" s="56">
        <v>3244567.6672809855</v>
      </c>
      <c r="BP60" s="56">
        <v>6067.3119296570603</v>
      </c>
      <c r="BQ60" s="56" t="s">
        <v>1006</v>
      </c>
      <c r="BR60" s="56">
        <v>6215.6468721857964</v>
      </c>
      <c r="BS60" s="47">
        <v>6.6503248847751273E-3</v>
      </c>
      <c r="BT60" s="40">
        <v>-13613.759999999998</v>
      </c>
      <c r="BU60" s="40">
        <v>3230953.9072809857</v>
      </c>
      <c r="BV60" s="40">
        <v>0</v>
      </c>
      <c r="BW60" s="40">
        <v>3230953.9072809857</v>
      </c>
      <c r="BX60" s="40">
        <v>77430.84</v>
      </c>
      <c r="BY60" s="40">
        <v>3153523.0672809859</v>
      </c>
    </row>
    <row r="61" spans="1:77">
      <c r="A61">
        <f>_xlfn.XLOOKUP(B61,'Summary Mar 2026'!B:B,'Summary Mar 2026'!A:A,0,0)</f>
        <v>2278</v>
      </c>
      <c r="B61" s="54">
        <v>103310</v>
      </c>
      <c r="C61" s="54">
        <v>3302278</v>
      </c>
      <c r="D61" s="55" t="s">
        <v>339</v>
      </c>
      <c r="E61" s="46">
        <v>401</v>
      </c>
      <c r="F61" s="46">
        <v>401</v>
      </c>
      <c r="G61" s="46">
        <v>0</v>
      </c>
      <c r="H61" s="40">
        <v>1538453.1014</v>
      </c>
      <c r="I61" s="40">
        <v>0</v>
      </c>
      <c r="J61" s="40">
        <v>0</v>
      </c>
      <c r="K61" s="40">
        <v>118174.08000000006</v>
      </c>
      <c r="L61" s="40">
        <v>0</v>
      </c>
      <c r="M61" s="40">
        <v>255136.44000000021</v>
      </c>
      <c r="N61" s="40">
        <v>0</v>
      </c>
      <c r="O61" s="40">
        <v>7092.5030399999996</v>
      </c>
      <c r="P61" s="40">
        <v>573.43641600000001</v>
      </c>
      <c r="Q61" s="40">
        <v>4029.1453439999996</v>
      </c>
      <c r="R61" s="40">
        <v>32534.971392000003</v>
      </c>
      <c r="S61" s="40">
        <v>85794.136064000006</v>
      </c>
      <c r="T61" s="40">
        <v>45482.562048000007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41844.841792452848</v>
      </c>
      <c r="AB61" s="40">
        <v>0</v>
      </c>
      <c r="AC61" s="40">
        <v>186765.28003194102</v>
      </c>
      <c r="AD61" s="40">
        <v>0</v>
      </c>
      <c r="AE61" s="40">
        <v>11358.6057</v>
      </c>
      <c r="AF61" s="40">
        <v>0</v>
      </c>
      <c r="AG61" s="40">
        <v>141970.48000000001</v>
      </c>
      <c r="AH61" s="40">
        <v>0</v>
      </c>
      <c r="AI61" s="40">
        <v>0</v>
      </c>
      <c r="AJ61" s="40">
        <v>0</v>
      </c>
      <c r="AK61" s="40">
        <v>24535.64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1538453.1014</v>
      </c>
      <c r="AU61" s="40">
        <v>788786.00182839413</v>
      </c>
      <c r="AV61" s="40">
        <v>166506.12</v>
      </c>
      <c r="AW61" s="40">
        <v>461262.15385138115</v>
      </c>
      <c r="AX61" s="56">
        <v>2493745.2232283941</v>
      </c>
      <c r="AY61" s="56">
        <v>2469209.5832283939</v>
      </c>
      <c r="AZ61" s="56">
        <v>4955</v>
      </c>
      <c r="BA61" s="56">
        <v>1986955</v>
      </c>
      <c r="BB61" s="56">
        <v>0</v>
      </c>
      <c r="BC61" s="56">
        <v>0</v>
      </c>
      <c r="BD61" s="56">
        <v>2493745.2232283941</v>
      </c>
      <c r="BE61" s="40">
        <v>2493745.2232283945</v>
      </c>
      <c r="BF61" s="40">
        <v>0</v>
      </c>
      <c r="BG61" s="56">
        <v>2011490.64</v>
      </c>
      <c r="BH61" s="56">
        <v>1844984.52</v>
      </c>
      <c r="BI61" s="40">
        <v>2327239.1032283939</v>
      </c>
      <c r="BJ61" s="40">
        <v>5803.5887861057208</v>
      </c>
      <c r="BK61" s="40">
        <v>5759.9133566831688</v>
      </c>
      <c r="BL61" s="41">
        <v>7.5826538904228283E-3</v>
      </c>
      <c r="BM61" s="41">
        <v>0</v>
      </c>
      <c r="BN61" s="40">
        <v>0</v>
      </c>
      <c r="BO61" s="56">
        <v>2493745.2232283941</v>
      </c>
      <c r="BP61" s="56">
        <v>6157.6298833625788</v>
      </c>
      <c r="BQ61" s="56" t="s">
        <v>1006</v>
      </c>
      <c r="BR61" s="56">
        <v>6218.8160180259201</v>
      </c>
      <c r="BS61" s="47">
        <v>7.5758856900616234E-3</v>
      </c>
      <c r="BT61" s="40">
        <v>-10458.08</v>
      </c>
      <c r="BU61" s="40">
        <v>2483287.143228394</v>
      </c>
      <c r="BV61" s="40">
        <v>0</v>
      </c>
      <c r="BW61" s="40">
        <v>2483287.143228394</v>
      </c>
      <c r="BX61" s="40">
        <v>24535.64</v>
      </c>
      <c r="BY61" s="40">
        <v>2458751.5032283938</v>
      </c>
    </row>
    <row r="62" spans="1:77">
      <c r="A62">
        <f>_xlfn.XLOOKUP(B62,'Summary Mar 2026'!B:B,'Summary Mar 2026'!A:A,0,0)</f>
        <v>2289</v>
      </c>
      <c r="B62" s="54">
        <v>103315</v>
      </c>
      <c r="C62" s="54">
        <v>3302289</v>
      </c>
      <c r="D62" s="55" t="s">
        <v>103</v>
      </c>
      <c r="E62" s="46">
        <v>413</v>
      </c>
      <c r="F62" s="46">
        <v>413</v>
      </c>
      <c r="G62" s="46">
        <v>0</v>
      </c>
      <c r="H62" s="40">
        <v>1584491.5982000001</v>
      </c>
      <c r="I62" s="40">
        <v>0</v>
      </c>
      <c r="J62" s="40">
        <v>0</v>
      </c>
      <c r="K62" s="40">
        <v>59571.359999999986</v>
      </c>
      <c r="L62" s="40">
        <v>0</v>
      </c>
      <c r="M62" s="40">
        <v>134828.20000000004</v>
      </c>
      <c r="N62" s="40">
        <v>0</v>
      </c>
      <c r="O62" s="40">
        <v>2829.9263999999976</v>
      </c>
      <c r="P62" s="40">
        <v>3432.0383999999967</v>
      </c>
      <c r="Q62" s="40">
        <v>15629.823999999999</v>
      </c>
      <c r="R62" s="40">
        <v>48189.030399999931</v>
      </c>
      <c r="S62" s="40">
        <v>33918.975999999901</v>
      </c>
      <c r="T62" s="40">
        <v>5499.2896000000146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7492.3464872521254</v>
      </c>
      <c r="AB62" s="40">
        <v>0</v>
      </c>
      <c r="AC62" s="40">
        <v>185938.23828413786</v>
      </c>
      <c r="AD62" s="40">
        <v>0</v>
      </c>
      <c r="AE62" s="40">
        <v>0</v>
      </c>
      <c r="AF62" s="40">
        <v>0</v>
      </c>
      <c r="AG62" s="40">
        <v>141970.48000000001</v>
      </c>
      <c r="AH62" s="40">
        <v>0</v>
      </c>
      <c r="AI62" s="40">
        <v>0</v>
      </c>
      <c r="AJ62" s="40">
        <v>0</v>
      </c>
      <c r="AK62" s="40">
        <v>18982.84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1584491.5982000001</v>
      </c>
      <c r="AU62" s="40">
        <v>497329.22957138985</v>
      </c>
      <c r="AV62" s="40">
        <v>160953.32</v>
      </c>
      <c r="AW62" s="40">
        <v>374566.3303221378</v>
      </c>
      <c r="AX62" s="56">
        <v>2242774.1477713897</v>
      </c>
      <c r="AY62" s="56">
        <v>2223791.3077713898</v>
      </c>
      <c r="AZ62" s="56">
        <v>4955</v>
      </c>
      <c r="BA62" s="56">
        <v>2046415</v>
      </c>
      <c r="BB62" s="56">
        <v>0</v>
      </c>
      <c r="BC62" s="56">
        <v>0</v>
      </c>
      <c r="BD62" s="56">
        <v>2242774.1477713897</v>
      </c>
      <c r="BE62" s="40">
        <v>2242774.1477713897</v>
      </c>
      <c r="BF62" s="40">
        <v>0</v>
      </c>
      <c r="BG62" s="56">
        <v>2065397.84</v>
      </c>
      <c r="BH62" s="56">
        <v>1904444.52</v>
      </c>
      <c r="BI62" s="40">
        <v>2081820.8277713896</v>
      </c>
      <c r="BJ62" s="40">
        <v>5040.7283965408951</v>
      </c>
      <c r="BK62" s="40">
        <v>5066.3223798053541</v>
      </c>
      <c r="BL62" s="41">
        <v>-5.0517873411447404E-3</v>
      </c>
      <c r="BM62" s="41">
        <v>5.0517873411447404E-3</v>
      </c>
      <c r="BN62" s="40">
        <v>10570.31508822156</v>
      </c>
      <c r="BO62" s="56">
        <v>2253344.462859611</v>
      </c>
      <c r="BP62" s="56">
        <v>5410.0765686673394</v>
      </c>
      <c r="BQ62" s="56" t="s">
        <v>1006</v>
      </c>
      <c r="BR62" s="56">
        <v>5456.0398616455477</v>
      </c>
      <c r="BS62" s="47">
        <v>-3.4746382726358327E-4</v>
      </c>
      <c r="BT62" s="40">
        <v>-10771.039999999999</v>
      </c>
      <c r="BU62" s="40">
        <v>2242573.422859611</v>
      </c>
      <c r="BV62" s="40">
        <v>0</v>
      </c>
      <c r="BW62" s="40">
        <v>2242573.422859611</v>
      </c>
      <c r="BX62" s="40">
        <v>18982.84</v>
      </c>
      <c r="BY62" s="40">
        <v>2223590.5828596111</v>
      </c>
    </row>
    <row r="63" spans="1:77">
      <c r="A63">
        <f>_xlfn.XLOOKUP(B63,'Summary Mar 2026'!B:B,'Summary Mar 2026'!A:A,0,0)</f>
        <v>2293</v>
      </c>
      <c r="B63" s="54">
        <v>103317</v>
      </c>
      <c r="C63" s="54">
        <v>3302293</v>
      </c>
      <c r="D63" s="55" t="s">
        <v>337</v>
      </c>
      <c r="E63" s="46">
        <v>572</v>
      </c>
      <c r="F63" s="46">
        <v>572</v>
      </c>
      <c r="G63" s="46">
        <v>0</v>
      </c>
      <c r="H63" s="40">
        <v>2194501.6808000002</v>
      </c>
      <c r="I63" s="40">
        <v>0</v>
      </c>
      <c r="J63" s="40">
        <v>0</v>
      </c>
      <c r="K63" s="40">
        <v>128829.12</v>
      </c>
      <c r="L63" s="40">
        <v>0</v>
      </c>
      <c r="M63" s="40">
        <v>277953.52000000031</v>
      </c>
      <c r="N63" s="40">
        <v>0</v>
      </c>
      <c r="O63" s="40">
        <v>6131.5072000000064</v>
      </c>
      <c r="P63" s="40">
        <v>16874.188799999974</v>
      </c>
      <c r="Q63" s="40">
        <v>108962.20160000012</v>
      </c>
      <c r="R63" s="40">
        <v>62940.77440000006</v>
      </c>
      <c r="S63" s="40">
        <v>44355.584000000126</v>
      </c>
      <c r="T63" s="40">
        <v>7561.5231999999878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119402.83505976101</v>
      </c>
      <c r="AB63" s="40">
        <v>0</v>
      </c>
      <c r="AC63" s="40">
        <v>198686.95050928878</v>
      </c>
      <c r="AD63" s="40">
        <v>0</v>
      </c>
      <c r="AE63" s="40">
        <v>14804.899199999993</v>
      </c>
      <c r="AF63" s="40">
        <v>0</v>
      </c>
      <c r="AG63" s="40">
        <v>141970.48000000001</v>
      </c>
      <c r="AH63" s="40">
        <v>0</v>
      </c>
      <c r="AI63" s="40">
        <v>0</v>
      </c>
      <c r="AJ63" s="40">
        <v>0</v>
      </c>
      <c r="AK63" s="40">
        <v>41074.75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2194501.6808000002</v>
      </c>
      <c r="AU63" s="40">
        <v>986503.10396905045</v>
      </c>
      <c r="AV63" s="40">
        <v>183045.23</v>
      </c>
      <c r="AW63" s="40">
        <v>543711.06546128902</v>
      </c>
      <c r="AX63" s="56">
        <v>3364050.0147690508</v>
      </c>
      <c r="AY63" s="56">
        <v>3322975.2647690508</v>
      </c>
      <c r="AZ63" s="56">
        <v>4955</v>
      </c>
      <c r="BA63" s="56">
        <v>2834260</v>
      </c>
      <c r="BB63" s="56">
        <v>0</v>
      </c>
      <c r="BC63" s="56">
        <v>0</v>
      </c>
      <c r="BD63" s="56">
        <v>3364050.0147690508</v>
      </c>
      <c r="BE63" s="40">
        <v>3364050.0147690512</v>
      </c>
      <c r="BF63" s="40">
        <v>0</v>
      </c>
      <c r="BG63" s="56">
        <v>2875334.75</v>
      </c>
      <c r="BH63" s="56">
        <v>2692289.52</v>
      </c>
      <c r="BI63" s="40">
        <v>3181004.7847690508</v>
      </c>
      <c r="BJ63" s="40">
        <v>5561.1971761696695</v>
      </c>
      <c r="BK63" s="40">
        <v>5514.2374102608701</v>
      </c>
      <c r="BL63" s="41">
        <v>8.5160943236533334E-3</v>
      </c>
      <c r="BM63" s="41">
        <v>0</v>
      </c>
      <c r="BN63" s="40">
        <v>0</v>
      </c>
      <c r="BO63" s="56">
        <v>3364050.0147690508</v>
      </c>
      <c r="BP63" s="56">
        <v>5809.3973160298092</v>
      </c>
      <c r="BQ63" s="56" t="s">
        <v>1006</v>
      </c>
      <c r="BR63" s="56">
        <v>5881.2063195263127</v>
      </c>
      <c r="BS63" s="47">
        <v>8.337546049561384E-3</v>
      </c>
      <c r="BT63" s="40">
        <v>-14917.759999999998</v>
      </c>
      <c r="BU63" s="40">
        <v>3349132.254769051</v>
      </c>
      <c r="BV63" s="40">
        <v>0</v>
      </c>
      <c r="BW63" s="40">
        <v>3349132.254769051</v>
      </c>
      <c r="BX63" s="40">
        <v>41074.75</v>
      </c>
      <c r="BY63" s="40">
        <v>3308057.504769051</v>
      </c>
    </row>
    <row r="64" spans="1:77">
      <c r="A64">
        <f>_xlfn.XLOOKUP(B64,'Summary Mar 2026'!B:B,'Summary Mar 2026'!A:A,0,0)</f>
        <v>2294</v>
      </c>
      <c r="B64" s="54">
        <v>103318</v>
      </c>
      <c r="C64" s="54">
        <v>3302294</v>
      </c>
      <c r="D64" s="55" t="s">
        <v>123</v>
      </c>
      <c r="E64" s="46">
        <v>420</v>
      </c>
      <c r="F64" s="46">
        <v>420</v>
      </c>
      <c r="G64" s="46">
        <v>0</v>
      </c>
      <c r="H64" s="40">
        <v>1611347.388</v>
      </c>
      <c r="I64" s="40">
        <v>0</v>
      </c>
      <c r="J64" s="40">
        <v>0</v>
      </c>
      <c r="K64" s="40">
        <v>95411.039999999979</v>
      </c>
      <c r="L64" s="40">
        <v>0</v>
      </c>
      <c r="M64" s="40">
        <v>206390.8600000001</v>
      </c>
      <c r="N64" s="40">
        <v>0</v>
      </c>
      <c r="O64" s="40">
        <v>34194.943999999981</v>
      </c>
      <c r="P64" s="40">
        <v>23738.265600000042</v>
      </c>
      <c r="Q64" s="40">
        <v>5805.3632000000089</v>
      </c>
      <c r="R64" s="40">
        <v>54089.728000000017</v>
      </c>
      <c r="S64" s="40">
        <v>13045.759999999997</v>
      </c>
      <c r="T64" s="40">
        <v>19934.924800000012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67919.833333333387</v>
      </c>
      <c r="AB64" s="40">
        <v>0</v>
      </c>
      <c r="AC64" s="40">
        <v>163394.48613179545</v>
      </c>
      <c r="AD64" s="40">
        <v>0</v>
      </c>
      <c r="AE64" s="40">
        <v>1699.542000000004</v>
      </c>
      <c r="AF64" s="40">
        <v>0</v>
      </c>
      <c r="AG64" s="40">
        <v>141970.48000000001</v>
      </c>
      <c r="AH64" s="40">
        <v>0</v>
      </c>
      <c r="AI64" s="40">
        <v>0</v>
      </c>
      <c r="AJ64" s="40">
        <v>0</v>
      </c>
      <c r="AK64" s="40">
        <v>28089.83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1611347.388</v>
      </c>
      <c r="AU64" s="40">
        <v>685624.74706512899</v>
      </c>
      <c r="AV64" s="40">
        <v>170060.31</v>
      </c>
      <c r="AW64" s="40">
        <v>406901.77434779552</v>
      </c>
      <c r="AX64" s="56">
        <v>2467032.4450651291</v>
      </c>
      <c r="AY64" s="56">
        <v>2438942.615065129</v>
      </c>
      <c r="AZ64" s="56">
        <v>4955</v>
      </c>
      <c r="BA64" s="56">
        <v>2081100</v>
      </c>
      <c r="BB64" s="56">
        <v>0</v>
      </c>
      <c r="BC64" s="56">
        <v>0</v>
      </c>
      <c r="BD64" s="56">
        <v>2467032.4450651291</v>
      </c>
      <c r="BE64" s="40">
        <v>2467032.4450651286</v>
      </c>
      <c r="BF64" s="40">
        <v>0</v>
      </c>
      <c r="BG64" s="56">
        <v>2109189.83</v>
      </c>
      <c r="BH64" s="56">
        <v>1939129.52</v>
      </c>
      <c r="BI64" s="40">
        <v>2296972.135065129</v>
      </c>
      <c r="BJ64" s="40">
        <v>5468.9812739645931</v>
      </c>
      <c r="BK64" s="40">
        <v>5531.8673404761912</v>
      </c>
      <c r="BL64" s="41">
        <v>-1.1367963590064102E-2</v>
      </c>
      <c r="BM64" s="41">
        <v>1.1367963590064102E-2</v>
      </c>
      <c r="BN64" s="40">
        <v>26412.147934871195</v>
      </c>
      <c r="BO64" s="56">
        <v>2493444.5930000003</v>
      </c>
      <c r="BP64" s="56">
        <v>5869.8922928571437</v>
      </c>
      <c r="BQ64" s="56" t="s">
        <v>1006</v>
      </c>
      <c r="BR64" s="56">
        <v>5936.772840476191</v>
      </c>
      <c r="BS64" s="47">
        <v>0</v>
      </c>
      <c r="BT64" s="40">
        <v>-10953.599999999999</v>
      </c>
      <c r="BU64" s="40">
        <v>2482490.9930000002</v>
      </c>
      <c r="BV64" s="40">
        <v>0</v>
      </c>
      <c r="BW64" s="40">
        <v>2482490.9930000002</v>
      </c>
      <c r="BX64" s="40">
        <v>28089.83</v>
      </c>
      <c r="BY64" s="40">
        <v>2454401.1630000002</v>
      </c>
    </row>
    <row r="65" spans="1:77">
      <c r="A65">
        <f>_xlfn.XLOOKUP(B65,'Summary Mar 2026'!B:B,'Summary Mar 2026'!A:A,0,0)</f>
        <v>2296</v>
      </c>
      <c r="B65" s="54">
        <v>103320</v>
      </c>
      <c r="C65" s="54">
        <v>3302296</v>
      </c>
      <c r="D65" s="55" t="s">
        <v>135</v>
      </c>
      <c r="E65" s="46">
        <v>259</v>
      </c>
      <c r="F65" s="46">
        <v>259</v>
      </c>
      <c r="G65" s="46">
        <v>0</v>
      </c>
      <c r="H65" s="40">
        <v>993664.22259999998</v>
      </c>
      <c r="I65" s="40">
        <v>0</v>
      </c>
      <c r="J65" s="40">
        <v>0</v>
      </c>
      <c r="K65" s="40">
        <v>46010.400000000023</v>
      </c>
      <c r="L65" s="40">
        <v>0</v>
      </c>
      <c r="M65" s="40">
        <v>101639.71999999991</v>
      </c>
      <c r="N65" s="40">
        <v>0</v>
      </c>
      <c r="O65" s="40">
        <v>11555.532799999988</v>
      </c>
      <c r="P65" s="40">
        <v>9724.10879999998</v>
      </c>
      <c r="Q65" s="40">
        <v>5358.7967999999964</v>
      </c>
      <c r="R65" s="40">
        <v>1966.8991999999944</v>
      </c>
      <c r="S65" s="40">
        <v>13045.759999999998</v>
      </c>
      <c r="T65" s="40">
        <v>2062.2336000000032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19094.667554585176</v>
      </c>
      <c r="AB65" s="40">
        <v>0</v>
      </c>
      <c r="AC65" s="40">
        <v>96093.87570403592</v>
      </c>
      <c r="AD65" s="40">
        <v>0</v>
      </c>
      <c r="AE65" s="40">
        <v>2322.7074000000007</v>
      </c>
      <c r="AF65" s="40">
        <v>0</v>
      </c>
      <c r="AG65" s="40">
        <v>141970.48000000001</v>
      </c>
      <c r="AH65" s="40">
        <v>0</v>
      </c>
      <c r="AI65" s="40">
        <v>0</v>
      </c>
      <c r="AJ65" s="40">
        <v>0</v>
      </c>
      <c r="AK65" s="40">
        <v>31269.81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993664.22259999998</v>
      </c>
      <c r="AU65" s="40">
        <v>308874.70185862103</v>
      </c>
      <c r="AV65" s="40">
        <v>173240.29</v>
      </c>
      <c r="AW65" s="40">
        <v>214667.92926603585</v>
      </c>
      <c r="AX65" s="56">
        <v>1475779.2144586211</v>
      </c>
      <c r="AY65" s="56">
        <v>1444509.4044586211</v>
      </c>
      <c r="AZ65" s="56">
        <v>4955</v>
      </c>
      <c r="BA65" s="56">
        <v>1283345</v>
      </c>
      <c r="BB65" s="56">
        <v>0</v>
      </c>
      <c r="BC65" s="56">
        <v>0</v>
      </c>
      <c r="BD65" s="56">
        <v>1475779.2144586211</v>
      </c>
      <c r="BE65" s="40">
        <v>1475779.2144586209</v>
      </c>
      <c r="BF65" s="40">
        <v>0</v>
      </c>
      <c r="BG65" s="56">
        <v>1314614.81</v>
      </c>
      <c r="BH65" s="56">
        <v>1141374.52</v>
      </c>
      <c r="BI65" s="40">
        <v>1302538.9244586211</v>
      </c>
      <c r="BJ65" s="40">
        <v>5029.1078164425526</v>
      </c>
      <c r="BK65" s="40">
        <v>5134.3782911660774</v>
      </c>
      <c r="BL65" s="41">
        <v>-2.0503061666618382E-2</v>
      </c>
      <c r="BM65" s="41">
        <v>2.0503061666618382E-2</v>
      </c>
      <c r="BN65" s="40">
        <v>27265.052953392918</v>
      </c>
      <c r="BO65" s="56">
        <v>1503044.2674120141</v>
      </c>
      <c r="BP65" s="56">
        <v>5682.5268625946483</v>
      </c>
      <c r="BQ65" s="56" t="s">
        <v>1006</v>
      </c>
      <c r="BR65" s="56">
        <v>5803.2597197375062</v>
      </c>
      <c r="BS65" s="47">
        <v>9.871153460065285E-3</v>
      </c>
      <c r="BT65" s="40">
        <v>-6754.7199999999993</v>
      </c>
      <c r="BU65" s="40">
        <v>1496289.5474120141</v>
      </c>
      <c r="BV65" s="40">
        <v>0</v>
      </c>
      <c r="BW65" s="40">
        <v>1496289.5474120141</v>
      </c>
      <c r="BX65" s="40">
        <v>31269.81</v>
      </c>
      <c r="BY65" s="40">
        <v>1465019.737412014</v>
      </c>
    </row>
    <row r="66" spans="1:77">
      <c r="A66">
        <f>_xlfn.XLOOKUP(B66,'Summary Mar 2026'!B:B,'Summary Mar 2026'!A:A,0,0)</f>
        <v>2300</v>
      </c>
      <c r="B66" s="54">
        <v>103324</v>
      </c>
      <c r="C66" s="54">
        <v>3302300</v>
      </c>
      <c r="D66" s="55" t="s">
        <v>44</v>
      </c>
      <c r="E66" s="46">
        <v>639</v>
      </c>
      <c r="F66" s="46">
        <v>639</v>
      </c>
      <c r="G66" s="46">
        <v>0</v>
      </c>
      <c r="H66" s="40">
        <v>2451549.9545999998</v>
      </c>
      <c r="I66" s="40">
        <v>0</v>
      </c>
      <c r="J66" s="40">
        <v>0</v>
      </c>
      <c r="K66" s="40">
        <v>164184.4800000001</v>
      </c>
      <c r="L66" s="40">
        <v>0</v>
      </c>
      <c r="M66" s="40">
        <v>360924.71999999991</v>
      </c>
      <c r="N66" s="40">
        <v>0</v>
      </c>
      <c r="O66" s="40">
        <v>3065.7536000000073</v>
      </c>
      <c r="P66" s="40">
        <v>14586.163200000008</v>
      </c>
      <c r="Q66" s="40">
        <v>58946.764800000099</v>
      </c>
      <c r="R66" s="40">
        <v>146042.26559999996</v>
      </c>
      <c r="S66" s="40">
        <v>55314.022399999958</v>
      </c>
      <c r="T66" s="40">
        <v>21309.747200000002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100963.548032787</v>
      </c>
      <c r="AB66" s="40">
        <v>0</v>
      </c>
      <c r="AC66" s="40">
        <v>209726.47815490546</v>
      </c>
      <c r="AD66" s="40">
        <v>0</v>
      </c>
      <c r="AE66" s="40">
        <v>0</v>
      </c>
      <c r="AF66" s="40">
        <v>0</v>
      </c>
      <c r="AG66" s="40">
        <v>141970.48000000001</v>
      </c>
      <c r="AH66" s="40">
        <v>0</v>
      </c>
      <c r="AI66" s="40">
        <v>0</v>
      </c>
      <c r="AJ66" s="40">
        <v>0</v>
      </c>
      <c r="AK66" s="40">
        <v>80893.09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2451549.9545999998</v>
      </c>
      <c r="AU66" s="40">
        <v>1135063.9429876923</v>
      </c>
      <c r="AV66" s="40">
        <v>222863.57</v>
      </c>
      <c r="AW66" s="40">
        <v>629078.58593290555</v>
      </c>
      <c r="AX66" s="56">
        <v>3809477.4675876922</v>
      </c>
      <c r="AY66" s="56">
        <v>3728584.3775876923</v>
      </c>
      <c r="AZ66" s="56">
        <v>4955</v>
      </c>
      <c r="BA66" s="56">
        <v>3166245</v>
      </c>
      <c r="BB66" s="56">
        <v>0</v>
      </c>
      <c r="BC66" s="56">
        <v>0</v>
      </c>
      <c r="BD66" s="56">
        <v>3809477.4675876922</v>
      </c>
      <c r="BE66" s="40">
        <v>3809477.4675876922</v>
      </c>
      <c r="BF66" s="40">
        <v>0</v>
      </c>
      <c r="BG66" s="56">
        <v>3247138.09</v>
      </c>
      <c r="BH66" s="56">
        <v>3024274.52</v>
      </c>
      <c r="BI66" s="40">
        <v>3586613.8975876924</v>
      </c>
      <c r="BJ66" s="40">
        <v>5612.8542998242447</v>
      </c>
      <c r="BK66" s="40">
        <v>5536.6889111811024</v>
      </c>
      <c r="BL66" s="41">
        <v>1.3756486930181243E-2</v>
      </c>
      <c r="BM66" s="41">
        <v>0</v>
      </c>
      <c r="BN66" s="40">
        <v>0</v>
      </c>
      <c r="BO66" s="56">
        <v>3809477.4675876922</v>
      </c>
      <c r="BP66" s="56">
        <v>5835.0303248633682</v>
      </c>
      <c r="BQ66" s="56" t="s">
        <v>1006</v>
      </c>
      <c r="BR66" s="56">
        <v>5961.6235799494398</v>
      </c>
      <c r="BS66" s="47">
        <v>1.3929308982214783E-2</v>
      </c>
      <c r="BT66" s="40">
        <v>-16665.12</v>
      </c>
      <c r="BU66" s="40">
        <v>3792812.3475876921</v>
      </c>
      <c r="BV66" s="40">
        <v>0</v>
      </c>
      <c r="BW66" s="40">
        <v>3792812.3475876921</v>
      </c>
      <c r="BX66" s="40">
        <v>80893.09</v>
      </c>
      <c r="BY66" s="40">
        <v>3711919.2575876922</v>
      </c>
    </row>
    <row r="67" spans="1:77">
      <c r="A67">
        <f>_xlfn.XLOOKUP(B67,'Summary Mar 2026'!B:B,'Summary Mar 2026'!A:A,0,0)</f>
        <v>2306</v>
      </c>
      <c r="B67" s="54">
        <v>103326</v>
      </c>
      <c r="C67" s="54">
        <v>3302306</v>
      </c>
      <c r="D67" s="55" t="s">
        <v>323</v>
      </c>
      <c r="E67" s="46">
        <v>211</v>
      </c>
      <c r="F67" s="46">
        <v>211</v>
      </c>
      <c r="G67" s="46">
        <v>0</v>
      </c>
      <c r="H67" s="40">
        <v>809510.23540000001</v>
      </c>
      <c r="I67" s="40">
        <v>0</v>
      </c>
      <c r="J67" s="40">
        <v>0</v>
      </c>
      <c r="K67" s="40">
        <v>44073.120000000046</v>
      </c>
      <c r="L67" s="40">
        <v>0</v>
      </c>
      <c r="M67" s="40">
        <v>94379.740000000107</v>
      </c>
      <c r="N67" s="40">
        <v>0</v>
      </c>
      <c r="O67" s="40">
        <v>14857.113600000015</v>
      </c>
      <c r="P67" s="40">
        <v>10868.121600000009</v>
      </c>
      <c r="Q67" s="40">
        <v>3125.9648000000025</v>
      </c>
      <c r="R67" s="40">
        <v>10326.220800000001</v>
      </c>
      <c r="S67" s="40">
        <v>15654.912000000017</v>
      </c>
      <c r="T67" s="40">
        <v>2062.2336000000023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48185.020828729314</v>
      </c>
      <c r="AB67" s="40">
        <v>0</v>
      </c>
      <c r="AC67" s="40">
        <v>72447.86959731541</v>
      </c>
      <c r="AD67" s="40">
        <v>0</v>
      </c>
      <c r="AE67" s="40">
        <v>20149.014600000035</v>
      </c>
      <c r="AF67" s="40">
        <v>0</v>
      </c>
      <c r="AG67" s="40">
        <v>141970.48000000001</v>
      </c>
      <c r="AH67" s="40">
        <v>0</v>
      </c>
      <c r="AI67" s="40">
        <v>0</v>
      </c>
      <c r="AJ67" s="40">
        <v>0</v>
      </c>
      <c r="AK67" s="40">
        <v>19886.79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809510.23540000001</v>
      </c>
      <c r="AU67" s="40">
        <v>336129.33142604498</v>
      </c>
      <c r="AV67" s="40">
        <v>161857.27000000002</v>
      </c>
      <c r="AW67" s="40">
        <v>183248.45487131548</v>
      </c>
      <c r="AX67" s="56">
        <v>1307496.8368260451</v>
      </c>
      <c r="AY67" s="56">
        <v>1287610.046826045</v>
      </c>
      <c r="AZ67" s="56">
        <v>4955</v>
      </c>
      <c r="BA67" s="56">
        <v>1045505</v>
      </c>
      <c r="BB67" s="56">
        <v>0</v>
      </c>
      <c r="BC67" s="56">
        <v>0</v>
      </c>
      <c r="BD67" s="56">
        <v>1307496.8368260451</v>
      </c>
      <c r="BE67" s="40">
        <v>1307496.8368260448</v>
      </c>
      <c r="BF67" s="40">
        <v>0</v>
      </c>
      <c r="BG67" s="56">
        <v>1065391.79</v>
      </c>
      <c r="BH67" s="56">
        <v>903534.52</v>
      </c>
      <c r="BI67" s="40">
        <v>1145639.566826045</v>
      </c>
      <c r="BJ67" s="40">
        <v>5429.5714067585077</v>
      </c>
      <c r="BK67" s="40">
        <v>5432.6595821256033</v>
      </c>
      <c r="BL67" s="41">
        <v>-5.6844632364895606E-4</v>
      </c>
      <c r="BM67" s="41">
        <v>5.6844632364895606E-4</v>
      </c>
      <c r="BN67" s="40">
        <v>651.60500245716594</v>
      </c>
      <c r="BO67" s="56">
        <v>1308148.4418285023</v>
      </c>
      <c r="BP67" s="56">
        <v>6105.5054589028541</v>
      </c>
      <c r="BQ67" s="56" t="s">
        <v>1006</v>
      </c>
      <c r="BR67" s="56">
        <v>6199.7556484763145</v>
      </c>
      <c r="BS67" s="47">
        <v>-2.3852159516561944E-3</v>
      </c>
      <c r="BT67" s="40">
        <v>-5502.8799999999992</v>
      </c>
      <c r="BU67" s="40">
        <v>1302645.5618285025</v>
      </c>
      <c r="BV67" s="40">
        <v>0</v>
      </c>
      <c r="BW67" s="40">
        <v>1302645.5618285025</v>
      </c>
      <c r="BX67" s="40">
        <v>19886.79</v>
      </c>
      <c r="BY67" s="40">
        <v>1282758.7718285024</v>
      </c>
    </row>
    <row r="68" spans="1:77">
      <c r="A68">
        <f>_xlfn.XLOOKUP(B68,'Summary Mar 2026'!B:B,'Summary Mar 2026'!A:A,0,0)</f>
        <v>2308</v>
      </c>
      <c r="B68" s="54">
        <v>103328</v>
      </c>
      <c r="C68" s="54">
        <v>3302308</v>
      </c>
      <c r="D68" s="55" t="s">
        <v>325</v>
      </c>
      <c r="E68" s="46">
        <v>390</v>
      </c>
      <c r="F68" s="46">
        <v>390</v>
      </c>
      <c r="G68" s="46">
        <v>0</v>
      </c>
      <c r="H68" s="40">
        <v>1496251.1459999999</v>
      </c>
      <c r="I68" s="40">
        <v>0</v>
      </c>
      <c r="J68" s="40">
        <v>0</v>
      </c>
      <c r="K68" s="40">
        <v>116236.79999999992</v>
      </c>
      <c r="L68" s="40">
        <v>0</v>
      </c>
      <c r="M68" s="40">
        <v>249950.74000000002</v>
      </c>
      <c r="N68" s="40">
        <v>0</v>
      </c>
      <c r="O68" s="40">
        <v>4740.8560824742253</v>
      </c>
      <c r="P68" s="40">
        <v>3737.2067628866025</v>
      </c>
      <c r="Q68" s="40">
        <v>22892.282721649459</v>
      </c>
      <c r="R68" s="40">
        <v>85506.887257732</v>
      </c>
      <c r="S68" s="40">
        <v>55074.625979381468</v>
      </c>
      <c r="T68" s="40">
        <v>8982.4092371134138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97110.164457831328</v>
      </c>
      <c r="AB68" s="40">
        <v>0</v>
      </c>
      <c r="AC68" s="40">
        <v>170763.26116600784</v>
      </c>
      <c r="AD68" s="40">
        <v>0</v>
      </c>
      <c r="AE68" s="40">
        <v>0</v>
      </c>
      <c r="AF68" s="40">
        <v>0</v>
      </c>
      <c r="AG68" s="40">
        <v>141970.48000000001</v>
      </c>
      <c r="AH68" s="40">
        <v>0</v>
      </c>
      <c r="AI68" s="40">
        <v>0</v>
      </c>
      <c r="AJ68" s="40">
        <v>0</v>
      </c>
      <c r="AK68" s="40">
        <v>36039.78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1496251.1459999999</v>
      </c>
      <c r="AU68" s="40">
        <v>814995.2336650762</v>
      </c>
      <c r="AV68" s="40">
        <v>178010.26</v>
      </c>
      <c r="AW68" s="40">
        <v>442539.66936085315</v>
      </c>
      <c r="AX68" s="56">
        <v>2489256.6396650765</v>
      </c>
      <c r="AY68" s="56">
        <v>2453216.8596650767</v>
      </c>
      <c r="AZ68" s="56">
        <v>4955</v>
      </c>
      <c r="BA68" s="56">
        <v>1932450</v>
      </c>
      <c r="BB68" s="56">
        <v>0</v>
      </c>
      <c r="BC68" s="56">
        <v>0</v>
      </c>
      <c r="BD68" s="56">
        <v>2489256.6396650765</v>
      </c>
      <c r="BE68" s="40">
        <v>2489256.6396650756</v>
      </c>
      <c r="BF68" s="40">
        <v>0</v>
      </c>
      <c r="BG68" s="56">
        <v>1968489.78</v>
      </c>
      <c r="BH68" s="56">
        <v>1790479.52</v>
      </c>
      <c r="BI68" s="40">
        <v>2311246.3796650767</v>
      </c>
      <c r="BJ68" s="40">
        <v>5926.2727683719913</v>
      </c>
      <c r="BK68" s="40">
        <v>5976.8366067500001</v>
      </c>
      <c r="BL68" s="41">
        <v>-8.4599666520754468E-3</v>
      </c>
      <c r="BM68" s="41">
        <v>8.4599666520754468E-3</v>
      </c>
      <c r="BN68" s="40">
        <v>19719.896967423421</v>
      </c>
      <c r="BO68" s="56">
        <v>2508976.5366325001</v>
      </c>
      <c r="BP68" s="56">
        <v>6340.863478544873</v>
      </c>
      <c r="BQ68" s="56" t="s">
        <v>1006</v>
      </c>
      <c r="BR68" s="56">
        <v>6433.2731708525644</v>
      </c>
      <c r="BS68" s="47">
        <v>1.776885527336125E-3</v>
      </c>
      <c r="BT68" s="40">
        <v>-10171.199999999999</v>
      </c>
      <c r="BU68" s="40">
        <v>2498805.3366324999</v>
      </c>
      <c r="BV68" s="40">
        <v>0</v>
      </c>
      <c r="BW68" s="40">
        <v>2498805.3366324999</v>
      </c>
      <c r="BX68" s="40">
        <v>36039.78</v>
      </c>
      <c r="BY68" s="40">
        <v>2462765.5566325001</v>
      </c>
    </row>
    <row r="69" spans="1:77">
      <c r="A69">
        <f>_xlfn.XLOOKUP(B69,'Summary Mar 2026'!B:B,'Summary Mar 2026'!A:A,0,0)</f>
        <v>2312</v>
      </c>
      <c r="B69" s="54">
        <v>103332</v>
      </c>
      <c r="C69" s="54">
        <v>3302312</v>
      </c>
      <c r="D69" s="55" t="s">
        <v>86</v>
      </c>
      <c r="E69" s="46">
        <v>421</v>
      </c>
      <c r="F69" s="46">
        <v>421</v>
      </c>
      <c r="G69" s="46">
        <v>0</v>
      </c>
      <c r="H69" s="40">
        <v>1615183.9294</v>
      </c>
      <c r="I69" s="40">
        <v>0</v>
      </c>
      <c r="J69" s="40">
        <v>0</v>
      </c>
      <c r="K69" s="40">
        <v>37776.959999999977</v>
      </c>
      <c r="L69" s="40">
        <v>0</v>
      </c>
      <c r="M69" s="40">
        <v>84008.339999999938</v>
      </c>
      <c r="N69" s="40">
        <v>0</v>
      </c>
      <c r="O69" s="40">
        <v>5659.852799999996</v>
      </c>
      <c r="P69" s="40">
        <v>4004.0447999999997</v>
      </c>
      <c r="Q69" s="40">
        <v>7145.0623999999953</v>
      </c>
      <c r="R69" s="40">
        <v>1966.8992000000005</v>
      </c>
      <c r="S69" s="40">
        <v>10958.438400000001</v>
      </c>
      <c r="T69" s="40">
        <v>4124.4672000000046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59580.75734806637</v>
      </c>
      <c r="AB69" s="40">
        <v>0</v>
      </c>
      <c r="AC69" s="40">
        <v>129699.28188270681</v>
      </c>
      <c r="AD69" s="40">
        <v>0</v>
      </c>
      <c r="AE69" s="40">
        <v>0</v>
      </c>
      <c r="AF69" s="40">
        <v>0</v>
      </c>
      <c r="AG69" s="40">
        <v>141970.48000000001</v>
      </c>
      <c r="AH69" s="40">
        <v>0</v>
      </c>
      <c r="AI69" s="40">
        <v>0</v>
      </c>
      <c r="AJ69" s="40">
        <v>0</v>
      </c>
      <c r="AK69" s="40">
        <v>30209.82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1615183.9294</v>
      </c>
      <c r="AU69" s="40">
        <v>344924.1040307731</v>
      </c>
      <c r="AV69" s="40">
        <v>172180.30000000002</v>
      </c>
      <c r="AW69" s="40">
        <v>266490.34168070677</v>
      </c>
      <c r="AX69" s="56">
        <v>2132288.3334307731</v>
      </c>
      <c r="AY69" s="56">
        <v>2102078.5134307733</v>
      </c>
      <c r="AZ69" s="56">
        <v>4955</v>
      </c>
      <c r="BA69" s="56">
        <v>2086055</v>
      </c>
      <c r="BB69" s="56">
        <v>0</v>
      </c>
      <c r="BC69" s="56">
        <v>0</v>
      </c>
      <c r="BD69" s="56">
        <v>2132288.3334307731</v>
      </c>
      <c r="BE69" s="40">
        <v>2132288.3334307731</v>
      </c>
      <c r="BF69" s="40">
        <v>0</v>
      </c>
      <c r="BG69" s="56">
        <v>2116264.8199999998</v>
      </c>
      <c r="BH69" s="56">
        <v>1944084.5199999998</v>
      </c>
      <c r="BI69" s="40">
        <v>1960108.0334307731</v>
      </c>
      <c r="BJ69" s="40">
        <v>4655.8385592179884</v>
      </c>
      <c r="BK69" s="40">
        <v>4746.1909907363415</v>
      </c>
      <c r="BL69" s="41">
        <v>-1.9036830101170351E-2</v>
      </c>
      <c r="BM69" s="41">
        <v>1.9036830101170351E-2</v>
      </c>
      <c r="BN69" s="40">
        <v>38038.373669226661</v>
      </c>
      <c r="BO69" s="56">
        <v>2170326.7070999998</v>
      </c>
      <c r="BP69" s="56">
        <v>5083.4130334916863</v>
      </c>
      <c r="BQ69" s="56" t="s">
        <v>1006</v>
      </c>
      <c r="BR69" s="56">
        <v>5155.1703256532064</v>
      </c>
      <c r="BS69" s="47">
        <v>0</v>
      </c>
      <c r="BT69" s="40">
        <v>-10979.679999999998</v>
      </c>
      <c r="BU69" s="40">
        <v>2159347.0270999996</v>
      </c>
      <c r="BV69" s="40">
        <v>0</v>
      </c>
      <c r="BW69" s="40">
        <v>2159347.0270999996</v>
      </c>
      <c r="BX69" s="40">
        <v>30209.82</v>
      </c>
      <c r="BY69" s="40">
        <v>2129137.2070999998</v>
      </c>
    </row>
    <row r="70" spans="1:77">
      <c r="A70">
        <f>_xlfn.XLOOKUP(B70,'Summary Mar 2026'!B:B,'Summary Mar 2026'!A:A,0,0)</f>
        <v>2314</v>
      </c>
      <c r="B70" s="54">
        <v>103334</v>
      </c>
      <c r="C70" s="54">
        <v>3302314</v>
      </c>
      <c r="D70" s="55" t="s">
        <v>341</v>
      </c>
      <c r="E70" s="46">
        <v>207</v>
      </c>
      <c r="F70" s="46">
        <v>207</v>
      </c>
      <c r="G70" s="46">
        <v>0</v>
      </c>
      <c r="H70" s="40">
        <v>794164.06980000006</v>
      </c>
      <c r="I70" s="40">
        <v>0</v>
      </c>
      <c r="J70" s="40">
        <v>0</v>
      </c>
      <c r="K70" s="40">
        <v>21310.080000000005</v>
      </c>
      <c r="L70" s="40">
        <v>0</v>
      </c>
      <c r="M70" s="40">
        <v>46671.299999999981</v>
      </c>
      <c r="N70" s="40">
        <v>0</v>
      </c>
      <c r="O70" s="40">
        <v>471.65440000000001</v>
      </c>
      <c r="P70" s="40">
        <v>28314.316799999979</v>
      </c>
      <c r="Q70" s="40">
        <v>1786.2655999999961</v>
      </c>
      <c r="R70" s="40">
        <v>1966.8991999999957</v>
      </c>
      <c r="S70" s="40">
        <v>4174.6432000000023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9372.9370000000017</v>
      </c>
      <c r="AB70" s="40">
        <v>0</v>
      </c>
      <c r="AC70" s="40">
        <v>53249.079724137911</v>
      </c>
      <c r="AD70" s="40">
        <v>0</v>
      </c>
      <c r="AE70" s="40">
        <v>0</v>
      </c>
      <c r="AF70" s="40">
        <v>0</v>
      </c>
      <c r="AG70" s="40">
        <v>141970.48000000001</v>
      </c>
      <c r="AH70" s="40">
        <v>0</v>
      </c>
      <c r="AI70" s="40">
        <v>0</v>
      </c>
      <c r="AJ70" s="40">
        <v>0</v>
      </c>
      <c r="AK70" s="40">
        <v>18595.43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794164.06980000006</v>
      </c>
      <c r="AU70" s="40">
        <v>167317.1759241379</v>
      </c>
      <c r="AV70" s="40">
        <v>160565.91</v>
      </c>
      <c r="AW70" s="40">
        <v>130647.54052613789</v>
      </c>
      <c r="AX70" s="56">
        <v>1122047.155724138</v>
      </c>
      <c r="AY70" s="56">
        <v>1103451.7257241381</v>
      </c>
      <c r="AZ70" s="56">
        <v>4955</v>
      </c>
      <c r="BA70" s="56">
        <v>1025685</v>
      </c>
      <c r="BB70" s="56">
        <v>0</v>
      </c>
      <c r="BC70" s="56">
        <v>0</v>
      </c>
      <c r="BD70" s="56">
        <v>1122047.155724138</v>
      </c>
      <c r="BE70" s="40">
        <v>1122047.155724138</v>
      </c>
      <c r="BF70" s="40">
        <v>0</v>
      </c>
      <c r="BG70" s="56">
        <v>1044280.43</v>
      </c>
      <c r="BH70" s="56">
        <v>883714.52</v>
      </c>
      <c r="BI70" s="40">
        <v>961481.24572413799</v>
      </c>
      <c r="BJ70" s="40">
        <v>4644.8369358654008</v>
      </c>
      <c r="BK70" s="40">
        <v>4700.2787471962629</v>
      </c>
      <c r="BL70" s="41">
        <v>-1.1795430508016853E-2</v>
      </c>
      <c r="BM70" s="41">
        <v>1.1795430508016853E-2</v>
      </c>
      <c r="BN70" s="40">
        <v>11476.454945488442</v>
      </c>
      <c r="BO70" s="56">
        <v>1133523.6106696264</v>
      </c>
      <c r="BP70" s="56">
        <v>5386.1264766648619</v>
      </c>
      <c r="BQ70" s="56" t="s">
        <v>1006</v>
      </c>
      <c r="BR70" s="56">
        <v>5475.959471833944</v>
      </c>
      <c r="BS70" s="47">
        <v>4.655046365427129E-3</v>
      </c>
      <c r="BT70" s="40">
        <v>-5398.5599999999995</v>
      </c>
      <c r="BU70" s="40">
        <v>1128125.0506696263</v>
      </c>
      <c r="BV70" s="40">
        <v>0</v>
      </c>
      <c r="BW70" s="40">
        <v>1128125.0506696263</v>
      </c>
      <c r="BX70" s="40">
        <v>18595.43</v>
      </c>
      <c r="BY70" s="40">
        <v>1109529.6206696264</v>
      </c>
    </row>
    <row r="71" spans="1:77">
      <c r="A71">
        <f>_xlfn.XLOOKUP(B71,'Summary Mar 2026'!B:B,'Summary Mar 2026'!A:A,0,0)</f>
        <v>2317</v>
      </c>
      <c r="B71" s="54">
        <v>103337</v>
      </c>
      <c r="C71" s="54">
        <v>3302317</v>
      </c>
      <c r="D71" s="55" t="s">
        <v>343</v>
      </c>
      <c r="E71" s="46">
        <v>251</v>
      </c>
      <c r="F71" s="46">
        <v>251</v>
      </c>
      <c r="G71" s="46">
        <v>0</v>
      </c>
      <c r="H71" s="40">
        <v>962971.89139999996</v>
      </c>
      <c r="I71" s="40">
        <v>0</v>
      </c>
      <c r="J71" s="40">
        <v>0</v>
      </c>
      <c r="K71" s="40">
        <v>38261.280000000035</v>
      </c>
      <c r="L71" s="40">
        <v>0</v>
      </c>
      <c r="M71" s="40">
        <v>82971.200000000114</v>
      </c>
      <c r="N71" s="40">
        <v>0</v>
      </c>
      <c r="O71" s="40">
        <v>0</v>
      </c>
      <c r="P71" s="40">
        <v>286.00319999999999</v>
      </c>
      <c r="Q71" s="40">
        <v>37511.577599999968</v>
      </c>
      <c r="R71" s="40">
        <v>18685.542400000006</v>
      </c>
      <c r="S71" s="40">
        <v>24004.198399999957</v>
      </c>
      <c r="T71" s="40">
        <v>32995.737599999971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41871.981461988275</v>
      </c>
      <c r="AB71" s="40">
        <v>0</v>
      </c>
      <c r="AC71" s="40">
        <v>104625.78315789475</v>
      </c>
      <c r="AD71" s="40">
        <v>0</v>
      </c>
      <c r="AE71" s="40">
        <v>0</v>
      </c>
      <c r="AF71" s="40">
        <v>0</v>
      </c>
      <c r="AG71" s="40">
        <v>141970.48000000001</v>
      </c>
      <c r="AH71" s="40">
        <v>0</v>
      </c>
      <c r="AI71" s="40">
        <v>0</v>
      </c>
      <c r="AJ71" s="40">
        <v>0</v>
      </c>
      <c r="AK71" s="40">
        <v>15383.15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962971.89139999996</v>
      </c>
      <c r="AU71" s="40">
        <v>381213.30381988309</v>
      </c>
      <c r="AV71" s="40">
        <v>157353.63</v>
      </c>
      <c r="AW71" s="40">
        <v>237271.97183989477</v>
      </c>
      <c r="AX71" s="56">
        <v>1501538.8252198831</v>
      </c>
      <c r="AY71" s="56">
        <v>1486155.6752198832</v>
      </c>
      <c r="AZ71" s="56">
        <v>4955</v>
      </c>
      <c r="BA71" s="56">
        <v>1243705</v>
      </c>
      <c r="BB71" s="56">
        <v>0</v>
      </c>
      <c r="BC71" s="56">
        <v>0</v>
      </c>
      <c r="BD71" s="56">
        <v>1501538.8252198831</v>
      </c>
      <c r="BE71" s="40">
        <v>1501538.8252198827</v>
      </c>
      <c r="BF71" s="40">
        <v>0</v>
      </c>
      <c r="BG71" s="56">
        <v>1259088.1499999999</v>
      </c>
      <c r="BH71" s="56">
        <v>1101734.52</v>
      </c>
      <c r="BI71" s="40">
        <v>1344185.1952198832</v>
      </c>
      <c r="BJ71" s="40">
        <v>5355.3195028680602</v>
      </c>
      <c r="BK71" s="40">
        <v>5457.2270082352952</v>
      </c>
      <c r="BL71" s="41">
        <v>-1.8673862240557379E-2</v>
      </c>
      <c r="BM71" s="41">
        <v>1.8673862240557379E-2</v>
      </c>
      <c r="BN71" s="40">
        <v>25578.783847175982</v>
      </c>
      <c r="BO71" s="56">
        <v>1527117.6090670591</v>
      </c>
      <c r="BP71" s="56">
        <v>6022.8464504663716</v>
      </c>
      <c r="BQ71" s="56" t="s">
        <v>1006</v>
      </c>
      <c r="BR71" s="56">
        <v>6084.1339006655744</v>
      </c>
      <c r="BS71" s="47">
        <v>1.618924567141411E-3</v>
      </c>
      <c r="BT71" s="40">
        <v>-6546.08</v>
      </c>
      <c r="BU71" s="40">
        <v>1520571.529067059</v>
      </c>
      <c r="BV71" s="40">
        <v>0</v>
      </c>
      <c r="BW71" s="40">
        <v>1520571.529067059</v>
      </c>
      <c r="BX71" s="40">
        <v>15383.15</v>
      </c>
      <c r="BY71" s="40">
        <v>1505188.3790670591</v>
      </c>
    </row>
    <row r="72" spans="1:77">
      <c r="A72">
        <f>_xlfn.XLOOKUP(B72,'Summary Mar 2026'!B:B,'Summary Mar 2026'!A:A,0,0)</f>
        <v>2321</v>
      </c>
      <c r="B72" s="54">
        <v>103339</v>
      </c>
      <c r="C72" s="54">
        <v>3302321</v>
      </c>
      <c r="D72" s="55" t="s">
        <v>179</v>
      </c>
      <c r="E72" s="46">
        <v>179</v>
      </c>
      <c r="F72" s="46">
        <v>179</v>
      </c>
      <c r="G72" s="46">
        <v>0</v>
      </c>
      <c r="H72" s="40">
        <v>686740.91060000006</v>
      </c>
      <c r="I72" s="40">
        <v>0</v>
      </c>
      <c r="J72" s="40">
        <v>0</v>
      </c>
      <c r="K72" s="40">
        <v>58118.400000000009</v>
      </c>
      <c r="L72" s="40">
        <v>0</v>
      </c>
      <c r="M72" s="40">
        <v>125493.94000000005</v>
      </c>
      <c r="N72" s="40">
        <v>0</v>
      </c>
      <c r="O72" s="40">
        <v>2122.444800000002</v>
      </c>
      <c r="P72" s="40">
        <v>0</v>
      </c>
      <c r="Q72" s="40">
        <v>1339.6991999999959</v>
      </c>
      <c r="R72" s="40">
        <v>5408.9727999999968</v>
      </c>
      <c r="S72" s="40">
        <v>61054.156799999997</v>
      </c>
      <c r="T72" s="40">
        <v>16497.868800000026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15250.014146341447</v>
      </c>
      <c r="AB72" s="40">
        <v>0</v>
      </c>
      <c r="AC72" s="40">
        <v>81925.047242757253</v>
      </c>
      <c r="AD72" s="40">
        <v>0</v>
      </c>
      <c r="AE72" s="40">
        <v>8743.1994000000013</v>
      </c>
      <c r="AF72" s="40">
        <v>0</v>
      </c>
      <c r="AG72" s="40">
        <v>141970.48000000001</v>
      </c>
      <c r="AH72" s="40">
        <v>0</v>
      </c>
      <c r="AI72" s="40">
        <v>0</v>
      </c>
      <c r="AJ72" s="40">
        <v>0</v>
      </c>
      <c r="AK72" s="40">
        <v>15754.47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686740.91060000006</v>
      </c>
      <c r="AU72" s="40">
        <v>375953.74318909884</v>
      </c>
      <c r="AV72" s="40">
        <v>157724.95000000001</v>
      </c>
      <c r="AW72" s="40">
        <v>213474.86643675729</v>
      </c>
      <c r="AX72" s="56">
        <v>1220419.6037890988</v>
      </c>
      <c r="AY72" s="56">
        <v>1204665.1337890988</v>
      </c>
      <c r="AZ72" s="56">
        <v>4955</v>
      </c>
      <c r="BA72" s="56">
        <v>886945</v>
      </c>
      <c r="BB72" s="56">
        <v>0</v>
      </c>
      <c r="BC72" s="56">
        <v>0</v>
      </c>
      <c r="BD72" s="56">
        <v>1220419.6037890988</v>
      </c>
      <c r="BE72" s="40">
        <v>1220419.603789099</v>
      </c>
      <c r="BF72" s="40">
        <v>0</v>
      </c>
      <c r="BG72" s="56">
        <v>902699.47</v>
      </c>
      <c r="BH72" s="56">
        <v>744974.52</v>
      </c>
      <c r="BI72" s="40">
        <v>1062694.6537890988</v>
      </c>
      <c r="BJ72" s="40">
        <v>5936.8416412798815</v>
      </c>
      <c r="BK72" s="40">
        <v>5936.4027559782608</v>
      </c>
      <c r="BL72" s="41">
        <v>7.3931186892395027E-5</v>
      </c>
      <c r="BM72" s="41">
        <v>0</v>
      </c>
      <c r="BN72" s="40">
        <v>0</v>
      </c>
      <c r="BO72" s="56">
        <v>1220419.6037890988</v>
      </c>
      <c r="BP72" s="56">
        <v>6729.9728144642395</v>
      </c>
      <c r="BQ72" s="56" t="s">
        <v>1006</v>
      </c>
      <c r="BR72" s="56">
        <v>6817.9866133469204</v>
      </c>
      <c r="BS72" s="47">
        <v>3.5891176009521519E-3</v>
      </c>
      <c r="BT72" s="40">
        <v>-4668.32</v>
      </c>
      <c r="BU72" s="40">
        <v>1215751.2837890987</v>
      </c>
      <c r="BV72" s="40">
        <v>0</v>
      </c>
      <c r="BW72" s="40">
        <v>1215751.2837890987</v>
      </c>
      <c r="BX72" s="40">
        <v>15754.47</v>
      </c>
      <c r="BY72" s="40">
        <v>1199996.8137890988</v>
      </c>
    </row>
    <row r="73" spans="1:77">
      <c r="A73">
        <f>_xlfn.XLOOKUP(B73,'Summary Mar 2026'!B:B,'Summary Mar 2026'!A:A,0,0)</f>
        <v>2401</v>
      </c>
      <c r="B73" s="54">
        <v>103341</v>
      </c>
      <c r="C73" s="54">
        <v>3302401</v>
      </c>
      <c r="D73" s="55" t="s">
        <v>64</v>
      </c>
      <c r="E73" s="46">
        <v>381</v>
      </c>
      <c r="F73" s="46">
        <v>381</v>
      </c>
      <c r="G73" s="46">
        <v>0</v>
      </c>
      <c r="H73" s="40">
        <v>1461722.2734000001</v>
      </c>
      <c r="I73" s="40">
        <v>0</v>
      </c>
      <c r="J73" s="40">
        <v>0</v>
      </c>
      <c r="K73" s="40">
        <v>28574.879999999921</v>
      </c>
      <c r="L73" s="40">
        <v>0</v>
      </c>
      <c r="M73" s="40">
        <v>63265.539999999834</v>
      </c>
      <c r="N73" s="40">
        <v>0</v>
      </c>
      <c r="O73" s="40">
        <v>2358.2720000000013</v>
      </c>
      <c r="P73" s="40">
        <v>286.00320000000011</v>
      </c>
      <c r="Q73" s="40">
        <v>1786.2656000000006</v>
      </c>
      <c r="R73" s="40">
        <v>6392.422400000004</v>
      </c>
      <c r="S73" s="40">
        <v>4696.4736000000021</v>
      </c>
      <c r="T73" s="40">
        <v>2062.2336000000009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11061.230000000005</v>
      </c>
      <c r="AB73" s="40">
        <v>0</v>
      </c>
      <c r="AC73" s="40">
        <v>101800.43727984301</v>
      </c>
      <c r="AD73" s="40">
        <v>0</v>
      </c>
      <c r="AE73" s="40">
        <v>0</v>
      </c>
      <c r="AF73" s="40">
        <v>0</v>
      </c>
      <c r="AG73" s="40">
        <v>141970.48000000001</v>
      </c>
      <c r="AH73" s="40">
        <v>0</v>
      </c>
      <c r="AI73" s="40">
        <v>0</v>
      </c>
      <c r="AJ73" s="40">
        <v>0</v>
      </c>
      <c r="AK73" s="40">
        <v>21049</v>
      </c>
      <c r="AL73" s="40"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1461722.2734000001</v>
      </c>
      <c r="AU73" s="40">
        <v>222283.75767984279</v>
      </c>
      <c r="AV73" s="40">
        <v>163019.48000000001</v>
      </c>
      <c r="AW73" s="40">
        <v>214278.50349384296</v>
      </c>
      <c r="AX73" s="56">
        <v>1847025.5110798429</v>
      </c>
      <c r="AY73" s="56">
        <v>1825976.5110798429</v>
      </c>
      <c r="AZ73" s="56">
        <v>4955</v>
      </c>
      <c r="BA73" s="56">
        <v>1887855</v>
      </c>
      <c r="BB73" s="56">
        <v>61878.488920157077</v>
      </c>
      <c r="BC73" s="56">
        <v>0</v>
      </c>
      <c r="BD73" s="56">
        <v>1908904</v>
      </c>
      <c r="BE73" s="40">
        <v>1908903.9999999998</v>
      </c>
      <c r="BF73" s="40">
        <v>0</v>
      </c>
      <c r="BG73" s="56">
        <v>1908904</v>
      </c>
      <c r="BH73" s="56">
        <v>1745884.52</v>
      </c>
      <c r="BI73" s="40">
        <v>1745884.52</v>
      </c>
      <c r="BJ73" s="40">
        <v>4582.37406824147</v>
      </c>
      <c r="BK73" s="40">
        <v>4564.4372750000002</v>
      </c>
      <c r="BL73" s="41">
        <v>3.9296833674792439E-3</v>
      </c>
      <c r="BM73" s="41">
        <v>0</v>
      </c>
      <c r="BN73" s="40">
        <v>0</v>
      </c>
      <c r="BO73" s="56">
        <v>1908904</v>
      </c>
      <c r="BP73" s="56">
        <v>4955</v>
      </c>
      <c r="BQ73" s="56" t="s">
        <v>1006</v>
      </c>
      <c r="BR73" s="56">
        <v>5010.2467191601054</v>
      </c>
      <c r="BS73" s="47">
        <v>3.3665822282826774E-3</v>
      </c>
      <c r="BT73" s="40">
        <v>-9936.48</v>
      </c>
      <c r="BU73" s="40">
        <v>1898967.52</v>
      </c>
      <c r="BV73" s="40">
        <v>0</v>
      </c>
      <c r="BW73" s="40">
        <v>1898967.52</v>
      </c>
      <c r="BX73" s="40">
        <v>21049</v>
      </c>
      <c r="BY73" s="40">
        <v>1877918.52</v>
      </c>
    </row>
    <row r="74" spans="1:77">
      <c r="A74">
        <f>_xlfn.XLOOKUP(B74,'Summary Mar 2026'!B:B,'Summary Mar 2026'!A:A,0,0)</f>
        <v>2402</v>
      </c>
      <c r="B74" s="54">
        <v>103342</v>
      </c>
      <c r="C74" s="54">
        <v>3302402</v>
      </c>
      <c r="D74" s="55" t="s">
        <v>62</v>
      </c>
      <c r="E74" s="46">
        <v>273</v>
      </c>
      <c r="F74" s="46">
        <v>273</v>
      </c>
      <c r="G74" s="46">
        <v>0</v>
      </c>
      <c r="H74" s="40">
        <v>1047375.8022</v>
      </c>
      <c r="I74" s="40">
        <v>0</v>
      </c>
      <c r="J74" s="40">
        <v>0</v>
      </c>
      <c r="K74" s="40">
        <v>17435.520000000019</v>
      </c>
      <c r="L74" s="40">
        <v>0</v>
      </c>
      <c r="M74" s="40">
        <v>37337.040000000037</v>
      </c>
      <c r="N74" s="40">
        <v>0</v>
      </c>
      <c r="O74" s="40">
        <v>1179.1359999999991</v>
      </c>
      <c r="P74" s="40">
        <v>858.00960000000089</v>
      </c>
      <c r="Q74" s="40">
        <v>446.56639999999965</v>
      </c>
      <c r="R74" s="40">
        <v>7375.8719999999939</v>
      </c>
      <c r="S74" s="40">
        <v>3652.8127999999942</v>
      </c>
      <c r="T74" s="40">
        <v>4124.4672000000046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12956.446467391306</v>
      </c>
      <c r="AB74" s="40">
        <v>0</v>
      </c>
      <c r="AC74" s="40">
        <v>96571.440000000017</v>
      </c>
      <c r="AD74" s="40">
        <v>0</v>
      </c>
      <c r="AE74" s="40">
        <v>0</v>
      </c>
      <c r="AF74" s="40">
        <v>0</v>
      </c>
      <c r="AG74" s="40">
        <v>141970.48000000001</v>
      </c>
      <c r="AH74" s="40">
        <v>0</v>
      </c>
      <c r="AI74" s="40">
        <v>0</v>
      </c>
      <c r="AJ74" s="40">
        <v>0</v>
      </c>
      <c r="AK74" s="40">
        <v>18078.900000000001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1047375.8022</v>
      </c>
      <c r="AU74" s="40">
        <v>181937.31046739136</v>
      </c>
      <c r="AV74" s="40">
        <v>160049.38</v>
      </c>
      <c r="AW74" s="40">
        <v>175007.62275000004</v>
      </c>
      <c r="AX74" s="56">
        <v>1389362.4926673914</v>
      </c>
      <c r="AY74" s="56">
        <v>1371283.5926673915</v>
      </c>
      <c r="AZ74" s="56">
        <v>4955</v>
      </c>
      <c r="BA74" s="56">
        <v>1352715</v>
      </c>
      <c r="BB74" s="56">
        <v>0</v>
      </c>
      <c r="BC74" s="56">
        <v>0</v>
      </c>
      <c r="BD74" s="56">
        <v>1389362.4926673914</v>
      </c>
      <c r="BE74" s="40">
        <v>1389362.492667391</v>
      </c>
      <c r="BF74" s="40">
        <v>0</v>
      </c>
      <c r="BG74" s="56">
        <v>1370793.9</v>
      </c>
      <c r="BH74" s="56">
        <v>1210744.52</v>
      </c>
      <c r="BI74" s="40">
        <v>1229313.1126673915</v>
      </c>
      <c r="BJ74" s="40">
        <v>4502.9784346790902</v>
      </c>
      <c r="BK74" s="40">
        <v>4528.7403864285716</v>
      </c>
      <c r="BL74" s="41">
        <v>-5.6885468256654866E-3</v>
      </c>
      <c r="BM74" s="41">
        <v>5.6885468256654866E-3</v>
      </c>
      <c r="BN74" s="40">
        <v>7033.012827608406</v>
      </c>
      <c r="BO74" s="56">
        <v>1396395.5054949999</v>
      </c>
      <c r="BP74" s="56">
        <v>5048.7787747069597</v>
      </c>
      <c r="BQ74" s="56" t="s">
        <v>1006</v>
      </c>
      <c r="BR74" s="56">
        <v>5115.0018516300361</v>
      </c>
      <c r="BS74" s="47">
        <v>2.8736361412495803E-3</v>
      </c>
      <c r="BT74" s="40">
        <v>-7119.8399999999992</v>
      </c>
      <c r="BU74" s="40">
        <v>1389275.6654949998</v>
      </c>
      <c r="BV74" s="40">
        <v>0</v>
      </c>
      <c r="BW74" s="40">
        <v>1389275.6654949998</v>
      </c>
      <c r="BX74" s="40">
        <v>18078.900000000001</v>
      </c>
      <c r="BY74" s="40">
        <v>1371196.7654949999</v>
      </c>
    </row>
    <row r="75" spans="1:77">
      <c r="A75">
        <f>_xlfn.XLOOKUP(B75,'Summary Mar 2026'!B:B,'Summary Mar 2026'!A:A,0,0)</f>
        <v>2406</v>
      </c>
      <c r="B75" s="54">
        <v>103345</v>
      </c>
      <c r="C75" s="54">
        <v>3302406</v>
      </c>
      <c r="D75" s="55" t="s">
        <v>201</v>
      </c>
      <c r="E75" s="46">
        <v>202</v>
      </c>
      <c r="F75" s="46">
        <v>202</v>
      </c>
      <c r="G75" s="46">
        <v>0</v>
      </c>
      <c r="H75" s="40">
        <v>774981.3628</v>
      </c>
      <c r="I75" s="40">
        <v>0</v>
      </c>
      <c r="J75" s="40">
        <v>0</v>
      </c>
      <c r="K75" s="40">
        <v>46010.399999999972</v>
      </c>
      <c r="L75" s="40">
        <v>0</v>
      </c>
      <c r="M75" s="40">
        <v>99565.439999999959</v>
      </c>
      <c r="N75" s="40">
        <v>0</v>
      </c>
      <c r="O75" s="40">
        <v>18394.521599999993</v>
      </c>
      <c r="P75" s="40">
        <v>2002.0224000000026</v>
      </c>
      <c r="Q75" s="40">
        <v>4019.0976000000037</v>
      </c>
      <c r="R75" s="40">
        <v>2950.3488000000002</v>
      </c>
      <c r="S75" s="40">
        <v>19829.555199999992</v>
      </c>
      <c r="T75" s="40">
        <v>23371.980799999958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5469.6902325581341</v>
      </c>
      <c r="AB75" s="40">
        <v>0</v>
      </c>
      <c r="AC75" s="40">
        <v>94982.493122171974</v>
      </c>
      <c r="AD75" s="40">
        <v>0</v>
      </c>
      <c r="AE75" s="40">
        <v>0</v>
      </c>
      <c r="AF75" s="40">
        <v>0</v>
      </c>
      <c r="AG75" s="40">
        <v>141970.48000000001</v>
      </c>
      <c r="AH75" s="40">
        <v>0</v>
      </c>
      <c r="AI75" s="40">
        <v>0</v>
      </c>
      <c r="AJ75" s="40">
        <v>0</v>
      </c>
      <c r="AK75" s="40">
        <v>12359.45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774981.3628</v>
      </c>
      <c r="AU75" s="40">
        <v>316595.54975473008</v>
      </c>
      <c r="AV75" s="40">
        <v>154329.93000000002</v>
      </c>
      <c r="AW75" s="40">
        <v>211543.17316617194</v>
      </c>
      <c r="AX75" s="56">
        <v>1245906.8425547301</v>
      </c>
      <c r="AY75" s="56">
        <v>1233547.3925547302</v>
      </c>
      <c r="AZ75" s="56">
        <v>4955</v>
      </c>
      <c r="BA75" s="56">
        <v>1000910</v>
      </c>
      <c r="BB75" s="56">
        <v>0</v>
      </c>
      <c r="BC75" s="56">
        <v>0</v>
      </c>
      <c r="BD75" s="56">
        <v>1245906.8425547301</v>
      </c>
      <c r="BE75" s="40">
        <v>1245906.8425547299</v>
      </c>
      <c r="BF75" s="40">
        <v>0</v>
      </c>
      <c r="BG75" s="56">
        <v>1013269.45</v>
      </c>
      <c r="BH75" s="56">
        <v>858939.52</v>
      </c>
      <c r="BI75" s="40">
        <v>1091576.9125547302</v>
      </c>
      <c r="BJ75" s="40">
        <v>5403.8461017560903</v>
      </c>
      <c r="BK75" s="40">
        <v>5511.8086000000012</v>
      </c>
      <c r="BL75" s="41">
        <v>-1.9587490437151765E-2</v>
      </c>
      <c r="BM75" s="41">
        <v>1.9587490437151765E-2</v>
      </c>
      <c r="BN75" s="40">
        <v>21808.424645269999</v>
      </c>
      <c r="BO75" s="56">
        <v>1267715.2672000001</v>
      </c>
      <c r="BP75" s="56">
        <v>6214.6327584158425</v>
      </c>
      <c r="BQ75" s="56" t="s">
        <v>1006</v>
      </c>
      <c r="BR75" s="56">
        <v>6275.8181544554463</v>
      </c>
      <c r="BS75" s="47">
        <v>1.1949422415724609E-3</v>
      </c>
      <c r="BT75" s="40">
        <v>-5268.16</v>
      </c>
      <c r="BU75" s="40">
        <v>1262447.1072000002</v>
      </c>
      <c r="BV75" s="40">
        <v>0</v>
      </c>
      <c r="BW75" s="40">
        <v>1262447.1072000002</v>
      </c>
      <c r="BX75" s="40">
        <v>12359.45</v>
      </c>
      <c r="BY75" s="40">
        <v>1250087.6572000002</v>
      </c>
    </row>
    <row r="76" spans="1:77">
      <c r="A76">
        <f>_xlfn.XLOOKUP(B76,'Summary Mar 2026'!B:B,'Summary Mar 2026'!A:A,0,0)</f>
        <v>2412</v>
      </c>
      <c r="B76" s="54">
        <v>103349</v>
      </c>
      <c r="C76" s="54">
        <v>3302412</v>
      </c>
      <c r="D76" s="55" t="s">
        <v>347</v>
      </c>
      <c r="E76" s="46">
        <v>410</v>
      </c>
      <c r="F76" s="46">
        <v>410</v>
      </c>
      <c r="G76" s="46">
        <v>0</v>
      </c>
      <c r="H76" s="40">
        <v>1572981.9739999999</v>
      </c>
      <c r="I76" s="40">
        <v>0</v>
      </c>
      <c r="J76" s="40">
        <v>0</v>
      </c>
      <c r="K76" s="40">
        <v>52790.879999999925</v>
      </c>
      <c r="L76" s="40">
        <v>0</v>
      </c>
      <c r="M76" s="40">
        <v>117196.82000000002</v>
      </c>
      <c r="N76" s="40">
        <v>0</v>
      </c>
      <c r="O76" s="40">
        <v>3537.4079999999963</v>
      </c>
      <c r="P76" s="40">
        <v>2574.0287999999973</v>
      </c>
      <c r="Q76" s="40">
        <v>1786.2655999999999</v>
      </c>
      <c r="R76" s="40">
        <v>5900.6975999999941</v>
      </c>
      <c r="S76" s="40">
        <v>4696.4735999999957</v>
      </c>
      <c r="T76" s="40">
        <v>48118.783999999949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20961.418413597738</v>
      </c>
      <c r="AB76" s="40">
        <v>0</v>
      </c>
      <c r="AC76" s="40">
        <v>147583.32438601102</v>
      </c>
      <c r="AD76" s="40">
        <v>0</v>
      </c>
      <c r="AE76" s="40">
        <v>0</v>
      </c>
      <c r="AF76" s="40">
        <v>0</v>
      </c>
      <c r="AG76" s="40">
        <v>141970.48000000001</v>
      </c>
      <c r="AH76" s="40">
        <v>0</v>
      </c>
      <c r="AI76" s="40">
        <v>0</v>
      </c>
      <c r="AJ76" s="40">
        <v>0</v>
      </c>
      <c r="AK76" s="40">
        <v>32064.81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1572981.9739999999</v>
      </c>
      <c r="AU76" s="40">
        <v>405146.10039960867</v>
      </c>
      <c r="AV76" s="40">
        <v>174035.29</v>
      </c>
      <c r="AW76" s="40">
        <v>311408.911822011</v>
      </c>
      <c r="AX76" s="56">
        <v>2152163.3643996087</v>
      </c>
      <c r="AY76" s="56">
        <v>2120098.5543996086</v>
      </c>
      <c r="AZ76" s="56">
        <v>4955</v>
      </c>
      <c r="BA76" s="56">
        <v>2031550</v>
      </c>
      <c r="BB76" s="56">
        <v>0</v>
      </c>
      <c r="BC76" s="56">
        <v>0</v>
      </c>
      <c r="BD76" s="56">
        <v>2152163.3643996087</v>
      </c>
      <c r="BE76" s="40">
        <v>2152163.3643996087</v>
      </c>
      <c r="BF76" s="40">
        <v>0</v>
      </c>
      <c r="BG76" s="56">
        <v>2063614.81</v>
      </c>
      <c r="BH76" s="56">
        <v>1889579.52</v>
      </c>
      <c r="BI76" s="40">
        <v>1978128.0743996087</v>
      </c>
      <c r="BJ76" s="40">
        <v>4824.7026204868507</v>
      </c>
      <c r="BK76" s="40">
        <v>4783.6189620525065</v>
      </c>
      <c r="BL76" s="41">
        <v>8.5884052973810559E-3</v>
      </c>
      <c r="BM76" s="41">
        <v>0</v>
      </c>
      <c r="BN76" s="40">
        <v>0</v>
      </c>
      <c r="BO76" s="56">
        <v>2152163.3643996087</v>
      </c>
      <c r="BP76" s="56">
        <v>5170.9720839014844</v>
      </c>
      <c r="BQ76" s="56" t="s">
        <v>1006</v>
      </c>
      <c r="BR76" s="56">
        <v>5249.178937560021</v>
      </c>
      <c r="BS76" s="47">
        <v>9.6559923011865223E-3</v>
      </c>
      <c r="BT76" s="40">
        <v>-10692.8</v>
      </c>
      <c r="BU76" s="40">
        <v>2141470.5643996089</v>
      </c>
      <c r="BV76" s="40">
        <v>0</v>
      </c>
      <c r="BW76" s="40">
        <v>2141470.5643996089</v>
      </c>
      <c r="BX76" s="40">
        <v>32064.81</v>
      </c>
      <c r="BY76" s="40">
        <v>2109405.7543996088</v>
      </c>
    </row>
    <row r="77" spans="1:77">
      <c r="A77">
        <f>_xlfn.XLOOKUP(B77,'Summary Mar 2026'!B:B,'Summary Mar 2026'!A:A,0,0)</f>
        <v>2416</v>
      </c>
      <c r="B77" s="54">
        <v>103351</v>
      </c>
      <c r="C77" s="54">
        <v>3302416</v>
      </c>
      <c r="D77" s="55" t="s">
        <v>203</v>
      </c>
      <c r="E77" s="46">
        <v>424</v>
      </c>
      <c r="F77" s="46">
        <v>424</v>
      </c>
      <c r="G77" s="46">
        <v>0</v>
      </c>
      <c r="H77" s="40">
        <v>1626693.5536</v>
      </c>
      <c r="I77" s="40">
        <v>0</v>
      </c>
      <c r="J77" s="40">
        <v>0</v>
      </c>
      <c r="K77" s="40">
        <v>15982.560000000003</v>
      </c>
      <c r="L77" s="40">
        <v>0</v>
      </c>
      <c r="M77" s="40">
        <v>36299.900000000023</v>
      </c>
      <c r="N77" s="40">
        <v>0</v>
      </c>
      <c r="O77" s="40">
        <v>7546.4703999999956</v>
      </c>
      <c r="P77" s="40">
        <v>572.00639999999976</v>
      </c>
      <c r="Q77" s="40">
        <v>0</v>
      </c>
      <c r="R77" s="40">
        <v>5408.9728000000014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23734.623076923086</v>
      </c>
      <c r="AB77" s="40">
        <v>0</v>
      </c>
      <c r="AC77" s="40">
        <v>87358.658966292176</v>
      </c>
      <c r="AD77" s="40">
        <v>0</v>
      </c>
      <c r="AE77" s="40">
        <v>0</v>
      </c>
      <c r="AF77" s="40">
        <v>0</v>
      </c>
      <c r="AG77" s="40">
        <v>141970.48000000001</v>
      </c>
      <c r="AH77" s="40">
        <v>0</v>
      </c>
      <c r="AI77" s="40">
        <v>0</v>
      </c>
      <c r="AJ77" s="40">
        <v>0</v>
      </c>
      <c r="AK77" s="40">
        <v>32594.799999999999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1626693.5536</v>
      </c>
      <c r="AU77" s="40">
        <v>176903.19164321531</v>
      </c>
      <c r="AV77" s="40">
        <v>174565.28</v>
      </c>
      <c r="AW77" s="40">
        <v>192384.9041022922</v>
      </c>
      <c r="AX77" s="56">
        <v>1978162.0252432153</v>
      </c>
      <c r="AY77" s="56">
        <v>1945567.2252432152</v>
      </c>
      <c r="AZ77" s="56">
        <v>4955</v>
      </c>
      <c r="BA77" s="56">
        <v>2100920</v>
      </c>
      <c r="BB77" s="56">
        <v>155352.77475678478</v>
      </c>
      <c r="BC77" s="56">
        <v>0</v>
      </c>
      <c r="BD77" s="56">
        <v>2133514.7999999998</v>
      </c>
      <c r="BE77" s="40">
        <v>2133514.8000000003</v>
      </c>
      <c r="BF77" s="40">
        <v>0</v>
      </c>
      <c r="BG77" s="56">
        <v>2133514.7999999998</v>
      </c>
      <c r="BH77" s="56">
        <v>1958949.5199999998</v>
      </c>
      <c r="BI77" s="40">
        <v>1958949.5199999998</v>
      </c>
      <c r="BJ77" s="40">
        <v>4620.1639622641505</v>
      </c>
      <c r="BK77" s="40">
        <v>4576.842812771084</v>
      </c>
      <c r="BL77" s="41">
        <v>9.4652910893475491E-3</v>
      </c>
      <c r="BM77" s="41">
        <v>0</v>
      </c>
      <c r="BN77" s="40">
        <v>0</v>
      </c>
      <c r="BO77" s="56">
        <v>2133514.7999999998</v>
      </c>
      <c r="BP77" s="56">
        <v>4955</v>
      </c>
      <c r="BQ77" s="56" t="s">
        <v>1006</v>
      </c>
      <c r="BR77" s="56">
        <v>5031.8745283018861</v>
      </c>
      <c r="BS77" s="47">
        <v>6.8819630222285433E-3</v>
      </c>
      <c r="BT77" s="40">
        <v>-11057.92</v>
      </c>
      <c r="BU77" s="40">
        <v>2122456.88</v>
      </c>
      <c r="BV77" s="40">
        <v>0</v>
      </c>
      <c r="BW77" s="40">
        <v>2122456.88</v>
      </c>
      <c r="BX77" s="40">
        <v>32594.799999999999</v>
      </c>
      <c r="BY77" s="40">
        <v>2089862.0799999998</v>
      </c>
    </row>
    <row r="78" spans="1:77">
      <c r="A78">
        <f>_xlfn.XLOOKUP(B78,'Summary Mar 2026'!B:B,'Summary Mar 2026'!A:A,0,0)</f>
        <v>2420</v>
      </c>
      <c r="B78" s="54">
        <v>103353</v>
      </c>
      <c r="C78" s="54">
        <v>3302420</v>
      </c>
      <c r="D78" s="55" t="s">
        <v>193</v>
      </c>
      <c r="E78" s="46">
        <v>422</v>
      </c>
      <c r="F78" s="46">
        <v>422</v>
      </c>
      <c r="G78" s="46">
        <v>0</v>
      </c>
      <c r="H78" s="40">
        <v>1619020.4708</v>
      </c>
      <c r="I78" s="40">
        <v>0</v>
      </c>
      <c r="J78" s="40">
        <v>0</v>
      </c>
      <c r="K78" s="40">
        <v>13076.639999999992</v>
      </c>
      <c r="L78" s="40">
        <v>0</v>
      </c>
      <c r="M78" s="40">
        <v>29039.919999999987</v>
      </c>
      <c r="N78" s="40">
        <v>0</v>
      </c>
      <c r="O78" s="40">
        <v>1886.6176000000016</v>
      </c>
      <c r="P78" s="40">
        <v>286.00320000000022</v>
      </c>
      <c r="Q78" s="40">
        <v>0</v>
      </c>
      <c r="R78" s="40">
        <v>2950.3488000000029</v>
      </c>
      <c r="S78" s="40">
        <v>521.83040000000051</v>
      </c>
      <c r="T78" s="40">
        <v>2062.2335999999991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18580.518151260494</v>
      </c>
      <c r="AB78" s="40">
        <v>0</v>
      </c>
      <c r="AC78" s="40">
        <v>103572.74022471909</v>
      </c>
      <c r="AD78" s="40">
        <v>0</v>
      </c>
      <c r="AE78" s="40">
        <v>0</v>
      </c>
      <c r="AF78" s="40">
        <v>0</v>
      </c>
      <c r="AG78" s="40">
        <v>141970.48000000001</v>
      </c>
      <c r="AH78" s="40">
        <v>0</v>
      </c>
      <c r="AI78" s="40">
        <v>0</v>
      </c>
      <c r="AJ78" s="40">
        <v>0</v>
      </c>
      <c r="AK78" s="40">
        <v>24535.64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1619020.4708</v>
      </c>
      <c r="AU78" s="40">
        <v>171976.85197597957</v>
      </c>
      <c r="AV78" s="40">
        <v>166506.12</v>
      </c>
      <c r="AW78" s="40">
        <v>202460.25746071909</v>
      </c>
      <c r="AX78" s="56">
        <v>1957503.4427759796</v>
      </c>
      <c r="AY78" s="56">
        <v>1932967.8027759797</v>
      </c>
      <c r="AZ78" s="56">
        <v>4955</v>
      </c>
      <c r="BA78" s="56">
        <v>2091010</v>
      </c>
      <c r="BB78" s="56">
        <v>158042.19722402026</v>
      </c>
      <c r="BC78" s="56">
        <v>0</v>
      </c>
      <c r="BD78" s="56">
        <v>2115545.6399999997</v>
      </c>
      <c r="BE78" s="40">
        <v>2115545.6399999997</v>
      </c>
      <c r="BF78" s="40">
        <v>0</v>
      </c>
      <c r="BG78" s="56">
        <v>2115545.64</v>
      </c>
      <c r="BH78" s="56">
        <v>1949039.5200000003</v>
      </c>
      <c r="BI78" s="40">
        <v>1949039.5199999998</v>
      </c>
      <c r="BJ78" s="40">
        <v>4618.5770616113741</v>
      </c>
      <c r="BK78" s="40">
        <v>4573.0855193779907</v>
      </c>
      <c r="BL78" s="41">
        <v>9.9476692575762096E-3</v>
      </c>
      <c r="BM78" s="41">
        <v>0</v>
      </c>
      <c r="BN78" s="40">
        <v>4.6566128730773926E-10</v>
      </c>
      <c r="BO78" s="56">
        <v>2115545.64</v>
      </c>
      <c r="BP78" s="56">
        <v>4955.0000000000009</v>
      </c>
      <c r="BQ78" s="56" t="s">
        <v>1006</v>
      </c>
      <c r="BR78" s="56">
        <v>5013.1413270142184</v>
      </c>
      <c r="BS78" s="47">
        <v>8.3911158828842147E-3</v>
      </c>
      <c r="BT78" s="40">
        <v>-11005.759999999998</v>
      </c>
      <c r="BU78" s="40">
        <v>2104539.8800000004</v>
      </c>
      <c r="BV78" s="40">
        <v>0</v>
      </c>
      <c r="BW78" s="40">
        <v>2104539.8800000004</v>
      </c>
      <c r="BX78" s="40">
        <v>24535.64</v>
      </c>
      <c r="BY78" s="40">
        <v>2080004.2400000005</v>
      </c>
    </row>
    <row r="79" spans="1:77">
      <c r="A79">
        <f>_xlfn.XLOOKUP(B79,'Summary Mar 2026'!B:B,'Summary Mar 2026'!A:A,0,0)</f>
        <v>2425</v>
      </c>
      <c r="B79" s="54">
        <v>103356</v>
      </c>
      <c r="C79" s="54">
        <v>3302425</v>
      </c>
      <c r="D79" s="55" t="s">
        <v>403</v>
      </c>
      <c r="E79" s="46">
        <v>209</v>
      </c>
      <c r="F79" s="46">
        <v>209</v>
      </c>
      <c r="G79" s="46">
        <v>0</v>
      </c>
      <c r="H79" s="40">
        <v>801837.15260000003</v>
      </c>
      <c r="I79" s="40">
        <v>0</v>
      </c>
      <c r="J79" s="40">
        <v>0</v>
      </c>
      <c r="K79" s="40">
        <v>12592.319999999991</v>
      </c>
      <c r="L79" s="40">
        <v>0</v>
      </c>
      <c r="M79" s="40">
        <v>26965.639999999985</v>
      </c>
      <c r="N79" s="40">
        <v>0</v>
      </c>
      <c r="O79" s="40">
        <v>4009.0624000000003</v>
      </c>
      <c r="P79" s="40">
        <v>21736.243200000019</v>
      </c>
      <c r="Q79" s="40">
        <v>0</v>
      </c>
      <c r="R79" s="40">
        <v>2458.6240000000048</v>
      </c>
      <c r="S79" s="40">
        <v>0</v>
      </c>
      <c r="T79" s="40">
        <v>687.41119999999989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14871.209222222195</v>
      </c>
      <c r="AB79" s="40">
        <v>0</v>
      </c>
      <c r="AC79" s="40">
        <v>64458.231127995416</v>
      </c>
      <c r="AD79" s="40">
        <v>0</v>
      </c>
      <c r="AE79" s="40">
        <v>0</v>
      </c>
      <c r="AF79" s="40">
        <v>0</v>
      </c>
      <c r="AG79" s="40">
        <v>141970.48000000001</v>
      </c>
      <c r="AH79" s="40">
        <v>0</v>
      </c>
      <c r="AI79" s="40">
        <v>0</v>
      </c>
      <c r="AJ79" s="40">
        <v>0</v>
      </c>
      <c r="AK79" s="40">
        <v>15625.33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801837.15260000003</v>
      </c>
      <c r="AU79" s="40">
        <v>147778.74115021763</v>
      </c>
      <c r="AV79" s="40">
        <v>157595.81</v>
      </c>
      <c r="AW79" s="40">
        <v>129191.83704599542</v>
      </c>
      <c r="AX79" s="56">
        <v>1107211.7037502176</v>
      </c>
      <c r="AY79" s="56">
        <v>1091586.3737502175</v>
      </c>
      <c r="AZ79" s="56">
        <v>4955</v>
      </c>
      <c r="BA79" s="56">
        <v>1035595</v>
      </c>
      <c r="BB79" s="56">
        <v>0</v>
      </c>
      <c r="BC79" s="56">
        <v>0</v>
      </c>
      <c r="BD79" s="56">
        <v>1107211.7037502176</v>
      </c>
      <c r="BE79" s="40">
        <v>1107211.7037502176</v>
      </c>
      <c r="BF79" s="40">
        <v>0</v>
      </c>
      <c r="BG79" s="56">
        <v>1051220.33</v>
      </c>
      <c r="BH79" s="56">
        <v>893624.52000000014</v>
      </c>
      <c r="BI79" s="40">
        <v>949615.89375021763</v>
      </c>
      <c r="BJ79" s="40">
        <v>4543.6167165082179</v>
      </c>
      <c r="BK79" s="40">
        <v>4552.657123696682</v>
      </c>
      <c r="BL79" s="41">
        <v>-1.9857430381498677E-3</v>
      </c>
      <c r="BM79" s="41">
        <v>1.9857430381498677E-3</v>
      </c>
      <c r="BN79" s="40">
        <v>1889.4451023889942</v>
      </c>
      <c r="BO79" s="56">
        <v>1109101.1488526065</v>
      </c>
      <c r="BP79" s="56">
        <v>5231.941716998117</v>
      </c>
      <c r="BQ79" s="56" t="s">
        <v>1006</v>
      </c>
      <c r="BR79" s="56">
        <v>5306.704061495725</v>
      </c>
      <c r="BS79" s="47">
        <v>1.3486721150020031E-3</v>
      </c>
      <c r="BT79" s="40">
        <v>-5450.7199999999993</v>
      </c>
      <c r="BU79" s="40">
        <v>1103650.4288526066</v>
      </c>
      <c r="BV79" s="40">
        <v>0</v>
      </c>
      <c r="BW79" s="40">
        <v>1103650.4288526066</v>
      </c>
      <c r="BX79" s="40">
        <v>15625.33</v>
      </c>
      <c r="BY79" s="40">
        <v>1088025.0988526065</v>
      </c>
    </row>
    <row r="80" spans="1:77">
      <c r="A80">
        <f>_xlfn.XLOOKUP(B80,'Summary Mar 2026'!B:B,'Summary Mar 2026'!A:A,0,0)</f>
        <v>2441</v>
      </c>
      <c r="B80" s="54">
        <v>103368</v>
      </c>
      <c r="C80" s="54">
        <v>3302441</v>
      </c>
      <c r="D80" s="55" t="s">
        <v>177</v>
      </c>
      <c r="E80" s="46">
        <v>342</v>
      </c>
      <c r="F80" s="46">
        <v>342</v>
      </c>
      <c r="G80" s="46">
        <v>0</v>
      </c>
      <c r="H80" s="40">
        <v>1312097.1588000001</v>
      </c>
      <c r="I80" s="40">
        <v>0</v>
      </c>
      <c r="J80" s="40">
        <v>0</v>
      </c>
      <c r="K80" s="40">
        <v>96379.680000000037</v>
      </c>
      <c r="L80" s="40">
        <v>0</v>
      </c>
      <c r="M80" s="40">
        <v>216762.25999999998</v>
      </c>
      <c r="N80" s="40">
        <v>0</v>
      </c>
      <c r="O80" s="40">
        <v>3301.5808000000015</v>
      </c>
      <c r="P80" s="40">
        <v>4290.047999999998</v>
      </c>
      <c r="Q80" s="40">
        <v>4019.0975999999982</v>
      </c>
      <c r="R80" s="40">
        <v>9342.7712000000065</v>
      </c>
      <c r="S80" s="40">
        <v>98104.115199999971</v>
      </c>
      <c r="T80" s="40">
        <v>22684.569599999992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40340.956470588171</v>
      </c>
      <c r="AB80" s="40">
        <v>0</v>
      </c>
      <c r="AC80" s="40">
        <v>157242.62585557305</v>
      </c>
      <c r="AD80" s="40">
        <v>0</v>
      </c>
      <c r="AE80" s="40">
        <v>29723.101200000008</v>
      </c>
      <c r="AF80" s="40">
        <v>0</v>
      </c>
      <c r="AG80" s="40">
        <v>141970.48000000001</v>
      </c>
      <c r="AH80" s="40">
        <v>0</v>
      </c>
      <c r="AI80" s="40">
        <v>0</v>
      </c>
      <c r="AJ80" s="40">
        <v>0</v>
      </c>
      <c r="AK80" s="40">
        <v>14333.98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1312097.1588000001</v>
      </c>
      <c r="AU80" s="40">
        <v>682190.80592616124</v>
      </c>
      <c r="AV80" s="40">
        <v>156304.46000000002</v>
      </c>
      <c r="AW80" s="40">
        <v>386605.76785957301</v>
      </c>
      <c r="AX80" s="56">
        <v>2150592.4247261612</v>
      </c>
      <c r="AY80" s="56">
        <v>2136258.4447261612</v>
      </c>
      <c r="AZ80" s="56">
        <v>4955</v>
      </c>
      <c r="BA80" s="56">
        <v>1694610</v>
      </c>
      <c r="BB80" s="56">
        <v>0</v>
      </c>
      <c r="BC80" s="56">
        <v>0</v>
      </c>
      <c r="BD80" s="56">
        <v>2150592.4247261612</v>
      </c>
      <c r="BE80" s="40">
        <v>2150592.4247261612</v>
      </c>
      <c r="BF80" s="40">
        <v>0</v>
      </c>
      <c r="BG80" s="56">
        <v>1708943.98</v>
      </c>
      <c r="BH80" s="56">
        <v>1552639.52</v>
      </c>
      <c r="BI80" s="40">
        <v>1994287.9647261612</v>
      </c>
      <c r="BJ80" s="40">
        <v>5831.2513588484244</v>
      </c>
      <c r="BK80" s="40">
        <v>5848.87060670554</v>
      </c>
      <c r="BL80" s="41">
        <v>-3.0124188141409263E-3</v>
      </c>
      <c r="BM80" s="41">
        <v>3.0124188141409263E-3</v>
      </c>
      <c r="BN80" s="40">
        <v>6025.7827671335435</v>
      </c>
      <c r="BO80" s="56">
        <v>2156618.2074932945</v>
      </c>
      <c r="BP80" s="56">
        <v>6263.9889692786392</v>
      </c>
      <c r="BQ80" s="56" t="s">
        <v>1006</v>
      </c>
      <c r="BR80" s="56">
        <v>6305.9011915008614</v>
      </c>
      <c r="BS80" s="47">
        <v>2.1134684057111386E-4</v>
      </c>
      <c r="BT80" s="40">
        <v>-8919.3599999999988</v>
      </c>
      <c r="BU80" s="40">
        <v>2147698.8474932946</v>
      </c>
      <c r="BV80" s="40">
        <v>0</v>
      </c>
      <c r="BW80" s="40">
        <v>2147698.8474932946</v>
      </c>
      <c r="BX80" s="40">
        <v>14333.98</v>
      </c>
      <c r="BY80" s="40">
        <v>2133364.8674932946</v>
      </c>
    </row>
    <row r="81" spans="1:77">
      <c r="A81">
        <f>_xlfn.XLOOKUP(B81,'Summary Mar 2026'!B:B,'Summary Mar 2026'!A:A,0,0)</f>
        <v>2445</v>
      </c>
      <c r="B81" s="54">
        <v>103372</v>
      </c>
      <c r="C81" s="54">
        <v>3302445</v>
      </c>
      <c r="D81" s="55" t="s">
        <v>367</v>
      </c>
      <c r="E81" s="46">
        <v>204</v>
      </c>
      <c r="F81" s="46">
        <v>204</v>
      </c>
      <c r="G81" s="46">
        <v>0</v>
      </c>
      <c r="H81" s="40">
        <v>782654.44559999998</v>
      </c>
      <c r="I81" s="40">
        <v>0</v>
      </c>
      <c r="J81" s="40">
        <v>0</v>
      </c>
      <c r="K81" s="40">
        <v>66836.159999999989</v>
      </c>
      <c r="L81" s="40">
        <v>0</v>
      </c>
      <c r="M81" s="40">
        <v>143125.31999999998</v>
      </c>
      <c r="N81" s="40">
        <v>0</v>
      </c>
      <c r="O81" s="40">
        <v>943.30880000000002</v>
      </c>
      <c r="P81" s="40">
        <v>858.00960000000134</v>
      </c>
      <c r="Q81" s="40">
        <v>6251.929600000004</v>
      </c>
      <c r="R81" s="40">
        <v>4425.5231999999969</v>
      </c>
      <c r="S81" s="40">
        <v>76187.238400000017</v>
      </c>
      <c r="T81" s="40">
        <v>6186.7007999999951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20683.388089887696</v>
      </c>
      <c r="AB81" s="40">
        <v>0</v>
      </c>
      <c r="AC81" s="40">
        <v>90541.590612244865</v>
      </c>
      <c r="AD81" s="40">
        <v>0</v>
      </c>
      <c r="AE81" s="40">
        <v>6382.7244000000037</v>
      </c>
      <c r="AF81" s="40">
        <v>0</v>
      </c>
      <c r="AG81" s="40">
        <v>141970.48000000001</v>
      </c>
      <c r="AH81" s="40">
        <v>0</v>
      </c>
      <c r="AI81" s="40">
        <v>0</v>
      </c>
      <c r="AJ81" s="40">
        <v>0</v>
      </c>
      <c r="AK81" s="40">
        <v>24535.64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782654.44559999998</v>
      </c>
      <c r="AU81" s="40">
        <v>422421.8935021325</v>
      </c>
      <c r="AV81" s="40">
        <v>166506.12</v>
      </c>
      <c r="AW81" s="40">
        <v>239407.42143624485</v>
      </c>
      <c r="AX81" s="56">
        <v>1371582.4591021324</v>
      </c>
      <c r="AY81" s="56">
        <v>1347046.8191021325</v>
      </c>
      <c r="AZ81" s="56">
        <v>4955</v>
      </c>
      <c r="BA81" s="56">
        <v>1010820</v>
      </c>
      <c r="BB81" s="56">
        <v>0</v>
      </c>
      <c r="BC81" s="56">
        <v>0</v>
      </c>
      <c r="BD81" s="56">
        <v>1371582.4591021324</v>
      </c>
      <c r="BE81" s="40">
        <v>1371582.4591021324</v>
      </c>
      <c r="BF81" s="40">
        <v>0</v>
      </c>
      <c r="BG81" s="56">
        <v>1035355.64</v>
      </c>
      <c r="BH81" s="56">
        <v>868849.52</v>
      </c>
      <c r="BI81" s="40">
        <v>1205076.3391021325</v>
      </c>
      <c r="BJ81" s="40">
        <v>5907.2369563830025</v>
      </c>
      <c r="BK81" s="40">
        <v>6054.0560035175895</v>
      </c>
      <c r="BL81" s="41">
        <v>-2.4251352655026759E-2</v>
      </c>
      <c r="BM81" s="41">
        <v>2.4251352655026759E-2</v>
      </c>
      <c r="BN81" s="40">
        <v>29951.085615455744</v>
      </c>
      <c r="BO81" s="56">
        <v>1401533.544717588</v>
      </c>
      <c r="BP81" s="56">
        <v>6749.9897290077852</v>
      </c>
      <c r="BQ81" s="56" t="s">
        <v>1006</v>
      </c>
      <c r="BR81" s="56">
        <v>6870.2624741058235</v>
      </c>
      <c r="BS81" s="47">
        <v>-2.9761114863920968E-3</v>
      </c>
      <c r="BT81" s="40">
        <v>-5320.32</v>
      </c>
      <c r="BU81" s="40">
        <v>1396213.2247175879</v>
      </c>
      <c r="BV81" s="40">
        <v>0</v>
      </c>
      <c r="BW81" s="40">
        <v>1396213.2247175879</v>
      </c>
      <c r="BX81" s="40">
        <v>24535.64</v>
      </c>
      <c r="BY81" s="40">
        <v>1371677.584717588</v>
      </c>
    </row>
    <row r="82" spans="1:77">
      <c r="A82">
        <f>_xlfn.XLOOKUP(B82,'Summary Mar 2026'!B:B,'Summary Mar 2026'!A:A,0,0)</f>
        <v>2454</v>
      </c>
      <c r="B82" s="54">
        <v>103381</v>
      </c>
      <c r="C82" s="54">
        <v>3302454</v>
      </c>
      <c r="D82" s="55" t="s">
        <v>117</v>
      </c>
      <c r="E82" s="46">
        <v>372</v>
      </c>
      <c r="F82" s="46">
        <v>372</v>
      </c>
      <c r="G82" s="46">
        <v>0</v>
      </c>
      <c r="H82" s="40">
        <v>1427193.4007999999</v>
      </c>
      <c r="I82" s="40">
        <v>0</v>
      </c>
      <c r="J82" s="40">
        <v>0</v>
      </c>
      <c r="K82" s="40">
        <v>109456.31999999998</v>
      </c>
      <c r="L82" s="40">
        <v>0</v>
      </c>
      <c r="M82" s="40">
        <v>238542.19999999998</v>
      </c>
      <c r="N82" s="40">
        <v>0</v>
      </c>
      <c r="O82" s="40">
        <v>4009.0624000000003</v>
      </c>
      <c r="P82" s="40">
        <v>10868.121600000042</v>
      </c>
      <c r="Q82" s="40">
        <v>5358.7967999999946</v>
      </c>
      <c r="R82" s="40">
        <v>28520.038400000059</v>
      </c>
      <c r="S82" s="40">
        <v>53748.531200000092</v>
      </c>
      <c r="T82" s="40">
        <v>77677.465599999996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53298.479626168162</v>
      </c>
      <c r="AB82" s="40">
        <v>0</v>
      </c>
      <c r="AC82" s="40">
        <v>159578.17034759364</v>
      </c>
      <c r="AD82" s="40">
        <v>0</v>
      </c>
      <c r="AE82" s="40">
        <v>13860.709199999985</v>
      </c>
      <c r="AF82" s="40">
        <v>0</v>
      </c>
      <c r="AG82" s="40">
        <v>141970.48000000001</v>
      </c>
      <c r="AH82" s="40">
        <v>0</v>
      </c>
      <c r="AI82" s="40">
        <v>0</v>
      </c>
      <c r="AJ82" s="40">
        <v>0</v>
      </c>
      <c r="AK82" s="40">
        <v>30475.86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1427193.4007999999</v>
      </c>
      <c r="AU82" s="40">
        <v>754917.89517376199</v>
      </c>
      <c r="AV82" s="40">
        <v>172446.34000000003</v>
      </c>
      <c r="AW82" s="40">
        <v>421082.83334759367</v>
      </c>
      <c r="AX82" s="56">
        <v>2354557.6359737618</v>
      </c>
      <c r="AY82" s="56">
        <v>2324081.7759737619</v>
      </c>
      <c r="AZ82" s="56">
        <v>4955</v>
      </c>
      <c r="BA82" s="56">
        <v>1843260</v>
      </c>
      <c r="BB82" s="56">
        <v>0</v>
      </c>
      <c r="BC82" s="56">
        <v>0</v>
      </c>
      <c r="BD82" s="56">
        <v>2354557.6359737618</v>
      </c>
      <c r="BE82" s="40">
        <v>2354557.6359737613</v>
      </c>
      <c r="BF82" s="40">
        <v>0</v>
      </c>
      <c r="BG82" s="56">
        <v>1873735.86</v>
      </c>
      <c r="BH82" s="56">
        <v>1701289.52</v>
      </c>
      <c r="BI82" s="40">
        <v>2182111.2959737619</v>
      </c>
      <c r="BJ82" s="40">
        <v>5865.890580574629</v>
      </c>
      <c r="BK82" s="40">
        <v>5936.8137265027326</v>
      </c>
      <c r="BL82" s="41">
        <v>-1.194633168487217E-2</v>
      </c>
      <c r="BM82" s="41">
        <v>1.194633168487217E-2</v>
      </c>
      <c r="BN82" s="40">
        <v>26383.410285254547</v>
      </c>
      <c r="BO82" s="56">
        <v>2380941.0462590163</v>
      </c>
      <c r="BP82" s="56">
        <v>6318.4548017715497</v>
      </c>
      <c r="BQ82" s="56" t="s">
        <v>1006</v>
      </c>
      <c r="BR82" s="56">
        <v>6400.3791566102591</v>
      </c>
      <c r="BS82" s="47">
        <v>-1.1859330011557701E-3</v>
      </c>
      <c r="BT82" s="40">
        <v>-9701.76</v>
      </c>
      <c r="BU82" s="40">
        <v>2371239.2862590165</v>
      </c>
      <c r="BV82" s="40">
        <v>0</v>
      </c>
      <c r="BW82" s="40">
        <v>2371239.2862590165</v>
      </c>
      <c r="BX82" s="40">
        <v>30475.86</v>
      </c>
      <c r="BY82" s="40">
        <v>2340763.4262590166</v>
      </c>
    </row>
    <row r="83" spans="1:77">
      <c r="A83">
        <f>_xlfn.XLOOKUP(B83,'Summary Mar 2026'!B:B,'Summary Mar 2026'!A:A,0,0)</f>
        <v>2456</v>
      </c>
      <c r="B83" s="54">
        <v>103383</v>
      </c>
      <c r="C83" s="54">
        <v>3302456</v>
      </c>
      <c r="D83" s="55" t="s">
        <v>373</v>
      </c>
      <c r="E83" s="46">
        <v>201</v>
      </c>
      <c r="F83" s="46">
        <v>201</v>
      </c>
      <c r="G83" s="46">
        <v>0</v>
      </c>
      <c r="H83" s="40">
        <v>771144.82140000002</v>
      </c>
      <c r="I83" s="40">
        <v>0</v>
      </c>
      <c r="J83" s="40">
        <v>0</v>
      </c>
      <c r="K83" s="40">
        <v>38745.599999999977</v>
      </c>
      <c r="L83" s="40">
        <v>0</v>
      </c>
      <c r="M83" s="40">
        <v>82971.199999999968</v>
      </c>
      <c r="N83" s="40">
        <v>0</v>
      </c>
      <c r="O83" s="40">
        <v>4244.8895999999977</v>
      </c>
      <c r="P83" s="40">
        <v>2860.0319999999983</v>
      </c>
      <c r="Q83" s="40">
        <v>893.13280000000032</v>
      </c>
      <c r="R83" s="40">
        <v>3442.0736000000034</v>
      </c>
      <c r="S83" s="40">
        <v>6261.964799999997</v>
      </c>
      <c r="T83" s="40">
        <v>75615.232000000018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15831.599470588255</v>
      </c>
      <c r="AB83" s="40">
        <v>0</v>
      </c>
      <c r="AC83" s="40">
        <v>87378.704110671897</v>
      </c>
      <c r="AD83" s="40">
        <v>0</v>
      </c>
      <c r="AE83" s="40">
        <v>10329.438599999923</v>
      </c>
      <c r="AF83" s="40">
        <v>0</v>
      </c>
      <c r="AG83" s="40">
        <v>141970.48000000001</v>
      </c>
      <c r="AH83" s="40">
        <v>0</v>
      </c>
      <c r="AI83" s="40">
        <v>0</v>
      </c>
      <c r="AJ83" s="40">
        <v>0</v>
      </c>
      <c r="AK83" s="40">
        <v>43724.74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771144.82140000002</v>
      </c>
      <c r="AU83" s="40">
        <v>328573.86698126007</v>
      </c>
      <c r="AV83" s="40">
        <v>185695.22</v>
      </c>
      <c r="AW83" s="40">
        <v>203348.23010867188</v>
      </c>
      <c r="AX83" s="56">
        <v>1285413.90838126</v>
      </c>
      <c r="AY83" s="56">
        <v>1241689.16838126</v>
      </c>
      <c r="AZ83" s="56">
        <v>4955</v>
      </c>
      <c r="BA83" s="56">
        <v>995955</v>
      </c>
      <c r="BB83" s="56">
        <v>0</v>
      </c>
      <c r="BC83" s="56">
        <v>0</v>
      </c>
      <c r="BD83" s="56">
        <v>1285413.90838126</v>
      </c>
      <c r="BE83" s="40">
        <v>1285413.90838126</v>
      </c>
      <c r="BF83" s="40">
        <v>0</v>
      </c>
      <c r="BG83" s="56">
        <v>1039679.74</v>
      </c>
      <c r="BH83" s="56">
        <v>853984.52</v>
      </c>
      <c r="BI83" s="40">
        <v>1099718.68838126</v>
      </c>
      <c r="BJ83" s="40">
        <v>5471.2372556281589</v>
      </c>
      <c r="BK83" s="40">
        <v>5741.4402200000004</v>
      </c>
      <c r="BL83" s="41">
        <v>-4.7061878904635097E-2</v>
      </c>
      <c r="BM83" s="41">
        <v>4.7061878904635097E-2</v>
      </c>
      <c r="BN83" s="40">
        <v>54310.795838740145</v>
      </c>
      <c r="BO83" s="56">
        <v>1339724.7042200002</v>
      </c>
      <c r="BP83" s="56">
        <v>6447.761016019901</v>
      </c>
      <c r="BQ83" s="56" t="s">
        <v>1006</v>
      </c>
      <c r="BR83" s="56">
        <v>6665.2970359203991</v>
      </c>
      <c r="BS83" s="47">
        <v>-6.9255502737719521E-4</v>
      </c>
      <c r="BT83" s="40">
        <v>-5242.08</v>
      </c>
      <c r="BU83" s="40">
        <v>1334482.6242200001</v>
      </c>
      <c r="BV83" s="40">
        <v>0</v>
      </c>
      <c r="BW83" s="40">
        <v>1334482.6242200001</v>
      </c>
      <c r="BX83" s="40">
        <v>43724.74</v>
      </c>
      <c r="BY83" s="40">
        <v>1290757.8842200001</v>
      </c>
    </row>
    <row r="84" spans="1:77">
      <c r="A84">
        <f>_xlfn.XLOOKUP(B84,'Summary Mar 2026'!B:B,'Summary Mar 2026'!A:A,0,0)</f>
        <v>2457</v>
      </c>
      <c r="B84" s="54">
        <v>103384</v>
      </c>
      <c r="C84" s="54">
        <v>3302457</v>
      </c>
      <c r="D84" s="55" t="s">
        <v>209</v>
      </c>
      <c r="E84" s="46">
        <v>416</v>
      </c>
      <c r="F84" s="46">
        <v>416</v>
      </c>
      <c r="G84" s="46">
        <v>0</v>
      </c>
      <c r="H84" s="40">
        <v>1596001.2224000001</v>
      </c>
      <c r="I84" s="40">
        <v>0</v>
      </c>
      <c r="J84" s="40">
        <v>0</v>
      </c>
      <c r="K84" s="40">
        <v>91052.160000000018</v>
      </c>
      <c r="L84" s="40">
        <v>0</v>
      </c>
      <c r="M84" s="40">
        <v>206390.86000000019</v>
      </c>
      <c r="N84" s="40">
        <v>0</v>
      </c>
      <c r="O84" s="40">
        <v>6603.1616000000004</v>
      </c>
      <c r="P84" s="40">
        <v>6578.0735999999961</v>
      </c>
      <c r="Q84" s="40">
        <v>21881.753600000084</v>
      </c>
      <c r="R84" s="40">
        <v>84084.940799999953</v>
      </c>
      <c r="S84" s="40">
        <v>42268.262399999898</v>
      </c>
      <c r="T84" s="40">
        <v>31620.915199999981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83675.49033707862</v>
      </c>
      <c r="AB84" s="40">
        <v>0</v>
      </c>
      <c r="AC84" s="40">
        <v>174164.79509243692</v>
      </c>
      <c r="AD84" s="40">
        <v>0</v>
      </c>
      <c r="AE84" s="40">
        <v>0</v>
      </c>
      <c r="AF84" s="40">
        <v>0</v>
      </c>
      <c r="AG84" s="40">
        <v>141970.48000000001</v>
      </c>
      <c r="AH84" s="40">
        <v>0</v>
      </c>
      <c r="AI84" s="40">
        <v>0</v>
      </c>
      <c r="AJ84" s="40">
        <v>0</v>
      </c>
      <c r="AK84" s="40">
        <v>31799.81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1596001.2224000001</v>
      </c>
      <c r="AU84" s="40">
        <v>748320.41262951575</v>
      </c>
      <c r="AV84" s="40">
        <v>173770.29</v>
      </c>
      <c r="AW84" s="40">
        <v>430537.70200443699</v>
      </c>
      <c r="AX84" s="56">
        <v>2518091.9250295158</v>
      </c>
      <c r="AY84" s="56">
        <v>2486292.1150295157</v>
      </c>
      <c r="AZ84" s="56">
        <v>4955</v>
      </c>
      <c r="BA84" s="56">
        <v>2061280</v>
      </c>
      <c r="BB84" s="56">
        <v>0</v>
      </c>
      <c r="BC84" s="56">
        <v>0</v>
      </c>
      <c r="BD84" s="56">
        <v>2518091.9250295158</v>
      </c>
      <c r="BE84" s="40">
        <v>2518091.9250295158</v>
      </c>
      <c r="BF84" s="40">
        <v>0</v>
      </c>
      <c r="BG84" s="56">
        <v>2093079.81</v>
      </c>
      <c r="BH84" s="56">
        <v>1919309.52</v>
      </c>
      <c r="BI84" s="40">
        <v>2344321.6350295157</v>
      </c>
      <c r="BJ84" s="40">
        <v>5635.3885457440283</v>
      </c>
      <c r="BK84" s="40">
        <v>5607.3456813106786</v>
      </c>
      <c r="BL84" s="41">
        <v>5.0010942836673572E-3</v>
      </c>
      <c r="BM84" s="41">
        <v>0</v>
      </c>
      <c r="BN84" s="40">
        <v>0</v>
      </c>
      <c r="BO84" s="56">
        <v>2518091.9250295158</v>
      </c>
      <c r="BP84" s="56">
        <v>5976.6637380517204</v>
      </c>
      <c r="BQ84" s="56" t="s">
        <v>1006</v>
      </c>
      <c r="BR84" s="56">
        <v>6053.1055890132593</v>
      </c>
      <c r="BS84" s="47">
        <v>3.9785849678835028E-3</v>
      </c>
      <c r="BT84" s="40">
        <v>-10849.279999999999</v>
      </c>
      <c r="BU84" s="40">
        <v>2507242.645029516</v>
      </c>
      <c r="BV84" s="40">
        <v>0</v>
      </c>
      <c r="BW84" s="40">
        <v>2507242.645029516</v>
      </c>
      <c r="BX84" s="40">
        <v>31799.81</v>
      </c>
      <c r="BY84" s="40">
        <v>2475442.8350295159</v>
      </c>
    </row>
    <row r="85" spans="1:77">
      <c r="A85">
        <f>_xlfn.XLOOKUP(B85,'Summary Mar 2026'!B:B,'Summary Mar 2026'!A:A,0,0)</f>
        <v>2462</v>
      </c>
      <c r="B85" s="54">
        <v>103388</v>
      </c>
      <c r="C85" s="54">
        <v>3302462</v>
      </c>
      <c r="D85" s="55" t="s">
        <v>183</v>
      </c>
      <c r="E85" s="46">
        <v>422</v>
      </c>
      <c r="F85" s="46">
        <v>422</v>
      </c>
      <c r="G85" s="46">
        <v>0</v>
      </c>
      <c r="H85" s="40">
        <v>1619020.4708</v>
      </c>
      <c r="I85" s="40">
        <v>0</v>
      </c>
      <c r="J85" s="40">
        <v>0</v>
      </c>
      <c r="K85" s="40">
        <v>13076.639999999992</v>
      </c>
      <c r="L85" s="40">
        <v>0</v>
      </c>
      <c r="M85" s="40">
        <v>28002.779999999988</v>
      </c>
      <c r="N85" s="40">
        <v>0</v>
      </c>
      <c r="O85" s="40">
        <v>5424.0255999999954</v>
      </c>
      <c r="P85" s="40">
        <v>0</v>
      </c>
      <c r="Q85" s="40">
        <v>0</v>
      </c>
      <c r="R85" s="40">
        <v>491.72480000000047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9501.2717127071865</v>
      </c>
      <c r="AB85" s="40">
        <v>0</v>
      </c>
      <c r="AC85" s="40">
        <v>64547.555575980616</v>
      </c>
      <c r="AD85" s="40">
        <v>0</v>
      </c>
      <c r="AE85" s="40">
        <v>0</v>
      </c>
      <c r="AF85" s="40">
        <v>0</v>
      </c>
      <c r="AG85" s="40">
        <v>141970.48000000001</v>
      </c>
      <c r="AH85" s="40">
        <v>0</v>
      </c>
      <c r="AI85" s="40">
        <v>0</v>
      </c>
      <c r="AJ85" s="40">
        <v>0</v>
      </c>
      <c r="AK85" s="40">
        <v>58214.42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1619020.4708</v>
      </c>
      <c r="AU85" s="40">
        <v>121043.99768868778</v>
      </c>
      <c r="AV85" s="40">
        <v>200184.90000000002</v>
      </c>
      <c r="AW85" s="40">
        <v>162416.84045998062</v>
      </c>
      <c r="AX85" s="56">
        <v>1940249.368488688</v>
      </c>
      <c r="AY85" s="56">
        <v>1882034.9484886881</v>
      </c>
      <c r="AZ85" s="56">
        <v>4955</v>
      </c>
      <c r="BA85" s="56">
        <v>2091010</v>
      </c>
      <c r="BB85" s="56">
        <v>208975.0515113119</v>
      </c>
      <c r="BC85" s="56">
        <v>0</v>
      </c>
      <c r="BD85" s="56">
        <v>2149224.42</v>
      </c>
      <c r="BE85" s="40">
        <v>2149224.4199999995</v>
      </c>
      <c r="BF85" s="40">
        <v>0</v>
      </c>
      <c r="BG85" s="56">
        <v>2149224.42</v>
      </c>
      <c r="BH85" s="56">
        <v>1949039.52</v>
      </c>
      <c r="BI85" s="40">
        <v>1949039.52</v>
      </c>
      <c r="BJ85" s="40">
        <v>4618.5770616113741</v>
      </c>
      <c r="BK85" s="40">
        <v>4581.4872556872042</v>
      </c>
      <c r="BL85" s="41">
        <v>8.0955820357524067E-3</v>
      </c>
      <c r="BM85" s="41">
        <v>0</v>
      </c>
      <c r="BN85" s="40">
        <v>0</v>
      </c>
      <c r="BO85" s="56">
        <v>2149224.42</v>
      </c>
      <c r="BP85" s="56">
        <v>4955</v>
      </c>
      <c r="BQ85" s="56" t="s">
        <v>1006</v>
      </c>
      <c r="BR85" s="56">
        <v>5092.9488625592412</v>
      </c>
      <c r="BS85" s="47">
        <v>9.050291445787062E-3</v>
      </c>
      <c r="BT85" s="40">
        <v>-11005.759999999998</v>
      </c>
      <c r="BU85" s="40">
        <v>2138218.66</v>
      </c>
      <c r="BV85" s="40">
        <v>0</v>
      </c>
      <c r="BW85" s="40">
        <v>2138218.66</v>
      </c>
      <c r="BX85" s="40">
        <v>58214.42</v>
      </c>
      <c r="BY85" s="40">
        <v>2080004.2400000002</v>
      </c>
    </row>
    <row r="86" spans="1:77">
      <c r="A86">
        <f>_xlfn.XLOOKUP(B86,'Summary Mar 2026'!B:B,'Summary Mar 2026'!A:A,0,0)</f>
        <v>2464</v>
      </c>
      <c r="B86" s="54">
        <v>103390</v>
      </c>
      <c r="C86" s="54">
        <v>3302464</v>
      </c>
      <c r="D86" s="55" t="s">
        <v>357</v>
      </c>
      <c r="E86" s="46">
        <v>411</v>
      </c>
      <c r="F86" s="46">
        <v>411</v>
      </c>
      <c r="G86" s="46">
        <v>0</v>
      </c>
      <c r="H86" s="40">
        <v>1576818.5153999999</v>
      </c>
      <c r="I86" s="40">
        <v>0</v>
      </c>
      <c r="J86" s="40">
        <v>0</v>
      </c>
      <c r="K86" s="40">
        <v>15013.919999999998</v>
      </c>
      <c r="L86" s="40">
        <v>0</v>
      </c>
      <c r="M86" s="40">
        <v>36299.9</v>
      </c>
      <c r="N86" s="40">
        <v>0</v>
      </c>
      <c r="O86" s="40">
        <v>4009.0624000000003</v>
      </c>
      <c r="P86" s="40">
        <v>858.00959999999986</v>
      </c>
      <c r="Q86" s="40">
        <v>0</v>
      </c>
      <c r="R86" s="40">
        <v>6884.1472000000003</v>
      </c>
      <c r="S86" s="40">
        <v>521.83039999999994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13329.909192200546</v>
      </c>
      <c r="AB86" s="40">
        <v>0</v>
      </c>
      <c r="AC86" s="40">
        <v>86251.697209300677</v>
      </c>
      <c r="AD86" s="40">
        <v>0</v>
      </c>
      <c r="AE86" s="40">
        <v>0</v>
      </c>
      <c r="AF86" s="40">
        <v>0</v>
      </c>
      <c r="AG86" s="40">
        <v>141970.48000000001</v>
      </c>
      <c r="AH86" s="40">
        <v>0</v>
      </c>
      <c r="AI86" s="40">
        <v>0</v>
      </c>
      <c r="AJ86" s="40">
        <v>0</v>
      </c>
      <c r="AK86" s="40">
        <v>32064.81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1576818.5153999999</v>
      </c>
      <c r="AU86" s="40">
        <v>163168.47600150123</v>
      </c>
      <c r="AV86" s="40">
        <v>174035.29</v>
      </c>
      <c r="AW86" s="40">
        <v>187983.89603530068</v>
      </c>
      <c r="AX86" s="56">
        <v>1914022.2814015013</v>
      </c>
      <c r="AY86" s="56">
        <v>1881957.4714015012</v>
      </c>
      <c r="AZ86" s="56">
        <v>4955</v>
      </c>
      <c r="BA86" s="56">
        <v>2036505</v>
      </c>
      <c r="BB86" s="56">
        <v>154547.52859849879</v>
      </c>
      <c r="BC86" s="56">
        <v>0</v>
      </c>
      <c r="BD86" s="56">
        <v>2068569.81</v>
      </c>
      <c r="BE86" s="40">
        <v>2068569.8099999998</v>
      </c>
      <c r="BF86" s="40">
        <v>0</v>
      </c>
      <c r="BG86" s="56">
        <v>2068569.81</v>
      </c>
      <c r="BH86" s="56">
        <v>1894534.52</v>
      </c>
      <c r="BI86" s="40">
        <v>1894534.52</v>
      </c>
      <c r="BJ86" s="40">
        <v>4609.5730413625306</v>
      </c>
      <c r="BK86" s="40">
        <v>4573.4831067146279</v>
      </c>
      <c r="BL86" s="41">
        <v>7.891126698361858E-3</v>
      </c>
      <c r="BM86" s="41">
        <v>0</v>
      </c>
      <c r="BN86" s="40">
        <v>0</v>
      </c>
      <c r="BO86" s="56">
        <v>2068569.81</v>
      </c>
      <c r="BP86" s="56">
        <v>4955</v>
      </c>
      <c r="BQ86" s="56" t="s">
        <v>1006</v>
      </c>
      <c r="BR86" s="56">
        <v>5033.0165693430654</v>
      </c>
      <c r="BS86" s="47">
        <v>8.4520238379890422E-3</v>
      </c>
      <c r="BT86" s="40">
        <v>-10718.88</v>
      </c>
      <c r="BU86" s="40">
        <v>2057850.9300000002</v>
      </c>
      <c r="BV86" s="40">
        <v>0</v>
      </c>
      <c r="BW86" s="40">
        <v>2057850.9300000002</v>
      </c>
      <c r="BX86" s="40">
        <v>32064.81</v>
      </c>
      <c r="BY86" s="40">
        <v>2025786.12</v>
      </c>
    </row>
    <row r="87" spans="1:77">
      <c r="A87">
        <f>_xlfn.XLOOKUP(B87,'Summary Mar 2026'!B:B,'Summary Mar 2026'!A:A,0,0)</f>
        <v>2465</v>
      </c>
      <c r="B87" s="54">
        <v>103391</v>
      </c>
      <c r="C87" s="54">
        <v>3302465</v>
      </c>
      <c r="D87" s="55" t="s">
        <v>80</v>
      </c>
      <c r="E87" s="46">
        <v>418</v>
      </c>
      <c r="F87" s="46">
        <v>418</v>
      </c>
      <c r="G87" s="46">
        <v>0</v>
      </c>
      <c r="H87" s="40">
        <v>1603674.3052000001</v>
      </c>
      <c r="I87" s="40">
        <v>0</v>
      </c>
      <c r="J87" s="40">
        <v>0</v>
      </c>
      <c r="K87" s="40">
        <v>69742.079999999929</v>
      </c>
      <c r="L87" s="40">
        <v>0</v>
      </c>
      <c r="M87" s="40">
        <v>150385.30000000002</v>
      </c>
      <c r="N87" s="40">
        <v>0</v>
      </c>
      <c r="O87" s="40">
        <v>34513.338996642728</v>
      </c>
      <c r="P87" s="40">
        <v>4300.3358848920816</v>
      </c>
      <c r="Q87" s="40">
        <v>1790.5492105515591</v>
      </c>
      <c r="R87" s="40">
        <v>1971.6159846522787</v>
      </c>
      <c r="S87" s="40">
        <v>3138.4907510791381</v>
      </c>
      <c r="T87" s="40">
        <v>689.05966810551502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42500.049915493037</v>
      </c>
      <c r="AB87" s="40">
        <v>0</v>
      </c>
      <c r="AC87" s="40">
        <v>158765.08126074512</v>
      </c>
      <c r="AD87" s="40">
        <v>0</v>
      </c>
      <c r="AE87" s="40">
        <v>0</v>
      </c>
      <c r="AF87" s="40">
        <v>0</v>
      </c>
      <c r="AG87" s="40">
        <v>141970.48000000001</v>
      </c>
      <c r="AH87" s="40">
        <v>0</v>
      </c>
      <c r="AI87" s="40">
        <v>0</v>
      </c>
      <c r="AJ87" s="40">
        <v>0</v>
      </c>
      <c r="AK87" s="40">
        <v>46033.17</v>
      </c>
      <c r="AL87" s="40">
        <v>463190.15489999996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1603674.3052000001</v>
      </c>
      <c r="AU87" s="40">
        <v>467795.90167216148</v>
      </c>
      <c r="AV87" s="40">
        <v>651193.80489999999</v>
      </c>
      <c r="AW87" s="40">
        <v>334899.87389927753</v>
      </c>
      <c r="AX87" s="56">
        <v>2722664.0117721613</v>
      </c>
      <c r="AY87" s="56">
        <v>2213440.6868721615</v>
      </c>
      <c r="AZ87" s="56">
        <v>4955</v>
      </c>
      <c r="BA87" s="56">
        <v>2071190</v>
      </c>
      <c r="BB87" s="56">
        <v>0</v>
      </c>
      <c r="BC87" s="56">
        <v>0</v>
      </c>
      <c r="BD87" s="56">
        <v>2722664.0117721613</v>
      </c>
      <c r="BE87" s="40">
        <v>2722664.0117721613</v>
      </c>
      <c r="BF87" s="40">
        <v>0</v>
      </c>
      <c r="BG87" s="56">
        <v>2580413.3248999999</v>
      </c>
      <c r="BH87" s="56">
        <v>1929219.52</v>
      </c>
      <c r="BI87" s="40">
        <v>2071470.2068721615</v>
      </c>
      <c r="BJ87" s="40">
        <v>4955.6703513688071</v>
      </c>
      <c r="BK87" s="40">
        <v>4893.8375826603333</v>
      </c>
      <c r="BL87" s="41">
        <v>1.2634822399410528E-2</v>
      </c>
      <c r="BM87" s="41">
        <v>0</v>
      </c>
      <c r="BN87" s="40">
        <v>0</v>
      </c>
      <c r="BO87" s="56">
        <v>2722664.0117721613</v>
      </c>
      <c r="BP87" s="56">
        <v>5295.3126480195251</v>
      </c>
      <c r="BQ87" s="56" t="s">
        <v>1006</v>
      </c>
      <c r="BR87" s="56">
        <v>6513.5502673975152</v>
      </c>
      <c r="BS87" s="47">
        <v>1.5223172007594155E-2</v>
      </c>
      <c r="BT87" s="40">
        <v>-10901.439999999999</v>
      </c>
      <c r="BU87" s="40">
        <v>2711762.5717721614</v>
      </c>
      <c r="BV87" s="40">
        <v>0</v>
      </c>
      <c r="BW87" s="40">
        <v>2711762.5717721614</v>
      </c>
      <c r="BX87" s="40">
        <v>46033.17</v>
      </c>
      <c r="BY87" s="40">
        <v>2665729.4017721615</v>
      </c>
    </row>
    <row r="88" spans="1:77">
      <c r="A88">
        <f>_xlfn.XLOOKUP(B88,'Summary Mar 2026'!B:B,'Summary Mar 2026'!A:A,0,0)</f>
        <v>2466</v>
      </c>
      <c r="B88" s="54">
        <v>103392</v>
      </c>
      <c r="C88" s="54">
        <v>3302466</v>
      </c>
      <c r="D88" s="55" t="s">
        <v>143</v>
      </c>
      <c r="E88" s="46">
        <v>604</v>
      </c>
      <c r="F88" s="46">
        <v>604</v>
      </c>
      <c r="G88" s="46">
        <v>0</v>
      </c>
      <c r="H88" s="40">
        <v>2317271.0056000003</v>
      </c>
      <c r="I88" s="40">
        <v>0</v>
      </c>
      <c r="J88" s="40">
        <v>0</v>
      </c>
      <c r="K88" s="40">
        <v>155466.71999999997</v>
      </c>
      <c r="L88" s="40">
        <v>0</v>
      </c>
      <c r="M88" s="40">
        <v>336033.36000000022</v>
      </c>
      <c r="N88" s="40">
        <v>0</v>
      </c>
      <c r="O88" s="40">
        <v>4716.5440000000071</v>
      </c>
      <c r="P88" s="40">
        <v>8008.0895999999939</v>
      </c>
      <c r="Q88" s="40">
        <v>72343.756799999916</v>
      </c>
      <c r="R88" s="40">
        <v>103753.93280000004</v>
      </c>
      <c r="S88" s="40">
        <v>81405.542399999933</v>
      </c>
      <c r="T88" s="40">
        <v>7561.5231999999905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112123.74513207551</v>
      </c>
      <c r="AB88" s="40">
        <v>0</v>
      </c>
      <c r="AC88" s="40">
        <v>222306.89627833851</v>
      </c>
      <c r="AD88" s="40">
        <v>0</v>
      </c>
      <c r="AE88" s="40">
        <v>15990.877124252467</v>
      </c>
      <c r="AF88" s="40">
        <v>0</v>
      </c>
      <c r="AG88" s="40">
        <v>141970.48000000001</v>
      </c>
      <c r="AH88" s="40">
        <v>0</v>
      </c>
      <c r="AI88" s="40">
        <v>0</v>
      </c>
      <c r="AJ88" s="40">
        <v>52835.33</v>
      </c>
      <c r="AK88" s="40">
        <v>30739.81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2317271.0056000003</v>
      </c>
      <c r="AU88" s="40">
        <v>1119710.9873346665</v>
      </c>
      <c r="AV88" s="40">
        <v>225545.62</v>
      </c>
      <c r="AW88" s="40">
        <v>615114.65532633848</v>
      </c>
      <c r="AX88" s="56">
        <v>3662527.6129346667</v>
      </c>
      <c r="AY88" s="56">
        <v>3578952.4729346666</v>
      </c>
      <c r="AZ88" s="56">
        <v>4955</v>
      </c>
      <c r="BA88" s="56">
        <v>2992820</v>
      </c>
      <c r="BB88" s="56">
        <v>0</v>
      </c>
      <c r="BC88" s="56">
        <v>0</v>
      </c>
      <c r="BD88" s="56">
        <v>3662527.6129346667</v>
      </c>
      <c r="BE88" s="40">
        <v>3662527.6129346681</v>
      </c>
      <c r="BF88" s="40">
        <v>0</v>
      </c>
      <c r="BG88" s="56">
        <v>3076395.14</v>
      </c>
      <c r="BH88" s="56">
        <v>2850849.52</v>
      </c>
      <c r="BI88" s="40">
        <v>3436981.9929346666</v>
      </c>
      <c r="BJ88" s="40">
        <v>5690.3675379713022</v>
      </c>
      <c r="BK88" s="40">
        <v>5620.2089136666664</v>
      </c>
      <c r="BL88" s="41">
        <v>1.2483276935494527E-2</v>
      </c>
      <c r="BM88" s="41">
        <v>0</v>
      </c>
      <c r="BN88" s="40">
        <v>0</v>
      </c>
      <c r="BO88" s="56">
        <v>3662527.6129346667</v>
      </c>
      <c r="BP88" s="56">
        <v>5925.4180015474612</v>
      </c>
      <c r="BQ88" s="56" t="s">
        <v>1006</v>
      </c>
      <c r="BR88" s="56">
        <v>6063.7874386335543</v>
      </c>
      <c r="BS88" s="47">
        <v>1.0611213332020419E-2</v>
      </c>
      <c r="BT88" s="40">
        <v>-15752.32</v>
      </c>
      <c r="BU88" s="40">
        <v>3646775.2929346669</v>
      </c>
      <c r="BV88" s="40">
        <v>0</v>
      </c>
      <c r="BW88" s="40">
        <v>3646775.2929346669</v>
      </c>
      <c r="BX88" s="40">
        <v>30739.81</v>
      </c>
      <c r="BY88" s="40">
        <v>3616035.4829346668</v>
      </c>
    </row>
    <row r="89" spans="1:77">
      <c r="A89">
        <f>_xlfn.XLOOKUP(B89,'Summary Mar 2026'!B:B,'Summary Mar 2026'!A:A,0,0)</f>
        <v>2469</v>
      </c>
      <c r="B89" s="54">
        <v>103395</v>
      </c>
      <c r="C89" s="54">
        <v>3302469</v>
      </c>
      <c r="D89" s="55" t="s">
        <v>213</v>
      </c>
      <c r="E89" s="46">
        <v>317</v>
      </c>
      <c r="F89" s="46">
        <v>317</v>
      </c>
      <c r="G89" s="46">
        <v>0</v>
      </c>
      <c r="H89" s="40">
        <v>1216183.6237999999</v>
      </c>
      <c r="I89" s="40">
        <v>0</v>
      </c>
      <c r="J89" s="40">
        <v>0</v>
      </c>
      <c r="K89" s="40">
        <v>61992.960000000065</v>
      </c>
      <c r="L89" s="40">
        <v>0</v>
      </c>
      <c r="M89" s="40">
        <v>134828.2000000001</v>
      </c>
      <c r="N89" s="40">
        <v>0</v>
      </c>
      <c r="O89" s="40">
        <v>943.30880000000354</v>
      </c>
      <c r="P89" s="40">
        <v>858.00959999999998</v>
      </c>
      <c r="Q89" s="40">
        <v>446.56639999999948</v>
      </c>
      <c r="R89" s="40">
        <v>94902.886400000018</v>
      </c>
      <c r="S89" s="40">
        <v>3130.9824000000031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37302.23308510636</v>
      </c>
      <c r="AB89" s="40">
        <v>0</v>
      </c>
      <c r="AC89" s="40">
        <v>126531.98070919554</v>
      </c>
      <c r="AD89" s="40">
        <v>0</v>
      </c>
      <c r="AE89" s="40">
        <v>24664.513636708791</v>
      </c>
      <c r="AF89" s="40">
        <v>0</v>
      </c>
      <c r="AG89" s="40">
        <v>141970.48000000001</v>
      </c>
      <c r="AH89" s="40">
        <v>0</v>
      </c>
      <c r="AI89" s="40">
        <v>0</v>
      </c>
      <c r="AJ89" s="40">
        <v>0</v>
      </c>
      <c r="AK89" s="40">
        <v>25052.19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1216183.6237999999</v>
      </c>
      <c r="AU89" s="40">
        <v>485601.64103101083</v>
      </c>
      <c r="AV89" s="40">
        <v>167022.67000000001</v>
      </c>
      <c r="AW89" s="40">
        <v>294298.21079519566</v>
      </c>
      <c r="AX89" s="56">
        <v>1868807.9348310106</v>
      </c>
      <c r="AY89" s="56">
        <v>1843755.7448310107</v>
      </c>
      <c r="AZ89" s="56">
        <v>4955</v>
      </c>
      <c r="BA89" s="56">
        <v>1570735</v>
      </c>
      <c r="BB89" s="56">
        <v>0</v>
      </c>
      <c r="BC89" s="56">
        <v>0</v>
      </c>
      <c r="BD89" s="56">
        <v>1868807.9348310106</v>
      </c>
      <c r="BE89" s="40">
        <v>1868807.9348310106</v>
      </c>
      <c r="BF89" s="40">
        <v>0</v>
      </c>
      <c r="BG89" s="56">
        <v>1595787.19</v>
      </c>
      <c r="BH89" s="56">
        <v>1428764.52</v>
      </c>
      <c r="BI89" s="40">
        <v>1701785.2648310107</v>
      </c>
      <c r="BJ89" s="40">
        <v>5368.4077754921473</v>
      </c>
      <c r="BK89" s="40">
        <v>5321.1680676923079</v>
      </c>
      <c r="BL89" s="41">
        <v>8.8776951223655618E-3</v>
      </c>
      <c r="BM89" s="41">
        <v>0</v>
      </c>
      <c r="BN89" s="40">
        <v>0</v>
      </c>
      <c r="BO89" s="56">
        <v>1868807.9348310106</v>
      </c>
      <c r="BP89" s="56">
        <v>5816.2641792776367</v>
      </c>
      <c r="BQ89" s="56" t="s">
        <v>1006</v>
      </c>
      <c r="BR89" s="56">
        <v>5895.2931698139137</v>
      </c>
      <c r="BS89" s="47">
        <v>1.0318479508313994E-2</v>
      </c>
      <c r="BT89" s="40">
        <v>-8267.3599999999988</v>
      </c>
      <c r="BU89" s="40">
        <v>1860540.5748310105</v>
      </c>
      <c r="BV89" s="40">
        <v>0</v>
      </c>
      <c r="BW89" s="40">
        <v>1860540.5748310105</v>
      </c>
      <c r="BX89" s="40">
        <v>25052.19</v>
      </c>
      <c r="BY89" s="40">
        <v>1835488.3848310106</v>
      </c>
    </row>
    <row r="90" spans="1:77">
      <c r="A90">
        <f>_xlfn.XLOOKUP(B90,'Summary Mar 2026'!B:B,'Summary Mar 2026'!A:A,0,0)</f>
        <v>2474</v>
      </c>
      <c r="B90" s="54">
        <v>131672</v>
      </c>
      <c r="C90" s="54">
        <v>3302474</v>
      </c>
      <c r="D90" s="55" t="s">
        <v>387</v>
      </c>
      <c r="E90" s="46">
        <v>413</v>
      </c>
      <c r="F90" s="46">
        <v>413</v>
      </c>
      <c r="G90" s="46">
        <v>0</v>
      </c>
      <c r="H90" s="40">
        <v>1584491.5982000001</v>
      </c>
      <c r="I90" s="40">
        <v>0</v>
      </c>
      <c r="J90" s="40">
        <v>0</v>
      </c>
      <c r="K90" s="40">
        <v>64898.879999999997</v>
      </c>
      <c r="L90" s="40">
        <v>0</v>
      </c>
      <c r="M90" s="40">
        <v>138976.76</v>
      </c>
      <c r="N90" s="40">
        <v>0</v>
      </c>
      <c r="O90" s="40">
        <v>12734.668800000047</v>
      </c>
      <c r="P90" s="40">
        <v>12012.134399999964</v>
      </c>
      <c r="Q90" s="40">
        <v>1339.6992000000007</v>
      </c>
      <c r="R90" s="40">
        <v>36387.635200000026</v>
      </c>
      <c r="S90" s="40">
        <v>521.8304000000004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30222.428631284823</v>
      </c>
      <c r="AB90" s="40">
        <v>0</v>
      </c>
      <c r="AC90" s="40">
        <v>126404.15574581939</v>
      </c>
      <c r="AD90" s="40">
        <v>0</v>
      </c>
      <c r="AE90" s="40">
        <v>0</v>
      </c>
      <c r="AF90" s="40">
        <v>0</v>
      </c>
      <c r="AG90" s="40">
        <v>141970.48000000001</v>
      </c>
      <c r="AH90" s="40">
        <v>0</v>
      </c>
      <c r="AI90" s="40">
        <v>0</v>
      </c>
      <c r="AJ90" s="40">
        <v>0</v>
      </c>
      <c r="AK90" s="40">
        <v>33857.5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1584491.5982000001</v>
      </c>
      <c r="AU90" s="40">
        <v>423498.19237710419</v>
      </c>
      <c r="AV90" s="40">
        <v>175827.98</v>
      </c>
      <c r="AW90" s="40">
        <v>301702.51453581941</v>
      </c>
      <c r="AX90" s="56">
        <v>2183817.7705771043</v>
      </c>
      <c r="AY90" s="56">
        <v>2149960.2705771043</v>
      </c>
      <c r="AZ90" s="56">
        <v>4955</v>
      </c>
      <c r="BA90" s="56">
        <v>2046415</v>
      </c>
      <c r="BB90" s="56">
        <v>0</v>
      </c>
      <c r="BC90" s="56">
        <v>0</v>
      </c>
      <c r="BD90" s="56">
        <v>2183817.7705771043</v>
      </c>
      <c r="BE90" s="40">
        <v>2183817.7705771043</v>
      </c>
      <c r="BF90" s="40">
        <v>0</v>
      </c>
      <c r="BG90" s="56">
        <v>2080272.5</v>
      </c>
      <c r="BH90" s="56">
        <v>1904444.52</v>
      </c>
      <c r="BI90" s="40">
        <v>2007989.7905771043</v>
      </c>
      <c r="BJ90" s="40">
        <v>4861.9607520026739</v>
      </c>
      <c r="BK90" s="40">
        <v>4904.6491296912118</v>
      </c>
      <c r="BL90" s="41">
        <v>-8.7036557681804041E-3</v>
      </c>
      <c r="BM90" s="41">
        <v>8.7036557681804041E-3</v>
      </c>
      <c r="BN90" s="40">
        <v>17630.299985366157</v>
      </c>
      <c r="BO90" s="56">
        <v>2201448.0705624702</v>
      </c>
      <c r="BP90" s="56">
        <v>5248.4033185531971</v>
      </c>
      <c r="BQ90" s="56" t="s">
        <v>1006</v>
      </c>
      <c r="BR90" s="56">
        <v>5330.382737439395</v>
      </c>
      <c r="BS90" s="47">
        <v>1.5200121665071009E-3</v>
      </c>
      <c r="BT90" s="40">
        <v>-10771.039999999999</v>
      </c>
      <c r="BU90" s="40">
        <v>2190677.0305624702</v>
      </c>
      <c r="BV90" s="40">
        <v>0</v>
      </c>
      <c r="BW90" s="40">
        <v>2190677.0305624702</v>
      </c>
      <c r="BX90" s="40">
        <v>33857.5</v>
      </c>
      <c r="BY90" s="40">
        <v>2156819.5305624702</v>
      </c>
    </row>
    <row r="91" spans="1:77">
      <c r="A91">
        <f>_xlfn.XLOOKUP(B91,'Summary Mar 2026'!B:B,'Summary Mar 2026'!A:A,0,0)</f>
        <v>2477</v>
      </c>
      <c r="B91" s="54">
        <v>132261</v>
      </c>
      <c r="C91" s="54">
        <v>3302477</v>
      </c>
      <c r="D91" s="55" t="s">
        <v>383</v>
      </c>
      <c r="E91" s="46">
        <v>833</v>
      </c>
      <c r="F91" s="46">
        <v>833</v>
      </c>
      <c r="G91" s="46">
        <v>0</v>
      </c>
      <c r="H91" s="40">
        <v>3195838.9862000002</v>
      </c>
      <c r="I91" s="40">
        <v>0</v>
      </c>
      <c r="J91" s="40">
        <v>0</v>
      </c>
      <c r="K91" s="40">
        <v>45041.759999999893</v>
      </c>
      <c r="L91" s="40">
        <v>0</v>
      </c>
      <c r="M91" s="40">
        <v>100602.58000000037</v>
      </c>
      <c r="N91" s="40">
        <v>0</v>
      </c>
      <c r="O91" s="40">
        <v>12734.668800000009</v>
      </c>
      <c r="P91" s="40">
        <v>14014.156799999997</v>
      </c>
      <c r="Q91" s="40">
        <v>13843.558400000016</v>
      </c>
      <c r="R91" s="40">
        <v>10326.220799999983</v>
      </c>
      <c r="S91" s="40">
        <v>40180.940800000018</v>
      </c>
      <c r="T91" s="40">
        <v>17185.280000000017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104063.09162692845</v>
      </c>
      <c r="AB91" s="40">
        <v>0</v>
      </c>
      <c r="AC91" s="40">
        <v>280402.71121476562</v>
      </c>
      <c r="AD91" s="40">
        <v>0</v>
      </c>
      <c r="AE91" s="40">
        <v>0</v>
      </c>
      <c r="AF91" s="40">
        <v>0</v>
      </c>
      <c r="AG91" s="40">
        <v>141970.48000000001</v>
      </c>
      <c r="AH91" s="40">
        <v>0</v>
      </c>
      <c r="AI91" s="40">
        <v>0</v>
      </c>
      <c r="AJ91" s="40">
        <v>79252.990000000005</v>
      </c>
      <c r="AK91" s="40">
        <v>33389.800000000003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3195838.9862000002</v>
      </c>
      <c r="AU91" s="40">
        <v>638394.96844169428</v>
      </c>
      <c r="AV91" s="40">
        <v>254613.27000000002</v>
      </c>
      <c r="AW91" s="40">
        <v>531609.16014076583</v>
      </c>
      <c r="AX91" s="56">
        <v>4088847.2246416942</v>
      </c>
      <c r="AY91" s="56">
        <v>3976204.4346416942</v>
      </c>
      <c r="AZ91" s="56">
        <v>4955</v>
      </c>
      <c r="BA91" s="56">
        <v>4127515</v>
      </c>
      <c r="BB91" s="56">
        <v>151310.56535830582</v>
      </c>
      <c r="BC91" s="56">
        <v>0</v>
      </c>
      <c r="BD91" s="56">
        <v>4240157.79</v>
      </c>
      <c r="BE91" s="40">
        <v>4240157.79</v>
      </c>
      <c r="BF91" s="40">
        <v>0</v>
      </c>
      <c r="BG91" s="56">
        <v>4240157.79</v>
      </c>
      <c r="BH91" s="56">
        <v>3985544.52</v>
      </c>
      <c r="BI91" s="40">
        <v>3985544.52</v>
      </c>
      <c r="BJ91" s="40">
        <v>4784.5672509003598</v>
      </c>
      <c r="BK91" s="40">
        <v>4736.0326164848484</v>
      </c>
      <c r="BL91" s="41">
        <v>1.0247951892597923E-2</v>
      </c>
      <c r="BM91" s="41">
        <v>0</v>
      </c>
      <c r="BN91" s="40">
        <v>0</v>
      </c>
      <c r="BO91" s="56">
        <v>4240157.79</v>
      </c>
      <c r="BP91" s="56">
        <v>4955</v>
      </c>
      <c r="BQ91" s="56" t="s">
        <v>1006</v>
      </c>
      <c r="BR91" s="56">
        <v>5090.22543817527</v>
      </c>
      <c r="BS91" s="47">
        <v>8.1488132784093281E-3</v>
      </c>
      <c r="BT91" s="40">
        <v>-21724.639999999999</v>
      </c>
      <c r="BU91" s="40">
        <v>4218433.1500000004</v>
      </c>
      <c r="BV91" s="40">
        <v>0</v>
      </c>
      <c r="BW91" s="40">
        <v>4218433.1500000004</v>
      </c>
      <c r="BX91" s="40">
        <v>33389.800000000003</v>
      </c>
      <c r="BY91" s="40">
        <v>4185043.3500000006</v>
      </c>
    </row>
    <row r="92" spans="1:77">
      <c r="A92">
        <f>_xlfn.XLOOKUP(B92,'Summary Mar 2026'!B:B,'Summary Mar 2026'!A:A,0,0)</f>
        <v>2478</v>
      </c>
      <c r="B92" s="54">
        <v>132007</v>
      </c>
      <c r="C92" s="54">
        <v>3302478</v>
      </c>
      <c r="D92" s="55" t="s">
        <v>335</v>
      </c>
      <c r="E92" s="46">
        <v>424</v>
      </c>
      <c r="F92" s="46">
        <v>424</v>
      </c>
      <c r="G92" s="46">
        <v>0</v>
      </c>
      <c r="H92" s="40">
        <v>1626693.5536</v>
      </c>
      <c r="I92" s="40">
        <v>0</v>
      </c>
      <c r="J92" s="40">
        <v>0</v>
      </c>
      <c r="K92" s="40">
        <v>17435.520000000004</v>
      </c>
      <c r="L92" s="40">
        <v>0</v>
      </c>
      <c r="M92" s="40">
        <v>37337.040000000008</v>
      </c>
      <c r="N92" s="40">
        <v>0</v>
      </c>
      <c r="O92" s="40">
        <v>8253.9520000000048</v>
      </c>
      <c r="P92" s="40">
        <v>1430.0160000000026</v>
      </c>
      <c r="Q92" s="40">
        <v>1786.2655999999993</v>
      </c>
      <c r="R92" s="40">
        <v>15243.468799999997</v>
      </c>
      <c r="S92" s="40">
        <v>521.83040000000096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16953.302197802201</v>
      </c>
      <c r="AB92" s="40">
        <v>0</v>
      </c>
      <c r="AC92" s="40">
        <v>81353.12052064114</v>
      </c>
      <c r="AD92" s="40">
        <v>0</v>
      </c>
      <c r="AE92" s="40">
        <v>0</v>
      </c>
      <c r="AF92" s="40">
        <v>0</v>
      </c>
      <c r="AG92" s="40">
        <v>141970.48000000001</v>
      </c>
      <c r="AH92" s="40">
        <v>0</v>
      </c>
      <c r="AI92" s="40">
        <v>0</v>
      </c>
      <c r="AJ92" s="40">
        <v>0</v>
      </c>
      <c r="AK92" s="40">
        <v>47099.58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1626693.5536</v>
      </c>
      <c r="AU92" s="40">
        <v>180314.51551844337</v>
      </c>
      <c r="AV92" s="40">
        <v>189070.06</v>
      </c>
      <c r="AW92" s="40">
        <v>192210.71160864117</v>
      </c>
      <c r="AX92" s="56">
        <v>1996078.1291184435</v>
      </c>
      <c r="AY92" s="56">
        <v>1948978.5491184434</v>
      </c>
      <c r="AZ92" s="56">
        <v>4955</v>
      </c>
      <c r="BA92" s="56">
        <v>2100920</v>
      </c>
      <c r="BB92" s="56">
        <v>151941.45088155661</v>
      </c>
      <c r="BC92" s="56">
        <v>0</v>
      </c>
      <c r="BD92" s="56">
        <v>2148019.58</v>
      </c>
      <c r="BE92" s="40">
        <v>2148019.58</v>
      </c>
      <c r="BF92" s="40">
        <v>0</v>
      </c>
      <c r="BG92" s="56">
        <v>2148019.58</v>
      </c>
      <c r="BH92" s="56">
        <v>1958949.52</v>
      </c>
      <c r="BI92" s="40">
        <v>1958949.52</v>
      </c>
      <c r="BJ92" s="40">
        <v>4620.1639622641505</v>
      </c>
      <c r="BK92" s="40">
        <v>4584.1087449411762</v>
      </c>
      <c r="BL92" s="41">
        <v>7.8652622197855505E-3</v>
      </c>
      <c r="BM92" s="41">
        <v>0</v>
      </c>
      <c r="BN92" s="40">
        <v>0</v>
      </c>
      <c r="BO92" s="56">
        <v>2148019.58</v>
      </c>
      <c r="BP92" s="56">
        <v>4955</v>
      </c>
      <c r="BQ92" s="56" t="s">
        <v>1006</v>
      </c>
      <c r="BR92" s="56">
        <v>5066.0839150943402</v>
      </c>
      <c r="BS92" s="47">
        <v>7.3781253096432131E-3</v>
      </c>
      <c r="BT92" s="40">
        <v>-11057.92</v>
      </c>
      <c r="BU92" s="40">
        <v>2136961.66</v>
      </c>
      <c r="BV92" s="40">
        <v>0</v>
      </c>
      <c r="BW92" s="40">
        <v>2136961.66</v>
      </c>
      <c r="BX92" s="40">
        <v>47099.58</v>
      </c>
      <c r="BY92" s="40">
        <v>2089862.08</v>
      </c>
    </row>
    <row r="93" spans="1:77">
      <c r="A93">
        <f>_xlfn.XLOOKUP(B93,'Summary Mar 2026'!B:B,'Summary Mar 2026'!A:A,0,0)</f>
        <v>2479</v>
      </c>
      <c r="B93" s="54">
        <v>132074</v>
      </c>
      <c r="C93" s="54">
        <v>3302479</v>
      </c>
      <c r="D93" s="55" t="s">
        <v>42</v>
      </c>
      <c r="E93" s="46">
        <v>626</v>
      </c>
      <c r="F93" s="46">
        <v>626</v>
      </c>
      <c r="G93" s="46">
        <v>0</v>
      </c>
      <c r="H93" s="40">
        <v>2401674.9164</v>
      </c>
      <c r="I93" s="40">
        <v>0</v>
      </c>
      <c r="J93" s="40">
        <v>0</v>
      </c>
      <c r="K93" s="40">
        <v>173870.88000000003</v>
      </c>
      <c r="L93" s="40">
        <v>0</v>
      </c>
      <c r="M93" s="40">
        <v>373370.40000000014</v>
      </c>
      <c r="N93" s="40">
        <v>0</v>
      </c>
      <c r="O93" s="40">
        <v>3537.4079999999944</v>
      </c>
      <c r="P93" s="40">
        <v>2002.022400000003</v>
      </c>
      <c r="Q93" s="40">
        <v>12503.859199999992</v>
      </c>
      <c r="R93" s="40">
        <v>30978.662400000077</v>
      </c>
      <c r="S93" s="40">
        <v>258306.04800000001</v>
      </c>
      <c r="T93" s="40">
        <v>8936.3456000000006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104523.44741873813</v>
      </c>
      <c r="AB93" s="40">
        <v>0</v>
      </c>
      <c r="AC93" s="40">
        <v>259971.78693628751</v>
      </c>
      <c r="AD93" s="40">
        <v>0</v>
      </c>
      <c r="AE93" s="40">
        <v>0</v>
      </c>
      <c r="AF93" s="40">
        <v>0</v>
      </c>
      <c r="AG93" s="40">
        <v>141970.48000000001</v>
      </c>
      <c r="AH93" s="40">
        <v>0</v>
      </c>
      <c r="AI93" s="40">
        <v>0</v>
      </c>
      <c r="AJ93" s="40">
        <v>53742.03004471957</v>
      </c>
      <c r="AK93" s="40">
        <v>31269.81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2401674.9164</v>
      </c>
      <c r="AU93" s="40">
        <v>1228000.8599550256</v>
      </c>
      <c r="AV93" s="40">
        <v>226982.32004471958</v>
      </c>
      <c r="AW93" s="40">
        <v>690917.55797228764</v>
      </c>
      <c r="AX93" s="56">
        <v>3856658.096399745</v>
      </c>
      <c r="AY93" s="56">
        <v>3771646.2563550253</v>
      </c>
      <c r="AZ93" s="56">
        <v>4955</v>
      </c>
      <c r="BA93" s="56">
        <v>3101830</v>
      </c>
      <c r="BB93" s="56">
        <v>0</v>
      </c>
      <c r="BC93" s="56">
        <v>0</v>
      </c>
      <c r="BD93" s="56">
        <v>3856658.096399745</v>
      </c>
      <c r="BE93" s="40">
        <v>3856658.096399745</v>
      </c>
      <c r="BF93" s="40">
        <v>0</v>
      </c>
      <c r="BG93" s="56">
        <v>3186841.8400447196</v>
      </c>
      <c r="BH93" s="56">
        <v>2959859.52</v>
      </c>
      <c r="BI93" s="40">
        <v>3629675.7763550254</v>
      </c>
      <c r="BJ93" s="40">
        <v>5798.2041155831075</v>
      </c>
      <c r="BK93" s="40">
        <v>5697.923955193799</v>
      </c>
      <c r="BL93" s="41">
        <v>1.7599420627209442E-2</v>
      </c>
      <c r="BM93" s="41">
        <v>0</v>
      </c>
      <c r="BN93" s="40">
        <v>0</v>
      </c>
      <c r="BO93" s="56">
        <v>3856658.096399745</v>
      </c>
      <c r="BP93" s="56">
        <v>6024.9940197364622</v>
      </c>
      <c r="BQ93" s="56" t="s">
        <v>1006</v>
      </c>
      <c r="BR93" s="56">
        <v>6160.7956811497525</v>
      </c>
      <c r="BS93" s="47">
        <v>1.7703951865766232E-2</v>
      </c>
      <c r="BT93" s="40">
        <v>-16326.079999999998</v>
      </c>
      <c r="BU93" s="40">
        <v>3840332.0163997449</v>
      </c>
      <c r="BV93" s="40">
        <v>0</v>
      </c>
      <c r="BW93" s="40">
        <v>3840332.0163997449</v>
      </c>
      <c r="BX93" s="40">
        <v>31269.81</v>
      </c>
      <c r="BY93" s="40">
        <v>3809062.2063997448</v>
      </c>
    </row>
    <row r="94" spans="1:77">
      <c r="A94">
        <f>_xlfn.XLOOKUP(B94,'Summary Mar 2026'!B:B,'Summary Mar 2026'!A:A,0,0)</f>
        <v>2486</v>
      </c>
      <c r="B94" s="54">
        <v>133759</v>
      </c>
      <c r="C94" s="54">
        <v>3302486</v>
      </c>
      <c r="D94" s="55" t="s">
        <v>125</v>
      </c>
      <c r="E94" s="46">
        <v>187</v>
      </c>
      <c r="F94" s="46">
        <v>187</v>
      </c>
      <c r="G94" s="46">
        <v>0</v>
      </c>
      <c r="H94" s="40">
        <v>717433.24179999996</v>
      </c>
      <c r="I94" s="40">
        <v>0</v>
      </c>
      <c r="J94" s="40">
        <v>0</v>
      </c>
      <c r="K94" s="40">
        <v>61024.319999999971</v>
      </c>
      <c r="L94" s="40">
        <v>0</v>
      </c>
      <c r="M94" s="40">
        <v>130679.63999999996</v>
      </c>
      <c r="N94" s="40">
        <v>0</v>
      </c>
      <c r="O94" s="40">
        <v>943.30879999999991</v>
      </c>
      <c r="P94" s="40">
        <v>286.00319999999994</v>
      </c>
      <c r="Q94" s="40">
        <v>446.56639999999993</v>
      </c>
      <c r="R94" s="40">
        <v>11309.67039999999</v>
      </c>
      <c r="S94" s="40">
        <v>73056.255999999994</v>
      </c>
      <c r="T94" s="40">
        <v>8248.9343999999983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11876.267999999991</v>
      </c>
      <c r="AB94" s="40">
        <v>0</v>
      </c>
      <c r="AC94" s="40">
        <v>77510.57760107817</v>
      </c>
      <c r="AD94" s="40">
        <v>0</v>
      </c>
      <c r="AE94" s="40">
        <v>10290.046587096755</v>
      </c>
      <c r="AF94" s="40">
        <v>0</v>
      </c>
      <c r="AG94" s="40">
        <v>141970.48000000001</v>
      </c>
      <c r="AH94" s="40">
        <v>0</v>
      </c>
      <c r="AI94" s="40">
        <v>0</v>
      </c>
      <c r="AJ94" s="40">
        <v>0</v>
      </c>
      <c r="AK94" s="40">
        <v>14979.66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717433.24179999996</v>
      </c>
      <c r="AU94" s="40">
        <v>385671.5913881748</v>
      </c>
      <c r="AV94" s="40">
        <v>156950.14000000001</v>
      </c>
      <c r="AW94" s="40">
        <v>216340.33140307813</v>
      </c>
      <c r="AX94" s="56">
        <v>1260054.9731881749</v>
      </c>
      <c r="AY94" s="56">
        <v>1245075.313188175</v>
      </c>
      <c r="AZ94" s="56">
        <v>4955</v>
      </c>
      <c r="BA94" s="56">
        <v>926585</v>
      </c>
      <c r="BB94" s="56">
        <v>0</v>
      </c>
      <c r="BC94" s="56">
        <v>0</v>
      </c>
      <c r="BD94" s="56">
        <v>1260054.9731881749</v>
      </c>
      <c r="BE94" s="40">
        <v>1260054.9731881749</v>
      </c>
      <c r="BF94" s="40">
        <v>0</v>
      </c>
      <c r="BG94" s="56">
        <v>941564.66</v>
      </c>
      <c r="BH94" s="56">
        <v>784614.52</v>
      </c>
      <c r="BI94" s="40">
        <v>1103104.833188175</v>
      </c>
      <c r="BJ94" s="40">
        <v>5898.956327209492</v>
      </c>
      <c r="BK94" s="40">
        <v>6343.1275934010155</v>
      </c>
      <c r="BL94" s="41">
        <v>-7.0024015700647563E-2</v>
      </c>
      <c r="BM94" s="41">
        <v>7.0024015700647563E-2</v>
      </c>
      <c r="BN94" s="40">
        <v>83060.026777814899</v>
      </c>
      <c r="BO94" s="56">
        <v>1343114.9999659897</v>
      </c>
      <c r="BP94" s="56">
        <v>7102.3280212085019</v>
      </c>
      <c r="BQ94" s="56" t="s">
        <v>1006</v>
      </c>
      <c r="BR94" s="56">
        <v>7182.4331548983409</v>
      </c>
      <c r="BS94" s="47">
        <v>5.9671379170249672E-3</v>
      </c>
      <c r="BT94" s="40">
        <v>-4876.96</v>
      </c>
      <c r="BU94" s="40">
        <v>1338238.0399659898</v>
      </c>
      <c r="BV94" s="40">
        <v>0</v>
      </c>
      <c r="BW94" s="40">
        <v>1338238.0399659898</v>
      </c>
      <c r="BX94" s="40">
        <v>14979.66</v>
      </c>
      <c r="BY94" s="40">
        <v>1323258.3799659899</v>
      </c>
    </row>
    <row r="95" spans="1:77">
      <c r="A95">
        <f>_xlfn.XLOOKUP(B95,'Summary Mar 2026'!B:B,'Summary Mar 2026'!A:A,0,0)</f>
        <v>3002</v>
      </c>
      <c r="B95" s="54">
        <v>103397</v>
      </c>
      <c r="C95" s="54">
        <v>3303002</v>
      </c>
      <c r="D95" s="55" t="s">
        <v>94</v>
      </c>
      <c r="E95" s="46">
        <v>199</v>
      </c>
      <c r="F95" s="46">
        <v>199</v>
      </c>
      <c r="G95" s="46">
        <v>0</v>
      </c>
      <c r="H95" s="40">
        <v>763471.73860000004</v>
      </c>
      <c r="I95" s="40">
        <v>0</v>
      </c>
      <c r="J95" s="40">
        <v>0</v>
      </c>
      <c r="K95" s="40">
        <v>51822.239999999976</v>
      </c>
      <c r="L95" s="40">
        <v>0</v>
      </c>
      <c r="M95" s="40">
        <v>110973.97999999997</v>
      </c>
      <c r="N95" s="40">
        <v>0</v>
      </c>
      <c r="O95" s="40">
        <v>1886.6175999999987</v>
      </c>
      <c r="P95" s="40">
        <v>3432.0383999999972</v>
      </c>
      <c r="Q95" s="40">
        <v>4465.663999999997</v>
      </c>
      <c r="R95" s="40">
        <v>6884.1471999999958</v>
      </c>
      <c r="S95" s="40">
        <v>32353.484800000046</v>
      </c>
      <c r="T95" s="40">
        <v>56367.718400000042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31533.634201183424</v>
      </c>
      <c r="AB95" s="40">
        <v>0</v>
      </c>
      <c r="AC95" s="40">
        <v>72098.298072776262</v>
      </c>
      <c r="AD95" s="40">
        <v>0</v>
      </c>
      <c r="AE95" s="40">
        <v>0</v>
      </c>
      <c r="AF95" s="40">
        <v>0</v>
      </c>
      <c r="AG95" s="40">
        <v>141970.48000000001</v>
      </c>
      <c r="AH95" s="40">
        <v>0</v>
      </c>
      <c r="AI95" s="40">
        <v>0</v>
      </c>
      <c r="AJ95" s="40">
        <v>0</v>
      </c>
      <c r="AK95" s="40">
        <v>20015.919999999998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763471.73860000004</v>
      </c>
      <c r="AU95" s="40">
        <v>371817.82267395977</v>
      </c>
      <c r="AV95" s="40">
        <v>161986.40000000002</v>
      </c>
      <c r="AW95" s="40">
        <v>206818.80554677628</v>
      </c>
      <c r="AX95" s="56">
        <v>1297275.9612739598</v>
      </c>
      <c r="AY95" s="56">
        <v>1277260.0412739599</v>
      </c>
      <c r="AZ95" s="56">
        <v>4955</v>
      </c>
      <c r="BA95" s="56">
        <v>986045</v>
      </c>
      <c r="BB95" s="56">
        <v>0</v>
      </c>
      <c r="BC95" s="56">
        <v>0</v>
      </c>
      <c r="BD95" s="56">
        <v>1297275.9612739598</v>
      </c>
      <c r="BE95" s="40">
        <v>1297275.9612739598</v>
      </c>
      <c r="BF95" s="40">
        <v>0</v>
      </c>
      <c r="BG95" s="56">
        <v>1006060.92</v>
      </c>
      <c r="BH95" s="56">
        <v>844074.52</v>
      </c>
      <c r="BI95" s="40">
        <v>1135289.5612739599</v>
      </c>
      <c r="BJ95" s="40">
        <v>5704.9726697183914</v>
      </c>
      <c r="BK95" s="40">
        <v>5876.961139408867</v>
      </c>
      <c r="BL95" s="41">
        <v>-2.9264864206295392E-2</v>
      </c>
      <c r="BM95" s="41">
        <v>2.9264864206295392E-2</v>
      </c>
      <c r="BN95" s="40">
        <v>34225.705468404631</v>
      </c>
      <c r="BO95" s="56">
        <v>1331501.6667423644</v>
      </c>
      <c r="BP95" s="56">
        <v>6590.3806368963042</v>
      </c>
      <c r="BQ95" s="56" t="s">
        <v>1006</v>
      </c>
      <c r="BR95" s="56">
        <v>6690.9631494591176</v>
      </c>
      <c r="BS95" s="47">
        <v>2.4029410960202391E-3</v>
      </c>
      <c r="BT95" s="40">
        <v>-5189.92</v>
      </c>
      <c r="BU95" s="40">
        <v>1326311.7467423645</v>
      </c>
      <c r="BV95" s="40">
        <v>0</v>
      </c>
      <c r="BW95" s="40">
        <v>1326311.7467423645</v>
      </c>
      <c r="BX95" s="40">
        <v>20015.919999999998</v>
      </c>
      <c r="BY95" s="40">
        <v>1306295.8267423646</v>
      </c>
    </row>
    <row r="96" spans="1:77">
      <c r="A96">
        <f>_xlfn.XLOOKUP(B96,'Summary Mar 2026'!B:B,'Summary Mar 2026'!A:A,0,0)</f>
        <v>3003</v>
      </c>
      <c r="B96" s="54">
        <v>103398</v>
      </c>
      <c r="C96" s="54">
        <v>3303003</v>
      </c>
      <c r="D96" s="55" t="s">
        <v>205</v>
      </c>
      <c r="E96" s="46">
        <v>210</v>
      </c>
      <c r="F96" s="46">
        <v>210</v>
      </c>
      <c r="G96" s="46">
        <v>0</v>
      </c>
      <c r="H96" s="40">
        <v>805673.69400000002</v>
      </c>
      <c r="I96" s="40">
        <v>0</v>
      </c>
      <c r="J96" s="40">
        <v>0</v>
      </c>
      <c r="K96" s="40">
        <v>15982.559999999987</v>
      </c>
      <c r="L96" s="40">
        <v>0</v>
      </c>
      <c r="M96" s="40">
        <v>35262.760000000024</v>
      </c>
      <c r="N96" s="40">
        <v>0</v>
      </c>
      <c r="O96" s="40">
        <v>5659.852799999986</v>
      </c>
      <c r="P96" s="40">
        <v>3432.0383999999972</v>
      </c>
      <c r="Q96" s="40">
        <v>1786.2655999999956</v>
      </c>
      <c r="R96" s="40">
        <v>4917.2479999999987</v>
      </c>
      <c r="S96" s="40">
        <v>1043.6607999999997</v>
      </c>
      <c r="T96" s="40">
        <v>1374.8223999999993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6112.7849999999999</v>
      </c>
      <c r="AB96" s="40">
        <v>0</v>
      </c>
      <c r="AC96" s="40">
        <v>48412.326662398249</v>
      </c>
      <c r="AD96" s="40">
        <v>0</v>
      </c>
      <c r="AE96" s="40">
        <v>0</v>
      </c>
      <c r="AF96" s="40">
        <v>0</v>
      </c>
      <c r="AG96" s="40">
        <v>141970.48000000001</v>
      </c>
      <c r="AH96" s="40">
        <v>0</v>
      </c>
      <c r="AI96" s="40">
        <v>0</v>
      </c>
      <c r="AJ96" s="40">
        <v>0</v>
      </c>
      <c r="AK96" s="40">
        <v>49289.7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805673.69400000002</v>
      </c>
      <c r="AU96" s="40">
        <v>123984.31966239824</v>
      </c>
      <c r="AV96" s="40">
        <v>191260.18</v>
      </c>
      <c r="AW96" s="40">
        <v>113701.32624239825</v>
      </c>
      <c r="AX96" s="56">
        <v>1120918.1936623983</v>
      </c>
      <c r="AY96" s="56">
        <v>1071628.4936623983</v>
      </c>
      <c r="AZ96" s="56">
        <v>4955</v>
      </c>
      <c r="BA96" s="56">
        <v>1040550</v>
      </c>
      <c r="BB96" s="56">
        <v>0</v>
      </c>
      <c r="BC96" s="56">
        <v>0</v>
      </c>
      <c r="BD96" s="56">
        <v>1120918.1936623983</v>
      </c>
      <c r="BE96" s="40">
        <v>1120918.1936623983</v>
      </c>
      <c r="BF96" s="40">
        <v>0</v>
      </c>
      <c r="BG96" s="56">
        <v>1089839.7</v>
      </c>
      <c r="BH96" s="56">
        <v>898579.52</v>
      </c>
      <c r="BI96" s="40">
        <v>929658.01366239833</v>
      </c>
      <c r="BJ96" s="40">
        <v>4426.9429222018971</v>
      </c>
      <c r="BK96" s="40">
        <v>4440.0896784689003</v>
      </c>
      <c r="BL96" s="41">
        <v>-2.960921336961971E-3</v>
      </c>
      <c r="BM96" s="41">
        <v>2.960921336961971E-3</v>
      </c>
      <c r="BN96" s="40">
        <v>2760.8188160706686</v>
      </c>
      <c r="BO96" s="56">
        <v>1123679.0124784689</v>
      </c>
      <c r="BP96" s="56">
        <v>5116.1395832308044</v>
      </c>
      <c r="BQ96" s="56" t="s">
        <v>1006</v>
      </c>
      <c r="BR96" s="56">
        <v>5350.8524403736619</v>
      </c>
      <c r="BS96" s="47">
        <v>-8.1373399669326663E-4</v>
      </c>
      <c r="BT96" s="40">
        <v>-5476.7999999999993</v>
      </c>
      <c r="BU96" s="40">
        <v>1118202.2124784689</v>
      </c>
      <c r="BV96" s="40">
        <v>0</v>
      </c>
      <c r="BW96" s="40">
        <v>1118202.2124784689</v>
      </c>
      <c r="BX96" s="40">
        <v>49289.7</v>
      </c>
      <c r="BY96" s="40">
        <v>1068912.5124784689</v>
      </c>
    </row>
    <row r="97" spans="1:77">
      <c r="A97">
        <f>_xlfn.XLOOKUP(B97,'Summary Mar 2026'!B:B,'Summary Mar 2026'!A:A,0,0)</f>
        <v>3010</v>
      </c>
      <c r="B97" s="54">
        <v>103401</v>
      </c>
      <c r="C97" s="54">
        <v>3303010</v>
      </c>
      <c r="D97" s="55" t="s">
        <v>275</v>
      </c>
      <c r="E97" s="46">
        <v>420</v>
      </c>
      <c r="F97" s="46">
        <v>420</v>
      </c>
      <c r="G97" s="46">
        <v>0</v>
      </c>
      <c r="H97" s="40">
        <v>1611347.388</v>
      </c>
      <c r="I97" s="40">
        <v>0</v>
      </c>
      <c r="J97" s="40">
        <v>0</v>
      </c>
      <c r="K97" s="40">
        <v>88630.560000000056</v>
      </c>
      <c r="L97" s="40">
        <v>0</v>
      </c>
      <c r="M97" s="40">
        <v>194982.32000000018</v>
      </c>
      <c r="N97" s="40">
        <v>0</v>
      </c>
      <c r="O97" s="40">
        <v>6838.9888000000046</v>
      </c>
      <c r="P97" s="40">
        <v>4290.047999999998</v>
      </c>
      <c r="Q97" s="40">
        <v>73683.45600000002</v>
      </c>
      <c r="R97" s="40">
        <v>65399.398400000071</v>
      </c>
      <c r="S97" s="40">
        <v>30266.163199999981</v>
      </c>
      <c r="T97" s="40">
        <v>8248.9344000000074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82188.705882353039</v>
      </c>
      <c r="AB97" s="40">
        <v>0</v>
      </c>
      <c r="AC97" s="40">
        <v>243444.3815028902</v>
      </c>
      <c r="AD97" s="40">
        <v>0</v>
      </c>
      <c r="AE97" s="40">
        <v>0</v>
      </c>
      <c r="AF97" s="40">
        <v>0</v>
      </c>
      <c r="AG97" s="40">
        <v>141970.48000000001</v>
      </c>
      <c r="AH97" s="40">
        <v>0</v>
      </c>
      <c r="AI97" s="40">
        <v>0</v>
      </c>
      <c r="AJ97" s="40">
        <v>0</v>
      </c>
      <c r="AK97" s="40">
        <v>15367.06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1611347.388</v>
      </c>
      <c r="AU97" s="40">
        <v>797972.95618524356</v>
      </c>
      <c r="AV97" s="40">
        <v>157337.54</v>
      </c>
      <c r="AW97" s="40">
        <v>494054.10367089033</v>
      </c>
      <c r="AX97" s="56">
        <v>2566657.8841852434</v>
      </c>
      <c r="AY97" s="56">
        <v>2551290.8241852433</v>
      </c>
      <c r="AZ97" s="56">
        <v>4955</v>
      </c>
      <c r="BA97" s="56">
        <v>2081100</v>
      </c>
      <c r="BB97" s="56">
        <v>0</v>
      </c>
      <c r="BC97" s="56">
        <v>0</v>
      </c>
      <c r="BD97" s="56">
        <v>2566657.8841852434</v>
      </c>
      <c r="BE97" s="40">
        <v>2566657.8841852434</v>
      </c>
      <c r="BF97" s="40">
        <v>0</v>
      </c>
      <c r="BG97" s="56">
        <v>2096467.06</v>
      </c>
      <c r="BH97" s="56">
        <v>1939129.52</v>
      </c>
      <c r="BI97" s="40">
        <v>2409320.3441852434</v>
      </c>
      <c r="BJ97" s="40">
        <v>5736.4770099648649</v>
      </c>
      <c r="BK97" s="40">
        <v>5780.8178348448682</v>
      </c>
      <c r="BL97" s="41">
        <v>-7.6703376834902845E-3</v>
      </c>
      <c r="BM97" s="41">
        <v>7.6703376834902845E-3</v>
      </c>
      <c r="BN97" s="40">
        <v>18623.14644960139</v>
      </c>
      <c r="BO97" s="56">
        <v>2585281.0306348447</v>
      </c>
      <c r="BP97" s="56">
        <v>6118.8427872258208</v>
      </c>
      <c r="BQ97" s="56" t="s">
        <v>1006</v>
      </c>
      <c r="BR97" s="56">
        <v>6155.4310253210588</v>
      </c>
      <c r="BS97" s="47">
        <v>-1.4522704383479468E-4</v>
      </c>
      <c r="BT97" s="40">
        <v>-10953.599999999999</v>
      </c>
      <c r="BU97" s="40">
        <v>2574327.4306348446</v>
      </c>
      <c r="BV97" s="40">
        <v>0</v>
      </c>
      <c r="BW97" s="40">
        <v>2574327.4306348446</v>
      </c>
      <c r="BX97" s="40">
        <v>15367.06</v>
      </c>
      <c r="BY97" s="40">
        <v>2558960.3706348445</v>
      </c>
    </row>
    <row r="98" spans="1:77">
      <c r="A98">
        <f>_xlfn.XLOOKUP(B98,'Summary Mar 2026'!B:B,'Summary Mar 2026'!A:A,0,0)</f>
        <v>3016</v>
      </c>
      <c r="B98" s="54">
        <v>103404</v>
      </c>
      <c r="C98" s="54">
        <v>3303016</v>
      </c>
      <c r="D98" s="55" t="s">
        <v>291</v>
      </c>
      <c r="E98" s="46">
        <v>204</v>
      </c>
      <c r="F98" s="46">
        <v>204</v>
      </c>
      <c r="G98" s="46">
        <v>0</v>
      </c>
      <c r="H98" s="40">
        <v>782654.44559999998</v>
      </c>
      <c r="I98" s="40">
        <v>0</v>
      </c>
      <c r="J98" s="40">
        <v>0</v>
      </c>
      <c r="K98" s="40">
        <v>62961.599999999969</v>
      </c>
      <c r="L98" s="40">
        <v>0</v>
      </c>
      <c r="M98" s="40">
        <v>140013.90000000005</v>
      </c>
      <c r="N98" s="40">
        <v>0</v>
      </c>
      <c r="O98" s="40">
        <v>0</v>
      </c>
      <c r="P98" s="40">
        <v>858.00960000000134</v>
      </c>
      <c r="Q98" s="40">
        <v>893.13279999999997</v>
      </c>
      <c r="R98" s="40">
        <v>3933.7984000000001</v>
      </c>
      <c r="S98" s="40">
        <v>97060.454400000031</v>
      </c>
      <c r="T98" s="40">
        <v>1374.8224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51605.212142857192</v>
      </c>
      <c r="AB98" s="40">
        <v>0</v>
      </c>
      <c r="AC98" s="40">
        <v>64410.560441379261</v>
      </c>
      <c r="AD98" s="40">
        <v>0</v>
      </c>
      <c r="AE98" s="40">
        <v>0</v>
      </c>
      <c r="AF98" s="40">
        <v>0</v>
      </c>
      <c r="AG98" s="40">
        <v>141970.48000000001</v>
      </c>
      <c r="AH98" s="40">
        <v>0</v>
      </c>
      <c r="AI98" s="40">
        <v>0</v>
      </c>
      <c r="AJ98" s="40">
        <v>0</v>
      </c>
      <c r="AK98" s="40">
        <v>15625.33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782654.44559999998</v>
      </c>
      <c r="AU98" s="40">
        <v>423111.49018423649</v>
      </c>
      <c r="AV98" s="40">
        <v>157595.81</v>
      </c>
      <c r="AW98" s="40">
        <v>214097.74105737929</v>
      </c>
      <c r="AX98" s="56">
        <v>1363361.7457842366</v>
      </c>
      <c r="AY98" s="56">
        <v>1347736.4157842365</v>
      </c>
      <c r="AZ98" s="56">
        <v>4955</v>
      </c>
      <c r="BA98" s="56">
        <v>1010820</v>
      </c>
      <c r="BB98" s="56">
        <v>0</v>
      </c>
      <c r="BC98" s="56">
        <v>0</v>
      </c>
      <c r="BD98" s="56">
        <v>1363361.7457842366</v>
      </c>
      <c r="BE98" s="40">
        <v>1363361.7457842364</v>
      </c>
      <c r="BF98" s="40">
        <v>0</v>
      </c>
      <c r="BG98" s="56">
        <v>1026445.33</v>
      </c>
      <c r="BH98" s="56">
        <v>868849.52</v>
      </c>
      <c r="BI98" s="40">
        <v>1205765.9357842365</v>
      </c>
      <c r="BJ98" s="40">
        <v>5910.6173322756695</v>
      </c>
      <c r="BK98" s="40">
        <v>6275.8234928571428</v>
      </c>
      <c r="BL98" s="41">
        <v>-5.8192548116933883E-2</v>
      </c>
      <c r="BM98" s="41">
        <v>5.8192548116933883E-2</v>
      </c>
      <c r="BN98" s="40">
        <v>74502.056758620558</v>
      </c>
      <c r="BO98" s="56">
        <v>1437863.8025428571</v>
      </c>
      <c r="BP98" s="56">
        <v>6971.7572183473385</v>
      </c>
      <c r="BQ98" s="56" t="s">
        <v>1006</v>
      </c>
      <c r="BR98" s="56">
        <v>7048.3519732492996</v>
      </c>
      <c r="BS98" s="47">
        <v>3.1413839388838571E-3</v>
      </c>
      <c r="BT98" s="40">
        <v>-5320.32</v>
      </c>
      <c r="BU98" s="40">
        <v>1432543.4825428571</v>
      </c>
      <c r="BV98" s="40">
        <v>0</v>
      </c>
      <c r="BW98" s="40">
        <v>1432543.4825428571</v>
      </c>
      <c r="BX98" s="40">
        <v>15625.33</v>
      </c>
      <c r="BY98" s="40">
        <v>1416918.152542857</v>
      </c>
    </row>
    <row r="99" spans="1:77">
      <c r="A99">
        <f>_xlfn.XLOOKUP(B99,'Summary Mar 2026'!B:B,'Summary Mar 2026'!A:A,0,0)</f>
        <v>3019</v>
      </c>
      <c r="B99" s="54">
        <v>103406</v>
      </c>
      <c r="C99" s="54">
        <v>3303019</v>
      </c>
      <c r="D99" s="55" t="s">
        <v>297</v>
      </c>
      <c r="E99" s="46">
        <v>407</v>
      </c>
      <c r="F99" s="46">
        <v>407</v>
      </c>
      <c r="G99" s="46">
        <v>0</v>
      </c>
      <c r="H99" s="40">
        <v>1561472.3498</v>
      </c>
      <c r="I99" s="40">
        <v>0</v>
      </c>
      <c r="J99" s="40">
        <v>0</v>
      </c>
      <c r="K99" s="40">
        <v>101707.20000000001</v>
      </c>
      <c r="L99" s="40">
        <v>0</v>
      </c>
      <c r="M99" s="40">
        <v>220910.81999999983</v>
      </c>
      <c r="N99" s="40">
        <v>0</v>
      </c>
      <c r="O99" s="40">
        <v>475.15678415841575</v>
      </c>
      <c r="P99" s="40">
        <v>37456.508198019823</v>
      </c>
      <c r="Q99" s="40">
        <v>2249.4124356435682</v>
      </c>
      <c r="R99" s="40">
        <v>46069.988625742531</v>
      </c>
      <c r="S99" s="40">
        <v>88318.503540594102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118134.06908831917</v>
      </c>
      <c r="AB99" s="40">
        <v>0</v>
      </c>
      <c r="AC99" s="40">
        <v>173044.16812500724</v>
      </c>
      <c r="AD99" s="40">
        <v>0</v>
      </c>
      <c r="AE99" s="40">
        <v>0</v>
      </c>
      <c r="AF99" s="40">
        <v>0</v>
      </c>
      <c r="AG99" s="40">
        <v>141970.48000000001</v>
      </c>
      <c r="AH99" s="40">
        <v>0</v>
      </c>
      <c r="AI99" s="40">
        <v>0</v>
      </c>
      <c r="AJ99" s="40">
        <v>0</v>
      </c>
      <c r="AK99" s="40">
        <v>27824.83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1561472.3498</v>
      </c>
      <c r="AU99" s="40">
        <v>788365.82679748465</v>
      </c>
      <c r="AV99" s="40">
        <v>169795.31</v>
      </c>
      <c r="AW99" s="40">
        <v>430105.31786530424</v>
      </c>
      <c r="AX99" s="56">
        <v>2519633.4865974844</v>
      </c>
      <c r="AY99" s="56">
        <v>2491808.6565974844</v>
      </c>
      <c r="AZ99" s="56">
        <v>4955</v>
      </c>
      <c r="BA99" s="56">
        <v>2016685</v>
      </c>
      <c r="BB99" s="56">
        <v>0</v>
      </c>
      <c r="BC99" s="56">
        <v>0</v>
      </c>
      <c r="BD99" s="56">
        <v>2519633.4865974844</v>
      </c>
      <c r="BE99" s="40">
        <v>2519633.4865974849</v>
      </c>
      <c r="BF99" s="40">
        <v>0</v>
      </c>
      <c r="BG99" s="56">
        <v>2044509.83</v>
      </c>
      <c r="BH99" s="56">
        <v>1874714.52</v>
      </c>
      <c r="BI99" s="40">
        <v>2349838.1765974844</v>
      </c>
      <c r="BJ99" s="40">
        <v>5773.5581734581929</v>
      </c>
      <c r="BK99" s="40">
        <v>5675.6493254320985</v>
      </c>
      <c r="BL99" s="41">
        <v>1.7250686646085266E-2</v>
      </c>
      <c r="BM99" s="41">
        <v>0</v>
      </c>
      <c r="BN99" s="40">
        <v>0</v>
      </c>
      <c r="BO99" s="56">
        <v>2519633.4865974844</v>
      </c>
      <c r="BP99" s="56">
        <v>6122.3799916400103</v>
      </c>
      <c r="BQ99" s="56" t="s">
        <v>1006</v>
      </c>
      <c r="BR99" s="56">
        <v>6190.7456673156867</v>
      </c>
      <c r="BS99" s="47">
        <v>1.5726051285419373E-2</v>
      </c>
      <c r="BT99" s="40">
        <v>-10614.56</v>
      </c>
      <c r="BU99" s="40">
        <v>2509018.9265974844</v>
      </c>
      <c r="BV99" s="40">
        <v>0</v>
      </c>
      <c r="BW99" s="40">
        <v>2509018.9265974844</v>
      </c>
      <c r="BX99" s="40">
        <v>27824.83</v>
      </c>
      <c r="BY99" s="40">
        <v>2481194.0965974843</v>
      </c>
    </row>
    <row r="100" spans="1:77">
      <c r="A100">
        <f>_xlfn.XLOOKUP(B100,'Summary Mar 2026'!B:B,'Summary Mar 2026'!A:A,0,0)</f>
        <v>3025</v>
      </c>
      <c r="B100" s="54">
        <v>103410</v>
      </c>
      <c r="C100" s="54">
        <v>3303025</v>
      </c>
      <c r="D100" s="55" t="s">
        <v>289</v>
      </c>
      <c r="E100" s="46">
        <v>411</v>
      </c>
      <c r="F100" s="46">
        <v>411</v>
      </c>
      <c r="G100" s="46">
        <v>0</v>
      </c>
      <c r="H100" s="40">
        <v>1576818.5153999999</v>
      </c>
      <c r="I100" s="40">
        <v>0</v>
      </c>
      <c r="J100" s="40">
        <v>0</v>
      </c>
      <c r="K100" s="40">
        <v>47947.679999999971</v>
      </c>
      <c r="L100" s="40">
        <v>0</v>
      </c>
      <c r="M100" s="40">
        <v>103714</v>
      </c>
      <c r="N100" s="40">
        <v>0</v>
      </c>
      <c r="O100" s="40">
        <v>14621.286400000017</v>
      </c>
      <c r="P100" s="40">
        <v>4004.0447999999997</v>
      </c>
      <c r="Q100" s="40">
        <v>26793.983999999997</v>
      </c>
      <c r="R100" s="40">
        <v>7375.8719999999994</v>
      </c>
      <c r="S100" s="40">
        <v>55314.022399999914</v>
      </c>
      <c r="T100" s="40">
        <v>7561.5231999999996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54161.827306590341</v>
      </c>
      <c r="AB100" s="40">
        <v>0</v>
      </c>
      <c r="AC100" s="40">
        <v>168385.47447272725</v>
      </c>
      <c r="AD100" s="40">
        <v>0</v>
      </c>
      <c r="AE100" s="40">
        <v>0</v>
      </c>
      <c r="AF100" s="40">
        <v>0</v>
      </c>
      <c r="AG100" s="40">
        <v>141970.48000000001</v>
      </c>
      <c r="AH100" s="40">
        <v>0</v>
      </c>
      <c r="AI100" s="40">
        <v>0</v>
      </c>
      <c r="AJ100" s="40">
        <v>0</v>
      </c>
      <c r="AK100" s="40">
        <v>5126.12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1576818.5153999999</v>
      </c>
      <c r="AU100" s="40">
        <v>489879.71457931749</v>
      </c>
      <c r="AV100" s="40">
        <v>147096.6</v>
      </c>
      <c r="AW100" s="40">
        <v>343466.06885072717</v>
      </c>
      <c r="AX100" s="56">
        <v>2213794.8299793173</v>
      </c>
      <c r="AY100" s="56">
        <v>2208668.7099793172</v>
      </c>
      <c r="AZ100" s="56">
        <v>4955</v>
      </c>
      <c r="BA100" s="56">
        <v>2036505</v>
      </c>
      <c r="BB100" s="56">
        <v>0</v>
      </c>
      <c r="BC100" s="56">
        <v>0</v>
      </c>
      <c r="BD100" s="56">
        <v>2213794.8299793173</v>
      </c>
      <c r="BE100" s="40">
        <v>2213794.8299793173</v>
      </c>
      <c r="BF100" s="40">
        <v>0</v>
      </c>
      <c r="BG100" s="56">
        <v>2041631.12</v>
      </c>
      <c r="BH100" s="56">
        <v>1894534.52</v>
      </c>
      <c r="BI100" s="40">
        <v>2066698.2299793172</v>
      </c>
      <c r="BJ100" s="40">
        <v>5028.4628466650056</v>
      </c>
      <c r="BK100" s="40">
        <v>5027.6840272952859</v>
      </c>
      <c r="BL100" s="41">
        <v>1.54906188513738E-4</v>
      </c>
      <c r="BM100" s="41">
        <v>0</v>
      </c>
      <c r="BN100" s="40">
        <v>0</v>
      </c>
      <c r="BO100" s="56">
        <v>2213794.8299793173</v>
      </c>
      <c r="BP100" s="56">
        <v>5373.889805302475</v>
      </c>
      <c r="BQ100" s="56" t="s">
        <v>1006</v>
      </c>
      <c r="BR100" s="56">
        <v>5386.3621167379979</v>
      </c>
      <c r="BS100" s="47">
        <v>-1.1730477979672305E-3</v>
      </c>
      <c r="BT100" s="40">
        <v>-10718.88</v>
      </c>
      <c r="BU100" s="40">
        <v>2203075.9499793174</v>
      </c>
      <c r="BV100" s="40">
        <v>0</v>
      </c>
      <c r="BW100" s="40">
        <v>2203075.9499793174</v>
      </c>
      <c r="BX100" s="40">
        <v>5126.12</v>
      </c>
      <c r="BY100" s="40">
        <v>2197949.8299793173</v>
      </c>
    </row>
    <row r="101" spans="1:77">
      <c r="A101">
        <f>_xlfn.XLOOKUP(B101,'Summary Mar 2026'!B:B,'Summary Mar 2026'!A:A,0,0)</f>
        <v>3307</v>
      </c>
      <c r="B101" s="54">
        <v>103416</v>
      </c>
      <c r="C101" s="54">
        <v>3303307</v>
      </c>
      <c r="D101" s="55" t="s">
        <v>283</v>
      </c>
      <c r="E101" s="46">
        <v>358</v>
      </c>
      <c r="F101" s="46">
        <v>358</v>
      </c>
      <c r="G101" s="46">
        <v>0</v>
      </c>
      <c r="H101" s="40">
        <v>1373481.8212000001</v>
      </c>
      <c r="I101" s="40">
        <v>0</v>
      </c>
      <c r="J101" s="40">
        <v>0</v>
      </c>
      <c r="K101" s="40">
        <v>43104.479999999952</v>
      </c>
      <c r="L101" s="40">
        <v>0</v>
      </c>
      <c r="M101" s="40">
        <v>92305.459999999905</v>
      </c>
      <c r="N101" s="40">
        <v>0</v>
      </c>
      <c r="O101" s="40">
        <v>3065.7536000000023</v>
      </c>
      <c r="P101" s="40">
        <v>14014.156799999973</v>
      </c>
      <c r="Q101" s="40">
        <v>6698.4959999999955</v>
      </c>
      <c r="R101" s="40">
        <v>15243.468799999997</v>
      </c>
      <c r="S101" s="40">
        <v>18264.063999999998</v>
      </c>
      <c r="T101" s="40">
        <v>42619.494399999894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5838.0072829131614</v>
      </c>
      <c r="AB101" s="40">
        <v>0</v>
      </c>
      <c r="AC101" s="40">
        <v>120909.0304003878</v>
      </c>
      <c r="AD101" s="40">
        <v>0</v>
      </c>
      <c r="AE101" s="40">
        <v>0</v>
      </c>
      <c r="AF101" s="40">
        <v>0</v>
      </c>
      <c r="AG101" s="40">
        <v>141970.48000000001</v>
      </c>
      <c r="AH101" s="40">
        <v>0</v>
      </c>
      <c r="AI101" s="40">
        <v>0</v>
      </c>
      <c r="AJ101" s="40">
        <v>0</v>
      </c>
      <c r="AK101" s="40">
        <v>4398.9799999999996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1373481.8212000001</v>
      </c>
      <c r="AU101" s="40">
        <v>362062.41128330067</v>
      </c>
      <c r="AV101" s="40">
        <v>146369.46000000002</v>
      </c>
      <c r="AW101" s="40">
        <v>274296.65595638775</v>
      </c>
      <c r="AX101" s="56">
        <v>1881913.6924833008</v>
      </c>
      <c r="AY101" s="56">
        <v>1877514.7124833008</v>
      </c>
      <c r="AZ101" s="56">
        <v>4955</v>
      </c>
      <c r="BA101" s="56">
        <v>1773890</v>
      </c>
      <c r="BB101" s="56">
        <v>0</v>
      </c>
      <c r="BC101" s="56">
        <v>0</v>
      </c>
      <c r="BD101" s="56">
        <v>1881913.6924833008</v>
      </c>
      <c r="BE101" s="40">
        <v>1881913.6924833008</v>
      </c>
      <c r="BF101" s="40">
        <v>0</v>
      </c>
      <c r="BG101" s="56">
        <v>1778288.98</v>
      </c>
      <c r="BH101" s="56">
        <v>1631919.52</v>
      </c>
      <c r="BI101" s="40">
        <v>1735544.2324833008</v>
      </c>
      <c r="BJ101" s="40">
        <v>4847.8889175511194</v>
      </c>
      <c r="BK101" s="40">
        <v>4752.5075036011085</v>
      </c>
      <c r="BL101" s="41">
        <v>2.0069702967904366E-2</v>
      </c>
      <c r="BM101" s="41">
        <v>0</v>
      </c>
      <c r="BN101" s="40">
        <v>0</v>
      </c>
      <c r="BO101" s="56">
        <v>1881913.6924833008</v>
      </c>
      <c r="BP101" s="56">
        <v>5244.4545041432984</v>
      </c>
      <c r="BQ101" s="56" t="s">
        <v>1006</v>
      </c>
      <c r="BR101" s="56">
        <v>5256.7421577745836</v>
      </c>
      <c r="BS101" s="47">
        <v>1.9150793624880036E-2</v>
      </c>
      <c r="BT101" s="40">
        <v>-9336.64</v>
      </c>
      <c r="BU101" s="40">
        <v>1872577.0524833009</v>
      </c>
      <c r="BV101" s="40">
        <v>0</v>
      </c>
      <c r="BW101" s="40">
        <v>1872577.0524833009</v>
      </c>
      <c r="BX101" s="40">
        <v>4398.9799999999996</v>
      </c>
      <c r="BY101" s="40">
        <v>1868178.0724833009</v>
      </c>
    </row>
    <row r="102" spans="1:77">
      <c r="A102">
        <f>_xlfn.XLOOKUP(B102,'Summary Mar 2026'!B:B,'Summary Mar 2026'!A:A,0,0)</f>
        <v>3310</v>
      </c>
      <c r="B102" s="54">
        <v>103417</v>
      </c>
      <c r="C102" s="54">
        <v>3303310</v>
      </c>
      <c r="D102" s="55" t="s">
        <v>425</v>
      </c>
      <c r="E102" s="46">
        <v>200</v>
      </c>
      <c r="F102" s="46">
        <v>200</v>
      </c>
      <c r="G102" s="46">
        <v>0</v>
      </c>
      <c r="H102" s="40">
        <v>767308.28</v>
      </c>
      <c r="I102" s="40">
        <v>0</v>
      </c>
      <c r="J102" s="40">
        <v>0</v>
      </c>
      <c r="K102" s="40">
        <v>66836.160000000003</v>
      </c>
      <c r="L102" s="40">
        <v>0</v>
      </c>
      <c r="M102" s="40">
        <v>146236.74000000002</v>
      </c>
      <c r="N102" s="40">
        <v>0</v>
      </c>
      <c r="O102" s="40">
        <v>0</v>
      </c>
      <c r="P102" s="40">
        <v>858.00959999999998</v>
      </c>
      <c r="Q102" s="40">
        <v>2679.3984</v>
      </c>
      <c r="R102" s="40">
        <v>4425.5232000000005</v>
      </c>
      <c r="S102" s="40">
        <v>90798.489600000015</v>
      </c>
      <c r="T102" s="40">
        <v>2062.2336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39031.852272727301</v>
      </c>
      <c r="AB102" s="40">
        <v>0</v>
      </c>
      <c r="AC102" s="40">
        <v>88784.91749267072</v>
      </c>
      <c r="AD102" s="40">
        <v>0</v>
      </c>
      <c r="AE102" s="40">
        <v>0</v>
      </c>
      <c r="AF102" s="40">
        <v>0</v>
      </c>
      <c r="AG102" s="40">
        <v>141970.48000000001</v>
      </c>
      <c r="AH102" s="40">
        <v>0</v>
      </c>
      <c r="AI102" s="40">
        <v>0</v>
      </c>
      <c r="AJ102" s="40">
        <v>0</v>
      </c>
      <c r="AK102" s="40">
        <v>3974.98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767308.28</v>
      </c>
      <c r="AU102" s="40">
        <v>441713.32416539802</v>
      </c>
      <c r="AV102" s="40">
        <v>145945.46000000002</v>
      </c>
      <c r="AW102" s="40">
        <v>240153.09107667074</v>
      </c>
      <c r="AX102" s="56">
        <v>1354967.064165398</v>
      </c>
      <c r="AY102" s="56">
        <v>1350992.084165398</v>
      </c>
      <c r="AZ102" s="56">
        <v>4955</v>
      </c>
      <c r="BA102" s="56">
        <v>991000</v>
      </c>
      <c r="BB102" s="56">
        <v>0</v>
      </c>
      <c r="BC102" s="56">
        <v>0</v>
      </c>
      <c r="BD102" s="56">
        <v>1354967.064165398</v>
      </c>
      <c r="BE102" s="40">
        <v>1354967.064165398</v>
      </c>
      <c r="BF102" s="40">
        <v>0</v>
      </c>
      <c r="BG102" s="56">
        <v>994974.98</v>
      </c>
      <c r="BH102" s="56">
        <v>849029.52</v>
      </c>
      <c r="BI102" s="40">
        <v>1209021.6041653981</v>
      </c>
      <c r="BJ102" s="40">
        <v>6045.1080208269905</v>
      </c>
      <c r="BK102" s="40">
        <v>6017.283064114833</v>
      </c>
      <c r="BL102" s="41">
        <v>4.6241728061783708E-3</v>
      </c>
      <c r="BM102" s="41">
        <v>0</v>
      </c>
      <c r="BN102" s="40">
        <v>0</v>
      </c>
      <c r="BO102" s="56">
        <v>1354967.064165398</v>
      </c>
      <c r="BP102" s="56">
        <v>6754.9604208269902</v>
      </c>
      <c r="BQ102" s="56" t="s">
        <v>1006</v>
      </c>
      <c r="BR102" s="56">
        <v>6774.83532082699</v>
      </c>
      <c r="BS102" s="47">
        <v>8.8225531127903434E-3</v>
      </c>
      <c r="BT102" s="40">
        <v>-5216</v>
      </c>
      <c r="BU102" s="40">
        <v>1349751.064165398</v>
      </c>
      <c r="BV102" s="40">
        <v>0</v>
      </c>
      <c r="BW102" s="40">
        <v>1349751.064165398</v>
      </c>
      <c r="BX102" s="40">
        <v>3974.98</v>
      </c>
      <c r="BY102" s="40">
        <v>1345776.084165398</v>
      </c>
    </row>
    <row r="103" spans="1:77">
      <c r="A103">
        <f>_xlfn.XLOOKUP(B103,'Summary Mar 2026'!B:B,'Summary Mar 2026'!A:A,0,0)</f>
        <v>3317</v>
      </c>
      <c r="B103" s="54">
        <v>103421</v>
      </c>
      <c r="C103" s="54">
        <v>3303317</v>
      </c>
      <c r="D103" s="55" t="s">
        <v>165</v>
      </c>
      <c r="E103" s="46">
        <v>207</v>
      </c>
      <c r="F103" s="46">
        <v>207</v>
      </c>
      <c r="G103" s="46">
        <v>0</v>
      </c>
      <c r="H103" s="40">
        <v>794164.06980000006</v>
      </c>
      <c r="I103" s="40">
        <v>0</v>
      </c>
      <c r="J103" s="40">
        <v>0</v>
      </c>
      <c r="K103" s="40">
        <v>50853.599999999977</v>
      </c>
      <c r="L103" s="40">
        <v>0</v>
      </c>
      <c r="M103" s="40">
        <v>110973.97999999991</v>
      </c>
      <c r="N103" s="40">
        <v>0</v>
      </c>
      <c r="O103" s="40">
        <v>235.82720000000026</v>
      </c>
      <c r="P103" s="40">
        <v>16302.182400000016</v>
      </c>
      <c r="Q103" s="40">
        <v>30366.51519999998</v>
      </c>
      <c r="R103" s="40">
        <v>33437.286399999983</v>
      </c>
      <c r="S103" s="40">
        <v>3652.8127999999956</v>
      </c>
      <c r="T103" s="40">
        <v>2062.2335999999996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44254.78728813558</v>
      </c>
      <c r="AB103" s="40">
        <v>0</v>
      </c>
      <c r="AC103" s="40">
        <v>99474.790362844738</v>
      </c>
      <c r="AD103" s="40">
        <v>0</v>
      </c>
      <c r="AE103" s="40">
        <v>12941.269811650545</v>
      </c>
      <c r="AF103" s="40">
        <v>0</v>
      </c>
      <c r="AG103" s="40">
        <v>141970.48000000001</v>
      </c>
      <c r="AH103" s="40">
        <v>0</v>
      </c>
      <c r="AI103" s="40">
        <v>0</v>
      </c>
      <c r="AJ103" s="40">
        <v>0</v>
      </c>
      <c r="AK103" s="40">
        <v>5246.96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794164.06980000006</v>
      </c>
      <c r="AU103" s="40">
        <v>404555.28506263072</v>
      </c>
      <c r="AV103" s="40">
        <v>147217.44</v>
      </c>
      <c r="AW103" s="40">
        <v>228421.3913888447</v>
      </c>
      <c r="AX103" s="56">
        <v>1345936.7948626308</v>
      </c>
      <c r="AY103" s="56">
        <v>1340689.8348626308</v>
      </c>
      <c r="AZ103" s="56">
        <v>4955</v>
      </c>
      <c r="BA103" s="56">
        <v>1025685</v>
      </c>
      <c r="BB103" s="56">
        <v>0</v>
      </c>
      <c r="BC103" s="56">
        <v>0</v>
      </c>
      <c r="BD103" s="56">
        <v>1345936.7948626308</v>
      </c>
      <c r="BE103" s="40">
        <v>1345936.7948626308</v>
      </c>
      <c r="BF103" s="40">
        <v>0</v>
      </c>
      <c r="BG103" s="56">
        <v>1030931.96</v>
      </c>
      <c r="BH103" s="56">
        <v>883714.52</v>
      </c>
      <c r="BI103" s="40">
        <v>1198719.3548626308</v>
      </c>
      <c r="BJ103" s="40">
        <v>5790.9147577904869</v>
      </c>
      <c r="BK103" s="40">
        <v>5780.728101030928</v>
      </c>
      <c r="BL103" s="41">
        <v>1.7621753837102673E-3</v>
      </c>
      <c r="BM103" s="41">
        <v>0</v>
      </c>
      <c r="BN103" s="40">
        <v>0</v>
      </c>
      <c r="BO103" s="56">
        <v>1345936.7948626308</v>
      </c>
      <c r="BP103" s="56">
        <v>6476.7624872590859</v>
      </c>
      <c r="BQ103" s="56" t="s">
        <v>1006</v>
      </c>
      <c r="BR103" s="56">
        <v>6502.110120109327</v>
      </c>
      <c r="BS103" s="47">
        <v>-5.7298418795249662E-3</v>
      </c>
      <c r="BT103" s="40">
        <v>-5398.5599999999995</v>
      </c>
      <c r="BU103" s="40">
        <v>1340538.2348626307</v>
      </c>
      <c r="BV103" s="40">
        <v>0</v>
      </c>
      <c r="BW103" s="40">
        <v>1340538.2348626307</v>
      </c>
      <c r="BX103" s="40">
        <v>5246.96</v>
      </c>
      <c r="BY103" s="40">
        <v>1335291.2748626308</v>
      </c>
    </row>
    <row r="104" spans="1:77">
      <c r="A104">
        <f>_xlfn.XLOOKUP(B104,'Summary Mar 2026'!B:B,'Summary Mar 2026'!A:A,0,0)</f>
        <v>3319</v>
      </c>
      <c r="B104" s="54">
        <v>103423</v>
      </c>
      <c r="C104" s="54">
        <v>3303319</v>
      </c>
      <c r="D104" s="55" t="s">
        <v>96</v>
      </c>
      <c r="E104" s="46">
        <v>362</v>
      </c>
      <c r="F104" s="46">
        <v>362</v>
      </c>
      <c r="G104" s="46">
        <v>0</v>
      </c>
      <c r="H104" s="40">
        <v>1388827.9868000001</v>
      </c>
      <c r="I104" s="40">
        <v>0</v>
      </c>
      <c r="J104" s="40">
        <v>0</v>
      </c>
      <c r="K104" s="40">
        <v>78459.839999999967</v>
      </c>
      <c r="L104" s="40">
        <v>0</v>
      </c>
      <c r="M104" s="40">
        <v>170090.95999999996</v>
      </c>
      <c r="N104" s="40">
        <v>0</v>
      </c>
      <c r="O104" s="40">
        <v>3773.2351999999992</v>
      </c>
      <c r="P104" s="40">
        <v>3718.041600000005</v>
      </c>
      <c r="Q104" s="40">
        <v>8484.7616000000053</v>
      </c>
      <c r="R104" s="40">
        <v>23111.065599999929</v>
      </c>
      <c r="S104" s="40">
        <v>92885.811199999938</v>
      </c>
      <c r="T104" s="40">
        <v>15123.046399999996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29232.445870967771</v>
      </c>
      <c r="AB104" s="40">
        <v>0</v>
      </c>
      <c r="AC104" s="40">
        <v>146092.06949228953</v>
      </c>
      <c r="AD104" s="40">
        <v>0</v>
      </c>
      <c r="AE104" s="40">
        <v>0</v>
      </c>
      <c r="AF104" s="40">
        <v>0</v>
      </c>
      <c r="AG104" s="40">
        <v>141970.48000000001</v>
      </c>
      <c r="AH104" s="40">
        <v>0</v>
      </c>
      <c r="AI104" s="40">
        <v>0</v>
      </c>
      <c r="AJ104" s="40">
        <v>0</v>
      </c>
      <c r="AK104" s="40">
        <v>5273.47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1388827.9868000001</v>
      </c>
      <c r="AU104" s="40">
        <v>570971.27696325711</v>
      </c>
      <c r="AV104" s="40">
        <v>147243.95000000001</v>
      </c>
      <c r="AW104" s="40">
        <v>357966.30300828948</v>
      </c>
      <c r="AX104" s="56">
        <v>2107043.2137632575</v>
      </c>
      <c r="AY104" s="56">
        <v>2101769.7437632573</v>
      </c>
      <c r="AZ104" s="56">
        <v>4955</v>
      </c>
      <c r="BA104" s="56">
        <v>1793710</v>
      </c>
      <c r="BB104" s="56">
        <v>0</v>
      </c>
      <c r="BC104" s="56">
        <v>0</v>
      </c>
      <c r="BD104" s="56">
        <v>2107043.2137632575</v>
      </c>
      <c r="BE104" s="40">
        <v>2107043.2137632575</v>
      </c>
      <c r="BF104" s="40">
        <v>0</v>
      </c>
      <c r="BG104" s="56">
        <v>1798983.47</v>
      </c>
      <c r="BH104" s="56">
        <v>1651739.52</v>
      </c>
      <c r="BI104" s="40">
        <v>1959799.2637632575</v>
      </c>
      <c r="BJ104" s="40">
        <v>5413.8101208929766</v>
      </c>
      <c r="BK104" s="40">
        <v>5412.8883272988505</v>
      </c>
      <c r="BL104" s="41">
        <v>1.7029606716198863E-4</v>
      </c>
      <c r="BM104" s="41">
        <v>0</v>
      </c>
      <c r="BN104" s="40">
        <v>0</v>
      </c>
      <c r="BO104" s="56">
        <v>2107043.2137632575</v>
      </c>
      <c r="BP104" s="56">
        <v>5805.9937673018158</v>
      </c>
      <c r="BQ104" s="56" t="s">
        <v>1006</v>
      </c>
      <c r="BR104" s="56">
        <v>5820.5613639868989</v>
      </c>
      <c r="BS104" s="47">
        <v>-2.6459482335327023E-3</v>
      </c>
      <c r="BT104" s="40">
        <v>-9440.9599999999991</v>
      </c>
      <c r="BU104" s="40">
        <v>2097602.2537632575</v>
      </c>
      <c r="BV104" s="40">
        <v>0</v>
      </c>
      <c r="BW104" s="40">
        <v>2097602.2537632575</v>
      </c>
      <c r="BX104" s="40">
        <v>5273.47</v>
      </c>
      <c r="BY104" s="40">
        <v>2092328.7837632576</v>
      </c>
    </row>
    <row r="105" spans="1:77">
      <c r="A105">
        <f>_xlfn.XLOOKUP(B105,'Summary Mar 2026'!B:B,'Summary Mar 2026'!A:A,0,0)</f>
        <v>3320</v>
      </c>
      <c r="B105" s="54">
        <v>103424</v>
      </c>
      <c r="C105" s="54">
        <v>3303320</v>
      </c>
      <c r="D105" s="55" t="s">
        <v>113</v>
      </c>
      <c r="E105" s="46">
        <v>402</v>
      </c>
      <c r="F105" s="46">
        <v>402</v>
      </c>
      <c r="G105" s="46">
        <v>0</v>
      </c>
      <c r="H105" s="40">
        <v>1542289.6428</v>
      </c>
      <c r="I105" s="40">
        <v>0</v>
      </c>
      <c r="J105" s="40">
        <v>0</v>
      </c>
      <c r="K105" s="40">
        <v>109456.31999999998</v>
      </c>
      <c r="L105" s="40">
        <v>0</v>
      </c>
      <c r="M105" s="40">
        <v>237505.05999999991</v>
      </c>
      <c r="N105" s="40">
        <v>0</v>
      </c>
      <c r="O105" s="40">
        <v>12027.187199999995</v>
      </c>
      <c r="P105" s="40">
        <v>24882.278399999977</v>
      </c>
      <c r="Q105" s="40">
        <v>11164.160000000007</v>
      </c>
      <c r="R105" s="40">
        <v>38846.259199999928</v>
      </c>
      <c r="S105" s="40">
        <v>22438.707199999953</v>
      </c>
      <c r="T105" s="40">
        <v>68053.708800000037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46669.205630498443</v>
      </c>
      <c r="AB105" s="40">
        <v>0</v>
      </c>
      <c r="AC105" s="40">
        <v>161156.61184366574</v>
      </c>
      <c r="AD105" s="40">
        <v>0</v>
      </c>
      <c r="AE105" s="40">
        <v>0</v>
      </c>
      <c r="AF105" s="40">
        <v>0</v>
      </c>
      <c r="AG105" s="40">
        <v>141970.48000000001</v>
      </c>
      <c r="AH105" s="40">
        <v>0</v>
      </c>
      <c r="AI105" s="40">
        <v>0</v>
      </c>
      <c r="AJ105" s="40">
        <v>0</v>
      </c>
      <c r="AK105" s="40">
        <v>3868.98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1542289.6428</v>
      </c>
      <c r="AU105" s="40">
        <v>732199.49827416393</v>
      </c>
      <c r="AV105" s="40">
        <v>145839.46000000002</v>
      </c>
      <c r="AW105" s="40">
        <v>427045.61907166569</v>
      </c>
      <c r="AX105" s="56">
        <v>2420328.6010741638</v>
      </c>
      <c r="AY105" s="56">
        <v>2416459.6210741638</v>
      </c>
      <c r="AZ105" s="56">
        <v>4955</v>
      </c>
      <c r="BA105" s="56">
        <v>1991910</v>
      </c>
      <c r="BB105" s="56">
        <v>0</v>
      </c>
      <c r="BC105" s="56">
        <v>0</v>
      </c>
      <c r="BD105" s="56">
        <v>2420328.6010741638</v>
      </c>
      <c r="BE105" s="40">
        <v>2420328.6010741638</v>
      </c>
      <c r="BF105" s="40">
        <v>0</v>
      </c>
      <c r="BG105" s="56">
        <v>1995778.98</v>
      </c>
      <c r="BH105" s="56">
        <v>1849939.52</v>
      </c>
      <c r="BI105" s="40">
        <v>2274489.1410741638</v>
      </c>
      <c r="BJ105" s="40">
        <v>5657.9331867516512</v>
      </c>
      <c r="BK105" s="40">
        <v>5650.749609090909</v>
      </c>
      <c r="BL105" s="41">
        <v>1.2712610109613266E-3</v>
      </c>
      <c r="BM105" s="41">
        <v>0</v>
      </c>
      <c r="BN105" s="40">
        <v>0</v>
      </c>
      <c r="BO105" s="56">
        <v>2420328.6010741638</v>
      </c>
      <c r="BP105" s="56">
        <v>6011.093584761602</v>
      </c>
      <c r="BQ105" s="56" t="s">
        <v>1006</v>
      </c>
      <c r="BR105" s="56">
        <v>6020.7179131198109</v>
      </c>
      <c r="BS105" s="47">
        <v>3.5118851856141831E-3</v>
      </c>
      <c r="BT105" s="40">
        <v>-10484.16</v>
      </c>
      <c r="BU105" s="40">
        <v>2409844.4410741637</v>
      </c>
      <c r="BV105" s="40">
        <v>0</v>
      </c>
      <c r="BW105" s="40">
        <v>2409844.4410741637</v>
      </c>
      <c r="BX105" s="40">
        <v>3868.98</v>
      </c>
      <c r="BY105" s="40">
        <v>2405975.4610741637</v>
      </c>
    </row>
    <row r="106" spans="1:77">
      <c r="A106">
        <f>_xlfn.XLOOKUP(B106,'Summary Mar 2026'!B:B,'Summary Mar 2026'!A:A,0,0)</f>
        <v>3321</v>
      </c>
      <c r="B106" s="54">
        <v>103425</v>
      </c>
      <c r="C106" s="54">
        <v>3303321</v>
      </c>
      <c r="D106" s="55" t="s">
        <v>119</v>
      </c>
      <c r="E106" s="46">
        <v>348</v>
      </c>
      <c r="F106" s="46">
        <v>348</v>
      </c>
      <c r="G106" s="46">
        <v>0</v>
      </c>
      <c r="H106" s="40">
        <v>1335116.4072</v>
      </c>
      <c r="I106" s="40">
        <v>0</v>
      </c>
      <c r="J106" s="40">
        <v>0</v>
      </c>
      <c r="K106" s="40">
        <v>75069.600000000035</v>
      </c>
      <c r="L106" s="40">
        <v>0</v>
      </c>
      <c r="M106" s="40">
        <v>162830.97999999989</v>
      </c>
      <c r="N106" s="40">
        <v>0</v>
      </c>
      <c r="O106" s="40">
        <v>2594.0992000000042</v>
      </c>
      <c r="P106" s="40">
        <v>35750.400000000038</v>
      </c>
      <c r="Q106" s="40">
        <v>44210.073600000047</v>
      </c>
      <c r="R106" s="40">
        <v>34912.460799999979</v>
      </c>
      <c r="S106" s="40">
        <v>5740.1344000000099</v>
      </c>
      <c r="T106" s="40">
        <v>7561.5232000000124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65119.872857142764</v>
      </c>
      <c r="AB106" s="40">
        <v>0</v>
      </c>
      <c r="AC106" s="40">
        <v>126862.72176418391</v>
      </c>
      <c r="AD106" s="40">
        <v>0</v>
      </c>
      <c r="AE106" s="40">
        <v>2945.872799999996</v>
      </c>
      <c r="AF106" s="40">
        <v>0</v>
      </c>
      <c r="AG106" s="40">
        <v>141970.48000000001</v>
      </c>
      <c r="AH106" s="40">
        <v>0</v>
      </c>
      <c r="AI106" s="40">
        <v>0</v>
      </c>
      <c r="AJ106" s="40">
        <v>0</v>
      </c>
      <c r="AK106" s="40">
        <v>3815.97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1335116.4072</v>
      </c>
      <c r="AU106" s="40">
        <v>563597.73862132675</v>
      </c>
      <c r="AV106" s="40">
        <v>145786.45000000001</v>
      </c>
      <c r="AW106" s="40">
        <v>326339.47975618392</v>
      </c>
      <c r="AX106" s="56">
        <v>2044500.5958213268</v>
      </c>
      <c r="AY106" s="56">
        <v>2040684.6258213269</v>
      </c>
      <c r="AZ106" s="56">
        <v>4955</v>
      </c>
      <c r="BA106" s="56">
        <v>1724340</v>
      </c>
      <c r="BB106" s="56">
        <v>0</v>
      </c>
      <c r="BC106" s="56">
        <v>0</v>
      </c>
      <c r="BD106" s="56">
        <v>2044500.5958213268</v>
      </c>
      <c r="BE106" s="40">
        <v>2044500.5958213268</v>
      </c>
      <c r="BF106" s="40">
        <v>0</v>
      </c>
      <c r="BG106" s="56">
        <v>1728155.97</v>
      </c>
      <c r="BH106" s="56">
        <v>1582369.52</v>
      </c>
      <c r="BI106" s="40">
        <v>1898714.1458213269</v>
      </c>
      <c r="BJ106" s="40">
        <v>5456.0751316704791</v>
      </c>
      <c r="BK106" s="40">
        <v>5433.6934284122572</v>
      </c>
      <c r="BL106" s="41">
        <v>4.1190588966963379E-3</v>
      </c>
      <c r="BM106" s="41">
        <v>0</v>
      </c>
      <c r="BN106" s="40">
        <v>0</v>
      </c>
      <c r="BO106" s="56">
        <v>2044500.5958213268</v>
      </c>
      <c r="BP106" s="56">
        <v>5864.0362810957668</v>
      </c>
      <c r="BQ106" s="56" t="s">
        <v>1006</v>
      </c>
      <c r="BR106" s="56">
        <v>5875.0017121302499</v>
      </c>
      <c r="BS106" s="47">
        <v>6.0306844981106167E-3</v>
      </c>
      <c r="BT106" s="40">
        <v>-9075.84</v>
      </c>
      <c r="BU106" s="40">
        <v>2035424.7558213267</v>
      </c>
      <c r="BV106" s="40">
        <v>0</v>
      </c>
      <c r="BW106" s="40">
        <v>2035424.7558213267</v>
      </c>
      <c r="BX106" s="40">
        <v>3815.97</v>
      </c>
      <c r="BY106" s="40">
        <v>2031608.7858213268</v>
      </c>
    </row>
    <row r="107" spans="1:77">
      <c r="A107">
        <f>_xlfn.XLOOKUP(B107,'Summary Mar 2026'!B:B,'Summary Mar 2026'!A:A,0,0)</f>
        <v>3322</v>
      </c>
      <c r="B107" s="54">
        <v>103426</v>
      </c>
      <c r="C107" s="54">
        <v>3303322</v>
      </c>
      <c r="D107" s="55" t="s">
        <v>199</v>
      </c>
      <c r="E107" s="46">
        <v>198</v>
      </c>
      <c r="F107" s="46">
        <v>198</v>
      </c>
      <c r="G107" s="46">
        <v>0</v>
      </c>
      <c r="H107" s="40">
        <v>759635.19720000005</v>
      </c>
      <c r="I107" s="40">
        <v>0</v>
      </c>
      <c r="J107" s="40">
        <v>0</v>
      </c>
      <c r="K107" s="40">
        <v>37776.960000000006</v>
      </c>
      <c r="L107" s="40">
        <v>0</v>
      </c>
      <c r="M107" s="40">
        <v>82971.199999999997</v>
      </c>
      <c r="N107" s="40">
        <v>0</v>
      </c>
      <c r="O107" s="40">
        <v>5424.0255999999927</v>
      </c>
      <c r="P107" s="40">
        <v>10010.112000000012</v>
      </c>
      <c r="Q107" s="40">
        <v>893.13279999999986</v>
      </c>
      <c r="R107" s="40">
        <v>983.44959999999992</v>
      </c>
      <c r="S107" s="40">
        <v>23482.367999999973</v>
      </c>
      <c r="T107" s="40">
        <v>5499.2895999999992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17424.483488372043</v>
      </c>
      <c r="AB107" s="40">
        <v>0</v>
      </c>
      <c r="AC107" s="40">
        <v>74804.543999999965</v>
      </c>
      <c r="AD107" s="40">
        <v>0</v>
      </c>
      <c r="AE107" s="40">
        <v>0</v>
      </c>
      <c r="AF107" s="40">
        <v>0</v>
      </c>
      <c r="AG107" s="40">
        <v>141970.48000000001</v>
      </c>
      <c r="AH107" s="40">
        <v>0</v>
      </c>
      <c r="AI107" s="40">
        <v>0</v>
      </c>
      <c r="AJ107" s="40">
        <v>0</v>
      </c>
      <c r="AK107" s="40">
        <v>4239.97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759635.19720000005</v>
      </c>
      <c r="AU107" s="40">
        <v>259269.56508837195</v>
      </c>
      <c r="AV107" s="40">
        <v>146210.45000000001</v>
      </c>
      <c r="AW107" s="40">
        <v>172920.89739599996</v>
      </c>
      <c r="AX107" s="56">
        <v>1165115.212288372</v>
      </c>
      <c r="AY107" s="56">
        <v>1160875.242288372</v>
      </c>
      <c r="AZ107" s="56">
        <v>4955</v>
      </c>
      <c r="BA107" s="56">
        <v>981090</v>
      </c>
      <c r="BB107" s="56">
        <v>0</v>
      </c>
      <c r="BC107" s="56">
        <v>0</v>
      </c>
      <c r="BD107" s="56">
        <v>1165115.212288372</v>
      </c>
      <c r="BE107" s="40">
        <v>1165115.212288372</v>
      </c>
      <c r="BF107" s="40">
        <v>0</v>
      </c>
      <c r="BG107" s="56">
        <v>985329.97</v>
      </c>
      <c r="BH107" s="56">
        <v>839119.52</v>
      </c>
      <c r="BI107" s="40">
        <v>1018904.762288372</v>
      </c>
      <c r="BJ107" s="40">
        <v>5145.9836479210708</v>
      </c>
      <c r="BK107" s="40">
        <v>5087.2725107317074</v>
      </c>
      <c r="BL107" s="41">
        <v>1.1540788716450914E-2</v>
      </c>
      <c r="BM107" s="41">
        <v>0</v>
      </c>
      <c r="BN107" s="40">
        <v>0</v>
      </c>
      <c r="BO107" s="56">
        <v>1165115.212288372</v>
      </c>
      <c r="BP107" s="56">
        <v>5863.0062741836973</v>
      </c>
      <c r="BQ107" s="56" t="s">
        <v>1006</v>
      </c>
      <c r="BR107" s="56">
        <v>5884.420264082687</v>
      </c>
      <c r="BS107" s="47">
        <v>1.44687750524366E-2</v>
      </c>
      <c r="BT107" s="40">
        <v>-5163.8399999999992</v>
      </c>
      <c r="BU107" s="40">
        <v>1159951.3722883719</v>
      </c>
      <c r="BV107" s="40">
        <v>0</v>
      </c>
      <c r="BW107" s="40">
        <v>1159951.3722883719</v>
      </c>
      <c r="BX107" s="40">
        <v>4239.97</v>
      </c>
      <c r="BY107" s="40">
        <v>1155711.4022883719</v>
      </c>
    </row>
    <row r="108" spans="1:77">
      <c r="A108">
        <f>_xlfn.XLOOKUP(B108,'Summary Mar 2026'!B:B,'Summary Mar 2026'!A:A,0,0)</f>
        <v>3328</v>
      </c>
      <c r="B108" s="54">
        <v>103430</v>
      </c>
      <c r="C108" s="54">
        <v>3303328</v>
      </c>
      <c r="D108" s="55" t="s">
        <v>221</v>
      </c>
      <c r="E108" s="46">
        <v>209</v>
      </c>
      <c r="F108" s="46">
        <v>209</v>
      </c>
      <c r="G108" s="46">
        <v>0</v>
      </c>
      <c r="H108" s="40">
        <v>801837.15260000003</v>
      </c>
      <c r="I108" s="40">
        <v>0</v>
      </c>
      <c r="J108" s="40">
        <v>0</v>
      </c>
      <c r="K108" s="40">
        <v>27606.240000000027</v>
      </c>
      <c r="L108" s="40">
        <v>0</v>
      </c>
      <c r="M108" s="40">
        <v>59116.980000000061</v>
      </c>
      <c r="N108" s="40">
        <v>0</v>
      </c>
      <c r="O108" s="40">
        <v>471.6543999999999</v>
      </c>
      <c r="P108" s="40">
        <v>6864.0767999999716</v>
      </c>
      <c r="Q108" s="40">
        <v>17416.089599999988</v>
      </c>
      <c r="R108" s="40">
        <v>1966.8991999999957</v>
      </c>
      <c r="S108" s="40">
        <v>19307.724800000055</v>
      </c>
      <c r="T108" s="40">
        <v>10311.168000000007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9463.4967777777802</v>
      </c>
      <c r="AB108" s="40">
        <v>0</v>
      </c>
      <c r="AC108" s="40">
        <v>50647.982106537485</v>
      </c>
      <c r="AD108" s="40">
        <v>0</v>
      </c>
      <c r="AE108" s="40">
        <v>0</v>
      </c>
      <c r="AF108" s="40">
        <v>0</v>
      </c>
      <c r="AG108" s="40">
        <v>141970.48000000001</v>
      </c>
      <c r="AH108" s="40">
        <v>0</v>
      </c>
      <c r="AI108" s="40">
        <v>0</v>
      </c>
      <c r="AJ108" s="40">
        <v>0</v>
      </c>
      <c r="AK108" s="40">
        <v>3471.48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801837.15260000003</v>
      </c>
      <c r="AU108" s="40">
        <v>203172.31168431538</v>
      </c>
      <c r="AV108" s="40">
        <v>145441.96000000002</v>
      </c>
      <c r="AW108" s="40">
        <v>142241.73954453756</v>
      </c>
      <c r="AX108" s="56">
        <v>1150451.4242843154</v>
      </c>
      <c r="AY108" s="56">
        <v>1146979.9442843155</v>
      </c>
      <c r="AZ108" s="56">
        <v>4955</v>
      </c>
      <c r="BA108" s="56">
        <v>1035595</v>
      </c>
      <c r="BB108" s="56">
        <v>0</v>
      </c>
      <c r="BC108" s="56">
        <v>0</v>
      </c>
      <c r="BD108" s="56">
        <v>1150451.4242843154</v>
      </c>
      <c r="BE108" s="40">
        <v>1150451.4242843154</v>
      </c>
      <c r="BF108" s="40">
        <v>0</v>
      </c>
      <c r="BG108" s="56">
        <v>1039066.48</v>
      </c>
      <c r="BH108" s="56">
        <v>893624.52</v>
      </c>
      <c r="BI108" s="40">
        <v>1005009.4642843155</v>
      </c>
      <c r="BJ108" s="40">
        <v>4808.6577238483997</v>
      </c>
      <c r="BK108" s="40">
        <v>4974.7221620192304</v>
      </c>
      <c r="BL108" s="41">
        <v>-3.338165082639017E-2</v>
      </c>
      <c r="BM108" s="41">
        <v>3.338165082639017E-2</v>
      </c>
      <c r="BN108" s="40">
        <v>34707.467577703625</v>
      </c>
      <c r="BO108" s="56">
        <v>1185158.891862019</v>
      </c>
      <c r="BP108" s="56">
        <v>5654.0067553206654</v>
      </c>
      <c r="BQ108" s="56" t="s">
        <v>1006</v>
      </c>
      <c r="BR108" s="56">
        <v>5670.616707473775</v>
      </c>
      <c r="BS108" s="47">
        <v>-5.8964911013137389E-4</v>
      </c>
      <c r="BT108" s="40">
        <v>-5450.7199999999993</v>
      </c>
      <c r="BU108" s="40">
        <v>1179708.171862019</v>
      </c>
      <c r="BV108" s="40">
        <v>0</v>
      </c>
      <c r="BW108" s="40">
        <v>1179708.171862019</v>
      </c>
      <c r="BX108" s="40">
        <v>3471.48</v>
      </c>
      <c r="BY108" s="40">
        <v>1176236.691862019</v>
      </c>
    </row>
    <row r="109" spans="1:77">
      <c r="A109">
        <f>_xlfn.XLOOKUP(B109,'Summary Mar 2026'!B:B,'Summary Mar 2026'!A:A,0,0)</f>
        <v>3329</v>
      </c>
      <c r="B109" s="54">
        <v>103431</v>
      </c>
      <c r="C109" s="54">
        <v>3303329</v>
      </c>
      <c r="D109" s="55" t="s">
        <v>411</v>
      </c>
      <c r="E109" s="46">
        <v>202</v>
      </c>
      <c r="F109" s="46">
        <v>202</v>
      </c>
      <c r="G109" s="46">
        <v>0</v>
      </c>
      <c r="H109" s="40">
        <v>774981.3628</v>
      </c>
      <c r="I109" s="40">
        <v>0</v>
      </c>
      <c r="J109" s="40">
        <v>0</v>
      </c>
      <c r="K109" s="40">
        <v>44073.120000000046</v>
      </c>
      <c r="L109" s="40">
        <v>0</v>
      </c>
      <c r="M109" s="40">
        <v>96454.019999999917</v>
      </c>
      <c r="N109" s="40">
        <v>0</v>
      </c>
      <c r="O109" s="40">
        <v>5424.0256000000072</v>
      </c>
      <c r="P109" s="40">
        <v>7436.0832000000164</v>
      </c>
      <c r="Q109" s="40">
        <v>41977.241599999965</v>
      </c>
      <c r="R109" s="40">
        <v>6884.1471999999994</v>
      </c>
      <c r="S109" s="40">
        <v>11480.268800000011</v>
      </c>
      <c r="T109" s="40">
        <v>687.41119999999989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48262.90254335264</v>
      </c>
      <c r="AB109" s="40">
        <v>0</v>
      </c>
      <c r="AC109" s="40">
        <v>71263.985392364775</v>
      </c>
      <c r="AD109" s="40">
        <v>0</v>
      </c>
      <c r="AE109" s="40">
        <v>1775.077199999999</v>
      </c>
      <c r="AF109" s="40">
        <v>0</v>
      </c>
      <c r="AG109" s="40">
        <v>141970.48000000001</v>
      </c>
      <c r="AH109" s="40">
        <v>0</v>
      </c>
      <c r="AI109" s="40">
        <v>0</v>
      </c>
      <c r="AJ109" s="40">
        <v>0</v>
      </c>
      <c r="AK109" s="40">
        <v>3444.98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774981.3628</v>
      </c>
      <c r="AU109" s="40">
        <v>335718.28273571742</v>
      </c>
      <c r="AV109" s="40">
        <v>145415.46000000002</v>
      </c>
      <c r="AW109" s="40">
        <v>187202.92786836479</v>
      </c>
      <c r="AX109" s="56">
        <v>1256115.1055357174</v>
      </c>
      <c r="AY109" s="56">
        <v>1252670.1255357175</v>
      </c>
      <c r="AZ109" s="56">
        <v>4955</v>
      </c>
      <c r="BA109" s="56">
        <v>1000910</v>
      </c>
      <c r="BB109" s="56">
        <v>0</v>
      </c>
      <c r="BC109" s="56">
        <v>0</v>
      </c>
      <c r="BD109" s="56">
        <v>1256115.1055357174</v>
      </c>
      <c r="BE109" s="40">
        <v>1256115.1055357172</v>
      </c>
      <c r="BF109" s="40">
        <v>0</v>
      </c>
      <c r="BG109" s="56">
        <v>1004354.98</v>
      </c>
      <c r="BH109" s="56">
        <v>858939.52</v>
      </c>
      <c r="BI109" s="40">
        <v>1110699.6455357175</v>
      </c>
      <c r="BJ109" s="40">
        <v>5498.5130967114728</v>
      </c>
      <c r="BK109" s="40">
        <v>5566.9854221153846</v>
      </c>
      <c r="BL109" s="41">
        <v>-1.2299713437707038E-2</v>
      </c>
      <c r="BM109" s="41">
        <v>1.2299713437707038E-2</v>
      </c>
      <c r="BN109" s="40">
        <v>13831.40973159018</v>
      </c>
      <c r="BO109" s="56">
        <v>1269946.5152673076</v>
      </c>
      <c r="BP109" s="56">
        <v>6269.8095805312259</v>
      </c>
      <c r="BQ109" s="56" t="s">
        <v>1006</v>
      </c>
      <c r="BR109" s="56">
        <v>6286.8639369668699</v>
      </c>
      <c r="BS109" s="47">
        <v>3.3139803578079441E-3</v>
      </c>
      <c r="BT109" s="40">
        <v>-5268.16</v>
      </c>
      <c r="BU109" s="40">
        <v>1264678.3552673077</v>
      </c>
      <c r="BV109" s="40">
        <v>0</v>
      </c>
      <c r="BW109" s="40">
        <v>1264678.3552673077</v>
      </c>
      <c r="BX109" s="40">
        <v>3444.98</v>
      </c>
      <c r="BY109" s="40">
        <v>1261233.3752673077</v>
      </c>
    </row>
    <row r="110" spans="1:77">
      <c r="A110">
        <f>_xlfn.XLOOKUP(B110,'Summary Mar 2026'!B:B,'Summary Mar 2026'!A:A,0,0)</f>
        <v>3331</v>
      </c>
      <c r="B110" s="54">
        <v>103433</v>
      </c>
      <c r="C110" s="54">
        <v>3303331</v>
      </c>
      <c r="D110" s="55" t="s">
        <v>265</v>
      </c>
      <c r="E110" s="46">
        <v>211</v>
      </c>
      <c r="F110" s="46">
        <v>211</v>
      </c>
      <c r="G110" s="46">
        <v>0</v>
      </c>
      <c r="H110" s="40">
        <v>809510.23540000001</v>
      </c>
      <c r="I110" s="40">
        <v>0</v>
      </c>
      <c r="J110" s="40">
        <v>0</v>
      </c>
      <c r="K110" s="40">
        <v>35839.680000000037</v>
      </c>
      <c r="L110" s="40">
        <v>0</v>
      </c>
      <c r="M110" s="40">
        <v>77785.500000000087</v>
      </c>
      <c r="N110" s="40">
        <v>0</v>
      </c>
      <c r="O110" s="40">
        <v>10140.56960000001</v>
      </c>
      <c r="P110" s="40">
        <v>1716.0192000000018</v>
      </c>
      <c r="Q110" s="40">
        <v>7145.0623999999971</v>
      </c>
      <c r="R110" s="40">
        <v>6392.4223999999967</v>
      </c>
      <c r="S110" s="40">
        <v>26613.350400000028</v>
      </c>
      <c r="T110" s="40">
        <v>24746.803200000024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41845.867802197841</v>
      </c>
      <c r="AB110" s="40">
        <v>0</v>
      </c>
      <c r="AC110" s="40">
        <v>95502.44942016805</v>
      </c>
      <c r="AD110" s="40">
        <v>0</v>
      </c>
      <c r="AE110" s="40">
        <v>3153.5945999999963</v>
      </c>
      <c r="AF110" s="40">
        <v>0</v>
      </c>
      <c r="AG110" s="40">
        <v>141970.48000000001</v>
      </c>
      <c r="AH110" s="40">
        <v>0</v>
      </c>
      <c r="AI110" s="40">
        <v>0</v>
      </c>
      <c r="AJ110" s="40">
        <v>0</v>
      </c>
      <c r="AK110" s="40">
        <v>8213.56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809510.23540000001</v>
      </c>
      <c r="AU110" s="40">
        <v>330881.31902236608</v>
      </c>
      <c r="AV110" s="40">
        <v>150184.04</v>
      </c>
      <c r="AW110" s="40">
        <v>204514.54778216814</v>
      </c>
      <c r="AX110" s="56">
        <v>1290575.594422366</v>
      </c>
      <c r="AY110" s="56">
        <v>1282362.0344223659</v>
      </c>
      <c r="AZ110" s="56">
        <v>4955</v>
      </c>
      <c r="BA110" s="56">
        <v>1045505</v>
      </c>
      <c r="BB110" s="56">
        <v>0</v>
      </c>
      <c r="BC110" s="56">
        <v>0</v>
      </c>
      <c r="BD110" s="56">
        <v>1290575.594422366</v>
      </c>
      <c r="BE110" s="40">
        <v>1290575.5944223662</v>
      </c>
      <c r="BF110" s="40">
        <v>0</v>
      </c>
      <c r="BG110" s="56">
        <v>1053718.56</v>
      </c>
      <c r="BH110" s="56">
        <v>903534.52</v>
      </c>
      <c r="BI110" s="40">
        <v>1140391.554422366</v>
      </c>
      <c r="BJ110" s="40">
        <v>5404.6993100586069</v>
      </c>
      <c r="BK110" s="40">
        <v>5519.4482476415096</v>
      </c>
      <c r="BL110" s="41">
        <v>-2.0789929071612472E-2</v>
      </c>
      <c r="BM110" s="41">
        <v>2.0789929071612472E-2</v>
      </c>
      <c r="BN110" s="40">
        <v>24212.025829992475</v>
      </c>
      <c r="BO110" s="56">
        <v>1314787.6202523585</v>
      </c>
      <c r="BP110" s="56">
        <v>6192.2941244187605</v>
      </c>
      <c r="BQ110" s="56" t="s">
        <v>1006</v>
      </c>
      <c r="BR110" s="56">
        <v>6231.2209490633104</v>
      </c>
      <c r="BS110" s="47">
        <v>5.3909633478710361E-4</v>
      </c>
      <c r="BT110" s="40">
        <v>-5502.8799999999992</v>
      </c>
      <c r="BU110" s="40">
        <v>1309284.7402523586</v>
      </c>
      <c r="BV110" s="40">
        <v>0</v>
      </c>
      <c r="BW110" s="40">
        <v>1309284.7402523586</v>
      </c>
      <c r="BX110" s="40">
        <v>8213.56</v>
      </c>
      <c r="BY110" s="40">
        <v>1301071.1802523586</v>
      </c>
    </row>
    <row r="111" spans="1:77">
      <c r="A111">
        <f>_xlfn.XLOOKUP(B111,'Summary Mar 2026'!B:B,'Summary Mar 2026'!A:A,0,0)</f>
        <v>3335</v>
      </c>
      <c r="B111" s="54">
        <v>103434</v>
      </c>
      <c r="C111" s="54">
        <v>3303335</v>
      </c>
      <c r="D111" s="55" t="s">
        <v>257</v>
      </c>
      <c r="E111" s="46">
        <v>204</v>
      </c>
      <c r="F111" s="46">
        <v>204</v>
      </c>
      <c r="G111" s="46">
        <v>0</v>
      </c>
      <c r="H111" s="40">
        <v>782654.44559999998</v>
      </c>
      <c r="I111" s="40">
        <v>0</v>
      </c>
      <c r="J111" s="40">
        <v>0</v>
      </c>
      <c r="K111" s="40">
        <v>62961.599999999969</v>
      </c>
      <c r="L111" s="40">
        <v>0</v>
      </c>
      <c r="M111" s="40">
        <v>134828.19999999995</v>
      </c>
      <c r="N111" s="40">
        <v>0</v>
      </c>
      <c r="O111" s="40">
        <v>2122.4447999999984</v>
      </c>
      <c r="P111" s="40">
        <v>4862.0543999999982</v>
      </c>
      <c r="Q111" s="40">
        <v>33045.913600000029</v>
      </c>
      <c r="R111" s="40">
        <v>3442.0736000000024</v>
      </c>
      <c r="S111" s="40">
        <v>39659.11039999999</v>
      </c>
      <c r="T111" s="40">
        <v>8248.9343999999983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32079.574482758664</v>
      </c>
      <c r="AB111" s="40">
        <v>0</v>
      </c>
      <c r="AC111" s="40">
        <v>74479.719428571407</v>
      </c>
      <c r="AD111" s="40">
        <v>0</v>
      </c>
      <c r="AE111" s="40">
        <v>3550.1544000000004</v>
      </c>
      <c r="AF111" s="40">
        <v>0</v>
      </c>
      <c r="AG111" s="40">
        <v>141970.48000000001</v>
      </c>
      <c r="AH111" s="40">
        <v>0</v>
      </c>
      <c r="AI111" s="40">
        <v>0</v>
      </c>
      <c r="AJ111" s="40">
        <v>0</v>
      </c>
      <c r="AK111" s="40">
        <v>5246.96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782654.44559999998</v>
      </c>
      <c r="AU111" s="40">
        <v>399279.77951132995</v>
      </c>
      <c r="AV111" s="40">
        <v>147217.44</v>
      </c>
      <c r="AW111" s="40">
        <v>217713.76094057137</v>
      </c>
      <c r="AX111" s="56">
        <v>1329151.6651113299</v>
      </c>
      <c r="AY111" s="56">
        <v>1323904.7051113299</v>
      </c>
      <c r="AZ111" s="56">
        <v>4955</v>
      </c>
      <c r="BA111" s="56">
        <v>1010820</v>
      </c>
      <c r="BB111" s="56">
        <v>0</v>
      </c>
      <c r="BC111" s="56">
        <v>0</v>
      </c>
      <c r="BD111" s="56">
        <v>1329151.6651113299</v>
      </c>
      <c r="BE111" s="40">
        <v>1329151.6651113301</v>
      </c>
      <c r="BF111" s="40">
        <v>0</v>
      </c>
      <c r="BG111" s="56">
        <v>1016066.96</v>
      </c>
      <c r="BH111" s="56">
        <v>868849.52</v>
      </c>
      <c r="BI111" s="40">
        <v>1181934.2251113299</v>
      </c>
      <c r="BJ111" s="40">
        <v>5793.7952211339698</v>
      </c>
      <c r="BK111" s="40">
        <v>6013.0657419512199</v>
      </c>
      <c r="BL111" s="41">
        <v>-3.6465678279129804E-2</v>
      </c>
      <c r="BM111" s="41">
        <v>3.6465678279129804E-2</v>
      </c>
      <c r="BN111" s="40">
        <v>44731.186246719029</v>
      </c>
      <c r="BO111" s="56">
        <v>1373882.8513580489</v>
      </c>
      <c r="BP111" s="56">
        <v>6708.9994674414165</v>
      </c>
      <c r="BQ111" s="56" t="s">
        <v>1006</v>
      </c>
      <c r="BR111" s="56">
        <v>6734.7198595982791</v>
      </c>
      <c r="BS111" s="47">
        <v>5.2297721060279301E-4</v>
      </c>
      <c r="BT111" s="40">
        <v>-5320.32</v>
      </c>
      <c r="BU111" s="40">
        <v>1368562.5313580488</v>
      </c>
      <c r="BV111" s="40">
        <v>0</v>
      </c>
      <c r="BW111" s="40">
        <v>1368562.5313580488</v>
      </c>
      <c r="BX111" s="40">
        <v>5246.96</v>
      </c>
      <c r="BY111" s="40">
        <v>1363315.5713580488</v>
      </c>
    </row>
    <row r="112" spans="1:77">
      <c r="A112">
        <f>_xlfn.XLOOKUP(B112,'Summary Mar 2026'!B:B,'Summary Mar 2026'!A:A,0,0)</f>
        <v>3342</v>
      </c>
      <c r="B112" s="54">
        <v>103437</v>
      </c>
      <c r="C112" s="54">
        <v>3303342</v>
      </c>
      <c r="D112" s="55" t="s">
        <v>415</v>
      </c>
      <c r="E112" s="46">
        <v>373</v>
      </c>
      <c r="F112" s="46">
        <v>373</v>
      </c>
      <c r="G112" s="46">
        <v>0</v>
      </c>
      <c r="H112" s="40">
        <v>1431029.9421999999</v>
      </c>
      <c r="I112" s="40">
        <v>0</v>
      </c>
      <c r="J112" s="40">
        <v>0</v>
      </c>
      <c r="K112" s="40">
        <v>102191.52000000008</v>
      </c>
      <c r="L112" s="40">
        <v>0</v>
      </c>
      <c r="M112" s="40">
        <v>221947.96000000008</v>
      </c>
      <c r="N112" s="40">
        <v>0</v>
      </c>
      <c r="O112" s="40">
        <v>471.65440000000035</v>
      </c>
      <c r="P112" s="40">
        <v>1430.0159999999985</v>
      </c>
      <c r="Q112" s="40">
        <v>15629.823999999999</v>
      </c>
      <c r="R112" s="40">
        <v>26061.414399999929</v>
      </c>
      <c r="S112" s="40">
        <v>112715.36640000003</v>
      </c>
      <c r="T112" s="40">
        <v>39869.849600000052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40162.43006269585</v>
      </c>
      <c r="AB112" s="40">
        <v>0</v>
      </c>
      <c r="AC112" s="40">
        <v>167376.19275935958</v>
      </c>
      <c r="AD112" s="40">
        <v>0</v>
      </c>
      <c r="AE112" s="40">
        <v>585.39779999999575</v>
      </c>
      <c r="AF112" s="40">
        <v>0</v>
      </c>
      <c r="AG112" s="40">
        <v>141970.48000000001</v>
      </c>
      <c r="AH112" s="40">
        <v>0</v>
      </c>
      <c r="AI112" s="40">
        <v>0</v>
      </c>
      <c r="AJ112" s="40">
        <v>0</v>
      </c>
      <c r="AK112" s="40">
        <v>7949.95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1431029.9421999999</v>
      </c>
      <c r="AU112" s="40">
        <v>728441.62542205572</v>
      </c>
      <c r="AV112" s="40">
        <v>149920.43000000002</v>
      </c>
      <c r="AW112" s="40">
        <v>426242.02759735961</v>
      </c>
      <c r="AX112" s="56">
        <v>2309391.9976220559</v>
      </c>
      <c r="AY112" s="56">
        <v>2301442.0476220557</v>
      </c>
      <c r="AZ112" s="56">
        <v>4955</v>
      </c>
      <c r="BA112" s="56">
        <v>1848215</v>
      </c>
      <c r="BB112" s="56">
        <v>0</v>
      </c>
      <c r="BC112" s="56">
        <v>0</v>
      </c>
      <c r="BD112" s="56">
        <v>2309391.9976220559</v>
      </c>
      <c r="BE112" s="40">
        <v>2309391.9976220555</v>
      </c>
      <c r="BF112" s="40">
        <v>0</v>
      </c>
      <c r="BG112" s="56">
        <v>1856164.95</v>
      </c>
      <c r="BH112" s="56">
        <v>1706244.52</v>
      </c>
      <c r="BI112" s="40">
        <v>2159471.5676220558</v>
      </c>
      <c r="BJ112" s="40">
        <v>5789.4680097106057</v>
      </c>
      <c r="BK112" s="40">
        <v>5874.9218267716533</v>
      </c>
      <c r="BL112" s="41">
        <v>-1.4545524107510657E-2</v>
      </c>
      <c r="BM112" s="41">
        <v>1.4545524107510657E-2</v>
      </c>
      <c r="BN112" s="40">
        <v>31874.273763770765</v>
      </c>
      <c r="BO112" s="56">
        <v>2341266.2713858266</v>
      </c>
      <c r="BP112" s="56">
        <v>6255.5397356188378</v>
      </c>
      <c r="BQ112" s="56" t="s">
        <v>1006</v>
      </c>
      <c r="BR112" s="56">
        <v>6276.8532744928325</v>
      </c>
      <c r="BS112" s="47">
        <v>1.3463542412690543E-3</v>
      </c>
      <c r="BT112" s="40">
        <v>-9727.84</v>
      </c>
      <c r="BU112" s="40">
        <v>2331538.4313858268</v>
      </c>
      <c r="BV112" s="40">
        <v>0</v>
      </c>
      <c r="BW112" s="40">
        <v>2331538.4313858268</v>
      </c>
      <c r="BX112" s="40">
        <v>7949.95</v>
      </c>
      <c r="BY112" s="40">
        <v>2323588.4813858266</v>
      </c>
    </row>
    <row r="113" spans="1:77">
      <c r="A113">
        <f>_xlfn.XLOOKUP(B113,'Summary Mar 2026'!B:B,'Summary Mar 2026'!A:A,0,0)</f>
        <v>3344</v>
      </c>
      <c r="B113" s="54">
        <v>103438</v>
      </c>
      <c r="C113" s="54">
        <v>3303344</v>
      </c>
      <c r="D113" s="55" t="s">
        <v>287</v>
      </c>
      <c r="E113" s="46">
        <v>420</v>
      </c>
      <c r="F113" s="46">
        <v>420</v>
      </c>
      <c r="G113" s="46">
        <v>0</v>
      </c>
      <c r="H113" s="40">
        <v>1611347.388</v>
      </c>
      <c r="I113" s="40">
        <v>0</v>
      </c>
      <c r="J113" s="40">
        <v>0</v>
      </c>
      <c r="K113" s="40">
        <v>38745.599999999904</v>
      </c>
      <c r="L113" s="40">
        <v>0</v>
      </c>
      <c r="M113" s="40">
        <v>82971.199999999808</v>
      </c>
      <c r="N113" s="40">
        <v>0</v>
      </c>
      <c r="O113" s="40">
        <v>5188.1984000000029</v>
      </c>
      <c r="P113" s="40">
        <v>7722.086400000001</v>
      </c>
      <c r="Q113" s="40">
        <v>10717.593599999991</v>
      </c>
      <c r="R113" s="40">
        <v>18193.817600000002</v>
      </c>
      <c r="S113" s="40">
        <v>31309.824000000033</v>
      </c>
      <c r="T113" s="40">
        <v>24059.391999999989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60448.651666666607</v>
      </c>
      <c r="AB113" s="40">
        <v>0</v>
      </c>
      <c r="AC113" s="40">
        <v>116099.22129601466</v>
      </c>
      <c r="AD113" s="40">
        <v>0</v>
      </c>
      <c r="AE113" s="40">
        <v>0</v>
      </c>
      <c r="AF113" s="40">
        <v>0</v>
      </c>
      <c r="AG113" s="40">
        <v>141970.48000000001</v>
      </c>
      <c r="AH113" s="40">
        <v>0</v>
      </c>
      <c r="AI113" s="40">
        <v>0</v>
      </c>
      <c r="AJ113" s="40">
        <v>0</v>
      </c>
      <c r="AK113" s="40">
        <v>3047.48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1611347.388</v>
      </c>
      <c r="AU113" s="40">
        <v>395455.58496268099</v>
      </c>
      <c r="AV113" s="40">
        <v>145017.96000000002</v>
      </c>
      <c r="AW113" s="40">
        <v>275473.36701601458</v>
      </c>
      <c r="AX113" s="56">
        <v>2151820.9329626812</v>
      </c>
      <c r="AY113" s="56">
        <v>2148773.4529626812</v>
      </c>
      <c r="AZ113" s="56">
        <v>4955</v>
      </c>
      <c r="BA113" s="56">
        <v>2081100</v>
      </c>
      <c r="BB113" s="56">
        <v>0</v>
      </c>
      <c r="BC113" s="56">
        <v>0</v>
      </c>
      <c r="BD113" s="56">
        <v>2151820.9329626812</v>
      </c>
      <c r="BE113" s="40">
        <v>2151820.9329626812</v>
      </c>
      <c r="BF113" s="40">
        <v>0</v>
      </c>
      <c r="BG113" s="56">
        <v>2084147.48</v>
      </c>
      <c r="BH113" s="56">
        <v>1939129.52</v>
      </c>
      <c r="BI113" s="40">
        <v>2006802.9729626812</v>
      </c>
      <c r="BJ113" s="40">
        <v>4778.1023165778124</v>
      </c>
      <c r="BK113" s="40">
        <v>4763.3988545673074</v>
      </c>
      <c r="BL113" s="41">
        <v>3.0867585225215579E-3</v>
      </c>
      <c r="BM113" s="41">
        <v>0</v>
      </c>
      <c r="BN113" s="40">
        <v>0</v>
      </c>
      <c r="BO113" s="56">
        <v>2151820.9329626812</v>
      </c>
      <c r="BP113" s="56">
        <v>5116.1272689587649</v>
      </c>
      <c r="BQ113" s="56" t="s">
        <v>1006</v>
      </c>
      <c r="BR113" s="56">
        <v>5123.3831737206692</v>
      </c>
      <c r="BS113" s="47">
        <v>2.2268103271441131E-3</v>
      </c>
      <c r="BT113" s="40">
        <v>-10953.599999999999</v>
      </c>
      <c r="BU113" s="40">
        <v>2140867.3329626811</v>
      </c>
      <c r="BV113" s="40">
        <v>0</v>
      </c>
      <c r="BW113" s="40">
        <v>2140867.3329626811</v>
      </c>
      <c r="BX113" s="40">
        <v>3047.48</v>
      </c>
      <c r="BY113" s="40">
        <v>2137819.8529626811</v>
      </c>
    </row>
    <row r="114" spans="1:77">
      <c r="A114">
        <f>_xlfn.XLOOKUP(B114,'Summary Mar 2026'!B:B,'Summary Mar 2026'!A:A,0,0)</f>
        <v>3346</v>
      </c>
      <c r="B114" s="54">
        <v>103439</v>
      </c>
      <c r="C114" s="54">
        <v>3303346</v>
      </c>
      <c r="D114" s="55" t="s">
        <v>419</v>
      </c>
      <c r="E114" s="46">
        <v>356</v>
      </c>
      <c r="F114" s="46">
        <v>356</v>
      </c>
      <c r="G114" s="46">
        <v>0</v>
      </c>
      <c r="H114" s="40">
        <v>1365808.7383999999</v>
      </c>
      <c r="I114" s="40">
        <v>0</v>
      </c>
      <c r="J114" s="40">
        <v>0</v>
      </c>
      <c r="K114" s="40">
        <v>76038.239999999976</v>
      </c>
      <c r="L114" s="40">
        <v>0</v>
      </c>
      <c r="M114" s="40">
        <v>168016.68000000005</v>
      </c>
      <c r="N114" s="40">
        <v>0</v>
      </c>
      <c r="O114" s="40">
        <v>3773.2352000000001</v>
      </c>
      <c r="P114" s="40">
        <v>7722.086400000002</v>
      </c>
      <c r="Q114" s="40">
        <v>12503.859199999995</v>
      </c>
      <c r="R114" s="40">
        <v>29995.212800000074</v>
      </c>
      <c r="S114" s="40">
        <v>60010.496000000086</v>
      </c>
      <c r="T114" s="40">
        <v>52243.251200000072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51645.449967637571</v>
      </c>
      <c r="AB114" s="40">
        <v>0</v>
      </c>
      <c r="AC114" s="40">
        <v>218875.26991304348</v>
      </c>
      <c r="AD114" s="40">
        <v>0</v>
      </c>
      <c r="AE114" s="40">
        <v>34749.383628169067</v>
      </c>
      <c r="AF114" s="40">
        <v>0</v>
      </c>
      <c r="AG114" s="40">
        <v>141970.48000000001</v>
      </c>
      <c r="AH114" s="40">
        <v>0</v>
      </c>
      <c r="AI114" s="40">
        <v>0</v>
      </c>
      <c r="AJ114" s="40">
        <v>79252.990000000005</v>
      </c>
      <c r="AK114" s="40">
        <v>7128.45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1365808.7383999999</v>
      </c>
      <c r="AU114" s="40">
        <v>715573.16430885042</v>
      </c>
      <c r="AV114" s="40">
        <v>228351.92000000004</v>
      </c>
      <c r="AW114" s="40">
        <v>434874.80872104352</v>
      </c>
      <c r="AX114" s="56">
        <v>2309733.8227088503</v>
      </c>
      <c r="AY114" s="56">
        <v>2223352.3827088499</v>
      </c>
      <c r="AZ114" s="56">
        <v>4955</v>
      </c>
      <c r="BA114" s="56">
        <v>1763980</v>
      </c>
      <c r="BB114" s="56">
        <v>0</v>
      </c>
      <c r="BC114" s="56">
        <v>0</v>
      </c>
      <c r="BD114" s="56">
        <v>2309733.8227088503</v>
      </c>
      <c r="BE114" s="40">
        <v>2309733.8227088503</v>
      </c>
      <c r="BF114" s="40">
        <v>0</v>
      </c>
      <c r="BG114" s="56">
        <v>1850361.44</v>
      </c>
      <c r="BH114" s="56">
        <v>1622009.52</v>
      </c>
      <c r="BI114" s="40">
        <v>2081381.9027088503</v>
      </c>
      <c r="BJ114" s="40">
        <v>5846.5783783956467</v>
      </c>
      <c r="BK114" s="40">
        <v>5793.3659337912086</v>
      </c>
      <c r="BL114" s="41">
        <v>9.1850653337921702E-3</v>
      </c>
      <c r="BM114" s="41">
        <v>0</v>
      </c>
      <c r="BN114" s="40">
        <v>0</v>
      </c>
      <c r="BO114" s="56">
        <v>2309733.8227088503</v>
      </c>
      <c r="BP114" s="56">
        <v>6245.3718615417129</v>
      </c>
      <c r="BQ114" s="56" t="s">
        <v>1006</v>
      </c>
      <c r="BR114" s="56">
        <v>6488.0163559237371</v>
      </c>
      <c r="BS114" s="47">
        <v>8.9067586516287101E-3</v>
      </c>
      <c r="BT114" s="40">
        <v>-9284.48</v>
      </c>
      <c r="BU114" s="40">
        <v>2300449.3427088503</v>
      </c>
      <c r="BV114" s="40">
        <v>0</v>
      </c>
      <c r="BW114" s="40">
        <v>2300449.3427088503</v>
      </c>
      <c r="BX114" s="40">
        <v>7128.45</v>
      </c>
      <c r="BY114" s="40">
        <v>2293320.8927088501</v>
      </c>
    </row>
    <row r="115" spans="1:77">
      <c r="A115">
        <f>_xlfn.XLOOKUP(B115,'Summary Mar 2026'!B:B,'Summary Mar 2026'!A:A,0,0)</f>
        <v>3351</v>
      </c>
      <c r="B115" s="54">
        <v>103443</v>
      </c>
      <c r="C115" s="54">
        <v>3303351</v>
      </c>
      <c r="D115" s="55" t="s">
        <v>219</v>
      </c>
      <c r="E115" s="46">
        <v>208</v>
      </c>
      <c r="F115" s="46">
        <v>208</v>
      </c>
      <c r="G115" s="46">
        <v>0</v>
      </c>
      <c r="H115" s="40">
        <v>798000.61120000004</v>
      </c>
      <c r="I115" s="40">
        <v>0</v>
      </c>
      <c r="J115" s="40">
        <v>0</v>
      </c>
      <c r="K115" s="40">
        <v>48432.000000000022</v>
      </c>
      <c r="L115" s="40">
        <v>0</v>
      </c>
      <c r="M115" s="40">
        <v>107862.56000000001</v>
      </c>
      <c r="N115" s="40">
        <v>0</v>
      </c>
      <c r="O115" s="40">
        <v>235.82720000000012</v>
      </c>
      <c r="P115" s="40">
        <v>1716.0191999999972</v>
      </c>
      <c r="Q115" s="40">
        <v>22774.886400000029</v>
      </c>
      <c r="R115" s="40">
        <v>5408.9728000000023</v>
      </c>
      <c r="S115" s="40">
        <v>54270.361600000004</v>
      </c>
      <c r="T115" s="40">
        <v>10998.579199999996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10261.979661016949</v>
      </c>
      <c r="AB115" s="40">
        <v>0</v>
      </c>
      <c r="AC115" s="40">
        <v>78060.592551724083</v>
      </c>
      <c r="AD115" s="40">
        <v>0</v>
      </c>
      <c r="AE115" s="40">
        <v>0</v>
      </c>
      <c r="AF115" s="40">
        <v>0</v>
      </c>
      <c r="AG115" s="40">
        <v>141970.48000000001</v>
      </c>
      <c r="AH115" s="40">
        <v>0</v>
      </c>
      <c r="AI115" s="40">
        <v>0</v>
      </c>
      <c r="AJ115" s="40">
        <v>0</v>
      </c>
      <c r="AK115" s="40">
        <v>21610.93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798000.61120000004</v>
      </c>
      <c r="AU115" s="40">
        <v>340021.77861274109</v>
      </c>
      <c r="AV115" s="40">
        <v>163581.41</v>
      </c>
      <c r="AW115" s="40">
        <v>208572.33741572409</v>
      </c>
      <c r="AX115" s="56">
        <v>1301603.7998127411</v>
      </c>
      <c r="AY115" s="56">
        <v>1279992.8698127412</v>
      </c>
      <c r="AZ115" s="56">
        <v>4955</v>
      </c>
      <c r="BA115" s="56">
        <v>1030640</v>
      </c>
      <c r="BB115" s="56">
        <v>0</v>
      </c>
      <c r="BC115" s="56">
        <v>0</v>
      </c>
      <c r="BD115" s="56">
        <v>1301603.7998127411</v>
      </c>
      <c r="BE115" s="40">
        <v>1301603.7998127411</v>
      </c>
      <c r="BF115" s="40">
        <v>0</v>
      </c>
      <c r="BG115" s="56">
        <v>1052250.93</v>
      </c>
      <c r="BH115" s="56">
        <v>888669.5199999999</v>
      </c>
      <c r="BI115" s="40">
        <v>1138022.3898127412</v>
      </c>
      <c r="BJ115" s="40">
        <v>5471.2614894843327</v>
      </c>
      <c r="BK115" s="40">
        <v>5548.7612976303326</v>
      </c>
      <c r="BL115" s="41">
        <v>-1.3967046695466447E-2</v>
      </c>
      <c r="BM115" s="41">
        <v>1.3967046695466447E-2</v>
      </c>
      <c r="BN115" s="40">
        <v>16119.960094367969</v>
      </c>
      <c r="BO115" s="56">
        <v>1317723.7599071092</v>
      </c>
      <c r="BP115" s="56">
        <v>6231.3116822457177</v>
      </c>
      <c r="BQ115" s="56" t="s">
        <v>1006</v>
      </c>
      <c r="BR115" s="56">
        <v>6335.210384168794</v>
      </c>
      <c r="BS115" s="47">
        <v>1.7681356611518595E-3</v>
      </c>
      <c r="BT115" s="40">
        <v>-5424.6399999999994</v>
      </c>
      <c r="BU115" s="40">
        <v>1312299.1199071093</v>
      </c>
      <c r="BV115" s="40">
        <v>0</v>
      </c>
      <c r="BW115" s="40">
        <v>1312299.1199071093</v>
      </c>
      <c r="BX115" s="40">
        <v>21610.93</v>
      </c>
      <c r="BY115" s="40">
        <v>1290688.1899071094</v>
      </c>
    </row>
    <row r="116" spans="1:77">
      <c r="A116">
        <f>_xlfn.XLOOKUP(B116,'Summary Mar 2026'!B:B,'Summary Mar 2026'!A:A,0,0)</f>
        <v>3352</v>
      </c>
      <c r="B116" s="54">
        <v>103444</v>
      </c>
      <c r="C116" s="54">
        <v>3303352</v>
      </c>
      <c r="D116" s="55" t="s">
        <v>1148</v>
      </c>
      <c r="E116" s="46">
        <v>151</v>
      </c>
      <c r="F116" s="46">
        <v>151</v>
      </c>
      <c r="G116" s="46">
        <v>0</v>
      </c>
      <c r="H116" s="40">
        <v>579317.75140000007</v>
      </c>
      <c r="I116" s="40">
        <v>0</v>
      </c>
      <c r="J116" s="40">
        <v>0</v>
      </c>
      <c r="K116" s="40">
        <v>23731.679999999989</v>
      </c>
      <c r="L116" s="40">
        <v>0</v>
      </c>
      <c r="M116" s="40">
        <v>51857.00000000008</v>
      </c>
      <c r="N116" s="40">
        <v>0</v>
      </c>
      <c r="O116" s="40">
        <v>707.48160000000109</v>
      </c>
      <c r="P116" s="40">
        <v>3146.0351999999998</v>
      </c>
      <c r="Q116" s="40">
        <v>6251.9296000000013</v>
      </c>
      <c r="R116" s="40">
        <v>6392.4224000000022</v>
      </c>
      <c r="S116" s="40">
        <v>12523.929599999972</v>
      </c>
      <c r="T116" s="40">
        <v>3437.056000000005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25499.934809160342</v>
      </c>
      <c r="AB116" s="40">
        <v>0</v>
      </c>
      <c r="AC116" s="40">
        <v>54388.160195341865</v>
      </c>
      <c r="AD116" s="40">
        <v>0</v>
      </c>
      <c r="AE116" s="40">
        <v>0</v>
      </c>
      <c r="AF116" s="40">
        <v>0</v>
      </c>
      <c r="AG116" s="40">
        <v>141970.48000000001</v>
      </c>
      <c r="AH116" s="40">
        <v>0</v>
      </c>
      <c r="AI116" s="40">
        <v>0</v>
      </c>
      <c r="AJ116" s="40">
        <v>0</v>
      </c>
      <c r="AK116" s="40">
        <v>7207.96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0</v>
      </c>
      <c r="AR116" s="40">
        <v>0</v>
      </c>
      <c r="AS116" s="40">
        <v>0</v>
      </c>
      <c r="AT116" s="40">
        <v>579317.75140000007</v>
      </c>
      <c r="AU116" s="40">
        <v>187935.62940450225</v>
      </c>
      <c r="AV116" s="40">
        <v>149178.44</v>
      </c>
      <c r="AW116" s="40">
        <v>122251.16014934189</v>
      </c>
      <c r="AX116" s="56">
        <v>916431.82080450235</v>
      </c>
      <c r="AY116" s="56">
        <v>909223.86080450239</v>
      </c>
      <c r="AZ116" s="56">
        <v>4955</v>
      </c>
      <c r="BA116" s="56">
        <v>748205</v>
      </c>
      <c r="BB116" s="56">
        <v>0</v>
      </c>
      <c r="BC116" s="56">
        <v>0</v>
      </c>
      <c r="BD116" s="56">
        <v>916431.82080450235</v>
      </c>
      <c r="BE116" s="40">
        <v>916431.82080450235</v>
      </c>
      <c r="BF116" s="40">
        <v>0</v>
      </c>
      <c r="BG116" s="56">
        <v>755412.96</v>
      </c>
      <c r="BH116" s="56">
        <v>606234.52</v>
      </c>
      <c r="BI116" s="40">
        <v>767253.38080450241</v>
      </c>
      <c r="BJ116" s="40">
        <v>5081.1482172483602</v>
      </c>
      <c r="BK116" s="40">
        <v>5115.7955720430109</v>
      </c>
      <c r="BL116" s="41">
        <v>-6.7726230078451249E-3</v>
      </c>
      <c r="BM116" s="41">
        <v>6.7726230078451249E-3</v>
      </c>
      <c r="BN116" s="40">
        <v>5231.7505739922572</v>
      </c>
      <c r="BO116" s="56">
        <v>921663.57137849461</v>
      </c>
      <c r="BP116" s="56">
        <v>6055.997426347647</v>
      </c>
      <c r="BQ116" s="56" t="s">
        <v>1006</v>
      </c>
      <c r="BR116" s="56">
        <v>6103.7322607847327</v>
      </c>
      <c r="BS116" s="47">
        <v>3.1413889709258846E-2</v>
      </c>
      <c r="BT116" s="40">
        <v>-3938.08</v>
      </c>
      <c r="BU116" s="40">
        <v>917725.49137849465</v>
      </c>
      <c r="BV116" s="40">
        <v>0</v>
      </c>
      <c r="BW116" s="40">
        <v>917725.49137849465</v>
      </c>
      <c r="BX116" s="40">
        <v>7207.96</v>
      </c>
      <c r="BY116" s="40">
        <v>910517.53137849469</v>
      </c>
    </row>
    <row r="117" spans="1:77">
      <c r="A117">
        <f>_xlfn.XLOOKUP(B117,'Summary Mar 2026'!B:B,'Summary Mar 2026'!A:A,0,0)</f>
        <v>3353</v>
      </c>
      <c r="B117" s="54">
        <v>103445</v>
      </c>
      <c r="C117" s="54">
        <v>3303353</v>
      </c>
      <c r="D117" s="55" t="s">
        <v>70</v>
      </c>
      <c r="E117" s="46">
        <v>650</v>
      </c>
      <c r="F117" s="46">
        <v>650</v>
      </c>
      <c r="G117" s="46">
        <v>0</v>
      </c>
      <c r="H117" s="40">
        <v>2493751.91</v>
      </c>
      <c r="I117" s="40">
        <v>0</v>
      </c>
      <c r="J117" s="40">
        <v>0</v>
      </c>
      <c r="K117" s="40">
        <v>36323.999999999884</v>
      </c>
      <c r="L117" s="40">
        <v>0</v>
      </c>
      <c r="M117" s="40">
        <v>94379.74000000002</v>
      </c>
      <c r="N117" s="40">
        <v>0</v>
      </c>
      <c r="O117" s="40">
        <v>5188.1983999999929</v>
      </c>
      <c r="P117" s="40">
        <v>4004.0447999999928</v>
      </c>
      <c r="Q117" s="40">
        <v>8931.3280000000068</v>
      </c>
      <c r="R117" s="40">
        <v>8359.3216000000157</v>
      </c>
      <c r="S117" s="40">
        <v>15133.081599999996</v>
      </c>
      <c r="T117" s="40">
        <v>4124.4671999999991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26400.732558139527</v>
      </c>
      <c r="AB117" s="40">
        <v>0</v>
      </c>
      <c r="AC117" s="40">
        <v>161267.93834772275</v>
      </c>
      <c r="AD117" s="40">
        <v>0</v>
      </c>
      <c r="AE117" s="40">
        <v>0</v>
      </c>
      <c r="AF117" s="40">
        <v>0</v>
      </c>
      <c r="AG117" s="40">
        <v>141970.48000000001</v>
      </c>
      <c r="AH117" s="40">
        <v>0</v>
      </c>
      <c r="AI117" s="40">
        <v>0</v>
      </c>
      <c r="AJ117" s="40">
        <v>0</v>
      </c>
      <c r="AK117" s="40">
        <v>11218.18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2493751.91</v>
      </c>
      <c r="AU117" s="40">
        <v>364112.85250586225</v>
      </c>
      <c r="AV117" s="40">
        <v>153188.66</v>
      </c>
      <c r="AW117" s="40">
        <v>349475.43922372267</v>
      </c>
      <c r="AX117" s="56">
        <v>3011053.4225058625</v>
      </c>
      <c r="AY117" s="56">
        <v>2999835.2425058624</v>
      </c>
      <c r="AZ117" s="56">
        <v>4955</v>
      </c>
      <c r="BA117" s="56">
        <v>3220750</v>
      </c>
      <c r="BB117" s="56">
        <v>220914.75749413762</v>
      </c>
      <c r="BC117" s="56">
        <v>0</v>
      </c>
      <c r="BD117" s="56">
        <v>3231968.18</v>
      </c>
      <c r="BE117" s="40">
        <v>3231968.1800000006</v>
      </c>
      <c r="BF117" s="40">
        <v>0</v>
      </c>
      <c r="BG117" s="56">
        <v>3231968.18</v>
      </c>
      <c r="BH117" s="56">
        <v>3078779.52</v>
      </c>
      <c r="BI117" s="40">
        <v>3078779.52</v>
      </c>
      <c r="BJ117" s="40">
        <v>4736.5838769230768</v>
      </c>
      <c r="BK117" s="40">
        <v>4707.2350151840492</v>
      </c>
      <c r="BL117" s="41">
        <v>6.2348409723239793E-3</v>
      </c>
      <c r="BM117" s="41">
        <v>0</v>
      </c>
      <c r="BN117" s="40">
        <v>0</v>
      </c>
      <c r="BO117" s="56">
        <v>3231968.18</v>
      </c>
      <c r="BP117" s="56">
        <v>4955</v>
      </c>
      <c r="BQ117" s="56" t="s">
        <v>1006</v>
      </c>
      <c r="BR117" s="56">
        <v>4972.258738461539</v>
      </c>
      <c r="BS117" s="47">
        <v>6.0847133223380645E-3</v>
      </c>
      <c r="BT117" s="40">
        <v>-16952</v>
      </c>
      <c r="BU117" s="40">
        <v>3215016.18</v>
      </c>
      <c r="BV117" s="40">
        <v>0</v>
      </c>
      <c r="BW117" s="40">
        <v>3215016.18</v>
      </c>
      <c r="BX117" s="40">
        <v>11218.18</v>
      </c>
      <c r="BY117" s="40">
        <v>3203798</v>
      </c>
    </row>
    <row r="118" spans="1:77">
      <c r="A118">
        <f>_xlfn.XLOOKUP(B118,'Summary Mar 2026'!B:B,'Summary Mar 2026'!A:A,0,0)</f>
        <v>3355</v>
      </c>
      <c r="B118" s="54">
        <v>103447</v>
      </c>
      <c r="C118" s="54">
        <v>3303355</v>
      </c>
      <c r="D118" s="55" t="s">
        <v>271</v>
      </c>
      <c r="E118" s="46">
        <v>390</v>
      </c>
      <c r="F118" s="46">
        <v>390</v>
      </c>
      <c r="G118" s="46">
        <v>0</v>
      </c>
      <c r="H118" s="40">
        <v>1496251.1459999999</v>
      </c>
      <c r="I118" s="40">
        <v>0</v>
      </c>
      <c r="J118" s="40">
        <v>0</v>
      </c>
      <c r="K118" s="40">
        <v>41167.200000000012</v>
      </c>
      <c r="L118" s="40">
        <v>0</v>
      </c>
      <c r="M118" s="40">
        <v>93342.600000000093</v>
      </c>
      <c r="N118" s="40">
        <v>0</v>
      </c>
      <c r="O118" s="40">
        <v>2829.9264000000026</v>
      </c>
      <c r="P118" s="40">
        <v>27742.310400000031</v>
      </c>
      <c r="Q118" s="40">
        <v>10271.027200000004</v>
      </c>
      <c r="R118" s="40">
        <v>9834.4960000000046</v>
      </c>
      <c r="S118" s="40">
        <v>14089.420799999996</v>
      </c>
      <c r="T118" s="40">
        <v>10311.168000000011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42850.991830985869</v>
      </c>
      <c r="AB118" s="40">
        <v>0</v>
      </c>
      <c r="AC118" s="40">
        <v>165771.41626565921</v>
      </c>
      <c r="AD118" s="40">
        <v>0</v>
      </c>
      <c r="AE118" s="40">
        <v>13785.173999999986</v>
      </c>
      <c r="AF118" s="40">
        <v>0</v>
      </c>
      <c r="AG118" s="40">
        <v>141970.48000000001</v>
      </c>
      <c r="AH118" s="40">
        <v>0</v>
      </c>
      <c r="AI118" s="40">
        <v>0</v>
      </c>
      <c r="AJ118" s="40">
        <v>0</v>
      </c>
      <c r="AK118" s="40">
        <v>6200.96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1496251.1459999999</v>
      </c>
      <c r="AU118" s="40">
        <v>431995.73089664523</v>
      </c>
      <c r="AV118" s="40">
        <v>148171.44</v>
      </c>
      <c r="AW118" s="40">
        <v>316035.70713365928</v>
      </c>
      <c r="AX118" s="56">
        <v>2076418.3168966451</v>
      </c>
      <c r="AY118" s="56">
        <v>2070217.3568966452</v>
      </c>
      <c r="AZ118" s="56">
        <v>4955</v>
      </c>
      <c r="BA118" s="56">
        <v>1932450</v>
      </c>
      <c r="BB118" s="56">
        <v>0</v>
      </c>
      <c r="BC118" s="56">
        <v>0</v>
      </c>
      <c r="BD118" s="56">
        <v>2076418.3168966451</v>
      </c>
      <c r="BE118" s="40">
        <v>2076418.3168966449</v>
      </c>
      <c r="BF118" s="40">
        <v>0</v>
      </c>
      <c r="BG118" s="56">
        <v>1938650.96</v>
      </c>
      <c r="BH118" s="56">
        <v>1790479.52</v>
      </c>
      <c r="BI118" s="40">
        <v>1928246.8768966452</v>
      </c>
      <c r="BJ118" s="40">
        <v>4944.2227612734496</v>
      </c>
      <c r="BK118" s="40">
        <v>4945.9569746341467</v>
      </c>
      <c r="BL118" s="41">
        <v>-3.5063252058018966E-4</v>
      </c>
      <c r="BM118" s="41">
        <v>3.5063252058018966E-4</v>
      </c>
      <c r="BN118" s="40">
        <v>676.34321067188455</v>
      </c>
      <c r="BO118" s="56">
        <v>2077094.6601073169</v>
      </c>
      <c r="BP118" s="56">
        <v>5309.9838464290178</v>
      </c>
      <c r="BQ118" s="56" t="s">
        <v>1006</v>
      </c>
      <c r="BR118" s="56">
        <v>5325.8837438649152</v>
      </c>
      <c r="BS118" s="47">
        <v>3.4919518368918823E-3</v>
      </c>
      <c r="BT118" s="40">
        <v>-10171.199999999999</v>
      </c>
      <c r="BU118" s="40">
        <v>2066923.460107317</v>
      </c>
      <c r="BV118" s="40">
        <v>0</v>
      </c>
      <c r="BW118" s="40">
        <v>2066923.460107317</v>
      </c>
      <c r="BX118" s="40">
        <v>6200.96</v>
      </c>
      <c r="BY118" s="40">
        <v>2060722.500107317</v>
      </c>
    </row>
    <row r="119" spans="1:77">
      <c r="A119">
        <f>_xlfn.XLOOKUP(B119,'Summary Mar 2026'!B:B,'Summary Mar 2026'!A:A,0,0)</f>
        <v>3361</v>
      </c>
      <c r="B119" s="54">
        <v>103453</v>
      </c>
      <c r="C119" s="54">
        <v>3303361</v>
      </c>
      <c r="D119" s="55" t="s">
        <v>1149</v>
      </c>
      <c r="E119" s="46">
        <v>329</v>
      </c>
      <c r="F119" s="46">
        <v>329</v>
      </c>
      <c r="G119" s="46">
        <v>0</v>
      </c>
      <c r="H119" s="40">
        <v>1262222.1206</v>
      </c>
      <c r="I119" s="40">
        <v>0</v>
      </c>
      <c r="J119" s="40">
        <v>0</v>
      </c>
      <c r="K119" s="40">
        <v>77491.199999999983</v>
      </c>
      <c r="L119" s="40">
        <v>0</v>
      </c>
      <c r="M119" s="40">
        <v>166979.54000000015</v>
      </c>
      <c r="N119" s="40">
        <v>0</v>
      </c>
      <c r="O119" s="40">
        <v>3301.5808000000002</v>
      </c>
      <c r="P119" s="40">
        <v>12584.140799999981</v>
      </c>
      <c r="Q119" s="40">
        <v>15183.257600000044</v>
      </c>
      <c r="R119" s="40">
        <v>36879.359999999957</v>
      </c>
      <c r="S119" s="40">
        <v>44355.584000000039</v>
      </c>
      <c r="T119" s="40">
        <v>25434.214399999917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38306.785999999993</v>
      </c>
      <c r="AB119" s="40">
        <v>0</v>
      </c>
      <c r="AC119" s="40">
        <v>89842.712896865472</v>
      </c>
      <c r="AD119" s="40">
        <v>0</v>
      </c>
      <c r="AE119" s="40">
        <v>0</v>
      </c>
      <c r="AF119" s="40">
        <v>0</v>
      </c>
      <c r="AG119" s="40">
        <v>141970.48000000001</v>
      </c>
      <c r="AH119" s="40">
        <v>0</v>
      </c>
      <c r="AI119" s="40">
        <v>0</v>
      </c>
      <c r="AJ119" s="40">
        <v>0</v>
      </c>
      <c r="AK119" s="40">
        <v>6942.96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1262222.1206</v>
      </c>
      <c r="AU119" s="40">
        <v>510358.37649686553</v>
      </c>
      <c r="AV119" s="40">
        <v>148913.44</v>
      </c>
      <c r="AW119" s="40">
        <v>290549.01486286544</v>
      </c>
      <c r="AX119" s="56">
        <v>1921493.9370968654</v>
      </c>
      <c r="AY119" s="56">
        <v>1914550.9770968654</v>
      </c>
      <c r="AZ119" s="56">
        <v>4955</v>
      </c>
      <c r="BA119" s="56">
        <v>1630195</v>
      </c>
      <c r="BB119" s="56">
        <v>0</v>
      </c>
      <c r="BC119" s="56">
        <v>0</v>
      </c>
      <c r="BD119" s="56">
        <v>1921493.9370968654</v>
      </c>
      <c r="BE119" s="40">
        <v>1921493.9370968658</v>
      </c>
      <c r="BF119" s="40">
        <v>0</v>
      </c>
      <c r="BG119" s="56">
        <v>1637137.96</v>
      </c>
      <c r="BH119" s="56">
        <v>1488224.52</v>
      </c>
      <c r="BI119" s="40">
        <v>1772580.4970968654</v>
      </c>
      <c r="BJ119" s="40">
        <v>5387.7826659479197</v>
      </c>
      <c r="BK119" s="40">
        <v>5329.041974566474</v>
      </c>
      <c r="BL119" s="41">
        <v>1.1022748865892417E-2</v>
      </c>
      <c r="BM119" s="41">
        <v>0</v>
      </c>
      <c r="BN119" s="40">
        <v>0</v>
      </c>
      <c r="BO119" s="56">
        <v>1921493.9370968654</v>
      </c>
      <c r="BP119" s="56">
        <v>5819.3038817533907</v>
      </c>
      <c r="BQ119" s="56" t="s">
        <v>1006</v>
      </c>
      <c r="BR119" s="56">
        <v>5840.4071036378891</v>
      </c>
      <c r="BS119" s="47">
        <v>1.4060331929317105E-2</v>
      </c>
      <c r="BT119" s="40">
        <v>-8580.32</v>
      </c>
      <c r="BU119" s="40">
        <v>1912913.6170968653</v>
      </c>
      <c r="BV119" s="40">
        <v>0</v>
      </c>
      <c r="BW119" s="40">
        <v>1912913.6170968653</v>
      </c>
      <c r="BX119" s="40">
        <v>6942.96</v>
      </c>
      <c r="BY119" s="40">
        <v>1905970.6570968654</v>
      </c>
    </row>
    <row r="120" spans="1:77">
      <c r="A120">
        <f>_xlfn.XLOOKUP(B120,'Summary Mar 2026'!B:B,'Summary Mar 2026'!A:A,0,0)</f>
        <v>3363</v>
      </c>
      <c r="B120" s="54">
        <v>103455</v>
      </c>
      <c r="C120" s="54">
        <v>3303363</v>
      </c>
      <c r="D120" s="55" t="s">
        <v>269</v>
      </c>
      <c r="E120" s="46">
        <v>291</v>
      </c>
      <c r="F120" s="46">
        <v>291</v>
      </c>
      <c r="G120" s="46">
        <v>0</v>
      </c>
      <c r="H120" s="40">
        <v>1116433.5474</v>
      </c>
      <c r="I120" s="40">
        <v>0</v>
      </c>
      <c r="J120" s="40">
        <v>0</v>
      </c>
      <c r="K120" s="40">
        <v>45526.080000000024</v>
      </c>
      <c r="L120" s="40">
        <v>0</v>
      </c>
      <c r="M120" s="40">
        <v>99565.440000000061</v>
      </c>
      <c r="N120" s="40">
        <v>0</v>
      </c>
      <c r="O120" s="40">
        <v>1650.790399999999</v>
      </c>
      <c r="P120" s="40">
        <v>18876.211199999983</v>
      </c>
      <c r="Q120" s="40">
        <v>7591.6288000000013</v>
      </c>
      <c r="R120" s="40">
        <v>7867.5967999999993</v>
      </c>
      <c r="S120" s="40">
        <v>19307.724799999993</v>
      </c>
      <c r="T120" s="40">
        <v>13748.224000000009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16811.825267175565</v>
      </c>
      <c r="AB120" s="40">
        <v>0</v>
      </c>
      <c r="AC120" s="40">
        <v>93457.583562752989</v>
      </c>
      <c r="AD120" s="40">
        <v>0</v>
      </c>
      <c r="AE120" s="40">
        <v>3342.4325999999878</v>
      </c>
      <c r="AF120" s="40">
        <v>0</v>
      </c>
      <c r="AG120" s="40">
        <v>141970.48000000001</v>
      </c>
      <c r="AH120" s="40">
        <v>0</v>
      </c>
      <c r="AI120" s="40">
        <v>0</v>
      </c>
      <c r="AJ120" s="40">
        <v>0</v>
      </c>
      <c r="AK120" s="40">
        <v>3073.98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1116433.5474</v>
      </c>
      <c r="AU120" s="40">
        <v>327745.5374299286</v>
      </c>
      <c r="AV120" s="40">
        <v>145044.46000000002</v>
      </c>
      <c r="AW120" s="40">
        <v>226367.391492753</v>
      </c>
      <c r="AX120" s="56">
        <v>1589223.5448299285</v>
      </c>
      <c r="AY120" s="56">
        <v>1586149.5648299286</v>
      </c>
      <c r="AZ120" s="56">
        <v>4955</v>
      </c>
      <c r="BA120" s="56">
        <v>1441905</v>
      </c>
      <c r="BB120" s="56">
        <v>0</v>
      </c>
      <c r="BC120" s="56">
        <v>0</v>
      </c>
      <c r="BD120" s="56">
        <v>1589223.5448299285</v>
      </c>
      <c r="BE120" s="40">
        <v>1589223.5448299285</v>
      </c>
      <c r="BF120" s="40">
        <v>0</v>
      </c>
      <c r="BG120" s="56">
        <v>1444978.98</v>
      </c>
      <c r="BH120" s="56">
        <v>1299934.52</v>
      </c>
      <c r="BI120" s="40">
        <v>1444179.0848299286</v>
      </c>
      <c r="BJ120" s="40">
        <v>4962.8147245014725</v>
      </c>
      <c r="BK120" s="40">
        <v>5030.9462788819883</v>
      </c>
      <c r="BL120" s="41">
        <v>-1.3542492923549259E-2</v>
      </c>
      <c r="BM120" s="41">
        <v>1.3542492923549259E-2</v>
      </c>
      <c r="BN120" s="40">
        <v>19826.282324730098</v>
      </c>
      <c r="BO120" s="56">
        <v>1609049.8271546587</v>
      </c>
      <c r="BP120" s="56">
        <v>5518.8173441740846</v>
      </c>
      <c r="BQ120" s="56" t="s">
        <v>1006</v>
      </c>
      <c r="BR120" s="56">
        <v>5529.3808493287243</v>
      </c>
      <c r="BS120" s="47">
        <v>8.7543294495373569E-3</v>
      </c>
      <c r="BT120" s="40">
        <v>-7589.28</v>
      </c>
      <c r="BU120" s="40">
        <v>1601460.5471546587</v>
      </c>
      <c r="BV120" s="40">
        <v>0</v>
      </c>
      <c r="BW120" s="40">
        <v>1601460.5471546587</v>
      </c>
      <c r="BX120" s="40">
        <v>3073.98</v>
      </c>
      <c r="BY120" s="40">
        <v>1598386.5671546587</v>
      </c>
    </row>
    <row r="121" spans="1:77">
      <c r="A121">
        <f>_xlfn.XLOOKUP(B121,'Summary Mar 2026'!B:B,'Summary Mar 2026'!A:A,0,0)</f>
        <v>3365</v>
      </c>
      <c r="B121" s="54">
        <v>103456</v>
      </c>
      <c r="C121" s="54">
        <v>3303365</v>
      </c>
      <c r="D121" s="55" t="s">
        <v>421</v>
      </c>
      <c r="E121" s="46">
        <v>209</v>
      </c>
      <c r="F121" s="46">
        <v>209</v>
      </c>
      <c r="G121" s="46">
        <v>0</v>
      </c>
      <c r="H121" s="40">
        <v>801837.15260000003</v>
      </c>
      <c r="I121" s="40">
        <v>0</v>
      </c>
      <c r="J121" s="40">
        <v>0</v>
      </c>
      <c r="K121" s="40">
        <v>22763.040000000041</v>
      </c>
      <c r="L121" s="40">
        <v>0</v>
      </c>
      <c r="M121" s="40">
        <v>48745.580000000096</v>
      </c>
      <c r="N121" s="40">
        <v>0</v>
      </c>
      <c r="O121" s="40">
        <v>18630.348800000022</v>
      </c>
      <c r="P121" s="40">
        <v>6578.0735999999906</v>
      </c>
      <c r="Q121" s="40">
        <v>4465.6639999999989</v>
      </c>
      <c r="R121" s="40">
        <v>6884.1472000000049</v>
      </c>
      <c r="S121" s="40">
        <v>14089.420799999956</v>
      </c>
      <c r="T121" s="40">
        <v>687.41119999999989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27038.56222222219</v>
      </c>
      <c r="AB121" s="40">
        <v>0</v>
      </c>
      <c r="AC121" s="40">
        <v>89745.047023144507</v>
      </c>
      <c r="AD121" s="40">
        <v>0</v>
      </c>
      <c r="AE121" s="40">
        <v>0</v>
      </c>
      <c r="AF121" s="40">
        <v>0</v>
      </c>
      <c r="AG121" s="40">
        <v>141970.48000000001</v>
      </c>
      <c r="AH121" s="40">
        <v>0</v>
      </c>
      <c r="AI121" s="40">
        <v>0</v>
      </c>
      <c r="AJ121" s="40">
        <v>0</v>
      </c>
      <c r="AK121" s="40">
        <v>3736.48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801837.15260000003</v>
      </c>
      <c r="AU121" s="40">
        <v>239627.29484536679</v>
      </c>
      <c r="AV121" s="40">
        <v>145706.96000000002</v>
      </c>
      <c r="AW121" s="40">
        <v>174060.63146914454</v>
      </c>
      <c r="AX121" s="56">
        <v>1187171.4074453667</v>
      </c>
      <c r="AY121" s="56">
        <v>1183434.9274453667</v>
      </c>
      <c r="AZ121" s="56">
        <v>4955</v>
      </c>
      <c r="BA121" s="56">
        <v>1035595</v>
      </c>
      <c r="BB121" s="56">
        <v>0</v>
      </c>
      <c r="BC121" s="56">
        <v>0</v>
      </c>
      <c r="BD121" s="56">
        <v>1187171.4074453667</v>
      </c>
      <c r="BE121" s="40">
        <v>1187171.407445367</v>
      </c>
      <c r="BF121" s="40">
        <v>0</v>
      </c>
      <c r="BG121" s="56">
        <v>1039331.48</v>
      </c>
      <c r="BH121" s="56">
        <v>893624.52</v>
      </c>
      <c r="BI121" s="40">
        <v>1041464.4474453668</v>
      </c>
      <c r="BJ121" s="40">
        <v>4983.0834805998411</v>
      </c>
      <c r="BK121" s="40">
        <v>4944.9730818181815</v>
      </c>
      <c r="BL121" s="41">
        <v>7.7068971157365799E-3</v>
      </c>
      <c r="BM121" s="41">
        <v>0</v>
      </c>
      <c r="BN121" s="40">
        <v>0</v>
      </c>
      <c r="BO121" s="56">
        <v>1187171.4074453667</v>
      </c>
      <c r="BP121" s="56">
        <v>5662.3680739012761</v>
      </c>
      <c r="BQ121" s="56" t="s">
        <v>1006</v>
      </c>
      <c r="BR121" s="56">
        <v>5680.245968638118</v>
      </c>
      <c r="BS121" s="47">
        <v>6.7546052925895328E-3</v>
      </c>
      <c r="BT121" s="40">
        <v>-5450.7199999999993</v>
      </c>
      <c r="BU121" s="40">
        <v>1181720.6874453668</v>
      </c>
      <c r="BV121" s="40">
        <v>0</v>
      </c>
      <c r="BW121" s="40">
        <v>1181720.6874453668</v>
      </c>
      <c r="BX121" s="40">
        <v>3736.48</v>
      </c>
      <c r="BY121" s="40">
        <v>1177984.2074453668</v>
      </c>
    </row>
    <row r="122" spans="1:77">
      <c r="A122">
        <f>_xlfn.XLOOKUP(B122,'Summary Mar 2026'!B:B,'Summary Mar 2026'!A:A,0,0)</f>
        <v>3367</v>
      </c>
      <c r="B122" s="54">
        <v>103458</v>
      </c>
      <c r="C122" s="54">
        <v>3303367</v>
      </c>
      <c r="D122" s="55" t="s">
        <v>1150</v>
      </c>
      <c r="E122" s="46">
        <v>207</v>
      </c>
      <c r="F122" s="46">
        <v>207</v>
      </c>
      <c r="G122" s="46">
        <v>0</v>
      </c>
      <c r="H122" s="40">
        <v>794164.06980000006</v>
      </c>
      <c r="I122" s="40">
        <v>0</v>
      </c>
      <c r="J122" s="40">
        <v>0</v>
      </c>
      <c r="K122" s="40">
        <v>47463.359999999979</v>
      </c>
      <c r="L122" s="40">
        <v>0</v>
      </c>
      <c r="M122" s="40">
        <v>102676.85999999994</v>
      </c>
      <c r="N122" s="40">
        <v>0</v>
      </c>
      <c r="O122" s="40">
        <v>8725.6064000000006</v>
      </c>
      <c r="P122" s="40">
        <v>286.00320000000033</v>
      </c>
      <c r="Q122" s="40">
        <v>6698.4959999999974</v>
      </c>
      <c r="R122" s="40">
        <v>3442.0735999999956</v>
      </c>
      <c r="S122" s="40">
        <v>49573.888000000021</v>
      </c>
      <c r="T122" s="40">
        <v>28871.270400000045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8124.2150561797816</v>
      </c>
      <c r="AB122" s="40">
        <v>0</v>
      </c>
      <c r="AC122" s="40">
        <v>56864.714681697646</v>
      </c>
      <c r="AD122" s="40">
        <v>0</v>
      </c>
      <c r="AE122" s="40">
        <v>0</v>
      </c>
      <c r="AF122" s="40">
        <v>0</v>
      </c>
      <c r="AG122" s="40">
        <v>141970.48000000001</v>
      </c>
      <c r="AH122" s="40">
        <v>0</v>
      </c>
      <c r="AI122" s="40">
        <v>0</v>
      </c>
      <c r="AJ122" s="40">
        <v>0</v>
      </c>
      <c r="AK122" s="40">
        <v>3141.82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794164.06980000006</v>
      </c>
      <c r="AU122" s="40">
        <v>312726.48733787739</v>
      </c>
      <c r="AV122" s="40">
        <v>145112.30000000002</v>
      </c>
      <c r="AW122" s="40">
        <v>185758.43890769765</v>
      </c>
      <c r="AX122" s="56">
        <v>1252002.8571378775</v>
      </c>
      <c r="AY122" s="56">
        <v>1248861.0371378774</v>
      </c>
      <c r="AZ122" s="56">
        <v>4955</v>
      </c>
      <c r="BA122" s="56">
        <v>1025685</v>
      </c>
      <c r="BB122" s="56">
        <v>0</v>
      </c>
      <c r="BC122" s="56">
        <v>0</v>
      </c>
      <c r="BD122" s="56">
        <v>1252002.8571378775</v>
      </c>
      <c r="BE122" s="40">
        <v>1252002.8571378775</v>
      </c>
      <c r="BF122" s="40">
        <v>0</v>
      </c>
      <c r="BG122" s="56">
        <v>1028826.82</v>
      </c>
      <c r="BH122" s="56">
        <v>883714.52</v>
      </c>
      <c r="BI122" s="40">
        <v>1106890.5571378774</v>
      </c>
      <c r="BJ122" s="40">
        <v>5347.2973774776692</v>
      </c>
      <c r="BK122" s="40">
        <v>5253.5890519417462</v>
      </c>
      <c r="BL122" s="41">
        <v>1.7837010967062229E-2</v>
      </c>
      <c r="BM122" s="41">
        <v>0</v>
      </c>
      <c r="BN122" s="40">
        <v>0</v>
      </c>
      <c r="BO122" s="56">
        <v>1252002.8571378775</v>
      </c>
      <c r="BP122" s="56">
        <v>6033.1451069462673</v>
      </c>
      <c r="BQ122" s="56" t="s">
        <v>1006</v>
      </c>
      <c r="BR122" s="56">
        <v>6048.3229813424032</v>
      </c>
      <c r="BS122" s="47">
        <v>1.5156935289790008E-2</v>
      </c>
      <c r="BT122" s="40">
        <v>-5398.5599999999995</v>
      </c>
      <c r="BU122" s="40">
        <v>1246604.2971378774</v>
      </c>
      <c r="BV122" s="40">
        <v>0</v>
      </c>
      <c r="BW122" s="40">
        <v>1246604.2971378774</v>
      </c>
      <c r="BX122" s="40">
        <v>3141.82</v>
      </c>
      <c r="BY122" s="40">
        <v>1243462.4771378774</v>
      </c>
    </row>
    <row r="123" spans="1:77">
      <c r="A123">
        <f>_xlfn.XLOOKUP(B123,'Summary Mar 2026'!B:B,'Summary Mar 2026'!A:A,0,0)</f>
        <v>3371</v>
      </c>
      <c r="B123" s="54">
        <v>103459</v>
      </c>
      <c r="C123" s="54">
        <v>3303371</v>
      </c>
      <c r="D123" s="55" t="s">
        <v>281</v>
      </c>
      <c r="E123" s="46">
        <v>268</v>
      </c>
      <c r="F123" s="46">
        <v>268</v>
      </c>
      <c r="G123" s="46">
        <v>0</v>
      </c>
      <c r="H123" s="40">
        <v>1028193.0952</v>
      </c>
      <c r="I123" s="40">
        <v>0</v>
      </c>
      <c r="J123" s="40">
        <v>0</v>
      </c>
      <c r="K123" s="40">
        <v>30027.840000000058</v>
      </c>
      <c r="L123" s="40">
        <v>0</v>
      </c>
      <c r="M123" s="40">
        <v>64302.680000000131</v>
      </c>
      <c r="N123" s="40">
        <v>0</v>
      </c>
      <c r="O123" s="40">
        <v>2122.4447999999998</v>
      </c>
      <c r="P123" s="40">
        <v>7436.0831999999982</v>
      </c>
      <c r="Q123" s="40">
        <v>2679.3983999999955</v>
      </c>
      <c r="R123" s="40">
        <v>12293.119999999995</v>
      </c>
      <c r="S123" s="40">
        <v>15133.08160000006</v>
      </c>
      <c r="T123" s="40">
        <v>35057.97120000008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10518.307415730344</v>
      </c>
      <c r="AB123" s="40">
        <v>0</v>
      </c>
      <c r="AC123" s="40">
        <v>121850.96949152545</v>
      </c>
      <c r="AD123" s="40">
        <v>0</v>
      </c>
      <c r="AE123" s="40">
        <v>0</v>
      </c>
      <c r="AF123" s="40">
        <v>0</v>
      </c>
      <c r="AG123" s="40">
        <v>141970.48000000001</v>
      </c>
      <c r="AH123" s="40">
        <v>0</v>
      </c>
      <c r="AI123" s="40">
        <v>0</v>
      </c>
      <c r="AJ123" s="40">
        <v>0</v>
      </c>
      <c r="AK123" s="40">
        <v>18761.88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1028193.0952</v>
      </c>
      <c r="AU123" s="40">
        <v>301421.89610725612</v>
      </c>
      <c r="AV123" s="40">
        <v>160732.36000000002</v>
      </c>
      <c r="AW123" s="40">
        <v>234119.56716352556</v>
      </c>
      <c r="AX123" s="56">
        <v>1490347.3513072561</v>
      </c>
      <c r="AY123" s="56">
        <v>1471585.4713072563</v>
      </c>
      <c r="AZ123" s="56">
        <v>4955</v>
      </c>
      <c r="BA123" s="56">
        <v>1327940</v>
      </c>
      <c r="BB123" s="56">
        <v>0</v>
      </c>
      <c r="BC123" s="56">
        <v>0</v>
      </c>
      <c r="BD123" s="56">
        <v>1490347.3513072561</v>
      </c>
      <c r="BE123" s="40">
        <v>1490347.3513072564</v>
      </c>
      <c r="BF123" s="40">
        <v>0</v>
      </c>
      <c r="BG123" s="56">
        <v>1346701.88</v>
      </c>
      <c r="BH123" s="56">
        <v>1185969.52</v>
      </c>
      <c r="BI123" s="40">
        <v>1329614.9913072563</v>
      </c>
      <c r="BJ123" s="40">
        <v>4961.2499675643894</v>
      </c>
      <c r="BK123" s="40">
        <v>4990.0591920754723</v>
      </c>
      <c r="BL123" s="41">
        <v>-5.7733232016232922E-3</v>
      </c>
      <c r="BM123" s="41">
        <v>5.7733232016232922E-3</v>
      </c>
      <c r="BN123" s="40">
        <v>7720.8721689702188</v>
      </c>
      <c r="BO123" s="56">
        <v>1498068.2234762264</v>
      </c>
      <c r="BP123" s="56">
        <v>5519.799789090398</v>
      </c>
      <c r="BQ123" s="56" t="s">
        <v>1006</v>
      </c>
      <c r="BR123" s="56">
        <v>5589.8068040157705</v>
      </c>
      <c r="BS123" s="47">
        <v>-1.2131651314590819E-3</v>
      </c>
      <c r="BT123" s="40">
        <v>-6989.44</v>
      </c>
      <c r="BU123" s="40">
        <v>1491078.7834762265</v>
      </c>
      <c r="BV123" s="40">
        <v>0</v>
      </c>
      <c r="BW123" s="40">
        <v>1491078.7834762265</v>
      </c>
      <c r="BX123" s="40">
        <v>18761.88</v>
      </c>
      <c r="BY123" s="40">
        <v>1472316.9034762266</v>
      </c>
    </row>
    <row r="124" spans="1:77">
      <c r="A124">
        <f>_xlfn.XLOOKUP(B124,'Summary Mar 2026'!B:B,'Summary Mar 2026'!A:A,0,0)</f>
        <v>3372</v>
      </c>
      <c r="B124" s="54">
        <v>103460</v>
      </c>
      <c r="C124" s="54">
        <v>3303372</v>
      </c>
      <c r="D124" s="55" t="s">
        <v>261</v>
      </c>
      <c r="E124" s="46">
        <v>543</v>
      </c>
      <c r="F124" s="46">
        <v>543</v>
      </c>
      <c r="G124" s="46">
        <v>0</v>
      </c>
      <c r="H124" s="40">
        <v>2083241.9802000001</v>
      </c>
      <c r="I124" s="40">
        <v>0</v>
      </c>
      <c r="J124" s="40">
        <v>0</v>
      </c>
      <c r="K124" s="40">
        <v>125438.87999999992</v>
      </c>
      <c r="L124" s="40">
        <v>0</v>
      </c>
      <c r="M124" s="40">
        <v>270693.53999999986</v>
      </c>
      <c r="N124" s="40">
        <v>0</v>
      </c>
      <c r="O124" s="40">
        <v>12521.902193357935</v>
      </c>
      <c r="P124" s="40">
        <v>22922.470494464924</v>
      </c>
      <c r="Q124" s="40">
        <v>70687.671073062666</v>
      </c>
      <c r="R124" s="40">
        <v>52218.996380811754</v>
      </c>
      <c r="S124" s="40">
        <v>41300.661750553612</v>
      </c>
      <c r="T124" s="40">
        <v>16528.307672324707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58858.848514644385</v>
      </c>
      <c r="AB124" s="40">
        <v>0</v>
      </c>
      <c r="AC124" s="40">
        <v>212940.37069669459</v>
      </c>
      <c r="AD124" s="40">
        <v>0</v>
      </c>
      <c r="AE124" s="40">
        <v>9838.459800000026</v>
      </c>
      <c r="AF124" s="40">
        <v>0</v>
      </c>
      <c r="AG124" s="40">
        <v>141970.48000000001</v>
      </c>
      <c r="AH124" s="40">
        <v>0</v>
      </c>
      <c r="AI124" s="40">
        <v>0</v>
      </c>
      <c r="AJ124" s="40">
        <v>0</v>
      </c>
      <c r="AK124" s="40">
        <v>5776.96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2083241.9802000001</v>
      </c>
      <c r="AU124" s="40">
        <v>893950.10857591452</v>
      </c>
      <c r="AV124" s="40">
        <v>147747.44</v>
      </c>
      <c r="AW124" s="40">
        <v>537534.9443499418</v>
      </c>
      <c r="AX124" s="56">
        <v>3124939.5287759146</v>
      </c>
      <c r="AY124" s="56">
        <v>3119162.5687759146</v>
      </c>
      <c r="AZ124" s="56">
        <v>4955</v>
      </c>
      <c r="BA124" s="56">
        <v>2690565</v>
      </c>
      <c r="BB124" s="56">
        <v>0</v>
      </c>
      <c r="BC124" s="56">
        <v>0</v>
      </c>
      <c r="BD124" s="56">
        <v>3124939.5287759146</v>
      </c>
      <c r="BE124" s="40">
        <v>3124939.5287759146</v>
      </c>
      <c r="BF124" s="40">
        <v>0</v>
      </c>
      <c r="BG124" s="56">
        <v>2696341.96</v>
      </c>
      <c r="BH124" s="56">
        <v>2548594.52</v>
      </c>
      <c r="BI124" s="40">
        <v>2977192.0887759146</v>
      </c>
      <c r="BJ124" s="40">
        <v>5482.8583587033418</v>
      </c>
      <c r="BK124" s="40">
        <v>5477.3125403478261</v>
      </c>
      <c r="BL124" s="41">
        <v>1.0125071948447631E-3</v>
      </c>
      <c r="BM124" s="41">
        <v>0</v>
      </c>
      <c r="BN124" s="40">
        <v>0</v>
      </c>
      <c r="BO124" s="56">
        <v>3124939.5287759146</v>
      </c>
      <c r="BP124" s="56">
        <v>5744.3141229759012</v>
      </c>
      <c r="BQ124" s="56" t="s">
        <v>1006</v>
      </c>
      <c r="BR124" s="56">
        <v>5754.9530916683507</v>
      </c>
      <c r="BS124" s="47">
        <v>3.6078700866963853E-3</v>
      </c>
      <c r="BT124" s="40">
        <v>-14161.439999999999</v>
      </c>
      <c r="BU124" s="40">
        <v>3110778.0887759146</v>
      </c>
      <c r="BV124" s="40">
        <v>0</v>
      </c>
      <c r="BW124" s="40">
        <v>3110778.0887759146</v>
      </c>
      <c r="BX124" s="40">
        <v>5776.96</v>
      </c>
      <c r="BY124" s="40">
        <v>3105001.1287759147</v>
      </c>
    </row>
    <row r="125" spans="1:77">
      <c r="A125">
        <f>_xlfn.XLOOKUP(B125,'Summary Mar 2026'!B:B,'Summary Mar 2026'!A:A,0,0)</f>
        <v>3375</v>
      </c>
      <c r="B125" s="54">
        <v>103462</v>
      </c>
      <c r="C125" s="54">
        <v>3303375</v>
      </c>
      <c r="D125" s="55" t="s">
        <v>263</v>
      </c>
      <c r="E125" s="46">
        <v>409</v>
      </c>
      <c r="F125" s="46">
        <v>409</v>
      </c>
      <c r="G125" s="46">
        <v>0</v>
      </c>
      <c r="H125" s="40">
        <v>1569145.4325999999</v>
      </c>
      <c r="I125" s="40">
        <v>0</v>
      </c>
      <c r="J125" s="40">
        <v>0</v>
      </c>
      <c r="K125" s="40">
        <v>68289.120000000083</v>
      </c>
      <c r="L125" s="40">
        <v>0</v>
      </c>
      <c r="M125" s="40">
        <v>147273.88000000012</v>
      </c>
      <c r="N125" s="40">
        <v>0</v>
      </c>
      <c r="O125" s="40">
        <v>27186.598901960766</v>
      </c>
      <c r="P125" s="40">
        <v>48453.007811764728</v>
      </c>
      <c r="Q125" s="40">
        <v>10743.862211764705</v>
      </c>
      <c r="R125" s="40">
        <v>2464.6500392156836</v>
      </c>
      <c r="S125" s="40">
        <v>4184.8751686274518</v>
      </c>
      <c r="T125" s="40">
        <v>1378.1920627450993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62584.154410876246</v>
      </c>
      <c r="AB125" s="40">
        <v>0</v>
      </c>
      <c r="AC125" s="40">
        <v>170048.62194302227</v>
      </c>
      <c r="AD125" s="40">
        <v>0</v>
      </c>
      <c r="AE125" s="40">
        <v>0</v>
      </c>
      <c r="AF125" s="40">
        <v>0</v>
      </c>
      <c r="AG125" s="40">
        <v>141970.48000000001</v>
      </c>
      <c r="AH125" s="40">
        <v>0</v>
      </c>
      <c r="AI125" s="40">
        <v>0</v>
      </c>
      <c r="AJ125" s="40">
        <v>0</v>
      </c>
      <c r="AK125" s="40">
        <v>3789.47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1569145.4325999999</v>
      </c>
      <c r="AU125" s="40">
        <v>542606.96254997724</v>
      </c>
      <c r="AV125" s="40">
        <v>145759.95000000001</v>
      </c>
      <c r="AW125" s="40">
        <v>360096.60060361057</v>
      </c>
      <c r="AX125" s="56">
        <v>2257512.3451499771</v>
      </c>
      <c r="AY125" s="56">
        <v>2253722.8751499769</v>
      </c>
      <c r="AZ125" s="56">
        <v>4955</v>
      </c>
      <c r="BA125" s="56">
        <v>2026595</v>
      </c>
      <c r="BB125" s="56">
        <v>0</v>
      </c>
      <c r="BC125" s="56">
        <v>0</v>
      </c>
      <c r="BD125" s="56">
        <v>2257512.3451499771</v>
      </c>
      <c r="BE125" s="40">
        <v>2257512.3451499771</v>
      </c>
      <c r="BF125" s="40">
        <v>0</v>
      </c>
      <c r="BG125" s="56">
        <v>2030384.47</v>
      </c>
      <c r="BH125" s="56">
        <v>1884624.52</v>
      </c>
      <c r="BI125" s="40">
        <v>2111752.3951499769</v>
      </c>
      <c r="BJ125" s="40">
        <v>5163.2087900977431</v>
      </c>
      <c r="BK125" s="40">
        <v>5082.6433043269226</v>
      </c>
      <c r="BL125" s="41">
        <v>1.5851099702832581E-2</v>
      </c>
      <c r="BM125" s="41">
        <v>0</v>
      </c>
      <c r="BN125" s="40">
        <v>0</v>
      </c>
      <c r="BO125" s="56">
        <v>2257512.3451499771</v>
      </c>
      <c r="BP125" s="56">
        <v>5510.3248781173033</v>
      </c>
      <c r="BQ125" s="56" t="s">
        <v>1006</v>
      </c>
      <c r="BR125" s="56">
        <v>5519.5900859412641</v>
      </c>
      <c r="BS125" s="47">
        <v>1.5932605099074459E-2</v>
      </c>
      <c r="BT125" s="40">
        <v>-10666.72</v>
      </c>
      <c r="BU125" s="40">
        <v>2246845.6251499769</v>
      </c>
      <c r="BV125" s="40">
        <v>0</v>
      </c>
      <c r="BW125" s="40">
        <v>2246845.6251499769</v>
      </c>
      <c r="BX125" s="40">
        <v>3789.47</v>
      </c>
      <c r="BY125" s="40">
        <v>2243056.1551499767</v>
      </c>
    </row>
    <row r="126" spans="1:77">
      <c r="A126">
        <f>_xlfn.XLOOKUP(B126,'Summary Mar 2026'!B:B,'Summary Mar 2026'!A:A,0,0)</f>
        <v>3377</v>
      </c>
      <c r="B126" s="54">
        <v>103463</v>
      </c>
      <c r="C126" s="54">
        <v>3303377</v>
      </c>
      <c r="D126" s="55" t="s">
        <v>279</v>
      </c>
      <c r="E126" s="46">
        <v>197</v>
      </c>
      <c r="F126" s="46">
        <v>197</v>
      </c>
      <c r="G126" s="46">
        <v>0</v>
      </c>
      <c r="H126" s="40">
        <v>755798.65580000007</v>
      </c>
      <c r="I126" s="40">
        <v>0</v>
      </c>
      <c r="J126" s="40">
        <v>0</v>
      </c>
      <c r="K126" s="40">
        <v>61024.320000000036</v>
      </c>
      <c r="L126" s="40">
        <v>0</v>
      </c>
      <c r="M126" s="40">
        <v>130679.64000000009</v>
      </c>
      <c r="N126" s="40">
        <v>0</v>
      </c>
      <c r="O126" s="40">
        <v>3065.7535999999982</v>
      </c>
      <c r="P126" s="40">
        <v>2574.0288000000019</v>
      </c>
      <c r="Q126" s="40">
        <v>5805.3631999999971</v>
      </c>
      <c r="R126" s="40">
        <v>23111.065600000031</v>
      </c>
      <c r="S126" s="40">
        <v>14089.420800000024</v>
      </c>
      <c r="T126" s="40">
        <v>48806.195199999951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15291.665333333294</v>
      </c>
      <c r="AB126" s="40">
        <v>0</v>
      </c>
      <c r="AC126" s="40">
        <v>50282.566946778672</v>
      </c>
      <c r="AD126" s="40">
        <v>0</v>
      </c>
      <c r="AE126" s="40">
        <v>14332.804200000041</v>
      </c>
      <c r="AF126" s="40">
        <v>0</v>
      </c>
      <c r="AG126" s="40">
        <v>141970.48000000001</v>
      </c>
      <c r="AH126" s="40">
        <v>0</v>
      </c>
      <c r="AI126" s="40">
        <v>0</v>
      </c>
      <c r="AJ126" s="40">
        <v>0</v>
      </c>
      <c r="AK126" s="40">
        <v>4080.97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755798.65580000007</v>
      </c>
      <c r="AU126" s="40">
        <v>369062.82368011214</v>
      </c>
      <c r="AV126" s="40">
        <v>146051.45000000001</v>
      </c>
      <c r="AW126" s="40">
        <v>192168.58312877873</v>
      </c>
      <c r="AX126" s="56">
        <v>1270912.9294801122</v>
      </c>
      <c r="AY126" s="56">
        <v>1266831.9594801122</v>
      </c>
      <c r="AZ126" s="56">
        <v>4955</v>
      </c>
      <c r="BA126" s="56">
        <v>976135</v>
      </c>
      <c r="BB126" s="56">
        <v>0</v>
      </c>
      <c r="BC126" s="56">
        <v>0</v>
      </c>
      <c r="BD126" s="56">
        <v>1270912.9294801122</v>
      </c>
      <c r="BE126" s="40">
        <v>1270912.9294801124</v>
      </c>
      <c r="BF126" s="40">
        <v>0</v>
      </c>
      <c r="BG126" s="56">
        <v>980215.97</v>
      </c>
      <c r="BH126" s="56">
        <v>834164.52</v>
      </c>
      <c r="BI126" s="40">
        <v>1124861.4794801122</v>
      </c>
      <c r="BJ126" s="40">
        <v>5709.9567486300111</v>
      </c>
      <c r="BK126" s="40">
        <v>5889.7534195767203</v>
      </c>
      <c r="BL126" s="41">
        <v>-3.0527028576288105E-2</v>
      </c>
      <c r="BM126" s="41">
        <v>3.0527028576288105E-2</v>
      </c>
      <c r="BN126" s="40">
        <v>35419.944176501696</v>
      </c>
      <c r="BO126" s="56">
        <v>1306332.8736566138</v>
      </c>
      <c r="BP126" s="56">
        <v>6610.4157546021006</v>
      </c>
      <c r="BQ126" s="56" t="s">
        <v>1006</v>
      </c>
      <c r="BR126" s="56">
        <v>6631.1313383584456</v>
      </c>
      <c r="BS126" s="47">
        <v>-4.7100964284857438E-3</v>
      </c>
      <c r="BT126" s="40">
        <v>-5137.7599999999993</v>
      </c>
      <c r="BU126" s="40">
        <v>1301195.1136566137</v>
      </c>
      <c r="BV126" s="40">
        <v>0</v>
      </c>
      <c r="BW126" s="40">
        <v>1301195.1136566137</v>
      </c>
      <c r="BX126" s="40">
        <v>4080.97</v>
      </c>
      <c r="BY126" s="40">
        <v>1297114.1436566138</v>
      </c>
    </row>
    <row r="127" spans="1:77">
      <c r="A127">
        <f>_xlfn.XLOOKUP(B127,'Summary Mar 2026'!B:B,'Summary Mar 2026'!A:A,0,0)</f>
        <v>3380</v>
      </c>
      <c r="B127" s="54">
        <v>103465</v>
      </c>
      <c r="C127" s="54">
        <v>3303380</v>
      </c>
      <c r="D127" s="55" t="s">
        <v>363</v>
      </c>
      <c r="E127" s="46">
        <v>206</v>
      </c>
      <c r="F127" s="46">
        <v>206</v>
      </c>
      <c r="G127" s="46">
        <v>0</v>
      </c>
      <c r="H127" s="40">
        <v>790327.52840000007</v>
      </c>
      <c r="I127" s="40">
        <v>0</v>
      </c>
      <c r="J127" s="40">
        <v>0</v>
      </c>
      <c r="K127" s="40">
        <v>23247.359999999993</v>
      </c>
      <c r="L127" s="40">
        <v>0</v>
      </c>
      <c r="M127" s="40">
        <v>49782.719999999987</v>
      </c>
      <c r="N127" s="40">
        <v>0</v>
      </c>
      <c r="O127" s="40">
        <v>5188.1983999999829</v>
      </c>
      <c r="P127" s="40">
        <v>2288.0256000000008</v>
      </c>
      <c r="Q127" s="40">
        <v>1339.6991999999996</v>
      </c>
      <c r="R127" s="40">
        <v>9342.7712000000047</v>
      </c>
      <c r="S127" s="40">
        <v>4696.4735999999994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6775.5378531073402</v>
      </c>
      <c r="AB127" s="40">
        <v>0</v>
      </c>
      <c r="AC127" s="40">
        <v>72612.2990660098</v>
      </c>
      <c r="AD127" s="40">
        <v>0</v>
      </c>
      <c r="AE127" s="40">
        <v>0</v>
      </c>
      <c r="AF127" s="40">
        <v>0</v>
      </c>
      <c r="AG127" s="40">
        <v>141970.48000000001</v>
      </c>
      <c r="AH127" s="40">
        <v>0</v>
      </c>
      <c r="AI127" s="40">
        <v>0</v>
      </c>
      <c r="AJ127" s="40">
        <v>0</v>
      </c>
      <c r="AK127" s="40">
        <v>3338.98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790327.52840000007</v>
      </c>
      <c r="AU127" s="40">
        <v>175273.0849191171</v>
      </c>
      <c r="AV127" s="40">
        <v>145309.46000000002</v>
      </c>
      <c r="AW127" s="40">
        <v>146647.36476600979</v>
      </c>
      <c r="AX127" s="56">
        <v>1110910.0733191171</v>
      </c>
      <c r="AY127" s="56">
        <v>1107571.0933191171</v>
      </c>
      <c r="AZ127" s="56">
        <v>4955</v>
      </c>
      <c r="BA127" s="56">
        <v>1020730</v>
      </c>
      <c r="BB127" s="56">
        <v>0</v>
      </c>
      <c r="BC127" s="56">
        <v>0</v>
      </c>
      <c r="BD127" s="56">
        <v>1110910.0733191171</v>
      </c>
      <c r="BE127" s="40">
        <v>1110910.0733191173</v>
      </c>
      <c r="BF127" s="40">
        <v>0</v>
      </c>
      <c r="BG127" s="56">
        <v>1024068.98</v>
      </c>
      <c r="BH127" s="56">
        <v>878759.52</v>
      </c>
      <c r="BI127" s="40">
        <v>965600.61331911711</v>
      </c>
      <c r="BJ127" s="40">
        <v>4687.3816180539661</v>
      </c>
      <c r="BK127" s="40">
        <v>4703.2127376811595</v>
      </c>
      <c r="BL127" s="41">
        <v>-3.3660224425652221E-3</v>
      </c>
      <c r="BM127" s="41">
        <v>3.3660224425652221E-3</v>
      </c>
      <c r="BN127" s="40">
        <v>3261.2106432018409</v>
      </c>
      <c r="BO127" s="56">
        <v>1114171.2839623189</v>
      </c>
      <c r="BP127" s="56">
        <v>5392.3898250598004</v>
      </c>
      <c r="BQ127" s="56" t="s">
        <v>1006</v>
      </c>
      <c r="BR127" s="56">
        <v>5408.5984658364996</v>
      </c>
      <c r="BS127" s="47">
        <v>6.3044222585806331E-4</v>
      </c>
      <c r="BT127" s="40">
        <v>-5372.48</v>
      </c>
      <c r="BU127" s="40">
        <v>1108798.8039623189</v>
      </c>
      <c r="BV127" s="40">
        <v>0</v>
      </c>
      <c r="BW127" s="40">
        <v>1108798.8039623189</v>
      </c>
      <c r="BX127" s="40">
        <v>3338.98</v>
      </c>
      <c r="BY127" s="40">
        <v>1105459.8239623189</v>
      </c>
    </row>
    <row r="128" spans="1:77">
      <c r="A128">
        <f>_xlfn.XLOOKUP(B128,'Summary Mar 2026'!B:B,'Summary Mar 2026'!A:A,0,0)</f>
        <v>3381</v>
      </c>
      <c r="B128" s="54">
        <v>103466</v>
      </c>
      <c r="C128" s="54">
        <v>3303381</v>
      </c>
      <c r="D128" s="55" t="s">
        <v>255</v>
      </c>
      <c r="E128" s="46">
        <v>207</v>
      </c>
      <c r="F128" s="46">
        <v>207</v>
      </c>
      <c r="G128" s="46">
        <v>0</v>
      </c>
      <c r="H128" s="40">
        <v>794164.06980000006</v>
      </c>
      <c r="I128" s="40">
        <v>0</v>
      </c>
      <c r="J128" s="40">
        <v>0</v>
      </c>
      <c r="K128" s="40">
        <v>30512.160000000047</v>
      </c>
      <c r="L128" s="40">
        <v>0</v>
      </c>
      <c r="M128" s="40">
        <v>65339.820000000109</v>
      </c>
      <c r="N128" s="40">
        <v>0</v>
      </c>
      <c r="O128" s="40">
        <v>2619.407484878051</v>
      </c>
      <c r="P128" s="40">
        <v>15306.054181463434</v>
      </c>
      <c r="Q128" s="40">
        <v>3156.4620175609725</v>
      </c>
      <c r="R128" s="40">
        <v>6454.7874965853707</v>
      </c>
      <c r="S128" s="40">
        <v>15280.721420487769</v>
      </c>
      <c r="T128" s="40">
        <v>9717.6471102439082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8703.4414999999972</v>
      </c>
      <c r="AB128" s="40">
        <v>0</v>
      </c>
      <c r="AC128" s="40">
        <v>66503.373976480027</v>
      </c>
      <c r="AD128" s="40">
        <v>0</v>
      </c>
      <c r="AE128" s="40">
        <v>547.63020000000893</v>
      </c>
      <c r="AF128" s="40">
        <v>0</v>
      </c>
      <c r="AG128" s="40">
        <v>141970.48000000001</v>
      </c>
      <c r="AH128" s="40">
        <v>0</v>
      </c>
      <c r="AI128" s="40">
        <v>0</v>
      </c>
      <c r="AJ128" s="40">
        <v>0</v>
      </c>
      <c r="AK128" s="40">
        <v>3974.98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794164.06980000006</v>
      </c>
      <c r="AU128" s="40">
        <v>224141.5053876997</v>
      </c>
      <c r="AV128" s="40">
        <v>145945.46000000002</v>
      </c>
      <c r="AW128" s="40">
        <v>159630.91896251909</v>
      </c>
      <c r="AX128" s="56">
        <v>1164251.0351876998</v>
      </c>
      <c r="AY128" s="56">
        <v>1160276.0551876999</v>
      </c>
      <c r="AZ128" s="56">
        <v>4955</v>
      </c>
      <c r="BA128" s="56">
        <v>1025685</v>
      </c>
      <c r="BB128" s="56">
        <v>0</v>
      </c>
      <c r="BC128" s="56">
        <v>0</v>
      </c>
      <c r="BD128" s="56">
        <v>1164251.0351876998</v>
      </c>
      <c r="BE128" s="40">
        <v>1164251.0351876996</v>
      </c>
      <c r="BF128" s="40">
        <v>0</v>
      </c>
      <c r="BG128" s="56">
        <v>1029659.98</v>
      </c>
      <c r="BH128" s="56">
        <v>883714.52</v>
      </c>
      <c r="BI128" s="40">
        <v>1018305.5751876999</v>
      </c>
      <c r="BJ128" s="40">
        <v>4919.3506047714973</v>
      </c>
      <c r="BK128" s="40">
        <v>4963.1492545023702</v>
      </c>
      <c r="BL128" s="41">
        <v>-8.8247698154837045E-3</v>
      </c>
      <c r="BM128" s="41">
        <v>8.8247698154837045E-3</v>
      </c>
      <c r="BN128" s="40">
        <v>9066.3204942907032</v>
      </c>
      <c r="BO128" s="56">
        <v>1173317.3556819905</v>
      </c>
      <c r="BP128" s="56">
        <v>5648.9969839709684</v>
      </c>
      <c r="BQ128" s="56" t="s">
        <v>1006</v>
      </c>
      <c r="BR128" s="56">
        <v>5668.1997859033354</v>
      </c>
      <c r="BS128" s="47">
        <v>2.3636214767410735E-3</v>
      </c>
      <c r="BT128" s="40">
        <v>-5398.5599999999995</v>
      </c>
      <c r="BU128" s="40">
        <v>1167918.7956819905</v>
      </c>
      <c r="BV128" s="40">
        <v>0</v>
      </c>
      <c r="BW128" s="40">
        <v>1167918.7956819905</v>
      </c>
      <c r="BX128" s="40">
        <v>3974.98</v>
      </c>
      <c r="BY128" s="40">
        <v>1163943.8156819905</v>
      </c>
    </row>
    <row r="129" spans="1:77">
      <c r="A129">
        <f>_xlfn.XLOOKUP(B129,'Summary Mar 2026'!B:B,'Summary Mar 2026'!A:A,0,0)</f>
        <v>3382</v>
      </c>
      <c r="B129" s="54">
        <v>103467</v>
      </c>
      <c r="C129" s="54">
        <v>3303382</v>
      </c>
      <c r="D129" s="55" t="s">
        <v>417</v>
      </c>
      <c r="E129" s="46">
        <v>210</v>
      </c>
      <c r="F129" s="46">
        <v>210</v>
      </c>
      <c r="G129" s="46">
        <v>0</v>
      </c>
      <c r="H129" s="40">
        <v>805673.69400000002</v>
      </c>
      <c r="I129" s="40">
        <v>0</v>
      </c>
      <c r="J129" s="40">
        <v>0</v>
      </c>
      <c r="K129" s="40">
        <v>34871.040000000023</v>
      </c>
      <c r="L129" s="40">
        <v>0</v>
      </c>
      <c r="M129" s="40">
        <v>77785.499999999971</v>
      </c>
      <c r="N129" s="40">
        <v>0</v>
      </c>
      <c r="O129" s="40">
        <v>10612.223999999986</v>
      </c>
      <c r="P129" s="40">
        <v>9724.1088000000054</v>
      </c>
      <c r="Q129" s="40">
        <v>5805.3631999999989</v>
      </c>
      <c r="R129" s="40">
        <v>18685.542400000009</v>
      </c>
      <c r="S129" s="40">
        <v>9914.7776000000049</v>
      </c>
      <c r="T129" s="40">
        <v>3437.0559999999987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16202.562650602444</v>
      </c>
      <c r="AB129" s="40">
        <v>0</v>
      </c>
      <c r="AC129" s="40">
        <v>108579.55830419573</v>
      </c>
      <c r="AD129" s="40">
        <v>0</v>
      </c>
      <c r="AE129" s="40">
        <v>0</v>
      </c>
      <c r="AF129" s="40">
        <v>0</v>
      </c>
      <c r="AG129" s="40">
        <v>141970.48000000001</v>
      </c>
      <c r="AH129" s="40">
        <v>0</v>
      </c>
      <c r="AI129" s="40">
        <v>0</v>
      </c>
      <c r="AJ129" s="40">
        <v>0</v>
      </c>
      <c r="AK129" s="40">
        <v>4557.9799999999996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805673.69400000002</v>
      </c>
      <c r="AU129" s="40">
        <v>295617.73295479815</v>
      </c>
      <c r="AV129" s="40">
        <v>146528.46000000002</v>
      </c>
      <c r="AW129" s="40">
        <v>210364.06332419571</v>
      </c>
      <c r="AX129" s="56">
        <v>1247819.8869547981</v>
      </c>
      <c r="AY129" s="56">
        <v>1243261.9069547981</v>
      </c>
      <c r="AZ129" s="56">
        <v>4955</v>
      </c>
      <c r="BA129" s="56">
        <v>1040550</v>
      </c>
      <c r="BB129" s="56">
        <v>0</v>
      </c>
      <c r="BC129" s="56">
        <v>0</v>
      </c>
      <c r="BD129" s="56">
        <v>1247819.8869547981</v>
      </c>
      <c r="BE129" s="40">
        <v>1247819.8869547981</v>
      </c>
      <c r="BF129" s="40">
        <v>0</v>
      </c>
      <c r="BG129" s="56">
        <v>1045107.98</v>
      </c>
      <c r="BH129" s="56">
        <v>898579.52</v>
      </c>
      <c r="BI129" s="40">
        <v>1101291.4269547982</v>
      </c>
      <c r="BJ129" s="40">
        <v>5244.244890260944</v>
      </c>
      <c r="BK129" s="40">
        <v>5158.5784237623757</v>
      </c>
      <c r="BL129" s="41">
        <v>1.6606603498350622E-2</v>
      </c>
      <c r="BM129" s="41">
        <v>0</v>
      </c>
      <c r="BN129" s="40">
        <v>0</v>
      </c>
      <c r="BO129" s="56">
        <v>1247819.8869547981</v>
      </c>
      <c r="BP129" s="56">
        <v>5920.2947950228481</v>
      </c>
      <c r="BQ129" s="56" t="s">
        <v>1006</v>
      </c>
      <c r="BR129" s="56">
        <v>5941.9994616895146</v>
      </c>
      <c r="BS129" s="47">
        <v>9.8628397588762518E-3</v>
      </c>
      <c r="BT129" s="40">
        <v>-5476.7999999999993</v>
      </c>
      <c r="BU129" s="40">
        <v>1242343.0869547981</v>
      </c>
      <c r="BV129" s="40">
        <v>0</v>
      </c>
      <c r="BW129" s="40">
        <v>1242343.0869547981</v>
      </c>
      <c r="BX129" s="40">
        <v>4557.9799999999996</v>
      </c>
      <c r="BY129" s="40">
        <v>1237785.1069547981</v>
      </c>
    </row>
    <row r="130" spans="1:77">
      <c r="A130">
        <f>_xlfn.XLOOKUP(B130,'Summary Mar 2026'!B:B,'Summary Mar 2026'!A:A,0,0)</f>
        <v>3386</v>
      </c>
      <c r="B130" s="54">
        <v>103470</v>
      </c>
      <c r="C130" s="54">
        <v>3303386</v>
      </c>
      <c r="D130" s="55" t="s">
        <v>1151</v>
      </c>
      <c r="E130" s="46">
        <v>212</v>
      </c>
      <c r="F130" s="46">
        <v>212</v>
      </c>
      <c r="G130" s="46">
        <v>0</v>
      </c>
      <c r="H130" s="40">
        <v>813346.77679999999</v>
      </c>
      <c r="I130" s="40">
        <v>0</v>
      </c>
      <c r="J130" s="40">
        <v>0</v>
      </c>
      <c r="K130" s="40">
        <v>59087.040000000037</v>
      </c>
      <c r="L130" s="40">
        <v>0</v>
      </c>
      <c r="M130" s="40">
        <v>126531.0800000001</v>
      </c>
      <c r="N130" s="40">
        <v>0</v>
      </c>
      <c r="O130" s="40">
        <v>2829.9264000000021</v>
      </c>
      <c r="P130" s="40">
        <v>4004.0447999999997</v>
      </c>
      <c r="Q130" s="40">
        <v>8931.3279999999959</v>
      </c>
      <c r="R130" s="40">
        <v>54581.452799999963</v>
      </c>
      <c r="S130" s="40">
        <v>13567.590399999972</v>
      </c>
      <c r="T130" s="40">
        <v>8248.9344000000056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36821.448397790038</v>
      </c>
      <c r="AB130" s="40">
        <v>0</v>
      </c>
      <c r="AC130" s="40">
        <v>118969.70352643306</v>
      </c>
      <c r="AD130" s="40">
        <v>0</v>
      </c>
      <c r="AE130" s="40">
        <v>0</v>
      </c>
      <c r="AF130" s="40">
        <v>0</v>
      </c>
      <c r="AG130" s="40">
        <v>141970.48000000001</v>
      </c>
      <c r="AH130" s="40">
        <v>0</v>
      </c>
      <c r="AI130" s="40">
        <v>0</v>
      </c>
      <c r="AJ130" s="40">
        <v>0</v>
      </c>
      <c r="AK130" s="40">
        <v>5511.96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813346.77679999999</v>
      </c>
      <c r="AU130" s="40">
        <v>433572.54872422316</v>
      </c>
      <c r="AV130" s="40">
        <v>147482.44</v>
      </c>
      <c r="AW130" s="40">
        <v>259638.34521443307</v>
      </c>
      <c r="AX130" s="56">
        <v>1394401.765524223</v>
      </c>
      <c r="AY130" s="56">
        <v>1388889.805524223</v>
      </c>
      <c r="AZ130" s="56">
        <v>4955</v>
      </c>
      <c r="BA130" s="56">
        <v>1050460</v>
      </c>
      <c r="BB130" s="56">
        <v>0</v>
      </c>
      <c r="BC130" s="56">
        <v>0</v>
      </c>
      <c r="BD130" s="56">
        <v>1394401.765524223</v>
      </c>
      <c r="BE130" s="40">
        <v>1394401.765524223</v>
      </c>
      <c r="BF130" s="40">
        <v>0</v>
      </c>
      <c r="BG130" s="56">
        <v>1055971.96</v>
      </c>
      <c r="BH130" s="56">
        <v>908489.52</v>
      </c>
      <c r="BI130" s="40">
        <v>1246919.325524223</v>
      </c>
      <c r="BJ130" s="40">
        <v>5881.6949317180333</v>
      </c>
      <c r="BK130" s="40">
        <v>5757.1276199074073</v>
      </c>
      <c r="BL130" s="41">
        <v>2.1637059317547225E-2</v>
      </c>
      <c r="BM130" s="41">
        <v>0</v>
      </c>
      <c r="BN130" s="40">
        <v>0</v>
      </c>
      <c r="BO130" s="56">
        <v>1394401.765524223</v>
      </c>
      <c r="BP130" s="56">
        <v>6551.3670071897313</v>
      </c>
      <c r="BQ130" s="56" t="s">
        <v>1006</v>
      </c>
      <c r="BR130" s="56">
        <v>6577.3668185104862</v>
      </c>
      <c r="BS130" s="47">
        <v>2.1343463131667573E-2</v>
      </c>
      <c r="BT130" s="40">
        <v>-5528.96</v>
      </c>
      <c r="BU130" s="40">
        <v>1388872.805524223</v>
      </c>
      <c r="BV130" s="40">
        <v>0</v>
      </c>
      <c r="BW130" s="40">
        <v>1388872.805524223</v>
      </c>
      <c r="BX130" s="40">
        <v>5511.96</v>
      </c>
      <c r="BY130" s="40">
        <v>1383360.8455242231</v>
      </c>
    </row>
    <row r="131" spans="1:77">
      <c r="A131">
        <f>_xlfn.XLOOKUP(B131,'Summary Mar 2026'!B:B,'Summary Mar 2026'!A:A,0,0)</f>
        <v>3406</v>
      </c>
      <c r="B131" s="54">
        <v>103476</v>
      </c>
      <c r="C131" s="54">
        <v>3303406</v>
      </c>
      <c r="D131" s="55" t="s">
        <v>413</v>
      </c>
      <c r="E131" s="46">
        <v>206</v>
      </c>
      <c r="F131" s="46">
        <v>206</v>
      </c>
      <c r="G131" s="46">
        <v>0</v>
      </c>
      <c r="H131" s="40">
        <v>790327.52840000007</v>
      </c>
      <c r="I131" s="40">
        <v>0</v>
      </c>
      <c r="J131" s="40">
        <v>0</v>
      </c>
      <c r="K131" s="40">
        <v>64414.559999999998</v>
      </c>
      <c r="L131" s="40">
        <v>0</v>
      </c>
      <c r="M131" s="40">
        <v>146236.74000000008</v>
      </c>
      <c r="N131" s="40">
        <v>0</v>
      </c>
      <c r="O131" s="40">
        <v>4244.8895999999995</v>
      </c>
      <c r="P131" s="40">
        <v>4004.0448000000006</v>
      </c>
      <c r="Q131" s="40">
        <v>16969.523200000025</v>
      </c>
      <c r="R131" s="40">
        <v>33929.011200000044</v>
      </c>
      <c r="S131" s="40">
        <v>25047.859199999995</v>
      </c>
      <c r="T131" s="40">
        <v>2062.2335999999996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41027.664736842133</v>
      </c>
      <c r="AB131" s="40">
        <v>0</v>
      </c>
      <c r="AC131" s="40">
        <v>88257.435591372021</v>
      </c>
      <c r="AD131" s="40">
        <v>0</v>
      </c>
      <c r="AE131" s="40">
        <v>19488.081600000089</v>
      </c>
      <c r="AF131" s="40">
        <v>0</v>
      </c>
      <c r="AG131" s="40">
        <v>141970.48000000001</v>
      </c>
      <c r="AH131" s="40">
        <v>0</v>
      </c>
      <c r="AI131" s="40">
        <v>0</v>
      </c>
      <c r="AJ131" s="40">
        <v>0</v>
      </c>
      <c r="AK131" s="40">
        <v>3842.48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790327.52840000007</v>
      </c>
      <c r="AU131" s="40">
        <v>445682.04352821439</v>
      </c>
      <c r="AV131" s="40">
        <v>145812.96000000002</v>
      </c>
      <c r="AW131" s="40">
        <v>234661.00218737213</v>
      </c>
      <c r="AX131" s="56">
        <v>1381822.5319282145</v>
      </c>
      <c r="AY131" s="56">
        <v>1377980.0519282145</v>
      </c>
      <c r="AZ131" s="56">
        <v>4955</v>
      </c>
      <c r="BA131" s="56">
        <v>1020730</v>
      </c>
      <c r="BB131" s="56">
        <v>0</v>
      </c>
      <c r="BC131" s="56">
        <v>0</v>
      </c>
      <c r="BD131" s="56">
        <v>1381822.5319282145</v>
      </c>
      <c r="BE131" s="40">
        <v>1381822.5319282142</v>
      </c>
      <c r="BF131" s="40">
        <v>0</v>
      </c>
      <c r="BG131" s="56">
        <v>1024572.48</v>
      </c>
      <c r="BH131" s="56">
        <v>878759.52</v>
      </c>
      <c r="BI131" s="40">
        <v>1236009.5719282145</v>
      </c>
      <c r="BJ131" s="40">
        <v>6000.0464656709446</v>
      </c>
      <c r="BK131" s="40">
        <v>6023.2080779166672</v>
      </c>
      <c r="BL131" s="41">
        <v>-3.845394671095913E-3</v>
      </c>
      <c r="BM131" s="41">
        <v>3.845394671095913E-3</v>
      </c>
      <c r="BN131" s="40">
        <v>4771.2921226188573</v>
      </c>
      <c r="BO131" s="56">
        <v>1386593.8240508332</v>
      </c>
      <c r="BP131" s="56">
        <v>6712.3851652953072</v>
      </c>
      <c r="BQ131" s="56" t="s">
        <v>1006</v>
      </c>
      <c r="BR131" s="56">
        <v>6731.0379808292873</v>
      </c>
      <c r="BS131" s="47">
        <v>1.5122832298052558E-2</v>
      </c>
      <c r="BT131" s="40">
        <v>-5372.48</v>
      </c>
      <c r="BU131" s="40">
        <v>1381221.3440508333</v>
      </c>
      <c r="BV131" s="40">
        <v>0</v>
      </c>
      <c r="BW131" s="40">
        <v>1381221.3440508333</v>
      </c>
      <c r="BX131" s="40">
        <v>3842.48</v>
      </c>
      <c r="BY131" s="40">
        <v>1377378.8640508333</v>
      </c>
    </row>
    <row r="132" spans="1:77">
      <c r="A132">
        <f>_xlfn.XLOOKUP(B132,'Summary Mar 2026'!B:B,'Summary Mar 2026'!A:A,0,0)</f>
        <v>3410</v>
      </c>
      <c r="B132" s="54">
        <v>103478</v>
      </c>
      <c r="C132" s="54">
        <v>3303410</v>
      </c>
      <c r="D132" s="55" t="s">
        <v>1152</v>
      </c>
      <c r="E132" s="46">
        <v>207</v>
      </c>
      <c r="F132" s="46">
        <v>207</v>
      </c>
      <c r="G132" s="46">
        <v>0</v>
      </c>
      <c r="H132" s="40">
        <v>794164.06980000006</v>
      </c>
      <c r="I132" s="40">
        <v>0</v>
      </c>
      <c r="J132" s="40">
        <v>0</v>
      </c>
      <c r="K132" s="40">
        <v>28574.880000000005</v>
      </c>
      <c r="L132" s="40">
        <v>0</v>
      </c>
      <c r="M132" s="40">
        <v>63265.539999999957</v>
      </c>
      <c r="N132" s="40">
        <v>0</v>
      </c>
      <c r="O132" s="40">
        <v>2122.4447999999993</v>
      </c>
      <c r="P132" s="40">
        <v>18304.204800000021</v>
      </c>
      <c r="Q132" s="40">
        <v>4912.2304000000013</v>
      </c>
      <c r="R132" s="40">
        <v>9342.7712000000047</v>
      </c>
      <c r="S132" s="40">
        <v>20873.215999999957</v>
      </c>
      <c r="T132" s="40">
        <v>4124.4671999999991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33361.301186440629</v>
      </c>
      <c r="AB132" s="40">
        <v>0</v>
      </c>
      <c r="AC132" s="40">
        <v>78764.832308180048</v>
      </c>
      <c r="AD132" s="40">
        <v>0</v>
      </c>
      <c r="AE132" s="40">
        <v>0</v>
      </c>
      <c r="AF132" s="40">
        <v>0</v>
      </c>
      <c r="AG132" s="40">
        <v>141970.48000000001</v>
      </c>
      <c r="AH132" s="40">
        <v>0</v>
      </c>
      <c r="AI132" s="40">
        <v>0</v>
      </c>
      <c r="AJ132" s="40">
        <v>0</v>
      </c>
      <c r="AK132" s="40">
        <v>3921.97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794164.06980000006</v>
      </c>
      <c r="AU132" s="40">
        <v>263645.8878946206</v>
      </c>
      <c r="AV132" s="40">
        <v>145892.45000000001</v>
      </c>
      <c r="AW132" s="40">
        <v>173020.14738218003</v>
      </c>
      <c r="AX132" s="56">
        <v>1203702.4076946205</v>
      </c>
      <c r="AY132" s="56">
        <v>1199780.4376946206</v>
      </c>
      <c r="AZ132" s="56">
        <v>4955</v>
      </c>
      <c r="BA132" s="56">
        <v>1025685</v>
      </c>
      <c r="BB132" s="56">
        <v>0</v>
      </c>
      <c r="BC132" s="56">
        <v>0</v>
      </c>
      <c r="BD132" s="56">
        <v>1203702.4076946205</v>
      </c>
      <c r="BE132" s="40">
        <v>1203702.4076946208</v>
      </c>
      <c r="BF132" s="40">
        <v>0</v>
      </c>
      <c r="BG132" s="56">
        <v>1029606.97</v>
      </c>
      <c r="BH132" s="56">
        <v>883714.52</v>
      </c>
      <c r="BI132" s="40">
        <v>1057809.9576946206</v>
      </c>
      <c r="BJ132" s="40">
        <v>5110.1930323411625</v>
      </c>
      <c r="BK132" s="40">
        <v>5218.3435917073175</v>
      </c>
      <c r="BL132" s="41">
        <v>-2.0725074435117966E-2</v>
      </c>
      <c r="BM132" s="41">
        <v>2.0725074435117966E-2</v>
      </c>
      <c r="BN132" s="40">
        <v>22387.165788794082</v>
      </c>
      <c r="BO132" s="56">
        <v>1226089.5734834147</v>
      </c>
      <c r="BP132" s="56">
        <v>5904.1913211759165</v>
      </c>
      <c r="BQ132" s="56" t="s">
        <v>1006</v>
      </c>
      <c r="BR132" s="56">
        <v>5923.1380361517622</v>
      </c>
      <c r="BS132" s="47">
        <v>-1.159532383605999E-3</v>
      </c>
      <c r="BT132" s="40">
        <v>-5398.5599999999995</v>
      </c>
      <c r="BU132" s="40">
        <v>1220691.0134834147</v>
      </c>
      <c r="BV132" s="40">
        <v>0</v>
      </c>
      <c r="BW132" s="40">
        <v>1220691.0134834147</v>
      </c>
      <c r="BX132" s="40">
        <v>3921.97</v>
      </c>
      <c r="BY132" s="40">
        <v>1216769.0434834147</v>
      </c>
    </row>
    <row r="133" spans="1:77">
      <c r="A133">
        <f>_xlfn.XLOOKUP(B133,'Summary Mar 2026'!B:B,'Summary Mar 2026'!A:A,0,0)</f>
        <v>3411</v>
      </c>
      <c r="B133" s="54">
        <v>103479</v>
      </c>
      <c r="C133" s="54">
        <v>3303411</v>
      </c>
      <c r="D133" s="55" t="s">
        <v>161</v>
      </c>
      <c r="E133" s="46">
        <v>142</v>
      </c>
      <c r="F133" s="46">
        <v>142</v>
      </c>
      <c r="G133" s="46">
        <v>0</v>
      </c>
      <c r="H133" s="40">
        <v>544788.87880000006</v>
      </c>
      <c r="I133" s="40">
        <v>0</v>
      </c>
      <c r="J133" s="40">
        <v>0</v>
      </c>
      <c r="K133" s="40">
        <v>47463.36000000003</v>
      </c>
      <c r="L133" s="40">
        <v>0</v>
      </c>
      <c r="M133" s="40">
        <v>101639.72000000007</v>
      </c>
      <c r="N133" s="40">
        <v>0</v>
      </c>
      <c r="O133" s="40">
        <v>943.30879999999866</v>
      </c>
      <c r="P133" s="40">
        <v>0</v>
      </c>
      <c r="Q133" s="40">
        <v>893.13279999999872</v>
      </c>
      <c r="R133" s="40">
        <v>7867.5967999999893</v>
      </c>
      <c r="S133" s="40">
        <v>38093.61920000003</v>
      </c>
      <c r="T133" s="40">
        <v>30246.092799999955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17403.818947368447</v>
      </c>
      <c r="AB133" s="40">
        <v>0</v>
      </c>
      <c r="AC133" s="40">
        <v>86949.285652173916</v>
      </c>
      <c r="AD133" s="40">
        <v>0</v>
      </c>
      <c r="AE133" s="40">
        <v>0</v>
      </c>
      <c r="AF133" s="40">
        <v>0</v>
      </c>
      <c r="AG133" s="40">
        <v>141970.48000000001</v>
      </c>
      <c r="AH133" s="40">
        <v>0</v>
      </c>
      <c r="AI133" s="40">
        <v>0</v>
      </c>
      <c r="AJ133" s="40">
        <v>0</v>
      </c>
      <c r="AK133" s="40">
        <v>33654.800000000003</v>
      </c>
      <c r="AL133" s="40"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v>0</v>
      </c>
      <c r="AR133" s="40">
        <v>0</v>
      </c>
      <c r="AS133" s="40">
        <v>0</v>
      </c>
      <c r="AT133" s="40">
        <v>544788.87880000006</v>
      </c>
      <c r="AU133" s="40">
        <v>331499.93499954243</v>
      </c>
      <c r="AV133" s="40">
        <v>175625.28000000003</v>
      </c>
      <c r="AW133" s="40">
        <v>195961.58853617395</v>
      </c>
      <c r="AX133" s="56">
        <v>1051914.0937995426</v>
      </c>
      <c r="AY133" s="56">
        <v>1018259.2937995426</v>
      </c>
      <c r="AZ133" s="56">
        <v>4955</v>
      </c>
      <c r="BA133" s="56">
        <v>703610</v>
      </c>
      <c r="BB133" s="56">
        <v>0</v>
      </c>
      <c r="BC133" s="56">
        <v>0</v>
      </c>
      <c r="BD133" s="56">
        <v>1051914.0937995426</v>
      </c>
      <c r="BE133" s="40">
        <v>1051914.0937995426</v>
      </c>
      <c r="BF133" s="40">
        <v>0</v>
      </c>
      <c r="BG133" s="56">
        <v>737264.8</v>
      </c>
      <c r="BH133" s="56">
        <v>561639.52</v>
      </c>
      <c r="BI133" s="40">
        <v>876288.81379954261</v>
      </c>
      <c r="BJ133" s="40">
        <v>6171.0479845038208</v>
      </c>
      <c r="BK133" s="40">
        <v>6277.6568823529415</v>
      </c>
      <c r="BL133" s="41">
        <v>-1.6982275369144165E-2</v>
      </c>
      <c r="BM133" s="41">
        <v>1.6982275369144165E-2</v>
      </c>
      <c r="BN133" s="40">
        <v>15138.46349457514</v>
      </c>
      <c r="BO133" s="56">
        <v>1067052.5572941178</v>
      </c>
      <c r="BP133" s="56">
        <v>7277.4489950289981</v>
      </c>
      <c r="BQ133" s="56" t="s">
        <v>1006</v>
      </c>
      <c r="BR133" s="56">
        <v>7514.4546288318152</v>
      </c>
      <c r="BS133" s="47">
        <v>1.1974908886067004E-2</v>
      </c>
      <c r="BT133" s="40">
        <v>-3703.3599999999997</v>
      </c>
      <c r="BU133" s="40">
        <v>1063349.1972941177</v>
      </c>
      <c r="BV133" s="40">
        <v>0</v>
      </c>
      <c r="BW133" s="40">
        <v>1063349.1972941177</v>
      </c>
      <c r="BX133" s="40">
        <v>33654.800000000003</v>
      </c>
      <c r="BY133" s="40">
        <v>1029694.3972941176</v>
      </c>
    </row>
    <row r="134" spans="1:77">
      <c r="A134">
        <f>_xlfn.XLOOKUP(B134,'Summary Mar 2026'!B:B,'Summary Mar 2026'!A:A,0,0)</f>
        <v>3421</v>
      </c>
      <c r="B134" s="54">
        <v>133996</v>
      </c>
      <c r="C134" s="54">
        <v>3303421</v>
      </c>
      <c r="D134" s="55" t="s">
        <v>349</v>
      </c>
      <c r="E134" s="46">
        <v>837</v>
      </c>
      <c r="F134" s="46">
        <v>837</v>
      </c>
      <c r="G134" s="46">
        <v>0</v>
      </c>
      <c r="H134" s="40">
        <v>3211185.1518000001</v>
      </c>
      <c r="I134" s="40">
        <v>0</v>
      </c>
      <c r="J134" s="40">
        <v>0</v>
      </c>
      <c r="K134" s="40">
        <v>163215.83999999982</v>
      </c>
      <c r="L134" s="40">
        <v>0</v>
      </c>
      <c r="M134" s="40">
        <v>350553.31999999966</v>
      </c>
      <c r="N134" s="40">
        <v>0</v>
      </c>
      <c r="O134" s="40">
        <v>29950.054399999975</v>
      </c>
      <c r="P134" s="40">
        <v>81796.915199999916</v>
      </c>
      <c r="Q134" s="40">
        <v>19648.92160000002</v>
      </c>
      <c r="R134" s="40">
        <v>26553.13920000002</v>
      </c>
      <c r="S134" s="40">
        <v>37049.95840000001</v>
      </c>
      <c r="T134" s="40">
        <v>13060.812799999989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100935.80292857134</v>
      </c>
      <c r="AB134" s="40">
        <v>0</v>
      </c>
      <c r="AC134" s="40">
        <v>218386.07349524042</v>
      </c>
      <c r="AD134" s="40">
        <v>0</v>
      </c>
      <c r="AE134" s="40">
        <v>0</v>
      </c>
      <c r="AF134" s="40">
        <v>0</v>
      </c>
      <c r="AG134" s="40">
        <v>141970.48000000001</v>
      </c>
      <c r="AH134" s="40">
        <v>0</v>
      </c>
      <c r="AI134" s="40">
        <v>0</v>
      </c>
      <c r="AJ134" s="40">
        <v>0</v>
      </c>
      <c r="AK134" s="40">
        <v>32542.02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3211185.1518000001</v>
      </c>
      <c r="AU134" s="40">
        <v>1041150.8380238111</v>
      </c>
      <c r="AV134" s="40">
        <v>174512.5</v>
      </c>
      <c r="AW134" s="40">
        <v>638803.75726124016</v>
      </c>
      <c r="AX134" s="56">
        <v>4426848.4898238108</v>
      </c>
      <c r="AY134" s="56">
        <v>4394306.4698238112</v>
      </c>
      <c r="AZ134" s="56">
        <v>4955</v>
      </c>
      <c r="BA134" s="56">
        <v>4147335</v>
      </c>
      <c r="BB134" s="56">
        <v>0</v>
      </c>
      <c r="BC134" s="56">
        <v>0</v>
      </c>
      <c r="BD134" s="56">
        <v>4426848.4898238108</v>
      </c>
      <c r="BE134" s="40">
        <v>4426848.4898238108</v>
      </c>
      <c r="BF134" s="40">
        <v>0</v>
      </c>
      <c r="BG134" s="56">
        <v>4179877.02</v>
      </c>
      <c r="BH134" s="56">
        <v>4005364.52</v>
      </c>
      <c r="BI134" s="40">
        <v>4252335.9898238108</v>
      </c>
      <c r="BJ134" s="40">
        <v>5080.4492112590333</v>
      </c>
      <c r="BK134" s="40">
        <v>5003.0718185318892</v>
      </c>
      <c r="BL134" s="41">
        <v>1.5465976810592705E-2</v>
      </c>
      <c r="BM134" s="41">
        <v>0</v>
      </c>
      <c r="BN134" s="40">
        <v>0</v>
      </c>
      <c r="BO134" s="56">
        <v>4426848.4898238108</v>
      </c>
      <c r="BP134" s="56">
        <v>5250.0674669340633</v>
      </c>
      <c r="BQ134" s="56" t="s">
        <v>1006</v>
      </c>
      <c r="BR134" s="56">
        <v>5288.9468217727726</v>
      </c>
      <c r="BS134" s="47">
        <v>1.4554173369041745E-2</v>
      </c>
      <c r="BT134" s="40">
        <v>-21828.959999999999</v>
      </c>
      <c r="BU134" s="40">
        <v>4405019.5298238108</v>
      </c>
      <c r="BV134" s="40">
        <v>0</v>
      </c>
      <c r="BW134" s="40">
        <v>4405019.5298238108</v>
      </c>
      <c r="BX134" s="40">
        <v>32542.02</v>
      </c>
      <c r="BY134" s="40">
        <v>4372477.5098238112</v>
      </c>
    </row>
    <row r="135" spans="1:77">
      <c r="A135">
        <f>_xlfn.XLOOKUP(B135,'Summary Mar 2026'!B:B,'Summary Mar 2026'!A:A,0,0)</f>
        <v>3428</v>
      </c>
      <c r="B135" s="54">
        <v>134476</v>
      </c>
      <c r="C135" s="54">
        <v>3303428</v>
      </c>
      <c r="D135" s="55" t="s">
        <v>295</v>
      </c>
      <c r="E135" s="46">
        <v>412</v>
      </c>
      <c r="F135" s="46">
        <v>412</v>
      </c>
      <c r="G135" s="46">
        <v>0</v>
      </c>
      <c r="H135" s="40">
        <v>1580655.0568000001</v>
      </c>
      <c r="I135" s="40">
        <v>0</v>
      </c>
      <c r="J135" s="40">
        <v>0</v>
      </c>
      <c r="K135" s="40">
        <v>36808.320000000058</v>
      </c>
      <c r="L135" s="40">
        <v>0</v>
      </c>
      <c r="M135" s="40">
        <v>84008.340000000098</v>
      </c>
      <c r="N135" s="40">
        <v>0</v>
      </c>
      <c r="O135" s="40">
        <v>7564.8316418491477</v>
      </c>
      <c r="P135" s="40">
        <v>21215.731293430705</v>
      </c>
      <c r="Q135" s="40">
        <v>5371.8352350364949</v>
      </c>
      <c r="R135" s="40">
        <v>12815.951478345498</v>
      </c>
      <c r="S135" s="40">
        <v>10985.101267153284</v>
      </c>
      <c r="T135" s="40">
        <v>11025.339733333332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29052.742873239367</v>
      </c>
      <c r="AB135" s="40">
        <v>0</v>
      </c>
      <c r="AC135" s="40">
        <v>131220.59596903098</v>
      </c>
      <c r="AD135" s="40">
        <v>0</v>
      </c>
      <c r="AE135" s="40">
        <v>6873.7032000000145</v>
      </c>
      <c r="AF135" s="40">
        <v>0</v>
      </c>
      <c r="AG135" s="40">
        <v>141970.48000000001</v>
      </c>
      <c r="AH135" s="40">
        <v>0</v>
      </c>
      <c r="AI135" s="40">
        <v>0</v>
      </c>
      <c r="AJ135" s="40">
        <v>53266.055713785674</v>
      </c>
      <c r="AK135" s="40">
        <v>44784.73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1580655.0568000001</v>
      </c>
      <c r="AU135" s="40">
        <v>356942.49269141897</v>
      </c>
      <c r="AV135" s="40">
        <v>240021.26571378569</v>
      </c>
      <c r="AW135" s="40">
        <v>278579.71104272443</v>
      </c>
      <c r="AX135" s="56">
        <v>2177618.8152052048</v>
      </c>
      <c r="AY135" s="56">
        <v>2079568.029491419</v>
      </c>
      <c r="AZ135" s="56">
        <v>4955</v>
      </c>
      <c r="BA135" s="56">
        <v>2041460</v>
      </c>
      <c r="BB135" s="56">
        <v>0</v>
      </c>
      <c r="BC135" s="56">
        <v>0</v>
      </c>
      <c r="BD135" s="56">
        <v>2177618.8152052048</v>
      </c>
      <c r="BE135" s="40">
        <v>2177618.8152052048</v>
      </c>
      <c r="BF135" s="40">
        <v>0</v>
      </c>
      <c r="BG135" s="56">
        <v>2139510.7857137858</v>
      </c>
      <c r="BH135" s="56">
        <v>1899489.52</v>
      </c>
      <c r="BI135" s="40">
        <v>1937597.549491419</v>
      </c>
      <c r="BJ135" s="40">
        <v>4702.9066735228616</v>
      </c>
      <c r="BK135" s="40">
        <v>4796.9916745762703</v>
      </c>
      <c r="BL135" s="41">
        <v>-1.9613334238633921E-2</v>
      </c>
      <c r="BM135" s="41">
        <v>1.9613334238633921E-2</v>
      </c>
      <c r="BN135" s="40">
        <v>38763.020434004357</v>
      </c>
      <c r="BO135" s="56">
        <v>2216381.835639209</v>
      </c>
      <c r="BP135" s="56">
        <v>5141.5802182655907</v>
      </c>
      <c r="BQ135" s="56" t="s">
        <v>1006</v>
      </c>
      <c r="BR135" s="56">
        <v>5379.5675622310901</v>
      </c>
      <c r="BS135" s="47">
        <v>-8.2667688788795601E-4</v>
      </c>
      <c r="BT135" s="40">
        <v>-10744.96</v>
      </c>
      <c r="BU135" s="40">
        <v>2205636.8756392091</v>
      </c>
      <c r="BV135" s="40">
        <v>0</v>
      </c>
      <c r="BW135" s="40">
        <v>2205636.8756392091</v>
      </c>
      <c r="BX135" s="40">
        <v>44784.73</v>
      </c>
      <c r="BY135" s="40">
        <v>2160852.1456392091</v>
      </c>
    </row>
    <row r="136" spans="1:77">
      <c r="A136">
        <f>_xlfn.XLOOKUP(B136,'Summary Mar 2026'!B:B,'Summary Mar 2026'!A:A,0,0)</f>
        <v>3431</v>
      </c>
      <c r="B136" s="54">
        <v>134774</v>
      </c>
      <c r="C136" s="54">
        <v>3303431</v>
      </c>
      <c r="D136" s="55" t="s">
        <v>397</v>
      </c>
      <c r="E136" s="46">
        <v>616</v>
      </c>
      <c r="F136" s="46">
        <v>616</v>
      </c>
      <c r="G136" s="46">
        <v>0</v>
      </c>
      <c r="H136" s="40">
        <v>2363309.5024000001</v>
      </c>
      <c r="I136" s="40">
        <v>0</v>
      </c>
      <c r="J136" s="40">
        <v>0</v>
      </c>
      <c r="K136" s="40">
        <v>55696.80000000009</v>
      </c>
      <c r="L136" s="40">
        <v>0</v>
      </c>
      <c r="M136" s="40">
        <v>119271.10000000021</v>
      </c>
      <c r="N136" s="40">
        <v>0</v>
      </c>
      <c r="O136" s="40">
        <v>6367.3343999999952</v>
      </c>
      <c r="P136" s="40">
        <v>2002.0224000000062</v>
      </c>
      <c r="Q136" s="40">
        <v>9377.8944000000029</v>
      </c>
      <c r="R136" s="40">
        <v>12784.844799999999</v>
      </c>
      <c r="S136" s="40">
        <v>28700.672000000006</v>
      </c>
      <c r="T136" s="40">
        <v>18560.102399999985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16757.790654205597</v>
      </c>
      <c r="AB136" s="40">
        <v>0</v>
      </c>
      <c r="AC136" s="40">
        <v>195022.17355932205</v>
      </c>
      <c r="AD136" s="40">
        <v>0</v>
      </c>
      <c r="AE136" s="40">
        <v>0</v>
      </c>
      <c r="AF136" s="40">
        <v>0</v>
      </c>
      <c r="AG136" s="40">
        <v>141970.48000000001</v>
      </c>
      <c r="AH136" s="40">
        <v>0</v>
      </c>
      <c r="AI136" s="40">
        <v>0</v>
      </c>
      <c r="AJ136" s="40">
        <v>0</v>
      </c>
      <c r="AK136" s="40">
        <v>117089.25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0</v>
      </c>
      <c r="AR136" s="40">
        <v>0</v>
      </c>
      <c r="AS136" s="40">
        <v>0</v>
      </c>
      <c r="AT136" s="40">
        <v>2363309.5024000001</v>
      </c>
      <c r="AU136" s="40">
        <v>464540.73461352789</v>
      </c>
      <c r="AV136" s="40">
        <v>259059.73</v>
      </c>
      <c r="AW136" s="40">
        <v>404181.52602332219</v>
      </c>
      <c r="AX136" s="56">
        <v>3086909.9670135281</v>
      </c>
      <c r="AY136" s="56">
        <v>2969820.7170135281</v>
      </c>
      <c r="AZ136" s="56">
        <v>4955</v>
      </c>
      <c r="BA136" s="56">
        <v>3052280</v>
      </c>
      <c r="BB136" s="56">
        <v>82459.282986471895</v>
      </c>
      <c r="BC136" s="56">
        <v>0</v>
      </c>
      <c r="BD136" s="56">
        <v>3169369.25</v>
      </c>
      <c r="BE136" s="40">
        <v>3169369.2500000005</v>
      </c>
      <c r="BF136" s="40">
        <v>0</v>
      </c>
      <c r="BG136" s="56">
        <v>3169369.25</v>
      </c>
      <c r="BH136" s="56">
        <v>2910309.52</v>
      </c>
      <c r="BI136" s="40">
        <v>2910309.52</v>
      </c>
      <c r="BJ136" s="40">
        <v>4724.528441558442</v>
      </c>
      <c r="BK136" s="40">
        <v>4704.5496509554141</v>
      </c>
      <c r="BL136" s="41">
        <v>4.2466956638390445E-3</v>
      </c>
      <c r="BM136" s="41">
        <v>0</v>
      </c>
      <c r="BN136" s="40">
        <v>0</v>
      </c>
      <c r="BO136" s="56">
        <v>3169369.25</v>
      </c>
      <c r="BP136" s="56">
        <v>4955</v>
      </c>
      <c r="BQ136" s="56" t="s">
        <v>1006</v>
      </c>
      <c r="BR136" s="56">
        <v>5145.0799512987014</v>
      </c>
      <c r="BS136" s="47">
        <v>7.7611267690611552E-3</v>
      </c>
      <c r="BT136" s="40">
        <v>-16065.279999999999</v>
      </c>
      <c r="BU136" s="40">
        <v>3153303.97</v>
      </c>
      <c r="BV136" s="40">
        <v>0</v>
      </c>
      <c r="BW136" s="40">
        <v>3153303.97</v>
      </c>
      <c r="BX136" s="40">
        <v>117089.25</v>
      </c>
      <c r="BY136" s="40">
        <v>3036214.72</v>
      </c>
    </row>
    <row r="137" spans="1:77">
      <c r="A137">
        <f>_xlfn.XLOOKUP(B137,'Summary Mar 2026'!B:B,'Summary Mar 2026'!A:A,0,0)</f>
        <v>3432</v>
      </c>
      <c r="B137" s="54">
        <v>134840</v>
      </c>
      <c r="C137" s="54">
        <v>3303432</v>
      </c>
      <c r="D137" s="55" t="s">
        <v>101</v>
      </c>
      <c r="E137" s="46">
        <v>811</v>
      </c>
      <c r="F137" s="46">
        <v>811</v>
      </c>
      <c r="G137" s="46">
        <v>0</v>
      </c>
      <c r="H137" s="40">
        <v>3111435.0754</v>
      </c>
      <c r="I137" s="40">
        <v>0</v>
      </c>
      <c r="J137" s="40">
        <v>0</v>
      </c>
      <c r="K137" s="40">
        <v>212616.47999999986</v>
      </c>
      <c r="L137" s="40">
        <v>0</v>
      </c>
      <c r="M137" s="40">
        <v>460490.16000000038</v>
      </c>
      <c r="N137" s="40">
        <v>0</v>
      </c>
      <c r="O137" s="40">
        <v>2829.9264000000053</v>
      </c>
      <c r="P137" s="40">
        <v>11726.131199999996</v>
      </c>
      <c r="Q137" s="40">
        <v>23668.019200000006</v>
      </c>
      <c r="R137" s="40">
        <v>161777.45920000004</v>
      </c>
      <c r="S137" s="40">
        <v>112193.5359999998</v>
      </c>
      <c r="T137" s="40">
        <v>90738.278399999879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235053.85206599705</v>
      </c>
      <c r="AB137" s="40">
        <v>0</v>
      </c>
      <c r="AC137" s="40">
        <v>557510.99022410845</v>
      </c>
      <c r="AD137" s="40">
        <v>0</v>
      </c>
      <c r="AE137" s="40">
        <v>30724.176021508065</v>
      </c>
      <c r="AF137" s="40">
        <v>0</v>
      </c>
      <c r="AG137" s="40">
        <v>141970.48000000001</v>
      </c>
      <c r="AH137" s="40">
        <v>0</v>
      </c>
      <c r="AI137" s="40">
        <v>0</v>
      </c>
      <c r="AJ137" s="40">
        <v>0</v>
      </c>
      <c r="AK137" s="40">
        <v>32329.8</v>
      </c>
      <c r="AL137" s="40">
        <v>384250.51335000002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3111435.0754</v>
      </c>
      <c r="AU137" s="40">
        <v>1899329.0087116135</v>
      </c>
      <c r="AV137" s="40">
        <v>558550.79335000005</v>
      </c>
      <c r="AW137" s="40">
        <v>1100457.1405381085</v>
      </c>
      <c r="AX137" s="56">
        <v>5569314.8774616132</v>
      </c>
      <c r="AY137" s="56">
        <v>5152734.5641116137</v>
      </c>
      <c r="AZ137" s="56">
        <v>4955</v>
      </c>
      <c r="BA137" s="56">
        <v>4018505</v>
      </c>
      <c r="BB137" s="56">
        <v>0</v>
      </c>
      <c r="BC137" s="56">
        <v>0</v>
      </c>
      <c r="BD137" s="56">
        <v>5569314.8774616132</v>
      </c>
      <c r="BE137" s="40">
        <v>5569314.8774616132</v>
      </c>
      <c r="BF137" s="40">
        <v>0</v>
      </c>
      <c r="BG137" s="56">
        <v>4435085.3133499995</v>
      </c>
      <c r="BH137" s="56">
        <v>3876534.5199999991</v>
      </c>
      <c r="BI137" s="40">
        <v>5010764.0841116132</v>
      </c>
      <c r="BJ137" s="40">
        <v>6178.5007202362676</v>
      </c>
      <c r="BK137" s="40">
        <v>6190.0944158629427</v>
      </c>
      <c r="BL137" s="41">
        <v>-1.8729432618934986E-3</v>
      </c>
      <c r="BM137" s="41">
        <v>1.8729432618934986E-3</v>
      </c>
      <c r="BN137" s="40">
        <v>9402.4871532334837</v>
      </c>
      <c r="BO137" s="56">
        <v>5578717.3646148462</v>
      </c>
      <c r="BP137" s="56">
        <v>6365.1504947778631</v>
      </c>
      <c r="BQ137" s="56" t="s">
        <v>1006</v>
      </c>
      <c r="BR137" s="56">
        <v>6878.8130266520911</v>
      </c>
      <c r="BS137" s="47">
        <v>-1.3267970899798476E-3</v>
      </c>
      <c r="BT137" s="40">
        <v>-21150.879999999997</v>
      </c>
      <c r="BU137" s="40">
        <v>5557566.4846148463</v>
      </c>
      <c r="BV137" s="40">
        <v>0</v>
      </c>
      <c r="BW137" s="40">
        <v>5557566.4846148463</v>
      </c>
      <c r="BX137" s="40">
        <v>32329.8</v>
      </c>
      <c r="BY137" s="40">
        <v>5525236.6846148465</v>
      </c>
    </row>
    <row r="138" spans="1:77">
      <c r="A138">
        <f>_xlfn.XLOOKUP(B138,'Summary Mar 2026'!B:B,'Summary Mar 2026'!A:A,0,0)</f>
        <v>3435</v>
      </c>
      <c r="B138" s="54">
        <v>131920</v>
      </c>
      <c r="C138" s="54">
        <v>3303435</v>
      </c>
      <c r="D138" s="55" t="s">
        <v>127</v>
      </c>
      <c r="E138" s="46">
        <v>420</v>
      </c>
      <c r="F138" s="46">
        <v>420</v>
      </c>
      <c r="G138" s="46">
        <v>0</v>
      </c>
      <c r="H138" s="40">
        <v>1611347.388</v>
      </c>
      <c r="I138" s="40">
        <v>0</v>
      </c>
      <c r="J138" s="40">
        <v>0</v>
      </c>
      <c r="K138" s="40">
        <v>12107.999999999995</v>
      </c>
      <c r="L138" s="40">
        <v>0</v>
      </c>
      <c r="M138" s="40">
        <v>26965.64</v>
      </c>
      <c r="N138" s="40">
        <v>0</v>
      </c>
      <c r="O138" s="40">
        <v>1414.9632000000013</v>
      </c>
      <c r="P138" s="40">
        <v>286.00319999999988</v>
      </c>
      <c r="Q138" s="40">
        <v>446.56639999999982</v>
      </c>
      <c r="R138" s="40">
        <v>1966.8991999999992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46864.685000000078</v>
      </c>
      <c r="AB138" s="40">
        <v>0</v>
      </c>
      <c r="AC138" s="40">
        <v>88004.837279114858</v>
      </c>
      <c r="AD138" s="40">
        <v>0</v>
      </c>
      <c r="AE138" s="40">
        <v>0</v>
      </c>
      <c r="AF138" s="40">
        <v>0</v>
      </c>
      <c r="AG138" s="40">
        <v>141970.48000000001</v>
      </c>
      <c r="AH138" s="40">
        <v>0</v>
      </c>
      <c r="AI138" s="40">
        <v>0</v>
      </c>
      <c r="AJ138" s="40">
        <v>0</v>
      </c>
      <c r="AK138" s="40">
        <v>5193.97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1611347.388</v>
      </c>
      <c r="AU138" s="40">
        <v>178057.59427911491</v>
      </c>
      <c r="AV138" s="40">
        <v>147164.45000000001</v>
      </c>
      <c r="AW138" s="40">
        <v>184119.91259911488</v>
      </c>
      <c r="AX138" s="56">
        <v>1936569.4322791148</v>
      </c>
      <c r="AY138" s="56">
        <v>1931375.4622791149</v>
      </c>
      <c r="AZ138" s="56">
        <v>4955</v>
      </c>
      <c r="BA138" s="56">
        <v>2081100</v>
      </c>
      <c r="BB138" s="56">
        <v>149724.53772088513</v>
      </c>
      <c r="BC138" s="56">
        <v>0</v>
      </c>
      <c r="BD138" s="56">
        <v>2086293.97</v>
      </c>
      <c r="BE138" s="40">
        <v>2086293.97</v>
      </c>
      <c r="BF138" s="40">
        <v>0</v>
      </c>
      <c r="BG138" s="56">
        <v>2086293.97</v>
      </c>
      <c r="BH138" s="56">
        <v>1939129.52</v>
      </c>
      <c r="BI138" s="40">
        <v>1939129.52</v>
      </c>
      <c r="BJ138" s="40">
        <v>4616.9750476190475</v>
      </c>
      <c r="BK138" s="40">
        <v>4578.7169104265404</v>
      </c>
      <c r="BL138" s="41">
        <v>8.3556459027607968E-3</v>
      </c>
      <c r="BM138" s="41">
        <v>0</v>
      </c>
      <c r="BN138" s="40">
        <v>0</v>
      </c>
      <c r="BO138" s="56">
        <v>2086293.97</v>
      </c>
      <c r="BP138" s="56">
        <v>4955</v>
      </c>
      <c r="BQ138" s="56" t="s">
        <v>1006</v>
      </c>
      <c r="BR138" s="56">
        <v>4967.3665952380952</v>
      </c>
      <c r="BS138" s="47">
        <v>8.1013055806813394E-3</v>
      </c>
      <c r="BT138" s="40">
        <v>-10953.599999999999</v>
      </c>
      <c r="BU138" s="40">
        <v>2075340.3699999999</v>
      </c>
      <c r="BV138" s="40">
        <v>0</v>
      </c>
      <c r="BW138" s="40">
        <v>2075340.3699999999</v>
      </c>
      <c r="BX138" s="40">
        <v>5193.97</v>
      </c>
      <c r="BY138" s="40">
        <v>2070146.4</v>
      </c>
    </row>
    <row r="139" spans="1:77">
      <c r="A139">
        <f>_xlfn.XLOOKUP(B139,'Summary Mar 2026'!B:B,'Summary Mar 2026'!A:A,0,0)</f>
        <v>3436</v>
      </c>
      <c r="B139" s="54">
        <v>136440</v>
      </c>
      <c r="C139" s="54">
        <v>3303436</v>
      </c>
      <c r="D139" s="55" t="s">
        <v>1153</v>
      </c>
      <c r="E139" s="46">
        <v>169</v>
      </c>
      <c r="F139" s="46">
        <v>169</v>
      </c>
      <c r="G139" s="46">
        <v>0</v>
      </c>
      <c r="H139" s="40">
        <v>648375.49659999995</v>
      </c>
      <c r="I139" s="40">
        <v>0</v>
      </c>
      <c r="J139" s="40">
        <v>0</v>
      </c>
      <c r="K139" s="40">
        <v>30512.159999999967</v>
      </c>
      <c r="L139" s="40">
        <v>0</v>
      </c>
      <c r="M139" s="40">
        <v>68451.239999999962</v>
      </c>
      <c r="N139" s="40">
        <v>0</v>
      </c>
      <c r="O139" s="40">
        <v>3301.5807999999988</v>
      </c>
      <c r="P139" s="40">
        <v>2288.0256000000013</v>
      </c>
      <c r="Q139" s="40">
        <v>19648.921600000012</v>
      </c>
      <c r="R139" s="40">
        <v>7867.5967999999957</v>
      </c>
      <c r="S139" s="40">
        <v>26091.519999999957</v>
      </c>
      <c r="T139" s="40">
        <v>14435.635200000024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25243.963618421047</v>
      </c>
      <c r="AB139" s="40">
        <v>0</v>
      </c>
      <c r="AC139" s="40">
        <v>58287.761999999988</v>
      </c>
      <c r="AD139" s="40">
        <v>0</v>
      </c>
      <c r="AE139" s="40">
        <v>22528.373400000044</v>
      </c>
      <c r="AF139" s="40">
        <v>0</v>
      </c>
      <c r="AG139" s="40">
        <v>141970.48000000001</v>
      </c>
      <c r="AH139" s="40">
        <v>0</v>
      </c>
      <c r="AI139" s="40">
        <v>0</v>
      </c>
      <c r="AJ139" s="40">
        <v>0</v>
      </c>
      <c r="AK139" s="40">
        <v>6677.96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648375.49659999995</v>
      </c>
      <c r="AU139" s="40">
        <v>278656.77901842102</v>
      </c>
      <c r="AV139" s="40">
        <v>148648.44</v>
      </c>
      <c r="AW139" s="40">
        <v>152841.34162999995</v>
      </c>
      <c r="AX139" s="56">
        <v>1075680.7156184209</v>
      </c>
      <c r="AY139" s="56">
        <v>1069002.7556184209</v>
      </c>
      <c r="AZ139" s="56">
        <v>4955</v>
      </c>
      <c r="BA139" s="56">
        <v>837395</v>
      </c>
      <c r="BB139" s="56">
        <v>0</v>
      </c>
      <c r="BC139" s="56">
        <v>0</v>
      </c>
      <c r="BD139" s="56">
        <v>1075680.7156184209</v>
      </c>
      <c r="BE139" s="40">
        <v>1075680.7156184209</v>
      </c>
      <c r="BF139" s="40">
        <v>0</v>
      </c>
      <c r="BG139" s="56">
        <v>844072.95999999996</v>
      </c>
      <c r="BH139" s="56">
        <v>695424.52</v>
      </c>
      <c r="BI139" s="40">
        <v>927032.27561842091</v>
      </c>
      <c r="BJ139" s="40">
        <v>5485.3980805823721</v>
      </c>
      <c r="BK139" s="40">
        <v>5592.3932511363637</v>
      </c>
      <c r="BL139" s="41">
        <v>-1.9132268735259333E-2</v>
      </c>
      <c r="BM139" s="41">
        <v>1.9132268735259333E-2</v>
      </c>
      <c r="BN139" s="40">
        <v>18082.183823624571</v>
      </c>
      <c r="BO139" s="56">
        <v>1093762.8994420455</v>
      </c>
      <c r="BP139" s="56">
        <v>6432.4552629706832</v>
      </c>
      <c r="BQ139" s="56" t="s">
        <v>1006</v>
      </c>
      <c r="BR139" s="56">
        <v>6471.9698191837015</v>
      </c>
      <c r="BS139" s="47">
        <v>5.4347104946763647E-3</v>
      </c>
      <c r="BT139" s="40">
        <v>-4407.5199999999995</v>
      </c>
      <c r="BU139" s="40">
        <v>1089355.3794420455</v>
      </c>
      <c r="BV139" s="40">
        <v>0</v>
      </c>
      <c r="BW139" s="40">
        <v>1089355.3794420455</v>
      </c>
      <c r="BX139" s="40">
        <v>6677.96</v>
      </c>
      <c r="BY139" s="40">
        <v>1082677.4194420455</v>
      </c>
    </row>
    <row r="140" spans="1:77">
      <c r="A140">
        <f>_xlfn.XLOOKUP(B140,'Summary Mar 2026'!B:B,'Summary Mar 2026'!A:A,0,0)</f>
        <v>5202</v>
      </c>
      <c r="B140" s="54">
        <v>103543</v>
      </c>
      <c r="C140" s="54">
        <v>3305202</v>
      </c>
      <c r="D140" s="55" t="s">
        <v>319</v>
      </c>
      <c r="E140" s="46">
        <v>360</v>
      </c>
      <c r="F140" s="46">
        <v>360</v>
      </c>
      <c r="G140" s="46">
        <v>0</v>
      </c>
      <c r="H140" s="40">
        <v>1381154.9040000001</v>
      </c>
      <c r="I140" s="40">
        <v>0</v>
      </c>
      <c r="J140" s="40">
        <v>0</v>
      </c>
      <c r="K140" s="40">
        <v>27606.23999999994</v>
      </c>
      <c r="L140" s="40">
        <v>0</v>
      </c>
      <c r="M140" s="40">
        <v>61191.260000000053</v>
      </c>
      <c r="N140" s="40">
        <v>0</v>
      </c>
      <c r="O140" s="40">
        <v>11791.36000000001</v>
      </c>
      <c r="P140" s="40">
        <v>1716.0192000000036</v>
      </c>
      <c r="Q140" s="40">
        <v>446.56640000000039</v>
      </c>
      <c r="R140" s="40">
        <v>5408.9728000000077</v>
      </c>
      <c r="S140" s="40">
        <v>5218.3040000000055</v>
      </c>
      <c r="T140" s="40">
        <v>687.41120000000058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9314.7199999999884</v>
      </c>
      <c r="AB140" s="40">
        <v>0</v>
      </c>
      <c r="AC140" s="40">
        <v>97659.286363925916</v>
      </c>
      <c r="AD140" s="40">
        <v>0</v>
      </c>
      <c r="AE140" s="40">
        <v>0</v>
      </c>
      <c r="AF140" s="40">
        <v>0</v>
      </c>
      <c r="AG140" s="40">
        <v>141970.48000000001</v>
      </c>
      <c r="AH140" s="40">
        <v>0</v>
      </c>
      <c r="AI140" s="40">
        <v>0</v>
      </c>
      <c r="AJ140" s="40">
        <v>0</v>
      </c>
      <c r="AK140" s="40">
        <v>4213.47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1381154.9040000001</v>
      </c>
      <c r="AU140" s="40">
        <v>221040.13996392593</v>
      </c>
      <c r="AV140" s="40">
        <v>146183.95000000001</v>
      </c>
      <c r="AW140" s="40">
        <v>207780.83965992596</v>
      </c>
      <c r="AX140" s="56">
        <v>1748378.9939639259</v>
      </c>
      <c r="AY140" s="56">
        <v>1744165.5239639259</v>
      </c>
      <c r="AZ140" s="56">
        <v>4955</v>
      </c>
      <c r="BA140" s="56">
        <v>1783800</v>
      </c>
      <c r="BB140" s="56">
        <v>39634.476036074106</v>
      </c>
      <c r="BC140" s="56">
        <v>0</v>
      </c>
      <c r="BD140" s="56">
        <v>1788013.47</v>
      </c>
      <c r="BE140" s="40">
        <v>1788013.4700000002</v>
      </c>
      <c r="BF140" s="40">
        <v>0</v>
      </c>
      <c r="BG140" s="56">
        <v>1788013.47</v>
      </c>
      <c r="BH140" s="56">
        <v>1641829.52</v>
      </c>
      <c r="BI140" s="40">
        <v>1641829.52</v>
      </c>
      <c r="BJ140" s="40">
        <v>4560.637555555556</v>
      </c>
      <c r="BK140" s="40">
        <v>4541.3424811111108</v>
      </c>
      <c r="BL140" s="41">
        <v>4.248760036200643E-3</v>
      </c>
      <c r="BM140" s="41">
        <v>0</v>
      </c>
      <c r="BN140" s="40">
        <v>0</v>
      </c>
      <c r="BO140" s="56">
        <v>1788013.47</v>
      </c>
      <c r="BP140" s="56">
        <v>4955</v>
      </c>
      <c r="BQ140" s="56" t="s">
        <v>1006</v>
      </c>
      <c r="BR140" s="56">
        <v>4966.7040833333331</v>
      </c>
      <c r="BS140" s="47">
        <v>3.9000362431682589E-3</v>
      </c>
      <c r="BT140" s="40">
        <v>-9388.7999999999993</v>
      </c>
      <c r="BU140" s="40">
        <v>1778624.67</v>
      </c>
      <c r="BV140" s="40">
        <v>0</v>
      </c>
      <c r="BW140" s="40">
        <v>1778624.67</v>
      </c>
      <c r="BX140" s="40">
        <v>4213.47</v>
      </c>
      <c r="BY140" s="40">
        <v>1774411.2</v>
      </c>
    </row>
    <row r="141" spans="1:77">
      <c r="A141">
        <f>_xlfn.XLOOKUP(B141,'Summary Mar 2026'!B:B,'Summary Mar 2026'!A:A,0,0)</f>
        <v>5203</v>
      </c>
      <c r="B141" s="54">
        <v>103544</v>
      </c>
      <c r="C141" s="54">
        <v>3305203</v>
      </c>
      <c r="D141" s="55" t="s">
        <v>317</v>
      </c>
      <c r="E141" s="46">
        <v>264</v>
      </c>
      <c r="F141" s="46">
        <v>264</v>
      </c>
      <c r="G141" s="46">
        <v>0</v>
      </c>
      <c r="H141" s="40">
        <v>1012846.9296</v>
      </c>
      <c r="I141" s="40">
        <v>0</v>
      </c>
      <c r="J141" s="40">
        <v>0</v>
      </c>
      <c r="K141" s="40">
        <v>7749.119999999999</v>
      </c>
      <c r="L141" s="40">
        <v>0</v>
      </c>
      <c r="M141" s="40">
        <v>16594.239999999998</v>
      </c>
      <c r="N141" s="40">
        <v>0</v>
      </c>
      <c r="O141" s="40">
        <v>13544.762235114507</v>
      </c>
      <c r="P141" s="40">
        <v>1440.9321526717592</v>
      </c>
      <c r="Q141" s="40">
        <v>1349.9259114503802</v>
      </c>
      <c r="R141" s="40">
        <v>3963.8273954198517</v>
      </c>
      <c r="S141" s="40">
        <v>3680.6968671755731</v>
      </c>
      <c r="T141" s="40">
        <v>1385.3172274809156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17172.388826815644</v>
      </c>
      <c r="AB141" s="40">
        <v>0</v>
      </c>
      <c r="AC141" s="40">
        <v>114888.05694915251</v>
      </c>
      <c r="AD141" s="40">
        <v>0</v>
      </c>
      <c r="AE141" s="40">
        <v>0</v>
      </c>
      <c r="AF141" s="40">
        <v>0</v>
      </c>
      <c r="AG141" s="40">
        <v>141970.48000000001</v>
      </c>
      <c r="AH141" s="40">
        <v>0</v>
      </c>
      <c r="AI141" s="40">
        <v>0</v>
      </c>
      <c r="AJ141" s="40">
        <v>0</v>
      </c>
      <c r="AK141" s="40">
        <v>6271.17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1012846.9296</v>
      </c>
      <c r="AU141" s="40">
        <v>181769.26756528113</v>
      </c>
      <c r="AV141" s="40">
        <v>148241.65000000002</v>
      </c>
      <c r="AW141" s="40">
        <v>183425.57927330519</v>
      </c>
      <c r="AX141" s="56">
        <v>1342857.847165281</v>
      </c>
      <c r="AY141" s="56">
        <v>1336586.677165281</v>
      </c>
      <c r="AZ141" s="56">
        <v>4955</v>
      </c>
      <c r="BA141" s="56">
        <v>1308120</v>
      </c>
      <c r="BB141" s="56">
        <v>0</v>
      </c>
      <c r="BC141" s="56">
        <v>0</v>
      </c>
      <c r="BD141" s="56">
        <v>1342857.847165281</v>
      </c>
      <c r="BE141" s="40">
        <v>1342857.8471652814</v>
      </c>
      <c r="BF141" s="40">
        <v>0</v>
      </c>
      <c r="BG141" s="56">
        <v>1314391.17</v>
      </c>
      <c r="BH141" s="56">
        <v>1166149.52</v>
      </c>
      <c r="BI141" s="40">
        <v>1194616.197165281</v>
      </c>
      <c r="BJ141" s="40">
        <v>4525.0613528987915</v>
      </c>
      <c r="BK141" s="40">
        <v>4485.2700837037037</v>
      </c>
      <c r="BL141" s="41">
        <v>8.8715436200065435E-3</v>
      </c>
      <c r="BM141" s="41">
        <v>0</v>
      </c>
      <c r="BN141" s="40">
        <v>0</v>
      </c>
      <c r="BO141" s="56">
        <v>1342857.847165281</v>
      </c>
      <c r="BP141" s="56">
        <v>5062.8283225957612</v>
      </c>
      <c r="BQ141" s="56" t="s">
        <v>1006</v>
      </c>
      <c r="BR141" s="56">
        <v>5086.5827544139429</v>
      </c>
      <c r="BS141" s="47">
        <v>1.0382652043060325E-2</v>
      </c>
      <c r="BT141" s="40">
        <v>-6885.12</v>
      </c>
      <c r="BU141" s="40">
        <v>1335972.7271652808</v>
      </c>
      <c r="BV141" s="40">
        <v>0</v>
      </c>
      <c r="BW141" s="40">
        <v>1335972.7271652808</v>
      </c>
      <c r="BX141" s="40">
        <v>6271.17</v>
      </c>
      <c r="BY141" s="40">
        <v>1329701.5571652809</v>
      </c>
    </row>
    <row r="142" spans="1:77">
      <c r="A142">
        <f>_xlfn.XLOOKUP(B142,'Summary Mar 2026'!B:B,'Summary Mar 2026'!A:A,0,0)</f>
        <v>5949</v>
      </c>
      <c r="B142" s="54">
        <v>131465</v>
      </c>
      <c r="C142" s="54">
        <v>3305949</v>
      </c>
      <c r="D142" s="55" t="s">
        <v>34</v>
      </c>
      <c r="E142" s="46">
        <v>631</v>
      </c>
      <c r="F142" s="46">
        <v>631</v>
      </c>
      <c r="G142" s="46">
        <v>0</v>
      </c>
      <c r="H142" s="40">
        <v>2420857.6233999999</v>
      </c>
      <c r="I142" s="40">
        <v>0</v>
      </c>
      <c r="J142" s="40">
        <v>0</v>
      </c>
      <c r="K142" s="40">
        <v>141421.44000000003</v>
      </c>
      <c r="L142" s="40">
        <v>0</v>
      </c>
      <c r="M142" s="40">
        <v>303882.02000000025</v>
      </c>
      <c r="N142" s="40">
        <v>0</v>
      </c>
      <c r="O142" s="40">
        <v>6603.1615999999958</v>
      </c>
      <c r="P142" s="40">
        <v>74646.835199999914</v>
      </c>
      <c r="Q142" s="40">
        <v>61179.596799999883</v>
      </c>
      <c r="R142" s="40">
        <v>46713.856000000014</v>
      </c>
      <c r="S142" s="40">
        <v>20351.385599999998</v>
      </c>
      <c r="T142" s="40">
        <v>10998.579199999995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151701.64298148151</v>
      </c>
      <c r="AB142" s="40">
        <v>0</v>
      </c>
      <c r="AC142" s="40">
        <v>182136.19846906187</v>
      </c>
      <c r="AD142" s="40">
        <v>0</v>
      </c>
      <c r="AE142" s="40">
        <v>0</v>
      </c>
      <c r="AF142" s="40">
        <v>0</v>
      </c>
      <c r="AG142" s="40">
        <v>141970.48000000001</v>
      </c>
      <c r="AH142" s="40">
        <v>0</v>
      </c>
      <c r="AI142" s="40">
        <v>0</v>
      </c>
      <c r="AJ142" s="40">
        <v>0</v>
      </c>
      <c r="AK142" s="40">
        <v>73840.41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2420857.6233999999</v>
      </c>
      <c r="AU142" s="40">
        <v>999634.7158505437</v>
      </c>
      <c r="AV142" s="40">
        <v>215810.89</v>
      </c>
      <c r="AW142" s="40">
        <v>542865.95442306192</v>
      </c>
      <c r="AX142" s="56">
        <v>3636303.2292505438</v>
      </c>
      <c r="AY142" s="56">
        <v>3562462.8192505436</v>
      </c>
      <c r="AZ142" s="56">
        <v>4955</v>
      </c>
      <c r="BA142" s="56">
        <v>3126605</v>
      </c>
      <c r="BB142" s="56">
        <v>0</v>
      </c>
      <c r="BC142" s="56">
        <v>0</v>
      </c>
      <c r="BD142" s="56">
        <v>3636303.2292505438</v>
      </c>
      <c r="BE142" s="40">
        <v>3636303.2292505438</v>
      </c>
      <c r="BF142" s="40">
        <v>0</v>
      </c>
      <c r="BG142" s="56">
        <v>3200445.41</v>
      </c>
      <c r="BH142" s="56">
        <v>2984634.52</v>
      </c>
      <c r="BI142" s="40">
        <v>3420492.3392505436</v>
      </c>
      <c r="BJ142" s="40">
        <v>5420.748556656963</v>
      </c>
      <c r="BK142" s="40">
        <v>5292.7015462519939</v>
      </c>
      <c r="BL142" s="41">
        <v>2.4193128837133298E-2</v>
      </c>
      <c r="BM142" s="41">
        <v>0</v>
      </c>
      <c r="BN142" s="40">
        <v>0</v>
      </c>
      <c r="BO142" s="56">
        <v>3636303.2292505438</v>
      </c>
      <c r="BP142" s="56">
        <v>5645.7413934239994</v>
      </c>
      <c r="BQ142" s="56" t="s">
        <v>1006</v>
      </c>
      <c r="BR142" s="56">
        <v>5762.7626454049823</v>
      </c>
      <c r="BS142" s="47">
        <v>2.3660439289876711E-2</v>
      </c>
      <c r="BT142" s="40">
        <v>-16456.48</v>
      </c>
      <c r="BU142" s="40">
        <v>3619846.7492505438</v>
      </c>
      <c r="BV142" s="40">
        <v>0</v>
      </c>
      <c r="BW142" s="40">
        <v>3619846.7492505438</v>
      </c>
      <c r="BX142" s="40">
        <v>73840.41</v>
      </c>
      <c r="BY142" s="40">
        <v>3546006.3392505436</v>
      </c>
    </row>
    <row r="143" spans="1:77">
      <c r="A143">
        <f>_xlfn.XLOOKUP(B143,'Summary Mar 2026'!B:B,'Summary Mar 2026'!A:A,0,0)</f>
        <v>4015</v>
      </c>
      <c r="B143" s="54">
        <v>103483</v>
      </c>
      <c r="C143" s="54">
        <v>3304015</v>
      </c>
      <c r="D143" s="55" t="s">
        <v>159</v>
      </c>
      <c r="E143" s="46">
        <v>753</v>
      </c>
      <c r="F143" s="46">
        <v>0</v>
      </c>
      <c r="G143" s="46">
        <v>753</v>
      </c>
      <c r="H143" s="40">
        <v>0</v>
      </c>
      <c r="I143" s="40">
        <v>2453939.6861999999</v>
      </c>
      <c r="J143" s="40">
        <v>1833155.3399999999</v>
      </c>
      <c r="K143" s="40">
        <v>0</v>
      </c>
      <c r="L143" s="40">
        <v>174355.19999999984</v>
      </c>
      <c r="M143" s="40">
        <v>0</v>
      </c>
      <c r="N143" s="40">
        <v>582719.18000000028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20130.611199999992</v>
      </c>
      <c r="V143" s="40">
        <v>77220.863999999841</v>
      </c>
      <c r="W143" s="40">
        <v>32498.995199999976</v>
      </c>
      <c r="X143" s="40">
        <v>61375.28320000018</v>
      </c>
      <c r="Y143" s="40">
        <v>106910.00319999989</v>
      </c>
      <c r="Z143" s="40">
        <v>38133.759999999973</v>
      </c>
      <c r="AA143" s="40">
        <v>0</v>
      </c>
      <c r="AB143" s="40">
        <v>42248.413581890818</v>
      </c>
      <c r="AC143" s="40">
        <v>0</v>
      </c>
      <c r="AD143" s="40">
        <v>267639.29047800001</v>
      </c>
      <c r="AE143" s="40">
        <v>0</v>
      </c>
      <c r="AF143" s="40">
        <v>0</v>
      </c>
      <c r="AG143" s="40">
        <v>141970.48000000001</v>
      </c>
      <c r="AH143" s="40">
        <v>0</v>
      </c>
      <c r="AI143" s="40">
        <v>0</v>
      </c>
      <c r="AJ143" s="40">
        <v>0</v>
      </c>
      <c r="AK143" s="40">
        <v>78092.09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4287095.0262000002</v>
      </c>
      <c r="AU143" s="40">
        <v>1403231.6008598907</v>
      </c>
      <c r="AV143" s="40">
        <v>220062.57</v>
      </c>
      <c r="AW143" s="40">
        <v>875597.84463599999</v>
      </c>
      <c r="AX143" s="56">
        <v>5910389.1970598912</v>
      </c>
      <c r="AY143" s="56">
        <v>5832297.1070598913</v>
      </c>
      <c r="AZ143" s="56">
        <v>6465</v>
      </c>
      <c r="BA143" s="56">
        <v>4868145</v>
      </c>
      <c r="BB143" s="56">
        <v>0</v>
      </c>
      <c r="BC143" s="56">
        <v>0</v>
      </c>
      <c r="BD143" s="56">
        <v>5910389.1970598912</v>
      </c>
      <c r="BE143" s="40">
        <v>0</v>
      </c>
      <c r="BF143" s="40">
        <v>5910389.197059893</v>
      </c>
      <c r="BG143" s="56">
        <v>4946237.09</v>
      </c>
      <c r="BH143" s="56">
        <v>4726174.5199999996</v>
      </c>
      <c r="BI143" s="40">
        <v>5690326.6270598909</v>
      </c>
      <c r="BJ143" s="40">
        <v>7556.8746707302671</v>
      </c>
      <c r="BK143" s="40">
        <v>7407.8764909454057</v>
      </c>
      <c r="BL143" s="41">
        <v>2.0113480559102295E-2</v>
      </c>
      <c r="BM143" s="41">
        <v>0</v>
      </c>
      <c r="BN143" s="40">
        <v>0</v>
      </c>
      <c r="BO143" s="56">
        <v>5910389.1970598912</v>
      </c>
      <c r="BP143" s="56">
        <v>7745.4144848072929</v>
      </c>
      <c r="BQ143" s="56" t="s">
        <v>1006</v>
      </c>
      <c r="BR143" s="56">
        <v>7849.1224396545704</v>
      </c>
      <c r="BS143" s="47">
        <v>2.0104746660410511E-2</v>
      </c>
      <c r="BT143" s="40">
        <v>-15157.89</v>
      </c>
      <c r="BU143" s="40">
        <v>5895231.3070598915</v>
      </c>
      <c r="BV143" s="40">
        <v>0</v>
      </c>
      <c r="BW143" s="40">
        <v>5895231.3070598915</v>
      </c>
      <c r="BX143" s="40">
        <v>78092.09</v>
      </c>
      <c r="BY143" s="40">
        <v>5817139.2170598917</v>
      </c>
    </row>
    <row r="144" spans="1:77">
      <c r="A144">
        <f>_xlfn.XLOOKUP(B144,'Summary Mar 2026'!B:B,'Summary Mar 2026'!A:A,0,0)</f>
        <v>4063</v>
      </c>
      <c r="B144" s="54">
        <v>103486</v>
      </c>
      <c r="C144" s="54">
        <v>3304063</v>
      </c>
      <c r="D144" s="55" t="s">
        <v>171</v>
      </c>
      <c r="E144" s="46">
        <v>787</v>
      </c>
      <c r="F144" s="46">
        <v>0</v>
      </c>
      <c r="G144" s="46">
        <v>787</v>
      </c>
      <c r="H144" s="40">
        <v>0</v>
      </c>
      <c r="I144" s="40">
        <v>2713959.7853999999</v>
      </c>
      <c r="J144" s="40">
        <v>1747608.0907999999</v>
      </c>
      <c r="K144" s="40">
        <v>0</v>
      </c>
      <c r="L144" s="40">
        <v>171449.28000000014</v>
      </c>
      <c r="M144" s="40">
        <v>0</v>
      </c>
      <c r="N144" s="40">
        <v>593369.40000000049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13989.06880000001</v>
      </c>
      <c r="V144" s="40">
        <v>67286.015999999872</v>
      </c>
      <c r="W144" s="40">
        <v>56076.697600000181</v>
      </c>
      <c r="X144" s="40">
        <v>106011.85280000001</v>
      </c>
      <c r="Y144" s="40">
        <v>106162.38079999972</v>
      </c>
      <c r="Z144" s="40">
        <v>71500.800000000032</v>
      </c>
      <c r="AA144" s="40">
        <v>0</v>
      </c>
      <c r="AB144" s="40">
        <v>118605.59999999999</v>
      </c>
      <c r="AC144" s="40">
        <v>0</v>
      </c>
      <c r="AD144" s="40">
        <v>344412.63459621882</v>
      </c>
      <c r="AE144" s="40">
        <v>0</v>
      </c>
      <c r="AF144" s="40">
        <v>17629.688185714334</v>
      </c>
      <c r="AG144" s="40">
        <v>141970.48000000001</v>
      </c>
      <c r="AH144" s="40">
        <v>0</v>
      </c>
      <c r="AI144" s="40">
        <v>0</v>
      </c>
      <c r="AJ144" s="40">
        <v>0</v>
      </c>
      <c r="AK144" s="40">
        <v>120950.36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4461567.8761999998</v>
      </c>
      <c r="AU144" s="40">
        <v>1666493.4187819338</v>
      </c>
      <c r="AV144" s="40">
        <v>262920.84000000003</v>
      </c>
      <c r="AW144" s="40">
        <v>994395.40696621896</v>
      </c>
      <c r="AX144" s="56">
        <v>6390982.134981934</v>
      </c>
      <c r="AY144" s="56">
        <v>6270031.7749819336</v>
      </c>
      <c r="AZ144" s="56">
        <v>6465</v>
      </c>
      <c r="BA144" s="56">
        <v>5087955</v>
      </c>
      <c r="BB144" s="56">
        <v>0</v>
      </c>
      <c r="BC144" s="56">
        <v>0</v>
      </c>
      <c r="BD144" s="56">
        <v>6390982.134981934</v>
      </c>
      <c r="BE144" s="40">
        <v>0</v>
      </c>
      <c r="BF144" s="40">
        <v>6390982.134981934</v>
      </c>
      <c r="BG144" s="56">
        <v>5208905.3600000003</v>
      </c>
      <c r="BH144" s="56">
        <v>4945984.5199999996</v>
      </c>
      <c r="BI144" s="40">
        <v>6128061.2949819332</v>
      </c>
      <c r="BJ144" s="40">
        <v>7786.6090152248198</v>
      </c>
      <c r="BK144" s="40">
        <v>8171.2233821148811</v>
      </c>
      <c r="BL144" s="41">
        <v>-4.7069373691570181E-2</v>
      </c>
      <c r="BM144" s="41">
        <v>4.7069373691570181E-2</v>
      </c>
      <c r="BN144" s="40">
        <v>302691.50674247823</v>
      </c>
      <c r="BO144" s="56">
        <v>6693673.6417244123</v>
      </c>
      <c r="BP144" s="56">
        <v>8351.6178929153903</v>
      </c>
      <c r="BQ144" s="56" t="s">
        <v>1006</v>
      </c>
      <c r="BR144" s="56">
        <v>8505.3032296371184</v>
      </c>
      <c r="BS144" s="47">
        <v>7.9109600268134628E-5</v>
      </c>
      <c r="BT144" s="40">
        <v>-15842.31</v>
      </c>
      <c r="BU144" s="40">
        <v>6677831.3317244127</v>
      </c>
      <c r="BV144" s="40">
        <v>0</v>
      </c>
      <c r="BW144" s="40">
        <v>6677831.3317244127</v>
      </c>
      <c r="BX144" s="40">
        <v>120950.36</v>
      </c>
      <c r="BY144" s="40">
        <v>6556880.9717244124</v>
      </c>
    </row>
    <row r="145" spans="1:77">
      <c r="A145">
        <f>_xlfn.XLOOKUP(B145,'Summary Mar 2026'!B:B,'Summary Mar 2026'!A:A,0,0)</f>
        <v>4115</v>
      </c>
      <c r="B145" s="54">
        <v>103493</v>
      </c>
      <c r="C145" s="54">
        <v>3304115</v>
      </c>
      <c r="D145" s="55" t="s">
        <v>66</v>
      </c>
      <c r="E145" s="46">
        <v>631</v>
      </c>
      <c r="F145" s="46">
        <v>0</v>
      </c>
      <c r="G145" s="46">
        <v>631</v>
      </c>
      <c r="H145" s="40">
        <v>0</v>
      </c>
      <c r="I145" s="40">
        <v>2009738.6834</v>
      </c>
      <c r="J145" s="40">
        <v>1588734.6279999998</v>
      </c>
      <c r="K145" s="40">
        <v>0</v>
      </c>
      <c r="L145" s="40">
        <v>169027.67999999991</v>
      </c>
      <c r="M145" s="40">
        <v>0</v>
      </c>
      <c r="N145" s="40">
        <v>546204.14000000036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2388.3776000000043</v>
      </c>
      <c r="V145" s="40">
        <v>37029.888000000137</v>
      </c>
      <c r="W145" s="40">
        <v>144015.15519999998</v>
      </c>
      <c r="X145" s="40">
        <v>129725.0304</v>
      </c>
      <c r="Y145" s="40">
        <v>84481.331200000001</v>
      </c>
      <c r="Z145" s="40">
        <v>4766.72</v>
      </c>
      <c r="AA145" s="40">
        <v>0</v>
      </c>
      <c r="AB145" s="40">
        <v>60960.00857142856</v>
      </c>
      <c r="AC145" s="40">
        <v>0</v>
      </c>
      <c r="AD145" s="40">
        <v>267546.47012163856</v>
      </c>
      <c r="AE145" s="40">
        <v>0</v>
      </c>
      <c r="AF145" s="40">
        <v>0</v>
      </c>
      <c r="AG145" s="40">
        <v>141970.48000000001</v>
      </c>
      <c r="AH145" s="40">
        <v>0</v>
      </c>
      <c r="AI145" s="40">
        <v>0</v>
      </c>
      <c r="AJ145" s="40">
        <v>0</v>
      </c>
      <c r="AK145" s="40">
        <v>85617.91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3598473.3114</v>
      </c>
      <c r="AU145" s="40">
        <v>1446144.8010930675</v>
      </c>
      <c r="AV145" s="40">
        <v>227588.39</v>
      </c>
      <c r="AW145" s="40">
        <v>849819.93175563868</v>
      </c>
      <c r="AX145" s="56">
        <v>5272206.5024930676</v>
      </c>
      <c r="AY145" s="56">
        <v>5186588.5924930675</v>
      </c>
      <c r="AZ145" s="56">
        <v>6465</v>
      </c>
      <c r="BA145" s="56">
        <v>4079415</v>
      </c>
      <c r="BB145" s="56">
        <v>0</v>
      </c>
      <c r="BC145" s="56">
        <v>0</v>
      </c>
      <c r="BD145" s="56">
        <v>5272206.5024930676</v>
      </c>
      <c r="BE145" s="40">
        <v>0</v>
      </c>
      <c r="BF145" s="40">
        <v>5272206.5024930667</v>
      </c>
      <c r="BG145" s="56">
        <v>4165032.91</v>
      </c>
      <c r="BH145" s="56">
        <v>3937444.52</v>
      </c>
      <c r="BI145" s="40">
        <v>5044618.112493067</v>
      </c>
      <c r="BJ145" s="40">
        <v>7994.6404318432124</v>
      </c>
      <c r="BK145" s="40">
        <v>8008.6904426562496</v>
      </c>
      <c r="BL145" s="41">
        <v>-1.7543455966537872E-3</v>
      </c>
      <c r="BM145" s="41">
        <v>1.7543455966537872E-3</v>
      </c>
      <c r="BN145" s="40">
        <v>8865.5568230265126</v>
      </c>
      <c r="BO145" s="56">
        <v>5281072.059316094</v>
      </c>
      <c r="BP145" s="56">
        <v>8233.6832794232869</v>
      </c>
      <c r="BQ145" s="56" t="s">
        <v>1006</v>
      </c>
      <c r="BR145" s="56">
        <v>8369.3693491538725</v>
      </c>
      <c r="BS145" s="47">
        <v>1.6038612750983727E-3</v>
      </c>
      <c r="BT145" s="40">
        <v>-12702.029999999999</v>
      </c>
      <c r="BU145" s="40">
        <v>5268370.0293160938</v>
      </c>
      <c r="BV145" s="40">
        <v>0</v>
      </c>
      <c r="BW145" s="40">
        <v>5268370.0293160938</v>
      </c>
      <c r="BX145" s="40">
        <v>85617.91</v>
      </c>
      <c r="BY145" s="40">
        <v>5182752.1193160936</v>
      </c>
    </row>
    <row r="146" spans="1:77">
      <c r="A146">
        <f>_xlfn.XLOOKUP(B146,'Summary Mar 2026'!B:B,'Summary Mar 2026'!A:A,0,0)</f>
        <v>4173</v>
      </c>
      <c r="B146" s="54">
        <v>103497</v>
      </c>
      <c r="C146" s="54">
        <v>3304173</v>
      </c>
      <c r="D146" s="55" t="s">
        <v>225</v>
      </c>
      <c r="E146" s="46">
        <v>908</v>
      </c>
      <c r="F146" s="46">
        <v>0</v>
      </c>
      <c r="G146" s="46">
        <v>908</v>
      </c>
      <c r="H146" s="40">
        <v>0</v>
      </c>
      <c r="I146" s="40">
        <v>2963145.7138</v>
      </c>
      <c r="J146" s="40">
        <v>2205896.9257999999</v>
      </c>
      <c r="K146" s="40">
        <v>0</v>
      </c>
      <c r="L146" s="40">
        <v>116721.11999999992</v>
      </c>
      <c r="M146" s="40">
        <v>0</v>
      </c>
      <c r="N146" s="40">
        <v>470131.14000000019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10918.297600000007</v>
      </c>
      <c r="V146" s="40">
        <v>43352.063999999984</v>
      </c>
      <c r="W146" s="40">
        <v>9558.5280000000257</v>
      </c>
      <c r="X146" s="40">
        <v>82996.121600000028</v>
      </c>
      <c r="Y146" s="40">
        <v>47847.833600000027</v>
      </c>
      <c r="Z146" s="40">
        <v>16206.84799999998</v>
      </c>
      <c r="AA146" s="40">
        <v>0</v>
      </c>
      <c r="AB146" s="40">
        <v>81151.200000000055</v>
      </c>
      <c r="AC146" s="40">
        <v>0</v>
      </c>
      <c r="AD146" s="40">
        <v>325182.15193690814</v>
      </c>
      <c r="AE146" s="40">
        <v>0</v>
      </c>
      <c r="AF146" s="40">
        <v>0</v>
      </c>
      <c r="AG146" s="40">
        <v>141970.48000000001</v>
      </c>
      <c r="AH146" s="40">
        <v>0</v>
      </c>
      <c r="AI146" s="40">
        <v>0</v>
      </c>
      <c r="AJ146" s="40">
        <v>0</v>
      </c>
      <c r="AK146" s="40">
        <v>81387.16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5169042.6395999994</v>
      </c>
      <c r="AU146" s="40">
        <v>1204065.3047369085</v>
      </c>
      <c r="AV146" s="40">
        <v>223357.64</v>
      </c>
      <c r="AW146" s="40">
        <v>870817.78692490829</v>
      </c>
      <c r="AX146" s="56">
        <v>6596465.5843369076</v>
      </c>
      <c r="AY146" s="56">
        <v>6515078.4243369075</v>
      </c>
      <c r="AZ146" s="56">
        <v>6465</v>
      </c>
      <c r="BA146" s="56">
        <v>5870220</v>
      </c>
      <c r="BB146" s="56">
        <v>0</v>
      </c>
      <c r="BC146" s="56">
        <v>0</v>
      </c>
      <c r="BD146" s="56">
        <v>6596465.5843369076</v>
      </c>
      <c r="BE146" s="40">
        <v>0</v>
      </c>
      <c r="BF146" s="40">
        <v>6596465.5843369095</v>
      </c>
      <c r="BG146" s="56">
        <v>5951607.1600000001</v>
      </c>
      <c r="BH146" s="56">
        <v>5728249.5199999996</v>
      </c>
      <c r="BI146" s="40">
        <v>6373107.944336907</v>
      </c>
      <c r="BJ146" s="40">
        <v>7018.8413483886643</v>
      </c>
      <c r="BK146" s="40">
        <v>7375.2630515916571</v>
      </c>
      <c r="BL146" s="41">
        <v>-4.8326642820702294E-2</v>
      </c>
      <c r="BM146" s="41">
        <v>4.8326642820702294E-2</v>
      </c>
      <c r="BN146" s="40">
        <v>323630.90650831751</v>
      </c>
      <c r="BO146" s="56">
        <v>6920096.4908452248</v>
      </c>
      <c r="BP146" s="56">
        <v>7531.6182057766791</v>
      </c>
      <c r="BQ146" s="56" t="s">
        <v>1006</v>
      </c>
      <c r="BR146" s="56">
        <v>7621.2516419000276</v>
      </c>
      <c r="BS146" s="47">
        <v>8.3688285117822225E-4</v>
      </c>
      <c r="BT146" s="40">
        <v>-18278.04</v>
      </c>
      <c r="BU146" s="40">
        <v>6901818.4508452248</v>
      </c>
      <c r="BV146" s="40">
        <v>0</v>
      </c>
      <c r="BW146" s="40">
        <v>6901818.4508452248</v>
      </c>
      <c r="BX146" s="40">
        <v>81387.16</v>
      </c>
      <c r="BY146" s="40">
        <v>6820431.2908452246</v>
      </c>
    </row>
    <row r="147" spans="1:77">
      <c r="A147">
        <f>_xlfn.XLOOKUP(B147,'Summary Mar 2026'!B:B,'Summary Mar 2026'!A:A,0,0)</f>
        <v>4177</v>
      </c>
      <c r="B147" s="54">
        <v>103498</v>
      </c>
      <c r="C147" s="54">
        <v>3304177</v>
      </c>
      <c r="D147" s="55" t="s">
        <v>1154</v>
      </c>
      <c r="E147" s="46">
        <v>825</v>
      </c>
      <c r="F147" s="46">
        <v>0</v>
      </c>
      <c r="G147" s="46">
        <v>825</v>
      </c>
      <c r="H147" s="40">
        <v>0</v>
      </c>
      <c r="I147" s="40">
        <v>2741045.2124000001</v>
      </c>
      <c r="J147" s="40">
        <v>1949255.1782</v>
      </c>
      <c r="K147" s="40">
        <v>0</v>
      </c>
      <c r="L147" s="40">
        <v>207288.96000000008</v>
      </c>
      <c r="M147" s="40">
        <v>0</v>
      </c>
      <c r="N147" s="40">
        <v>670963.86000000057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9553.5103999999883</v>
      </c>
      <c r="V147" s="40">
        <v>65028.096000000165</v>
      </c>
      <c r="W147" s="40">
        <v>46518.169600000008</v>
      </c>
      <c r="X147" s="40">
        <v>89970.585599999802</v>
      </c>
      <c r="Y147" s="40">
        <v>156253.0815999998</v>
      </c>
      <c r="Z147" s="40">
        <v>94381.056000000011</v>
      </c>
      <c r="AA147" s="40">
        <v>0</v>
      </c>
      <c r="AB147" s="40">
        <v>112499.56310679608</v>
      </c>
      <c r="AC147" s="40">
        <v>0</v>
      </c>
      <c r="AD147" s="40">
        <v>310110.222863856</v>
      </c>
      <c r="AE147" s="40">
        <v>0</v>
      </c>
      <c r="AF147" s="40">
        <v>0</v>
      </c>
      <c r="AG147" s="40">
        <v>141970.48000000001</v>
      </c>
      <c r="AH147" s="40">
        <v>0</v>
      </c>
      <c r="AI147" s="40">
        <v>0</v>
      </c>
      <c r="AJ147" s="40">
        <v>0</v>
      </c>
      <c r="AK147" s="40">
        <v>111907.34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  <c r="AQ147" s="40">
        <v>0</v>
      </c>
      <c r="AR147" s="40">
        <v>0</v>
      </c>
      <c r="AS147" s="40">
        <v>0</v>
      </c>
      <c r="AT147" s="40">
        <v>4690300.3905999996</v>
      </c>
      <c r="AU147" s="40">
        <v>1762567.1051706525</v>
      </c>
      <c r="AV147" s="40">
        <v>253877.82</v>
      </c>
      <c r="AW147" s="40">
        <v>1027009.8773058561</v>
      </c>
      <c r="AX147" s="56">
        <v>6706745.3157706521</v>
      </c>
      <c r="AY147" s="56">
        <v>6594837.9757706523</v>
      </c>
      <c r="AZ147" s="56">
        <v>6465</v>
      </c>
      <c r="BA147" s="56">
        <v>5333625</v>
      </c>
      <c r="BB147" s="56">
        <v>0</v>
      </c>
      <c r="BC147" s="56">
        <v>0</v>
      </c>
      <c r="BD147" s="56">
        <v>6706745.3157706521</v>
      </c>
      <c r="BE147" s="40">
        <v>0</v>
      </c>
      <c r="BF147" s="40">
        <v>6706745.3157706512</v>
      </c>
      <c r="BG147" s="56">
        <v>5445532.3399999999</v>
      </c>
      <c r="BH147" s="56">
        <v>5191654.5199999996</v>
      </c>
      <c r="BI147" s="40">
        <v>6452867.4957706518</v>
      </c>
      <c r="BJ147" s="40">
        <v>7821.6575706310932</v>
      </c>
      <c r="BK147" s="40">
        <v>7779.7727024360538</v>
      </c>
      <c r="BL147" s="41">
        <v>5.3838164425966005E-3</v>
      </c>
      <c r="BM147" s="41">
        <v>0</v>
      </c>
      <c r="BN147" s="40">
        <v>0</v>
      </c>
      <c r="BO147" s="56">
        <v>6706745.3157706521</v>
      </c>
      <c r="BP147" s="56">
        <v>7993.7430009341242</v>
      </c>
      <c r="BQ147" s="56" t="s">
        <v>1006</v>
      </c>
      <c r="BR147" s="56">
        <v>8129.3882615401844</v>
      </c>
      <c r="BS147" s="47">
        <v>6.0482212261070423E-3</v>
      </c>
      <c r="BT147" s="40">
        <v>-16607.25</v>
      </c>
      <c r="BU147" s="40">
        <v>6690138.0657706521</v>
      </c>
      <c r="BV147" s="40">
        <v>0</v>
      </c>
      <c r="BW147" s="40">
        <v>6690138.0657706521</v>
      </c>
      <c r="BX147" s="40">
        <v>111907.34</v>
      </c>
      <c r="BY147" s="40">
        <v>6578230.7257706523</v>
      </c>
    </row>
    <row r="148" spans="1:77">
      <c r="A148">
        <f>_xlfn.XLOOKUP(B148,'Summary Mar 2026'!B:B,'Summary Mar 2026'!A:A,0,0)</f>
        <v>4193</v>
      </c>
      <c r="B148" s="54">
        <v>103501</v>
      </c>
      <c r="C148" s="54">
        <v>3304193</v>
      </c>
      <c r="D148" s="55" t="s">
        <v>333</v>
      </c>
      <c r="E148" s="46">
        <v>675</v>
      </c>
      <c r="F148" s="46">
        <v>0</v>
      </c>
      <c r="G148" s="46">
        <v>675</v>
      </c>
      <c r="H148" s="40">
        <v>0</v>
      </c>
      <c r="I148" s="40">
        <v>2210170.8432</v>
      </c>
      <c r="J148" s="40">
        <v>1631508.2526</v>
      </c>
      <c r="K148" s="40">
        <v>0</v>
      </c>
      <c r="L148" s="40">
        <v>119142.71999999986</v>
      </c>
      <c r="M148" s="40">
        <v>0</v>
      </c>
      <c r="N148" s="40">
        <v>386450.83999999973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5459.148799999999</v>
      </c>
      <c r="V148" s="40">
        <v>74059.776000000013</v>
      </c>
      <c r="W148" s="40">
        <v>13381.939199999995</v>
      </c>
      <c r="X148" s="40">
        <v>17436.159999999985</v>
      </c>
      <c r="Y148" s="40">
        <v>101676.64639999976</v>
      </c>
      <c r="Z148" s="40">
        <v>57200.640000000014</v>
      </c>
      <c r="AA148" s="40">
        <v>0</v>
      </c>
      <c r="AB148" s="40">
        <v>43696.800000000017</v>
      </c>
      <c r="AC148" s="40">
        <v>0</v>
      </c>
      <c r="AD148" s="40">
        <v>281978.22846116539</v>
      </c>
      <c r="AE148" s="40">
        <v>0</v>
      </c>
      <c r="AF148" s="40">
        <v>0</v>
      </c>
      <c r="AG148" s="40">
        <v>141970.48000000001</v>
      </c>
      <c r="AH148" s="40">
        <v>0</v>
      </c>
      <c r="AI148" s="40">
        <v>0</v>
      </c>
      <c r="AJ148" s="40">
        <v>0</v>
      </c>
      <c r="AK148" s="40">
        <v>126037.06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0</v>
      </c>
      <c r="AR148" s="40">
        <v>0</v>
      </c>
      <c r="AS148" s="40">
        <v>0</v>
      </c>
      <c r="AT148" s="40">
        <v>3841679.0958000002</v>
      </c>
      <c r="AU148" s="40">
        <v>1100482.8988611649</v>
      </c>
      <c r="AV148" s="40">
        <v>268007.54000000004</v>
      </c>
      <c r="AW148" s="40">
        <v>752993.01659516525</v>
      </c>
      <c r="AX148" s="56">
        <v>5210169.5346611654</v>
      </c>
      <c r="AY148" s="56">
        <v>5084132.4746611658</v>
      </c>
      <c r="AZ148" s="56">
        <v>6465</v>
      </c>
      <c r="BA148" s="56">
        <v>4363875</v>
      </c>
      <c r="BB148" s="56">
        <v>0</v>
      </c>
      <c r="BC148" s="56">
        <v>0</v>
      </c>
      <c r="BD148" s="56">
        <v>5210169.5346611654</v>
      </c>
      <c r="BE148" s="40">
        <v>0</v>
      </c>
      <c r="BF148" s="40">
        <v>5210169.5346611636</v>
      </c>
      <c r="BG148" s="56">
        <v>4489912.0599999996</v>
      </c>
      <c r="BH148" s="56">
        <v>4221904.5199999996</v>
      </c>
      <c r="BI148" s="40">
        <v>4942161.9946611654</v>
      </c>
      <c r="BJ148" s="40">
        <v>7321.7214735720972</v>
      </c>
      <c r="BK148" s="40">
        <v>7279.2348562130173</v>
      </c>
      <c r="BL148" s="41">
        <v>5.8366872615487134E-3</v>
      </c>
      <c r="BM148" s="41">
        <v>0</v>
      </c>
      <c r="BN148" s="40">
        <v>0</v>
      </c>
      <c r="BO148" s="56">
        <v>5210169.5346611654</v>
      </c>
      <c r="BP148" s="56">
        <v>7532.0481106091347</v>
      </c>
      <c r="BQ148" s="56" t="s">
        <v>1006</v>
      </c>
      <c r="BR148" s="56">
        <v>7718.7696809795043</v>
      </c>
      <c r="BS148" s="47">
        <v>7.1349786274774729E-3</v>
      </c>
      <c r="BT148" s="40">
        <v>-13587.75</v>
      </c>
      <c r="BU148" s="40">
        <v>5196581.7846611654</v>
      </c>
      <c r="BV148" s="40">
        <v>0</v>
      </c>
      <c r="BW148" s="40">
        <v>5196581.7846611654</v>
      </c>
      <c r="BX148" s="40">
        <v>126037.06</v>
      </c>
      <c r="BY148" s="40">
        <v>5070544.7246611658</v>
      </c>
    </row>
    <row r="149" spans="1:77">
      <c r="A149">
        <f>_xlfn.XLOOKUP(B149,'Summary Mar 2026'!B:B,'Summary Mar 2026'!A:A,0,0)</f>
        <v>4201</v>
      </c>
      <c r="B149" s="54">
        <v>103503</v>
      </c>
      <c r="C149" s="54">
        <v>3304201</v>
      </c>
      <c r="D149" s="55" t="s">
        <v>157</v>
      </c>
      <c r="E149" s="46">
        <v>1204</v>
      </c>
      <c r="F149" s="46">
        <v>0</v>
      </c>
      <c r="G149" s="46">
        <v>1204</v>
      </c>
      <c r="H149" s="40">
        <v>0</v>
      </c>
      <c r="I149" s="40">
        <v>3932804.0003999998</v>
      </c>
      <c r="J149" s="40">
        <v>2920827.5083999997</v>
      </c>
      <c r="K149" s="40">
        <v>0</v>
      </c>
      <c r="L149" s="40">
        <v>262017.11999999973</v>
      </c>
      <c r="M149" s="40">
        <v>0</v>
      </c>
      <c r="N149" s="40">
        <v>970691.48000000068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31048.908800000001</v>
      </c>
      <c r="V149" s="40">
        <v>101606.39999999992</v>
      </c>
      <c r="W149" s="40">
        <v>33136.230399999979</v>
      </c>
      <c r="X149" s="40">
        <v>115078.65600000021</v>
      </c>
      <c r="Y149" s="40">
        <v>222791.47520000042</v>
      </c>
      <c r="Z149" s="40">
        <v>91521.024000000019</v>
      </c>
      <c r="AA149" s="40">
        <v>0</v>
      </c>
      <c r="AB149" s="40">
        <v>71966.919567027493</v>
      </c>
      <c r="AC149" s="40">
        <v>0</v>
      </c>
      <c r="AD149" s="40">
        <v>579866.3882975704</v>
      </c>
      <c r="AE149" s="40">
        <v>0</v>
      </c>
      <c r="AF149" s="40">
        <v>0</v>
      </c>
      <c r="AG149" s="40">
        <v>141970.48000000001</v>
      </c>
      <c r="AH149" s="40">
        <v>0</v>
      </c>
      <c r="AI149" s="40">
        <v>0</v>
      </c>
      <c r="AJ149" s="40">
        <v>0</v>
      </c>
      <c r="AK149" s="40">
        <v>188038.74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0</v>
      </c>
      <c r="AR149" s="40">
        <v>0</v>
      </c>
      <c r="AS149" s="40">
        <v>0</v>
      </c>
      <c r="AT149" s="40">
        <v>6853631.5088</v>
      </c>
      <c r="AU149" s="40">
        <v>2479724.6022645989</v>
      </c>
      <c r="AV149" s="40">
        <v>330009.21999999997</v>
      </c>
      <c r="AW149" s="40">
        <v>1580588.8297215707</v>
      </c>
      <c r="AX149" s="56">
        <v>9663365.3310645986</v>
      </c>
      <c r="AY149" s="56">
        <v>9475326.5910645984</v>
      </c>
      <c r="AZ149" s="56">
        <v>6465</v>
      </c>
      <c r="BA149" s="56">
        <v>7783860</v>
      </c>
      <c r="BB149" s="56">
        <v>0</v>
      </c>
      <c r="BC149" s="56">
        <v>0</v>
      </c>
      <c r="BD149" s="56">
        <v>9663365.3310645986</v>
      </c>
      <c r="BE149" s="40">
        <v>0</v>
      </c>
      <c r="BF149" s="40">
        <v>9663365.3310646024</v>
      </c>
      <c r="BG149" s="56">
        <v>7971898.7400000002</v>
      </c>
      <c r="BH149" s="56">
        <v>7641889.5199999996</v>
      </c>
      <c r="BI149" s="40">
        <v>9333356.111064598</v>
      </c>
      <c r="BJ149" s="40">
        <v>7751.9569028775732</v>
      </c>
      <c r="BK149" s="40">
        <v>7668.1222620065782</v>
      </c>
      <c r="BL149" s="41">
        <v>1.0932877438114457E-2</v>
      </c>
      <c r="BM149" s="41">
        <v>0</v>
      </c>
      <c r="BN149" s="40">
        <v>0</v>
      </c>
      <c r="BO149" s="56">
        <v>9663365.3310645986</v>
      </c>
      <c r="BP149" s="56">
        <v>7869.8725839406961</v>
      </c>
      <c r="BQ149" s="56" t="s">
        <v>1006</v>
      </c>
      <c r="BR149" s="56">
        <v>8026.0509394224246</v>
      </c>
      <c r="BS149" s="47">
        <v>1.2127302140499729E-2</v>
      </c>
      <c r="BT149" s="40">
        <v>-24236.52</v>
      </c>
      <c r="BU149" s="40">
        <v>9639128.8110645991</v>
      </c>
      <c r="BV149" s="40">
        <v>0</v>
      </c>
      <c r="BW149" s="40">
        <v>9639128.8110645991</v>
      </c>
      <c r="BX149" s="40">
        <v>188038.74</v>
      </c>
      <c r="BY149" s="40">
        <v>9451090.0710645989</v>
      </c>
    </row>
    <row r="150" spans="1:77">
      <c r="A150">
        <f>_xlfn.XLOOKUP(B150,'Summary Mar 2026'!B:B,'Summary Mar 2026'!A:A,0,0)</f>
        <v>4223</v>
      </c>
      <c r="B150" s="54">
        <v>103509</v>
      </c>
      <c r="C150" s="54">
        <v>3304223</v>
      </c>
      <c r="D150" s="55" t="s">
        <v>163</v>
      </c>
      <c r="E150" s="46">
        <v>997</v>
      </c>
      <c r="F150" s="46">
        <v>0</v>
      </c>
      <c r="G150" s="46">
        <v>997</v>
      </c>
      <c r="H150" s="40">
        <v>0</v>
      </c>
      <c r="I150" s="40">
        <v>3109407.0195999998</v>
      </c>
      <c r="J150" s="40">
        <v>2584749.0293999999</v>
      </c>
      <c r="K150" s="40">
        <v>0</v>
      </c>
      <c r="L150" s="40">
        <v>275093.75999999978</v>
      </c>
      <c r="M150" s="40">
        <v>0</v>
      </c>
      <c r="N150" s="40">
        <v>917440.38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4435.5584000000099</v>
      </c>
      <c r="V150" s="40">
        <v>15805.439999999988</v>
      </c>
      <c r="W150" s="40">
        <v>54164.991999999991</v>
      </c>
      <c r="X150" s="40">
        <v>168084.58240000019</v>
      </c>
      <c r="Y150" s="40">
        <v>415678.05439999962</v>
      </c>
      <c r="Z150" s="40">
        <v>56247.296000000024</v>
      </c>
      <c r="AA150" s="40">
        <v>0</v>
      </c>
      <c r="AB150" s="40">
        <v>51499.79999999993</v>
      </c>
      <c r="AC150" s="40">
        <v>0</v>
      </c>
      <c r="AD150" s="40">
        <v>478881.68042858929</v>
      </c>
      <c r="AE150" s="40">
        <v>0</v>
      </c>
      <c r="AF150" s="40">
        <v>0</v>
      </c>
      <c r="AG150" s="40">
        <v>141970.48000000001</v>
      </c>
      <c r="AH150" s="40">
        <v>0</v>
      </c>
      <c r="AI150" s="40">
        <v>0</v>
      </c>
      <c r="AJ150" s="40">
        <v>0</v>
      </c>
      <c r="AK150" s="40">
        <v>186512.23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5694156.0489999996</v>
      </c>
      <c r="AU150" s="40">
        <v>2437331.5436285888</v>
      </c>
      <c r="AV150" s="40">
        <v>328482.71000000002</v>
      </c>
      <c r="AW150" s="40">
        <v>1450091.5056305891</v>
      </c>
      <c r="AX150" s="56">
        <v>8459970.3026285898</v>
      </c>
      <c r="AY150" s="56">
        <v>8273458.0726285893</v>
      </c>
      <c r="AZ150" s="56">
        <v>6465</v>
      </c>
      <c r="BA150" s="56">
        <v>6445605</v>
      </c>
      <c r="BB150" s="56">
        <v>0</v>
      </c>
      <c r="BC150" s="56">
        <v>0</v>
      </c>
      <c r="BD150" s="56">
        <v>8459970.3026285898</v>
      </c>
      <c r="BE150" s="40">
        <v>0</v>
      </c>
      <c r="BF150" s="40">
        <v>8459970.3026285898</v>
      </c>
      <c r="BG150" s="56">
        <v>6632117.2300000004</v>
      </c>
      <c r="BH150" s="56">
        <v>6303634.5199999996</v>
      </c>
      <c r="BI150" s="40">
        <v>8131487.5926285889</v>
      </c>
      <c r="BJ150" s="40">
        <v>8155.9554590056059</v>
      </c>
      <c r="BK150" s="40">
        <v>8032.7492968238694</v>
      </c>
      <c r="BL150" s="41">
        <v>1.5337981758057851E-2</v>
      </c>
      <c r="BM150" s="41">
        <v>0</v>
      </c>
      <c r="BN150" s="40">
        <v>0</v>
      </c>
      <c r="BO150" s="56">
        <v>8459970.3026285898</v>
      </c>
      <c r="BP150" s="56">
        <v>8298.3531320246639</v>
      </c>
      <c r="BQ150" s="56" t="s">
        <v>1006</v>
      </c>
      <c r="BR150" s="56">
        <v>8485.4265823757178</v>
      </c>
      <c r="BS150" s="47">
        <v>1.7714893583149705E-2</v>
      </c>
      <c r="BT150" s="40">
        <v>-20069.61</v>
      </c>
      <c r="BU150" s="40">
        <v>8439900.6926285904</v>
      </c>
      <c r="BV150" s="40">
        <v>0</v>
      </c>
      <c r="BW150" s="40">
        <v>8439900.6926285904</v>
      </c>
      <c r="BX150" s="40">
        <v>186512.23</v>
      </c>
      <c r="BY150" s="40">
        <v>8253388.4626285899</v>
      </c>
    </row>
    <row r="151" spans="1:77">
      <c r="A151">
        <f>_xlfn.XLOOKUP(B151,'Summary Mar 2026'!B:B,'Summary Mar 2026'!A:A,0,0)</f>
        <v>4245</v>
      </c>
      <c r="B151" s="54">
        <v>103519</v>
      </c>
      <c r="C151" s="54">
        <v>3304245</v>
      </c>
      <c r="D151" s="55" t="s">
        <v>207</v>
      </c>
      <c r="E151" s="46">
        <v>1265</v>
      </c>
      <c r="F151" s="46">
        <v>0</v>
      </c>
      <c r="G151" s="46">
        <v>1265</v>
      </c>
      <c r="H151" s="40">
        <v>0</v>
      </c>
      <c r="I151" s="40">
        <v>4127819.0748000001</v>
      </c>
      <c r="J151" s="40">
        <v>3073590.4534</v>
      </c>
      <c r="K151" s="40">
        <v>0</v>
      </c>
      <c r="L151" s="40">
        <v>357428.16</v>
      </c>
      <c r="M151" s="40">
        <v>0</v>
      </c>
      <c r="N151" s="40">
        <v>1177610.0399999991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28341.738936708854</v>
      </c>
      <c r="V151" s="40">
        <v>153208.0891139243</v>
      </c>
      <c r="W151" s="40">
        <v>119894.99625316465</v>
      </c>
      <c r="X151" s="40">
        <v>205211.46410126606</v>
      </c>
      <c r="Y151" s="40">
        <v>152635.63017721506</v>
      </c>
      <c r="Z151" s="40">
        <v>64878.679493670919</v>
      </c>
      <c r="AA151" s="40">
        <v>0</v>
      </c>
      <c r="AB151" s="40">
        <v>147938.64279766861</v>
      </c>
      <c r="AC151" s="40">
        <v>0</v>
      </c>
      <c r="AD151" s="40">
        <v>640320.57682485715</v>
      </c>
      <c r="AE151" s="40">
        <v>0</v>
      </c>
      <c r="AF151" s="40">
        <v>0</v>
      </c>
      <c r="AG151" s="40">
        <v>141970.48000000001</v>
      </c>
      <c r="AH151" s="40">
        <v>0</v>
      </c>
      <c r="AI151" s="40">
        <v>0</v>
      </c>
      <c r="AJ151" s="40">
        <v>0</v>
      </c>
      <c r="AK151" s="40">
        <v>22895.86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0</v>
      </c>
      <c r="AR151" s="40">
        <v>0</v>
      </c>
      <c r="AS151" s="40">
        <v>0</v>
      </c>
      <c r="AT151" s="40">
        <v>7201409.5282000005</v>
      </c>
      <c r="AU151" s="40">
        <v>3047468.0176984742</v>
      </c>
      <c r="AV151" s="40">
        <v>164866.34000000003</v>
      </c>
      <c r="AW151" s="40">
        <v>1813706.220542199</v>
      </c>
      <c r="AX151" s="56">
        <v>10413743.885898475</v>
      </c>
      <c r="AY151" s="56">
        <v>10390848.025898475</v>
      </c>
      <c r="AZ151" s="56">
        <v>6465</v>
      </c>
      <c r="BA151" s="56">
        <v>8178225</v>
      </c>
      <c r="BB151" s="56">
        <v>0</v>
      </c>
      <c r="BC151" s="56">
        <v>0</v>
      </c>
      <c r="BD151" s="56">
        <v>10413743.885898475</v>
      </c>
      <c r="BE151" s="40">
        <v>0</v>
      </c>
      <c r="BF151" s="40">
        <v>10413743.885898476</v>
      </c>
      <c r="BG151" s="56">
        <v>8201120.8600000003</v>
      </c>
      <c r="BH151" s="56">
        <v>8036254.5199999996</v>
      </c>
      <c r="BI151" s="40">
        <v>10248877.545898475</v>
      </c>
      <c r="BJ151" s="40">
        <v>8101.8794829236958</v>
      </c>
      <c r="BK151" s="40">
        <v>8037.6593277117981</v>
      </c>
      <c r="BL151" s="41">
        <v>7.9899075829804062E-3</v>
      </c>
      <c r="BM151" s="41">
        <v>0</v>
      </c>
      <c r="BN151" s="40">
        <v>0</v>
      </c>
      <c r="BO151" s="56">
        <v>10413743.885898475</v>
      </c>
      <c r="BP151" s="56">
        <v>8214.1091113821931</v>
      </c>
      <c r="BQ151" s="56" t="s">
        <v>1006</v>
      </c>
      <c r="BR151" s="56">
        <v>8232.2086054533393</v>
      </c>
      <c r="BS151" s="47">
        <v>7.8369549574732744E-3</v>
      </c>
      <c r="BT151" s="40">
        <v>-25464.449999999997</v>
      </c>
      <c r="BU151" s="40">
        <v>10388279.435898475</v>
      </c>
      <c r="BV151" s="40">
        <v>0</v>
      </c>
      <c r="BW151" s="40">
        <v>10388279.435898475</v>
      </c>
      <c r="BX151" s="40">
        <v>22895.86</v>
      </c>
      <c r="BY151" s="40">
        <v>10365383.575898476</v>
      </c>
    </row>
    <row r="152" spans="1:77">
      <c r="A152">
        <f>_xlfn.XLOOKUP(B152,'Summary Mar 2026'!B:B,'Summary Mar 2026'!A:A,0,0)</f>
        <v>4606</v>
      </c>
      <c r="B152" s="54">
        <v>103531</v>
      </c>
      <c r="C152" s="54">
        <v>3304606</v>
      </c>
      <c r="D152" s="55" t="s">
        <v>293</v>
      </c>
      <c r="E152" s="46">
        <v>846</v>
      </c>
      <c r="F152" s="46">
        <v>0</v>
      </c>
      <c r="G152" s="46">
        <v>846</v>
      </c>
      <c r="H152" s="40">
        <v>0</v>
      </c>
      <c r="I152" s="40">
        <v>2762713.554</v>
      </c>
      <c r="J152" s="40">
        <v>2053133.9807999998</v>
      </c>
      <c r="K152" s="40">
        <v>0</v>
      </c>
      <c r="L152" s="40">
        <v>120111.35999999997</v>
      </c>
      <c r="M152" s="40">
        <v>0</v>
      </c>
      <c r="N152" s="40">
        <v>377322.0799999999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29684.121599999966</v>
      </c>
      <c r="V152" s="40">
        <v>33417.215999999986</v>
      </c>
      <c r="W152" s="40">
        <v>46518.169599999987</v>
      </c>
      <c r="X152" s="40">
        <v>74626.764799999772</v>
      </c>
      <c r="Y152" s="40">
        <v>112143.35999999993</v>
      </c>
      <c r="Z152" s="40">
        <v>75314.176000000007</v>
      </c>
      <c r="AA152" s="40">
        <v>0</v>
      </c>
      <c r="AB152" s="40">
        <v>51683.073309608524</v>
      </c>
      <c r="AC152" s="40">
        <v>0</v>
      </c>
      <c r="AD152" s="40">
        <v>196846.07461755755</v>
      </c>
      <c r="AE152" s="40">
        <v>0</v>
      </c>
      <c r="AF152" s="40">
        <v>0</v>
      </c>
      <c r="AG152" s="40">
        <v>141970.48000000001</v>
      </c>
      <c r="AH152" s="40">
        <v>0</v>
      </c>
      <c r="AI152" s="40">
        <v>0</v>
      </c>
      <c r="AJ152" s="40">
        <v>0</v>
      </c>
      <c r="AK152" s="40">
        <v>14945.91</v>
      </c>
      <c r="AL152" s="40">
        <v>0</v>
      </c>
      <c r="AM152" s="40">
        <v>0</v>
      </c>
      <c r="AN152" s="40">
        <v>0</v>
      </c>
      <c r="AO152" s="40">
        <v>0</v>
      </c>
      <c r="AP152" s="40">
        <v>0</v>
      </c>
      <c r="AQ152" s="40">
        <v>0</v>
      </c>
      <c r="AR152" s="40">
        <v>0</v>
      </c>
      <c r="AS152" s="40">
        <v>0</v>
      </c>
      <c r="AT152" s="40">
        <v>4815847.5347999996</v>
      </c>
      <c r="AU152" s="40">
        <v>1117666.3959271656</v>
      </c>
      <c r="AV152" s="40">
        <v>156916.39000000001</v>
      </c>
      <c r="AW152" s="40">
        <v>750527.86063755734</v>
      </c>
      <c r="AX152" s="56">
        <v>6090430.3207271649</v>
      </c>
      <c r="AY152" s="56">
        <v>6075484.4107271647</v>
      </c>
      <c r="AZ152" s="56">
        <v>6465</v>
      </c>
      <c r="BA152" s="56">
        <v>5469390</v>
      </c>
      <c r="BB152" s="56">
        <v>0</v>
      </c>
      <c r="BC152" s="56">
        <v>0</v>
      </c>
      <c r="BD152" s="56">
        <v>6090430.3207271649</v>
      </c>
      <c r="BE152" s="40">
        <v>0</v>
      </c>
      <c r="BF152" s="40">
        <v>6090430.3207271658</v>
      </c>
      <c r="BG152" s="56">
        <v>5484335.9100000001</v>
      </c>
      <c r="BH152" s="56">
        <v>5327419.5199999996</v>
      </c>
      <c r="BI152" s="40">
        <v>5933513.9307271643</v>
      </c>
      <c r="BJ152" s="40">
        <v>7013.60984719523</v>
      </c>
      <c r="BK152" s="40">
        <v>6990.1536062801915</v>
      </c>
      <c r="BL152" s="41">
        <v>3.3556116555099194E-3</v>
      </c>
      <c r="BM152" s="41">
        <v>0</v>
      </c>
      <c r="BN152" s="40">
        <v>0</v>
      </c>
      <c r="BO152" s="56">
        <v>6090430.3207271649</v>
      </c>
      <c r="BP152" s="56">
        <v>7181.4236533418025</v>
      </c>
      <c r="BQ152" s="56" t="s">
        <v>1006</v>
      </c>
      <c r="BR152" s="56">
        <v>7199.0902136254899</v>
      </c>
      <c r="BS152" s="47">
        <v>2.7054264944759154E-3</v>
      </c>
      <c r="BT152" s="40">
        <v>-17029.98</v>
      </c>
      <c r="BU152" s="40">
        <v>6073400.3407271644</v>
      </c>
      <c r="BV152" s="40">
        <v>0</v>
      </c>
      <c r="BW152" s="40">
        <v>6073400.3407271644</v>
      </c>
      <c r="BX152" s="40">
        <v>14945.91</v>
      </c>
      <c r="BY152" s="40">
        <v>6058454.4307271643</v>
      </c>
    </row>
    <row r="153" spans="1:77">
      <c r="A153">
        <f>_xlfn.XLOOKUP(B153,'Summary Mar 2026'!B:B,'Summary Mar 2026'!A:A,0,0)</f>
        <v>4625</v>
      </c>
      <c r="B153" s="54">
        <v>103534</v>
      </c>
      <c r="C153" s="54">
        <v>3304625</v>
      </c>
      <c r="D153" s="55" t="s">
        <v>277</v>
      </c>
      <c r="E153" s="46">
        <v>626</v>
      </c>
      <c r="F153" s="46">
        <v>0</v>
      </c>
      <c r="G153" s="46">
        <v>626</v>
      </c>
      <c r="H153" s="40">
        <v>0</v>
      </c>
      <c r="I153" s="40">
        <v>2009738.6834</v>
      </c>
      <c r="J153" s="40">
        <v>1558182.0389999999</v>
      </c>
      <c r="K153" s="40">
        <v>0</v>
      </c>
      <c r="L153" s="40">
        <v>172417.9199999999</v>
      </c>
      <c r="M153" s="40">
        <v>0</v>
      </c>
      <c r="N153" s="40">
        <v>558375.82000000007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25288.960901120001</v>
      </c>
      <c r="V153" s="40">
        <v>27138.392064000003</v>
      </c>
      <c r="W153" s="40">
        <v>84249.630474239995</v>
      </c>
      <c r="X153" s="40">
        <v>91511.663165439997</v>
      </c>
      <c r="Y153" s="40">
        <v>104834.60341759998</v>
      </c>
      <c r="Z153" s="40">
        <v>38194.774016000003</v>
      </c>
      <c r="AA153" s="40">
        <v>0</v>
      </c>
      <c r="AB153" s="40">
        <v>81151.200000000012</v>
      </c>
      <c r="AC153" s="40">
        <v>0</v>
      </c>
      <c r="AD153" s="40">
        <v>307086.70384990569</v>
      </c>
      <c r="AE153" s="40">
        <v>0</v>
      </c>
      <c r="AF153" s="40">
        <v>0</v>
      </c>
      <c r="AG153" s="40">
        <v>141970.48000000001</v>
      </c>
      <c r="AH153" s="40">
        <v>0</v>
      </c>
      <c r="AI153" s="40">
        <v>0</v>
      </c>
      <c r="AJ153" s="40">
        <v>0</v>
      </c>
      <c r="AK153" s="40">
        <v>13885.91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0</v>
      </c>
      <c r="AR153" s="40">
        <v>0</v>
      </c>
      <c r="AS153" s="40">
        <v>0</v>
      </c>
      <c r="AT153" s="40">
        <v>3567920.7223999999</v>
      </c>
      <c r="AU153" s="40">
        <v>1490249.6678883056</v>
      </c>
      <c r="AV153" s="40">
        <v>155856.39000000001</v>
      </c>
      <c r="AW153" s="40">
        <v>882206.97502372973</v>
      </c>
      <c r="AX153" s="56">
        <v>5214026.7802883051</v>
      </c>
      <c r="AY153" s="56">
        <v>5200140.870288305</v>
      </c>
      <c r="AZ153" s="56">
        <v>6465</v>
      </c>
      <c r="BA153" s="56">
        <v>4047090</v>
      </c>
      <c r="BB153" s="56">
        <v>0</v>
      </c>
      <c r="BC153" s="56">
        <v>0</v>
      </c>
      <c r="BD153" s="56">
        <v>5214026.7802883051</v>
      </c>
      <c r="BE153" s="40">
        <v>0</v>
      </c>
      <c r="BF153" s="40">
        <v>5214026.7802883042</v>
      </c>
      <c r="BG153" s="56">
        <v>4060975.91</v>
      </c>
      <c r="BH153" s="56">
        <v>3905119.52</v>
      </c>
      <c r="BI153" s="40">
        <v>5058170.3902883045</v>
      </c>
      <c r="BJ153" s="40">
        <v>8080.1443934317967</v>
      </c>
      <c r="BK153" s="40">
        <v>8002.0190769706314</v>
      </c>
      <c r="BL153" s="41">
        <v>9.763200475990573E-3</v>
      </c>
      <c r="BM153" s="41">
        <v>0</v>
      </c>
      <c r="BN153" s="40">
        <v>0</v>
      </c>
      <c r="BO153" s="56">
        <v>5214026.7802883051</v>
      </c>
      <c r="BP153" s="56">
        <v>8306.9342975851523</v>
      </c>
      <c r="BQ153" s="56" t="s">
        <v>1006</v>
      </c>
      <c r="BR153" s="56">
        <v>8329.1162624413828</v>
      </c>
      <c r="BS153" s="47">
        <v>1.0458238721377189E-2</v>
      </c>
      <c r="BT153" s="40">
        <v>-12601.38</v>
      </c>
      <c r="BU153" s="40">
        <v>5201425.4002883052</v>
      </c>
      <c r="BV153" s="40">
        <v>0</v>
      </c>
      <c r="BW153" s="40">
        <v>5201425.4002883052</v>
      </c>
      <c r="BX153" s="40">
        <v>13885.91</v>
      </c>
      <c r="BY153" s="40">
        <v>5187539.4902883051</v>
      </c>
    </row>
    <row r="154" spans="1:77">
      <c r="A154">
        <f>_xlfn.XLOOKUP(B154,'Summary Mar 2026'!B:B,'Summary Mar 2026'!A:A,0,0)</f>
        <v>4801</v>
      </c>
      <c r="B154" s="54">
        <v>103539</v>
      </c>
      <c r="C154" s="54">
        <v>3304801</v>
      </c>
      <c r="D154" s="55" t="s">
        <v>82</v>
      </c>
      <c r="E154" s="46">
        <v>785</v>
      </c>
      <c r="F154" s="46">
        <v>0</v>
      </c>
      <c r="G154" s="46">
        <v>785</v>
      </c>
      <c r="H154" s="40">
        <v>0</v>
      </c>
      <c r="I154" s="40">
        <v>2578532.6504000002</v>
      </c>
      <c r="J154" s="40">
        <v>1888150.0001999999</v>
      </c>
      <c r="K154" s="40">
        <v>0</v>
      </c>
      <c r="L154" s="40">
        <v>156435.3599999999</v>
      </c>
      <c r="M154" s="40">
        <v>0</v>
      </c>
      <c r="N154" s="40">
        <v>614669.8399999995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24566.16959999999</v>
      </c>
      <c r="V154" s="40">
        <v>24837.119999999992</v>
      </c>
      <c r="W154" s="40">
        <v>12744.703999999985</v>
      </c>
      <c r="X154" s="40">
        <v>48821.248</v>
      </c>
      <c r="Y154" s="40">
        <v>255686.86079999985</v>
      </c>
      <c r="Z154" s="40">
        <v>70547.45600000002</v>
      </c>
      <c r="AA154" s="40">
        <v>0</v>
      </c>
      <c r="AB154" s="40">
        <v>43696.800000000003</v>
      </c>
      <c r="AC154" s="40">
        <v>0</v>
      </c>
      <c r="AD154" s="40">
        <v>334473.2933914843</v>
      </c>
      <c r="AE154" s="40">
        <v>0</v>
      </c>
      <c r="AF154" s="40">
        <v>0</v>
      </c>
      <c r="AG154" s="40">
        <v>141970.48000000001</v>
      </c>
      <c r="AH154" s="40">
        <v>0</v>
      </c>
      <c r="AI154" s="40">
        <v>0</v>
      </c>
      <c r="AJ154" s="40">
        <v>0</v>
      </c>
      <c r="AK154" s="40">
        <v>24697.86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4466682.6506000003</v>
      </c>
      <c r="AU154" s="40">
        <v>1586478.8517914836</v>
      </c>
      <c r="AV154" s="40">
        <v>166668.34000000003</v>
      </c>
      <c r="AW154" s="40">
        <v>992798.57894548401</v>
      </c>
      <c r="AX154" s="56">
        <v>6219829.8423914835</v>
      </c>
      <c r="AY154" s="56">
        <v>6195131.9823914832</v>
      </c>
      <c r="AZ154" s="56">
        <v>6465</v>
      </c>
      <c r="BA154" s="56">
        <v>5075025</v>
      </c>
      <c r="BB154" s="56">
        <v>0</v>
      </c>
      <c r="BC154" s="56">
        <v>0</v>
      </c>
      <c r="BD154" s="56">
        <v>6219829.8423914835</v>
      </c>
      <c r="BE154" s="40">
        <v>0</v>
      </c>
      <c r="BF154" s="40">
        <v>6219829.8423914835</v>
      </c>
      <c r="BG154" s="56">
        <v>5099722.8600000003</v>
      </c>
      <c r="BH154" s="56">
        <v>4933054.5199999996</v>
      </c>
      <c r="BI154" s="40">
        <v>6053161.5023914827</v>
      </c>
      <c r="BJ154" s="40">
        <v>7711.0337610082579</v>
      </c>
      <c r="BK154" s="40">
        <v>7725.3439926640913</v>
      </c>
      <c r="BL154" s="41">
        <v>-1.8523746864116638E-3</v>
      </c>
      <c r="BM154" s="41">
        <v>1.8523746864116638E-3</v>
      </c>
      <c r="BN154" s="40">
        <v>11233.5318498292</v>
      </c>
      <c r="BO154" s="56">
        <v>6231063.374241313</v>
      </c>
      <c r="BP154" s="56">
        <v>7906.198107313774</v>
      </c>
      <c r="BQ154" s="56" t="s">
        <v>1006</v>
      </c>
      <c r="BR154" s="56">
        <v>7937.6603493519906</v>
      </c>
      <c r="BS154" s="47">
        <v>-2.7532162401500138E-4</v>
      </c>
      <c r="BT154" s="40">
        <v>-15802.05</v>
      </c>
      <c r="BU154" s="40">
        <v>6215261.3242413132</v>
      </c>
      <c r="BV154" s="40">
        <v>0</v>
      </c>
      <c r="BW154" s="40">
        <v>6215261.3242413132</v>
      </c>
      <c r="BX154" s="40">
        <v>24697.86</v>
      </c>
      <c r="BY154" s="40">
        <v>6190563.4642413128</v>
      </c>
    </row>
    <row r="155" spans="1:77">
      <c r="A155">
        <f>_xlfn.XLOOKUP(B155,'Summary Mar 2026'!B:B,'Summary Mar 2026'!A:A,0,0)</f>
        <v>5413</v>
      </c>
      <c r="B155" s="54">
        <v>103560</v>
      </c>
      <c r="C155" s="54">
        <v>3305413</v>
      </c>
      <c r="D155" s="55" t="s">
        <v>57</v>
      </c>
      <c r="E155" s="46">
        <v>993</v>
      </c>
      <c r="F155" s="46">
        <v>0</v>
      </c>
      <c r="G155" s="46">
        <v>993</v>
      </c>
      <c r="H155" s="40">
        <v>0</v>
      </c>
      <c r="I155" s="40">
        <v>3288170.8377999999</v>
      </c>
      <c r="J155" s="40">
        <v>2358659.8707999997</v>
      </c>
      <c r="K155" s="40">
        <v>0</v>
      </c>
      <c r="L155" s="40">
        <v>179682.7199999998</v>
      </c>
      <c r="M155" s="40">
        <v>0</v>
      </c>
      <c r="N155" s="40">
        <v>584240.63999999943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18083.430399999983</v>
      </c>
      <c r="V155" s="40">
        <v>75414.528000000209</v>
      </c>
      <c r="W155" s="40">
        <v>50978.81599999997</v>
      </c>
      <c r="X155" s="40">
        <v>66954.854399999967</v>
      </c>
      <c r="Y155" s="40">
        <v>123357.69600000023</v>
      </c>
      <c r="Z155" s="40">
        <v>83894.271999999968</v>
      </c>
      <c r="AA155" s="40">
        <v>0</v>
      </c>
      <c r="AB155" s="40">
        <v>31243.463709677344</v>
      </c>
      <c r="AC155" s="40">
        <v>0</v>
      </c>
      <c r="AD155" s="40">
        <v>286550.29004707781</v>
      </c>
      <c r="AE155" s="40">
        <v>0</v>
      </c>
      <c r="AF155" s="40">
        <v>0</v>
      </c>
      <c r="AG155" s="40">
        <v>141970.48000000001</v>
      </c>
      <c r="AH155" s="40">
        <v>0</v>
      </c>
      <c r="AI155" s="40">
        <v>0</v>
      </c>
      <c r="AJ155" s="40">
        <v>0</v>
      </c>
      <c r="AK155" s="40">
        <v>87604.23</v>
      </c>
      <c r="AL155" s="40">
        <v>0</v>
      </c>
      <c r="AM155" s="40">
        <v>0</v>
      </c>
      <c r="AN155" s="40">
        <v>0</v>
      </c>
      <c r="AO155" s="40">
        <v>0</v>
      </c>
      <c r="AP155" s="40">
        <v>0</v>
      </c>
      <c r="AQ155" s="40">
        <v>0</v>
      </c>
      <c r="AR155" s="40">
        <v>0</v>
      </c>
      <c r="AS155" s="40">
        <v>0</v>
      </c>
      <c r="AT155" s="40">
        <v>5646830.7085999995</v>
      </c>
      <c r="AU155" s="40">
        <v>1500400.7105567544</v>
      </c>
      <c r="AV155" s="40">
        <v>229574.71000000002</v>
      </c>
      <c r="AW155" s="40">
        <v>994630.32992507762</v>
      </c>
      <c r="AX155" s="56">
        <v>7376806.1291567544</v>
      </c>
      <c r="AY155" s="56">
        <v>7289201.8991567539</v>
      </c>
      <c r="AZ155" s="56">
        <v>6465</v>
      </c>
      <c r="BA155" s="56">
        <v>6419745</v>
      </c>
      <c r="BB155" s="56">
        <v>0</v>
      </c>
      <c r="BC155" s="56">
        <v>0</v>
      </c>
      <c r="BD155" s="56">
        <v>7376806.1291567544</v>
      </c>
      <c r="BE155" s="40">
        <v>0</v>
      </c>
      <c r="BF155" s="40">
        <v>7376806.1291567534</v>
      </c>
      <c r="BG155" s="56">
        <v>6507349.2300000004</v>
      </c>
      <c r="BH155" s="56">
        <v>6277774.5199999996</v>
      </c>
      <c r="BI155" s="40">
        <v>7147231.4191567535</v>
      </c>
      <c r="BJ155" s="40">
        <v>7197.614722212239</v>
      </c>
      <c r="BK155" s="40">
        <v>7146.6684638018205</v>
      </c>
      <c r="BL155" s="41">
        <v>7.1286724252654903E-3</v>
      </c>
      <c r="BM155" s="41">
        <v>0</v>
      </c>
      <c r="BN155" s="40">
        <v>0</v>
      </c>
      <c r="BO155" s="56">
        <v>7376806.1291567544</v>
      </c>
      <c r="BP155" s="56">
        <v>7340.5860011649083</v>
      </c>
      <c r="BQ155" s="56" t="s">
        <v>1006</v>
      </c>
      <c r="BR155" s="56">
        <v>7428.8077836422499</v>
      </c>
      <c r="BS155" s="47">
        <v>7.5307856214561486E-3</v>
      </c>
      <c r="BT155" s="40">
        <v>-19989.09</v>
      </c>
      <c r="BU155" s="40">
        <v>7356817.0391567545</v>
      </c>
      <c r="BV155" s="40">
        <v>0</v>
      </c>
      <c r="BW155" s="40">
        <v>7356817.0391567545</v>
      </c>
      <c r="BX155" s="40">
        <v>87604.23</v>
      </c>
      <c r="BY155" s="40">
        <v>7269212.8091567541</v>
      </c>
    </row>
    <row r="156" spans="1:77">
      <c r="A156">
        <f>_xlfn.XLOOKUP(B156,'Summary Mar 2026'!B:B,'Summary Mar 2026'!A:A,0,0)</f>
        <v>5416</v>
      </c>
      <c r="B156" s="54">
        <v>103563</v>
      </c>
      <c r="C156" s="54">
        <v>3305416</v>
      </c>
      <c r="D156" s="55" t="s">
        <v>107</v>
      </c>
      <c r="E156" s="46">
        <v>1153</v>
      </c>
      <c r="F156" s="46">
        <v>0</v>
      </c>
      <c r="G156" s="46">
        <v>1153</v>
      </c>
      <c r="H156" s="40">
        <v>0</v>
      </c>
      <c r="I156" s="40">
        <v>3759457.2675999999</v>
      </c>
      <c r="J156" s="40">
        <v>2804727.6702000001</v>
      </c>
      <c r="K156" s="40">
        <v>0</v>
      </c>
      <c r="L156" s="40">
        <v>284295.84000000026</v>
      </c>
      <c r="M156" s="40">
        <v>0</v>
      </c>
      <c r="N156" s="40">
        <v>946348.11999999965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39920.025599999928</v>
      </c>
      <c r="V156" s="40">
        <v>32965.631999999983</v>
      </c>
      <c r="W156" s="40">
        <v>17842.585600000017</v>
      </c>
      <c r="X156" s="40">
        <v>191100.31360000026</v>
      </c>
      <c r="Y156" s="40">
        <v>248958.25919999956</v>
      </c>
      <c r="Z156" s="40">
        <v>109634.56000000001</v>
      </c>
      <c r="AA156" s="40">
        <v>0</v>
      </c>
      <c r="AB156" s="40">
        <v>79798.227652173868</v>
      </c>
      <c r="AC156" s="40">
        <v>0</v>
      </c>
      <c r="AD156" s="40">
        <v>550270.49341473449</v>
      </c>
      <c r="AE156" s="40">
        <v>0</v>
      </c>
      <c r="AF156" s="40">
        <v>0</v>
      </c>
      <c r="AG156" s="40">
        <v>141970.48000000001</v>
      </c>
      <c r="AH156" s="40">
        <v>0</v>
      </c>
      <c r="AI156" s="40">
        <v>0</v>
      </c>
      <c r="AJ156" s="40">
        <v>0</v>
      </c>
      <c r="AK156" s="40">
        <v>8691.94</v>
      </c>
      <c r="AL156" s="40">
        <v>0</v>
      </c>
      <c r="AM156" s="40">
        <v>0</v>
      </c>
      <c r="AN156" s="40">
        <v>0</v>
      </c>
      <c r="AO156" s="40">
        <v>0</v>
      </c>
      <c r="AP156" s="40">
        <v>0</v>
      </c>
      <c r="AQ156" s="40">
        <v>0</v>
      </c>
      <c r="AR156" s="40">
        <v>0</v>
      </c>
      <c r="AS156" s="40">
        <v>0</v>
      </c>
      <c r="AT156" s="40">
        <v>6564184.9377999995</v>
      </c>
      <c r="AU156" s="40">
        <v>2501134.0570669081</v>
      </c>
      <c r="AV156" s="40">
        <v>150662.42000000001</v>
      </c>
      <c r="AW156" s="40">
        <v>1552063.2612647342</v>
      </c>
      <c r="AX156" s="56">
        <v>9215981.4148669075</v>
      </c>
      <c r="AY156" s="56">
        <v>9207289.474866908</v>
      </c>
      <c r="AZ156" s="56">
        <v>6465</v>
      </c>
      <c r="BA156" s="56">
        <v>7454145</v>
      </c>
      <c r="BB156" s="56">
        <v>0</v>
      </c>
      <c r="BC156" s="56">
        <v>0</v>
      </c>
      <c r="BD156" s="56">
        <v>9215981.4148669075</v>
      </c>
      <c r="BE156" s="40">
        <v>0</v>
      </c>
      <c r="BF156" s="40">
        <v>9215981.4148669075</v>
      </c>
      <c r="BG156" s="56">
        <v>7462836.9400000004</v>
      </c>
      <c r="BH156" s="56">
        <v>7312174.5199999996</v>
      </c>
      <c r="BI156" s="40">
        <v>9065318.9948669076</v>
      </c>
      <c r="BJ156" s="40">
        <v>7862.3755376122353</v>
      </c>
      <c r="BK156" s="40">
        <v>7807.168406571187</v>
      </c>
      <c r="BL156" s="41">
        <v>7.0713385655394928E-3</v>
      </c>
      <c r="BM156" s="41">
        <v>0</v>
      </c>
      <c r="BN156" s="40">
        <v>0</v>
      </c>
      <c r="BO156" s="56">
        <v>9215981.4148669075</v>
      </c>
      <c r="BP156" s="56">
        <v>7985.5069166235107</v>
      </c>
      <c r="BQ156" s="56" t="s">
        <v>1006</v>
      </c>
      <c r="BR156" s="56">
        <v>7993.0454595549936</v>
      </c>
      <c r="BS156" s="47">
        <v>7.4299576327130357E-3</v>
      </c>
      <c r="BT156" s="40">
        <v>-23209.89</v>
      </c>
      <c r="BU156" s="40">
        <v>9192771.5248669069</v>
      </c>
      <c r="BV156" s="40">
        <v>0</v>
      </c>
      <c r="BW156" s="40">
        <v>9192771.5248669069</v>
      </c>
      <c r="BX156" s="40">
        <v>8691.94</v>
      </c>
      <c r="BY156" s="40">
        <v>9184079.5848669074</v>
      </c>
    </row>
    <row r="157" spans="1:77">
      <c r="A157">
        <v>2079</v>
      </c>
      <c r="B157" s="54">
        <v>103200</v>
      </c>
      <c r="C157" s="54">
        <v>3302079</v>
      </c>
      <c r="D157" s="55" t="s">
        <v>379</v>
      </c>
      <c r="E157" s="46">
        <v>325</v>
      </c>
      <c r="F157" s="46">
        <v>325</v>
      </c>
      <c r="G157" s="46">
        <v>0</v>
      </c>
      <c r="H157" s="40">
        <v>1246875.9550000001</v>
      </c>
      <c r="I157" s="40">
        <v>0</v>
      </c>
      <c r="J157" s="40">
        <v>0</v>
      </c>
      <c r="K157" s="40">
        <v>67320.48000000004</v>
      </c>
      <c r="L157" s="40">
        <v>0</v>
      </c>
      <c r="M157" s="40">
        <v>149348.15999999997</v>
      </c>
      <c r="N157" s="40">
        <v>0</v>
      </c>
      <c r="O157" s="40">
        <v>20045.312000000034</v>
      </c>
      <c r="P157" s="40">
        <v>6292.0704000000005</v>
      </c>
      <c r="Q157" s="40">
        <v>6698.4960000000065</v>
      </c>
      <c r="R157" s="40">
        <v>3442.0735999999938</v>
      </c>
      <c r="S157" s="40">
        <v>7305.6256000000058</v>
      </c>
      <c r="T157" s="40">
        <v>7561.5231999999887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58014.153310104433</v>
      </c>
      <c r="AB157" s="40">
        <v>0</v>
      </c>
      <c r="AC157" s="40">
        <v>139719.16687872811</v>
      </c>
      <c r="AD157" s="40">
        <v>0</v>
      </c>
      <c r="AE157" s="40">
        <v>24076.844999999859</v>
      </c>
      <c r="AF157" s="40">
        <v>0</v>
      </c>
      <c r="AG157" s="40">
        <v>141970.48000000001</v>
      </c>
      <c r="AH157" s="40">
        <v>0</v>
      </c>
      <c r="AI157" s="40">
        <v>0</v>
      </c>
      <c r="AJ157" s="40">
        <v>0</v>
      </c>
      <c r="AK157" s="40">
        <v>23115.16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  <c r="AQ157" s="40">
        <v>0</v>
      </c>
      <c r="AR157" s="40">
        <v>0</v>
      </c>
      <c r="AS157" s="40">
        <v>0</v>
      </c>
      <c r="AT157" s="40">
        <v>1246875.9550000001</v>
      </c>
      <c r="AU157" s="40">
        <v>489823.90598883247</v>
      </c>
      <c r="AV157" s="40">
        <v>165085.64000000001</v>
      </c>
      <c r="AW157" s="40">
        <v>298547.9113167281</v>
      </c>
      <c r="AX157" s="56">
        <v>1901785.5009888327</v>
      </c>
      <c r="AY157" s="56">
        <v>1878670.3409888328</v>
      </c>
      <c r="AZ157" s="56">
        <v>4955</v>
      </c>
      <c r="BA157" s="56">
        <v>1610375</v>
      </c>
      <c r="BB157" s="56">
        <v>0</v>
      </c>
      <c r="BC157" s="56">
        <v>0</v>
      </c>
      <c r="BD157" s="56">
        <v>1901785.5009888327</v>
      </c>
      <c r="BE157" s="40">
        <v>1901785.5009888327</v>
      </c>
      <c r="BF157" s="40">
        <v>0</v>
      </c>
      <c r="BG157" s="56">
        <v>1633490.16</v>
      </c>
      <c r="BH157" s="56">
        <v>1468404.52</v>
      </c>
      <c r="BI157" s="40">
        <v>1736699.8609888328</v>
      </c>
      <c r="BJ157" s="40">
        <v>5343.6918799656396</v>
      </c>
      <c r="BK157" s="40">
        <v>5488.5329857558145</v>
      </c>
      <c r="BL157" s="41">
        <v>-2.6389766840442721E-2</v>
      </c>
      <c r="BM157" s="41">
        <v>2.6389766840442721E-2</v>
      </c>
      <c r="BN157" s="40">
        <v>47073.359381806833</v>
      </c>
      <c r="BO157" s="56">
        <v>1948858.8603706395</v>
      </c>
      <c r="BP157" s="56">
        <v>5925.36523190966</v>
      </c>
      <c r="BQ157" s="56" t="s">
        <v>1006</v>
      </c>
      <c r="BR157" s="56">
        <v>5996.4888011404291</v>
      </c>
      <c r="BS157" s="41">
        <v>4.7006808363119212E-3</v>
      </c>
      <c r="BT157" s="40">
        <v>-8476</v>
      </c>
      <c r="BU157" s="40">
        <v>1940382.8603706395</v>
      </c>
      <c r="BV157" s="40">
        <v>0</v>
      </c>
      <c r="BW157" s="40">
        <v>1940382.8603706395</v>
      </c>
      <c r="BX157" s="40">
        <v>23115.16</v>
      </c>
      <c r="BY157" s="40">
        <v>1917267.7003706396</v>
      </c>
    </row>
    <row r="158" spans="1:77">
      <c r="A158">
        <v>3323</v>
      </c>
      <c r="B158" s="54">
        <v>150954</v>
      </c>
      <c r="C158" s="54">
        <v>3302222</v>
      </c>
      <c r="D158" s="55" t="s">
        <v>307</v>
      </c>
      <c r="E158" s="46">
        <v>179</v>
      </c>
      <c r="F158" s="46">
        <v>179</v>
      </c>
      <c r="G158" s="46">
        <v>0</v>
      </c>
      <c r="H158" s="40">
        <v>686740.91060000006</v>
      </c>
      <c r="I158" s="40">
        <v>0</v>
      </c>
      <c r="J158" s="40">
        <v>0</v>
      </c>
      <c r="K158" s="40">
        <v>41167.200000000019</v>
      </c>
      <c r="L158" s="40">
        <v>0</v>
      </c>
      <c r="M158" s="40">
        <v>88156.900000000052</v>
      </c>
      <c r="N158" s="40">
        <v>0</v>
      </c>
      <c r="O158" s="40">
        <v>707.48159999999791</v>
      </c>
      <c r="P158" s="40">
        <v>1430.0159999999973</v>
      </c>
      <c r="Q158" s="40">
        <v>15629.823999999981</v>
      </c>
      <c r="R158" s="40">
        <v>983.44960000000003</v>
      </c>
      <c r="S158" s="40">
        <v>19307.724799999993</v>
      </c>
      <c r="T158" s="40">
        <v>29558.681600000018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35170.345125</v>
      </c>
      <c r="AB158" s="40">
        <v>0</v>
      </c>
      <c r="AC158" s="40">
        <v>103735.21191176469</v>
      </c>
      <c r="AD158" s="40">
        <v>0</v>
      </c>
      <c r="AE158" s="40">
        <v>9798.7826022472527</v>
      </c>
      <c r="AF158" s="40">
        <v>0</v>
      </c>
      <c r="AG158" s="40">
        <v>141970.48000000001</v>
      </c>
      <c r="AH158" s="40">
        <v>0</v>
      </c>
      <c r="AI158" s="40">
        <v>0</v>
      </c>
      <c r="AJ158" s="40">
        <v>0</v>
      </c>
      <c r="AK158" s="40">
        <v>3285.98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0</v>
      </c>
      <c r="AR158" s="40">
        <v>0</v>
      </c>
      <c r="AS158" s="40">
        <v>0</v>
      </c>
      <c r="AT158" s="40">
        <v>686740.91060000006</v>
      </c>
      <c r="AU158" s="40">
        <v>345645.61723901198</v>
      </c>
      <c r="AV158" s="40">
        <v>145256.46000000002</v>
      </c>
      <c r="AW158" s="40">
        <v>208971.11737776472</v>
      </c>
      <c r="AX158" s="56">
        <v>1177642.9878390119</v>
      </c>
      <c r="AY158" s="56">
        <v>1174357.007839012</v>
      </c>
      <c r="AZ158" s="56">
        <v>4955</v>
      </c>
      <c r="BA158" s="56">
        <v>886945</v>
      </c>
      <c r="BB158" s="56">
        <v>0</v>
      </c>
      <c r="BC158" s="56">
        <v>0</v>
      </c>
      <c r="BD158" s="56">
        <v>1177642.9878390119</v>
      </c>
      <c r="BE158" s="40">
        <v>1177642.9878390119</v>
      </c>
      <c r="BF158" s="40">
        <v>0</v>
      </c>
      <c r="BG158" s="56">
        <v>890230.98</v>
      </c>
      <c r="BH158" s="56">
        <v>744974.52</v>
      </c>
      <c r="BI158" s="40">
        <v>1032386.527839012</v>
      </c>
      <c r="BJ158" s="40">
        <v>5767.5225018939218</v>
      </c>
      <c r="BK158" s="40">
        <v>5767.189114871795</v>
      </c>
      <c r="BL158" s="41">
        <v>5.7807541158494302E-5</v>
      </c>
      <c r="BM158" s="41">
        <v>0</v>
      </c>
      <c r="BN158" s="40">
        <v>0</v>
      </c>
      <c r="BO158" s="56">
        <v>1177642.9878390119</v>
      </c>
      <c r="BP158" s="56">
        <v>6560.6536750782789</v>
      </c>
      <c r="BQ158" s="56" t="s">
        <v>1006</v>
      </c>
      <c r="BR158" s="56">
        <v>6579.0111052458769</v>
      </c>
      <c r="BS158" s="41">
        <v>1.0275814032660646E-2</v>
      </c>
      <c r="BT158" s="40">
        <v>-4668.32</v>
      </c>
      <c r="BU158" s="40">
        <v>1172974.6678390119</v>
      </c>
      <c r="BV158" s="40">
        <v>0</v>
      </c>
      <c r="BW158" s="40">
        <v>1172974.6678390119</v>
      </c>
      <c r="BX158" s="40">
        <v>3285.98</v>
      </c>
      <c r="BY158" s="40">
        <v>1169688.6878390119</v>
      </c>
    </row>
  </sheetData>
  <sheetProtection algorithmName="SHA-512" hashValue="S74/223l4dvrCuLgTbtBmHOtKWlxhg91EHjq6twKjQMzwMjLvJ9DH8UUi15k/fuH7EB6aUV0sZ33+BoRQ1EATw==" saltValue="96s/Fg+dx8Iy12ZfJWGExg==" spinCount="100000" sheet="1" objects="1" scenarios="1"/>
  <autoFilter ref="A3:BY158" xr:uid="{C43747EC-2E6A-4F1A-A963-A49EFE7252B8}">
    <filterColumn colId="1" showButton="0"/>
    <filterColumn colId="2" showButton="0"/>
  </autoFilter>
  <mergeCells count="1">
    <mergeCell ref="B3:D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1EA9-B1FA-4AF5-B891-C7453F611430}">
  <sheetPr codeName="Sheet5"/>
  <dimension ref="A2:AS207"/>
  <sheetViews>
    <sheetView zoomScale="80" zoomScaleNormal="80" workbookViewId="0">
      <selection activeCell="AH13" sqref="AH13"/>
    </sheetView>
  </sheetViews>
  <sheetFormatPr defaultRowHeight="14.5"/>
  <cols>
    <col min="1" max="1" width="5.453125" bestFit="1" customWidth="1"/>
    <col min="2" max="2" width="10" bestFit="1" customWidth="1"/>
    <col min="3" max="3" width="7.54296875" bestFit="1" customWidth="1"/>
    <col min="4" max="4" width="67" bestFit="1" customWidth="1"/>
    <col min="5" max="6" width="17.453125" bestFit="1" customWidth="1"/>
    <col min="7" max="7" width="4.81640625" style="280" bestFit="1" customWidth="1"/>
    <col min="8" max="8" width="18.54296875" bestFit="1" customWidth="1"/>
    <col min="9" max="9" width="15.54296875" bestFit="1" customWidth="1"/>
    <col min="10" max="10" width="14.54296875" bestFit="1" customWidth="1"/>
    <col min="11" max="11" width="3" bestFit="1" customWidth="1"/>
    <col min="12" max="12" width="3.26953125" bestFit="1" customWidth="1"/>
    <col min="13" max="13" width="15.26953125" customWidth="1"/>
    <col min="14" max="14" width="13.7265625" customWidth="1"/>
    <col min="15" max="15" width="12.81640625" customWidth="1"/>
    <col min="16" max="16" width="13.81640625" customWidth="1"/>
    <col min="17" max="21" width="11.54296875" customWidth="1"/>
    <col min="22" max="22" width="2.453125" customWidth="1"/>
    <col min="23" max="23" width="13.7265625" bestFit="1" customWidth="1"/>
    <col min="24" max="24" width="4.26953125" style="280" customWidth="1"/>
    <col min="25" max="25" width="18.54296875" customWidth="1"/>
    <col min="26" max="26" width="14.54296875" customWidth="1"/>
    <col min="27" max="31" width="13.1796875" customWidth="1"/>
    <col min="32" max="32" width="3.26953125" style="280" customWidth="1"/>
    <col min="33" max="33" width="3.1796875" style="280" customWidth="1"/>
    <col min="34" max="34" width="16" customWidth="1"/>
    <col min="35" max="35" width="16.1796875" customWidth="1"/>
    <col min="36" max="36" width="14.81640625" customWidth="1"/>
    <col min="37" max="38" width="16" customWidth="1"/>
    <col min="39" max="39" width="3" customWidth="1"/>
    <col min="40" max="40" width="12.1796875" bestFit="1" customWidth="1"/>
  </cols>
  <sheetData>
    <row r="2" spans="1:4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</row>
    <row r="3" spans="1:45">
      <c r="G3" s="299" t="s">
        <v>1155</v>
      </c>
      <c r="H3" s="2"/>
      <c r="I3" s="2"/>
      <c r="J3" s="2" t="s">
        <v>26</v>
      </c>
      <c r="M3" s="2" t="s">
        <v>26</v>
      </c>
      <c r="N3" s="2" t="s">
        <v>26</v>
      </c>
      <c r="O3" s="2" t="s">
        <v>26</v>
      </c>
      <c r="P3" s="2" t="s">
        <v>26</v>
      </c>
      <c r="Q3" s="2" t="s">
        <v>26</v>
      </c>
      <c r="R3" s="2"/>
      <c r="S3" s="2"/>
      <c r="T3" s="2"/>
      <c r="U3" s="2"/>
      <c r="AH3" s="2" t="s">
        <v>21</v>
      </c>
      <c r="AI3" s="2"/>
      <c r="AJ3" s="2"/>
      <c r="AK3" s="2"/>
      <c r="AL3" s="2"/>
    </row>
    <row r="4" spans="1:45" ht="15" customHeight="1" thickBot="1">
      <c r="A4" s="810" t="s">
        <v>1156</v>
      </c>
      <c r="B4" s="810"/>
      <c r="C4" s="810"/>
      <c r="D4" s="810"/>
      <c r="E4" s="810"/>
      <c r="F4" s="810"/>
    </row>
    <row r="5" spans="1:45" ht="15" customHeight="1" thickBot="1">
      <c r="H5" s="849" t="s">
        <v>14</v>
      </c>
      <c r="I5" s="850"/>
      <c r="J5" s="850"/>
      <c r="K5" s="857"/>
      <c r="L5" s="857"/>
      <c r="M5" s="851"/>
      <c r="N5" s="851"/>
      <c r="O5" s="851"/>
      <c r="P5" s="851"/>
      <c r="Q5" s="851"/>
      <c r="R5" s="851"/>
      <c r="S5" s="851"/>
      <c r="T5" s="851"/>
      <c r="U5" s="851"/>
      <c r="V5" s="855"/>
      <c r="W5" s="856"/>
      <c r="Y5" s="843" t="s">
        <v>1181</v>
      </c>
      <c r="Z5" s="844"/>
      <c r="AA5" s="844"/>
      <c r="AB5" s="844"/>
      <c r="AC5" s="844"/>
      <c r="AD5" s="844"/>
      <c r="AE5" s="845"/>
      <c r="AH5" s="835" t="s">
        <v>1177</v>
      </c>
      <c r="AI5" s="836"/>
      <c r="AJ5" s="836"/>
      <c r="AK5" s="836"/>
      <c r="AL5" s="837"/>
      <c r="AM5" s="836"/>
      <c r="AN5" s="837"/>
    </row>
    <row r="6" spans="1:45" ht="29.5" thickBot="1">
      <c r="A6" s="177" t="s">
        <v>15</v>
      </c>
      <c r="B6" s="178" t="s">
        <v>16</v>
      </c>
      <c r="C6" s="179" t="s">
        <v>17</v>
      </c>
      <c r="D6" s="180" t="s">
        <v>18</v>
      </c>
      <c r="E6" s="179" t="s">
        <v>19</v>
      </c>
      <c r="F6" s="180" t="s">
        <v>20</v>
      </c>
      <c r="H6" s="852" t="s">
        <v>1157</v>
      </c>
      <c r="I6" s="848" t="s">
        <v>1158</v>
      </c>
      <c r="J6" s="848" t="s">
        <v>1159</v>
      </c>
      <c r="M6" s="848" t="s">
        <v>1160</v>
      </c>
      <c r="N6" s="848" t="s">
        <v>1161</v>
      </c>
      <c r="O6" s="848" t="s">
        <v>1179</v>
      </c>
      <c r="P6" s="848" t="s">
        <v>1178</v>
      </c>
      <c r="Q6" s="848" t="s">
        <v>1224</v>
      </c>
      <c r="R6" s="848"/>
      <c r="S6" s="848"/>
      <c r="T6" s="848"/>
      <c r="U6" s="848"/>
      <c r="W6" s="853" t="s">
        <v>26</v>
      </c>
      <c r="Y6" s="846" t="s">
        <v>1171</v>
      </c>
      <c r="Z6" s="842" t="s">
        <v>1170</v>
      </c>
      <c r="AA6" s="842" t="s">
        <v>1172</v>
      </c>
      <c r="AB6" s="842" t="s">
        <v>1173</v>
      </c>
      <c r="AC6" s="842" t="s">
        <v>1174</v>
      </c>
      <c r="AD6" s="842" t="s">
        <v>1175</v>
      </c>
      <c r="AE6" s="847" t="s">
        <v>1176</v>
      </c>
      <c r="AH6" s="838" t="s">
        <v>1180</v>
      </c>
      <c r="AI6" s="834"/>
      <c r="AJ6" s="834"/>
      <c r="AK6" s="834"/>
      <c r="AL6" s="839"/>
      <c r="AN6" s="853" t="s">
        <v>21</v>
      </c>
    </row>
    <row r="7" spans="1:45" ht="15" customHeight="1">
      <c r="A7" s="199">
        <v>1017</v>
      </c>
      <c r="B7" s="185">
        <v>103130</v>
      </c>
      <c r="C7" s="185" t="s">
        <v>35</v>
      </c>
      <c r="D7" s="185" t="s">
        <v>36</v>
      </c>
      <c r="E7" s="191" t="s">
        <v>29</v>
      </c>
      <c r="F7" s="213" t="str">
        <f>VLOOKUP(A7,'Summary Mar 2026'!A:F,6,FALSE)</f>
        <v>Chq Bk</v>
      </c>
      <c r="H7" s="228">
        <v>3291.75</v>
      </c>
      <c r="I7" s="67">
        <v>0</v>
      </c>
      <c r="J7" s="67">
        <f>H7+I7</f>
        <v>3291.75</v>
      </c>
      <c r="M7" s="67"/>
      <c r="N7" s="67"/>
      <c r="O7" s="67">
        <v>0</v>
      </c>
      <c r="P7" s="67"/>
      <c r="Q7" s="67"/>
      <c r="R7" s="67"/>
      <c r="S7" s="67"/>
      <c r="T7" s="67"/>
      <c r="U7" s="67"/>
      <c r="W7" s="289">
        <f>-SUMIFS($H7:$P7,$H$3:$P$3,W$6)</f>
        <v>-3291.75</v>
      </c>
      <c r="Y7" s="228"/>
      <c r="Z7" s="67"/>
      <c r="AA7" s="67"/>
      <c r="AB7" s="67"/>
      <c r="AC7" s="67"/>
      <c r="AD7" s="67"/>
      <c r="AE7" s="229"/>
      <c r="AH7" s="362">
        <v>0</v>
      </c>
      <c r="AI7" s="67"/>
      <c r="AJ7" s="67"/>
      <c r="AK7" s="67"/>
      <c r="AL7" s="229"/>
      <c r="AN7" s="289">
        <f>SUMIFS($AH7:$AL7,$AH$3:$AL$3,$AN$6)</f>
        <v>0</v>
      </c>
    </row>
    <row r="8" spans="1:45" ht="15" customHeight="1">
      <c r="A8" s="200">
        <v>2300</v>
      </c>
      <c r="B8" s="2">
        <v>103324</v>
      </c>
      <c r="C8" s="2" t="s">
        <v>43</v>
      </c>
      <c r="D8" s="2" t="s">
        <v>44</v>
      </c>
      <c r="E8" s="191" t="s">
        <v>32</v>
      </c>
      <c r="F8" s="213" t="str">
        <f>VLOOKUP(A8,'Summary Mar 2026'!A:F,6,FALSE)</f>
        <v>Chq Bk</v>
      </c>
      <c r="H8" s="228">
        <v>18745.650000000001</v>
      </c>
      <c r="I8" s="67">
        <v>0</v>
      </c>
      <c r="J8" s="67">
        <f t="shared" ref="J8:J70" si="0">H8+I8</f>
        <v>18745.650000000001</v>
      </c>
      <c r="M8" s="67"/>
      <c r="N8" s="67"/>
      <c r="O8" s="67">
        <v>0</v>
      </c>
      <c r="P8" s="67"/>
      <c r="Q8" s="67"/>
      <c r="R8" s="67"/>
      <c r="S8" s="67"/>
      <c r="T8" s="67"/>
      <c r="U8" s="67"/>
      <c r="W8" s="289">
        <f t="shared" ref="W8:W71" si="1">-SUMIFS($H8:$P8,$H$3:$P$3,W$6)</f>
        <v>-18745.650000000001</v>
      </c>
      <c r="Y8" s="228"/>
      <c r="Z8" s="67"/>
      <c r="AA8" s="67"/>
      <c r="AB8" s="67"/>
      <c r="AC8" s="67"/>
      <c r="AD8" s="67"/>
      <c r="AE8" s="229"/>
      <c r="AH8" s="362">
        <v>0</v>
      </c>
      <c r="AI8" s="67"/>
      <c r="AJ8" s="67"/>
      <c r="AK8" s="67"/>
      <c r="AL8" s="229"/>
      <c r="AN8" s="289">
        <f t="shared" ref="AN8:AN71" si="2">SUMIFS($AH8:$AL8,$AH$3:$AL$3,$AN$6)</f>
        <v>0</v>
      </c>
    </row>
    <row r="9" spans="1:45" ht="15" customHeight="1">
      <c r="A9" s="200">
        <v>7016</v>
      </c>
      <c r="B9" s="2">
        <v>103606</v>
      </c>
      <c r="C9" s="2" t="s">
        <v>45</v>
      </c>
      <c r="D9" s="2" t="s">
        <v>46</v>
      </c>
      <c r="E9" s="191" t="s">
        <v>47</v>
      </c>
      <c r="F9" s="213" t="str">
        <f>VLOOKUP(A9,'Summary Mar 2026'!A:F,6,FALSE)</f>
        <v>Chq Bk</v>
      </c>
      <c r="H9" s="228">
        <v>0</v>
      </c>
      <c r="I9" s="67">
        <v>5076</v>
      </c>
      <c r="J9" s="67">
        <f t="shared" si="0"/>
        <v>5076</v>
      </c>
      <c r="M9" s="67"/>
      <c r="N9" s="67"/>
      <c r="O9" s="67">
        <v>0</v>
      </c>
      <c r="P9" s="67"/>
      <c r="Q9" s="67"/>
      <c r="R9" s="67"/>
      <c r="S9" s="67"/>
      <c r="T9" s="67"/>
      <c r="U9" s="67"/>
      <c r="W9" s="289">
        <f t="shared" si="1"/>
        <v>-5076</v>
      </c>
      <c r="Y9" s="228"/>
      <c r="Z9" s="67"/>
      <c r="AA9" s="67"/>
      <c r="AB9" s="67"/>
      <c r="AC9" s="67"/>
      <c r="AD9" s="67"/>
      <c r="AE9" s="229"/>
      <c r="AH9" s="362">
        <v>0</v>
      </c>
      <c r="AI9" s="67"/>
      <c r="AJ9" s="67"/>
      <c r="AK9" s="67"/>
      <c r="AL9" s="229"/>
      <c r="AN9" s="289">
        <f t="shared" si="2"/>
        <v>0</v>
      </c>
    </row>
    <row r="10" spans="1:45" ht="15" customHeight="1">
      <c r="A10" s="200">
        <v>5413</v>
      </c>
      <c r="B10" s="2">
        <v>103560</v>
      </c>
      <c r="C10" s="2" t="s">
        <v>56</v>
      </c>
      <c r="D10" s="2" t="s">
        <v>57</v>
      </c>
      <c r="E10" s="191" t="s">
        <v>58</v>
      </c>
      <c r="F10" s="213" t="str">
        <f>VLOOKUP(A10,'Summary Mar 2026'!A:F,6,FALSE)</f>
        <v>Chq Bk</v>
      </c>
      <c r="H10" s="228">
        <v>0</v>
      </c>
      <c r="I10" s="67">
        <v>0</v>
      </c>
      <c r="J10" s="67">
        <f t="shared" si="0"/>
        <v>0</v>
      </c>
      <c r="M10" s="67"/>
      <c r="N10" s="67"/>
      <c r="O10" s="67">
        <v>0</v>
      </c>
      <c r="P10" s="67"/>
      <c r="Q10" s="67"/>
      <c r="R10" s="67"/>
      <c r="S10" s="67"/>
      <c r="T10" s="67"/>
      <c r="U10" s="67"/>
      <c r="W10" s="289">
        <f t="shared" si="1"/>
        <v>0</v>
      </c>
      <c r="Y10" s="228"/>
      <c r="Z10" s="67"/>
      <c r="AA10" s="67"/>
      <c r="AB10" s="67"/>
      <c r="AC10" s="67"/>
      <c r="AD10" s="67"/>
      <c r="AE10" s="229"/>
      <c r="AH10" s="362">
        <v>0</v>
      </c>
      <c r="AI10" s="67"/>
      <c r="AJ10" s="67"/>
      <c r="AK10" s="67"/>
      <c r="AL10" s="229"/>
      <c r="AN10" s="289">
        <f t="shared" si="2"/>
        <v>0</v>
      </c>
    </row>
    <row r="11" spans="1:45" ht="15" customHeight="1">
      <c r="A11" s="200">
        <v>2402</v>
      </c>
      <c r="B11" s="2">
        <v>103342</v>
      </c>
      <c r="C11" s="2" t="s">
        <v>61</v>
      </c>
      <c r="D11" s="2" t="s">
        <v>62</v>
      </c>
      <c r="E11" s="191" t="s">
        <v>32</v>
      </c>
      <c r="F11" s="213" t="str">
        <f>VLOOKUP(A11,'Summary Mar 2026'!A:F,6,FALSE)</f>
        <v>Chq Bk</v>
      </c>
      <c r="H11" s="228">
        <v>5139.75</v>
      </c>
      <c r="I11" s="67">
        <v>0</v>
      </c>
      <c r="J11" s="67">
        <f t="shared" si="0"/>
        <v>5139.75</v>
      </c>
      <c r="M11" s="67"/>
      <c r="N11" s="67"/>
      <c r="O11" s="67">
        <v>0</v>
      </c>
      <c r="P11" s="67"/>
      <c r="Q11" s="67"/>
      <c r="R11" s="67"/>
      <c r="S11" s="67"/>
      <c r="T11" s="67"/>
      <c r="U11" s="67"/>
      <c r="W11" s="289">
        <f t="shared" si="1"/>
        <v>-5139.75</v>
      </c>
      <c r="Y11" s="228"/>
      <c r="Z11" s="67"/>
      <c r="AA11" s="67"/>
      <c r="AB11" s="67"/>
      <c r="AC11" s="67"/>
      <c r="AD11" s="67"/>
      <c r="AE11" s="229"/>
      <c r="AH11" s="362">
        <v>0</v>
      </c>
      <c r="AI11" s="67"/>
      <c r="AJ11" s="67"/>
      <c r="AK11" s="67"/>
      <c r="AL11" s="229"/>
      <c r="AN11" s="289">
        <f t="shared" si="2"/>
        <v>0</v>
      </c>
    </row>
    <row r="12" spans="1:45" ht="15" customHeight="1">
      <c r="A12" s="200">
        <v>2401</v>
      </c>
      <c r="B12" s="2">
        <v>103341</v>
      </c>
      <c r="C12" s="2" t="s">
        <v>63</v>
      </c>
      <c r="D12" s="2" t="s">
        <v>64</v>
      </c>
      <c r="E12" s="191" t="s">
        <v>32</v>
      </c>
      <c r="F12" s="213" t="str">
        <f>VLOOKUP(A12,'Summary Mar 2026'!A:F,6,FALSE)</f>
        <v>Chq Bk</v>
      </c>
      <c r="H12" s="228">
        <v>9471</v>
      </c>
      <c r="I12" s="67">
        <v>0</v>
      </c>
      <c r="J12" s="67">
        <f t="shared" si="0"/>
        <v>9471</v>
      </c>
      <c r="M12" s="67"/>
      <c r="N12" s="67"/>
      <c r="O12" s="67">
        <v>0</v>
      </c>
      <c r="P12" s="67"/>
      <c r="Q12" s="67"/>
      <c r="R12" s="67"/>
      <c r="S12" s="67"/>
      <c r="T12" s="67"/>
      <c r="U12" s="67"/>
      <c r="W12" s="289">
        <f t="shared" si="1"/>
        <v>-9471</v>
      </c>
      <c r="Y12" s="228"/>
      <c r="Z12" s="67"/>
      <c r="AA12" s="67"/>
      <c r="AB12" s="67"/>
      <c r="AC12" s="67"/>
      <c r="AD12" s="67"/>
      <c r="AE12" s="229"/>
      <c r="AH12" s="362">
        <v>0</v>
      </c>
      <c r="AI12" s="67"/>
      <c r="AJ12" s="67"/>
      <c r="AK12" s="67"/>
      <c r="AL12" s="229"/>
      <c r="AN12" s="289">
        <f t="shared" si="2"/>
        <v>0</v>
      </c>
    </row>
    <row r="13" spans="1:45" ht="15" customHeight="1">
      <c r="A13" s="200">
        <v>4115</v>
      </c>
      <c r="B13" s="2">
        <v>103493</v>
      </c>
      <c r="C13" s="2" t="s">
        <v>65</v>
      </c>
      <c r="D13" s="2" t="s">
        <v>66</v>
      </c>
      <c r="E13" s="191" t="s">
        <v>58</v>
      </c>
      <c r="F13" s="213" t="str">
        <f>VLOOKUP(A13,'Summary Mar 2026'!A:F,6,FALSE)</f>
        <v>Chq Bk</v>
      </c>
      <c r="H13" s="228">
        <v>18745.650000000001</v>
      </c>
      <c r="I13" s="67">
        <v>0</v>
      </c>
      <c r="J13" s="67">
        <f t="shared" si="0"/>
        <v>18745.650000000001</v>
      </c>
      <c r="M13" s="67"/>
      <c r="N13" s="67"/>
      <c r="O13" s="67">
        <v>0</v>
      </c>
      <c r="P13" s="67"/>
      <c r="Q13" s="67"/>
      <c r="R13" s="67"/>
      <c r="S13" s="67"/>
      <c r="T13" s="67"/>
      <c r="U13" s="67"/>
      <c r="W13" s="289">
        <f t="shared" si="1"/>
        <v>-18745.650000000001</v>
      </c>
      <c r="Y13" s="228"/>
      <c r="Z13" s="67"/>
      <c r="AA13" s="67"/>
      <c r="AB13" s="67"/>
      <c r="AC13" s="67"/>
      <c r="AD13" s="67"/>
      <c r="AE13" s="229"/>
      <c r="AH13" s="362">
        <v>-6237.0853999999999</v>
      </c>
      <c r="AI13" s="67"/>
      <c r="AJ13" s="67"/>
      <c r="AK13" s="67"/>
      <c r="AL13" s="229"/>
      <c r="AN13" s="289">
        <f t="shared" si="2"/>
        <v>-6237.0853999999999</v>
      </c>
    </row>
    <row r="14" spans="1:45" ht="15" customHeight="1">
      <c r="A14" s="200">
        <v>2030</v>
      </c>
      <c r="B14" s="2">
        <v>103172</v>
      </c>
      <c r="C14" s="2" t="s">
        <v>67</v>
      </c>
      <c r="D14" s="2" t="s">
        <v>68</v>
      </c>
      <c r="E14" s="191" t="s">
        <v>32</v>
      </c>
      <c r="F14" s="213" t="str">
        <f>VLOOKUP(A14,'Summary Mar 2026'!A:F,6,FALSE)</f>
        <v>Chq Bk</v>
      </c>
      <c r="H14" s="811"/>
      <c r="I14" s="67">
        <v>17415</v>
      </c>
      <c r="J14" s="67">
        <f t="shared" si="0"/>
        <v>17415</v>
      </c>
      <c r="M14" s="67"/>
      <c r="N14" s="67"/>
      <c r="O14" s="67">
        <v>0</v>
      </c>
      <c r="P14" s="67"/>
      <c r="Q14" s="67"/>
      <c r="R14" s="67"/>
      <c r="S14" s="67"/>
      <c r="T14" s="67"/>
      <c r="U14" s="67"/>
      <c r="W14" s="289">
        <f t="shared" si="1"/>
        <v>-17415</v>
      </c>
      <c r="Y14" s="228"/>
      <c r="Z14" s="67"/>
      <c r="AA14" s="67"/>
      <c r="AB14" s="67"/>
      <c r="AC14" s="67"/>
      <c r="AD14" s="67"/>
      <c r="AE14" s="229"/>
      <c r="AH14" s="362">
        <v>0</v>
      </c>
      <c r="AI14" s="67"/>
      <c r="AJ14" s="67"/>
      <c r="AK14" s="67"/>
      <c r="AL14" s="229"/>
      <c r="AN14" s="289">
        <f t="shared" si="2"/>
        <v>0</v>
      </c>
    </row>
    <row r="15" spans="1:45" ht="15" customHeight="1">
      <c r="A15" s="200">
        <v>2238</v>
      </c>
      <c r="B15" s="2">
        <v>103288</v>
      </c>
      <c r="C15" s="2" t="s">
        <v>75</v>
      </c>
      <c r="D15" s="2" t="s">
        <v>76</v>
      </c>
      <c r="E15" s="191" t="s">
        <v>32</v>
      </c>
      <c r="F15" s="213" t="str">
        <f>VLOOKUP(A15,'Summary Mar 2026'!A:F,6,FALSE)</f>
        <v>Academy</v>
      </c>
      <c r="H15" s="228"/>
      <c r="I15" s="67">
        <v>0</v>
      </c>
      <c r="J15" s="67">
        <f t="shared" si="0"/>
        <v>0</v>
      </c>
      <c r="M15" s="67"/>
      <c r="N15" s="67">
        <v>822.94</v>
      </c>
      <c r="O15" s="67"/>
      <c r="P15" s="67"/>
      <c r="Q15" s="67"/>
      <c r="R15" s="67"/>
      <c r="S15" s="67"/>
      <c r="T15" s="67"/>
      <c r="U15" s="67"/>
      <c r="W15" s="289">
        <f t="shared" si="1"/>
        <v>-822.94</v>
      </c>
      <c r="Y15" s="228"/>
      <c r="Z15" s="67"/>
      <c r="AA15" s="67"/>
      <c r="AB15" s="67"/>
      <c r="AC15" s="67"/>
      <c r="AD15" s="67"/>
      <c r="AE15" s="229"/>
      <c r="AH15" s="362">
        <v>0</v>
      </c>
      <c r="AI15" s="67"/>
      <c r="AJ15" s="67"/>
      <c r="AK15" s="67"/>
      <c r="AL15" s="229"/>
      <c r="AN15" s="289">
        <f t="shared" si="2"/>
        <v>0</v>
      </c>
    </row>
    <row r="16" spans="1:45" ht="15" customHeight="1">
      <c r="A16" s="200">
        <v>2236</v>
      </c>
      <c r="B16" s="2">
        <v>103286</v>
      </c>
      <c r="C16" s="2" t="s">
        <v>77</v>
      </c>
      <c r="D16" s="2" t="s">
        <v>78</v>
      </c>
      <c r="E16" s="191" t="s">
        <v>32</v>
      </c>
      <c r="F16" s="213" t="str">
        <f>VLOOKUP(A16,'Summary Mar 2026'!A:F,6,FALSE)</f>
        <v>Academy</v>
      </c>
      <c r="H16" s="228"/>
      <c r="I16" s="67">
        <v>0</v>
      </c>
      <c r="J16" s="67">
        <f t="shared" si="0"/>
        <v>0</v>
      </c>
      <c r="M16" s="67"/>
      <c r="N16" s="67">
        <v>1284.94</v>
      </c>
      <c r="O16" s="67"/>
      <c r="P16" s="67"/>
      <c r="Q16" s="67"/>
      <c r="R16" s="67"/>
      <c r="S16" s="67"/>
      <c r="T16" s="67"/>
      <c r="U16" s="67"/>
      <c r="W16" s="289">
        <f t="shared" si="1"/>
        <v>-1284.94</v>
      </c>
      <c r="Y16" s="228"/>
      <c r="Z16" s="67"/>
      <c r="AA16" s="67"/>
      <c r="AB16" s="67"/>
      <c r="AC16" s="67"/>
      <c r="AD16" s="67"/>
      <c r="AE16" s="229"/>
      <c r="AH16" s="362">
        <v>-4313.5414000000001</v>
      </c>
      <c r="AI16" s="67"/>
      <c r="AJ16" s="67"/>
      <c r="AK16" s="67"/>
      <c r="AL16" s="229"/>
      <c r="AN16" s="289">
        <f t="shared" si="2"/>
        <v>-4313.5414000000001</v>
      </c>
    </row>
    <row r="17" spans="1:40" ht="15" customHeight="1">
      <c r="A17" s="200">
        <v>4801</v>
      </c>
      <c r="B17" s="2">
        <v>103539</v>
      </c>
      <c r="C17" s="2" t="s">
        <v>81</v>
      </c>
      <c r="D17" s="2" t="s">
        <v>82</v>
      </c>
      <c r="E17" s="191" t="s">
        <v>58</v>
      </c>
      <c r="F17" s="213" t="str">
        <f>VLOOKUP(A17,'Summary Mar 2026'!A:F,6,FALSE)</f>
        <v>Chq Bk</v>
      </c>
      <c r="H17" s="228">
        <v>24312.75</v>
      </c>
      <c r="I17" s="67">
        <v>0</v>
      </c>
      <c r="J17" s="67">
        <f t="shared" si="0"/>
        <v>24312.75</v>
      </c>
      <c r="M17" s="67"/>
      <c r="N17" s="67"/>
      <c r="O17" s="67">
        <v>0</v>
      </c>
      <c r="P17" s="67"/>
      <c r="Q17" s="67"/>
      <c r="R17" s="67"/>
      <c r="S17" s="67"/>
      <c r="T17" s="67"/>
      <c r="U17" s="67"/>
      <c r="W17" s="289">
        <f t="shared" si="1"/>
        <v>-24312.75</v>
      </c>
      <c r="Y17" s="228"/>
      <c r="Z17" s="67"/>
      <c r="AA17" s="67"/>
      <c r="AB17" s="67"/>
      <c r="AC17" s="67"/>
      <c r="AD17" s="67"/>
      <c r="AE17" s="229"/>
      <c r="AH17" s="362">
        <v>0</v>
      </c>
      <c r="AI17" s="67"/>
      <c r="AJ17" s="67"/>
      <c r="AK17" s="67"/>
      <c r="AL17" s="229"/>
      <c r="AN17" s="289">
        <f t="shared" si="2"/>
        <v>0</v>
      </c>
    </row>
    <row r="18" spans="1:40" ht="15" customHeight="1">
      <c r="A18" s="200">
        <v>2312</v>
      </c>
      <c r="B18" s="2">
        <v>103332</v>
      </c>
      <c r="C18" s="2" t="s">
        <v>85</v>
      </c>
      <c r="D18" s="2" t="s">
        <v>86</v>
      </c>
      <c r="E18" s="191" t="s">
        <v>32</v>
      </c>
      <c r="F18" s="213" t="str">
        <f>VLOOKUP(A18,'Summary Mar 2026'!A:F,6,FALSE)</f>
        <v>Chq Bk</v>
      </c>
      <c r="H18" s="228">
        <v>9471</v>
      </c>
      <c r="I18" s="67">
        <v>0</v>
      </c>
      <c r="J18" s="67">
        <f t="shared" si="0"/>
        <v>9471</v>
      </c>
      <c r="M18" s="67"/>
      <c r="N18" s="67"/>
      <c r="O18" s="67">
        <v>0</v>
      </c>
      <c r="P18" s="67"/>
      <c r="Q18" s="67"/>
      <c r="R18" s="67"/>
      <c r="S18" s="67"/>
      <c r="T18" s="67"/>
      <c r="U18" s="67"/>
      <c r="W18" s="289">
        <f t="shared" si="1"/>
        <v>-9471</v>
      </c>
      <c r="Y18" s="228"/>
      <c r="Z18" s="67"/>
      <c r="AA18" s="67"/>
      <c r="AB18" s="67"/>
      <c r="AC18" s="67"/>
      <c r="AD18" s="67"/>
      <c r="AE18" s="229"/>
      <c r="AH18" s="362">
        <v>0</v>
      </c>
      <c r="AI18" s="67"/>
      <c r="AJ18" s="67"/>
      <c r="AK18" s="67"/>
      <c r="AL18" s="229"/>
      <c r="AN18" s="289">
        <f t="shared" si="2"/>
        <v>0</v>
      </c>
    </row>
    <row r="19" spans="1:40" ht="15" customHeight="1">
      <c r="A19" s="200">
        <v>7051</v>
      </c>
      <c r="B19" s="2">
        <v>103626</v>
      </c>
      <c r="C19" s="2" t="s">
        <v>87</v>
      </c>
      <c r="D19" s="2" t="s">
        <v>88</v>
      </c>
      <c r="E19" s="191" t="s">
        <v>47</v>
      </c>
      <c r="F19" s="213" t="str">
        <f>VLOOKUP(A19,'Summary Mar 2026'!A:F,6,FALSE)</f>
        <v>Chq Bk</v>
      </c>
      <c r="H19" s="228">
        <v>0</v>
      </c>
      <c r="I19" s="67">
        <v>2997</v>
      </c>
      <c r="J19" s="67">
        <f t="shared" si="0"/>
        <v>2997</v>
      </c>
      <c r="M19" s="67"/>
      <c r="N19" s="67"/>
      <c r="O19" s="67">
        <v>0</v>
      </c>
      <c r="P19" s="67"/>
      <c r="Q19" s="67"/>
      <c r="R19" s="67"/>
      <c r="S19" s="67"/>
      <c r="T19" s="67"/>
      <c r="U19" s="67"/>
      <c r="W19" s="289">
        <f t="shared" si="1"/>
        <v>-2997</v>
      </c>
      <c r="Y19" s="228"/>
      <c r="Z19" s="67"/>
      <c r="AA19" s="67"/>
      <c r="AB19" s="67"/>
      <c r="AC19" s="67"/>
      <c r="AD19" s="67"/>
      <c r="AE19" s="229"/>
      <c r="AH19" s="362">
        <v>0</v>
      </c>
      <c r="AI19" s="67"/>
      <c r="AJ19" s="67"/>
      <c r="AK19" s="67"/>
      <c r="AL19" s="229"/>
      <c r="AN19" s="289">
        <f t="shared" si="2"/>
        <v>0</v>
      </c>
    </row>
    <row r="20" spans="1:40" ht="15" customHeight="1">
      <c r="A20" s="200">
        <v>2251</v>
      </c>
      <c r="B20" s="2">
        <v>103298</v>
      </c>
      <c r="C20" s="2" t="s">
        <v>91</v>
      </c>
      <c r="D20" s="2" t="s">
        <v>92</v>
      </c>
      <c r="E20" s="191" t="s">
        <v>32</v>
      </c>
      <c r="F20" s="213" t="str">
        <f>VLOOKUP(A20,'Summary Mar 2026'!A:F,6,FALSE)</f>
        <v>Chq Bk</v>
      </c>
      <c r="H20" s="228">
        <v>9471</v>
      </c>
      <c r="I20" s="67">
        <v>0</v>
      </c>
      <c r="J20" s="67">
        <f t="shared" si="0"/>
        <v>9471</v>
      </c>
      <c r="M20" s="67"/>
      <c r="N20" s="67"/>
      <c r="O20" s="67">
        <v>0</v>
      </c>
      <c r="P20" s="67"/>
      <c r="Q20" s="67"/>
      <c r="R20" s="67"/>
      <c r="S20" s="67"/>
      <c r="T20" s="67"/>
      <c r="U20" s="67"/>
      <c r="W20" s="289">
        <f t="shared" si="1"/>
        <v>-9471</v>
      </c>
      <c r="Y20" s="228"/>
      <c r="Z20" s="67"/>
      <c r="AA20" s="67"/>
      <c r="AB20" s="67"/>
      <c r="AC20" s="67"/>
      <c r="AD20" s="67"/>
      <c r="AE20" s="229"/>
      <c r="AH20" s="362">
        <v>0</v>
      </c>
      <c r="AI20" s="67"/>
      <c r="AJ20" s="67"/>
      <c r="AK20" s="67"/>
      <c r="AL20" s="229"/>
      <c r="AN20" s="289">
        <f t="shared" si="2"/>
        <v>0</v>
      </c>
    </row>
    <row r="21" spans="1:40" ht="15" customHeight="1">
      <c r="A21" s="200">
        <v>3002</v>
      </c>
      <c r="B21" s="2">
        <v>103397</v>
      </c>
      <c r="C21" s="2" t="s">
        <v>93</v>
      </c>
      <c r="D21" s="2" t="s">
        <v>94</v>
      </c>
      <c r="E21" s="191" t="s">
        <v>32</v>
      </c>
      <c r="F21" s="213" t="str">
        <f>VLOOKUP(A21,'Summary Mar 2026'!A:F,6,FALSE)</f>
        <v>Chq Bk</v>
      </c>
      <c r="H21" s="228">
        <v>5139.75</v>
      </c>
      <c r="I21" s="67">
        <v>0</v>
      </c>
      <c r="J21" s="67">
        <f t="shared" si="0"/>
        <v>5139.75</v>
      </c>
      <c r="M21" s="67"/>
      <c r="N21" s="67"/>
      <c r="O21" s="67">
        <v>0</v>
      </c>
      <c r="P21" s="67"/>
      <c r="Q21" s="67"/>
      <c r="R21" s="67"/>
      <c r="S21" s="67"/>
      <c r="T21" s="67"/>
      <c r="U21" s="67"/>
      <c r="W21" s="289">
        <f t="shared" si="1"/>
        <v>-5139.75</v>
      </c>
      <c r="Y21" s="228"/>
      <c r="Z21" s="67"/>
      <c r="AA21" s="67"/>
      <c r="AB21" s="67"/>
      <c r="AC21" s="67"/>
      <c r="AD21" s="67"/>
      <c r="AE21" s="229"/>
      <c r="AH21" s="362">
        <v>0</v>
      </c>
      <c r="AI21" s="67"/>
      <c r="AJ21" s="67"/>
      <c r="AK21" s="67"/>
      <c r="AL21" s="229"/>
      <c r="AN21" s="289">
        <f t="shared" si="2"/>
        <v>0</v>
      </c>
    </row>
    <row r="22" spans="1:40" ht="15" customHeight="1">
      <c r="A22" s="200">
        <v>3319</v>
      </c>
      <c r="B22" s="2">
        <v>103423</v>
      </c>
      <c r="C22" s="2" t="s">
        <v>95</v>
      </c>
      <c r="D22" s="2" t="s">
        <v>96</v>
      </c>
      <c r="E22" s="191" t="s">
        <v>32</v>
      </c>
      <c r="F22" s="213" t="str">
        <f>VLOOKUP(A22,'Summary Mar 2026'!A:F,6,FALSE)</f>
        <v>Chq Bk</v>
      </c>
      <c r="H22" s="228">
        <v>9471</v>
      </c>
      <c r="I22" s="67">
        <v>0</v>
      </c>
      <c r="J22" s="67">
        <f t="shared" si="0"/>
        <v>9471</v>
      </c>
      <c r="M22" s="67"/>
      <c r="N22" s="67"/>
      <c r="O22" s="67">
        <v>0</v>
      </c>
      <c r="P22" s="67"/>
      <c r="Q22" s="67"/>
      <c r="R22" s="67"/>
      <c r="S22" s="67"/>
      <c r="T22" s="67"/>
      <c r="U22" s="67"/>
      <c r="W22" s="289">
        <f t="shared" si="1"/>
        <v>-9471</v>
      </c>
      <c r="Y22" s="228"/>
      <c r="Z22" s="67"/>
      <c r="AA22" s="67"/>
      <c r="AB22" s="67"/>
      <c r="AC22" s="67"/>
      <c r="AD22" s="67"/>
      <c r="AE22" s="229"/>
      <c r="AH22" s="362">
        <v>0</v>
      </c>
      <c r="AI22" s="67"/>
      <c r="AJ22" s="67"/>
      <c r="AK22" s="67"/>
      <c r="AL22" s="229"/>
      <c r="AN22" s="289">
        <f t="shared" si="2"/>
        <v>0</v>
      </c>
    </row>
    <row r="23" spans="1:40" ht="15" customHeight="1">
      <c r="A23" s="200">
        <v>5416</v>
      </c>
      <c r="B23" s="2">
        <v>103563</v>
      </c>
      <c r="C23" s="2" t="s">
        <v>106</v>
      </c>
      <c r="D23" s="2" t="s">
        <v>107</v>
      </c>
      <c r="E23" s="191" t="s">
        <v>58</v>
      </c>
      <c r="F23" s="213" t="str">
        <f>VLOOKUP(A23,'Summary Mar 2026'!A:F,6,FALSE)</f>
        <v>Chq Bk</v>
      </c>
      <c r="H23" s="228">
        <v>0</v>
      </c>
      <c r="I23" s="67">
        <v>32697</v>
      </c>
      <c r="J23" s="67">
        <f t="shared" si="0"/>
        <v>32697</v>
      </c>
      <c r="M23" s="67"/>
      <c r="N23" s="67"/>
      <c r="O23" s="67">
        <v>0</v>
      </c>
      <c r="P23" s="67"/>
      <c r="Q23" s="67"/>
      <c r="R23" s="67"/>
      <c r="S23" s="67"/>
      <c r="T23" s="67"/>
      <c r="U23" s="67"/>
      <c r="W23" s="289">
        <f t="shared" si="1"/>
        <v>-32697</v>
      </c>
      <c r="Y23" s="228"/>
      <c r="Z23" s="67"/>
      <c r="AA23" s="67"/>
      <c r="AB23" s="67"/>
      <c r="AC23" s="67"/>
      <c r="AD23" s="67"/>
      <c r="AE23" s="229"/>
      <c r="AH23" s="362">
        <v>-3746.3824166666664</v>
      </c>
      <c r="AI23" s="67"/>
      <c r="AJ23" s="67"/>
      <c r="AK23" s="67"/>
      <c r="AL23" s="229"/>
      <c r="AN23" s="289">
        <f t="shared" si="2"/>
        <v>-3746.3824166666664</v>
      </c>
    </row>
    <row r="24" spans="1:40" ht="15" customHeight="1">
      <c r="A24" s="200">
        <v>2054</v>
      </c>
      <c r="B24" s="2">
        <v>103189</v>
      </c>
      <c r="C24" s="2" t="s">
        <v>108</v>
      </c>
      <c r="D24" s="2" t="s">
        <v>109</v>
      </c>
      <c r="E24" s="191" t="s">
        <v>32</v>
      </c>
      <c r="F24" s="213" t="str">
        <f>VLOOKUP(A24,'Summary Mar 2026'!A:F,6,FALSE)</f>
        <v>Chq Bk</v>
      </c>
      <c r="H24" s="228">
        <v>9471</v>
      </c>
      <c r="I24" s="67">
        <v>0</v>
      </c>
      <c r="J24" s="67">
        <f t="shared" si="0"/>
        <v>9471</v>
      </c>
      <c r="M24" s="67"/>
      <c r="N24" s="67"/>
      <c r="O24" s="67">
        <v>0</v>
      </c>
      <c r="P24" s="67"/>
      <c r="Q24" s="67"/>
      <c r="R24" s="67"/>
      <c r="S24" s="67"/>
      <c r="T24" s="67"/>
      <c r="U24" s="67"/>
      <c r="W24" s="289">
        <f t="shared" si="1"/>
        <v>-9471</v>
      </c>
      <c r="Y24" s="228"/>
      <c r="Z24" s="67"/>
      <c r="AA24" s="67"/>
      <c r="AB24" s="67"/>
      <c r="AC24" s="67"/>
      <c r="AD24" s="67"/>
      <c r="AE24" s="229"/>
      <c r="AH24" s="362">
        <v>0</v>
      </c>
      <c r="AI24" s="67"/>
      <c r="AJ24" s="67"/>
      <c r="AK24" s="67"/>
      <c r="AL24" s="229"/>
      <c r="AN24" s="289">
        <f t="shared" si="2"/>
        <v>0</v>
      </c>
    </row>
    <row r="25" spans="1:40" ht="15" customHeight="1">
      <c r="A25" s="200">
        <v>2053</v>
      </c>
      <c r="B25" s="2">
        <v>103188</v>
      </c>
      <c r="C25" s="2" t="s">
        <v>110</v>
      </c>
      <c r="D25" s="2" t="s">
        <v>111</v>
      </c>
      <c r="E25" s="191" t="s">
        <v>32</v>
      </c>
      <c r="F25" s="213" t="str">
        <f>VLOOKUP(A25,'Summary Mar 2026'!A:F,6,FALSE)</f>
        <v>Chq Bk</v>
      </c>
      <c r="H25" s="228">
        <v>12566.4</v>
      </c>
      <c r="I25" s="67">
        <v>0</v>
      </c>
      <c r="J25" s="67">
        <f t="shared" si="0"/>
        <v>12566.4</v>
      </c>
      <c r="M25" s="67"/>
      <c r="N25" s="67"/>
      <c r="O25" s="67">
        <v>0</v>
      </c>
      <c r="P25" s="67"/>
      <c r="Q25" s="67"/>
      <c r="R25" s="67"/>
      <c r="S25" s="67"/>
      <c r="T25" s="67"/>
      <c r="U25" s="67"/>
      <c r="W25" s="289">
        <f t="shared" si="1"/>
        <v>-12566.4</v>
      </c>
      <c r="Y25" s="228"/>
      <c r="Z25" s="67"/>
      <c r="AA25" s="67"/>
      <c r="AB25" s="67"/>
      <c r="AC25" s="67"/>
      <c r="AD25" s="67"/>
      <c r="AE25" s="229"/>
      <c r="AH25" s="362">
        <v>0</v>
      </c>
      <c r="AI25" s="67"/>
      <c r="AJ25" s="67"/>
      <c r="AK25" s="67"/>
      <c r="AL25" s="229"/>
      <c r="AN25" s="289">
        <f t="shared" si="2"/>
        <v>0</v>
      </c>
    </row>
    <row r="26" spans="1:40" ht="15" customHeight="1">
      <c r="A26" s="200">
        <v>2055</v>
      </c>
      <c r="B26" s="2">
        <v>103190</v>
      </c>
      <c r="C26" s="2" t="s">
        <v>114</v>
      </c>
      <c r="D26" s="2" t="s">
        <v>115</v>
      </c>
      <c r="E26" s="191" t="s">
        <v>32</v>
      </c>
      <c r="F26" s="213" t="str">
        <f>VLOOKUP(A26,'Summary Mar 2026'!A:F,6,FALSE)</f>
        <v>Chq Bk</v>
      </c>
      <c r="H26" s="228">
        <v>0</v>
      </c>
      <c r="I26" s="67">
        <v>11880</v>
      </c>
      <c r="J26" s="67">
        <f t="shared" si="0"/>
        <v>11880</v>
      </c>
      <c r="M26" s="67"/>
      <c r="N26" s="67"/>
      <c r="O26" s="67">
        <v>0</v>
      </c>
      <c r="P26" s="67"/>
      <c r="Q26" s="67"/>
      <c r="R26" s="67"/>
      <c r="S26" s="67"/>
      <c r="T26" s="67"/>
      <c r="U26" s="67"/>
      <c r="W26" s="289">
        <f t="shared" si="1"/>
        <v>-11880</v>
      </c>
      <c r="Y26" s="228"/>
      <c r="Z26" s="67"/>
      <c r="AA26" s="67"/>
      <c r="AB26" s="67"/>
      <c r="AC26" s="67"/>
      <c r="AD26" s="67"/>
      <c r="AE26" s="229"/>
      <c r="AH26" s="362">
        <v>0</v>
      </c>
      <c r="AI26" s="67"/>
      <c r="AJ26" s="67"/>
      <c r="AK26" s="67"/>
      <c r="AL26" s="229"/>
      <c r="AN26" s="289">
        <f t="shared" si="2"/>
        <v>0</v>
      </c>
    </row>
    <row r="27" spans="1:40" ht="15" customHeight="1">
      <c r="A27" s="200">
        <v>2486</v>
      </c>
      <c r="B27" s="2">
        <v>133759</v>
      </c>
      <c r="C27" s="2" t="s">
        <v>124</v>
      </c>
      <c r="D27" s="2" t="s">
        <v>125</v>
      </c>
      <c r="E27" s="191" t="s">
        <v>32</v>
      </c>
      <c r="F27" s="213" t="str">
        <f>VLOOKUP(A27,'Summary Mar 2026'!A:F,6,FALSE)</f>
        <v>Chq Bk</v>
      </c>
      <c r="H27" s="228">
        <v>0</v>
      </c>
      <c r="I27" s="67">
        <v>5049</v>
      </c>
      <c r="J27" s="67">
        <f t="shared" si="0"/>
        <v>5049</v>
      </c>
      <c r="M27" s="67"/>
      <c r="N27" s="67"/>
      <c r="O27" s="67">
        <v>0</v>
      </c>
      <c r="P27" s="67"/>
      <c r="Q27" s="67"/>
      <c r="R27" s="67"/>
      <c r="S27" s="67"/>
      <c r="T27" s="67"/>
      <c r="U27" s="67"/>
      <c r="W27" s="289">
        <f t="shared" si="1"/>
        <v>-5049</v>
      </c>
      <c r="Y27" s="228"/>
      <c r="Z27" s="67"/>
      <c r="AA27" s="67"/>
      <c r="AB27" s="67"/>
      <c r="AC27" s="67"/>
      <c r="AD27" s="67"/>
      <c r="AE27" s="229"/>
      <c r="AH27" s="362">
        <v>-8042.0828000000001</v>
      </c>
      <c r="AI27" s="67"/>
      <c r="AJ27" s="67"/>
      <c r="AK27" s="67"/>
      <c r="AL27" s="229"/>
      <c r="AN27" s="289">
        <f t="shared" si="2"/>
        <v>-8042.0828000000001</v>
      </c>
    </row>
    <row r="28" spans="1:40" ht="15" customHeight="1">
      <c r="A28" s="200">
        <v>2296</v>
      </c>
      <c r="B28" s="2">
        <v>103320</v>
      </c>
      <c r="C28" s="2" t="s">
        <v>134</v>
      </c>
      <c r="D28" s="2" t="s">
        <v>135</v>
      </c>
      <c r="E28" s="191" t="s">
        <v>32</v>
      </c>
      <c r="F28" s="213" t="str">
        <f>VLOOKUP(A28,'Summary Mar 2026'!A:F,6,FALSE)</f>
        <v>Chq bk</v>
      </c>
      <c r="H28" s="228">
        <v>5139.75</v>
      </c>
      <c r="I28" s="67">
        <v>0</v>
      </c>
      <c r="J28" s="67">
        <f t="shared" si="0"/>
        <v>5139.75</v>
      </c>
      <c r="M28" s="67"/>
      <c r="N28" s="67"/>
      <c r="O28" s="67">
        <v>0</v>
      </c>
      <c r="P28" s="67"/>
      <c r="Q28" s="67"/>
      <c r="R28" s="67"/>
      <c r="S28" s="67"/>
      <c r="T28" s="67"/>
      <c r="U28" s="67"/>
      <c r="W28" s="289">
        <f t="shared" si="1"/>
        <v>-5139.75</v>
      </c>
      <c r="Y28" s="228"/>
      <c r="Z28" s="67"/>
      <c r="AA28" s="67"/>
      <c r="AB28" s="67"/>
      <c r="AC28" s="67"/>
      <c r="AD28" s="67"/>
      <c r="AE28" s="229"/>
      <c r="AH28" s="362">
        <v>0</v>
      </c>
      <c r="AI28" s="67"/>
      <c r="AJ28" s="67"/>
      <c r="AK28" s="67"/>
      <c r="AL28" s="229"/>
      <c r="AN28" s="289">
        <f t="shared" si="2"/>
        <v>0</v>
      </c>
    </row>
    <row r="29" spans="1:40" ht="15" customHeight="1">
      <c r="A29" s="200">
        <v>2092</v>
      </c>
      <c r="B29" s="2">
        <v>103209</v>
      </c>
      <c r="C29" s="2" t="s">
        <v>146</v>
      </c>
      <c r="D29" s="2" t="s">
        <v>147</v>
      </c>
      <c r="E29" s="191" t="s">
        <v>32</v>
      </c>
      <c r="F29" s="213" t="str">
        <f>VLOOKUP(A29,'Summary Mar 2026'!A:F,6,FALSE)</f>
        <v>Chq Bk</v>
      </c>
      <c r="H29" s="228">
        <v>0</v>
      </c>
      <c r="I29" s="67">
        <v>13068</v>
      </c>
      <c r="J29" s="67">
        <f t="shared" si="0"/>
        <v>13068</v>
      </c>
      <c r="M29" s="67"/>
      <c r="N29" s="67"/>
      <c r="O29" s="67">
        <v>0</v>
      </c>
      <c r="P29" s="67"/>
      <c r="Q29" s="67"/>
      <c r="R29" s="67"/>
      <c r="S29" s="67"/>
      <c r="T29" s="67"/>
      <c r="U29" s="67"/>
      <c r="W29" s="289">
        <f t="shared" si="1"/>
        <v>-13068</v>
      </c>
      <c r="Y29" s="228"/>
      <c r="Z29" s="67"/>
      <c r="AA29" s="67"/>
      <c r="AB29" s="67"/>
      <c r="AC29" s="67"/>
      <c r="AD29" s="67"/>
      <c r="AE29" s="229"/>
      <c r="AH29" s="362">
        <v>0</v>
      </c>
      <c r="AI29" s="67"/>
      <c r="AJ29" s="67"/>
      <c r="AK29" s="67"/>
      <c r="AL29" s="229"/>
      <c r="AN29" s="289">
        <f t="shared" si="2"/>
        <v>0</v>
      </c>
    </row>
    <row r="30" spans="1:40" ht="15" customHeight="1">
      <c r="A30" s="200">
        <v>4201</v>
      </c>
      <c r="B30" s="2">
        <v>103503</v>
      </c>
      <c r="C30" s="2" t="s">
        <v>156</v>
      </c>
      <c r="D30" s="2" t="s">
        <v>157</v>
      </c>
      <c r="E30" s="191" t="s">
        <v>58</v>
      </c>
      <c r="F30" s="213" t="str">
        <f>VLOOKUP(A30,'Summary Mar 2026'!A:F,6,FALSE)</f>
        <v>Chq Bk</v>
      </c>
      <c r="H30" s="228">
        <v>0</v>
      </c>
      <c r="I30" s="67">
        <v>32508.000000000004</v>
      </c>
      <c r="J30" s="67">
        <f t="shared" si="0"/>
        <v>32508.000000000004</v>
      </c>
      <c r="M30" s="67"/>
      <c r="N30" s="67"/>
      <c r="O30" s="67">
        <v>0</v>
      </c>
      <c r="P30" s="67"/>
      <c r="Q30" s="67"/>
      <c r="R30" s="67"/>
      <c r="S30" s="67"/>
      <c r="T30" s="67"/>
      <c r="U30" s="67"/>
      <c r="W30" s="289">
        <f t="shared" si="1"/>
        <v>-32508.000000000004</v>
      </c>
      <c r="Y30" s="228"/>
      <c r="Z30" s="67"/>
      <c r="AA30" s="67"/>
      <c r="AB30" s="67"/>
      <c r="AC30" s="67"/>
      <c r="AD30" s="67"/>
      <c r="AE30" s="229"/>
      <c r="AH30" s="362">
        <v>-44806.327400000002</v>
      </c>
      <c r="AI30" s="67"/>
      <c r="AJ30" s="67"/>
      <c r="AK30" s="67"/>
      <c r="AL30" s="229"/>
      <c r="AN30" s="289">
        <f t="shared" si="2"/>
        <v>-44806.327400000002</v>
      </c>
    </row>
    <row r="31" spans="1:40" ht="15" customHeight="1">
      <c r="A31" s="200">
        <v>4015</v>
      </c>
      <c r="B31" s="2">
        <v>103483</v>
      </c>
      <c r="C31" s="2" t="s">
        <v>158</v>
      </c>
      <c r="D31" s="2" t="s">
        <v>159</v>
      </c>
      <c r="E31" s="191" t="s">
        <v>58</v>
      </c>
      <c r="F31" s="213" t="str">
        <f>VLOOKUP(A31,'Summary Mar 2026'!A:F,6,FALSE)</f>
        <v>Chq Bk</v>
      </c>
      <c r="H31" s="228">
        <v>0</v>
      </c>
      <c r="I31" s="67">
        <v>20331</v>
      </c>
      <c r="J31" s="67">
        <f t="shared" si="0"/>
        <v>20331</v>
      </c>
      <c r="M31" s="67"/>
      <c r="N31" s="67"/>
      <c r="O31" s="67">
        <v>0</v>
      </c>
      <c r="P31" s="67"/>
      <c r="Q31" s="67"/>
      <c r="R31" s="67"/>
      <c r="S31" s="67"/>
      <c r="T31" s="67"/>
      <c r="U31" s="67"/>
      <c r="W31" s="289">
        <f t="shared" si="1"/>
        <v>-20331</v>
      </c>
      <c r="Y31" s="228"/>
      <c r="Z31" s="67"/>
      <c r="AA31" s="67"/>
      <c r="AB31" s="67"/>
      <c r="AC31" s="67"/>
      <c r="AD31" s="67"/>
      <c r="AE31" s="229"/>
      <c r="AH31" s="362">
        <v>0</v>
      </c>
      <c r="AI31" s="67"/>
      <c r="AJ31" s="67"/>
      <c r="AK31" s="67"/>
      <c r="AL31" s="229"/>
      <c r="AN31" s="289">
        <f t="shared" si="2"/>
        <v>0</v>
      </c>
    </row>
    <row r="32" spans="1:40" ht="15" customHeight="1">
      <c r="A32" s="200">
        <v>4223</v>
      </c>
      <c r="B32" s="2">
        <v>103509</v>
      </c>
      <c r="C32" s="2" t="s">
        <v>162</v>
      </c>
      <c r="D32" s="2" t="s">
        <v>163</v>
      </c>
      <c r="E32" s="191" t="s">
        <v>58</v>
      </c>
      <c r="F32" s="213" t="str">
        <f>VLOOKUP(A32,'Summary Mar 2026'!A:F,6,FALSE)</f>
        <v>Chq Bk</v>
      </c>
      <c r="H32" s="228">
        <v>0</v>
      </c>
      <c r="I32" s="67">
        <v>0</v>
      </c>
      <c r="J32" s="67">
        <f t="shared" si="0"/>
        <v>0</v>
      </c>
      <c r="M32" s="67"/>
      <c r="N32" s="67"/>
      <c r="O32" s="67">
        <v>0</v>
      </c>
      <c r="P32" s="67"/>
      <c r="Q32" s="67"/>
      <c r="R32" s="67"/>
      <c r="S32" s="67"/>
      <c r="T32" s="67"/>
      <c r="U32" s="67"/>
      <c r="W32" s="289">
        <f t="shared" si="1"/>
        <v>0</v>
      </c>
      <c r="Y32" s="228"/>
      <c r="Z32" s="67"/>
      <c r="AA32" s="67"/>
      <c r="AB32" s="67"/>
      <c r="AC32" s="67"/>
      <c r="AD32" s="67"/>
      <c r="AE32" s="229"/>
      <c r="AH32" s="362">
        <v>0</v>
      </c>
      <c r="AI32" s="67"/>
      <c r="AJ32" s="67"/>
      <c r="AK32" s="67"/>
      <c r="AL32" s="229"/>
      <c r="AN32" s="289">
        <f t="shared" si="2"/>
        <v>0</v>
      </c>
    </row>
    <row r="33" spans="1:40" ht="15" customHeight="1">
      <c r="A33" s="200">
        <v>2015</v>
      </c>
      <c r="B33" s="2">
        <v>134102</v>
      </c>
      <c r="C33" s="2" t="s">
        <v>168</v>
      </c>
      <c r="D33" s="2" t="s">
        <v>169</v>
      </c>
      <c r="E33" s="191" t="s">
        <v>32</v>
      </c>
      <c r="F33" s="213" t="str">
        <f>VLOOKUP(A33,'Summary Mar 2026'!A:F,6,FALSE)</f>
        <v>Chq Bk</v>
      </c>
      <c r="H33" s="228">
        <v>9471</v>
      </c>
      <c r="I33" s="67">
        <v>0</v>
      </c>
      <c r="J33" s="67">
        <f t="shared" si="0"/>
        <v>9471</v>
      </c>
      <c r="M33" s="67"/>
      <c r="N33" s="67"/>
      <c r="O33" s="67">
        <v>0</v>
      </c>
      <c r="P33" s="67"/>
      <c r="Q33" s="67"/>
      <c r="R33" s="67"/>
      <c r="S33" s="67"/>
      <c r="T33" s="67"/>
      <c r="U33" s="67"/>
      <c r="W33" s="289">
        <f t="shared" si="1"/>
        <v>-9471</v>
      </c>
      <c r="Y33" s="228"/>
      <c r="Z33" s="67"/>
      <c r="AA33" s="67"/>
      <c r="AB33" s="67"/>
      <c r="AC33" s="67"/>
      <c r="AD33" s="67"/>
      <c r="AE33" s="229"/>
      <c r="AH33" s="362">
        <v>0</v>
      </c>
      <c r="AI33" s="67"/>
      <c r="AJ33" s="67"/>
      <c r="AK33" s="67"/>
      <c r="AL33" s="229"/>
      <c r="AN33" s="289">
        <f t="shared" si="2"/>
        <v>0</v>
      </c>
    </row>
    <row r="34" spans="1:40" ht="15" customHeight="1">
      <c r="A34" s="200">
        <v>2462</v>
      </c>
      <c r="B34" s="2">
        <v>103388</v>
      </c>
      <c r="C34" s="2" t="s">
        <v>182</v>
      </c>
      <c r="D34" s="2" t="s">
        <v>183</v>
      </c>
      <c r="E34" s="191" t="s">
        <v>32</v>
      </c>
      <c r="F34" s="213" t="str">
        <f>VLOOKUP(A34,'Summary Mar 2026'!A:F,6,FALSE)</f>
        <v>Chq Bk</v>
      </c>
      <c r="H34" s="811"/>
      <c r="I34" s="67">
        <v>11394</v>
      </c>
      <c r="J34" s="67">
        <f t="shared" si="0"/>
        <v>11394</v>
      </c>
      <c r="M34" s="67"/>
      <c r="N34" s="67"/>
      <c r="O34" s="67">
        <v>0</v>
      </c>
      <c r="P34" s="67"/>
      <c r="Q34" s="67"/>
      <c r="R34" s="67"/>
      <c r="S34" s="67"/>
      <c r="T34" s="67"/>
      <c r="U34" s="67"/>
      <c r="W34" s="289">
        <f t="shared" si="1"/>
        <v>-11394</v>
      </c>
      <c r="Y34" s="228"/>
      <c r="Z34" s="67"/>
      <c r="AA34" s="67"/>
      <c r="AB34" s="67"/>
      <c r="AC34" s="67"/>
      <c r="AD34" s="67"/>
      <c r="AE34" s="229"/>
      <c r="AH34" s="362">
        <v>0</v>
      </c>
      <c r="AI34" s="67"/>
      <c r="AJ34" s="67"/>
      <c r="AK34" s="67"/>
      <c r="AL34" s="229"/>
      <c r="AN34" s="289">
        <f t="shared" si="2"/>
        <v>0</v>
      </c>
    </row>
    <row r="35" spans="1:40" ht="15" customHeight="1">
      <c r="A35" s="200">
        <v>2127</v>
      </c>
      <c r="B35" s="2">
        <v>103227</v>
      </c>
      <c r="C35" s="2" t="s">
        <v>186</v>
      </c>
      <c r="D35" s="2" t="s">
        <v>187</v>
      </c>
      <c r="E35" s="191" t="s">
        <v>32</v>
      </c>
      <c r="F35" s="213" t="str">
        <f>VLOOKUP(A35,'Summary Mar 2026'!A:F,6,FALSE)</f>
        <v>Chq Bk</v>
      </c>
      <c r="H35" s="228">
        <v>0</v>
      </c>
      <c r="I35" s="67">
        <v>0</v>
      </c>
      <c r="J35" s="67">
        <f t="shared" si="0"/>
        <v>0</v>
      </c>
      <c r="M35" s="67"/>
      <c r="N35" s="67"/>
      <c r="O35" s="67">
        <v>0</v>
      </c>
      <c r="P35" s="67"/>
      <c r="Q35" s="67"/>
      <c r="R35" s="67"/>
      <c r="S35" s="67"/>
      <c r="T35" s="67"/>
      <c r="U35" s="67"/>
      <c r="W35" s="289">
        <f t="shared" si="1"/>
        <v>0</v>
      </c>
      <c r="Y35" s="228"/>
      <c r="Z35" s="67"/>
      <c r="AA35" s="67"/>
      <c r="AB35" s="67"/>
      <c r="AC35" s="67"/>
      <c r="AD35" s="67"/>
      <c r="AE35" s="229"/>
      <c r="AH35" s="362">
        <v>0</v>
      </c>
      <c r="AI35" s="67"/>
      <c r="AJ35" s="67"/>
      <c r="AK35" s="67"/>
      <c r="AL35" s="229"/>
      <c r="AN35" s="289">
        <f t="shared" si="2"/>
        <v>0</v>
      </c>
    </row>
    <row r="36" spans="1:40" ht="15" customHeight="1">
      <c r="A36" s="200">
        <v>2129</v>
      </c>
      <c r="B36" s="2">
        <v>103229</v>
      </c>
      <c r="C36" s="2" t="s">
        <v>188</v>
      </c>
      <c r="D36" s="2" t="s">
        <v>189</v>
      </c>
      <c r="E36" s="191" t="s">
        <v>32</v>
      </c>
      <c r="F36" s="213" t="str">
        <f>VLOOKUP(A36,'Summary Mar 2026'!A:F,6,FALSE)</f>
        <v>Chq Bk</v>
      </c>
      <c r="H36" s="228">
        <v>0</v>
      </c>
      <c r="I36" s="67">
        <v>7128</v>
      </c>
      <c r="J36" s="67">
        <f t="shared" si="0"/>
        <v>7128</v>
      </c>
      <c r="M36" s="67"/>
      <c r="N36" s="67"/>
      <c r="O36" s="67">
        <v>0</v>
      </c>
      <c r="P36" s="67"/>
      <c r="Q36" s="67"/>
      <c r="R36" s="67"/>
      <c r="S36" s="67"/>
      <c r="T36" s="67"/>
      <c r="U36" s="67"/>
      <c r="W36" s="289">
        <f t="shared" si="1"/>
        <v>-7128</v>
      </c>
      <c r="Y36" s="228"/>
      <c r="Z36" s="67"/>
      <c r="AA36" s="67"/>
      <c r="AB36" s="67"/>
      <c r="AC36" s="67"/>
      <c r="AD36" s="67"/>
      <c r="AE36" s="229"/>
      <c r="AH36" s="362">
        <v>0</v>
      </c>
      <c r="AI36" s="67"/>
      <c r="AJ36" s="67"/>
      <c r="AK36" s="67"/>
      <c r="AL36" s="229"/>
      <c r="AN36" s="289">
        <f t="shared" si="2"/>
        <v>0</v>
      </c>
    </row>
    <row r="37" spans="1:40" ht="15" customHeight="1">
      <c r="A37" s="200">
        <v>2128</v>
      </c>
      <c r="B37" s="2">
        <v>103228</v>
      </c>
      <c r="C37" s="2" t="s">
        <v>190</v>
      </c>
      <c r="D37" s="2" t="s">
        <v>191</v>
      </c>
      <c r="E37" s="191" t="s">
        <v>32</v>
      </c>
      <c r="F37" s="213" t="str">
        <f>VLOOKUP(A37,'Summary Mar 2026'!A:F,6,FALSE)</f>
        <v>Chq Bk</v>
      </c>
      <c r="H37" s="228">
        <v>9471</v>
      </c>
      <c r="I37" s="67">
        <v>0</v>
      </c>
      <c r="J37" s="67">
        <f t="shared" si="0"/>
        <v>9471</v>
      </c>
      <c r="M37" s="67"/>
      <c r="N37" s="67"/>
      <c r="O37" s="67">
        <v>0</v>
      </c>
      <c r="P37" s="67"/>
      <c r="Q37" s="67"/>
      <c r="R37" s="67"/>
      <c r="S37" s="67"/>
      <c r="T37" s="67"/>
      <c r="U37" s="67"/>
      <c r="W37" s="289">
        <f t="shared" si="1"/>
        <v>-9471</v>
      </c>
      <c r="Y37" s="228"/>
      <c r="Z37" s="67"/>
      <c r="AA37" s="67"/>
      <c r="AB37" s="67"/>
      <c r="AC37" s="67"/>
      <c r="AD37" s="67"/>
      <c r="AE37" s="229"/>
      <c r="AH37" s="362">
        <v>0</v>
      </c>
      <c r="AI37" s="67"/>
      <c r="AJ37" s="67"/>
      <c r="AK37" s="67"/>
      <c r="AL37" s="229"/>
      <c r="AN37" s="289">
        <f t="shared" si="2"/>
        <v>0</v>
      </c>
    </row>
    <row r="38" spans="1:40" ht="15" customHeight="1">
      <c r="A38" s="200">
        <v>2133</v>
      </c>
      <c r="B38" s="2">
        <v>103233</v>
      </c>
      <c r="C38" s="2" t="s">
        <v>196</v>
      </c>
      <c r="D38" s="2" t="s">
        <v>197</v>
      </c>
      <c r="E38" s="191" t="s">
        <v>32</v>
      </c>
      <c r="F38" s="213" t="str">
        <f>VLOOKUP(A38,'Summary Mar 2026'!A:F,6,FALSE)</f>
        <v>Chq Bk</v>
      </c>
      <c r="H38" s="228">
        <v>9471</v>
      </c>
      <c r="I38" s="67">
        <v>0</v>
      </c>
      <c r="J38" s="67">
        <f t="shared" si="0"/>
        <v>9471</v>
      </c>
      <c r="M38" s="67"/>
      <c r="N38" s="67"/>
      <c r="O38" s="67">
        <v>0</v>
      </c>
      <c r="P38" s="67"/>
      <c r="Q38" s="67"/>
      <c r="R38" s="67"/>
      <c r="S38" s="67"/>
      <c r="T38" s="67"/>
      <c r="U38" s="67"/>
      <c r="W38" s="289">
        <f t="shared" si="1"/>
        <v>-9471</v>
      </c>
      <c r="Y38" s="228"/>
      <c r="Z38" s="67"/>
      <c r="AA38" s="67"/>
      <c r="AB38" s="67"/>
      <c r="AC38" s="67"/>
      <c r="AD38" s="67"/>
      <c r="AE38" s="229"/>
      <c r="AH38" s="362">
        <v>-4336.5414000000001</v>
      </c>
      <c r="AI38" s="67"/>
      <c r="AJ38" s="67"/>
      <c r="AK38" s="67"/>
      <c r="AL38" s="229"/>
      <c r="AN38" s="289">
        <f t="shared" si="2"/>
        <v>-4336.5414000000001</v>
      </c>
    </row>
    <row r="39" spans="1:40" ht="15" customHeight="1">
      <c r="A39" s="200">
        <v>3322</v>
      </c>
      <c r="B39" s="2">
        <v>103426</v>
      </c>
      <c r="C39" s="2" t="s">
        <v>198</v>
      </c>
      <c r="D39" s="2" t="s">
        <v>199</v>
      </c>
      <c r="E39" s="191" t="s">
        <v>32</v>
      </c>
      <c r="F39" s="213" t="str">
        <f>VLOOKUP(A39,'Summary Mar 2026'!A:F,6,FALSE)</f>
        <v>Academy</v>
      </c>
      <c r="H39" s="228"/>
      <c r="I39" s="67">
        <v>0</v>
      </c>
      <c r="J39" s="67">
        <f t="shared" si="0"/>
        <v>0</v>
      </c>
      <c r="M39" s="67">
        <v>428.31</v>
      </c>
      <c r="N39" s="67"/>
      <c r="O39" s="67"/>
      <c r="P39" s="67"/>
      <c r="Q39" s="67"/>
      <c r="R39" s="67"/>
      <c r="S39" s="67"/>
      <c r="T39" s="67"/>
      <c r="U39" s="67"/>
      <c r="W39" s="289">
        <f t="shared" si="1"/>
        <v>-428.31</v>
      </c>
      <c r="Y39" s="228"/>
      <c r="Z39" s="67"/>
      <c r="AA39" s="67"/>
      <c r="AB39" s="67"/>
      <c r="AC39" s="67"/>
      <c r="AD39" s="67"/>
      <c r="AE39" s="229"/>
      <c r="AH39" s="362">
        <v>0</v>
      </c>
      <c r="AI39" s="67"/>
      <c r="AJ39" s="67"/>
      <c r="AK39" s="67"/>
      <c r="AL39" s="229"/>
      <c r="AN39" s="289">
        <f t="shared" si="2"/>
        <v>0</v>
      </c>
    </row>
    <row r="40" spans="1:40" ht="15" customHeight="1">
      <c r="A40" s="200">
        <v>2416</v>
      </c>
      <c r="B40" s="2">
        <v>103351</v>
      </c>
      <c r="C40" s="2" t="s">
        <v>202</v>
      </c>
      <c r="D40" s="2" t="s">
        <v>203</v>
      </c>
      <c r="E40" s="191" t="s">
        <v>32</v>
      </c>
      <c r="F40" s="213" t="str">
        <f>VLOOKUP(A40,'Summary Mar 2026'!A:F,6,FALSE)</f>
        <v>Chq Bk</v>
      </c>
      <c r="H40" s="228">
        <v>0</v>
      </c>
      <c r="I40" s="67">
        <v>11448</v>
      </c>
      <c r="J40" s="67">
        <f t="shared" si="0"/>
        <v>11448</v>
      </c>
      <c r="M40" s="67"/>
      <c r="N40" s="67"/>
      <c r="O40" s="67">
        <v>0</v>
      </c>
      <c r="P40" s="67"/>
      <c r="Q40" s="67"/>
      <c r="R40" s="67"/>
      <c r="S40" s="67"/>
      <c r="T40" s="67"/>
      <c r="U40" s="67"/>
      <c r="W40" s="289">
        <f t="shared" si="1"/>
        <v>-11448</v>
      </c>
      <c r="Y40" s="228"/>
      <c r="Z40" s="67"/>
      <c r="AA40" s="67"/>
      <c r="AB40" s="67"/>
      <c r="AC40" s="67"/>
      <c r="AD40" s="67"/>
      <c r="AE40" s="229"/>
      <c r="AH40" s="362">
        <v>0</v>
      </c>
      <c r="AI40" s="67"/>
      <c r="AJ40" s="67"/>
      <c r="AK40" s="67"/>
      <c r="AL40" s="229"/>
      <c r="AN40" s="289">
        <f t="shared" si="2"/>
        <v>0</v>
      </c>
    </row>
    <row r="41" spans="1:40" ht="15" customHeight="1">
      <c r="A41" s="200">
        <v>4245</v>
      </c>
      <c r="B41" s="2">
        <v>103519</v>
      </c>
      <c r="C41" s="2" t="s">
        <v>206</v>
      </c>
      <c r="D41" s="2" t="s">
        <v>207</v>
      </c>
      <c r="E41" s="191" t="s">
        <v>58</v>
      </c>
      <c r="F41" s="213" t="str">
        <f>VLOOKUP(A41,'Summary Mar 2026'!A:F,6,FALSE)</f>
        <v>Chq Bk</v>
      </c>
      <c r="H41" s="228">
        <v>0</v>
      </c>
      <c r="I41" s="67">
        <v>39285</v>
      </c>
      <c r="J41" s="67">
        <f t="shared" si="0"/>
        <v>39285</v>
      </c>
      <c r="M41" s="67"/>
      <c r="N41" s="67"/>
      <c r="O41" s="67">
        <v>0</v>
      </c>
      <c r="P41" s="67"/>
      <c r="Q41" s="67"/>
      <c r="R41" s="67"/>
      <c r="S41" s="67"/>
      <c r="T41" s="67"/>
      <c r="U41" s="67"/>
      <c r="W41" s="289">
        <f t="shared" si="1"/>
        <v>-39285</v>
      </c>
      <c r="Y41" s="228"/>
      <c r="Z41" s="67"/>
      <c r="AA41" s="67"/>
      <c r="AB41" s="67"/>
      <c r="AC41" s="67"/>
      <c r="AD41" s="67"/>
      <c r="AE41" s="229"/>
      <c r="AH41" s="362">
        <v>-8868.9002166666651</v>
      </c>
      <c r="AI41" s="67"/>
      <c r="AJ41" s="67"/>
      <c r="AK41" s="67"/>
      <c r="AL41" s="229"/>
      <c r="AN41" s="289">
        <f t="shared" si="2"/>
        <v>-8868.9002166666651</v>
      </c>
    </row>
    <row r="42" spans="1:40" ht="15" customHeight="1">
      <c r="A42" s="200">
        <v>7053</v>
      </c>
      <c r="B42" s="2">
        <v>103628</v>
      </c>
      <c r="C42" s="2" t="s">
        <v>216</v>
      </c>
      <c r="D42" s="2" t="s">
        <v>217</v>
      </c>
      <c r="E42" s="191" t="s">
        <v>47</v>
      </c>
      <c r="F42" s="213" t="str">
        <f>VLOOKUP(A42,'Summary Mar 2026'!A:F,6,FALSE)</f>
        <v>Academy</v>
      </c>
      <c r="H42" s="228">
        <v>5139.75</v>
      </c>
      <c r="I42" s="67">
        <v>0</v>
      </c>
      <c r="J42" s="67">
        <f t="shared" si="0"/>
        <v>5139.75</v>
      </c>
      <c r="M42" s="67"/>
      <c r="N42" s="67"/>
      <c r="O42" s="67">
        <v>0</v>
      </c>
      <c r="P42" s="67">
        <v>-2569.875</v>
      </c>
      <c r="Q42" s="67"/>
      <c r="R42" s="67"/>
      <c r="S42" s="67"/>
      <c r="T42" s="67"/>
      <c r="U42" s="67"/>
      <c r="W42" s="289">
        <f t="shared" si="1"/>
        <v>-2569.875</v>
      </c>
      <c r="Y42" s="228"/>
      <c r="Z42" s="67"/>
      <c r="AA42" s="67"/>
      <c r="AB42" s="67"/>
      <c r="AC42" s="67"/>
      <c r="AD42" s="67"/>
      <c r="AE42" s="229"/>
      <c r="AH42" s="362">
        <v>0</v>
      </c>
      <c r="AI42" s="67"/>
      <c r="AJ42" s="67"/>
      <c r="AK42" s="67"/>
      <c r="AL42" s="229"/>
      <c r="AN42" s="289">
        <f t="shared" si="2"/>
        <v>0</v>
      </c>
    </row>
    <row r="43" spans="1:40" ht="15" customHeight="1">
      <c r="A43" s="200">
        <v>4173</v>
      </c>
      <c r="B43" s="2">
        <v>103497</v>
      </c>
      <c r="C43" s="2" t="s">
        <v>224</v>
      </c>
      <c r="D43" s="2" t="s">
        <v>225</v>
      </c>
      <c r="E43" s="191" t="s">
        <v>58</v>
      </c>
      <c r="F43" s="213" t="str">
        <f>VLOOKUP(A43,'Summary Mar 2026'!A:F,6,FALSE)</f>
        <v>Chq Bk</v>
      </c>
      <c r="H43" s="228">
        <v>24312.75</v>
      </c>
      <c r="I43" s="67">
        <v>0</v>
      </c>
      <c r="J43" s="67">
        <f t="shared" si="0"/>
        <v>24312.75</v>
      </c>
      <c r="M43" s="67"/>
      <c r="N43" s="67"/>
      <c r="O43" s="67">
        <v>0</v>
      </c>
      <c r="P43" s="67"/>
      <c r="Q43" s="67"/>
      <c r="R43" s="67"/>
      <c r="S43" s="67"/>
      <c r="T43" s="67"/>
      <c r="U43" s="67"/>
      <c r="W43" s="289">
        <f t="shared" si="1"/>
        <v>-24312.75</v>
      </c>
      <c r="Y43" s="228"/>
      <c r="Z43" s="67"/>
      <c r="AA43" s="67"/>
      <c r="AB43" s="67"/>
      <c r="AC43" s="67"/>
      <c r="AD43" s="67"/>
      <c r="AE43" s="229"/>
      <c r="AH43" s="362">
        <v>-6405.5177999999996</v>
      </c>
      <c r="AI43" s="67"/>
      <c r="AJ43" s="67"/>
      <c r="AK43" s="67"/>
      <c r="AL43" s="229"/>
      <c r="AN43" s="289">
        <f t="shared" si="2"/>
        <v>-6405.5177999999996</v>
      </c>
    </row>
    <row r="44" spans="1:40" ht="15" customHeight="1">
      <c r="A44" s="200">
        <v>7033</v>
      </c>
      <c r="B44" s="2">
        <v>103613</v>
      </c>
      <c r="C44" s="2" t="s">
        <v>236</v>
      </c>
      <c r="D44" s="2" t="s">
        <v>237</v>
      </c>
      <c r="E44" s="191" t="s">
        <v>47</v>
      </c>
      <c r="F44" s="213" t="str">
        <f>VLOOKUP(A44,'Summary Mar 2026'!A:F,6,FALSE)</f>
        <v>Chq Bk</v>
      </c>
      <c r="H44" s="228">
        <v>9471</v>
      </c>
      <c r="I44" s="67">
        <v>0</v>
      </c>
      <c r="J44" s="67">
        <f t="shared" si="0"/>
        <v>9471</v>
      </c>
      <c r="M44" s="67"/>
      <c r="N44" s="67"/>
      <c r="O44" s="67">
        <v>0</v>
      </c>
      <c r="P44" s="67"/>
      <c r="Q44" s="67"/>
      <c r="R44" s="67"/>
      <c r="S44" s="67"/>
      <c r="T44" s="67"/>
      <c r="U44" s="67"/>
      <c r="W44" s="289">
        <f t="shared" si="1"/>
        <v>-9471</v>
      </c>
      <c r="Y44" s="228"/>
      <c r="Z44" s="67"/>
      <c r="AA44" s="67"/>
      <c r="AB44" s="67"/>
      <c r="AC44" s="67"/>
      <c r="AD44" s="67"/>
      <c r="AE44" s="229"/>
      <c r="AH44" s="362">
        <v>0</v>
      </c>
      <c r="AI44" s="67"/>
      <c r="AJ44" s="67"/>
      <c r="AK44" s="67"/>
      <c r="AL44" s="229"/>
      <c r="AN44" s="289">
        <f t="shared" si="2"/>
        <v>0</v>
      </c>
    </row>
    <row r="45" spans="1:40" ht="15" customHeight="1">
      <c r="A45" s="200">
        <v>4177</v>
      </c>
      <c r="B45" s="2">
        <v>103498</v>
      </c>
      <c r="C45" s="2" t="s">
        <v>238</v>
      </c>
      <c r="D45" s="2" t="s">
        <v>239</v>
      </c>
      <c r="E45" s="191" t="s">
        <v>58</v>
      </c>
      <c r="F45" s="213" t="str">
        <f>VLOOKUP(A45,'Summary Mar 2026'!A:F,6,FALSE)</f>
        <v>Chq Bk</v>
      </c>
      <c r="H45" s="228">
        <v>24312.75</v>
      </c>
      <c r="I45" s="67">
        <v>0</v>
      </c>
      <c r="J45" s="67">
        <f t="shared" si="0"/>
        <v>24312.75</v>
      </c>
      <c r="M45" s="67"/>
      <c r="N45" s="67"/>
      <c r="O45" s="67">
        <v>0</v>
      </c>
      <c r="P45" s="67"/>
      <c r="Q45" s="67"/>
      <c r="R45" s="67"/>
      <c r="S45" s="67"/>
      <c r="T45" s="67"/>
      <c r="U45" s="67"/>
      <c r="W45" s="289">
        <f t="shared" si="1"/>
        <v>-24312.75</v>
      </c>
      <c r="Y45" s="228"/>
      <c r="Z45" s="67"/>
      <c r="AA45" s="67"/>
      <c r="AB45" s="67"/>
      <c r="AC45" s="67"/>
      <c r="AD45" s="67"/>
      <c r="AE45" s="229"/>
      <c r="AH45" s="362">
        <v>0</v>
      </c>
      <c r="AI45" s="67"/>
      <c r="AJ45" s="67"/>
      <c r="AK45" s="67"/>
      <c r="AL45" s="229"/>
      <c r="AN45" s="289">
        <f t="shared" si="2"/>
        <v>0</v>
      </c>
    </row>
    <row r="46" spans="1:40" ht="15" customHeight="1">
      <c r="A46" s="200">
        <v>1038</v>
      </c>
      <c r="B46" s="2">
        <v>103142</v>
      </c>
      <c r="C46" s="2" t="s">
        <v>244</v>
      </c>
      <c r="D46" s="2" t="s">
        <v>245</v>
      </c>
      <c r="E46" s="191" t="s">
        <v>29</v>
      </c>
      <c r="F46" s="213" t="str">
        <f>VLOOKUP(A46,'Summary Mar 2026'!A:F,6,FALSE)</f>
        <v>Chq Bk</v>
      </c>
      <c r="H46" s="228">
        <v>3291.75</v>
      </c>
      <c r="I46" s="67">
        <v>0</v>
      </c>
      <c r="J46" s="67">
        <f t="shared" si="0"/>
        <v>3291.75</v>
      </c>
      <c r="M46" s="67"/>
      <c r="N46" s="67"/>
      <c r="O46" s="67">
        <v>0</v>
      </c>
      <c r="P46" s="67"/>
      <c r="Q46" s="67"/>
      <c r="R46" s="67"/>
      <c r="S46" s="67"/>
      <c r="T46" s="67"/>
      <c r="U46" s="67"/>
      <c r="W46" s="289">
        <f t="shared" si="1"/>
        <v>-3291.75</v>
      </c>
      <c r="Y46" s="228"/>
      <c r="Z46" s="67"/>
      <c r="AA46" s="67"/>
      <c r="AB46" s="67"/>
      <c r="AC46" s="67"/>
      <c r="AD46" s="67"/>
      <c r="AE46" s="229"/>
      <c r="AH46" s="362">
        <v>0</v>
      </c>
      <c r="AI46" s="67"/>
      <c r="AJ46" s="67"/>
      <c r="AK46" s="67"/>
      <c r="AL46" s="229"/>
      <c r="AN46" s="289">
        <f t="shared" si="2"/>
        <v>0</v>
      </c>
    </row>
    <row r="47" spans="1:40" ht="15" customHeight="1">
      <c r="A47" s="200">
        <v>2174</v>
      </c>
      <c r="B47" s="2">
        <v>103255</v>
      </c>
      <c r="C47" s="2" t="s">
        <v>246</v>
      </c>
      <c r="D47" s="2" t="s">
        <v>247</v>
      </c>
      <c r="E47" s="191" t="s">
        <v>32</v>
      </c>
      <c r="F47" s="213" t="str">
        <f>VLOOKUP(A47,'Summary Mar 2026'!A:F,6,FALSE)</f>
        <v>Chq Bk</v>
      </c>
      <c r="H47" s="228">
        <v>0</v>
      </c>
      <c r="I47" s="67">
        <v>8100</v>
      </c>
      <c r="J47" s="67">
        <f t="shared" si="0"/>
        <v>8100</v>
      </c>
      <c r="M47" s="67"/>
      <c r="N47" s="67"/>
      <c r="O47" s="67">
        <v>0</v>
      </c>
      <c r="P47" s="67"/>
      <c r="Q47" s="67"/>
      <c r="R47" s="67"/>
      <c r="S47" s="67"/>
      <c r="T47" s="67"/>
      <c r="U47" s="67"/>
      <c r="W47" s="289">
        <f t="shared" si="1"/>
        <v>-8100</v>
      </c>
      <c r="Y47" s="228"/>
      <c r="Z47" s="67"/>
      <c r="AA47" s="67"/>
      <c r="AB47" s="67"/>
      <c r="AC47" s="67"/>
      <c r="AD47" s="67"/>
      <c r="AE47" s="229"/>
      <c r="AH47" s="362">
        <v>0</v>
      </c>
      <c r="AI47" s="67"/>
      <c r="AJ47" s="67"/>
      <c r="AK47" s="67"/>
      <c r="AL47" s="229"/>
      <c r="AN47" s="289">
        <f t="shared" si="2"/>
        <v>0</v>
      </c>
    </row>
    <row r="48" spans="1:40" ht="15" customHeight="1">
      <c r="A48" s="200">
        <v>3363</v>
      </c>
      <c r="B48" s="2">
        <v>103455</v>
      </c>
      <c r="C48" s="2" t="s">
        <v>268</v>
      </c>
      <c r="D48" s="2" t="s">
        <v>269</v>
      </c>
      <c r="E48" s="191" t="s">
        <v>32</v>
      </c>
      <c r="F48" s="213" t="str">
        <f>VLOOKUP(A48,'Summary Mar 2026'!A:F,6,FALSE)</f>
        <v>Chq Bk</v>
      </c>
      <c r="H48" s="228">
        <v>5139.75</v>
      </c>
      <c r="I48" s="67">
        <v>0</v>
      </c>
      <c r="J48" s="67">
        <f t="shared" si="0"/>
        <v>5139.75</v>
      </c>
      <c r="M48" s="67"/>
      <c r="N48" s="67"/>
      <c r="O48" s="67">
        <v>0</v>
      </c>
      <c r="P48" s="67"/>
      <c r="Q48" s="67"/>
      <c r="R48" s="67"/>
      <c r="S48" s="67"/>
      <c r="T48" s="67"/>
      <c r="U48" s="67"/>
      <c r="W48" s="289">
        <f t="shared" si="1"/>
        <v>-5139.75</v>
      </c>
      <c r="Y48" s="228"/>
      <c r="Z48" s="67"/>
      <c r="AA48" s="67"/>
      <c r="AB48" s="67"/>
      <c r="AC48" s="67"/>
      <c r="AD48" s="67"/>
      <c r="AE48" s="229"/>
      <c r="AH48" s="362">
        <v>0</v>
      </c>
      <c r="AI48" s="67"/>
      <c r="AJ48" s="67"/>
      <c r="AK48" s="67"/>
      <c r="AL48" s="229"/>
      <c r="AN48" s="289">
        <f t="shared" si="2"/>
        <v>0</v>
      </c>
    </row>
    <row r="49" spans="1:40" ht="15" customHeight="1">
      <c r="A49" s="200">
        <v>3377</v>
      </c>
      <c r="B49" s="2">
        <v>103463</v>
      </c>
      <c r="C49" s="2" t="s">
        <v>278</v>
      </c>
      <c r="D49" s="2" t="s">
        <v>279</v>
      </c>
      <c r="E49" s="191" t="s">
        <v>32</v>
      </c>
      <c r="F49" s="213" t="str">
        <f>VLOOKUP(A49,'Summary Mar 2026'!A:F,6,FALSE)</f>
        <v>Chq Bk</v>
      </c>
      <c r="H49" s="228">
        <v>0</v>
      </c>
      <c r="I49" s="67">
        <v>0</v>
      </c>
      <c r="J49" s="67">
        <f t="shared" si="0"/>
        <v>0</v>
      </c>
      <c r="M49" s="67"/>
      <c r="N49" s="67"/>
      <c r="O49" s="67">
        <v>0</v>
      </c>
      <c r="P49" s="67"/>
      <c r="Q49" s="67"/>
      <c r="R49" s="67"/>
      <c r="S49" s="67"/>
      <c r="T49" s="67"/>
      <c r="U49" s="67"/>
      <c r="W49" s="289">
        <f t="shared" si="1"/>
        <v>0</v>
      </c>
      <c r="Y49" s="228"/>
      <c r="Z49" s="67"/>
      <c r="AA49" s="67"/>
      <c r="AB49" s="67"/>
      <c r="AC49" s="67"/>
      <c r="AD49" s="67"/>
      <c r="AE49" s="229"/>
      <c r="AH49" s="362">
        <v>0</v>
      </c>
      <c r="AI49" s="67"/>
      <c r="AJ49" s="67"/>
      <c r="AK49" s="67"/>
      <c r="AL49" s="229"/>
      <c r="AN49" s="289">
        <f t="shared" si="2"/>
        <v>0</v>
      </c>
    </row>
    <row r="50" spans="1:40" ht="15" customHeight="1">
      <c r="A50" s="200">
        <v>3371</v>
      </c>
      <c r="B50" s="2">
        <v>103459</v>
      </c>
      <c r="C50" s="2" t="s">
        <v>280</v>
      </c>
      <c r="D50" s="2" t="s">
        <v>281</v>
      </c>
      <c r="E50" s="191" t="s">
        <v>32</v>
      </c>
      <c r="F50" s="213" t="str">
        <f>VLOOKUP(A50,'Summary Mar 2026'!A:F,6,FALSE)</f>
        <v>Chq Bk</v>
      </c>
      <c r="H50" s="228">
        <v>0</v>
      </c>
      <c r="I50" s="67">
        <v>7236</v>
      </c>
      <c r="J50" s="67">
        <f t="shared" si="0"/>
        <v>7236</v>
      </c>
      <c r="M50" s="67"/>
      <c r="N50" s="67"/>
      <c r="O50" s="67">
        <v>0</v>
      </c>
      <c r="P50" s="67"/>
      <c r="Q50" s="67"/>
      <c r="R50" s="67"/>
      <c r="S50" s="67"/>
      <c r="T50" s="67"/>
      <c r="U50" s="67"/>
      <c r="W50" s="289">
        <f t="shared" si="1"/>
        <v>-7236</v>
      </c>
      <c r="Y50" s="228"/>
      <c r="Z50" s="67"/>
      <c r="AA50" s="67"/>
      <c r="AB50" s="67"/>
      <c r="AC50" s="67"/>
      <c r="AD50" s="67"/>
      <c r="AE50" s="229"/>
      <c r="AH50" s="362">
        <v>-4587.5414000000001</v>
      </c>
      <c r="AI50" s="67"/>
      <c r="AJ50" s="67"/>
      <c r="AK50" s="67"/>
      <c r="AL50" s="229"/>
      <c r="AN50" s="289">
        <f t="shared" si="2"/>
        <v>-4587.5414000000001</v>
      </c>
    </row>
    <row r="51" spans="1:40" ht="15" customHeight="1">
      <c r="A51" s="200">
        <v>3016</v>
      </c>
      <c r="B51" s="2">
        <v>103404</v>
      </c>
      <c r="C51" s="2" t="s">
        <v>290</v>
      </c>
      <c r="D51" s="2" t="s">
        <v>291</v>
      </c>
      <c r="E51" s="191" t="s">
        <v>32</v>
      </c>
      <c r="F51" s="213" t="str">
        <f>VLOOKUP(A51,'Summary Mar 2026'!A:F,6,FALSE)</f>
        <v>Chq Bk</v>
      </c>
      <c r="H51" s="228">
        <v>5139.75</v>
      </c>
      <c r="I51" s="67">
        <v>0</v>
      </c>
      <c r="J51" s="67">
        <f t="shared" si="0"/>
        <v>5139.75</v>
      </c>
      <c r="M51" s="67"/>
      <c r="N51" s="67"/>
      <c r="O51" s="67">
        <v>0</v>
      </c>
      <c r="P51" s="67"/>
      <c r="Q51" s="67"/>
      <c r="R51" s="67"/>
      <c r="S51" s="67"/>
      <c r="T51" s="67"/>
      <c r="U51" s="67"/>
      <c r="W51" s="289">
        <f t="shared" si="1"/>
        <v>-5139.75</v>
      </c>
      <c r="Y51" s="228"/>
      <c r="Z51" s="67"/>
      <c r="AA51" s="67"/>
      <c r="AB51" s="67"/>
      <c r="AC51" s="67"/>
      <c r="AD51" s="67"/>
      <c r="AE51" s="229"/>
      <c r="AH51" s="362">
        <v>0</v>
      </c>
      <c r="AI51" s="67"/>
      <c r="AJ51" s="67"/>
      <c r="AK51" s="67"/>
      <c r="AL51" s="229"/>
      <c r="AN51" s="289">
        <f t="shared" si="2"/>
        <v>0</v>
      </c>
    </row>
    <row r="52" spans="1:40" ht="15" customHeight="1">
      <c r="A52" s="200">
        <v>4606</v>
      </c>
      <c r="B52" s="2">
        <v>103531</v>
      </c>
      <c r="C52" s="2" t="s">
        <v>292</v>
      </c>
      <c r="D52" s="2" t="s">
        <v>293</v>
      </c>
      <c r="E52" s="191" t="s">
        <v>58</v>
      </c>
      <c r="F52" s="213" t="str">
        <f>VLOOKUP(A52,'Summary Mar 2026'!A:F,6,FALSE)</f>
        <v>Chq Bk</v>
      </c>
      <c r="H52" s="228">
        <v>24312.75</v>
      </c>
      <c r="I52" s="67">
        <v>0</v>
      </c>
      <c r="J52" s="67">
        <f t="shared" si="0"/>
        <v>24312.75</v>
      </c>
      <c r="M52" s="67"/>
      <c r="N52" s="67"/>
      <c r="O52" s="67">
        <v>0</v>
      </c>
      <c r="P52" s="67"/>
      <c r="Q52" s="67"/>
      <c r="R52" s="67"/>
      <c r="S52" s="67"/>
      <c r="T52" s="67"/>
      <c r="U52" s="67"/>
      <c r="W52" s="289">
        <f t="shared" si="1"/>
        <v>-24312.75</v>
      </c>
      <c r="Y52" s="228"/>
      <c r="Z52" s="67"/>
      <c r="AA52" s="67"/>
      <c r="AB52" s="67"/>
      <c r="AC52" s="67"/>
      <c r="AD52" s="67"/>
      <c r="AE52" s="229"/>
      <c r="AH52" s="362">
        <v>0</v>
      </c>
      <c r="AI52" s="67"/>
      <c r="AJ52" s="67"/>
      <c r="AK52" s="67"/>
      <c r="AL52" s="229"/>
      <c r="AN52" s="289">
        <f t="shared" si="2"/>
        <v>0</v>
      </c>
    </row>
    <row r="53" spans="1:40" ht="15" customHeight="1">
      <c r="A53" s="200">
        <v>3428</v>
      </c>
      <c r="B53" s="2">
        <v>134476</v>
      </c>
      <c r="C53" s="2" t="s">
        <v>294</v>
      </c>
      <c r="D53" s="2" t="s">
        <v>295</v>
      </c>
      <c r="E53" s="191" t="s">
        <v>32</v>
      </c>
      <c r="F53" s="213" t="str">
        <f>VLOOKUP(A53,'Summary Mar 2026'!A:F,6,FALSE)</f>
        <v>Chq Bk</v>
      </c>
      <c r="H53" s="228">
        <v>9471</v>
      </c>
      <c r="I53" s="67">
        <v>0</v>
      </c>
      <c r="J53" s="67">
        <f t="shared" si="0"/>
        <v>9471</v>
      </c>
      <c r="M53" s="67"/>
      <c r="N53" s="67"/>
      <c r="O53" s="67">
        <v>0</v>
      </c>
      <c r="P53" s="67"/>
      <c r="Q53" s="67"/>
      <c r="R53" s="67"/>
      <c r="S53" s="67"/>
      <c r="T53" s="67"/>
      <c r="U53" s="67"/>
      <c r="W53" s="289">
        <f t="shared" si="1"/>
        <v>-9471</v>
      </c>
      <c r="Y53" s="228"/>
      <c r="Z53" s="67"/>
      <c r="AA53" s="67"/>
      <c r="AB53" s="67"/>
      <c r="AC53" s="67"/>
      <c r="AD53" s="67"/>
      <c r="AE53" s="229"/>
      <c r="AH53" s="362">
        <v>0</v>
      </c>
      <c r="AI53" s="67"/>
      <c r="AJ53" s="67"/>
      <c r="AK53" s="67"/>
      <c r="AL53" s="229"/>
      <c r="AN53" s="289">
        <f t="shared" si="2"/>
        <v>0</v>
      </c>
    </row>
    <row r="54" spans="1:40" ht="15" customHeight="1">
      <c r="A54" s="200">
        <v>3323</v>
      </c>
      <c r="B54" s="2">
        <v>103427</v>
      </c>
      <c r="C54" s="2" t="s">
        <v>306</v>
      </c>
      <c r="D54" s="2" t="s">
        <v>307</v>
      </c>
      <c r="E54" s="191" t="s">
        <v>32</v>
      </c>
      <c r="F54" s="213" t="str">
        <f>VLOOKUP(A54,'Summary Mar 2026'!A:F,6,FALSE)</f>
        <v>Academy</v>
      </c>
      <c r="H54" s="228">
        <v>3291.75</v>
      </c>
      <c r="I54" s="67">
        <v>0</v>
      </c>
      <c r="J54" s="67">
        <f t="shared" si="0"/>
        <v>3291.75</v>
      </c>
      <c r="M54" s="67"/>
      <c r="N54" s="67"/>
      <c r="O54" s="67">
        <v>-1920.1875</v>
      </c>
      <c r="P54" s="67"/>
      <c r="Q54" s="67"/>
      <c r="R54" s="67"/>
      <c r="S54" s="67"/>
      <c r="T54" s="67"/>
      <c r="U54" s="67"/>
      <c r="W54" s="289">
        <f t="shared" si="1"/>
        <v>-1371.5625</v>
      </c>
      <c r="Y54" s="228"/>
      <c r="Z54" s="67"/>
      <c r="AA54" s="67"/>
      <c r="AB54" s="67"/>
      <c r="AC54" s="67"/>
      <c r="AD54" s="67"/>
      <c r="AE54" s="229"/>
      <c r="AH54" s="362">
        <v>0</v>
      </c>
      <c r="AI54" s="67"/>
      <c r="AJ54" s="67"/>
      <c r="AK54" s="67"/>
      <c r="AL54" s="229"/>
      <c r="AN54" s="289">
        <f t="shared" si="2"/>
        <v>0</v>
      </c>
    </row>
    <row r="55" spans="1:40" ht="15" customHeight="1">
      <c r="A55" s="200">
        <v>7014</v>
      </c>
      <c r="B55" s="2">
        <v>103605</v>
      </c>
      <c r="C55" s="2" t="s">
        <v>312</v>
      </c>
      <c r="D55" s="2" t="s">
        <v>313</v>
      </c>
      <c r="E55" s="191" t="s">
        <v>47</v>
      </c>
      <c r="F55" s="213" t="str">
        <f>VLOOKUP(A55,'Summary Mar 2026'!A:F,6,FALSE)</f>
        <v>Chq Bk</v>
      </c>
      <c r="H55" s="228">
        <v>0</v>
      </c>
      <c r="I55" s="67">
        <v>7209</v>
      </c>
      <c r="J55" s="67">
        <f t="shared" si="0"/>
        <v>7209</v>
      </c>
      <c r="M55" s="67"/>
      <c r="N55" s="67"/>
      <c r="O55" s="67">
        <v>0</v>
      </c>
      <c r="P55" s="67"/>
      <c r="Q55" s="67"/>
      <c r="R55" s="67"/>
      <c r="S55" s="67"/>
      <c r="T55" s="67"/>
      <c r="U55" s="67"/>
      <c r="W55" s="289">
        <f t="shared" si="1"/>
        <v>-7209</v>
      </c>
      <c r="Y55" s="228"/>
      <c r="Z55" s="67"/>
      <c r="AA55" s="67"/>
      <c r="AB55" s="67"/>
      <c r="AC55" s="67"/>
      <c r="AD55" s="67"/>
      <c r="AE55" s="229"/>
      <c r="AH55" s="362">
        <v>0</v>
      </c>
      <c r="AI55" s="67"/>
      <c r="AJ55" s="67"/>
      <c r="AK55" s="67"/>
      <c r="AL55" s="229"/>
      <c r="AN55" s="289">
        <f t="shared" si="2"/>
        <v>0</v>
      </c>
    </row>
    <row r="56" spans="1:40" ht="15" customHeight="1">
      <c r="A56" s="200">
        <v>7009</v>
      </c>
      <c r="B56" s="2">
        <v>103601</v>
      </c>
      <c r="C56" s="2" t="s">
        <v>314</v>
      </c>
      <c r="D56" s="2" t="s">
        <v>315</v>
      </c>
      <c r="E56" s="191" t="s">
        <v>47</v>
      </c>
      <c r="F56" s="213" t="str">
        <f>VLOOKUP(A56,'Summary Mar 2026'!A:F,6,FALSE)</f>
        <v>Chq Bk</v>
      </c>
      <c r="H56" s="228">
        <v>0</v>
      </c>
      <c r="I56" s="67">
        <v>6237</v>
      </c>
      <c r="J56" s="67">
        <f t="shared" si="0"/>
        <v>6237</v>
      </c>
      <c r="M56" s="67"/>
      <c r="N56" s="67"/>
      <c r="O56" s="67">
        <v>0</v>
      </c>
      <c r="P56" s="67"/>
      <c r="Q56" s="67"/>
      <c r="R56" s="67"/>
      <c r="S56" s="67"/>
      <c r="T56" s="67"/>
      <c r="U56" s="67"/>
      <c r="W56" s="289">
        <f t="shared" si="1"/>
        <v>-6237</v>
      </c>
      <c r="Y56" s="228"/>
      <c r="Z56" s="67"/>
      <c r="AA56" s="67"/>
      <c r="AB56" s="67"/>
      <c r="AC56" s="67"/>
      <c r="AD56" s="67"/>
      <c r="AE56" s="229"/>
      <c r="AH56" s="362">
        <v>0</v>
      </c>
      <c r="AI56" s="67"/>
      <c r="AJ56" s="67"/>
      <c r="AK56" s="67"/>
      <c r="AL56" s="229"/>
      <c r="AN56" s="289">
        <f t="shared" si="2"/>
        <v>0</v>
      </c>
    </row>
    <row r="57" spans="1:40" ht="15" customHeight="1">
      <c r="A57" s="200">
        <v>5203</v>
      </c>
      <c r="B57" s="2">
        <v>103544</v>
      </c>
      <c r="C57" s="2" t="s">
        <v>316</v>
      </c>
      <c r="D57" s="2" t="s">
        <v>317</v>
      </c>
      <c r="E57" s="191" t="s">
        <v>32</v>
      </c>
      <c r="F57" s="213" t="str">
        <f>VLOOKUP(A57,'Summary Mar 2026'!A:F,6,FALSE)</f>
        <v>Chq Bk</v>
      </c>
      <c r="H57" s="228">
        <v>5139.75</v>
      </c>
      <c r="I57" s="67">
        <v>0</v>
      </c>
      <c r="J57" s="67">
        <f t="shared" si="0"/>
        <v>5139.75</v>
      </c>
      <c r="M57" s="67"/>
      <c r="N57" s="67"/>
      <c r="O57" s="67">
        <v>0</v>
      </c>
      <c r="P57" s="67"/>
      <c r="Q57" s="67"/>
      <c r="R57" s="67"/>
      <c r="S57" s="67"/>
      <c r="T57" s="67"/>
      <c r="U57" s="67"/>
      <c r="W57" s="289">
        <f t="shared" si="1"/>
        <v>-5139.75</v>
      </c>
      <c r="Y57" s="228"/>
      <c r="Z57" s="67"/>
      <c r="AA57" s="67"/>
      <c r="AB57" s="67"/>
      <c r="AC57" s="67"/>
      <c r="AD57" s="67"/>
      <c r="AE57" s="229"/>
      <c r="AH57" s="362">
        <v>0</v>
      </c>
      <c r="AI57" s="67"/>
      <c r="AJ57" s="67"/>
      <c r="AK57" s="67"/>
      <c r="AL57" s="229"/>
      <c r="AN57" s="289">
        <f t="shared" si="2"/>
        <v>0</v>
      </c>
    </row>
    <row r="58" spans="1:40" ht="15" customHeight="1">
      <c r="A58" s="200">
        <v>5202</v>
      </c>
      <c r="B58" s="2">
        <v>103543</v>
      </c>
      <c r="C58" s="2" t="s">
        <v>318</v>
      </c>
      <c r="D58" s="2" t="s">
        <v>319</v>
      </c>
      <c r="E58" s="191" t="s">
        <v>32</v>
      </c>
      <c r="F58" s="213" t="str">
        <f>VLOOKUP(A58,'Summary Mar 2026'!A:F,6,FALSE)</f>
        <v>Chq Bk</v>
      </c>
      <c r="H58" s="228">
        <v>0</v>
      </c>
      <c r="I58" s="67">
        <v>0</v>
      </c>
      <c r="J58" s="67">
        <f t="shared" si="0"/>
        <v>0</v>
      </c>
      <c r="M58" s="67"/>
      <c r="N58" s="67"/>
      <c r="O58" s="67">
        <v>0</v>
      </c>
      <c r="P58" s="67"/>
      <c r="Q58" s="67"/>
      <c r="R58" s="67"/>
      <c r="S58" s="67"/>
      <c r="T58" s="67"/>
      <c r="U58" s="67"/>
      <c r="W58" s="289">
        <f t="shared" si="1"/>
        <v>0</v>
      </c>
      <c r="Y58" s="228"/>
      <c r="Z58" s="67"/>
      <c r="AA58" s="67"/>
      <c r="AB58" s="67"/>
      <c r="AC58" s="67"/>
      <c r="AD58" s="67"/>
      <c r="AE58" s="229"/>
      <c r="AH58" s="362">
        <v>0</v>
      </c>
      <c r="AI58" s="67"/>
      <c r="AJ58" s="67"/>
      <c r="AK58" s="67"/>
      <c r="AL58" s="229"/>
      <c r="AN58" s="289">
        <f t="shared" si="2"/>
        <v>0</v>
      </c>
    </row>
    <row r="59" spans="1:40" ht="15" customHeight="1">
      <c r="A59" s="200">
        <v>2308</v>
      </c>
      <c r="B59" s="2">
        <v>103328</v>
      </c>
      <c r="C59" s="2" t="s">
        <v>324</v>
      </c>
      <c r="D59" s="2" t="s">
        <v>325</v>
      </c>
      <c r="E59" s="191" t="s">
        <v>32</v>
      </c>
      <c r="F59" s="213" t="str">
        <f>VLOOKUP(A59,'Summary Mar 2026'!A:F,6,FALSE)</f>
        <v>Chq Bk</v>
      </c>
      <c r="H59" s="228">
        <v>9471</v>
      </c>
      <c r="I59" s="67">
        <v>0</v>
      </c>
      <c r="J59" s="67">
        <f t="shared" si="0"/>
        <v>9471</v>
      </c>
      <c r="M59" s="67"/>
      <c r="N59" s="67"/>
      <c r="O59" s="67">
        <v>0</v>
      </c>
      <c r="P59" s="67"/>
      <c r="Q59" s="67"/>
      <c r="R59" s="67"/>
      <c r="S59" s="67"/>
      <c r="T59" s="67"/>
      <c r="U59" s="67"/>
      <c r="W59" s="289">
        <f t="shared" si="1"/>
        <v>-9471</v>
      </c>
      <c r="Y59" s="228"/>
      <c r="Z59" s="67"/>
      <c r="AA59" s="67"/>
      <c r="AB59" s="67"/>
      <c r="AC59" s="67"/>
      <c r="AD59" s="67"/>
      <c r="AE59" s="229"/>
      <c r="AH59" s="362">
        <v>0</v>
      </c>
      <c r="AI59" s="67"/>
      <c r="AJ59" s="67"/>
      <c r="AK59" s="67"/>
      <c r="AL59" s="229"/>
      <c r="AN59" s="289">
        <f t="shared" si="2"/>
        <v>0</v>
      </c>
    </row>
    <row r="60" spans="1:40" ht="15" customHeight="1">
      <c r="A60" s="200">
        <v>2011</v>
      </c>
      <c r="B60" s="2">
        <v>134099</v>
      </c>
      <c r="C60" s="2" t="s">
        <v>330</v>
      </c>
      <c r="D60" s="2" t="s">
        <v>331</v>
      </c>
      <c r="E60" s="191" t="s">
        <v>32</v>
      </c>
      <c r="F60" s="213" t="str">
        <f>VLOOKUP(A60,'Summary Mar 2026'!A:F,6,FALSE)</f>
        <v>Chq Bk</v>
      </c>
      <c r="H60" s="228">
        <v>18745.650000000001</v>
      </c>
      <c r="I60" s="67">
        <v>0</v>
      </c>
      <c r="J60" s="67">
        <f t="shared" si="0"/>
        <v>18745.650000000001</v>
      </c>
      <c r="M60" s="67"/>
      <c r="N60" s="67"/>
      <c r="O60" s="67">
        <v>0</v>
      </c>
      <c r="P60" s="67"/>
      <c r="Q60" s="67"/>
      <c r="R60" s="67"/>
      <c r="S60" s="67"/>
      <c r="T60" s="67"/>
      <c r="U60" s="67"/>
      <c r="W60" s="289">
        <f t="shared" si="1"/>
        <v>-18745.650000000001</v>
      </c>
      <c r="Y60" s="228"/>
      <c r="Z60" s="67"/>
      <c r="AA60" s="67"/>
      <c r="AB60" s="67"/>
      <c r="AC60" s="67"/>
      <c r="AD60" s="67"/>
      <c r="AE60" s="229"/>
      <c r="AH60" s="362">
        <v>-3832.5414000000001</v>
      </c>
      <c r="AI60" s="67"/>
      <c r="AJ60" s="67"/>
      <c r="AK60" s="67"/>
      <c r="AL60" s="229"/>
      <c r="AN60" s="289">
        <f t="shared" si="2"/>
        <v>-3832.5414000000001</v>
      </c>
    </row>
    <row r="61" spans="1:40" ht="15" customHeight="1">
      <c r="A61" s="200">
        <v>4193</v>
      </c>
      <c r="B61" s="2">
        <v>103501</v>
      </c>
      <c r="C61" s="2" t="s">
        <v>332</v>
      </c>
      <c r="D61" s="2" t="s">
        <v>333</v>
      </c>
      <c r="E61" s="191" t="s">
        <v>58</v>
      </c>
      <c r="F61" s="213" t="str">
        <f>VLOOKUP(A61,'Summary Mar 2026'!A:F,6,FALSE)</f>
        <v>Chq Bk</v>
      </c>
      <c r="H61" s="228">
        <v>18745.650000000001</v>
      </c>
      <c r="I61" s="67">
        <v>0</v>
      </c>
      <c r="J61" s="67">
        <f t="shared" si="0"/>
        <v>18745.650000000001</v>
      </c>
      <c r="M61" s="67"/>
      <c r="N61" s="67"/>
      <c r="O61" s="67">
        <v>0</v>
      </c>
      <c r="P61" s="67"/>
      <c r="Q61" s="67"/>
      <c r="R61" s="67"/>
      <c r="S61" s="67"/>
      <c r="T61" s="67"/>
      <c r="U61" s="67"/>
      <c r="W61" s="289">
        <f t="shared" si="1"/>
        <v>-18745.650000000001</v>
      </c>
      <c r="Y61" s="228"/>
      <c r="Z61" s="67">
        <v>1442.64</v>
      </c>
      <c r="AA61" s="67"/>
      <c r="AB61" s="67"/>
      <c r="AC61" s="67"/>
      <c r="AD61" s="67"/>
      <c r="AE61" s="229"/>
      <c r="AH61" s="362">
        <v>-6434.5177999999996</v>
      </c>
      <c r="AI61" s="67"/>
      <c r="AJ61" s="67"/>
      <c r="AK61" s="67"/>
      <c r="AL61" s="229"/>
      <c r="AN61" s="289">
        <f t="shared" si="2"/>
        <v>-6434.5177999999996</v>
      </c>
    </row>
    <row r="62" spans="1:40" ht="15" customHeight="1">
      <c r="A62" s="200">
        <v>2293</v>
      </c>
      <c r="B62" s="2">
        <v>103317</v>
      </c>
      <c r="C62" s="2" t="s">
        <v>336</v>
      </c>
      <c r="D62" s="2" t="s">
        <v>337</v>
      </c>
      <c r="E62" s="191" t="s">
        <v>32</v>
      </c>
      <c r="F62" s="213" t="str">
        <f>VLOOKUP(A62,'Summary Mar 2026'!A:F,6,FALSE)</f>
        <v>Chq Bk</v>
      </c>
      <c r="H62" s="228">
        <v>12566.4</v>
      </c>
      <c r="I62" s="67">
        <v>0</v>
      </c>
      <c r="J62" s="67">
        <f t="shared" si="0"/>
        <v>12566.4</v>
      </c>
      <c r="M62" s="67"/>
      <c r="N62" s="67"/>
      <c r="O62" s="67">
        <v>0</v>
      </c>
      <c r="P62" s="67"/>
      <c r="Q62" s="67"/>
      <c r="R62" s="67"/>
      <c r="S62" s="67"/>
      <c r="T62" s="67"/>
      <c r="U62" s="67"/>
      <c r="W62" s="289">
        <f t="shared" si="1"/>
        <v>-12566.4</v>
      </c>
      <c r="Y62" s="228"/>
      <c r="Z62" s="67"/>
      <c r="AA62" s="67"/>
      <c r="AB62" s="67"/>
      <c r="AC62" s="67"/>
      <c r="AD62" s="67"/>
      <c r="AE62" s="229"/>
      <c r="AH62" s="362">
        <v>0</v>
      </c>
      <c r="AI62" s="67"/>
      <c r="AJ62" s="67"/>
      <c r="AK62" s="67"/>
      <c r="AL62" s="229"/>
      <c r="AN62" s="289">
        <f t="shared" si="2"/>
        <v>0</v>
      </c>
    </row>
    <row r="63" spans="1:40" ht="15" customHeight="1">
      <c r="A63" s="200">
        <v>2225</v>
      </c>
      <c r="B63" s="2">
        <v>103279</v>
      </c>
      <c r="C63" s="2" t="s">
        <v>344</v>
      </c>
      <c r="D63" s="2" t="s">
        <v>345</v>
      </c>
      <c r="E63" s="191" t="s">
        <v>32</v>
      </c>
      <c r="F63" s="213" t="str">
        <f>VLOOKUP(A63,'Summary Mar 2026'!A:F,6,FALSE)</f>
        <v>Chq Bk</v>
      </c>
      <c r="H63" s="228">
        <v>0</v>
      </c>
      <c r="I63" s="67">
        <v>9747</v>
      </c>
      <c r="J63" s="67">
        <f t="shared" si="0"/>
        <v>9747</v>
      </c>
      <c r="M63" s="67"/>
      <c r="N63" s="67"/>
      <c r="O63" s="67">
        <v>0</v>
      </c>
      <c r="P63" s="67"/>
      <c r="Q63" s="67"/>
      <c r="R63" s="67"/>
      <c r="S63" s="67"/>
      <c r="T63" s="67"/>
      <c r="U63" s="67"/>
      <c r="W63" s="289">
        <f t="shared" si="1"/>
        <v>-9747</v>
      </c>
      <c r="Y63" s="228"/>
      <c r="Z63" s="67"/>
      <c r="AA63" s="67"/>
      <c r="AB63" s="67"/>
      <c r="AC63" s="67"/>
      <c r="AD63" s="67"/>
      <c r="AE63" s="229"/>
      <c r="AH63" s="362">
        <v>0</v>
      </c>
      <c r="AI63" s="67"/>
      <c r="AJ63" s="67"/>
      <c r="AK63" s="67"/>
      <c r="AL63" s="229"/>
      <c r="AN63" s="289">
        <f t="shared" si="2"/>
        <v>0</v>
      </c>
    </row>
    <row r="64" spans="1:40" ht="15" customHeight="1">
      <c r="A64" s="200">
        <v>2412</v>
      </c>
      <c r="B64" s="2">
        <v>103349</v>
      </c>
      <c r="C64" s="2" t="s">
        <v>346</v>
      </c>
      <c r="D64" s="2" t="s">
        <v>347</v>
      </c>
      <c r="E64" s="191" t="s">
        <v>32</v>
      </c>
      <c r="F64" s="213" t="str">
        <f>VLOOKUP(A64,'Summary Mar 2026'!A:F,6,FALSE)</f>
        <v>Chq Bk</v>
      </c>
      <c r="H64" s="228">
        <v>9471</v>
      </c>
      <c r="I64" s="67">
        <v>0</v>
      </c>
      <c r="J64" s="67">
        <f t="shared" si="0"/>
        <v>9471</v>
      </c>
      <c r="M64" s="67"/>
      <c r="N64" s="67"/>
      <c r="O64" s="67">
        <v>0</v>
      </c>
      <c r="P64" s="67"/>
      <c r="Q64" s="67"/>
      <c r="R64" s="67"/>
      <c r="S64" s="67"/>
      <c r="T64" s="67"/>
      <c r="U64" s="67"/>
      <c r="W64" s="289">
        <f t="shared" si="1"/>
        <v>-9471</v>
      </c>
      <c r="Y64" s="228"/>
      <c r="Z64" s="67"/>
      <c r="AA64" s="67"/>
      <c r="AB64" s="67"/>
      <c r="AC64" s="67"/>
      <c r="AD64" s="67"/>
      <c r="AE64" s="229"/>
      <c r="AH64" s="362">
        <v>0</v>
      </c>
      <c r="AI64" s="67"/>
      <c r="AJ64" s="67"/>
      <c r="AK64" s="67"/>
      <c r="AL64" s="229"/>
      <c r="AN64" s="289">
        <f t="shared" si="2"/>
        <v>0</v>
      </c>
    </row>
    <row r="65" spans="1:40" ht="15" customHeight="1">
      <c r="A65" s="200">
        <v>2478</v>
      </c>
      <c r="B65" s="2">
        <v>132007</v>
      </c>
      <c r="C65" s="2" t="s">
        <v>334</v>
      </c>
      <c r="D65" s="2" t="s">
        <v>335</v>
      </c>
      <c r="E65" s="191" t="s">
        <v>32</v>
      </c>
      <c r="F65" s="213" t="str">
        <f>VLOOKUP(A65,'Summary Mar 2026'!A:F,6,FALSE)</f>
        <v>Chq Bk</v>
      </c>
      <c r="H65" s="228">
        <v>0</v>
      </c>
      <c r="I65" s="67">
        <v>11934</v>
      </c>
      <c r="J65" s="67">
        <f t="shared" si="0"/>
        <v>11934</v>
      </c>
      <c r="M65" s="67"/>
      <c r="N65" s="67"/>
      <c r="O65" s="67">
        <v>0</v>
      </c>
      <c r="P65" s="67"/>
      <c r="Q65" s="67"/>
      <c r="R65" s="67"/>
      <c r="S65" s="67"/>
      <c r="T65" s="67"/>
      <c r="U65" s="67"/>
      <c r="W65" s="289">
        <f t="shared" si="1"/>
        <v>-11934</v>
      </c>
      <c r="Y65" s="228"/>
      <c r="Z65" s="67"/>
      <c r="AA65" s="67"/>
      <c r="AB65" s="67"/>
      <c r="AC65" s="67"/>
      <c r="AD65" s="67"/>
      <c r="AE65" s="229"/>
      <c r="AH65" s="362">
        <v>0</v>
      </c>
      <c r="AI65" s="67"/>
      <c r="AJ65" s="67"/>
      <c r="AK65" s="67"/>
      <c r="AL65" s="229"/>
      <c r="AN65" s="289">
        <f t="shared" si="2"/>
        <v>0</v>
      </c>
    </row>
    <row r="66" spans="1:40" ht="15" customHeight="1">
      <c r="A66" s="200">
        <v>4063</v>
      </c>
      <c r="B66" s="2">
        <v>103486</v>
      </c>
      <c r="C66" s="2" t="s">
        <v>170</v>
      </c>
      <c r="D66" s="2" t="s">
        <v>1162</v>
      </c>
      <c r="E66" s="191" t="s">
        <v>58</v>
      </c>
      <c r="F66" s="213" t="str">
        <f>VLOOKUP(A66,'Summary Mar 2026'!A:F,6,FALSE)</f>
        <v>Chq Bk</v>
      </c>
      <c r="H66" s="228">
        <v>24312.75</v>
      </c>
      <c r="I66" s="67">
        <v>0</v>
      </c>
      <c r="J66" s="67">
        <f t="shared" si="0"/>
        <v>24312.75</v>
      </c>
      <c r="M66" s="67"/>
      <c r="N66" s="67"/>
      <c r="O66" s="67">
        <v>0</v>
      </c>
      <c r="P66" s="67"/>
      <c r="Q66" s="67"/>
      <c r="R66" s="67"/>
      <c r="S66" s="67"/>
      <c r="T66" s="67"/>
      <c r="U66" s="67"/>
      <c r="W66" s="289">
        <f t="shared" si="1"/>
        <v>-24312.75</v>
      </c>
      <c r="Y66" s="228"/>
      <c r="Z66" s="67"/>
      <c r="AA66" s="67"/>
      <c r="AB66" s="67"/>
      <c r="AC66" s="67"/>
      <c r="AD66" s="67"/>
      <c r="AE66" s="229"/>
      <c r="AH66" s="362">
        <v>0</v>
      </c>
      <c r="AI66" s="67"/>
      <c r="AJ66" s="67"/>
      <c r="AK66" s="67"/>
      <c r="AL66" s="229"/>
      <c r="AN66" s="289">
        <f t="shared" si="2"/>
        <v>0</v>
      </c>
    </row>
    <row r="67" spans="1:40" ht="15" customHeight="1">
      <c r="A67" s="200">
        <v>3375</v>
      </c>
      <c r="B67" s="2">
        <v>103462</v>
      </c>
      <c r="C67" s="2" t="s">
        <v>262</v>
      </c>
      <c r="D67" s="2" t="s">
        <v>263</v>
      </c>
      <c r="E67" s="191" t="s">
        <v>32</v>
      </c>
      <c r="F67" s="213" t="str">
        <f>VLOOKUP(A67,'Summary Mar 2026'!A:F,6,FALSE)</f>
        <v>Chq Bk</v>
      </c>
      <c r="H67" s="228">
        <v>9471</v>
      </c>
      <c r="I67" s="67">
        <v>0</v>
      </c>
      <c r="J67" s="67">
        <f t="shared" si="0"/>
        <v>9471</v>
      </c>
      <c r="M67" s="67"/>
      <c r="N67" s="67"/>
      <c r="O67" s="67">
        <v>0</v>
      </c>
      <c r="P67" s="67"/>
      <c r="Q67" s="67"/>
      <c r="R67" s="67"/>
      <c r="S67" s="67"/>
      <c r="T67" s="67"/>
      <c r="U67" s="67"/>
      <c r="W67" s="289">
        <f t="shared" si="1"/>
        <v>-9471</v>
      </c>
      <c r="Y67" s="228"/>
      <c r="Z67" s="67"/>
      <c r="AA67" s="67"/>
      <c r="AB67" s="67"/>
      <c r="AC67" s="67"/>
      <c r="AD67" s="67"/>
      <c r="AE67" s="229"/>
      <c r="AH67" s="362">
        <v>0</v>
      </c>
      <c r="AI67" s="67"/>
      <c r="AJ67" s="67"/>
      <c r="AK67" s="67"/>
      <c r="AL67" s="229"/>
      <c r="AN67" s="289">
        <f t="shared" si="2"/>
        <v>0</v>
      </c>
    </row>
    <row r="68" spans="1:40" ht="15" customHeight="1">
      <c r="A68" s="200">
        <v>2010</v>
      </c>
      <c r="B68" s="2">
        <v>103159</v>
      </c>
      <c r="C68" s="2" t="s">
        <v>30</v>
      </c>
      <c r="D68" s="2" t="s">
        <v>31</v>
      </c>
      <c r="E68" s="191" t="s">
        <v>32</v>
      </c>
      <c r="F68" s="213" t="str">
        <f>VLOOKUP(A68,'Summary Mar 2026'!A:F,6,FALSE)</f>
        <v>Chq Bk</v>
      </c>
      <c r="H68" s="228">
        <v>0</v>
      </c>
      <c r="I68" s="67">
        <v>11313</v>
      </c>
      <c r="J68" s="67">
        <f t="shared" si="0"/>
        <v>11313</v>
      </c>
      <c r="M68" s="67"/>
      <c r="N68" s="67"/>
      <c r="O68" s="67">
        <v>0</v>
      </c>
      <c r="P68" s="67"/>
      <c r="Q68" s="67"/>
      <c r="R68" s="67"/>
      <c r="S68" s="67"/>
      <c r="T68" s="67"/>
      <c r="U68" s="67"/>
      <c r="W68" s="289">
        <f t="shared" si="1"/>
        <v>-11313</v>
      </c>
      <c r="Y68" s="228"/>
      <c r="Z68" s="67"/>
      <c r="AA68" s="67"/>
      <c r="AB68" s="67"/>
      <c r="AC68" s="67"/>
      <c r="AD68" s="67"/>
      <c r="AE68" s="229"/>
      <c r="AH68" s="362">
        <v>0</v>
      </c>
      <c r="AI68" s="67"/>
      <c r="AJ68" s="67"/>
      <c r="AK68" s="67"/>
      <c r="AL68" s="229"/>
      <c r="AN68" s="289">
        <f t="shared" si="2"/>
        <v>0</v>
      </c>
    </row>
    <row r="69" spans="1:40" ht="15" customHeight="1">
      <c r="A69" s="200">
        <v>2178</v>
      </c>
      <c r="B69" s="2">
        <v>103257</v>
      </c>
      <c r="C69" s="2" t="s">
        <v>298</v>
      </c>
      <c r="D69" s="2" t="s">
        <v>299</v>
      </c>
      <c r="E69" s="191" t="s">
        <v>32</v>
      </c>
      <c r="F69" s="213" t="str">
        <f>VLOOKUP(A69,'Summary Mar 2026'!A:F,6,FALSE)</f>
        <v>Chq Bk</v>
      </c>
      <c r="H69" s="228">
        <v>5139.75</v>
      </c>
      <c r="I69" s="67">
        <v>0</v>
      </c>
      <c r="J69" s="67">
        <f t="shared" si="0"/>
        <v>5139.75</v>
      </c>
      <c r="M69" s="67"/>
      <c r="N69" s="67"/>
      <c r="O69" s="67">
        <v>0</v>
      </c>
      <c r="P69" s="67"/>
      <c r="Q69" s="67"/>
      <c r="R69" s="67"/>
      <c r="S69" s="67"/>
      <c r="T69" s="67"/>
      <c r="U69" s="67"/>
      <c r="W69" s="289">
        <f t="shared" si="1"/>
        <v>-5139.75</v>
      </c>
      <c r="Y69" s="228"/>
      <c r="Z69" s="67"/>
      <c r="AA69" s="67"/>
      <c r="AB69" s="67"/>
      <c r="AC69" s="67"/>
      <c r="AD69" s="67"/>
      <c r="AE69" s="229"/>
      <c r="AH69" s="362">
        <v>0</v>
      </c>
      <c r="AI69" s="67"/>
      <c r="AJ69" s="67"/>
      <c r="AK69" s="67"/>
      <c r="AL69" s="229"/>
      <c r="AN69" s="289">
        <f t="shared" si="2"/>
        <v>0</v>
      </c>
    </row>
    <row r="70" spans="1:40" ht="15" customHeight="1">
      <c r="A70" s="200">
        <v>1021</v>
      </c>
      <c r="B70" s="2">
        <v>103134</v>
      </c>
      <c r="C70" s="2" t="s">
        <v>154</v>
      </c>
      <c r="D70" s="2" t="s">
        <v>155</v>
      </c>
      <c r="E70" s="191" t="s">
        <v>29</v>
      </c>
      <c r="F70" s="213" t="str">
        <f>VLOOKUP(A70,'Summary Mar 2026'!A:F,6,FALSE)</f>
        <v>Chq Bk</v>
      </c>
      <c r="H70" s="228">
        <v>3291.75</v>
      </c>
      <c r="I70" s="67">
        <v>0</v>
      </c>
      <c r="J70" s="67">
        <f t="shared" si="0"/>
        <v>3291.75</v>
      </c>
      <c r="M70" s="67"/>
      <c r="N70" s="67"/>
      <c r="O70" s="67">
        <v>0</v>
      </c>
      <c r="P70" s="67"/>
      <c r="Q70" s="67"/>
      <c r="R70" s="67"/>
      <c r="S70" s="67"/>
      <c r="T70" s="67"/>
      <c r="U70" s="67"/>
      <c r="W70" s="289">
        <f t="shared" si="1"/>
        <v>-3291.75</v>
      </c>
      <c r="Y70" s="228"/>
      <c r="Z70" s="67"/>
      <c r="AA70" s="67"/>
      <c r="AB70" s="67"/>
      <c r="AC70" s="67"/>
      <c r="AD70" s="67"/>
      <c r="AE70" s="229"/>
      <c r="AH70" s="362">
        <v>0</v>
      </c>
      <c r="AI70" s="67"/>
      <c r="AJ70" s="67"/>
      <c r="AK70" s="67"/>
      <c r="AL70" s="229"/>
      <c r="AN70" s="289">
        <f t="shared" si="2"/>
        <v>0</v>
      </c>
    </row>
    <row r="71" spans="1:40" ht="15" customHeight="1">
      <c r="A71" s="200">
        <v>1027</v>
      </c>
      <c r="B71" s="2">
        <v>103140</v>
      </c>
      <c r="C71" s="2" t="s">
        <v>27</v>
      </c>
      <c r="D71" s="2" t="s">
        <v>28</v>
      </c>
      <c r="E71" s="191" t="s">
        <v>29</v>
      </c>
      <c r="F71" s="213" t="str">
        <f>VLOOKUP(A71,'Summary Mar 2026'!A:F,6,FALSE)</f>
        <v>Chq Bk</v>
      </c>
      <c r="H71" s="228">
        <v>3291.75</v>
      </c>
      <c r="I71" s="67">
        <v>0</v>
      </c>
      <c r="J71" s="67">
        <f t="shared" ref="J71:J131" si="3">H71+I71</f>
        <v>3291.75</v>
      </c>
      <c r="M71" s="67"/>
      <c r="N71" s="67"/>
      <c r="O71" s="67">
        <v>0</v>
      </c>
      <c r="P71" s="67"/>
      <c r="Q71" s="67"/>
      <c r="R71" s="67"/>
      <c r="S71" s="67"/>
      <c r="T71" s="67"/>
      <c r="U71" s="67"/>
      <c r="W71" s="289">
        <f t="shared" si="1"/>
        <v>-3291.75</v>
      </c>
      <c r="Y71" s="228"/>
      <c r="Z71" s="67"/>
      <c r="AA71" s="67"/>
      <c r="AB71" s="67"/>
      <c r="AC71" s="67"/>
      <c r="AD71" s="67"/>
      <c r="AE71" s="229"/>
      <c r="AH71" s="362">
        <v>0</v>
      </c>
      <c r="AI71" s="67"/>
      <c r="AJ71" s="67"/>
      <c r="AK71" s="67"/>
      <c r="AL71" s="229"/>
      <c r="AN71" s="289">
        <f t="shared" si="2"/>
        <v>0</v>
      </c>
    </row>
    <row r="72" spans="1:40" ht="15" customHeight="1">
      <c r="A72" s="200">
        <v>1802</v>
      </c>
      <c r="B72" s="2">
        <v>103150</v>
      </c>
      <c r="C72" s="2" t="s">
        <v>376</v>
      </c>
      <c r="D72" s="2" t="s">
        <v>377</v>
      </c>
      <c r="E72" s="191" t="s">
        <v>29</v>
      </c>
      <c r="F72" s="213" t="str">
        <f>VLOOKUP(A72,'Summary Mar 2026'!A:F,6,FALSE)</f>
        <v>Chq Bk</v>
      </c>
      <c r="H72" s="228">
        <v>3291.75</v>
      </c>
      <c r="I72" s="67">
        <v>0</v>
      </c>
      <c r="J72" s="67">
        <f t="shared" si="3"/>
        <v>3291.75</v>
      </c>
      <c r="M72" s="67"/>
      <c r="N72" s="67"/>
      <c r="O72" s="67">
        <v>0</v>
      </c>
      <c r="P72" s="67"/>
      <c r="Q72" s="67"/>
      <c r="R72" s="67"/>
      <c r="S72" s="67"/>
      <c r="T72" s="67"/>
      <c r="U72" s="67"/>
      <c r="W72" s="289">
        <f t="shared" ref="W72:W135" si="4">-SUMIFS($H72:$P72,$H$3:$P$3,W$6)</f>
        <v>-3291.75</v>
      </c>
      <c r="Y72" s="228"/>
      <c r="Z72" s="67"/>
      <c r="AA72" s="67"/>
      <c r="AB72" s="67"/>
      <c r="AC72" s="67"/>
      <c r="AD72" s="67"/>
      <c r="AE72" s="229"/>
      <c r="AH72" s="362">
        <v>0</v>
      </c>
      <c r="AI72" s="67"/>
      <c r="AJ72" s="67"/>
      <c r="AK72" s="67"/>
      <c r="AL72" s="229"/>
      <c r="AN72" s="289">
        <f t="shared" ref="AN72:AN135" si="5">SUMIFS($AH72:$AL72,$AH$3:$AL$3,$AN$6)</f>
        <v>0</v>
      </c>
    </row>
    <row r="73" spans="1:40" ht="15" customHeight="1">
      <c r="A73" s="200">
        <v>5949</v>
      </c>
      <c r="B73" s="2">
        <v>131465</v>
      </c>
      <c r="C73" s="2" t="s">
        <v>33</v>
      </c>
      <c r="D73" s="2" t="s">
        <v>34</v>
      </c>
      <c r="E73" s="191" t="s">
        <v>32</v>
      </c>
      <c r="F73" s="213" t="str">
        <f>VLOOKUP(A73,'Summary Mar 2026'!A:F,6,FALSE)</f>
        <v>Chq Bk</v>
      </c>
      <c r="H73" s="228">
        <v>18745.650000000001</v>
      </c>
      <c r="I73" s="67">
        <v>0</v>
      </c>
      <c r="J73" s="67">
        <f t="shared" si="3"/>
        <v>18745.650000000001</v>
      </c>
      <c r="M73" s="67"/>
      <c r="N73" s="67"/>
      <c r="O73" s="67">
        <v>0</v>
      </c>
      <c r="P73" s="67"/>
      <c r="Q73" s="67"/>
      <c r="R73" s="67"/>
      <c r="S73" s="67"/>
      <c r="T73" s="67"/>
      <c r="U73" s="67"/>
      <c r="W73" s="289">
        <f t="shared" si="4"/>
        <v>-18745.650000000001</v>
      </c>
      <c r="Y73" s="228"/>
      <c r="Z73" s="67"/>
      <c r="AA73" s="67"/>
      <c r="AB73" s="67"/>
      <c r="AC73" s="67"/>
      <c r="AD73" s="67"/>
      <c r="AE73" s="229"/>
      <c r="AH73" s="362">
        <v>0</v>
      </c>
      <c r="AI73" s="67"/>
      <c r="AJ73" s="67"/>
      <c r="AK73" s="67"/>
      <c r="AL73" s="229"/>
      <c r="AN73" s="289">
        <f t="shared" si="5"/>
        <v>0</v>
      </c>
    </row>
    <row r="74" spans="1:40" ht="15" customHeight="1">
      <c r="A74" s="200">
        <v>2062</v>
      </c>
      <c r="B74" s="2">
        <v>103192</v>
      </c>
      <c r="C74" s="2" t="s">
        <v>39</v>
      </c>
      <c r="D74" s="2" t="s">
        <v>40</v>
      </c>
      <c r="E74" s="191" t="s">
        <v>32</v>
      </c>
      <c r="F74" s="213" t="str">
        <f>VLOOKUP(A74,'Summary Mar 2026'!A:F,6,FALSE)</f>
        <v>Chq Bk</v>
      </c>
      <c r="H74" s="228">
        <v>9471</v>
      </c>
      <c r="I74" s="67">
        <v>0</v>
      </c>
      <c r="J74" s="67">
        <f t="shared" si="3"/>
        <v>9471</v>
      </c>
      <c r="M74" s="67"/>
      <c r="N74" s="67"/>
      <c r="O74" s="67">
        <v>0</v>
      </c>
      <c r="P74" s="67"/>
      <c r="Q74" s="67"/>
      <c r="R74" s="67"/>
      <c r="S74" s="67"/>
      <c r="T74" s="67"/>
      <c r="U74" s="67"/>
      <c r="W74" s="289">
        <f t="shared" si="4"/>
        <v>-9471</v>
      </c>
      <c r="Y74" s="228"/>
      <c r="Z74" s="67"/>
      <c r="AA74" s="67"/>
      <c r="AB74" s="67"/>
      <c r="AC74" s="67"/>
      <c r="AD74" s="67"/>
      <c r="AE74" s="229"/>
      <c r="AH74" s="362">
        <v>0</v>
      </c>
      <c r="AI74" s="67"/>
      <c r="AJ74" s="67"/>
      <c r="AK74" s="67"/>
      <c r="AL74" s="229"/>
      <c r="AN74" s="289">
        <f t="shared" si="5"/>
        <v>0</v>
      </c>
    </row>
    <row r="75" spans="1:40" ht="15" customHeight="1">
      <c r="A75" s="200">
        <v>2014</v>
      </c>
      <c r="B75" s="2">
        <v>103162</v>
      </c>
      <c r="C75" s="2" t="s">
        <v>368</v>
      </c>
      <c r="D75" s="2" t="s">
        <v>369</v>
      </c>
      <c r="E75" s="191" t="s">
        <v>32</v>
      </c>
      <c r="F75" s="213" t="str">
        <f>VLOOKUP(A75,'Summary Mar 2026'!A:F,6,FALSE)</f>
        <v>Chq Bk</v>
      </c>
      <c r="H75" s="811"/>
      <c r="I75" s="67">
        <v>11070</v>
      </c>
      <c r="J75" s="67">
        <f t="shared" si="3"/>
        <v>11070</v>
      </c>
      <c r="M75" s="67"/>
      <c r="N75" s="67"/>
      <c r="O75" s="67">
        <v>0</v>
      </c>
      <c r="P75" s="67"/>
      <c r="Q75" s="67"/>
      <c r="R75" s="67"/>
      <c r="S75" s="67"/>
      <c r="T75" s="67"/>
      <c r="U75" s="67"/>
      <c r="W75" s="289">
        <f t="shared" si="4"/>
        <v>-11070</v>
      </c>
      <c r="Y75" s="228"/>
      <c r="Z75" s="67"/>
      <c r="AA75" s="67"/>
      <c r="AB75" s="67"/>
      <c r="AC75" s="67"/>
      <c r="AD75" s="67"/>
      <c r="AE75" s="229"/>
      <c r="AH75" s="362">
        <v>0</v>
      </c>
      <c r="AI75" s="67"/>
      <c r="AJ75" s="67"/>
      <c r="AK75" s="67"/>
      <c r="AL75" s="229"/>
      <c r="AN75" s="289">
        <f t="shared" si="5"/>
        <v>0</v>
      </c>
    </row>
    <row r="76" spans="1:40" ht="15" customHeight="1">
      <c r="A76" s="200">
        <v>7052</v>
      </c>
      <c r="B76" s="2">
        <v>103627</v>
      </c>
      <c r="C76" s="2" t="s">
        <v>370</v>
      </c>
      <c r="D76" s="2" t="s">
        <v>371</v>
      </c>
      <c r="E76" s="191" t="s">
        <v>47</v>
      </c>
      <c r="F76" s="213" t="str">
        <f>VLOOKUP(A76,'Summary Mar 2026'!A:F,6,FALSE)</f>
        <v>Chq Bk</v>
      </c>
      <c r="H76" s="228">
        <v>3291.75</v>
      </c>
      <c r="I76" s="67">
        <v>0</v>
      </c>
      <c r="J76" s="67">
        <f t="shared" si="3"/>
        <v>3291.75</v>
      </c>
      <c r="M76" s="67"/>
      <c r="N76" s="67"/>
      <c r="O76" s="67">
        <v>0</v>
      </c>
      <c r="P76" s="67"/>
      <c r="Q76" s="67"/>
      <c r="R76" s="67"/>
      <c r="S76" s="67"/>
      <c r="T76" s="67"/>
      <c r="U76" s="67"/>
      <c r="W76" s="289">
        <f t="shared" si="4"/>
        <v>-3291.75</v>
      </c>
      <c r="Y76" s="228"/>
      <c r="Z76" s="67"/>
      <c r="AA76" s="67"/>
      <c r="AB76" s="67"/>
      <c r="AC76" s="67"/>
      <c r="AD76" s="67"/>
      <c r="AE76" s="229"/>
      <c r="AH76" s="362">
        <v>0</v>
      </c>
      <c r="AI76" s="67"/>
      <c r="AJ76" s="67"/>
      <c r="AK76" s="67"/>
      <c r="AL76" s="229"/>
      <c r="AN76" s="289">
        <f t="shared" si="5"/>
        <v>0</v>
      </c>
    </row>
    <row r="77" spans="1:40" ht="15" customHeight="1">
      <c r="A77" s="200">
        <v>2017</v>
      </c>
      <c r="B77" s="2">
        <v>103164</v>
      </c>
      <c r="C77" s="2" t="s">
        <v>48</v>
      </c>
      <c r="D77" s="2" t="s">
        <v>49</v>
      </c>
      <c r="E77" s="191" t="s">
        <v>32</v>
      </c>
      <c r="F77" s="213" t="str">
        <f>VLOOKUP(A77,'Summary Mar 2026'!A:F,6,FALSE)</f>
        <v>Chq Bk</v>
      </c>
      <c r="H77" s="228">
        <v>5139.75</v>
      </c>
      <c r="I77" s="67">
        <v>0</v>
      </c>
      <c r="J77" s="67">
        <f t="shared" si="3"/>
        <v>5139.75</v>
      </c>
      <c r="M77" s="67"/>
      <c r="N77" s="67"/>
      <c r="O77" s="67">
        <v>0</v>
      </c>
      <c r="P77" s="67"/>
      <c r="Q77" s="67"/>
      <c r="R77" s="67"/>
      <c r="S77" s="67"/>
      <c r="T77" s="67"/>
      <c r="U77" s="67"/>
      <c r="W77" s="289">
        <f t="shared" si="4"/>
        <v>-5139.75</v>
      </c>
      <c r="Y77" s="228"/>
      <c r="Z77" s="67"/>
      <c r="AA77" s="67"/>
      <c r="AB77" s="67"/>
      <c r="AC77" s="67"/>
      <c r="AD77" s="67"/>
      <c r="AE77" s="229"/>
      <c r="AH77" s="362">
        <v>0</v>
      </c>
      <c r="AI77" s="67"/>
      <c r="AJ77" s="67"/>
      <c r="AK77" s="67"/>
      <c r="AL77" s="229"/>
      <c r="AN77" s="289">
        <f t="shared" si="5"/>
        <v>0</v>
      </c>
    </row>
    <row r="78" spans="1:40" ht="15" customHeight="1">
      <c r="A78" s="200">
        <v>2016</v>
      </c>
      <c r="B78" s="2">
        <v>103163</v>
      </c>
      <c r="C78" s="2" t="s">
        <v>50</v>
      </c>
      <c r="D78" s="2" t="s">
        <v>51</v>
      </c>
      <c r="E78" s="191" t="s">
        <v>32</v>
      </c>
      <c r="F78" s="213" t="str">
        <f>VLOOKUP(A78,'Summary Mar 2026'!A:F,6,FALSE)</f>
        <v>Chq Bk</v>
      </c>
      <c r="H78" s="228">
        <v>9471</v>
      </c>
      <c r="I78" s="67">
        <v>0</v>
      </c>
      <c r="J78" s="67">
        <f t="shared" si="3"/>
        <v>9471</v>
      </c>
      <c r="M78" s="67"/>
      <c r="N78" s="67"/>
      <c r="O78" s="67">
        <v>0</v>
      </c>
      <c r="P78" s="67"/>
      <c r="Q78" s="67"/>
      <c r="R78" s="67"/>
      <c r="S78" s="67"/>
      <c r="T78" s="67"/>
      <c r="U78" s="67"/>
      <c r="W78" s="289">
        <f t="shared" si="4"/>
        <v>-9471</v>
      </c>
      <c r="Y78" s="228"/>
      <c r="Z78" s="67"/>
      <c r="AA78" s="67"/>
      <c r="AB78" s="67"/>
      <c r="AC78" s="67"/>
      <c r="AD78" s="67"/>
      <c r="AE78" s="229"/>
      <c r="AH78" s="362">
        <v>0</v>
      </c>
      <c r="AI78" s="67"/>
      <c r="AJ78" s="67"/>
      <c r="AK78" s="67"/>
      <c r="AL78" s="229"/>
      <c r="AN78" s="289">
        <f t="shared" si="5"/>
        <v>0</v>
      </c>
    </row>
    <row r="79" spans="1:40" ht="15" customHeight="1">
      <c r="A79" s="200">
        <v>2241</v>
      </c>
      <c r="B79" s="2">
        <v>103291</v>
      </c>
      <c r="C79" s="2" t="s">
        <v>54</v>
      </c>
      <c r="D79" s="2" t="s">
        <v>55</v>
      </c>
      <c r="E79" s="191" t="s">
        <v>32</v>
      </c>
      <c r="F79" s="213" t="str">
        <f>VLOOKUP(A79,'Summary Mar 2026'!A:F,6,FALSE)</f>
        <v>Chq Bk</v>
      </c>
      <c r="H79" s="228">
        <v>5139.75</v>
      </c>
      <c r="I79" s="67">
        <v>0</v>
      </c>
      <c r="J79" s="67">
        <f t="shared" si="3"/>
        <v>5139.75</v>
      </c>
      <c r="M79" s="67"/>
      <c r="N79" s="67"/>
      <c r="O79" s="67">
        <v>0</v>
      </c>
      <c r="P79" s="67"/>
      <c r="Q79" s="67"/>
      <c r="R79" s="67"/>
      <c r="S79" s="67"/>
      <c r="T79" s="67"/>
      <c r="U79" s="67"/>
      <c r="W79" s="289">
        <f t="shared" si="4"/>
        <v>-5139.75</v>
      </c>
      <c r="Y79" s="228"/>
      <c r="Z79" s="67"/>
      <c r="AA79" s="67"/>
      <c r="AB79" s="67"/>
      <c r="AC79" s="67"/>
      <c r="AD79" s="67"/>
      <c r="AE79" s="229"/>
      <c r="AH79" s="362">
        <v>0</v>
      </c>
      <c r="AI79" s="67"/>
      <c r="AJ79" s="67"/>
      <c r="AK79" s="67"/>
      <c r="AL79" s="229"/>
      <c r="AN79" s="289">
        <f t="shared" si="5"/>
        <v>0</v>
      </c>
    </row>
    <row r="80" spans="1:40" ht="15" customHeight="1">
      <c r="A80" s="200">
        <v>2456</v>
      </c>
      <c r="B80" s="2">
        <v>103383</v>
      </c>
      <c r="C80" s="2" t="s">
        <v>372</v>
      </c>
      <c r="D80" s="2" t="s">
        <v>373</v>
      </c>
      <c r="E80" s="191" t="s">
        <v>32</v>
      </c>
      <c r="F80" s="213" t="str">
        <f>VLOOKUP(A80,'Summary Mar 2026'!A:F,6,FALSE)</f>
        <v>Chq Bk</v>
      </c>
      <c r="H80" s="811"/>
      <c r="I80" s="67">
        <v>5427</v>
      </c>
      <c r="J80" s="67">
        <f t="shared" si="3"/>
        <v>5427</v>
      </c>
      <c r="M80" s="67"/>
      <c r="N80" s="67"/>
      <c r="O80" s="67">
        <v>0</v>
      </c>
      <c r="P80" s="67"/>
      <c r="Q80" s="67"/>
      <c r="R80" s="67"/>
      <c r="S80" s="67"/>
      <c r="T80" s="67"/>
      <c r="U80" s="67"/>
      <c r="W80" s="289">
        <f t="shared" si="4"/>
        <v>-5427</v>
      </c>
      <c r="Y80" s="228"/>
      <c r="Z80" s="67"/>
      <c r="AA80" s="67"/>
      <c r="AB80" s="67"/>
      <c r="AC80" s="67"/>
      <c r="AD80" s="67"/>
      <c r="AE80" s="229"/>
      <c r="AH80" s="362">
        <v>-4083.5414000000001</v>
      </c>
      <c r="AI80" s="67"/>
      <c r="AJ80" s="67"/>
      <c r="AK80" s="67"/>
      <c r="AL80" s="229"/>
      <c r="AN80" s="289">
        <f t="shared" si="5"/>
        <v>-4083.5414000000001</v>
      </c>
    </row>
    <row r="81" spans="1:40" ht="15" customHeight="1">
      <c r="A81" s="200">
        <v>2254</v>
      </c>
      <c r="B81" s="2">
        <v>103300</v>
      </c>
      <c r="C81" s="2" t="s">
        <v>374</v>
      </c>
      <c r="D81" s="2" t="s">
        <v>375</v>
      </c>
      <c r="E81" s="191" t="s">
        <v>32</v>
      </c>
      <c r="F81" s="213" t="str">
        <f>VLOOKUP(A81,'Summary Mar 2026'!A:F,6,FALSE)</f>
        <v>Chq Bk</v>
      </c>
      <c r="H81" s="228">
        <v>12566.4</v>
      </c>
      <c r="I81" s="67">
        <v>0</v>
      </c>
      <c r="J81" s="67">
        <f t="shared" si="3"/>
        <v>12566.4</v>
      </c>
      <c r="M81" s="67"/>
      <c r="N81" s="67"/>
      <c r="O81" s="67">
        <v>0</v>
      </c>
      <c r="P81" s="67"/>
      <c r="Q81" s="67"/>
      <c r="R81" s="67"/>
      <c r="S81" s="67"/>
      <c r="T81" s="67"/>
      <c r="U81" s="67"/>
      <c r="W81" s="289">
        <f t="shared" si="4"/>
        <v>-12566.4</v>
      </c>
      <c r="Y81" s="228"/>
      <c r="Z81" s="67"/>
      <c r="AA81" s="67"/>
      <c r="AB81" s="67"/>
      <c r="AC81" s="67"/>
      <c r="AD81" s="67"/>
      <c r="AE81" s="229"/>
      <c r="AH81" s="362">
        <v>-9804.0828000000001</v>
      </c>
      <c r="AI81" s="67"/>
      <c r="AJ81" s="67"/>
      <c r="AK81" s="67"/>
      <c r="AL81" s="229"/>
      <c r="AN81" s="289">
        <f t="shared" si="5"/>
        <v>-9804.0828000000001</v>
      </c>
    </row>
    <row r="82" spans="1:40" ht="15" customHeight="1">
      <c r="A82" s="200">
        <v>1025</v>
      </c>
      <c r="B82" s="2">
        <v>103138</v>
      </c>
      <c r="C82" s="2" t="s">
        <v>59</v>
      </c>
      <c r="D82" s="2" t="s">
        <v>60</v>
      </c>
      <c r="E82" s="191" t="s">
        <v>29</v>
      </c>
      <c r="F82" s="213" t="str">
        <f>VLOOKUP(A82,'Summary Mar 2026'!A:F,6,FALSE)</f>
        <v>Chq Bk</v>
      </c>
      <c r="H82" s="228">
        <v>3291.75</v>
      </c>
      <c r="I82" s="67">
        <v>0</v>
      </c>
      <c r="J82" s="67">
        <f t="shared" si="3"/>
        <v>3291.75</v>
      </c>
      <c r="M82" s="67"/>
      <c r="N82" s="67"/>
      <c r="O82" s="67">
        <v>0</v>
      </c>
      <c r="P82" s="67"/>
      <c r="Q82" s="67"/>
      <c r="R82" s="67"/>
      <c r="S82" s="67"/>
      <c r="T82" s="67"/>
      <c r="U82" s="67"/>
      <c r="W82" s="289">
        <f t="shared" si="4"/>
        <v>-3291.75</v>
      </c>
      <c r="Y82" s="228"/>
      <c r="Z82" s="67"/>
      <c r="AA82" s="67"/>
      <c r="AB82" s="67"/>
      <c r="AC82" s="67"/>
      <c r="AD82" s="67"/>
      <c r="AE82" s="229"/>
      <c r="AH82" s="362">
        <v>0</v>
      </c>
      <c r="AI82" s="67"/>
      <c r="AJ82" s="67"/>
      <c r="AK82" s="67"/>
      <c r="AL82" s="229"/>
      <c r="AN82" s="289">
        <f t="shared" si="5"/>
        <v>0</v>
      </c>
    </row>
    <row r="83" spans="1:40" ht="15" customHeight="1">
      <c r="A83" s="200">
        <v>3353</v>
      </c>
      <c r="B83" s="2">
        <v>103445</v>
      </c>
      <c r="C83" s="2" t="s">
        <v>69</v>
      </c>
      <c r="D83" s="2" t="s">
        <v>70</v>
      </c>
      <c r="E83" s="191" t="s">
        <v>32</v>
      </c>
      <c r="F83" s="213" t="str">
        <f>VLOOKUP(A83,'Summary Mar 2026'!A:F,6,FALSE)</f>
        <v>Chq Bk</v>
      </c>
      <c r="H83" s="228">
        <v>18745.650000000001</v>
      </c>
      <c r="I83" s="67">
        <v>0</v>
      </c>
      <c r="J83" s="67">
        <f t="shared" si="3"/>
        <v>18745.650000000001</v>
      </c>
      <c r="M83" s="67"/>
      <c r="N83" s="67"/>
      <c r="O83" s="67">
        <v>0</v>
      </c>
      <c r="P83" s="67"/>
      <c r="Q83" s="67"/>
      <c r="R83" s="67"/>
      <c r="S83" s="67"/>
      <c r="T83" s="67"/>
      <c r="U83" s="67"/>
      <c r="W83" s="289">
        <f t="shared" si="4"/>
        <v>-18745.650000000001</v>
      </c>
      <c r="Y83" s="228"/>
      <c r="Z83" s="67"/>
      <c r="AA83" s="67"/>
      <c r="AB83" s="67"/>
      <c r="AC83" s="67"/>
      <c r="AD83" s="67"/>
      <c r="AE83" s="229"/>
      <c r="AH83" s="362">
        <v>-4209.5414000000001</v>
      </c>
      <c r="AI83" s="67"/>
      <c r="AJ83" s="67"/>
      <c r="AK83" s="67"/>
      <c r="AL83" s="229"/>
      <c r="AN83" s="289">
        <f t="shared" si="5"/>
        <v>-4209.5414000000001</v>
      </c>
    </row>
    <row r="84" spans="1:40" ht="15" customHeight="1">
      <c r="A84" s="200">
        <v>1002</v>
      </c>
      <c r="B84" s="2">
        <v>103121</v>
      </c>
      <c r="C84" s="2" t="s">
        <v>73</v>
      </c>
      <c r="D84" s="2" t="s">
        <v>74</v>
      </c>
      <c r="E84" s="191" t="s">
        <v>29</v>
      </c>
      <c r="F84" s="213" t="str">
        <f>VLOOKUP(A84,'Summary Mar 2026'!A:F,6,FALSE)</f>
        <v>Chq Bk</v>
      </c>
      <c r="H84" s="228">
        <v>3291.75</v>
      </c>
      <c r="I84" s="67">
        <v>0</v>
      </c>
      <c r="J84" s="67">
        <f t="shared" si="3"/>
        <v>3291.75</v>
      </c>
      <c r="M84" s="67"/>
      <c r="N84" s="67"/>
      <c r="O84" s="67">
        <v>0</v>
      </c>
      <c r="P84" s="67"/>
      <c r="Q84" s="67"/>
      <c r="R84" s="67"/>
      <c r="S84" s="67"/>
      <c r="T84" s="67"/>
      <c r="U84" s="67"/>
      <c r="W84" s="289">
        <f t="shared" si="4"/>
        <v>-3291.75</v>
      </c>
      <c r="Y84" s="228"/>
      <c r="Z84" s="67"/>
      <c r="AA84" s="67"/>
      <c r="AB84" s="67"/>
      <c r="AC84" s="67"/>
      <c r="AD84" s="67"/>
      <c r="AE84" s="229"/>
      <c r="AH84" s="362">
        <v>0</v>
      </c>
      <c r="AI84" s="67"/>
      <c r="AJ84" s="67"/>
      <c r="AK84" s="67"/>
      <c r="AL84" s="229"/>
      <c r="AN84" s="289">
        <f t="shared" si="5"/>
        <v>0</v>
      </c>
    </row>
    <row r="85" spans="1:40" ht="15" customHeight="1">
      <c r="A85" s="200">
        <v>1048</v>
      </c>
      <c r="B85" s="2">
        <v>103144</v>
      </c>
      <c r="C85" s="2" t="s">
        <v>83</v>
      </c>
      <c r="D85" s="2" t="s">
        <v>84</v>
      </c>
      <c r="E85" s="191" t="s">
        <v>29</v>
      </c>
      <c r="F85" s="213" t="str">
        <f>VLOOKUP(A85,'Summary Mar 2026'!A:F,6,FALSE)</f>
        <v>Chq Bk</v>
      </c>
      <c r="H85" s="228">
        <v>3291.75</v>
      </c>
      <c r="I85" s="67">
        <v>0</v>
      </c>
      <c r="J85" s="67">
        <f t="shared" si="3"/>
        <v>3291.75</v>
      </c>
      <c r="M85" s="67"/>
      <c r="N85" s="67"/>
      <c r="O85" s="67">
        <v>0</v>
      </c>
      <c r="P85" s="67"/>
      <c r="Q85" s="67"/>
      <c r="R85" s="67"/>
      <c r="S85" s="67"/>
      <c r="T85" s="67"/>
      <c r="U85" s="67"/>
      <c r="W85" s="289">
        <f t="shared" si="4"/>
        <v>-3291.75</v>
      </c>
      <c r="Y85" s="228"/>
      <c r="Z85" s="67"/>
      <c r="AA85" s="67"/>
      <c r="AB85" s="67"/>
      <c r="AC85" s="67"/>
      <c r="AD85" s="67"/>
      <c r="AE85" s="229"/>
      <c r="AH85" s="362">
        <v>0</v>
      </c>
      <c r="AI85" s="67"/>
      <c r="AJ85" s="67"/>
      <c r="AK85" s="67"/>
      <c r="AL85" s="229"/>
      <c r="AN85" s="289">
        <f t="shared" si="5"/>
        <v>0</v>
      </c>
    </row>
    <row r="86" spans="1:40" ht="15" customHeight="1">
      <c r="A86" s="200">
        <v>2289</v>
      </c>
      <c r="B86" s="2">
        <v>103315</v>
      </c>
      <c r="C86" s="2" t="s">
        <v>102</v>
      </c>
      <c r="D86" s="2" t="s">
        <v>103</v>
      </c>
      <c r="E86" s="191" t="s">
        <v>32</v>
      </c>
      <c r="F86" s="213" t="str">
        <f>VLOOKUP(A86,'Summary Mar 2026'!A:F,6,FALSE)</f>
        <v>Chq Bk</v>
      </c>
      <c r="H86" s="228">
        <v>9471</v>
      </c>
      <c r="I86" s="67">
        <v>0</v>
      </c>
      <c r="J86" s="67">
        <f t="shared" si="3"/>
        <v>9471</v>
      </c>
      <c r="M86" s="67"/>
      <c r="N86" s="67"/>
      <c r="O86" s="67">
        <v>0</v>
      </c>
      <c r="P86" s="67"/>
      <c r="Q86" s="67"/>
      <c r="R86" s="67"/>
      <c r="S86" s="67"/>
      <c r="T86" s="67"/>
      <c r="U86" s="67"/>
      <c r="W86" s="289">
        <f t="shared" si="4"/>
        <v>-9471</v>
      </c>
      <c r="Y86" s="228"/>
      <c r="Z86" s="67"/>
      <c r="AA86" s="67"/>
      <c r="AB86" s="67"/>
      <c r="AC86" s="67"/>
      <c r="AD86" s="67"/>
      <c r="AE86" s="229"/>
      <c r="AH86" s="362">
        <v>0</v>
      </c>
      <c r="AI86" s="67"/>
      <c r="AJ86" s="67"/>
      <c r="AK86" s="67"/>
      <c r="AL86" s="229"/>
      <c r="AN86" s="289">
        <f t="shared" si="5"/>
        <v>0</v>
      </c>
    </row>
    <row r="87" spans="1:40" ht="15" customHeight="1">
      <c r="A87" s="200">
        <v>3320</v>
      </c>
      <c r="B87" s="2">
        <v>103424</v>
      </c>
      <c r="C87" s="2" t="s">
        <v>112</v>
      </c>
      <c r="D87" s="2" t="s">
        <v>113</v>
      </c>
      <c r="E87" s="191" t="s">
        <v>32</v>
      </c>
      <c r="F87" s="213" t="str">
        <f>VLOOKUP(A87,'Summary Mar 2026'!A:F,6,FALSE)</f>
        <v>Chq Bk</v>
      </c>
      <c r="H87" s="228">
        <v>0</v>
      </c>
      <c r="I87" s="67">
        <v>0</v>
      </c>
      <c r="J87" s="67">
        <f t="shared" si="3"/>
        <v>0</v>
      </c>
      <c r="M87" s="67"/>
      <c r="N87" s="67"/>
      <c r="O87" s="67">
        <v>0</v>
      </c>
      <c r="P87" s="67"/>
      <c r="Q87" s="67"/>
      <c r="R87" s="67"/>
      <c r="S87" s="67"/>
      <c r="T87" s="67"/>
      <c r="U87" s="67"/>
      <c r="W87" s="289">
        <f t="shared" si="4"/>
        <v>0</v>
      </c>
      <c r="Y87" s="228"/>
      <c r="Z87" s="67"/>
      <c r="AA87" s="67"/>
      <c r="AB87" s="67"/>
      <c r="AC87" s="67"/>
      <c r="AD87" s="67"/>
      <c r="AE87" s="229"/>
      <c r="AH87" s="362">
        <v>0</v>
      </c>
      <c r="AI87" s="67"/>
      <c r="AJ87" s="67"/>
      <c r="AK87" s="67"/>
      <c r="AL87" s="229"/>
      <c r="AN87" s="289">
        <f t="shared" si="5"/>
        <v>0</v>
      </c>
    </row>
    <row r="88" spans="1:40" ht="15" customHeight="1">
      <c r="A88" s="200">
        <v>1026</v>
      </c>
      <c r="B88" s="2">
        <v>103139</v>
      </c>
      <c r="C88" s="2" t="s">
        <v>120</v>
      </c>
      <c r="D88" s="2" t="s">
        <v>121</v>
      </c>
      <c r="E88" s="191" t="s">
        <v>29</v>
      </c>
      <c r="F88" s="213" t="str">
        <f>VLOOKUP(A88,'Summary Mar 2026'!A:F,6,FALSE)</f>
        <v>Chq Bk</v>
      </c>
      <c r="H88" s="228">
        <v>3291.75</v>
      </c>
      <c r="I88" s="67">
        <v>0</v>
      </c>
      <c r="J88" s="67">
        <f t="shared" si="3"/>
        <v>3291.75</v>
      </c>
      <c r="M88" s="67"/>
      <c r="N88" s="67"/>
      <c r="O88" s="67">
        <v>0</v>
      </c>
      <c r="P88" s="67"/>
      <c r="Q88" s="67"/>
      <c r="R88" s="67"/>
      <c r="S88" s="67"/>
      <c r="T88" s="67"/>
      <c r="U88" s="67"/>
      <c r="W88" s="289">
        <f t="shared" si="4"/>
        <v>-3291.75</v>
      </c>
      <c r="Y88" s="228"/>
      <c r="Z88" s="67"/>
      <c r="AA88" s="67"/>
      <c r="AB88" s="67"/>
      <c r="AC88" s="67"/>
      <c r="AD88" s="67"/>
      <c r="AE88" s="229"/>
      <c r="AH88" s="362">
        <v>0</v>
      </c>
      <c r="AI88" s="67"/>
      <c r="AJ88" s="67"/>
      <c r="AK88" s="67"/>
      <c r="AL88" s="229"/>
      <c r="AN88" s="289">
        <f t="shared" si="5"/>
        <v>0</v>
      </c>
    </row>
    <row r="89" spans="1:40" ht="15" customHeight="1">
      <c r="A89" s="200">
        <v>2294</v>
      </c>
      <c r="B89" s="2">
        <v>103318</v>
      </c>
      <c r="C89" s="2" t="s">
        <v>122</v>
      </c>
      <c r="D89" s="2" t="s">
        <v>123</v>
      </c>
      <c r="E89" s="191" t="s">
        <v>32</v>
      </c>
      <c r="F89" s="213" t="str">
        <f>VLOOKUP(A89,'Summary Mar 2026'!A:F,6,FALSE)</f>
        <v>Chq Bk</v>
      </c>
      <c r="H89" s="228">
        <v>9471</v>
      </c>
      <c r="I89" s="67">
        <v>0</v>
      </c>
      <c r="J89" s="67">
        <f t="shared" si="3"/>
        <v>9471</v>
      </c>
      <c r="M89" s="67"/>
      <c r="N89" s="67"/>
      <c r="O89" s="67">
        <v>0</v>
      </c>
      <c r="P89" s="67"/>
      <c r="Q89" s="67"/>
      <c r="R89" s="67"/>
      <c r="S89" s="67"/>
      <c r="T89" s="67"/>
      <c r="U89" s="67"/>
      <c r="W89" s="289">
        <f t="shared" si="4"/>
        <v>-9471</v>
      </c>
      <c r="Y89" s="228"/>
      <c r="Z89" s="67"/>
      <c r="AA89" s="67"/>
      <c r="AB89" s="67"/>
      <c r="AC89" s="67"/>
      <c r="AD89" s="67"/>
      <c r="AE89" s="229"/>
      <c r="AH89" s="362">
        <v>-11999.6242</v>
      </c>
      <c r="AI89" s="67"/>
      <c r="AJ89" s="67"/>
      <c r="AK89" s="67"/>
      <c r="AL89" s="229"/>
      <c r="AN89" s="289">
        <f t="shared" si="5"/>
        <v>-11999.6242</v>
      </c>
    </row>
    <row r="90" spans="1:40" ht="15" customHeight="1">
      <c r="A90" s="200">
        <v>1006</v>
      </c>
      <c r="B90" s="2">
        <v>103122</v>
      </c>
      <c r="C90" s="2" t="s">
        <v>130</v>
      </c>
      <c r="D90" s="2" t="s">
        <v>131</v>
      </c>
      <c r="E90" s="191" t="s">
        <v>29</v>
      </c>
      <c r="F90" s="213" t="str">
        <f>VLOOKUP(A90,'Summary Mar 2026'!A:F,6,FALSE)</f>
        <v>Chq Bk</v>
      </c>
      <c r="H90" s="228">
        <v>3291.75</v>
      </c>
      <c r="I90" s="67">
        <v>0</v>
      </c>
      <c r="J90" s="67">
        <f t="shared" si="3"/>
        <v>3291.75</v>
      </c>
      <c r="M90" s="67"/>
      <c r="N90" s="67"/>
      <c r="O90" s="67">
        <v>0</v>
      </c>
      <c r="P90" s="67"/>
      <c r="Q90" s="67"/>
      <c r="R90" s="67"/>
      <c r="S90" s="67"/>
      <c r="T90" s="67"/>
      <c r="U90" s="67"/>
      <c r="W90" s="289">
        <f t="shared" si="4"/>
        <v>-3291.75</v>
      </c>
      <c r="Y90" s="228"/>
      <c r="Z90" s="67"/>
      <c r="AA90" s="67"/>
      <c r="AB90" s="67"/>
      <c r="AC90" s="67"/>
      <c r="AD90" s="67"/>
      <c r="AE90" s="229"/>
      <c r="AH90" s="362">
        <v>0</v>
      </c>
      <c r="AI90" s="67"/>
      <c r="AJ90" s="67"/>
      <c r="AK90" s="67"/>
      <c r="AL90" s="229"/>
      <c r="AN90" s="289">
        <f t="shared" si="5"/>
        <v>0</v>
      </c>
    </row>
    <row r="91" spans="1:40" ht="15" customHeight="1">
      <c r="A91" s="200">
        <v>2079</v>
      </c>
      <c r="B91" s="2">
        <v>103200</v>
      </c>
      <c r="C91" s="2" t="s">
        <v>378</v>
      </c>
      <c r="D91" s="2" t="s">
        <v>379</v>
      </c>
      <c r="E91" s="191" t="s">
        <v>32</v>
      </c>
      <c r="F91" s="213" t="str">
        <f>VLOOKUP(A91,'Summary Mar 2026'!A:F,6,FALSE)</f>
        <v>Chq Bk</v>
      </c>
      <c r="H91" s="228">
        <v>0</v>
      </c>
      <c r="I91" s="67">
        <v>8775</v>
      </c>
      <c r="J91" s="67">
        <f t="shared" si="3"/>
        <v>8775</v>
      </c>
      <c r="M91" s="67"/>
      <c r="N91" s="67"/>
      <c r="O91" s="67">
        <v>0</v>
      </c>
      <c r="P91" s="67"/>
      <c r="Q91" s="67"/>
      <c r="R91" s="67"/>
      <c r="S91" s="67"/>
      <c r="T91" s="67"/>
      <c r="U91" s="67"/>
      <c r="W91" s="289">
        <f t="shared" si="4"/>
        <v>-8775</v>
      </c>
      <c r="Y91" s="228"/>
      <c r="Z91" s="67"/>
      <c r="AA91" s="67"/>
      <c r="AB91" s="67"/>
      <c r="AC91" s="67"/>
      <c r="AD91" s="67"/>
      <c r="AE91" s="229"/>
      <c r="AH91" s="362">
        <v>0</v>
      </c>
      <c r="AI91" s="67"/>
      <c r="AJ91" s="67"/>
      <c r="AK91" s="67"/>
      <c r="AL91" s="229"/>
      <c r="AN91" s="289">
        <f t="shared" si="5"/>
        <v>0</v>
      </c>
    </row>
    <row r="92" spans="1:40" ht="15" customHeight="1">
      <c r="A92" s="200">
        <v>1015</v>
      </c>
      <c r="B92" s="2">
        <v>103128</v>
      </c>
      <c r="C92" s="2" t="s">
        <v>136</v>
      </c>
      <c r="D92" s="2" t="s">
        <v>137</v>
      </c>
      <c r="E92" s="191" t="s">
        <v>29</v>
      </c>
      <c r="F92" s="213" t="str">
        <f>VLOOKUP(A92,'Summary Mar 2026'!A:F,6,FALSE)</f>
        <v>Chq Bk</v>
      </c>
      <c r="H92" s="228">
        <v>3291.75</v>
      </c>
      <c r="I92" s="67">
        <v>0</v>
      </c>
      <c r="J92" s="67">
        <f t="shared" si="3"/>
        <v>3291.75</v>
      </c>
      <c r="M92" s="67"/>
      <c r="N92" s="67"/>
      <c r="O92" s="67">
        <v>0</v>
      </c>
      <c r="P92" s="67"/>
      <c r="Q92" s="67"/>
      <c r="R92" s="67"/>
      <c r="S92" s="67"/>
      <c r="T92" s="67"/>
      <c r="U92" s="67"/>
      <c r="W92" s="289">
        <f t="shared" si="4"/>
        <v>-3291.75</v>
      </c>
      <c r="Y92" s="228"/>
      <c r="Z92" s="67"/>
      <c r="AA92" s="67"/>
      <c r="AB92" s="67"/>
      <c r="AC92" s="67"/>
      <c r="AD92" s="67"/>
      <c r="AE92" s="229"/>
      <c r="AH92" s="362">
        <v>0</v>
      </c>
      <c r="AI92" s="67"/>
      <c r="AJ92" s="67"/>
      <c r="AK92" s="67"/>
      <c r="AL92" s="229"/>
      <c r="AN92" s="289">
        <f t="shared" si="5"/>
        <v>0</v>
      </c>
    </row>
    <row r="93" spans="1:40" ht="15" customHeight="1">
      <c r="A93" s="200">
        <v>1022</v>
      </c>
      <c r="B93" s="2">
        <v>103135</v>
      </c>
      <c r="C93" s="2" t="s">
        <v>138</v>
      </c>
      <c r="D93" s="2" t="s">
        <v>139</v>
      </c>
      <c r="E93" s="191" t="s">
        <v>29</v>
      </c>
      <c r="F93" s="213" t="str">
        <f>VLOOKUP(A93,'Summary Mar 2026'!A:F,6,FALSE)</f>
        <v>Chq Bk</v>
      </c>
      <c r="H93" s="228">
        <v>3291.75</v>
      </c>
      <c r="I93" s="67">
        <v>0</v>
      </c>
      <c r="J93" s="67">
        <f t="shared" si="3"/>
        <v>3291.75</v>
      </c>
      <c r="M93" s="67"/>
      <c r="N93" s="67"/>
      <c r="O93" s="67">
        <v>0</v>
      </c>
      <c r="P93" s="67"/>
      <c r="Q93" s="67"/>
      <c r="R93" s="67"/>
      <c r="S93" s="67"/>
      <c r="T93" s="67"/>
      <c r="U93" s="67"/>
      <c r="W93" s="289">
        <f t="shared" si="4"/>
        <v>-3291.75</v>
      </c>
      <c r="Y93" s="228"/>
      <c r="Z93" s="67"/>
      <c r="AA93" s="67"/>
      <c r="AB93" s="67"/>
      <c r="AC93" s="67"/>
      <c r="AD93" s="67"/>
      <c r="AE93" s="229"/>
      <c r="AH93" s="362">
        <v>0</v>
      </c>
      <c r="AI93" s="67"/>
      <c r="AJ93" s="67"/>
      <c r="AK93" s="67"/>
      <c r="AL93" s="229"/>
      <c r="AN93" s="289">
        <f t="shared" si="5"/>
        <v>0</v>
      </c>
    </row>
    <row r="94" spans="1:40" ht="15" customHeight="1">
      <c r="A94" s="200">
        <v>2087</v>
      </c>
      <c r="B94" s="2">
        <v>103205</v>
      </c>
      <c r="C94" s="2" t="s">
        <v>140</v>
      </c>
      <c r="D94" s="2" t="s">
        <v>141</v>
      </c>
      <c r="E94" s="191" t="s">
        <v>32</v>
      </c>
      <c r="F94" s="213" t="str">
        <f>VLOOKUP(A94,'Summary Mar 2026'!A:F,6,FALSE)</f>
        <v>Chq Bk</v>
      </c>
      <c r="H94" s="228">
        <v>9471</v>
      </c>
      <c r="I94" s="67">
        <v>0</v>
      </c>
      <c r="J94" s="67">
        <f t="shared" si="3"/>
        <v>9471</v>
      </c>
      <c r="M94" s="67"/>
      <c r="N94" s="67"/>
      <c r="O94" s="67">
        <v>0</v>
      </c>
      <c r="P94" s="67"/>
      <c r="Q94" s="67"/>
      <c r="R94" s="67"/>
      <c r="S94" s="67"/>
      <c r="T94" s="67"/>
      <c r="U94" s="67"/>
      <c r="W94" s="289">
        <f t="shared" si="4"/>
        <v>-9471</v>
      </c>
      <c r="Y94" s="228"/>
      <c r="Z94" s="67"/>
      <c r="AA94" s="67"/>
      <c r="AB94" s="67"/>
      <c r="AC94" s="67"/>
      <c r="AD94" s="67"/>
      <c r="AE94" s="229"/>
      <c r="AH94" s="362">
        <v>0</v>
      </c>
      <c r="AI94" s="67"/>
      <c r="AJ94" s="67"/>
      <c r="AK94" s="67"/>
      <c r="AL94" s="229"/>
      <c r="AN94" s="289">
        <f t="shared" si="5"/>
        <v>0</v>
      </c>
    </row>
    <row r="95" spans="1:40" ht="15" customHeight="1">
      <c r="A95" s="200">
        <v>2466</v>
      </c>
      <c r="B95" s="2">
        <v>103392</v>
      </c>
      <c r="C95" s="2" t="s">
        <v>142</v>
      </c>
      <c r="D95" s="2" t="s">
        <v>143</v>
      </c>
      <c r="E95" s="191" t="s">
        <v>32</v>
      </c>
      <c r="F95" s="213" t="str">
        <f>VLOOKUP(A95,'Summary Mar 2026'!A:F,6,FALSE)</f>
        <v>Chq Bk</v>
      </c>
      <c r="H95" s="228">
        <v>18745.650000000001</v>
      </c>
      <c r="I95" s="67">
        <v>0</v>
      </c>
      <c r="J95" s="67">
        <f t="shared" si="3"/>
        <v>18745.650000000001</v>
      </c>
      <c r="M95" s="67"/>
      <c r="N95" s="67"/>
      <c r="O95" s="67">
        <v>0</v>
      </c>
      <c r="P95" s="67"/>
      <c r="Q95" s="67"/>
      <c r="R95" s="67"/>
      <c r="S95" s="67"/>
      <c r="T95" s="67"/>
      <c r="U95" s="67"/>
      <c r="W95" s="289">
        <f t="shared" si="4"/>
        <v>-18745.650000000001</v>
      </c>
      <c r="Y95" s="228"/>
      <c r="Z95" s="67"/>
      <c r="AA95" s="67"/>
      <c r="AB95" s="67"/>
      <c r="AC95" s="67"/>
      <c r="AD95" s="67"/>
      <c r="AE95" s="229"/>
      <c r="AH95" s="362">
        <v>0</v>
      </c>
      <c r="AI95" s="67"/>
      <c r="AJ95" s="67"/>
      <c r="AK95" s="67"/>
      <c r="AL95" s="229"/>
      <c r="AN95" s="289">
        <f t="shared" si="5"/>
        <v>0</v>
      </c>
    </row>
    <row r="96" spans="1:40" ht="15" customHeight="1">
      <c r="A96" s="200">
        <v>2091</v>
      </c>
      <c r="B96" s="2">
        <v>103208</v>
      </c>
      <c r="C96" s="2" t="s">
        <v>380</v>
      </c>
      <c r="D96" s="2" t="s">
        <v>381</v>
      </c>
      <c r="E96" s="191" t="s">
        <v>32</v>
      </c>
      <c r="F96" s="213" t="str">
        <f>VLOOKUP(A96,'Summary Mar 2026'!A:F,6,FALSE)</f>
        <v>Chq Bk</v>
      </c>
      <c r="H96" s="228">
        <v>5139.75</v>
      </c>
      <c r="I96" s="67">
        <v>0</v>
      </c>
      <c r="J96" s="67">
        <f t="shared" si="3"/>
        <v>5139.75</v>
      </c>
      <c r="M96" s="67"/>
      <c r="N96" s="67"/>
      <c r="O96" s="67">
        <v>0</v>
      </c>
      <c r="P96" s="67"/>
      <c r="Q96" s="67"/>
      <c r="R96" s="67"/>
      <c r="S96" s="67"/>
      <c r="T96" s="67"/>
      <c r="U96" s="67"/>
      <c r="W96" s="289">
        <f t="shared" si="4"/>
        <v>-5139.75</v>
      </c>
      <c r="Y96" s="228"/>
      <c r="Z96" s="67">
        <v>2010.9</v>
      </c>
      <c r="AA96" s="67"/>
      <c r="AB96" s="67"/>
      <c r="AC96" s="67"/>
      <c r="AD96" s="67"/>
      <c r="AE96" s="229"/>
      <c r="AH96" s="362">
        <v>-5090.5414000000001</v>
      </c>
      <c r="AI96" s="67"/>
      <c r="AJ96" s="67"/>
      <c r="AK96" s="67"/>
      <c r="AL96" s="229"/>
      <c r="AN96" s="289">
        <f t="shared" si="5"/>
        <v>-5090.5414000000001</v>
      </c>
    </row>
    <row r="97" spans="1:40" ht="15" customHeight="1">
      <c r="A97" s="200">
        <v>7006</v>
      </c>
      <c r="B97" s="2">
        <v>103600</v>
      </c>
      <c r="C97" s="2" t="s">
        <v>148</v>
      </c>
      <c r="D97" s="2" t="s">
        <v>149</v>
      </c>
      <c r="E97" s="191" t="s">
        <v>47</v>
      </c>
      <c r="F97" s="213" t="str">
        <f>VLOOKUP(A97,'Summary Mar 2026'!A:F,6,FALSE)</f>
        <v>Chq Bk</v>
      </c>
      <c r="H97" s="228">
        <v>5139.75</v>
      </c>
      <c r="I97" s="67">
        <v>0</v>
      </c>
      <c r="J97" s="67">
        <f t="shared" si="3"/>
        <v>5139.75</v>
      </c>
      <c r="M97" s="67"/>
      <c r="N97" s="67"/>
      <c r="O97" s="67">
        <v>0</v>
      </c>
      <c r="P97" s="67"/>
      <c r="Q97" s="67"/>
      <c r="R97" s="67"/>
      <c r="S97" s="67"/>
      <c r="T97" s="67"/>
      <c r="U97" s="67"/>
      <c r="W97" s="289">
        <f t="shared" si="4"/>
        <v>-5139.75</v>
      </c>
      <c r="Y97" s="228"/>
      <c r="Z97" s="67"/>
      <c r="AA97" s="67"/>
      <c r="AB97" s="67"/>
      <c r="AC97" s="67"/>
      <c r="AD97" s="67"/>
      <c r="AE97" s="229"/>
      <c r="AH97" s="362">
        <v>0</v>
      </c>
      <c r="AI97" s="67"/>
      <c r="AJ97" s="67"/>
      <c r="AK97" s="67"/>
      <c r="AL97" s="229"/>
      <c r="AN97" s="289">
        <f t="shared" si="5"/>
        <v>0</v>
      </c>
    </row>
    <row r="98" spans="1:40" ht="15" customHeight="1">
      <c r="A98" s="200">
        <v>2477</v>
      </c>
      <c r="B98" s="2">
        <v>132261</v>
      </c>
      <c r="C98" s="2" t="s">
        <v>382</v>
      </c>
      <c r="D98" s="2" t="s">
        <v>383</v>
      </c>
      <c r="E98" s="191" t="s">
        <v>32</v>
      </c>
      <c r="F98" s="213" t="str">
        <f>VLOOKUP(A98,'Summary Mar 2026'!A:F,6,FALSE)</f>
        <v>Chq Bk</v>
      </c>
      <c r="H98" s="228">
        <v>24312.75</v>
      </c>
      <c r="I98" s="67">
        <v>0</v>
      </c>
      <c r="J98" s="67">
        <f t="shared" si="3"/>
        <v>24312.75</v>
      </c>
      <c r="M98" s="67"/>
      <c r="N98" s="67"/>
      <c r="O98" s="67">
        <v>0</v>
      </c>
      <c r="P98" s="67"/>
      <c r="Q98" s="67"/>
      <c r="R98" s="67"/>
      <c r="S98" s="67"/>
      <c r="T98" s="67"/>
      <c r="U98" s="67"/>
      <c r="W98" s="289">
        <f t="shared" si="4"/>
        <v>-24312.75</v>
      </c>
      <c r="Y98" s="228"/>
      <c r="Z98" s="67"/>
      <c r="AA98" s="67"/>
      <c r="AB98" s="67"/>
      <c r="AC98" s="67"/>
      <c r="AD98" s="67"/>
      <c r="AE98" s="229"/>
      <c r="AH98" s="362">
        <v>0</v>
      </c>
      <c r="AI98" s="67"/>
      <c r="AJ98" s="67"/>
      <c r="AK98" s="67"/>
      <c r="AL98" s="229"/>
      <c r="AN98" s="289">
        <f t="shared" si="5"/>
        <v>0</v>
      </c>
    </row>
    <row r="99" spans="1:40" ht="15" customHeight="1">
      <c r="A99" s="200">
        <v>3436</v>
      </c>
      <c r="B99" s="2">
        <v>136440</v>
      </c>
      <c r="C99" s="2" t="s">
        <v>384</v>
      </c>
      <c r="D99" s="2" t="s">
        <v>385</v>
      </c>
      <c r="E99" s="191" t="s">
        <v>32</v>
      </c>
      <c r="F99" s="213" t="str">
        <f>VLOOKUP(A99,'Summary Mar 2026'!A:F,6,FALSE)</f>
        <v>Chq Bk</v>
      </c>
      <c r="H99" s="228">
        <v>5139.75</v>
      </c>
      <c r="I99" s="67">
        <v>0</v>
      </c>
      <c r="J99" s="67">
        <f t="shared" si="3"/>
        <v>5139.75</v>
      </c>
      <c r="M99" s="67"/>
      <c r="N99" s="67"/>
      <c r="O99" s="67">
        <v>0</v>
      </c>
      <c r="P99" s="67"/>
      <c r="Q99" s="67">
        <f>3500.38-J99</f>
        <v>-1639.37</v>
      </c>
      <c r="R99" s="67"/>
      <c r="S99" s="67"/>
      <c r="T99" s="67"/>
      <c r="U99" s="67"/>
      <c r="W99" s="289">
        <f>-SUMIFS($H99:$P99,$H$3:$P$3,W$6)-Q99</f>
        <v>-3500.38</v>
      </c>
      <c r="Y99" s="228"/>
      <c r="Z99" s="67"/>
      <c r="AA99" s="67"/>
      <c r="AB99" s="67"/>
      <c r="AC99" s="67"/>
      <c r="AD99" s="67"/>
      <c r="AE99" s="229"/>
      <c r="AH99" s="362">
        <v>0</v>
      </c>
      <c r="AI99" s="67"/>
      <c r="AJ99" s="67"/>
      <c r="AK99" s="67"/>
      <c r="AL99" s="229"/>
      <c r="AN99" s="289">
        <f t="shared" si="5"/>
        <v>0</v>
      </c>
    </row>
    <row r="100" spans="1:40" ht="15" customHeight="1">
      <c r="A100" s="200">
        <v>1010</v>
      </c>
      <c r="B100" s="2">
        <v>103125</v>
      </c>
      <c r="C100" s="2" t="s">
        <v>152</v>
      </c>
      <c r="D100" s="2" t="s">
        <v>153</v>
      </c>
      <c r="E100" s="191" t="s">
        <v>29</v>
      </c>
      <c r="F100" s="213" t="str">
        <f>VLOOKUP(A100,'Summary Mar 2026'!A:F,6,FALSE)</f>
        <v>Chq Bk</v>
      </c>
      <c r="H100" s="228">
        <v>3291.75</v>
      </c>
      <c r="I100" s="67">
        <v>0</v>
      </c>
      <c r="J100" s="67">
        <f t="shared" si="3"/>
        <v>3291.75</v>
      </c>
      <c r="M100" s="67"/>
      <c r="N100" s="67"/>
      <c r="O100" s="67">
        <v>0</v>
      </c>
      <c r="P100" s="67"/>
      <c r="Q100" s="67"/>
      <c r="R100" s="67"/>
      <c r="S100" s="67"/>
      <c r="T100" s="67"/>
      <c r="U100" s="67"/>
      <c r="W100" s="289">
        <f t="shared" si="4"/>
        <v>-3291.75</v>
      </c>
      <c r="Y100" s="228"/>
      <c r="Z100" s="67"/>
      <c r="AA100" s="67"/>
      <c r="AB100" s="67"/>
      <c r="AC100" s="67"/>
      <c r="AD100" s="67"/>
      <c r="AE100" s="229"/>
      <c r="AH100" s="362">
        <v>0</v>
      </c>
      <c r="AI100" s="67"/>
      <c r="AJ100" s="67"/>
      <c r="AK100" s="67"/>
      <c r="AL100" s="229"/>
      <c r="AN100" s="289">
        <f t="shared" si="5"/>
        <v>0</v>
      </c>
    </row>
    <row r="101" spans="1:40" ht="15" customHeight="1">
      <c r="A101" s="200">
        <v>3411</v>
      </c>
      <c r="B101" s="2">
        <v>103479</v>
      </c>
      <c r="C101" s="2" t="s">
        <v>160</v>
      </c>
      <c r="D101" s="2" t="s">
        <v>161</v>
      </c>
      <c r="E101" s="191" t="s">
        <v>32</v>
      </c>
      <c r="F101" s="213" t="str">
        <f>VLOOKUP(A101,'Summary Mar 2026'!A:F,6,FALSE)</f>
        <v>Chq Bk</v>
      </c>
      <c r="H101" s="228">
        <v>0</v>
      </c>
      <c r="I101" s="67">
        <v>4347</v>
      </c>
      <c r="J101" s="67">
        <f t="shared" si="3"/>
        <v>4347</v>
      </c>
      <c r="M101" s="67"/>
      <c r="N101" s="67"/>
      <c r="O101" s="67">
        <v>0</v>
      </c>
      <c r="P101" s="67"/>
      <c r="Q101" s="67"/>
      <c r="R101" s="67"/>
      <c r="S101" s="67"/>
      <c r="T101" s="67"/>
      <c r="U101" s="67"/>
      <c r="W101" s="289">
        <f t="shared" si="4"/>
        <v>-4347</v>
      </c>
      <c r="Y101" s="228"/>
      <c r="Z101" s="67"/>
      <c r="AA101" s="67"/>
      <c r="AB101" s="67"/>
      <c r="AC101" s="67"/>
      <c r="AD101" s="67"/>
      <c r="AE101" s="229"/>
      <c r="AH101" s="362">
        <v>0</v>
      </c>
      <c r="AI101" s="67"/>
      <c r="AJ101" s="67"/>
      <c r="AK101" s="67"/>
      <c r="AL101" s="229"/>
      <c r="AN101" s="289">
        <f t="shared" si="5"/>
        <v>0</v>
      </c>
    </row>
    <row r="102" spans="1:40" ht="15" customHeight="1">
      <c r="A102" s="200">
        <v>2474</v>
      </c>
      <c r="B102" s="2">
        <v>131672</v>
      </c>
      <c r="C102" s="2" t="s">
        <v>386</v>
      </c>
      <c r="D102" s="2" t="s">
        <v>387</v>
      </c>
      <c r="E102" s="191" t="s">
        <v>32</v>
      </c>
      <c r="F102" s="213" t="str">
        <f>VLOOKUP(A102,'Summary Mar 2026'!A:F,6,FALSE)</f>
        <v>Chq Bk</v>
      </c>
      <c r="H102" s="811"/>
      <c r="I102" s="67">
        <v>11151</v>
      </c>
      <c r="J102" s="67">
        <f t="shared" si="3"/>
        <v>11151</v>
      </c>
      <c r="M102" s="67"/>
      <c r="N102" s="67"/>
      <c r="O102" s="67">
        <v>0</v>
      </c>
      <c r="P102" s="67"/>
      <c r="Q102" s="67"/>
      <c r="R102" s="67"/>
      <c r="S102" s="67"/>
      <c r="T102" s="67"/>
      <c r="U102" s="67"/>
      <c r="W102" s="289">
        <f t="shared" si="4"/>
        <v>-11151</v>
      </c>
      <c r="Y102" s="228"/>
      <c r="Z102" s="67"/>
      <c r="AA102" s="67"/>
      <c r="AB102" s="67"/>
      <c r="AC102" s="67"/>
      <c r="AD102" s="67"/>
      <c r="AE102" s="229"/>
      <c r="AH102" s="362">
        <v>0</v>
      </c>
      <c r="AI102" s="67"/>
      <c r="AJ102" s="67"/>
      <c r="AK102" s="67"/>
      <c r="AL102" s="229"/>
      <c r="AN102" s="289">
        <f t="shared" si="5"/>
        <v>0</v>
      </c>
    </row>
    <row r="103" spans="1:40" ht="15" customHeight="1">
      <c r="A103" s="200">
        <v>3317</v>
      </c>
      <c r="B103" s="2">
        <v>103421</v>
      </c>
      <c r="C103" s="2" t="s">
        <v>164</v>
      </c>
      <c r="D103" s="2" t="s">
        <v>165</v>
      </c>
      <c r="E103" s="191" t="s">
        <v>32</v>
      </c>
      <c r="F103" s="213" t="str">
        <f>VLOOKUP(A103,'Summary Mar 2026'!A:F,6,FALSE)</f>
        <v>Chq Bk</v>
      </c>
      <c r="H103" s="228">
        <v>0</v>
      </c>
      <c r="I103" s="67">
        <v>0</v>
      </c>
      <c r="J103" s="67">
        <f t="shared" si="3"/>
        <v>0</v>
      </c>
      <c r="M103" s="67"/>
      <c r="N103" s="67"/>
      <c r="O103" s="67">
        <v>0</v>
      </c>
      <c r="P103" s="67"/>
      <c r="Q103" s="67"/>
      <c r="R103" s="67"/>
      <c r="S103" s="67"/>
      <c r="T103" s="67"/>
      <c r="U103" s="67"/>
      <c r="W103" s="289">
        <f t="shared" si="4"/>
        <v>0</v>
      </c>
      <c r="Y103" s="228"/>
      <c r="Z103" s="67"/>
      <c r="AA103" s="67"/>
      <c r="AB103" s="67"/>
      <c r="AC103" s="67"/>
      <c r="AD103" s="67"/>
      <c r="AE103" s="229"/>
      <c r="AH103" s="362">
        <v>0</v>
      </c>
      <c r="AI103" s="67"/>
      <c r="AJ103" s="67"/>
      <c r="AK103" s="67"/>
      <c r="AL103" s="229"/>
      <c r="AN103" s="289">
        <f t="shared" si="5"/>
        <v>0</v>
      </c>
    </row>
    <row r="104" spans="1:40" ht="15" customHeight="1">
      <c r="A104" s="200">
        <v>1023</v>
      </c>
      <c r="B104" s="2">
        <v>103136</v>
      </c>
      <c r="C104" s="2" t="s">
        <v>166</v>
      </c>
      <c r="D104" s="2" t="s">
        <v>167</v>
      </c>
      <c r="E104" s="191" t="s">
        <v>29</v>
      </c>
      <c r="F104" s="213" t="str">
        <f>VLOOKUP(A104,'Summary Mar 2026'!A:F,6,FALSE)</f>
        <v>Chq Bk</v>
      </c>
      <c r="H104" s="228">
        <v>3291.75</v>
      </c>
      <c r="I104" s="67">
        <v>0</v>
      </c>
      <c r="J104" s="67">
        <f t="shared" si="3"/>
        <v>3291.75</v>
      </c>
      <c r="M104" s="67"/>
      <c r="N104" s="67"/>
      <c r="O104" s="67">
        <v>0</v>
      </c>
      <c r="P104" s="67"/>
      <c r="Q104" s="67"/>
      <c r="R104" s="67"/>
      <c r="S104" s="67"/>
      <c r="T104" s="67"/>
      <c r="U104" s="67"/>
      <c r="W104" s="289">
        <f t="shared" si="4"/>
        <v>-3291.75</v>
      </c>
      <c r="Y104" s="228"/>
      <c r="Z104" s="67"/>
      <c r="AA104" s="67"/>
      <c r="AB104" s="67"/>
      <c r="AC104" s="67"/>
      <c r="AD104" s="67"/>
      <c r="AE104" s="229"/>
      <c r="AH104" s="362">
        <v>0</v>
      </c>
      <c r="AI104" s="67"/>
      <c r="AJ104" s="67"/>
      <c r="AK104" s="67"/>
      <c r="AL104" s="229"/>
      <c r="AN104" s="289">
        <f t="shared" si="5"/>
        <v>0</v>
      </c>
    </row>
    <row r="105" spans="1:40" ht="15" customHeight="1">
      <c r="A105" s="200">
        <v>3352</v>
      </c>
      <c r="B105" s="2">
        <v>103444</v>
      </c>
      <c r="C105" s="2" t="s">
        <v>388</v>
      </c>
      <c r="D105" s="2" t="s">
        <v>389</v>
      </c>
      <c r="E105" s="191" t="s">
        <v>32</v>
      </c>
      <c r="F105" s="213" t="str">
        <f>VLOOKUP(A105,'Summary Mar 2026'!A:F,6,FALSE)</f>
        <v>Chq Bk</v>
      </c>
      <c r="H105" s="228">
        <v>5139.75</v>
      </c>
      <c r="I105" s="67">
        <v>0</v>
      </c>
      <c r="J105" s="67">
        <f t="shared" si="3"/>
        <v>5139.75</v>
      </c>
      <c r="M105" s="67"/>
      <c r="N105" s="67"/>
      <c r="O105" s="67">
        <v>0</v>
      </c>
      <c r="P105" s="67"/>
      <c r="Q105" s="67"/>
      <c r="R105" s="67"/>
      <c r="S105" s="67"/>
      <c r="T105" s="67"/>
      <c r="U105" s="67"/>
      <c r="W105" s="289">
        <f t="shared" si="4"/>
        <v>-5139.75</v>
      </c>
      <c r="Y105" s="228"/>
      <c r="Z105" s="67"/>
      <c r="AA105" s="67"/>
      <c r="AB105" s="67"/>
      <c r="AC105" s="67"/>
      <c r="AD105" s="67"/>
      <c r="AE105" s="229"/>
      <c r="AH105" s="362">
        <v>0</v>
      </c>
      <c r="AI105" s="67"/>
      <c r="AJ105" s="67"/>
      <c r="AK105" s="67"/>
      <c r="AL105" s="229"/>
      <c r="AN105" s="289">
        <f t="shared" si="5"/>
        <v>0</v>
      </c>
    </row>
    <row r="106" spans="1:40" ht="15" customHeight="1">
      <c r="A106" s="200">
        <v>2005</v>
      </c>
      <c r="B106" s="2">
        <v>134098</v>
      </c>
      <c r="C106" s="2" t="s">
        <v>390</v>
      </c>
      <c r="D106" s="2" t="s">
        <v>391</v>
      </c>
      <c r="E106" s="191" t="s">
        <v>32</v>
      </c>
      <c r="F106" s="213" t="str">
        <f>VLOOKUP(A106,'Summary Mar 2026'!A:F,6,FALSE)</f>
        <v>Chq Bk</v>
      </c>
      <c r="H106" s="228">
        <v>18745.650000000001</v>
      </c>
      <c r="I106" s="67">
        <v>0</v>
      </c>
      <c r="J106" s="67">
        <f t="shared" si="3"/>
        <v>18745.650000000001</v>
      </c>
      <c r="M106" s="67"/>
      <c r="N106" s="67"/>
      <c r="O106" s="67">
        <v>0</v>
      </c>
      <c r="P106" s="67"/>
      <c r="Q106" s="67"/>
      <c r="R106" s="67"/>
      <c r="S106" s="67"/>
      <c r="T106" s="67"/>
      <c r="U106" s="67"/>
      <c r="W106" s="289">
        <f t="shared" si="4"/>
        <v>-18745.650000000001</v>
      </c>
      <c r="Y106" s="228"/>
      <c r="Z106" s="67"/>
      <c r="AA106" s="67"/>
      <c r="AB106" s="67"/>
      <c r="AC106" s="67"/>
      <c r="AD106" s="67"/>
      <c r="AE106" s="229"/>
      <c r="AH106" s="362">
        <v>0</v>
      </c>
      <c r="AI106" s="67"/>
      <c r="AJ106" s="67"/>
      <c r="AK106" s="67"/>
      <c r="AL106" s="229"/>
      <c r="AN106" s="289">
        <f t="shared" si="5"/>
        <v>0</v>
      </c>
    </row>
    <row r="107" spans="1:40" ht="15" customHeight="1">
      <c r="A107" s="200">
        <v>1016</v>
      </c>
      <c r="B107" s="2">
        <v>103129</v>
      </c>
      <c r="C107" s="2" t="s">
        <v>172</v>
      </c>
      <c r="D107" s="2" t="s">
        <v>173</v>
      </c>
      <c r="E107" s="191" t="s">
        <v>29</v>
      </c>
      <c r="F107" s="213" t="str">
        <f>VLOOKUP(A107,'Summary Mar 2026'!A:F,6,FALSE)</f>
        <v>Chq Bk</v>
      </c>
      <c r="H107" s="228">
        <v>3291.75</v>
      </c>
      <c r="I107" s="67">
        <v>0</v>
      </c>
      <c r="J107" s="67">
        <f t="shared" si="3"/>
        <v>3291.75</v>
      </c>
      <c r="M107" s="67"/>
      <c r="N107" s="67"/>
      <c r="O107" s="67">
        <v>0</v>
      </c>
      <c r="P107" s="67"/>
      <c r="Q107" s="67"/>
      <c r="R107" s="67"/>
      <c r="S107" s="67"/>
      <c r="T107" s="67"/>
      <c r="U107" s="67"/>
      <c r="W107" s="289">
        <f t="shared" si="4"/>
        <v>-3291.75</v>
      </c>
      <c r="Y107" s="228"/>
      <c r="Z107" s="67"/>
      <c r="AA107" s="67"/>
      <c r="AB107" s="67"/>
      <c r="AC107" s="67"/>
      <c r="AD107" s="67"/>
      <c r="AE107" s="229"/>
      <c r="AH107" s="362">
        <v>0</v>
      </c>
      <c r="AI107" s="67"/>
      <c r="AJ107" s="67"/>
      <c r="AK107" s="67"/>
      <c r="AL107" s="229"/>
      <c r="AN107" s="289">
        <f t="shared" si="5"/>
        <v>0</v>
      </c>
    </row>
    <row r="108" spans="1:40" ht="15" customHeight="1">
      <c r="A108" s="200">
        <v>2115</v>
      </c>
      <c r="B108" s="2">
        <v>103221</v>
      </c>
      <c r="C108" s="2" t="s">
        <v>174</v>
      </c>
      <c r="D108" s="2" t="s">
        <v>175</v>
      </c>
      <c r="E108" s="191" t="s">
        <v>32</v>
      </c>
      <c r="F108" s="213" t="str">
        <f>VLOOKUP(A108,'Summary Mar 2026'!A:F,6,FALSE)</f>
        <v>Chq Bk</v>
      </c>
      <c r="H108" s="228">
        <v>5139.75</v>
      </c>
      <c r="I108" s="67">
        <v>0</v>
      </c>
      <c r="J108" s="67">
        <f t="shared" si="3"/>
        <v>5139.75</v>
      </c>
      <c r="M108" s="67"/>
      <c r="N108" s="67"/>
      <c r="O108" s="67">
        <v>0</v>
      </c>
      <c r="P108" s="67"/>
      <c r="Q108" s="67"/>
      <c r="R108" s="67"/>
      <c r="S108" s="67"/>
      <c r="T108" s="67"/>
      <c r="U108" s="67"/>
      <c r="W108" s="289">
        <f t="shared" si="4"/>
        <v>-5139.75</v>
      </c>
      <c r="Y108" s="228"/>
      <c r="Z108" s="67"/>
      <c r="AA108" s="67"/>
      <c r="AB108" s="67"/>
      <c r="AC108" s="67"/>
      <c r="AD108" s="67"/>
      <c r="AE108" s="229"/>
      <c r="AH108" s="362">
        <v>0</v>
      </c>
      <c r="AI108" s="67"/>
      <c r="AJ108" s="67"/>
      <c r="AK108" s="67"/>
      <c r="AL108" s="229"/>
      <c r="AN108" s="289">
        <f t="shared" si="5"/>
        <v>0</v>
      </c>
    </row>
    <row r="109" spans="1:40" ht="15" customHeight="1">
      <c r="A109" s="200">
        <v>2441</v>
      </c>
      <c r="B109" s="2">
        <v>103368</v>
      </c>
      <c r="C109" s="2" t="s">
        <v>176</v>
      </c>
      <c r="D109" s="2" t="s">
        <v>177</v>
      </c>
      <c r="E109" s="191" t="s">
        <v>32</v>
      </c>
      <c r="F109" s="213" t="str">
        <f>VLOOKUP(A109,'Summary Mar 2026'!A:F,6,FALSE)</f>
        <v>Chq Bk</v>
      </c>
      <c r="H109" s="228">
        <v>9471</v>
      </c>
      <c r="I109" s="67">
        <v>0</v>
      </c>
      <c r="J109" s="67">
        <f t="shared" si="3"/>
        <v>9471</v>
      </c>
      <c r="M109" s="67"/>
      <c r="N109" s="67"/>
      <c r="O109" s="67">
        <v>0</v>
      </c>
      <c r="P109" s="67"/>
      <c r="Q109" s="67"/>
      <c r="R109" s="67"/>
      <c r="S109" s="67"/>
      <c r="T109" s="67"/>
      <c r="U109" s="67"/>
      <c r="W109" s="289">
        <f t="shared" si="4"/>
        <v>-9471</v>
      </c>
      <c r="Y109" s="228"/>
      <c r="Z109" s="67"/>
      <c r="AA109" s="67"/>
      <c r="AB109" s="67"/>
      <c r="AC109" s="67"/>
      <c r="AD109" s="67"/>
      <c r="AE109" s="229"/>
      <c r="AH109" s="362">
        <v>-3832.5414000000001</v>
      </c>
      <c r="AI109" s="67"/>
      <c r="AJ109" s="67"/>
      <c r="AK109" s="67"/>
      <c r="AL109" s="229"/>
      <c r="AN109" s="289">
        <f t="shared" si="5"/>
        <v>-3832.5414000000001</v>
      </c>
    </row>
    <row r="110" spans="1:40" ht="15" customHeight="1">
      <c r="A110" s="200">
        <v>2321</v>
      </c>
      <c r="B110" s="2">
        <v>103339</v>
      </c>
      <c r="C110" s="2" t="s">
        <v>178</v>
      </c>
      <c r="D110" s="2" t="s">
        <v>179</v>
      </c>
      <c r="E110" s="191" t="s">
        <v>32</v>
      </c>
      <c r="F110" s="213" t="str">
        <f>VLOOKUP(A110,'Summary Mar 2026'!A:F,6,FALSE)</f>
        <v>Chq Bk</v>
      </c>
      <c r="H110" s="228">
        <v>5139.75</v>
      </c>
      <c r="I110" s="67">
        <v>0</v>
      </c>
      <c r="J110" s="67">
        <f t="shared" si="3"/>
        <v>5139.75</v>
      </c>
      <c r="M110" s="67"/>
      <c r="N110" s="67"/>
      <c r="O110" s="67">
        <v>0</v>
      </c>
      <c r="P110" s="67"/>
      <c r="Q110" s="67"/>
      <c r="R110" s="67"/>
      <c r="S110" s="67"/>
      <c r="T110" s="67"/>
      <c r="U110" s="67"/>
      <c r="W110" s="289">
        <f t="shared" si="4"/>
        <v>-5139.75</v>
      </c>
      <c r="Y110" s="228"/>
      <c r="Z110" s="67"/>
      <c r="AA110" s="67"/>
      <c r="AB110" s="67"/>
      <c r="AC110" s="67"/>
      <c r="AD110" s="67"/>
      <c r="AE110" s="229"/>
      <c r="AH110" s="362">
        <v>-5216.5414000000001</v>
      </c>
      <c r="AI110" s="67"/>
      <c r="AJ110" s="67"/>
      <c r="AK110" s="67"/>
      <c r="AL110" s="229"/>
      <c r="AN110" s="289">
        <f t="shared" si="5"/>
        <v>-5216.5414000000001</v>
      </c>
    </row>
    <row r="111" spans="1:40" ht="15" customHeight="1">
      <c r="A111" s="200">
        <v>1024</v>
      </c>
      <c r="B111" s="2">
        <v>103137</v>
      </c>
      <c r="C111" s="2" t="s">
        <v>392</v>
      </c>
      <c r="D111" s="2" t="s">
        <v>393</v>
      </c>
      <c r="E111" s="191" t="s">
        <v>29</v>
      </c>
      <c r="F111" s="213" t="str">
        <f>VLOOKUP(A111,'Summary Mar 2026'!A:F,6,FALSE)</f>
        <v>Chq Bk</v>
      </c>
      <c r="H111" s="228">
        <v>3291.75</v>
      </c>
      <c r="I111" s="67">
        <v>0</v>
      </c>
      <c r="J111" s="67">
        <f t="shared" si="3"/>
        <v>3291.75</v>
      </c>
      <c r="M111" s="67"/>
      <c r="N111" s="67"/>
      <c r="O111" s="67">
        <v>0</v>
      </c>
      <c r="P111" s="67"/>
      <c r="Q111" s="67"/>
      <c r="R111" s="67"/>
      <c r="S111" s="67"/>
      <c r="T111" s="67"/>
      <c r="U111" s="67"/>
      <c r="W111" s="289">
        <f t="shared" si="4"/>
        <v>-3291.75</v>
      </c>
      <c r="Y111" s="228">
        <f>(3150.8*12)*9/12</f>
        <v>28357.200000000001</v>
      </c>
      <c r="Z111" s="67"/>
      <c r="AA111" s="67"/>
      <c r="AB111" s="67"/>
      <c r="AC111" s="67"/>
      <c r="AD111" s="67"/>
      <c r="AE111" s="229"/>
      <c r="AH111" s="362">
        <v>0</v>
      </c>
      <c r="AI111" s="67"/>
      <c r="AJ111" s="67"/>
      <c r="AK111" s="67"/>
      <c r="AL111" s="229"/>
      <c r="AN111" s="289">
        <f t="shared" si="5"/>
        <v>0</v>
      </c>
    </row>
    <row r="112" spans="1:40" ht="15" customHeight="1">
      <c r="A112" s="200">
        <v>7062</v>
      </c>
      <c r="B112" s="2">
        <v>103632</v>
      </c>
      <c r="C112" s="2" t="s">
        <v>180</v>
      </c>
      <c r="D112" s="2" t="s">
        <v>181</v>
      </c>
      <c r="E112" s="191" t="s">
        <v>47</v>
      </c>
      <c r="F112" s="213" t="str">
        <f>VLOOKUP(A112,'Summary Mar 2026'!A:F,6,FALSE)</f>
        <v>Chq Bk</v>
      </c>
      <c r="H112" s="228">
        <v>3291.75</v>
      </c>
      <c r="I112" s="67">
        <v>0</v>
      </c>
      <c r="J112" s="67">
        <f t="shared" si="3"/>
        <v>3291.75</v>
      </c>
      <c r="M112" s="67"/>
      <c r="N112" s="67"/>
      <c r="O112" s="67">
        <v>0</v>
      </c>
      <c r="P112" s="67"/>
      <c r="Q112" s="67"/>
      <c r="R112" s="67"/>
      <c r="S112" s="67"/>
      <c r="T112" s="67"/>
      <c r="U112" s="67"/>
      <c r="W112" s="289">
        <f t="shared" si="4"/>
        <v>-3291.75</v>
      </c>
      <c r="Y112" s="228"/>
      <c r="Z112" s="67"/>
      <c r="AA112" s="67"/>
      <c r="AB112" s="67"/>
      <c r="AC112" s="67"/>
      <c r="AD112" s="67"/>
      <c r="AE112" s="229"/>
      <c r="AH112" s="362">
        <v>0</v>
      </c>
      <c r="AI112" s="67"/>
      <c r="AJ112" s="67"/>
      <c r="AK112" s="67"/>
      <c r="AL112" s="229"/>
      <c r="AN112" s="289">
        <f t="shared" si="5"/>
        <v>0</v>
      </c>
    </row>
    <row r="113" spans="1:40" ht="15" customHeight="1">
      <c r="A113" s="200">
        <v>2004</v>
      </c>
      <c r="B113" s="2">
        <v>134094</v>
      </c>
      <c r="C113" s="2" t="s">
        <v>394</v>
      </c>
      <c r="D113" s="2" t="s">
        <v>395</v>
      </c>
      <c r="E113" s="191" t="s">
        <v>32</v>
      </c>
      <c r="F113" s="213" t="str">
        <f>VLOOKUP(A113,'Summary Mar 2026'!A:F,6,FALSE)</f>
        <v>Chq Bk</v>
      </c>
      <c r="H113" s="228">
        <v>5139.75</v>
      </c>
      <c r="I113" s="67">
        <v>0</v>
      </c>
      <c r="J113" s="67">
        <f t="shared" si="3"/>
        <v>5139.75</v>
      </c>
      <c r="M113" s="67"/>
      <c r="N113" s="67"/>
      <c r="O113" s="67">
        <v>0</v>
      </c>
      <c r="P113" s="67"/>
      <c r="Q113" s="67"/>
      <c r="R113" s="67"/>
      <c r="S113" s="67"/>
      <c r="T113" s="67"/>
      <c r="U113" s="67"/>
      <c r="W113" s="289">
        <f t="shared" si="4"/>
        <v>-5139.75</v>
      </c>
      <c r="Y113" s="228"/>
      <c r="Z113" s="67"/>
      <c r="AA113" s="67"/>
      <c r="AB113" s="67"/>
      <c r="AC113" s="67"/>
      <c r="AD113" s="67"/>
      <c r="AE113" s="229"/>
      <c r="AH113" s="362">
        <v>0</v>
      </c>
      <c r="AI113" s="67"/>
      <c r="AJ113" s="67"/>
      <c r="AK113" s="67"/>
      <c r="AL113" s="229"/>
      <c r="AN113" s="289">
        <f t="shared" si="5"/>
        <v>0</v>
      </c>
    </row>
    <row r="114" spans="1:40" ht="15" customHeight="1">
      <c r="A114" s="200">
        <v>1012</v>
      </c>
      <c r="B114" s="2">
        <v>103126</v>
      </c>
      <c r="C114" s="2" t="s">
        <v>194</v>
      </c>
      <c r="D114" s="2" t="s">
        <v>195</v>
      </c>
      <c r="E114" s="191" t="s">
        <v>29</v>
      </c>
      <c r="F114" s="213" t="str">
        <f>VLOOKUP(A114,'Summary Mar 2026'!A:F,6,FALSE)</f>
        <v>Chq Bk</v>
      </c>
      <c r="H114" s="228">
        <v>3291.75</v>
      </c>
      <c r="I114" s="67">
        <v>0</v>
      </c>
      <c r="J114" s="67">
        <f t="shared" si="3"/>
        <v>3291.75</v>
      </c>
      <c r="M114" s="67"/>
      <c r="N114" s="67"/>
      <c r="O114" s="67">
        <v>0</v>
      </c>
      <c r="P114" s="67"/>
      <c r="Q114" s="67"/>
      <c r="R114" s="67"/>
      <c r="S114" s="67"/>
      <c r="T114" s="67"/>
      <c r="U114" s="67"/>
      <c r="W114" s="289">
        <f t="shared" si="4"/>
        <v>-3291.75</v>
      </c>
      <c r="Y114" s="228"/>
      <c r="Z114" s="67"/>
      <c r="AA114" s="67"/>
      <c r="AB114" s="67"/>
      <c r="AC114" s="67"/>
      <c r="AD114" s="67"/>
      <c r="AE114" s="229"/>
      <c r="AH114" s="362">
        <v>0</v>
      </c>
      <c r="AI114" s="67"/>
      <c r="AJ114" s="67"/>
      <c r="AK114" s="67"/>
      <c r="AL114" s="229"/>
      <c r="AN114" s="289">
        <f t="shared" si="5"/>
        <v>0</v>
      </c>
    </row>
    <row r="115" spans="1:40" ht="15" customHeight="1">
      <c r="A115" s="200">
        <v>3003</v>
      </c>
      <c r="B115" s="2">
        <v>103398</v>
      </c>
      <c r="C115" s="2" t="s">
        <v>204</v>
      </c>
      <c r="D115" s="2" t="s">
        <v>205</v>
      </c>
      <c r="E115" s="191" t="s">
        <v>32</v>
      </c>
      <c r="F115" s="213" t="str">
        <f>VLOOKUP(A115,'Summary Mar 2026'!A:F,6,FALSE)</f>
        <v>Chq Bk</v>
      </c>
      <c r="H115" s="228">
        <v>5139.75</v>
      </c>
      <c r="I115" s="67">
        <v>0</v>
      </c>
      <c r="J115" s="67">
        <f t="shared" si="3"/>
        <v>5139.75</v>
      </c>
      <c r="M115" s="67"/>
      <c r="N115" s="67"/>
      <c r="O115" s="67">
        <v>0</v>
      </c>
      <c r="P115" s="67"/>
      <c r="Q115" s="67"/>
      <c r="R115" s="67"/>
      <c r="S115" s="67"/>
      <c r="T115" s="67"/>
      <c r="U115" s="67"/>
      <c r="W115" s="289">
        <f t="shared" si="4"/>
        <v>-5139.75</v>
      </c>
      <c r="Y115" s="228"/>
      <c r="Z115" s="67"/>
      <c r="AA115" s="67"/>
      <c r="AB115" s="67"/>
      <c r="AC115" s="67"/>
      <c r="AD115" s="67"/>
      <c r="AE115" s="229"/>
      <c r="AH115" s="362">
        <v>0</v>
      </c>
      <c r="AI115" s="67"/>
      <c r="AJ115" s="67"/>
      <c r="AK115" s="67"/>
      <c r="AL115" s="229"/>
      <c r="AN115" s="289">
        <f t="shared" si="5"/>
        <v>0</v>
      </c>
    </row>
    <row r="116" spans="1:40" ht="15" customHeight="1">
      <c r="A116" s="200">
        <v>2457</v>
      </c>
      <c r="B116" s="2">
        <v>103384</v>
      </c>
      <c r="C116" s="2" t="s">
        <v>208</v>
      </c>
      <c r="D116" s="2" t="s">
        <v>209</v>
      </c>
      <c r="E116" s="191" t="s">
        <v>32</v>
      </c>
      <c r="F116" s="213" t="str">
        <f>VLOOKUP(A116,'Summary Mar 2026'!A:F,6,FALSE)</f>
        <v>Chq Bk</v>
      </c>
      <c r="H116" s="228">
        <v>9471</v>
      </c>
      <c r="I116" s="67">
        <v>0</v>
      </c>
      <c r="J116" s="67">
        <f t="shared" si="3"/>
        <v>9471</v>
      </c>
      <c r="M116" s="67"/>
      <c r="N116" s="67"/>
      <c r="O116" s="67">
        <v>0</v>
      </c>
      <c r="P116" s="67"/>
      <c r="Q116" s="67"/>
      <c r="R116" s="67"/>
      <c r="S116" s="67"/>
      <c r="T116" s="67"/>
      <c r="U116" s="67"/>
      <c r="W116" s="289">
        <f t="shared" si="4"/>
        <v>-9471</v>
      </c>
      <c r="Y116" s="228"/>
      <c r="Z116" s="67"/>
      <c r="AA116" s="67"/>
      <c r="AB116" s="67"/>
      <c r="AC116" s="67"/>
      <c r="AD116" s="67"/>
      <c r="AE116" s="229"/>
      <c r="AH116" s="362">
        <v>-3832.5414000000001</v>
      </c>
      <c r="AI116" s="67"/>
      <c r="AJ116" s="67"/>
      <c r="AK116" s="67"/>
      <c r="AL116" s="229"/>
      <c r="AN116" s="289">
        <f t="shared" si="5"/>
        <v>-3832.5414000000001</v>
      </c>
    </row>
    <row r="117" spans="1:40" ht="15" customHeight="1">
      <c r="A117" s="200">
        <v>2142</v>
      </c>
      <c r="B117" s="2">
        <v>103237</v>
      </c>
      <c r="C117" s="2" t="s">
        <v>210</v>
      </c>
      <c r="D117" s="2" t="s">
        <v>211</v>
      </c>
      <c r="E117" s="191" t="s">
        <v>32</v>
      </c>
      <c r="F117" s="213" t="str">
        <f>VLOOKUP(A117,'Summary Mar 2026'!A:F,6,FALSE)</f>
        <v>Chq Bk</v>
      </c>
      <c r="H117" s="228">
        <v>9471</v>
      </c>
      <c r="I117" s="67">
        <v>0</v>
      </c>
      <c r="J117" s="67">
        <f t="shared" si="3"/>
        <v>9471</v>
      </c>
      <c r="M117" s="67"/>
      <c r="N117" s="67"/>
      <c r="O117" s="67">
        <v>0</v>
      </c>
      <c r="P117" s="67"/>
      <c r="Q117" s="67"/>
      <c r="R117" s="67"/>
      <c r="S117" s="67"/>
      <c r="T117" s="67"/>
      <c r="U117" s="67"/>
      <c r="W117" s="289">
        <f t="shared" si="4"/>
        <v>-9471</v>
      </c>
      <c r="Y117" s="228"/>
      <c r="Z117" s="67"/>
      <c r="AA117" s="67"/>
      <c r="AB117" s="67"/>
      <c r="AC117" s="67"/>
      <c r="AD117" s="67"/>
      <c r="AE117" s="229"/>
      <c r="AH117" s="362">
        <v>0</v>
      </c>
      <c r="AI117" s="67"/>
      <c r="AJ117" s="67"/>
      <c r="AK117" s="67"/>
      <c r="AL117" s="229"/>
      <c r="AN117" s="289">
        <f t="shared" si="5"/>
        <v>0</v>
      </c>
    </row>
    <row r="118" spans="1:40" ht="15" customHeight="1">
      <c r="A118" s="200">
        <v>2469</v>
      </c>
      <c r="B118" s="2">
        <v>103395</v>
      </c>
      <c r="C118" s="2" t="s">
        <v>212</v>
      </c>
      <c r="D118" s="2" t="s">
        <v>213</v>
      </c>
      <c r="E118" s="191" t="s">
        <v>32</v>
      </c>
      <c r="F118" s="213" t="str">
        <f>VLOOKUP(A118,'Summary Mar 2026'!A:F,6,FALSE)</f>
        <v>Chq Bk</v>
      </c>
      <c r="H118" s="811"/>
      <c r="I118" s="67">
        <v>8559</v>
      </c>
      <c r="J118" s="67">
        <f t="shared" si="3"/>
        <v>8559</v>
      </c>
      <c r="M118" s="67"/>
      <c r="N118" s="67"/>
      <c r="O118" s="67">
        <v>0</v>
      </c>
      <c r="P118" s="67"/>
      <c r="Q118" s="67"/>
      <c r="R118" s="67"/>
      <c r="S118" s="67"/>
      <c r="T118" s="67"/>
      <c r="U118" s="67"/>
      <c r="W118" s="289">
        <f t="shared" si="4"/>
        <v>-8559</v>
      </c>
      <c r="Y118" s="228"/>
      <c r="Z118" s="67"/>
      <c r="AA118" s="67"/>
      <c r="AB118" s="67"/>
      <c r="AC118" s="67"/>
      <c r="AD118" s="67"/>
      <c r="AE118" s="229"/>
      <c r="AH118" s="362">
        <v>0</v>
      </c>
      <c r="AI118" s="67"/>
      <c r="AJ118" s="67"/>
      <c r="AK118" s="67"/>
      <c r="AL118" s="229"/>
      <c r="AN118" s="289">
        <f t="shared" si="5"/>
        <v>0</v>
      </c>
    </row>
    <row r="119" spans="1:40" ht="15" customHeight="1">
      <c r="A119" s="200">
        <v>3431</v>
      </c>
      <c r="B119" s="2">
        <v>134774</v>
      </c>
      <c r="C119" s="2" t="s">
        <v>396</v>
      </c>
      <c r="D119" s="2" t="s">
        <v>397</v>
      </c>
      <c r="E119" s="191" t="s">
        <v>32</v>
      </c>
      <c r="F119" s="213" t="str">
        <f>VLOOKUP(A119,'Summary Mar 2026'!A:F,6,FALSE)</f>
        <v>Academy</v>
      </c>
      <c r="H119" s="228">
        <v>18745.650000000001</v>
      </c>
      <c r="I119" s="67">
        <v>0</v>
      </c>
      <c r="J119" s="67">
        <f t="shared" si="3"/>
        <v>18745.650000000001</v>
      </c>
      <c r="M119" s="67"/>
      <c r="N119" s="67"/>
      <c r="O119" s="67">
        <v>-10934.962500000001</v>
      </c>
      <c r="P119" s="67"/>
      <c r="Q119" s="67"/>
      <c r="R119" s="67"/>
      <c r="S119" s="67"/>
      <c r="T119" s="67"/>
      <c r="U119" s="67"/>
      <c r="W119" s="289">
        <f t="shared" si="4"/>
        <v>-7810.6875</v>
      </c>
      <c r="Y119" s="228"/>
      <c r="Z119" s="67"/>
      <c r="AA119" s="67"/>
      <c r="AB119" s="67"/>
      <c r="AC119" s="67"/>
      <c r="AD119" s="67"/>
      <c r="AE119" s="229"/>
      <c r="AH119" s="362">
        <v>0</v>
      </c>
      <c r="AI119" s="67"/>
      <c r="AJ119" s="67"/>
      <c r="AK119" s="67"/>
      <c r="AL119" s="229"/>
      <c r="AN119" s="289">
        <f t="shared" si="5"/>
        <v>0</v>
      </c>
    </row>
    <row r="120" spans="1:40" ht="15" customHeight="1">
      <c r="A120" s="200">
        <v>1028</v>
      </c>
      <c r="B120" s="2">
        <v>103141</v>
      </c>
      <c r="C120" s="2" t="s">
        <v>398</v>
      </c>
      <c r="D120" s="2" t="s">
        <v>399</v>
      </c>
      <c r="E120" s="191" t="s">
        <v>29</v>
      </c>
      <c r="F120" s="213" t="str">
        <f>VLOOKUP(A120,'Summary Mar 2026'!A:F,6,FALSE)</f>
        <v>Chq Bk</v>
      </c>
      <c r="H120" s="228">
        <v>3291.75</v>
      </c>
      <c r="I120" s="67">
        <v>0</v>
      </c>
      <c r="J120" s="67">
        <f t="shared" si="3"/>
        <v>3291.75</v>
      </c>
      <c r="M120" s="67"/>
      <c r="N120" s="67"/>
      <c r="O120" s="67">
        <v>0</v>
      </c>
      <c r="P120" s="67"/>
      <c r="Q120" s="67"/>
      <c r="R120" s="67"/>
      <c r="S120" s="67"/>
      <c r="T120" s="67"/>
      <c r="U120" s="67"/>
      <c r="W120" s="289">
        <f t="shared" si="4"/>
        <v>-3291.75</v>
      </c>
      <c r="Y120" s="228"/>
      <c r="Z120" s="67"/>
      <c r="AA120" s="67"/>
      <c r="AB120" s="67"/>
      <c r="AC120" s="67"/>
      <c r="AD120" s="67"/>
      <c r="AE120" s="229"/>
      <c r="AH120" s="362">
        <v>0</v>
      </c>
      <c r="AI120" s="67"/>
      <c r="AJ120" s="67"/>
      <c r="AK120" s="67"/>
      <c r="AL120" s="229"/>
      <c r="AN120" s="289">
        <f t="shared" si="5"/>
        <v>0</v>
      </c>
    </row>
    <row r="121" spans="1:40" ht="15" customHeight="1">
      <c r="A121" s="200">
        <v>1049</v>
      </c>
      <c r="B121" s="2">
        <v>103145</v>
      </c>
      <c r="C121" s="2" t="s">
        <v>214</v>
      </c>
      <c r="D121" s="2" t="s">
        <v>215</v>
      </c>
      <c r="E121" s="191" t="s">
        <v>29</v>
      </c>
      <c r="F121" s="213" t="str">
        <f>VLOOKUP(A121,'Summary Mar 2026'!A:F,6,FALSE)</f>
        <v>Chq Bk</v>
      </c>
      <c r="H121" s="228">
        <v>3291.75</v>
      </c>
      <c r="I121" s="67">
        <v>0</v>
      </c>
      <c r="J121" s="67">
        <f t="shared" si="3"/>
        <v>3291.75</v>
      </c>
      <c r="M121" s="67"/>
      <c r="N121" s="67"/>
      <c r="O121" s="67">
        <v>0</v>
      </c>
      <c r="P121" s="67"/>
      <c r="Q121" s="67"/>
      <c r="R121" s="67"/>
      <c r="S121" s="67"/>
      <c r="T121" s="67"/>
      <c r="U121" s="67"/>
      <c r="W121" s="289">
        <f t="shared" si="4"/>
        <v>-3291.75</v>
      </c>
      <c r="Y121" s="228"/>
      <c r="Z121" s="67"/>
      <c r="AA121" s="67"/>
      <c r="AB121" s="67"/>
      <c r="AC121" s="67"/>
      <c r="AD121" s="67"/>
      <c r="AE121" s="229"/>
      <c r="AH121" s="362">
        <v>0</v>
      </c>
      <c r="AI121" s="67"/>
      <c r="AJ121" s="67"/>
      <c r="AK121" s="67"/>
      <c r="AL121" s="229"/>
      <c r="AN121" s="289">
        <f t="shared" si="5"/>
        <v>0</v>
      </c>
    </row>
    <row r="122" spans="1:40" ht="15" customHeight="1">
      <c r="A122" s="200">
        <v>2150</v>
      </c>
      <c r="B122" s="2">
        <v>103241</v>
      </c>
      <c r="C122" s="2" t="s">
        <v>400</v>
      </c>
      <c r="D122" s="2" t="s">
        <v>401</v>
      </c>
      <c r="E122" s="191" t="s">
        <v>32</v>
      </c>
      <c r="F122" s="213" t="str">
        <f>VLOOKUP(A122,'Summary Mar 2026'!A:F,6,FALSE)</f>
        <v>Chq Bk</v>
      </c>
      <c r="H122" s="228">
        <v>5139.75</v>
      </c>
      <c r="I122" s="67">
        <v>0</v>
      </c>
      <c r="J122" s="67">
        <f t="shared" si="3"/>
        <v>5139.75</v>
      </c>
      <c r="M122" s="67"/>
      <c r="N122" s="67"/>
      <c r="O122" s="67">
        <v>0</v>
      </c>
      <c r="P122" s="67"/>
      <c r="Q122" s="67"/>
      <c r="R122" s="67"/>
      <c r="S122" s="67"/>
      <c r="T122" s="67"/>
      <c r="U122" s="67"/>
      <c r="W122" s="289">
        <f t="shared" si="4"/>
        <v>-5139.75</v>
      </c>
      <c r="Y122" s="228"/>
      <c r="Z122" s="67"/>
      <c r="AA122" s="67"/>
      <c r="AB122" s="67"/>
      <c r="AC122" s="67"/>
      <c r="AD122" s="67"/>
      <c r="AE122" s="229"/>
      <c r="AH122" s="362">
        <v>0</v>
      </c>
      <c r="AI122" s="67"/>
      <c r="AJ122" s="67"/>
      <c r="AK122" s="67"/>
      <c r="AL122" s="229"/>
      <c r="AN122" s="289">
        <f t="shared" si="5"/>
        <v>0</v>
      </c>
    </row>
    <row r="123" spans="1:40" ht="15" customHeight="1">
      <c r="A123" s="200">
        <v>2425</v>
      </c>
      <c r="B123" s="2">
        <v>103356</v>
      </c>
      <c r="C123" s="2" t="s">
        <v>402</v>
      </c>
      <c r="D123" s="2" t="s">
        <v>403</v>
      </c>
      <c r="E123" s="191" t="s">
        <v>32</v>
      </c>
      <c r="F123" s="213" t="str">
        <f>VLOOKUP(A123,'Summary Mar 2026'!A:F,6,FALSE)</f>
        <v>Chq Bk</v>
      </c>
      <c r="H123" s="228">
        <v>5139.75</v>
      </c>
      <c r="I123" s="67">
        <v>0</v>
      </c>
      <c r="J123" s="67">
        <f t="shared" si="3"/>
        <v>5139.75</v>
      </c>
      <c r="M123" s="67"/>
      <c r="N123" s="67"/>
      <c r="O123" s="67">
        <v>0</v>
      </c>
      <c r="P123" s="67"/>
      <c r="Q123" s="67"/>
      <c r="R123" s="67"/>
      <c r="S123" s="67"/>
      <c r="T123" s="67"/>
      <c r="U123" s="67"/>
      <c r="W123" s="289">
        <f t="shared" si="4"/>
        <v>-5139.75</v>
      </c>
      <c r="Y123" s="228"/>
      <c r="Z123" s="67"/>
      <c r="AA123" s="67"/>
      <c r="AB123" s="67"/>
      <c r="AC123" s="67"/>
      <c r="AD123" s="67"/>
      <c r="AE123" s="229"/>
      <c r="AH123" s="362">
        <v>0</v>
      </c>
      <c r="AI123" s="67"/>
      <c r="AJ123" s="67"/>
      <c r="AK123" s="67"/>
      <c r="AL123" s="229"/>
      <c r="AN123" s="289">
        <f t="shared" si="5"/>
        <v>0</v>
      </c>
    </row>
    <row r="124" spans="1:40" ht="15" customHeight="1">
      <c r="A124" s="200">
        <v>1008</v>
      </c>
      <c r="B124" s="2">
        <v>103123</v>
      </c>
      <c r="C124" s="2" t="s">
        <v>222</v>
      </c>
      <c r="D124" s="2" t="s">
        <v>223</v>
      </c>
      <c r="E124" s="191" t="s">
        <v>29</v>
      </c>
      <c r="F124" s="213" t="str">
        <f>VLOOKUP(A124,'Summary Mar 2026'!A:F,6,FALSE)</f>
        <v>Chq Bk</v>
      </c>
      <c r="H124" s="228">
        <v>3291.75</v>
      </c>
      <c r="I124" s="67">
        <v>0</v>
      </c>
      <c r="J124" s="67">
        <f t="shared" si="3"/>
        <v>3291.75</v>
      </c>
      <c r="M124" s="67"/>
      <c r="N124" s="67"/>
      <c r="O124" s="67">
        <v>0</v>
      </c>
      <c r="P124" s="67"/>
      <c r="Q124" s="67"/>
      <c r="R124" s="67"/>
      <c r="S124" s="67"/>
      <c r="T124" s="67"/>
      <c r="U124" s="67"/>
      <c r="W124" s="289">
        <f t="shared" si="4"/>
        <v>-3291.75</v>
      </c>
      <c r="Y124" s="228"/>
      <c r="Z124" s="67"/>
      <c r="AA124" s="67"/>
      <c r="AB124" s="67"/>
      <c r="AC124" s="67"/>
      <c r="AD124" s="67"/>
      <c r="AE124" s="229"/>
      <c r="AH124" s="362">
        <v>0</v>
      </c>
      <c r="AI124" s="67"/>
      <c r="AJ124" s="67"/>
      <c r="AK124" s="67"/>
      <c r="AL124" s="229"/>
      <c r="AN124" s="289">
        <f t="shared" si="5"/>
        <v>0</v>
      </c>
    </row>
    <row r="125" spans="1:40" ht="15" customHeight="1">
      <c r="A125" s="200">
        <v>7034</v>
      </c>
      <c r="B125" s="2">
        <v>103614</v>
      </c>
      <c r="C125" s="2" t="s">
        <v>404</v>
      </c>
      <c r="D125" s="2" t="s">
        <v>405</v>
      </c>
      <c r="E125" s="191" t="s">
        <v>47</v>
      </c>
      <c r="F125" s="213" t="str">
        <f>VLOOKUP(A125,'Summary Mar 2026'!A:F,6,FALSE)</f>
        <v>Chq Bk</v>
      </c>
      <c r="H125" s="228">
        <v>3291.75</v>
      </c>
      <c r="I125" s="67">
        <v>0</v>
      </c>
      <c r="J125" s="67">
        <f t="shared" si="3"/>
        <v>3291.75</v>
      </c>
      <c r="M125" s="67"/>
      <c r="N125" s="67"/>
      <c r="O125" s="67">
        <v>0</v>
      </c>
      <c r="P125" s="67"/>
      <c r="Q125" s="67"/>
      <c r="R125" s="67"/>
      <c r="S125" s="67"/>
      <c r="T125" s="67"/>
      <c r="U125" s="67"/>
      <c r="W125" s="289">
        <f t="shared" si="4"/>
        <v>-3291.75</v>
      </c>
      <c r="Y125" s="228"/>
      <c r="Z125" s="67"/>
      <c r="AA125" s="67"/>
      <c r="AB125" s="67"/>
      <c r="AC125" s="67"/>
      <c r="AD125" s="67"/>
      <c r="AE125" s="229"/>
      <c r="AH125" s="362">
        <v>0</v>
      </c>
      <c r="AI125" s="67"/>
      <c r="AJ125" s="67"/>
      <c r="AK125" s="67"/>
      <c r="AL125" s="229"/>
      <c r="AN125" s="289">
        <f t="shared" si="5"/>
        <v>0</v>
      </c>
    </row>
    <row r="126" spans="1:40" ht="15" customHeight="1">
      <c r="A126" s="200">
        <v>2157</v>
      </c>
      <c r="B126" s="2">
        <v>103246</v>
      </c>
      <c r="C126" s="2" t="s">
        <v>406</v>
      </c>
      <c r="D126" s="2" t="s">
        <v>407</v>
      </c>
      <c r="E126" s="191" t="s">
        <v>32</v>
      </c>
      <c r="F126" s="213" t="str">
        <f>VLOOKUP(A126,'Summary Mar 2026'!A:F,6,FALSE)</f>
        <v>Chq Bk</v>
      </c>
      <c r="H126" s="228">
        <v>9471</v>
      </c>
      <c r="I126" s="67">
        <v>0</v>
      </c>
      <c r="J126" s="67">
        <f t="shared" si="3"/>
        <v>9471</v>
      </c>
      <c r="M126" s="67"/>
      <c r="N126" s="67"/>
      <c r="O126" s="67">
        <v>0</v>
      </c>
      <c r="P126" s="67"/>
      <c r="Q126" s="67"/>
      <c r="R126" s="67"/>
      <c r="S126" s="67"/>
      <c r="T126" s="67"/>
      <c r="U126" s="67"/>
      <c r="W126" s="289">
        <f t="shared" si="4"/>
        <v>-9471</v>
      </c>
      <c r="Y126" s="228"/>
      <c r="Z126" s="67"/>
      <c r="AA126" s="67"/>
      <c r="AB126" s="67"/>
      <c r="AC126" s="67"/>
      <c r="AD126" s="67"/>
      <c r="AE126" s="229"/>
      <c r="AH126" s="362">
        <v>0</v>
      </c>
      <c r="AI126" s="67"/>
      <c r="AJ126" s="67"/>
      <c r="AK126" s="67"/>
      <c r="AL126" s="229"/>
      <c r="AN126" s="289">
        <f t="shared" si="5"/>
        <v>0</v>
      </c>
    </row>
    <row r="127" spans="1:40" ht="15" customHeight="1">
      <c r="A127" s="200">
        <v>2159</v>
      </c>
      <c r="B127" s="2">
        <v>103247</v>
      </c>
      <c r="C127" s="2" t="s">
        <v>226</v>
      </c>
      <c r="D127" s="2" t="s">
        <v>227</v>
      </c>
      <c r="E127" s="191" t="s">
        <v>32</v>
      </c>
      <c r="F127" s="213" t="str">
        <f>VLOOKUP(A127,'Summary Mar 2026'!A:F,6,FALSE)</f>
        <v>Chq Bk</v>
      </c>
      <c r="H127" s="228">
        <v>5139.75</v>
      </c>
      <c r="I127" s="67">
        <v>0</v>
      </c>
      <c r="J127" s="67">
        <f t="shared" si="3"/>
        <v>5139.75</v>
      </c>
      <c r="M127" s="67"/>
      <c r="N127" s="67"/>
      <c r="O127" s="67">
        <v>0</v>
      </c>
      <c r="P127" s="67"/>
      <c r="Q127" s="67"/>
      <c r="R127" s="67"/>
      <c r="S127" s="67"/>
      <c r="T127" s="67"/>
      <c r="U127" s="67"/>
      <c r="W127" s="289">
        <f t="shared" si="4"/>
        <v>-5139.75</v>
      </c>
      <c r="Y127" s="228"/>
      <c r="Z127" s="67"/>
      <c r="AA127" s="67"/>
      <c r="AB127" s="67"/>
      <c r="AC127" s="67"/>
      <c r="AD127" s="67"/>
      <c r="AE127" s="229"/>
      <c r="AH127" s="362">
        <v>0</v>
      </c>
      <c r="AI127" s="67"/>
      <c r="AJ127" s="67"/>
      <c r="AK127" s="67"/>
      <c r="AL127" s="229"/>
      <c r="AN127" s="289">
        <f t="shared" si="5"/>
        <v>0</v>
      </c>
    </row>
    <row r="128" spans="1:40" ht="15" customHeight="1">
      <c r="A128" s="200">
        <v>2161</v>
      </c>
      <c r="B128" s="2">
        <v>103249</v>
      </c>
      <c r="C128" s="2" t="s">
        <v>228</v>
      </c>
      <c r="D128" s="2" t="s">
        <v>229</v>
      </c>
      <c r="E128" s="191" t="s">
        <v>32</v>
      </c>
      <c r="F128" s="213" t="str">
        <f>VLOOKUP(A128,'Summary Mar 2026'!A:F,6,FALSE)</f>
        <v>Chq Bk</v>
      </c>
      <c r="H128" s="228">
        <v>5139.75</v>
      </c>
      <c r="I128" s="67">
        <v>0</v>
      </c>
      <c r="J128" s="67">
        <f t="shared" si="3"/>
        <v>5139.75</v>
      </c>
      <c r="M128" s="67"/>
      <c r="N128" s="67"/>
      <c r="O128" s="67">
        <v>0</v>
      </c>
      <c r="P128" s="67"/>
      <c r="Q128" s="67"/>
      <c r="R128" s="67"/>
      <c r="S128" s="67"/>
      <c r="T128" s="67"/>
      <c r="U128" s="67"/>
      <c r="W128" s="289">
        <f t="shared" si="4"/>
        <v>-5139.75</v>
      </c>
      <c r="Y128" s="228"/>
      <c r="Z128" s="67"/>
      <c r="AA128" s="67"/>
      <c r="AB128" s="67"/>
      <c r="AC128" s="67"/>
      <c r="AD128" s="67"/>
      <c r="AE128" s="229"/>
      <c r="AH128" s="362">
        <v>0</v>
      </c>
      <c r="AI128" s="67"/>
      <c r="AJ128" s="67"/>
      <c r="AK128" s="67"/>
      <c r="AL128" s="229"/>
      <c r="AN128" s="289">
        <f t="shared" si="5"/>
        <v>0</v>
      </c>
    </row>
    <row r="129" spans="1:40" ht="15" customHeight="1">
      <c r="A129" s="200">
        <v>1018</v>
      </c>
      <c r="B129" s="2">
        <v>103131</v>
      </c>
      <c r="C129" s="2" t="s">
        <v>234</v>
      </c>
      <c r="D129" s="2" t="s">
        <v>235</v>
      </c>
      <c r="E129" s="191" t="s">
        <v>29</v>
      </c>
      <c r="F129" s="213" t="str">
        <f>VLOOKUP(A129,'Summary Mar 2026'!A:F,6,FALSE)</f>
        <v>Chq Bk</v>
      </c>
      <c r="H129" s="228">
        <v>3291.75</v>
      </c>
      <c r="I129" s="67">
        <v>0</v>
      </c>
      <c r="J129" s="67">
        <f t="shared" si="3"/>
        <v>3291.75</v>
      </c>
      <c r="M129" s="67"/>
      <c r="N129" s="67"/>
      <c r="O129" s="67">
        <v>0</v>
      </c>
      <c r="P129" s="67"/>
      <c r="Q129" s="67"/>
      <c r="R129" s="67"/>
      <c r="S129" s="67"/>
      <c r="T129" s="67"/>
      <c r="U129" s="67"/>
      <c r="W129" s="289">
        <f t="shared" si="4"/>
        <v>-3291.75</v>
      </c>
      <c r="Y129" s="228"/>
      <c r="Z129" s="67"/>
      <c r="AA129" s="67"/>
      <c r="AB129" s="67"/>
      <c r="AC129" s="67"/>
      <c r="AD129" s="67"/>
      <c r="AE129" s="229"/>
      <c r="AH129" s="362">
        <v>0</v>
      </c>
      <c r="AI129" s="67"/>
      <c r="AJ129" s="67"/>
      <c r="AK129" s="67"/>
      <c r="AL129" s="229"/>
      <c r="AN129" s="289">
        <f t="shared" si="5"/>
        <v>0</v>
      </c>
    </row>
    <row r="130" spans="1:40" ht="15" customHeight="1">
      <c r="A130" s="200">
        <v>1000</v>
      </c>
      <c r="B130" s="2">
        <v>137796</v>
      </c>
      <c r="C130" s="2" t="s">
        <v>408</v>
      </c>
      <c r="D130" s="2" t="s">
        <v>409</v>
      </c>
      <c r="E130" s="191" t="s">
        <v>29</v>
      </c>
      <c r="F130" s="213" t="str">
        <f>VLOOKUP(A130,'Summary Mar 2026'!A:F,6,FALSE)</f>
        <v>Chq Bk</v>
      </c>
      <c r="H130" s="811"/>
      <c r="I130" s="67">
        <v>1107</v>
      </c>
      <c r="J130" s="67">
        <f t="shared" si="3"/>
        <v>1107</v>
      </c>
      <c r="M130" s="67"/>
      <c r="N130" s="67"/>
      <c r="O130" s="67">
        <v>0</v>
      </c>
      <c r="P130" s="67"/>
      <c r="Q130" s="67"/>
      <c r="R130" s="67"/>
      <c r="S130" s="67"/>
      <c r="T130" s="67"/>
      <c r="U130" s="67"/>
      <c r="W130" s="289">
        <f t="shared" si="4"/>
        <v>-1107</v>
      </c>
      <c r="Y130" s="228"/>
      <c r="Z130" s="67"/>
      <c r="AA130" s="67"/>
      <c r="AB130" s="67"/>
      <c r="AC130" s="67"/>
      <c r="AD130" s="67"/>
      <c r="AE130" s="229"/>
      <c r="AH130" s="362">
        <v>0</v>
      </c>
      <c r="AI130" s="67"/>
      <c r="AJ130" s="67"/>
      <c r="AK130" s="67"/>
      <c r="AL130" s="229"/>
      <c r="AN130" s="289">
        <f t="shared" si="5"/>
        <v>0</v>
      </c>
    </row>
    <row r="131" spans="1:40" ht="15" customHeight="1">
      <c r="A131" s="200">
        <v>2169</v>
      </c>
      <c r="B131" s="2">
        <v>103252</v>
      </c>
      <c r="C131" s="2" t="s">
        <v>240</v>
      </c>
      <c r="D131" s="2" t="s">
        <v>241</v>
      </c>
      <c r="E131" s="191" t="s">
        <v>32</v>
      </c>
      <c r="F131" s="213" t="str">
        <f>VLOOKUP(A131,'Summary Mar 2026'!A:F,6,FALSE)</f>
        <v>Chq Bk</v>
      </c>
      <c r="H131" s="228">
        <v>9471</v>
      </c>
      <c r="I131" s="67">
        <v>0</v>
      </c>
      <c r="J131" s="67">
        <f t="shared" si="3"/>
        <v>9471</v>
      </c>
      <c r="M131" s="67"/>
      <c r="N131" s="67"/>
      <c r="O131" s="67">
        <v>0</v>
      </c>
      <c r="P131" s="67"/>
      <c r="Q131" s="67"/>
      <c r="R131" s="67"/>
      <c r="S131" s="67"/>
      <c r="T131" s="67"/>
      <c r="U131" s="67"/>
      <c r="W131" s="289">
        <f t="shared" si="4"/>
        <v>-9471</v>
      </c>
      <c r="Y131" s="228"/>
      <c r="Z131" s="67"/>
      <c r="AA131" s="67"/>
      <c r="AB131" s="67"/>
      <c r="AC131" s="67"/>
      <c r="AD131" s="67"/>
      <c r="AE131" s="229"/>
      <c r="AH131" s="362">
        <v>0</v>
      </c>
      <c r="AI131" s="67"/>
      <c r="AJ131" s="67"/>
      <c r="AK131" s="67"/>
      <c r="AL131" s="229"/>
      <c r="AN131" s="289">
        <f t="shared" si="5"/>
        <v>0</v>
      </c>
    </row>
    <row r="132" spans="1:40" ht="15" customHeight="1">
      <c r="A132" s="200">
        <v>7047</v>
      </c>
      <c r="B132" s="2">
        <v>103623</v>
      </c>
      <c r="C132" s="2" t="s">
        <v>250</v>
      </c>
      <c r="D132" s="2" t="s">
        <v>251</v>
      </c>
      <c r="E132" s="191" t="s">
        <v>47</v>
      </c>
      <c r="F132" s="213" t="str">
        <f>VLOOKUP(A132,'Summary Mar 2026'!A:F,6,FALSE)</f>
        <v>Chq Bk</v>
      </c>
      <c r="H132" s="228">
        <v>3291.75</v>
      </c>
      <c r="I132" s="67">
        <v>0</v>
      </c>
      <c r="J132" s="67">
        <f t="shared" ref="J132:J193" si="6">H132+I132</f>
        <v>3291.75</v>
      </c>
      <c r="M132" s="67"/>
      <c r="N132" s="67"/>
      <c r="O132" s="67">
        <v>0</v>
      </c>
      <c r="P132" s="67"/>
      <c r="Q132" s="67"/>
      <c r="R132" s="67"/>
      <c r="S132" s="67"/>
      <c r="T132" s="67"/>
      <c r="U132" s="67"/>
      <c r="W132" s="289">
        <f t="shared" si="4"/>
        <v>-3291.75</v>
      </c>
      <c r="Y132" s="228"/>
      <c r="Z132" s="67"/>
      <c r="AA132" s="67"/>
      <c r="AB132" s="67"/>
      <c r="AC132" s="67"/>
      <c r="AD132" s="67"/>
      <c r="AE132" s="229"/>
      <c r="AH132" s="362">
        <v>0</v>
      </c>
      <c r="AI132" s="67"/>
      <c r="AJ132" s="67"/>
      <c r="AK132" s="67"/>
      <c r="AL132" s="229"/>
      <c r="AN132" s="289">
        <f t="shared" si="5"/>
        <v>0</v>
      </c>
    </row>
    <row r="133" spans="1:40" ht="15" customHeight="1">
      <c r="A133" s="200">
        <v>3381</v>
      </c>
      <c r="B133" s="2">
        <v>103466</v>
      </c>
      <c r="C133" s="2" t="s">
        <v>254</v>
      </c>
      <c r="D133" s="2" t="s">
        <v>255</v>
      </c>
      <c r="E133" s="191" t="s">
        <v>32</v>
      </c>
      <c r="F133" s="213" t="str">
        <f>VLOOKUP(A133,'Summary Mar 2026'!A:F,6,FALSE)</f>
        <v>Chq Bk</v>
      </c>
      <c r="H133" s="228">
        <v>0</v>
      </c>
      <c r="I133" s="67">
        <v>0</v>
      </c>
      <c r="J133" s="67">
        <f t="shared" si="6"/>
        <v>0</v>
      </c>
      <c r="M133" s="67"/>
      <c r="N133" s="67"/>
      <c r="O133" s="67">
        <v>0</v>
      </c>
      <c r="P133" s="67"/>
      <c r="Q133" s="67"/>
      <c r="R133" s="67"/>
      <c r="S133" s="67"/>
      <c r="T133" s="67"/>
      <c r="U133" s="67"/>
      <c r="W133" s="289">
        <f t="shared" si="4"/>
        <v>0</v>
      </c>
      <c r="Y133" s="228"/>
      <c r="Z133" s="67"/>
      <c r="AA133" s="67"/>
      <c r="AB133" s="67"/>
      <c r="AC133" s="67"/>
      <c r="AD133" s="67"/>
      <c r="AE133" s="229"/>
      <c r="AH133" s="362">
        <v>0</v>
      </c>
      <c r="AI133" s="67"/>
      <c r="AJ133" s="67"/>
      <c r="AK133" s="67"/>
      <c r="AL133" s="229"/>
      <c r="AN133" s="289">
        <f t="shared" si="5"/>
        <v>0</v>
      </c>
    </row>
    <row r="134" spans="1:40" ht="15" customHeight="1">
      <c r="A134" s="200">
        <v>3329</v>
      </c>
      <c r="B134" s="2">
        <v>103431</v>
      </c>
      <c r="C134" s="2" t="s">
        <v>410</v>
      </c>
      <c r="D134" s="2" t="s">
        <v>411</v>
      </c>
      <c r="E134" s="191" t="s">
        <v>32</v>
      </c>
      <c r="F134" s="213" t="str">
        <f>VLOOKUP(A134,'Summary Mar 2026'!A:F,6,FALSE)</f>
        <v>Academy</v>
      </c>
      <c r="H134" s="228">
        <v>5139.75</v>
      </c>
      <c r="I134" s="67">
        <v>0</v>
      </c>
      <c r="J134" s="67">
        <f t="shared" si="6"/>
        <v>5139.75</v>
      </c>
      <c r="M134" s="67"/>
      <c r="N134" s="67"/>
      <c r="O134" s="67">
        <v>-2998.1875</v>
      </c>
      <c r="P134" s="67"/>
      <c r="Q134" s="67"/>
      <c r="R134" s="67"/>
      <c r="S134" s="67"/>
      <c r="T134" s="67"/>
      <c r="U134" s="67"/>
      <c r="W134" s="289">
        <f t="shared" si="4"/>
        <v>-2141.5625</v>
      </c>
      <c r="Y134" s="228"/>
      <c r="Z134" s="67"/>
      <c r="AA134" s="67"/>
      <c r="AB134" s="67"/>
      <c r="AC134" s="67"/>
      <c r="AD134" s="67"/>
      <c r="AE134" s="229"/>
      <c r="AH134" s="362">
        <v>0</v>
      </c>
      <c r="AI134" s="67"/>
      <c r="AJ134" s="67"/>
      <c r="AK134" s="67"/>
      <c r="AL134" s="229"/>
      <c r="AN134" s="289">
        <f t="shared" si="5"/>
        <v>0</v>
      </c>
    </row>
    <row r="135" spans="1:40" ht="15" customHeight="1">
      <c r="A135" s="200">
        <v>2183</v>
      </c>
      <c r="B135" s="2">
        <v>103261</v>
      </c>
      <c r="C135" s="2" t="s">
        <v>258</v>
      </c>
      <c r="D135" s="2" t="s">
        <v>259</v>
      </c>
      <c r="E135" s="191" t="s">
        <v>32</v>
      </c>
      <c r="F135" s="213" t="str">
        <f>VLOOKUP(A135,'Summary Mar 2026'!A:F,6,FALSE)</f>
        <v>Chq Bk</v>
      </c>
      <c r="H135" s="228">
        <v>9471</v>
      </c>
      <c r="I135" s="67">
        <v>0</v>
      </c>
      <c r="J135" s="67">
        <f t="shared" si="6"/>
        <v>9471</v>
      </c>
      <c r="M135" s="67"/>
      <c r="N135" s="67"/>
      <c r="O135" s="67">
        <v>0</v>
      </c>
      <c r="P135" s="67"/>
      <c r="Q135" s="67"/>
      <c r="R135" s="67"/>
      <c r="S135" s="67"/>
      <c r="T135" s="67"/>
      <c r="U135" s="67"/>
      <c r="W135" s="289">
        <f t="shared" si="4"/>
        <v>-9471</v>
      </c>
      <c r="Y135" s="228"/>
      <c r="Z135" s="67"/>
      <c r="AA135" s="67"/>
      <c r="AB135" s="67"/>
      <c r="AC135" s="67"/>
      <c r="AD135" s="67"/>
      <c r="AE135" s="229"/>
      <c r="AH135" s="362">
        <v>0</v>
      </c>
      <c r="AI135" s="67"/>
      <c r="AJ135" s="67"/>
      <c r="AK135" s="67"/>
      <c r="AL135" s="229"/>
      <c r="AN135" s="289">
        <f t="shared" si="5"/>
        <v>0</v>
      </c>
    </row>
    <row r="136" spans="1:40" ht="15" customHeight="1">
      <c r="A136" s="200">
        <v>3331</v>
      </c>
      <c r="B136" s="2">
        <v>103433</v>
      </c>
      <c r="C136" s="2" t="s">
        <v>264</v>
      </c>
      <c r="D136" s="2" t="s">
        <v>265</v>
      </c>
      <c r="E136" s="191" t="s">
        <v>32</v>
      </c>
      <c r="F136" s="213" t="str">
        <f>VLOOKUP(A136,'Summary Mar 2026'!A:F,6,FALSE)</f>
        <v>Chq Bk</v>
      </c>
      <c r="H136" s="228">
        <v>0</v>
      </c>
      <c r="I136" s="67">
        <v>0</v>
      </c>
      <c r="J136" s="67">
        <f t="shared" si="6"/>
        <v>0</v>
      </c>
      <c r="M136" s="67"/>
      <c r="N136" s="67"/>
      <c r="O136" s="67">
        <v>0</v>
      </c>
      <c r="P136" s="67"/>
      <c r="Q136" s="67"/>
      <c r="R136" s="67"/>
      <c r="S136" s="67"/>
      <c r="T136" s="67"/>
      <c r="U136" s="67"/>
      <c r="W136" s="289">
        <f t="shared" ref="W136:W199" si="7">-SUMIFS($H136:$P136,$H$3:$P$3,W$6)</f>
        <v>0</v>
      </c>
      <c r="Y136" s="228"/>
      <c r="Z136" s="67"/>
      <c r="AA136" s="67"/>
      <c r="AB136" s="67"/>
      <c r="AC136" s="67"/>
      <c r="AD136" s="67"/>
      <c r="AE136" s="229"/>
      <c r="AH136" s="362">
        <v>0</v>
      </c>
      <c r="AI136" s="67"/>
      <c r="AJ136" s="67"/>
      <c r="AK136" s="67"/>
      <c r="AL136" s="229"/>
      <c r="AN136" s="289">
        <f t="shared" ref="AN136:AN199" si="8">SUMIFS($AH136:$AL136,$AH$3:$AL$3,$AN$6)</f>
        <v>0</v>
      </c>
    </row>
    <row r="137" spans="1:40" ht="15" customHeight="1">
      <c r="A137" s="200">
        <v>3406</v>
      </c>
      <c r="B137" s="2">
        <v>103476</v>
      </c>
      <c r="C137" s="2" t="s">
        <v>412</v>
      </c>
      <c r="D137" s="2" t="s">
        <v>413</v>
      </c>
      <c r="E137" s="191" t="s">
        <v>32</v>
      </c>
      <c r="F137" s="213" t="str">
        <f>VLOOKUP(A137,'Summary Mar 2026'!A:F,6,FALSE)</f>
        <v>Academy</v>
      </c>
      <c r="H137" s="228">
        <v>0</v>
      </c>
      <c r="I137" s="67">
        <v>0</v>
      </c>
      <c r="J137" s="67">
        <f t="shared" si="6"/>
        <v>0</v>
      </c>
      <c r="M137" s="67"/>
      <c r="N137" s="67"/>
      <c r="O137" s="67">
        <v>0</v>
      </c>
      <c r="P137" s="67"/>
      <c r="Q137" s="67"/>
      <c r="R137" s="67"/>
      <c r="S137" s="67"/>
      <c r="T137" s="67"/>
      <c r="U137" s="67"/>
      <c r="W137" s="289">
        <f t="shared" si="7"/>
        <v>0</v>
      </c>
      <c r="Y137" s="228"/>
      <c r="Z137" s="67"/>
      <c r="AA137" s="67"/>
      <c r="AB137" s="67"/>
      <c r="AC137" s="67"/>
      <c r="AD137" s="67"/>
      <c r="AE137" s="229"/>
      <c r="AH137" s="362">
        <v>0</v>
      </c>
      <c r="AI137" s="67"/>
      <c r="AJ137" s="67"/>
      <c r="AK137" s="67"/>
      <c r="AL137" s="229"/>
      <c r="AN137" s="289">
        <f t="shared" si="8"/>
        <v>0</v>
      </c>
    </row>
    <row r="138" spans="1:40" ht="15" customHeight="1">
      <c r="A138" s="200">
        <v>3386</v>
      </c>
      <c r="B138" s="2">
        <v>103470</v>
      </c>
      <c r="C138" s="2" t="s">
        <v>266</v>
      </c>
      <c r="D138" s="2" t="s">
        <v>267</v>
      </c>
      <c r="E138" s="191" t="s">
        <v>32</v>
      </c>
      <c r="F138" s="213" t="str">
        <f>VLOOKUP(A138,'Summary Mar 2026'!A:F,6,FALSE)</f>
        <v>Chq Bk</v>
      </c>
      <c r="H138" s="228">
        <v>5139.75</v>
      </c>
      <c r="I138" s="67">
        <v>0</v>
      </c>
      <c r="J138" s="67">
        <f t="shared" si="6"/>
        <v>5139.75</v>
      </c>
      <c r="M138" s="67"/>
      <c r="N138" s="67"/>
      <c r="O138" s="67">
        <v>0</v>
      </c>
      <c r="P138" s="67"/>
      <c r="Q138" s="67"/>
      <c r="R138" s="67"/>
      <c r="S138" s="67"/>
      <c r="T138" s="67"/>
      <c r="U138" s="67"/>
      <c r="W138" s="289">
        <f t="shared" si="7"/>
        <v>-5139.75</v>
      </c>
      <c r="Y138" s="228"/>
      <c r="Z138" s="67"/>
      <c r="AA138" s="67"/>
      <c r="AB138" s="67"/>
      <c r="AC138" s="67"/>
      <c r="AD138" s="67"/>
      <c r="AE138" s="229"/>
      <c r="AH138" s="362">
        <v>0</v>
      </c>
      <c r="AI138" s="67"/>
      <c r="AJ138" s="67"/>
      <c r="AK138" s="67"/>
      <c r="AL138" s="229"/>
      <c r="AN138" s="289">
        <f t="shared" si="8"/>
        <v>0</v>
      </c>
    </row>
    <row r="139" spans="1:40" ht="15" customHeight="1">
      <c r="A139" s="200">
        <v>3342</v>
      </c>
      <c r="B139" s="2">
        <v>103437</v>
      </c>
      <c r="C139" s="2" t="s">
        <v>414</v>
      </c>
      <c r="D139" s="2" t="s">
        <v>415</v>
      </c>
      <c r="E139" s="191" t="s">
        <v>32</v>
      </c>
      <c r="F139" s="213" t="str">
        <f>VLOOKUP(A139,'Summary Mar 2026'!A:F,6,FALSE)</f>
        <v>Academy</v>
      </c>
      <c r="H139" s="228">
        <v>0</v>
      </c>
      <c r="I139" s="67">
        <v>0</v>
      </c>
      <c r="J139" s="67">
        <f t="shared" si="6"/>
        <v>0</v>
      </c>
      <c r="M139" s="67"/>
      <c r="N139" s="67"/>
      <c r="O139" s="67">
        <v>0</v>
      </c>
      <c r="P139" s="67"/>
      <c r="Q139" s="67"/>
      <c r="R139" s="67"/>
      <c r="S139" s="67"/>
      <c r="T139" s="67"/>
      <c r="U139" s="67"/>
      <c r="W139" s="289">
        <f t="shared" si="7"/>
        <v>0</v>
      </c>
      <c r="Y139" s="228"/>
      <c r="Z139" s="67"/>
      <c r="AA139" s="67"/>
      <c r="AB139" s="67"/>
      <c r="AC139" s="67"/>
      <c r="AD139" s="67"/>
      <c r="AE139" s="229"/>
      <c r="AH139" s="362">
        <v>0</v>
      </c>
      <c r="AI139" s="67"/>
      <c r="AJ139" s="67"/>
      <c r="AK139" s="67"/>
      <c r="AL139" s="229"/>
      <c r="AN139" s="289">
        <f t="shared" si="8"/>
        <v>0</v>
      </c>
    </row>
    <row r="140" spans="1:40" ht="15" customHeight="1">
      <c r="A140" s="200">
        <v>3010</v>
      </c>
      <c r="B140" s="2">
        <v>103401</v>
      </c>
      <c r="C140" s="2" t="s">
        <v>274</v>
      </c>
      <c r="D140" s="2" t="s">
        <v>275</v>
      </c>
      <c r="E140" s="191" t="s">
        <v>32</v>
      </c>
      <c r="F140" s="213" t="str">
        <f>VLOOKUP(A140,'Summary Mar 2026'!A:F,6,FALSE)</f>
        <v>Chq Bk</v>
      </c>
      <c r="H140" s="228">
        <v>9471</v>
      </c>
      <c r="I140" s="67">
        <v>0</v>
      </c>
      <c r="J140" s="67">
        <f t="shared" si="6"/>
        <v>9471</v>
      </c>
      <c r="M140" s="67"/>
      <c r="N140" s="67"/>
      <c r="O140" s="67">
        <v>0</v>
      </c>
      <c r="P140" s="67"/>
      <c r="Q140" s="67"/>
      <c r="R140" s="67"/>
      <c r="S140" s="67"/>
      <c r="T140" s="67"/>
      <c r="U140" s="67"/>
      <c r="W140" s="289">
        <f t="shared" si="7"/>
        <v>-9471</v>
      </c>
      <c r="Y140" s="228"/>
      <c r="Z140" s="67"/>
      <c r="AA140" s="67"/>
      <c r="AB140" s="67"/>
      <c r="AC140" s="67"/>
      <c r="AD140" s="67"/>
      <c r="AE140" s="229"/>
      <c r="AH140" s="362">
        <v>0</v>
      </c>
      <c r="AI140" s="67"/>
      <c r="AJ140" s="67"/>
      <c r="AK140" s="67"/>
      <c r="AL140" s="229"/>
      <c r="AN140" s="289">
        <f t="shared" si="8"/>
        <v>0</v>
      </c>
    </row>
    <row r="141" spans="1:40" ht="15" customHeight="1">
      <c r="A141" s="200">
        <v>4625</v>
      </c>
      <c r="B141" s="2">
        <v>103534</v>
      </c>
      <c r="C141" s="2" t="s">
        <v>276</v>
      </c>
      <c r="D141" s="2" t="s">
        <v>277</v>
      </c>
      <c r="E141" s="191" t="s">
        <v>58</v>
      </c>
      <c r="F141" s="213" t="str">
        <f>VLOOKUP(A141,'Summary Mar 2026'!A:F,6,FALSE)</f>
        <v>Chq Bk</v>
      </c>
      <c r="H141" s="228">
        <v>0</v>
      </c>
      <c r="I141" s="67">
        <v>0</v>
      </c>
      <c r="J141" s="67">
        <f t="shared" si="6"/>
        <v>0</v>
      </c>
      <c r="M141" s="67"/>
      <c r="N141" s="67"/>
      <c r="O141" s="67">
        <v>0</v>
      </c>
      <c r="P141" s="67"/>
      <c r="Q141" s="67"/>
      <c r="R141" s="67"/>
      <c r="S141" s="67"/>
      <c r="T141" s="67"/>
      <c r="U141" s="67"/>
      <c r="W141" s="289">
        <f t="shared" si="7"/>
        <v>0</v>
      </c>
      <c r="Y141" s="228"/>
      <c r="Z141" s="67"/>
      <c r="AA141" s="67"/>
      <c r="AB141" s="67"/>
      <c r="AC141" s="67"/>
      <c r="AD141" s="67"/>
      <c r="AE141" s="229"/>
      <c r="AH141" s="362">
        <v>-6556.5177999999996</v>
      </c>
      <c r="AI141" s="67"/>
      <c r="AJ141" s="67"/>
      <c r="AK141" s="67"/>
      <c r="AL141" s="229"/>
      <c r="AN141" s="289">
        <f t="shared" si="8"/>
        <v>-6556.5177999999996</v>
      </c>
    </row>
    <row r="142" spans="1:40" ht="15" customHeight="1">
      <c r="A142" s="200">
        <v>3307</v>
      </c>
      <c r="B142" s="2">
        <v>103416</v>
      </c>
      <c r="C142" s="2" t="s">
        <v>282</v>
      </c>
      <c r="D142" s="2" t="s">
        <v>283</v>
      </c>
      <c r="E142" s="191" t="s">
        <v>32</v>
      </c>
      <c r="F142" s="213" t="str">
        <f>VLOOKUP(A142,'Summary Mar 2026'!A:F,6,FALSE)</f>
        <v>Chq Bk</v>
      </c>
      <c r="H142" s="811"/>
      <c r="I142" s="67">
        <v>9666</v>
      </c>
      <c r="J142" s="67">
        <f t="shared" si="6"/>
        <v>9666</v>
      </c>
      <c r="M142" s="67"/>
      <c r="N142" s="67"/>
      <c r="O142" s="67">
        <v>0</v>
      </c>
      <c r="P142" s="67"/>
      <c r="Q142" s="67"/>
      <c r="R142" s="67"/>
      <c r="S142" s="67"/>
      <c r="T142" s="67"/>
      <c r="U142" s="67"/>
      <c r="W142" s="289">
        <f t="shared" si="7"/>
        <v>-9666</v>
      </c>
      <c r="Y142" s="228"/>
      <c r="Z142" s="67"/>
      <c r="AA142" s="67"/>
      <c r="AB142" s="67"/>
      <c r="AC142" s="67"/>
      <c r="AD142" s="67"/>
      <c r="AE142" s="229"/>
      <c r="AH142" s="362">
        <v>0</v>
      </c>
      <c r="AI142" s="67"/>
      <c r="AJ142" s="67"/>
      <c r="AK142" s="67"/>
      <c r="AL142" s="229"/>
      <c r="AN142" s="289">
        <f t="shared" si="8"/>
        <v>0</v>
      </c>
    </row>
    <row r="143" spans="1:40" ht="15" customHeight="1">
      <c r="A143" s="200">
        <v>3382</v>
      </c>
      <c r="B143" s="2">
        <v>103467</v>
      </c>
      <c r="C143" s="2" t="s">
        <v>416</v>
      </c>
      <c r="D143" s="2" t="s">
        <v>417</v>
      </c>
      <c r="E143" s="191" t="s">
        <v>32</v>
      </c>
      <c r="F143" s="213" t="str">
        <f>VLOOKUP(A143,'Summary Mar 2026'!A:F,6,FALSE)</f>
        <v>Chq Bk</v>
      </c>
      <c r="H143" s="228">
        <v>0</v>
      </c>
      <c r="I143" s="67">
        <v>0</v>
      </c>
      <c r="J143" s="67">
        <f t="shared" si="6"/>
        <v>0</v>
      </c>
      <c r="M143" s="67"/>
      <c r="N143" s="67"/>
      <c r="O143" s="67">
        <v>0</v>
      </c>
      <c r="P143" s="67"/>
      <c r="Q143" s="67"/>
      <c r="R143" s="67"/>
      <c r="S143" s="67"/>
      <c r="T143" s="67"/>
      <c r="U143" s="67"/>
      <c r="W143" s="289">
        <f t="shared" si="7"/>
        <v>0</v>
      </c>
      <c r="Y143" s="228"/>
      <c r="Z143" s="67"/>
      <c r="AA143" s="67"/>
      <c r="AB143" s="67"/>
      <c r="AC143" s="67"/>
      <c r="AD143" s="67"/>
      <c r="AE143" s="229"/>
      <c r="AH143" s="362">
        <v>0</v>
      </c>
      <c r="AI143" s="67"/>
      <c r="AJ143" s="67"/>
      <c r="AK143" s="67"/>
      <c r="AL143" s="229"/>
      <c r="AN143" s="289">
        <f t="shared" si="8"/>
        <v>0</v>
      </c>
    </row>
    <row r="144" spans="1:40" ht="15" customHeight="1">
      <c r="A144" s="200">
        <v>3025</v>
      </c>
      <c r="B144" s="2">
        <v>103410</v>
      </c>
      <c r="C144" s="2" t="s">
        <v>288</v>
      </c>
      <c r="D144" s="2" t="s">
        <v>289</v>
      </c>
      <c r="E144" s="191" t="s">
        <v>32</v>
      </c>
      <c r="F144" s="213" t="str">
        <f>VLOOKUP(A144,'Summary Mar 2026'!A:F,6,FALSE)</f>
        <v>Chq Bk</v>
      </c>
      <c r="H144" s="228">
        <v>9471</v>
      </c>
      <c r="I144" s="67">
        <v>0</v>
      </c>
      <c r="J144" s="67">
        <f t="shared" si="6"/>
        <v>9471</v>
      </c>
      <c r="M144" s="67"/>
      <c r="N144" s="67"/>
      <c r="O144" s="67">
        <v>0</v>
      </c>
      <c r="P144" s="67"/>
      <c r="Q144" s="67"/>
      <c r="R144" s="67"/>
      <c r="S144" s="67"/>
      <c r="T144" s="67"/>
      <c r="U144" s="67"/>
      <c r="W144" s="289">
        <f t="shared" si="7"/>
        <v>-9471</v>
      </c>
      <c r="Y144" s="228"/>
      <c r="Z144" s="67"/>
      <c r="AA144" s="67"/>
      <c r="AB144" s="67"/>
      <c r="AC144" s="67"/>
      <c r="AD144" s="67"/>
      <c r="AE144" s="229"/>
      <c r="AH144" s="362">
        <v>0</v>
      </c>
      <c r="AI144" s="67"/>
      <c r="AJ144" s="67"/>
      <c r="AK144" s="67"/>
      <c r="AL144" s="229"/>
      <c r="AN144" s="289">
        <f t="shared" si="8"/>
        <v>0</v>
      </c>
    </row>
    <row r="145" spans="1:40" ht="15" customHeight="1">
      <c r="A145" s="200">
        <v>3346</v>
      </c>
      <c r="B145" s="2">
        <v>103439</v>
      </c>
      <c r="C145" s="2" t="s">
        <v>418</v>
      </c>
      <c r="D145" s="2" t="s">
        <v>419</v>
      </c>
      <c r="E145" s="191" t="s">
        <v>32</v>
      </c>
      <c r="F145" s="213" t="str">
        <f>VLOOKUP(A145,'Summary Mar 2026'!A:F,6,FALSE)</f>
        <v>Chq Bk</v>
      </c>
      <c r="H145" s="228">
        <v>9471</v>
      </c>
      <c r="I145" s="67">
        <v>0</v>
      </c>
      <c r="J145" s="67">
        <f t="shared" si="6"/>
        <v>9471</v>
      </c>
      <c r="M145" s="67"/>
      <c r="N145" s="67"/>
      <c r="O145" s="67">
        <v>0</v>
      </c>
      <c r="P145" s="67"/>
      <c r="Q145" s="67"/>
      <c r="R145" s="67"/>
      <c r="S145" s="67"/>
      <c r="T145" s="67"/>
      <c r="U145" s="67"/>
      <c r="W145" s="289">
        <f t="shared" si="7"/>
        <v>-9471</v>
      </c>
      <c r="Y145" s="228"/>
      <c r="Z145" s="67"/>
      <c r="AA145" s="67"/>
      <c r="AB145" s="67"/>
      <c r="AC145" s="67"/>
      <c r="AD145" s="67"/>
      <c r="AE145" s="229"/>
      <c r="AH145" s="362">
        <v>0</v>
      </c>
      <c r="AI145" s="67"/>
      <c r="AJ145" s="67"/>
      <c r="AK145" s="67"/>
      <c r="AL145" s="229"/>
      <c r="AN145" s="289">
        <f t="shared" si="8"/>
        <v>0</v>
      </c>
    </row>
    <row r="146" spans="1:40" ht="15" customHeight="1">
      <c r="A146" s="200">
        <v>3365</v>
      </c>
      <c r="B146" s="2">
        <v>103456</v>
      </c>
      <c r="C146" s="2" t="s">
        <v>420</v>
      </c>
      <c r="D146" s="2" t="s">
        <v>421</v>
      </c>
      <c r="E146" s="191" t="s">
        <v>32</v>
      </c>
      <c r="F146" s="213" t="str">
        <f>VLOOKUP(A146,'Summary Mar 2026'!A:F,6,FALSE)</f>
        <v>Academy</v>
      </c>
      <c r="H146" s="228">
        <v>5139.75</v>
      </c>
      <c r="I146" s="67">
        <v>0</v>
      </c>
      <c r="J146" s="67">
        <f t="shared" si="6"/>
        <v>5139.75</v>
      </c>
      <c r="M146" s="67"/>
      <c r="N146" s="67"/>
      <c r="O146" s="67">
        <v>-2998.1875</v>
      </c>
      <c r="P146" s="67"/>
      <c r="Q146" s="67"/>
      <c r="R146" s="67"/>
      <c r="S146" s="67"/>
      <c r="T146" s="67"/>
      <c r="U146" s="67"/>
      <c r="W146" s="289">
        <f t="shared" si="7"/>
        <v>-2141.5625</v>
      </c>
      <c r="Y146" s="228"/>
      <c r="Z146" s="67"/>
      <c r="AA146" s="67"/>
      <c r="AB146" s="67"/>
      <c r="AC146" s="67"/>
      <c r="AD146" s="67"/>
      <c r="AE146" s="229"/>
      <c r="AH146" s="362">
        <v>0</v>
      </c>
      <c r="AI146" s="67"/>
      <c r="AJ146" s="67"/>
      <c r="AK146" s="67"/>
      <c r="AL146" s="229"/>
      <c r="AN146" s="289">
        <f t="shared" si="8"/>
        <v>0</v>
      </c>
    </row>
    <row r="147" spans="1:40" ht="15" customHeight="1">
      <c r="A147" s="200">
        <v>1009</v>
      </c>
      <c r="B147" s="2">
        <v>103124</v>
      </c>
      <c r="C147" s="2" t="s">
        <v>422</v>
      </c>
      <c r="D147" s="2" t="s">
        <v>423</v>
      </c>
      <c r="E147" s="191" t="s">
        <v>29</v>
      </c>
      <c r="F147" s="213" t="str">
        <f>VLOOKUP(A147,'Summary Mar 2026'!A:F,6,FALSE)</f>
        <v>Chq Bk</v>
      </c>
      <c r="H147" s="228">
        <v>3291.75</v>
      </c>
      <c r="I147" s="67">
        <v>0</v>
      </c>
      <c r="J147" s="67">
        <f t="shared" si="6"/>
        <v>3291.75</v>
      </c>
      <c r="M147" s="67"/>
      <c r="N147" s="67"/>
      <c r="O147" s="67">
        <v>0</v>
      </c>
      <c r="P147" s="67"/>
      <c r="Q147" s="67"/>
      <c r="R147" s="67"/>
      <c r="S147" s="67"/>
      <c r="T147" s="67"/>
      <c r="U147" s="67"/>
      <c r="W147" s="289">
        <f t="shared" si="7"/>
        <v>-3291.75</v>
      </c>
      <c r="Y147" s="228"/>
      <c r="Z147" s="67"/>
      <c r="AA147" s="67"/>
      <c r="AB147" s="67"/>
      <c r="AC147" s="67"/>
      <c r="AD147" s="67"/>
      <c r="AE147" s="229"/>
      <c r="AH147" s="362">
        <v>0</v>
      </c>
      <c r="AI147" s="67"/>
      <c r="AJ147" s="67"/>
      <c r="AK147" s="67"/>
      <c r="AL147" s="229"/>
      <c r="AN147" s="289">
        <f t="shared" si="8"/>
        <v>0</v>
      </c>
    </row>
    <row r="148" spans="1:40" ht="15" customHeight="1">
      <c r="A148" s="200">
        <v>3310</v>
      </c>
      <c r="B148" s="2">
        <v>103417</v>
      </c>
      <c r="C148" s="2" t="s">
        <v>424</v>
      </c>
      <c r="D148" s="2" t="s">
        <v>425</v>
      </c>
      <c r="E148" s="191" t="s">
        <v>32</v>
      </c>
      <c r="F148" s="213" t="str">
        <f>VLOOKUP(A148,'Summary Mar 2026'!A:F,6,FALSE)</f>
        <v>Academy</v>
      </c>
      <c r="H148" s="228">
        <v>0</v>
      </c>
      <c r="I148" s="67">
        <v>5629.5</v>
      </c>
      <c r="J148" s="67">
        <f t="shared" si="6"/>
        <v>5629.5</v>
      </c>
      <c r="M148" s="67"/>
      <c r="N148" s="67"/>
      <c r="O148" s="67">
        <v>-3283.875</v>
      </c>
      <c r="P148" s="67"/>
      <c r="Q148" s="67"/>
      <c r="R148" s="67"/>
      <c r="S148" s="67"/>
      <c r="T148" s="67"/>
      <c r="U148" s="67"/>
      <c r="W148" s="289">
        <f t="shared" si="7"/>
        <v>-2345.625</v>
      </c>
      <c r="Y148" s="228"/>
      <c r="Z148" s="67"/>
      <c r="AA148" s="67"/>
      <c r="AB148" s="67"/>
      <c r="AC148" s="67"/>
      <c r="AD148" s="67"/>
      <c r="AE148" s="229"/>
      <c r="AH148" s="362">
        <v>0</v>
      </c>
      <c r="AI148" s="67"/>
      <c r="AJ148" s="67"/>
      <c r="AK148" s="67"/>
      <c r="AL148" s="229"/>
      <c r="AN148" s="289">
        <f t="shared" si="8"/>
        <v>0</v>
      </c>
    </row>
    <row r="149" spans="1:40" ht="15" customHeight="1">
      <c r="A149" s="200">
        <v>2246</v>
      </c>
      <c r="B149" s="2">
        <v>103296</v>
      </c>
      <c r="C149" s="2" t="s">
        <v>426</v>
      </c>
      <c r="D149" s="2" t="s">
        <v>427</v>
      </c>
      <c r="E149" s="191" t="s">
        <v>32</v>
      </c>
      <c r="F149" s="213" t="str">
        <f>VLOOKUP(A149,'Summary Mar 2026'!A:F,6,FALSE)</f>
        <v>Academy</v>
      </c>
      <c r="H149" s="228"/>
      <c r="I149" s="67">
        <v>0</v>
      </c>
      <c r="J149" s="67">
        <f t="shared" si="6"/>
        <v>0</v>
      </c>
      <c r="M149" s="67">
        <v>1047.2</v>
      </c>
      <c r="N149" s="67"/>
      <c r="O149" s="67"/>
      <c r="P149" s="67"/>
      <c r="Q149" s="67"/>
      <c r="R149" s="67"/>
      <c r="S149" s="67"/>
      <c r="T149" s="67"/>
      <c r="U149" s="67"/>
      <c r="W149" s="289">
        <f t="shared" si="7"/>
        <v>-1047.2</v>
      </c>
      <c r="Y149" s="228"/>
      <c r="Z149" s="67"/>
      <c r="AA149" s="67"/>
      <c r="AB149" s="67"/>
      <c r="AC149" s="67"/>
      <c r="AD149" s="67"/>
      <c r="AE149" s="229"/>
      <c r="AH149" s="362">
        <v>0</v>
      </c>
      <c r="AI149" s="67"/>
      <c r="AJ149" s="67"/>
      <c r="AK149" s="67"/>
      <c r="AL149" s="229"/>
      <c r="AN149" s="289">
        <f t="shared" si="8"/>
        <v>0</v>
      </c>
    </row>
    <row r="150" spans="1:40" ht="15" customHeight="1">
      <c r="A150" s="200">
        <v>2192</v>
      </c>
      <c r="B150" s="2">
        <v>103268</v>
      </c>
      <c r="C150" s="2" t="s">
        <v>310</v>
      </c>
      <c r="D150" s="2" t="s">
        <v>311</v>
      </c>
      <c r="E150" s="191" t="s">
        <v>32</v>
      </c>
      <c r="F150" s="213" t="str">
        <f>VLOOKUP(A150,'Summary Mar 2026'!A:F,6,FALSE)</f>
        <v>Chq Bk</v>
      </c>
      <c r="H150" s="228">
        <v>12566.4</v>
      </c>
      <c r="I150" s="67">
        <v>0</v>
      </c>
      <c r="J150" s="67">
        <f t="shared" si="6"/>
        <v>12566.4</v>
      </c>
      <c r="M150" s="67"/>
      <c r="N150" s="67"/>
      <c r="O150" s="67">
        <v>0</v>
      </c>
      <c r="P150" s="67"/>
      <c r="Q150" s="67"/>
      <c r="R150" s="67"/>
      <c r="S150" s="67"/>
      <c r="T150" s="67"/>
      <c r="U150" s="67"/>
      <c r="W150" s="289">
        <f t="shared" si="7"/>
        <v>-12566.4</v>
      </c>
      <c r="Y150" s="228"/>
      <c r="Z150" s="67"/>
      <c r="AA150" s="67"/>
      <c r="AB150" s="67"/>
      <c r="AC150" s="67"/>
      <c r="AD150" s="67"/>
      <c r="AE150" s="229"/>
      <c r="AH150" s="362">
        <v>0</v>
      </c>
      <c r="AI150" s="67"/>
      <c r="AJ150" s="67"/>
      <c r="AK150" s="67"/>
      <c r="AL150" s="229"/>
      <c r="AN150" s="289">
        <f t="shared" si="8"/>
        <v>0</v>
      </c>
    </row>
    <row r="151" spans="1:40" ht="15" customHeight="1">
      <c r="A151" s="200">
        <v>2108</v>
      </c>
      <c r="B151" s="2">
        <v>103217</v>
      </c>
      <c r="C151" s="2" t="s">
        <v>320</v>
      </c>
      <c r="D151" s="2" t="s">
        <v>321</v>
      </c>
      <c r="E151" s="191" t="s">
        <v>32</v>
      </c>
      <c r="F151" s="213" t="str">
        <f>VLOOKUP(A151,'Summary Mar 2026'!A:F,6,FALSE)</f>
        <v>Chq Bk</v>
      </c>
      <c r="H151" s="228">
        <v>24312.75</v>
      </c>
      <c r="I151" s="67">
        <v>0</v>
      </c>
      <c r="J151" s="67">
        <f t="shared" si="6"/>
        <v>24312.75</v>
      </c>
      <c r="M151" s="67"/>
      <c r="N151" s="67"/>
      <c r="O151" s="67">
        <v>0</v>
      </c>
      <c r="P151" s="67"/>
      <c r="Q151" s="67"/>
      <c r="R151" s="67"/>
      <c r="S151" s="67"/>
      <c r="T151" s="67"/>
      <c r="U151" s="67"/>
      <c r="W151" s="289">
        <f t="shared" si="7"/>
        <v>-24312.75</v>
      </c>
      <c r="Y151" s="228"/>
      <c r="Z151" s="67"/>
      <c r="AA151" s="67"/>
      <c r="AB151" s="67"/>
      <c r="AC151" s="67"/>
      <c r="AD151" s="67"/>
      <c r="AE151" s="229"/>
      <c r="AH151" s="362">
        <v>-3832.5414000000001</v>
      </c>
      <c r="AI151" s="67"/>
      <c r="AJ151" s="67"/>
      <c r="AK151" s="67"/>
      <c r="AL151" s="229"/>
      <c r="AN151" s="289">
        <f t="shared" si="8"/>
        <v>-3832.5414000000001</v>
      </c>
    </row>
    <row r="152" spans="1:40" ht="15" customHeight="1">
      <c r="A152" s="200">
        <v>1020</v>
      </c>
      <c r="B152" s="2">
        <v>103133</v>
      </c>
      <c r="C152" s="2" t="s">
        <v>428</v>
      </c>
      <c r="D152" s="2" t="s">
        <v>429</v>
      </c>
      <c r="E152" s="191" t="s">
        <v>29</v>
      </c>
      <c r="F152" s="213" t="str">
        <f>VLOOKUP(A152,'Summary Mar 2026'!A:F,6,FALSE)</f>
        <v>Chq Bk</v>
      </c>
      <c r="H152" s="228">
        <v>3291.75</v>
      </c>
      <c r="I152" s="67">
        <v>0</v>
      </c>
      <c r="J152" s="67">
        <f t="shared" si="6"/>
        <v>3291.75</v>
      </c>
      <c r="M152" s="67"/>
      <c r="N152" s="67"/>
      <c r="O152" s="67">
        <v>0</v>
      </c>
      <c r="P152" s="67"/>
      <c r="Q152" s="67"/>
      <c r="R152" s="67"/>
      <c r="S152" s="67"/>
      <c r="T152" s="67"/>
      <c r="U152" s="67"/>
      <c r="W152" s="289">
        <f t="shared" si="7"/>
        <v>-3291.75</v>
      </c>
      <c r="Y152" s="228"/>
      <c r="Z152" s="67"/>
      <c r="AA152" s="67"/>
      <c r="AB152" s="67"/>
      <c r="AC152" s="67"/>
      <c r="AD152" s="67"/>
      <c r="AE152" s="229"/>
      <c r="AH152" s="362">
        <v>0</v>
      </c>
      <c r="AI152" s="67"/>
      <c r="AJ152" s="67"/>
      <c r="AK152" s="67"/>
      <c r="AL152" s="229"/>
      <c r="AN152" s="289">
        <f t="shared" si="8"/>
        <v>0</v>
      </c>
    </row>
    <row r="153" spans="1:40" ht="15" customHeight="1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Mar 2026'!A:F,6,FALSE)</f>
        <v>Chq Bk</v>
      </c>
      <c r="H153" s="228">
        <v>3291.75</v>
      </c>
      <c r="I153" s="67">
        <v>0</v>
      </c>
      <c r="J153" s="67">
        <f t="shared" si="6"/>
        <v>3291.75</v>
      </c>
      <c r="M153" s="67"/>
      <c r="N153" s="67"/>
      <c r="O153" s="67">
        <v>0</v>
      </c>
      <c r="P153" s="67"/>
      <c r="Q153" s="67"/>
      <c r="R153" s="67"/>
      <c r="S153" s="67"/>
      <c r="T153" s="67"/>
      <c r="U153" s="67"/>
      <c r="W153" s="289">
        <f t="shared" si="7"/>
        <v>-3291.75</v>
      </c>
      <c r="Y153" s="228"/>
      <c r="Z153" s="67"/>
      <c r="AA153" s="67"/>
      <c r="AB153" s="67"/>
      <c r="AC153" s="67"/>
      <c r="AD153" s="67"/>
      <c r="AE153" s="229"/>
      <c r="AH153" s="362">
        <v>0</v>
      </c>
      <c r="AI153" s="67"/>
      <c r="AJ153" s="67"/>
      <c r="AK153" s="67"/>
      <c r="AL153" s="229"/>
      <c r="AN153" s="289">
        <f t="shared" si="8"/>
        <v>0</v>
      </c>
    </row>
    <row r="154" spans="1:40" ht="15" customHeight="1">
      <c r="A154" s="200">
        <v>2019</v>
      </c>
      <c r="B154" s="2">
        <v>134279</v>
      </c>
      <c r="C154" s="2" t="s">
        <v>430</v>
      </c>
      <c r="D154" s="2" t="s">
        <v>431</v>
      </c>
      <c r="E154" s="191" t="s">
        <v>32</v>
      </c>
      <c r="F154" s="213" t="str">
        <f>VLOOKUP(A154,'Summary Mar 2026'!A:F,6,FALSE)</f>
        <v>Chq Bk</v>
      </c>
      <c r="H154" s="228">
        <v>9471</v>
      </c>
      <c r="I154" s="67">
        <v>0</v>
      </c>
      <c r="J154" s="67">
        <f t="shared" si="6"/>
        <v>9471</v>
      </c>
      <c r="M154" s="67"/>
      <c r="N154" s="67"/>
      <c r="O154" s="67">
        <v>0</v>
      </c>
      <c r="P154" s="67"/>
      <c r="Q154" s="67"/>
      <c r="R154" s="67"/>
      <c r="S154" s="67"/>
      <c r="T154" s="67"/>
      <c r="U154" s="67"/>
      <c r="W154" s="289">
        <f t="shared" si="7"/>
        <v>-9471</v>
      </c>
      <c r="Y154" s="228"/>
      <c r="Z154" s="67"/>
      <c r="AA154" s="67"/>
      <c r="AB154" s="67"/>
      <c r="AC154" s="67"/>
      <c r="AD154" s="67"/>
      <c r="AE154" s="229"/>
      <c r="AH154" s="362">
        <v>0</v>
      </c>
      <c r="AI154" s="67"/>
      <c r="AJ154" s="67"/>
      <c r="AK154" s="67"/>
      <c r="AL154" s="229"/>
      <c r="AN154" s="289">
        <f t="shared" si="8"/>
        <v>0</v>
      </c>
    </row>
    <row r="155" spans="1:40" ht="15" customHeight="1">
      <c r="A155" s="200">
        <v>2314</v>
      </c>
      <c r="B155" s="2">
        <v>103334</v>
      </c>
      <c r="C155" s="2" t="s">
        <v>340</v>
      </c>
      <c r="D155" s="2" t="s">
        <v>341</v>
      </c>
      <c r="E155" s="191" t="s">
        <v>32</v>
      </c>
      <c r="F155" s="213" t="str">
        <f>VLOOKUP(A155,'Summary Mar 2026'!A:F,6,FALSE)</f>
        <v>Academy</v>
      </c>
      <c r="H155" s="228">
        <v>5139.75</v>
      </c>
      <c r="I155" s="67">
        <v>0</v>
      </c>
      <c r="J155" s="67">
        <f t="shared" si="6"/>
        <v>5139.75</v>
      </c>
      <c r="M155" s="67"/>
      <c r="N155" s="67"/>
      <c r="O155" s="67">
        <v>-2998.1875</v>
      </c>
      <c r="P155" s="67"/>
      <c r="Q155" s="67"/>
      <c r="R155" s="67"/>
      <c r="S155" s="67"/>
      <c r="T155" s="67"/>
      <c r="U155" s="67"/>
      <c r="W155" s="289">
        <f t="shared" si="7"/>
        <v>-2141.5625</v>
      </c>
      <c r="Y155" s="228"/>
      <c r="Z155" s="67"/>
      <c r="AA155" s="67"/>
      <c r="AB155" s="67"/>
      <c r="AC155" s="67"/>
      <c r="AD155" s="67"/>
      <c r="AE155" s="229"/>
      <c r="AH155" s="362">
        <v>0</v>
      </c>
      <c r="AI155" s="67"/>
      <c r="AJ155" s="67"/>
      <c r="AK155" s="67"/>
      <c r="AL155" s="229"/>
      <c r="AN155" s="289">
        <f t="shared" si="8"/>
        <v>0</v>
      </c>
    </row>
    <row r="156" spans="1:40" ht="15" customHeight="1">
      <c r="A156" s="200">
        <v>2227</v>
      </c>
      <c r="B156" s="2">
        <v>103281</v>
      </c>
      <c r="C156" s="2" t="s">
        <v>350</v>
      </c>
      <c r="D156" s="2" t="s">
        <v>351</v>
      </c>
      <c r="E156" s="191" t="s">
        <v>32</v>
      </c>
      <c r="F156" s="213" t="str">
        <f>VLOOKUP(A156,'Summary Mar 2026'!A:F,6,FALSE)</f>
        <v>Chq Bk</v>
      </c>
      <c r="H156" s="228">
        <v>9471</v>
      </c>
      <c r="I156" s="67">
        <v>0</v>
      </c>
      <c r="J156" s="67">
        <f t="shared" si="6"/>
        <v>9471</v>
      </c>
      <c r="M156" s="67"/>
      <c r="N156" s="67"/>
      <c r="O156" s="67">
        <v>0</v>
      </c>
      <c r="P156" s="67"/>
      <c r="Q156" s="67"/>
      <c r="R156" s="67"/>
      <c r="S156" s="67"/>
      <c r="T156" s="67"/>
      <c r="U156" s="67"/>
      <c r="W156" s="289">
        <f t="shared" si="7"/>
        <v>-9471</v>
      </c>
      <c r="Y156" s="228"/>
      <c r="Z156" s="67"/>
      <c r="AA156" s="67"/>
      <c r="AB156" s="67"/>
      <c r="AC156" s="67"/>
      <c r="AD156" s="67"/>
      <c r="AE156" s="229"/>
      <c r="AH156" s="362">
        <v>0</v>
      </c>
      <c r="AI156" s="67"/>
      <c r="AJ156" s="67"/>
      <c r="AK156" s="67"/>
      <c r="AL156" s="229"/>
      <c r="AN156" s="289">
        <f t="shared" si="8"/>
        <v>0</v>
      </c>
    </row>
    <row r="157" spans="1:40" ht="15" customHeight="1">
      <c r="A157" s="200">
        <v>2231</v>
      </c>
      <c r="B157" s="2">
        <v>103284</v>
      </c>
      <c r="C157" s="2" t="s">
        <v>352</v>
      </c>
      <c r="D157" s="2" t="s">
        <v>353</v>
      </c>
      <c r="E157" s="191" t="s">
        <v>32</v>
      </c>
      <c r="F157" s="213" t="str">
        <f>VLOOKUP(A157,'Summary Mar 2026'!A:F,6,FALSE)</f>
        <v>Chq Bk</v>
      </c>
      <c r="H157" s="228">
        <v>9471</v>
      </c>
      <c r="I157" s="67">
        <v>0</v>
      </c>
      <c r="J157" s="67">
        <f t="shared" si="6"/>
        <v>9471</v>
      </c>
      <c r="M157" s="67"/>
      <c r="N157" s="67"/>
      <c r="O157" s="67">
        <v>0</v>
      </c>
      <c r="P157" s="67"/>
      <c r="Q157" s="67"/>
      <c r="R157" s="67"/>
      <c r="S157" s="67"/>
      <c r="T157" s="67"/>
      <c r="U157" s="67"/>
      <c r="W157" s="289">
        <f t="shared" si="7"/>
        <v>-9471</v>
      </c>
      <c r="Y157" s="228"/>
      <c r="Z157" s="67"/>
      <c r="AA157" s="67"/>
      <c r="AB157" s="67"/>
      <c r="AC157" s="67"/>
      <c r="AD157" s="67"/>
      <c r="AE157" s="229"/>
      <c r="AH157" s="362">
        <v>0</v>
      </c>
      <c r="AI157" s="67"/>
      <c r="AJ157" s="67"/>
      <c r="AK157" s="67"/>
      <c r="AL157" s="229"/>
      <c r="AN157" s="289">
        <f t="shared" si="8"/>
        <v>0</v>
      </c>
    </row>
    <row r="158" spans="1:40" ht="15" customHeight="1">
      <c r="A158" s="200">
        <v>2153</v>
      </c>
      <c r="B158" s="2">
        <v>103243</v>
      </c>
      <c r="C158" s="2" t="s">
        <v>37</v>
      </c>
      <c r="D158" s="2" t="s">
        <v>38</v>
      </c>
      <c r="E158" s="191" t="s">
        <v>32</v>
      </c>
      <c r="F158" s="213" t="str">
        <f>VLOOKUP(A158,'Summary Mar 2026'!A:F,6,FALSE)</f>
        <v>Chq Bk</v>
      </c>
      <c r="H158" s="228">
        <v>9471</v>
      </c>
      <c r="I158" s="67">
        <v>0</v>
      </c>
      <c r="J158" s="67">
        <f t="shared" si="6"/>
        <v>9471</v>
      </c>
      <c r="M158" s="67"/>
      <c r="N158" s="67"/>
      <c r="O158" s="67">
        <v>0</v>
      </c>
      <c r="P158" s="67"/>
      <c r="Q158" s="67"/>
      <c r="R158" s="67"/>
      <c r="S158" s="67"/>
      <c r="T158" s="67"/>
      <c r="U158" s="67"/>
      <c r="W158" s="289">
        <f t="shared" si="7"/>
        <v>-9471</v>
      </c>
      <c r="Y158" s="228"/>
      <c r="Z158" s="67"/>
      <c r="AA158" s="67"/>
      <c r="AB158" s="67"/>
      <c r="AC158" s="67"/>
      <c r="AD158" s="67"/>
      <c r="AE158" s="229"/>
      <c r="AH158" s="362">
        <v>-3969.5414000000001</v>
      </c>
      <c r="AI158" s="67"/>
      <c r="AJ158" s="67"/>
      <c r="AK158" s="67"/>
      <c r="AL158" s="229"/>
      <c r="AN158" s="289">
        <f t="shared" si="8"/>
        <v>-3969.5414000000001</v>
      </c>
    </row>
    <row r="159" spans="1:40" ht="15" customHeight="1">
      <c r="A159" s="200">
        <v>2479</v>
      </c>
      <c r="B159" s="2">
        <v>132074</v>
      </c>
      <c r="C159" s="2" t="s">
        <v>41</v>
      </c>
      <c r="D159" s="2" t="s">
        <v>42</v>
      </c>
      <c r="E159" s="191" t="s">
        <v>32</v>
      </c>
      <c r="F159" s="213" t="str">
        <f>VLOOKUP(A159,'Summary Mar 2026'!A:F,6,FALSE)</f>
        <v>Chq Bk</v>
      </c>
      <c r="H159" s="228">
        <v>18745.650000000001</v>
      </c>
      <c r="I159" s="67">
        <v>0</v>
      </c>
      <c r="J159" s="67">
        <f t="shared" si="6"/>
        <v>18745.650000000001</v>
      </c>
      <c r="M159" s="67"/>
      <c r="N159" s="67"/>
      <c r="O159" s="67">
        <v>0</v>
      </c>
      <c r="P159" s="67"/>
      <c r="Q159" s="67"/>
      <c r="R159" s="67"/>
      <c r="S159" s="67"/>
      <c r="T159" s="67"/>
      <c r="U159" s="67"/>
      <c r="W159" s="289">
        <f t="shared" si="7"/>
        <v>-18745.650000000001</v>
      </c>
      <c r="Y159" s="228"/>
      <c r="Z159" s="67"/>
      <c r="AA159" s="67"/>
      <c r="AB159" s="67"/>
      <c r="AC159" s="67"/>
      <c r="AD159" s="67"/>
      <c r="AE159" s="229"/>
      <c r="AH159" s="362">
        <v>0</v>
      </c>
      <c r="AI159" s="67"/>
      <c r="AJ159" s="67"/>
      <c r="AK159" s="67"/>
      <c r="AL159" s="229"/>
      <c r="AN159" s="289">
        <f t="shared" si="8"/>
        <v>0</v>
      </c>
    </row>
    <row r="160" spans="1:40" ht="15" customHeight="1">
      <c r="A160" s="200">
        <v>2239</v>
      </c>
      <c r="B160" s="2">
        <v>103289</v>
      </c>
      <c r="C160" s="2" t="s">
        <v>52</v>
      </c>
      <c r="D160" s="2" t="s">
        <v>53</v>
      </c>
      <c r="E160" s="191" t="s">
        <v>32</v>
      </c>
      <c r="F160" s="213" t="str">
        <f>VLOOKUP(A160,'Summary Mar 2026'!A:F,6,FALSE)</f>
        <v>Chq Bk</v>
      </c>
      <c r="H160" s="228">
        <v>3291.75</v>
      </c>
      <c r="I160" s="67">
        <v>0</v>
      </c>
      <c r="J160" s="67">
        <f t="shared" si="6"/>
        <v>3291.75</v>
      </c>
      <c r="M160" s="67"/>
      <c r="N160" s="67"/>
      <c r="O160" s="67">
        <v>0</v>
      </c>
      <c r="P160" s="67"/>
      <c r="Q160" s="67"/>
      <c r="R160" s="67"/>
      <c r="S160" s="67"/>
      <c r="T160" s="67"/>
      <c r="U160" s="67"/>
      <c r="W160" s="289">
        <f t="shared" si="7"/>
        <v>-3291.75</v>
      </c>
      <c r="Y160" s="228"/>
      <c r="Z160" s="67"/>
      <c r="AA160" s="67"/>
      <c r="AB160" s="67"/>
      <c r="AC160" s="67"/>
      <c r="AD160" s="67"/>
      <c r="AE160" s="229"/>
      <c r="AH160" s="362">
        <v>0</v>
      </c>
      <c r="AI160" s="67"/>
      <c r="AJ160" s="67"/>
      <c r="AK160" s="67"/>
      <c r="AL160" s="229"/>
      <c r="AN160" s="289">
        <f t="shared" si="8"/>
        <v>0</v>
      </c>
    </row>
    <row r="161" spans="1:40" ht="15" customHeight="1">
      <c r="A161" s="200">
        <v>1001</v>
      </c>
      <c r="B161" s="2">
        <v>103120</v>
      </c>
      <c r="C161" s="2" t="s">
        <v>354</v>
      </c>
      <c r="D161" s="2" t="s">
        <v>355</v>
      </c>
      <c r="E161" s="191" t="s">
        <v>29</v>
      </c>
      <c r="F161" s="213" t="str">
        <f>VLOOKUP(A161,'Summary Mar 2026'!A:F,6,FALSE)</f>
        <v>Chq Bk</v>
      </c>
      <c r="H161" s="228">
        <v>3291.75</v>
      </c>
      <c r="I161" s="67">
        <v>0</v>
      </c>
      <c r="J161" s="67">
        <f t="shared" si="6"/>
        <v>3291.75</v>
      </c>
      <c r="M161" s="67"/>
      <c r="N161" s="67"/>
      <c r="O161" s="67">
        <v>0</v>
      </c>
      <c r="P161" s="67"/>
      <c r="Q161" s="67"/>
      <c r="R161" s="67"/>
      <c r="S161" s="67"/>
      <c r="T161" s="67"/>
      <c r="U161" s="67"/>
      <c r="W161" s="289">
        <f t="shared" si="7"/>
        <v>-3291.75</v>
      </c>
      <c r="Y161" s="228"/>
      <c r="Z161" s="67"/>
      <c r="AA161" s="67"/>
      <c r="AB161" s="67"/>
      <c r="AC161" s="67"/>
      <c r="AD161" s="67"/>
      <c r="AE161" s="229"/>
      <c r="AH161" s="362">
        <v>0</v>
      </c>
      <c r="AI161" s="67"/>
      <c r="AJ161" s="67"/>
      <c r="AK161" s="67"/>
      <c r="AL161" s="229"/>
      <c r="AN161" s="289">
        <f t="shared" si="8"/>
        <v>0</v>
      </c>
    </row>
    <row r="162" spans="1:40" ht="15" customHeight="1">
      <c r="A162" s="200">
        <v>7030</v>
      </c>
      <c r="B162" s="2">
        <v>103611</v>
      </c>
      <c r="C162" s="2" t="s">
        <v>71</v>
      </c>
      <c r="D162" s="2" t="s">
        <v>72</v>
      </c>
      <c r="E162" s="191" t="s">
        <v>47</v>
      </c>
      <c r="F162" s="213" t="str">
        <f>VLOOKUP(A162,'Summary Mar 2026'!A:F,6,FALSE)</f>
        <v>Chq Bk</v>
      </c>
      <c r="H162" s="228">
        <v>3291.75</v>
      </c>
      <c r="I162" s="67">
        <v>0</v>
      </c>
      <c r="J162" s="67">
        <f t="shared" si="6"/>
        <v>3291.75</v>
      </c>
      <c r="M162" s="67"/>
      <c r="N162" s="67"/>
      <c r="O162" s="67">
        <v>0</v>
      </c>
      <c r="P162" s="67"/>
      <c r="Q162" s="67"/>
      <c r="R162" s="67"/>
      <c r="S162" s="67"/>
      <c r="T162" s="67"/>
      <c r="U162" s="67"/>
      <c r="W162" s="289">
        <f t="shared" si="7"/>
        <v>-3291.75</v>
      </c>
      <c r="Y162" s="228"/>
      <c r="Z162" s="67"/>
      <c r="AA162" s="67"/>
      <c r="AB162" s="67"/>
      <c r="AC162" s="67"/>
      <c r="AD162" s="67"/>
      <c r="AE162" s="229"/>
      <c r="AH162" s="362">
        <v>-6285.0853999999999</v>
      </c>
      <c r="AI162" s="67"/>
      <c r="AJ162" s="67"/>
      <c r="AK162" s="67"/>
      <c r="AL162" s="229"/>
      <c r="AN162" s="289">
        <f t="shared" si="8"/>
        <v>-6285.0853999999999</v>
      </c>
    </row>
    <row r="163" spans="1:40" ht="15" customHeight="1">
      <c r="A163" s="200">
        <v>2465</v>
      </c>
      <c r="B163" s="2">
        <v>103391</v>
      </c>
      <c r="C163" s="2" t="s">
        <v>79</v>
      </c>
      <c r="D163" s="2" t="s">
        <v>80</v>
      </c>
      <c r="E163" s="191" t="s">
        <v>32</v>
      </c>
      <c r="F163" s="213" t="str">
        <f>VLOOKUP(A163,'Summary Mar 2026'!A:F,6,FALSE)</f>
        <v>Chq Bk</v>
      </c>
      <c r="H163" s="228">
        <v>9471</v>
      </c>
      <c r="I163" s="67">
        <v>0</v>
      </c>
      <c r="J163" s="67">
        <f t="shared" si="6"/>
        <v>9471</v>
      </c>
      <c r="M163" s="67"/>
      <c r="N163" s="67"/>
      <c r="O163" s="67">
        <v>0</v>
      </c>
      <c r="P163" s="67"/>
      <c r="Q163" s="67"/>
      <c r="R163" s="67"/>
      <c r="S163" s="67"/>
      <c r="T163" s="67"/>
      <c r="U163" s="67"/>
      <c r="W163" s="289">
        <f t="shared" si="7"/>
        <v>-9471</v>
      </c>
      <c r="Y163" s="228"/>
      <c r="Z163" s="67"/>
      <c r="AA163" s="67"/>
      <c r="AB163" s="67"/>
      <c r="AC163" s="67"/>
      <c r="AD163" s="67"/>
      <c r="AE163" s="229"/>
      <c r="AH163" s="362">
        <v>0</v>
      </c>
      <c r="AI163" s="67"/>
      <c r="AJ163" s="67"/>
      <c r="AK163" s="67"/>
      <c r="AL163" s="229"/>
      <c r="AN163" s="289">
        <f t="shared" si="8"/>
        <v>0</v>
      </c>
    </row>
    <row r="164" spans="1:40" ht="15" customHeight="1">
      <c r="A164" s="200">
        <v>2040</v>
      </c>
      <c r="B164" s="2">
        <v>103178</v>
      </c>
      <c r="C164" s="2" t="s">
        <v>89</v>
      </c>
      <c r="D164" s="2" t="s">
        <v>90</v>
      </c>
      <c r="E164" s="191" t="s">
        <v>32</v>
      </c>
      <c r="F164" s="213" t="str">
        <f>VLOOKUP(A164,'Summary Mar 2026'!A:F,6,FALSE)</f>
        <v>Chq Bk</v>
      </c>
      <c r="H164" s="228">
        <v>9471</v>
      </c>
      <c r="I164" s="67">
        <v>0</v>
      </c>
      <c r="J164" s="67">
        <f t="shared" si="6"/>
        <v>9471</v>
      </c>
      <c r="M164" s="67"/>
      <c r="N164" s="67"/>
      <c r="O164" s="67">
        <v>0</v>
      </c>
      <c r="P164" s="67"/>
      <c r="Q164" s="67"/>
      <c r="R164" s="67"/>
      <c r="S164" s="67"/>
      <c r="T164" s="67"/>
      <c r="U164" s="67"/>
      <c r="W164" s="289">
        <f t="shared" si="7"/>
        <v>-9471</v>
      </c>
      <c r="Y164" s="228"/>
      <c r="Z164" s="67"/>
      <c r="AA164" s="67"/>
      <c r="AB164" s="67"/>
      <c r="AC164" s="67"/>
      <c r="AD164" s="67"/>
      <c r="AE164" s="229"/>
      <c r="AH164" s="362">
        <v>0</v>
      </c>
      <c r="AI164" s="67"/>
      <c r="AJ164" s="67"/>
      <c r="AK164" s="67"/>
      <c r="AL164" s="229"/>
      <c r="AN164" s="289">
        <f t="shared" si="8"/>
        <v>0</v>
      </c>
    </row>
    <row r="165" spans="1:40" ht="15" customHeight="1">
      <c r="A165" s="200">
        <v>1100</v>
      </c>
      <c r="B165" s="2">
        <v>103146</v>
      </c>
      <c r="C165" s="2" t="s">
        <v>97</v>
      </c>
      <c r="D165" s="2" t="s">
        <v>98</v>
      </c>
      <c r="E165" s="191" t="s">
        <v>99</v>
      </c>
      <c r="F165" s="213" t="str">
        <f>VLOOKUP(A165,'Summary Mar 2026'!A:F,6,FALSE)</f>
        <v>Chq Bk</v>
      </c>
      <c r="H165" s="228">
        <v>18745.650000000001</v>
      </c>
      <c r="I165" s="67">
        <v>0</v>
      </c>
      <c r="J165" s="67">
        <f t="shared" si="6"/>
        <v>18745.650000000001</v>
      </c>
      <c r="M165" s="67"/>
      <c r="N165" s="67"/>
      <c r="O165" s="67">
        <v>0</v>
      </c>
      <c r="P165" s="67"/>
      <c r="Q165" s="67"/>
      <c r="R165" s="67"/>
      <c r="S165" s="67"/>
      <c r="T165" s="67"/>
      <c r="U165" s="67"/>
      <c r="W165" s="289">
        <f t="shared" si="7"/>
        <v>-18745.650000000001</v>
      </c>
      <c r="Y165" s="228"/>
      <c r="Z165" s="67"/>
      <c r="AA165" s="67"/>
      <c r="AB165" s="67"/>
      <c r="AC165" s="67"/>
      <c r="AD165" s="67"/>
      <c r="AE165" s="229"/>
      <c r="AH165" s="362">
        <v>0</v>
      </c>
      <c r="AI165" s="67"/>
      <c r="AJ165" s="67"/>
      <c r="AK165" s="67"/>
      <c r="AL165" s="229"/>
      <c r="AN165" s="289">
        <f t="shared" si="8"/>
        <v>0</v>
      </c>
    </row>
    <row r="166" spans="1:40" ht="15" customHeight="1">
      <c r="A166" s="200">
        <v>3432</v>
      </c>
      <c r="B166" s="2">
        <v>134840</v>
      </c>
      <c r="C166" s="2" t="s">
        <v>100</v>
      </c>
      <c r="D166" s="2" t="s">
        <v>101</v>
      </c>
      <c r="E166" s="191" t="s">
        <v>32</v>
      </c>
      <c r="F166" s="213" t="str">
        <f>VLOOKUP(A166,'Summary Mar 2026'!A:F,6,FALSE)</f>
        <v>Chq Bk</v>
      </c>
      <c r="H166" s="228">
        <v>0</v>
      </c>
      <c r="I166" s="67">
        <v>22801.5</v>
      </c>
      <c r="J166" s="67">
        <f t="shared" si="6"/>
        <v>22801.5</v>
      </c>
      <c r="M166" s="67"/>
      <c r="N166" s="67"/>
      <c r="O166" s="67">
        <v>0</v>
      </c>
      <c r="P166" s="67"/>
      <c r="Q166" s="67"/>
      <c r="R166" s="67"/>
      <c r="S166" s="67"/>
      <c r="T166" s="67"/>
      <c r="U166" s="67"/>
      <c r="W166" s="289">
        <f t="shared" si="7"/>
        <v>-22801.5</v>
      </c>
      <c r="Y166" s="228"/>
      <c r="Z166" s="67"/>
      <c r="AA166" s="67"/>
      <c r="AB166" s="67"/>
      <c r="AC166" s="67"/>
      <c r="AD166" s="67"/>
      <c r="AE166" s="229"/>
      <c r="AH166" s="362">
        <v>0</v>
      </c>
      <c r="AI166" s="67"/>
      <c r="AJ166" s="67"/>
      <c r="AK166" s="67"/>
      <c r="AL166" s="229"/>
      <c r="AN166" s="289">
        <f t="shared" si="8"/>
        <v>0</v>
      </c>
    </row>
    <row r="167" spans="1:40" ht="15" customHeight="1">
      <c r="A167" s="200">
        <v>2185</v>
      </c>
      <c r="B167" s="2">
        <v>103263</v>
      </c>
      <c r="C167" s="2" t="s">
        <v>104</v>
      </c>
      <c r="D167" s="2" t="s">
        <v>105</v>
      </c>
      <c r="E167" s="191" t="s">
        <v>32</v>
      </c>
      <c r="F167" s="213" t="str">
        <f>VLOOKUP(A167,'Summary Mar 2026'!A:F,6,FALSE)</f>
        <v>Chq Bk</v>
      </c>
      <c r="H167" s="228">
        <v>9471</v>
      </c>
      <c r="I167" s="67">
        <v>0</v>
      </c>
      <c r="J167" s="67">
        <f t="shared" si="6"/>
        <v>9471</v>
      </c>
      <c r="M167" s="67"/>
      <c r="N167" s="67"/>
      <c r="O167" s="67">
        <v>0</v>
      </c>
      <c r="P167" s="67"/>
      <c r="Q167" s="67"/>
      <c r="R167" s="67"/>
      <c r="S167" s="67"/>
      <c r="T167" s="67"/>
      <c r="U167" s="67"/>
      <c r="W167" s="289">
        <f t="shared" si="7"/>
        <v>-9471</v>
      </c>
      <c r="Y167" s="228"/>
      <c r="Z167" s="67"/>
      <c r="AA167" s="67"/>
      <c r="AB167" s="67"/>
      <c r="AC167" s="67"/>
      <c r="AD167" s="67"/>
      <c r="AE167" s="229"/>
      <c r="AH167" s="362">
        <v>0</v>
      </c>
      <c r="AI167" s="67"/>
      <c r="AJ167" s="67"/>
      <c r="AK167" s="67"/>
      <c r="AL167" s="229"/>
      <c r="AN167" s="289">
        <f t="shared" si="8"/>
        <v>0</v>
      </c>
    </row>
    <row r="168" spans="1:40" ht="15" customHeight="1">
      <c r="A168" s="200">
        <v>2464</v>
      </c>
      <c r="B168" s="2">
        <v>103390</v>
      </c>
      <c r="C168" s="2" t="s">
        <v>356</v>
      </c>
      <c r="D168" s="2" t="s">
        <v>357</v>
      </c>
      <c r="E168" s="191" t="s">
        <v>32</v>
      </c>
      <c r="F168" s="213" t="str">
        <f>VLOOKUP(A168,'Summary Mar 2026'!A:F,6,FALSE)</f>
        <v>Chq Bk</v>
      </c>
      <c r="H168" s="811"/>
      <c r="I168" s="67">
        <v>11097</v>
      </c>
      <c r="J168" s="67">
        <f t="shared" si="6"/>
        <v>11097</v>
      </c>
      <c r="M168" s="67"/>
      <c r="N168" s="67"/>
      <c r="O168" s="67">
        <v>0</v>
      </c>
      <c r="P168" s="67"/>
      <c r="Q168" s="67"/>
      <c r="R168" s="67"/>
      <c r="S168" s="67"/>
      <c r="T168" s="67"/>
      <c r="U168" s="67"/>
      <c r="W168" s="289">
        <f t="shared" si="7"/>
        <v>-11097</v>
      </c>
      <c r="Y168" s="228"/>
      <c r="Z168" s="67"/>
      <c r="AA168" s="67">
        <v>200000</v>
      </c>
      <c r="AB168" s="67"/>
      <c r="AC168" s="67"/>
      <c r="AD168" s="67"/>
      <c r="AE168" s="229"/>
      <c r="AH168" s="362">
        <v>0</v>
      </c>
      <c r="AI168" s="67"/>
      <c r="AJ168" s="67"/>
      <c r="AK168" s="67"/>
      <c r="AL168" s="229"/>
      <c r="AN168" s="289">
        <f t="shared" si="8"/>
        <v>0</v>
      </c>
    </row>
    <row r="169" spans="1:40" ht="15" customHeight="1">
      <c r="A169" s="200">
        <v>2454</v>
      </c>
      <c r="B169" s="2">
        <v>103381</v>
      </c>
      <c r="C169" s="2" t="s">
        <v>116</v>
      </c>
      <c r="D169" s="2" t="s">
        <v>117</v>
      </c>
      <c r="E169" s="191" t="s">
        <v>32</v>
      </c>
      <c r="F169" s="213" t="str">
        <f>VLOOKUP(A169,'Summary Mar 2026'!A:F,6,FALSE)</f>
        <v>Chq Bk</v>
      </c>
      <c r="H169" s="228">
        <v>9471</v>
      </c>
      <c r="I169" s="67">
        <v>0</v>
      </c>
      <c r="J169" s="67">
        <f t="shared" si="6"/>
        <v>9471</v>
      </c>
      <c r="M169" s="67"/>
      <c r="N169" s="67"/>
      <c r="O169" s="67">
        <v>0</v>
      </c>
      <c r="P169" s="67"/>
      <c r="Q169" s="67"/>
      <c r="R169" s="67"/>
      <c r="S169" s="67"/>
      <c r="T169" s="67"/>
      <c r="U169" s="67"/>
      <c r="W169" s="289">
        <f t="shared" si="7"/>
        <v>-9471</v>
      </c>
      <c r="Y169" s="228"/>
      <c r="Z169" s="67"/>
      <c r="AA169" s="67"/>
      <c r="AB169" s="67"/>
      <c r="AC169" s="67"/>
      <c r="AD169" s="67"/>
      <c r="AE169" s="229"/>
      <c r="AH169" s="362">
        <v>0</v>
      </c>
      <c r="AI169" s="67"/>
      <c r="AJ169" s="67"/>
      <c r="AK169" s="67"/>
      <c r="AL169" s="229"/>
      <c r="AN169" s="289">
        <f t="shared" si="8"/>
        <v>0</v>
      </c>
    </row>
    <row r="170" spans="1:40" ht="15" customHeight="1">
      <c r="A170" s="200">
        <v>3321</v>
      </c>
      <c r="B170" s="2">
        <v>103425</v>
      </c>
      <c r="C170" s="2" t="s">
        <v>118</v>
      </c>
      <c r="D170" s="2" t="s">
        <v>119</v>
      </c>
      <c r="E170" s="191" t="s">
        <v>32</v>
      </c>
      <c r="F170" s="213" t="str">
        <f>VLOOKUP(A170,'Summary Mar 2026'!A:F,6,FALSE)</f>
        <v>Chq Bk</v>
      </c>
      <c r="H170" s="228">
        <v>9471</v>
      </c>
      <c r="I170" s="67">
        <v>0</v>
      </c>
      <c r="J170" s="67">
        <f t="shared" si="6"/>
        <v>9471</v>
      </c>
      <c r="M170" s="67"/>
      <c r="N170" s="67"/>
      <c r="O170" s="67">
        <v>0</v>
      </c>
      <c r="P170" s="67"/>
      <c r="Q170" s="67"/>
      <c r="R170" s="67"/>
      <c r="S170" s="67"/>
      <c r="T170" s="67"/>
      <c r="U170" s="67"/>
      <c r="W170" s="289">
        <f t="shared" si="7"/>
        <v>-9471</v>
      </c>
      <c r="Y170" s="228"/>
      <c r="Z170" s="67"/>
      <c r="AA170" s="67"/>
      <c r="AB170" s="67"/>
      <c r="AC170" s="67"/>
      <c r="AD170" s="67"/>
      <c r="AE170" s="229"/>
      <c r="AH170" s="362">
        <v>0</v>
      </c>
      <c r="AI170" s="67"/>
      <c r="AJ170" s="67"/>
      <c r="AK170" s="67"/>
      <c r="AL170" s="229"/>
      <c r="AN170" s="289">
        <f t="shared" si="8"/>
        <v>0</v>
      </c>
    </row>
    <row r="171" spans="1:40" ht="15" customHeight="1">
      <c r="A171" s="200">
        <v>3435</v>
      </c>
      <c r="B171" s="2">
        <v>131920</v>
      </c>
      <c r="C171" s="2" t="s">
        <v>126</v>
      </c>
      <c r="D171" s="2" t="s">
        <v>127</v>
      </c>
      <c r="E171" s="191" t="s">
        <v>32</v>
      </c>
      <c r="F171" s="213" t="str">
        <f>VLOOKUP(A171,'Summary Mar 2026'!A:F,6,FALSE)</f>
        <v>Chq Bk</v>
      </c>
      <c r="H171" s="811"/>
      <c r="I171" s="67">
        <v>11340</v>
      </c>
      <c r="J171" s="67">
        <f t="shared" si="6"/>
        <v>11340</v>
      </c>
      <c r="M171" s="67"/>
      <c r="N171" s="67"/>
      <c r="O171" s="67">
        <v>0</v>
      </c>
      <c r="P171" s="67"/>
      <c r="Q171" s="67"/>
      <c r="R171" s="67"/>
      <c r="S171" s="67"/>
      <c r="T171" s="67"/>
      <c r="U171" s="67"/>
      <c r="W171" s="289">
        <f t="shared" si="7"/>
        <v>-11340</v>
      </c>
      <c r="Y171" s="228"/>
      <c r="Z171" s="67"/>
      <c r="AA171" s="67"/>
      <c r="AB171" s="67"/>
      <c r="AC171" s="67"/>
      <c r="AD171" s="67"/>
      <c r="AE171" s="229"/>
      <c r="AH171" s="362">
        <v>0</v>
      </c>
      <c r="AI171" s="67"/>
      <c r="AJ171" s="67"/>
      <c r="AK171" s="67"/>
      <c r="AL171" s="229"/>
      <c r="AN171" s="289">
        <f t="shared" si="8"/>
        <v>0</v>
      </c>
    </row>
    <row r="172" spans="1:40" ht="15" customHeight="1">
      <c r="A172" s="200">
        <v>7050</v>
      </c>
      <c r="B172" s="2">
        <v>103625</v>
      </c>
      <c r="C172" s="2" t="s">
        <v>128</v>
      </c>
      <c r="D172" s="2" t="s">
        <v>129</v>
      </c>
      <c r="E172" s="191" t="s">
        <v>47</v>
      </c>
      <c r="F172" s="213" t="str">
        <f>VLOOKUP(A172,'Summary Mar 2026'!A:F,6,FALSE)</f>
        <v>Chq Bk</v>
      </c>
      <c r="H172" s="228">
        <v>3291.75</v>
      </c>
      <c r="I172" s="67">
        <v>0</v>
      </c>
      <c r="J172" s="67">
        <f t="shared" si="6"/>
        <v>3291.75</v>
      </c>
      <c r="M172" s="67"/>
      <c r="N172" s="67"/>
      <c r="O172" s="67">
        <v>0</v>
      </c>
      <c r="P172" s="67"/>
      <c r="Q172" s="67"/>
      <c r="R172" s="67"/>
      <c r="S172" s="67"/>
      <c r="T172" s="67"/>
      <c r="U172" s="67"/>
      <c r="W172" s="289">
        <f t="shared" si="7"/>
        <v>-3291.75</v>
      </c>
      <c r="Y172" s="228"/>
      <c r="Z172" s="67"/>
      <c r="AA172" s="67"/>
      <c r="AB172" s="67"/>
      <c r="AC172" s="67"/>
      <c r="AD172" s="67"/>
      <c r="AE172" s="229"/>
      <c r="AH172" s="362">
        <v>0</v>
      </c>
      <c r="AI172" s="67"/>
      <c r="AJ172" s="67"/>
      <c r="AK172" s="67"/>
      <c r="AL172" s="229"/>
      <c r="AN172" s="289">
        <f t="shared" si="8"/>
        <v>0</v>
      </c>
    </row>
    <row r="173" spans="1:40" ht="15" customHeight="1">
      <c r="A173" s="200">
        <v>2081</v>
      </c>
      <c r="B173" s="2">
        <v>103201</v>
      </c>
      <c r="C173" s="2" t="s">
        <v>132</v>
      </c>
      <c r="D173" s="2" t="s">
        <v>133</v>
      </c>
      <c r="E173" s="191" t="s">
        <v>32</v>
      </c>
      <c r="F173" s="213" t="str">
        <f>VLOOKUP(A173,'Summary Mar 2026'!A:F,6,FALSE)</f>
        <v>Chq Bk</v>
      </c>
      <c r="H173" s="228">
        <v>9471</v>
      </c>
      <c r="I173" s="67">
        <v>0</v>
      </c>
      <c r="J173" s="67">
        <f t="shared" si="6"/>
        <v>9471</v>
      </c>
      <c r="M173" s="67"/>
      <c r="N173" s="67"/>
      <c r="O173" s="67">
        <v>0</v>
      </c>
      <c r="P173" s="67"/>
      <c r="Q173" s="67"/>
      <c r="R173" s="67"/>
      <c r="S173" s="67"/>
      <c r="T173" s="67"/>
      <c r="U173" s="67"/>
      <c r="W173" s="289">
        <f t="shared" si="7"/>
        <v>-9471</v>
      </c>
      <c r="Y173" s="228"/>
      <c r="Z173" s="67"/>
      <c r="AA173" s="67"/>
      <c r="AB173" s="67"/>
      <c r="AC173" s="67"/>
      <c r="AD173" s="67"/>
      <c r="AE173" s="229"/>
      <c r="AH173" s="362">
        <v>0</v>
      </c>
      <c r="AI173" s="67"/>
      <c r="AJ173" s="67"/>
      <c r="AK173" s="67"/>
      <c r="AL173" s="229"/>
      <c r="AN173" s="289">
        <f t="shared" si="8"/>
        <v>0</v>
      </c>
    </row>
    <row r="174" spans="1:40" ht="15" customHeight="1">
      <c r="A174" s="200">
        <v>2093</v>
      </c>
      <c r="B174" s="2">
        <v>103210</v>
      </c>
      <c r="C174" s="2" t="s">
        <v>144</v>
      </c>
      <c r="D174" s="2" t="s">
        <v>145</v>
      </c>
      <c r="E174" s="191" t="s">
        <v>32</v>
      </c>
      <c r="F174" s="213" t="str">
        <f>VLOOKUP(A174,'Summary Mar 2026'!A:F,6,FALSE)</f>
        <v>Chq Bk</v>
      </c>
      <c r="H174" s="228">
        <v>0</v>
      </c>
      <c r="I174" s="67">
        <v>0</v>
      </c>
      <c r="J174" s="67">
        <f t="shared" si="6"/>
        <v>0</v>
      </c>
      <c r="M174" s="67"/>
      <c r="N174" s="67"/>
      <c r="O174" s="67">
        <v>0</v>
      </c>
      <c r="P174" s="67"/>
      <c r="Q174" s="67"/>
      <c r="R174" s="67"/>
      <c r="S174" s="67"/>
      <c r="T174" s="67"/>
      <c r="U174" s="67"/>
      <c r="W174" s="289">
        <f t="shared" si="7"/>
        <v>0</v>
      </c>
      <c r="Y174" s="228"/>
      <c r="Z174" s="67"/>
      <c r="AA174" s="67"/>
      <c r="AB174" s="67"/>
      <c r="AC174" s="67"/>
      <c r="AD174" s="67"/>
      <c r="AE174" s="229"/>
      <c r="AH174" s="362">
        <v>0</v>
      </c>
      <c r="AI174" s="67"/>
      <c r="AJ174" s="67"/>
      <c r="AK174" s="67"/>
      <c r="AL174" s="229"/>
      <c r="AN174" s="289">
        <f t="shared" si="8"/>
        <v>0</v>
      </c>
    </row>
    <row r="175" spans="1:40" ht="15" customHeight="1">
      <c r="A175" s="200">
        <v>2099</v>
      </c>
      <c r="B175" s="2">
        <v>103214</v>
      </c>
      <c r="C175" s="2" t="s">
        <v>150</v>
      </c>
      <c r="D175" s="2" t="s">
        <v>151</v>
      </c>
      <c r="E175" s="191" t="s">
        <v>32</v>
      </c>
      <c r="F175" s="213" t="str">
        <f>VLOOKUP(A175,'Summary Mar 2026'!A:F,6,FALSE)</f>
        <v>Chq Bk</v>
      </c>
      <c r="H175" s="228">
        <v>5139.75</v>
      </c>
      <c r="I175" s="67">
        <v>0</v>
      </c>
      <c r="J175" s="67">
        <f t="shared" si="6"/>
        <v>5139.75</v>
      </c>
      <c r="M175" s="67"/>
      <c r="N175" s="67"/>
      <c r="O175" s="67">
        <v>0</v>
      </c>
      <c r="P175" s="67"/>
      <c r="Q175" s="67"/>
      <c r="R175" s="67"/>
      <c r="S175" s="67"/>
      <c r="T175" s="67"/>
      <c r="U175" s="67"/>
      <c r="W175" s="289">
        <f t="shared" si="7"/>
        <v>-5139.75</v>
      </c>
      <c r="Y175" s="228"/>
      <c r="Z175" s="67"/>
      <c r="AA175" s="67"/>
      <c r="AB175" s="67"/>
      <c r="AC175" s="67"/>
      <c r="AD175" s="67"/>
      <c r="AE175" s="229"/>
      <c r="AH175" s="362">
        <v>0</v>
      </c>
      <c r="AI175" s="67"/>
      <c r="AJ175" s="67"/>
      <c r="AK175" s="67"/>
      <c r="AL175" s="229"/>
      <c r="AN175" s="289">
        <f t="shared" si="8"/>
        <v>0</v>
      </c>
    </row>
    <row r="176" spans="1:40" ht="15" customHeight="1">
      <c r="A176" s="200">
        <v>2189</v>
      </c>
      <c r="B176" s="2">
        <v>103265</v>
      </c>
      <c r="C176" s="2" t="s">
        <v>358</v>
      </c>
      <c r="D176" s="2" t="s">
        <v>359</v>
      </c>
      <c r="E176" s="191" t="s">
        <v>32</v>
      </c>
      <c r="F176" s="213" t="str">
        <f>VLOOKUP(A176,'Summary Mar 2026'!A:F,6,FALSE)</f>
        <v>Chq Bk</v>
      </c>
      <c r="H176" s="228">
        <v>5139.75</v>
      </c>
      <c r="I176" s="67">
        <v>0</v>
      </c>
      <c r="J176" s="67">
        <f t="shared" si="6"/>
        <v>5139.75</v>
      </c>
      <c r="M176" s="67"/>
      <c r="N176" s="67"/>
      <c r="O176" s="67">
        <v>0</v>
      </c>
      <c r="P176" s="67"/>
      <c r="Q176" s="67"/>
      <c r="R176" s="67"/>
      <c r="S176" s="67"/>
      <c r="T176" s="67"/>
      <c r="U176" s="67"/>
      <c r="W176" s="289">
        <f t="shared" si="7"/>
        <v>-5139.75</v>
      </c>
      <c r="Y176" s="228"/>
      <c r="Z176" s="67"/>
      <c r="AA176" s="67"/>
      <c r="AB176" s="67"/>
      <c r="AC176" s="67"/>
      <c r="AD176" s="67"/>
      <c r="AE176" s="229"/>
      <c r="AH176" s="362">
        <v>0</v>
      </c>
      <c r="AI176" s="67"/>
      <c r="AJ176" s="67"/>
      <c r="AK176" s="67"/>
      <c r="AL176" s="229"/>
      <c r="AN176" s="289">
        <f t="shared" si="8"/>
        <v>0</v>
      </c>
    </row>
    <row r="177" spans="1:40" ht="15" customHeight="1">
      <c r="A177" s="200">
        <v>7060</v>
      </c>
      <c r="B177" s="2">
        <v>103630</v>
      </c>
      <c r="C177" s="2" t="s">
        <v>360</v>
      </c>
      <c r="D177" s="2" t="s">
        <v>361</v>
      </c>
      <c r="E177" s="191" t="s">
        <v>47</v>
      </c>
      <c r="F177" s="213" t="str">
        <f>VLOOKUP(A177,'Summary Mar 2026'!A:F,6,FALSE)</f>
        <v>Chq Bk</v>
      </c>
      <c r="H177" s="228"/>
      <c r="I177" s="67">
        <v>3375</v>
      </c>
      <c r="J177" s="67">
        <f t="shared" si="6"/>
        <v>3375</v>
      </c>
      <c r="M177" s="67"/>
      <c r="N177" s="67"/>
      <c r="O177" s="67">
        <v>0</v>
      </c>
      <c r="P177" s="67"/>
      <c r="Q177" s="67"/>
      <c r="R177" s="67"/>
      <c r="S177" s="67"/>
      <c r="T177" s="67"/>
      <c r="U177" s="67"/>
      <c r="W177" s="289">
        <f t="shared" si="7"/>
        <v>-3375</v>
      </c>
      <c r="Y177" s="228"/>
      <c r="Z177" s="67"/>
      <c r="AA177" s="67"/>
      <c r="AB177" s="67"/>
      <c r="AC177" s="67"/>
      <c r="AD177" s="67"/>
      <c r="AE177" s="229"/>
      <c r="AH177" s="362">
        <v>0</v>
      </c>
      <c r="AI177" s="67"/>
      <c r="AJ177" s="67"/>
      <c r="AK177" s="67"/>
      <c r="AL177" s="229"/>
      <c r="AN177" s="289">
        <f t="shared" si="8"/>
        <v>0</v>
      </c>
    </row>
    <row r="178" spans="1:40" ht="15" customHeight="1">
      <c r="A178" s="200">
        <v>7012</v>
      </c>
      <c r="B178" s="2">
        <v>103603</v>
      </c>
      <c r="C178" s="2" t="s">
        <v>184</v>
      </c>
      <c r="D178" s="2" t="s">
        <v>185</v>
      </c>
      <c r="E178" s="191" t="s">
        <v>47</v>
      </c>
      <c r="F178" s="213" t="str">
        <f>VLOOKUP(A178,'Summary Mar 2026'!A:F,6,FALSE)</f>
        <v>Chq Bk</v>
      </c>
      <c r="H178" s="228">
        <v>3291.75</v>
      </c>
      <c r="I178" s="67">
        <v>0</v>
      </c>
      <c r="J178" s="67">
        <f t="shared" si="6"/>
        <v>3291.75</v>
      </c>
      <c r="M178" s="67"/>
      <c r="N178" s="67"/>
      <c r="O178" s="67">
        <v>0</v>
      </c>
      <c r="P178" s="67"/>
      <c r="Q178" s="67"/>
      <c r="R178" s="67"/>
      <c r="S178" s="67"/>
      <c r="T178" s="67"/>
      <c r="U178" s="67"/>
      <c r="W178" s="289">
        <f t="shared" si="7"/>
        <v>-3291.75</v>
      </c>
      <c r="Y178" s="228"/>
      <c r="Z178" s="67"/>
      <c r="AA178" s="67"/>
      <c r="AB178" s="67"/>
      <c r="AC178" s="67"/>
      <c r="AD178" s="67"/>
      <c r="AE178" s="229"/>
      <c r="AH178" s="362">
        <v>0</v>
      </c>
      <c r="AI178" s="67"/>
      <c r="AJ178" s="67"/>
      <c r="AK178" s="67"/>
      <c r="AL178" s="229"/>
      <c r="AN178" s="289">
        <f t="shared" si="8"/>
        <v>0</v>
      </c>
    </row>
    <row r="179" spans="1:40" ht="15" customHeight="1">
      <c r="A179" s="200">
        <v>2420</v>
      </c>
      <c r="B179" s="2">
        <v>103353</v>
      </c>
      <c r="C179" s="2" t="s">
        <v>192</v>
      </c>
      <c r="D179" s="2" t="s">
        <v>193</v>
      </c>
      <c r="E179" s="191" t="s">
        <v>32</v>
      </c>
      <c r="F179" s="213" t="str">
        <f>VLOOKUP(A179,'Summary Mar 2026'!A:F,6,FALSE)</f>
        <v>Chq Bk</v>
      </c>
      <c r="H179" s="228">
        <v>9471</v>
      </c>
      <c r="I179" s="67">
        <v>0</v>
      </c>
      <c r="J179" s="67">
        <f t="shared" si="6"/>
        <v>9471</v>
      </c>
      <c r="M179" s="67"/>
      <c r="N179" s="67"/>
      <c r="O179" s="67">
        <v>0</v>
      </c>
      <c r="P179" s="67"/>
      <c r="Q179" s="67"/>
      <c r="R179" s="67"/>
      <c r="S179" s="67"/>
      <c r="T179" s="67"/>
      <c r="U179" s="67"/>
      <c r="W179" s="289">
        <f t="shared" si="7"/>
        <v>-9471</v>
      </c>
      <c r="Y179" s="228"/>
      <c r="Z179" s="67"/>
      <c r="AA179" s="67"/>
      <c r="AB179" s="67"/>
      <c r="AC179" s="67"/>
      <c r="AD179" s="67"/>
      <c r="AE179" s="229"/>
      <c r="AH179" s="362">
        <v>0</v>
      </c>
      <c r="AI179" s="67"/>
      <c r="AJ179" s="67"/>
      <c r="AK179" s="67"/>
      <c r="AL179" s="229"/>
      <c r="AN179" s="289">
        <f t="shared" si="8"/>
        <v>0</v>
      </c>
    </row>
    <row r="180" spans="1:40" ht="15" customHeight="1">
      <c r="A180" s="200">
        <v>2406</v>
      </c>
      <c r="B180" s="2">
        <v>103345</v>
      </c>
      <c r="C180" s="2" t="s">
        <v>200</v>
      </c>
      <c r="D180" s="2" t="s">
        <v>201</v>
      </c>
      <c r="E180" s="191" t="s">
        <v>32</v>
      </c>
      <c r="F180" s="213" t="str">
        <f>VLOOKUP(A180,'Summary Mar 2026'!A:F,6,FALSE)</f>
        <v>Chq Bk</v>
      </c>
      <c r="H180" s="228">
        <v>5139.75</v>
      </c>
      <c r="I180" s="67">
        <v>0</v>
      </c>
      <c r="J180" s="67">
        <f t="shared" si="6"/>
        <v>5139.75</v>
      </c>
      <c r="M180" s="67"/>
      <c r="N180" s="67"/>
      <c r="O180" s="67">
        <v>0</v>
      </c>
      <c r="P180" s="67"/>
      <c r="Q180" s="67"/>
      <c r="R180" s="67"/>
      <c r="S180" s="67"/>
      <c r="T180" s="67"/>
      <c r="U180" s="67"/>
      <c r="W180" s="289">
        <f t="shared" si="7"/>
        <v>-5139.75</v>
      </c>
      <c r="Y180" s="228"/>
      <c r="Z180" s="67"/>
      <c r="AA180" s="67"/>
      <c r="AB180" s="67"/>
      <c r="AC180" s="67"/>
      <c r="AD180" s="67"/>
      <c r="AE180" s="229"/>
      <c r="AH180" s="362">
        <v>0</v>
      </c>
      <c r="AI180" s="67"/>
      <c r="AJ180" s="67"/>
      <c r="AK180" s="67"/>
      <c r="AL180" s="229"/>
      <c r="AN180" s="289">
        <f t="shared" si="8"/>
        <v>0</v>
      </c>
    </row>
    <row r="181" spans="1:40" ht="15" customHeight="1">
      <c r="A181" s="200">
        <v>3351</v>
      </c>
      <c r="B181" s="2">
        <v>103443</v>
      </c>
      <c r="C181" s="2" t="s">
        <v>218</v>
      </c>
      <c r="D181" s="2" t="s">
        <v>219</v>
      </c>
      <c r="E181" s="191" t="s">
        <v>32</v>
      </c>
      <c r="F181" s="213" t="str">
        <f>VLOOKUP(A181,'Summary Mar 2026'!A:F,6,FALSE)</f>
        <v>Chq Bk</v>
      </c>
      <c r="H181" s="228">
        <v>5139.75</v>
      </c>
      <c r="I181" s="67">
        <v>0</v>
      </c>
      <c r="J181" s="67">
        <f t="shared" si="6"/>
        <v>5139.75</v>
      </c>
      <c r="M181" s="67"/>
      <c r="N181" s="67"/>
      <c r="O181" s="67">
        <v>0</v>
      </c>
      <c r="P181" s="67"/>
      <c r="Q181" s="67"/>
      <c r="R181" s="67"/>
      <c r="S181" s="67"/>
      <c r="T181" s="67"/>
      <c r="U181" s="67"/>
      <c r="W181" s="289">
        <f t="shared" si="7"/>
        <v>-5139.75</v>
      </c>
      <c r="Y181" s="228"/>
      <c r="Z181" s="67"/>
      <c r="AA181" s="67"/>
      <c r="AB181" s="67"/>
      <c r="AC181" s="67"/>
      <c r="AD181" s="67"/>
      <c r="AE181" s="229"/>
      <c r="AH181" s="362">
        <v>0</v>
      </c>
      <c r="AI181" s="67"/>
      <c r="AJ181" s="67"/>
      <c r="AK181" s="67"/>
      <c r="AL181" s="229"/>
      <c r="AN181" s="289">
        <f t="shared" si="8"/>
        <v>0</v>
      </c>
    </row>
    <row r="182" spans="1:40" ht="15" customHeight="1">
      <c r="A182" s="200">
        <v>3328</v>
      </c>
      <c r="B182" s="2">
        <v>103430</v>
      </c>
      <c r="C182" s="2" t="s">
        <v>220</v>
      </c>
      <c r="D182" s="2" t="s">
        <v>221</v>
      </c>
      <c r="E182" s="191" t="s">
        <v>32</v>
      </c>
      <c r="F182" s="213" t="str">
        <f>VLOOKUP(A182,'Summary Mar 2026'!A:F,6,FALSE)</f>
        <v>Chq Bk</v>
      </c>
      <c r="H182" s="228">
        <v>5139.75</v>
      </c>
      <c r="I182" s="67">
        <v>0</v>
      </c>
      <c r="J182" s="67">
        <f t="shared" si="6"/>
        <v>5139.75</v>
      </c>
      <c r="M182" s="67"/>
      <c r="N182" s="67"/>
      <c r="O182" s="67">
        <v>0</v>
      </c>
      <c r="P182" s="67"/>
      <c r="Q182" s="67"/>
      <c r="R182" s="67"/>
      <c r="S182" s="67"/>
      <c r="T182" s="67"/>
      <c r="U182" s="67"/>
      <c r="W182" s="289">
        <f t="shared" si="7"/>
        <v>-5139.75</v>
      </c>
      <c r="Y182" s="228"/>
      <c r="Z182" s="67"/>
      <c r="AA182" s="67"/>
      <c r="AB182" s="67"/>
      <c r="AC182" s="67"/>
      <c r="AD182" s="67"/>
      <c r="AE182" s="229"/>
      <c r="AH182" s="362">
        <v>0</v>
      </c>
      <c r="AI182" s="67"/>
      <c r="AJ182" s="67"/>
      <c r="AK182" s="67"/>
      <c r="AL182" s="229"/>
      <c r="AN182" s="289">
        <f t="shared" si="8"/>
        <v>0</v>
      </c>
    </row>
    <row r="183" spans="1:40" ht="15" customHeight="1">
      <c r="A183" s="200">
        <v>2160</v>
      </c>
      <c r="B183" s="2">
        <v>103248</v>
      </c>
      <c r="C183" s="2" t="s">
        <v>230</v>
      </c>
      <c r="D183" s="2" t="s">
        <v>231</v>
      </c>
      <c r="E183" s="191" t="s">
        <v>32</v>
      </c>
      <c r="F183" s="213" t="str">
        <f>VLOOKUP(A183,'Summary Mar 2026'!A:F,6,FALSE)</f>
        <v>Chq Bk</v>
      </c>
      <c r="H183" s="228">
        <v>9471</v>
      </c>
      <c r="I183" s="67">
        <v>0</v>
      </c>
      <c r="J183" s="67">
        <f t="shared" si="6"/>
        <v>9471</v>
      </c>
      <c r="M183" s="67"/>
      <c r="N183" s="67"/>
      <c r="O183" s="67">
        <v>0</v>
      </c>
      <c r="P183" s="67"/>
      <c r="Q183" s="67"/>
      <c r="R183" s="67"/>
      <c r="S183" s="67"/>
      <c r="T183" s="67"/>
      <c r="U183" s="67"/>
      <c r="W183" s="289">
        <f t="shared" si="7"/>
        <v>-9471</v>
      </c>
      <c r="Y183" s="228"/>
      <c r="Z183" s="67"/>
      <c r="AA183" s="67"/>
      <c r="AB183" s="67"/>
      <c r="AC183" s="67"/>
      <c r="AD183" s="67"/>
      <c r="AE183" s="229"/>
      <c r="AH183" s="362">
        <v>-9222.0828000000001</v>
      </c>
      <c r="AI183" s="67"/>
      <c r="AJ183" s="67"/>
      <c r="AK183" s="67"/>
      <c r="AL183" s="229"/>
      <c r="AN183" s="289">
        <f t="shared" si="8"/>
        <v>-9222.0828000000001</v>
      </c>
    </row>
    <row r="184" spans="1:40" ht="15" customHeight="1">
      <c r="A184" s="200">
        <v>2063</v>
      </c>
      <c r="B184" s="2">
        <v>103193</v>
      </c>
      <c r="C184" s="2" t="s">
        <v>232</v>
      </c>
      <c r="D184" s="2" t="s">
        <v>233</v>
      </c>
      <c r="E184" s="191" t="s">
        <v>32</v>
      </c>
      <c r="F184" s="213" t="str">
        <f>VLOOKUP(A184,'Summary Mar 2026'!A:F,6,FALSE)</f>
        <v>Chq Bk</v>
      </c>
      <c r="H184" s="228">
        <v>9471</v>
      </c>
      <c r="I184" s="67">
        <v>0</v>
      </c>
      <c r="J184" s="67">
        <f t="shared" si="6"/>
        <v>9471</v>
      </c>
      <c r="M184" s="67"/>
      <c r="N184" s="67"/>
      <c r="O184" s="67">
        <v>0</v>
      </c>
      <c r="P184" s="67"/>
      <c r="Q184" s="67"/>
      <c r="R184" s="67"/>
      <c r="S184" s="67"/>
      <c r="T184" s="67"/>
      <c r="U184" s="67"/>
      <c r="W184" s="289">
        <f t="shared" si="7"/>
        <v>-9471</v>
      </c>
      <c r="Y184" s="228"/>
      <c r="Z184" s="67"/>
      <c r="AA184" s="67"/>
      <c r="AB184" s="67"/>
      <c r="AC184" s="67"/>
      <c r="AD184" s="67"/>
      <c r="AE184" s="229"/>
      <c r="AH184" s="362">
        <v>0</v>
      </c>
      <c r="AI184" s="67"/>
      <c r="AJ184" s="67"/>
      <c r="AK184" s="67"/>
      <c r="AL184" s="229"/>
      <c r="AN184" s="289">
        <f t="shared" si="8"/>
        <v>0</v>
      </c>
    </row>
    <row r="185" spans="1:40" ht="15" customHeight="1">
      <c r="A185" s="200">
        <v>2008</v>
      </c>
      <c r="B185" s="2">
        <v>103157</v>
      </c>
      <c r="C185" s="2" t="s">
        <v>242</v>
      </c>
      <c r="D185" s="2" t="s">
        <v>243</v>
      </c>
      <c r="E185" s="191" t="s">
        <v>32</v>
      </c>
      <c r="F185" s="213" t="str">
        <f>VLOOKUP(A185,'Summary Mar 2026'!A:F,6,FALSE)</f>
        <v>Chq Bk</v>
      </c>
      <c r="H185" s="228">
        <v>9471</v>
      </c>
      <c r="I185" s="67">
        <v>0</v>
      </c>
      <c r="J185" s="67">
        <f t="shared" si="6"/>
        <v>9471</v>
      </c>
      <c r="M185" s="67"/>
      <c r="N185" s="67"/>
      <c r="O185" s="67">
        <v>0</v>
      </c>
      <c r="P185" s="67"/>
      <c r="Q185" s="67"/>
      <c r="R185" s="67"/>
      <c r="S185" s="67"/>
      <c r="T185" s="67"/>
      <c r="U185" s="67"/>
      <c r="W185" s="289">
        <f t="shared" si="7"/>
        <v>-9471</v>
      </c>
      <c r="Y185" s="228"/>
      <c r="Z185" s="67"/>
      <c r="AA185" s="67"/>
      <c r="AB185" s="67"/>
      <c r="AC185" s="67"/>
      <c r="AD185" s="67"/>
      <c r="AE185" s="229"/>
      <c r="AH185" s="362">
        <v>0</v>
      </c>
      <c r="AI185" s="67"/>
      <c r="AJ185" s="67"/>
      <c r="AK185" s="67"/>
      <c r="AL185" s="229"/>
      <c r="AN185" s="289">
        <f t="shared" si="8"/>
        <v>0</v>
      </c>
    </row>
    <row r="186" spans="1:40" ht="15" customHeight="1">
      <c r="A186" s="200">
        <v>2176</v>
      </c>
      <c r="B186" s="2">
        <v>103256</v>
      </c>
      <c r="C186" s="2" t="s">
        <v>248</v>
      </c>
      <c r="D186" s="2" t="s">
        <v>249</v>
      </c>
      <c r="E186" s="191" t="s">
        <v>32</v>
      </c>
      <c r="F186" s="213" t="str">
        <f>VLOOKUP(A186,'Summary Mar 2026'!A:F,6,FALSE)</f>
        <v>Chq Bk</v>
      </c>
      <c r="H186" s="228">
        <v>18745.650000000001</v>
      </c>
      <c r="I186" s="67">
        <v>0</v>
      </c>
      <c r="J186" s="67">
        <f t="shared" si="6"/>
        <v>18745.650000000001</v>
      </c>
      <c r="M186" s="67"/>
      <c r="N186" s="67"/>
      <c r="O186" s="67">
        <v>0</v>
      </c>
      <c r="P186" s="67"/>
      <c r="Q186" s="67"/>
      <c r="R186" s="67"/>
      <c r="S186" s="67"/>
      <c r="T186" s="67"/>
      <c r="U186" s="67"/>
      <c r="W186" s="289">
        <f t="shared" si="7"/>
        <v>-18745.650000000001</v>
      </c>
      <c r="Y186" s="228"/>
      <c r="Z186" s="67"/>
      <c r="AA186" s="67"/>
      <c r="AB186" s="67"/>
      <c r="AC186" s="67"/>
      <c r="AD186" s="67"/>
      <c r="AE186" s="229"/>
      <c r="AH186" s="362">
        <v>0</v>
      </c>
      <c r="AI186" s="67"/>
      <c r="AJ186" s="67"/>
      <c r="AK186" s="67"/>
      <c r="AL186" s="229"/>
      <c r="AN186" s="289">
        <f t="shared" si="8"/>
        <v>0</v>
      </c>
    </row>
    <row r="187" spans="1:40" ht="15" customHeight="1">
      <c r="A187" s="200">
        <v>3410</v>
      </c>
      <c r="B187" s="2">
        <v>103478</v>
      </c>
      <c r="C187" s="2" t="s">
        <v>252</v>
      </c>
      <c r="D187" s="2" t="s">
        <v>253</v>
      </c>
      <c r="E187" s="191" t="s">
        <v>32</v>
      </c>
      <c r="F187" s="213" t="str">
        <f>VLOOKUP(A187,'Summary Mar 2026'!A:F,6,FALSE)</f>
        <v>Chq Bk</v>
      </c>
      <c r="H187" s="228">
        <v>5139.75</v>
      </c>
      <c r="I187" s="67">
        <v>0</v>
      </c>
      <c r="J187" s="67">
        <f t="shared" si="6"/>
        <v>5139.75</v>
      </c>
      <c r="M187" s="67"/>
      <c r="N187" s="67"/>
      <c r="O187" s="67">
        <v>0</v>
      </c>
      <c r="P187" s="67"/>
      <c r="Q187" s="67"/>
      <c r="R187" s="67"/>
      <c r="S187" s="67"/>
      <c r="T187" s="67"/>
      <c r="U187" s="67"/>
      <c r="W187" s="289">
        <f t="shared" si="7"/>
        <v>-5139.75</v>
      </c>
      <c r="Y187" s="228"/>
      <c r="Z187" s="67"/>
      <c r="AA187" s="67"/>
      <c r="AB187" s="67"/>
      <c r="AC187" s="67"/>
      <c r="AD187" s="67"/>
      <c r="AE187" s="229"/>
      <c r="AH187" s="362">
        <v>0</v>
      </c>
      <c r="AI187" s="67"/>
      <c r="AJ187" s="67"/>
      <c r="AK187" s="67"/>
      <c r="AL187" s="229"/>
      <c r="AN187" s="289">
        <f t="shared" si="8"/>
        <v>0</v>
      </c>
    </row>
    <row r="188" spans="1:40" ht="15" customHeight="1">
      <c r="A188" s="200">
        <v>3380</v>
      </c>
      <c r="B188" s="2">
        <v>103465</v>
      </c>
      <c r="C188" s="2" t="s">
        <v>362</v>
      </c>
      <c r="D188" s="2" t="s">
        <v>363</v>
      </c>
      <c r="E188" s="191" t="s">
        <v>32</v>
      </c>
      <c r="F188" s="213" t="str">
        <f>VLOOKUP(A188,'Summary Mar 2026'!A:F,6,FALSE)</f>
        <v>Academy</v>
      </c>
      <c r="H188" s="228">
        <v>0</v>
      </c>
      <c r="I188" s="67">
        <v>0</v>
      </c>
      <c r="J188" s="67">
        <f t="shared" si="6"/>
        <v>0</v>
      </c>
      <c r="M188" s="67"/>
      <c r="N188" s="67"/>
      <c r="O188" s="67">
        <v>0</v>
      </c>
      <c r="P188" s="67"/>
      <c r="Q188" s="67"/>
      <c r="R188" s="67"/>
      <c r="S188" s="67"/>
      <c r="T188" s="67"/>
      <c r="U188" s="67"/>
      <c r="W188" s="289">
        <f t="shared" si="7"/>
        <v>0</v>
      </c>
      <c r="Y188" s="228"/>
      <c r="Z188" s="67"/>
      <c r="AA188" s="67"/>
      <c r="AB188" s="67"/>
      <c r="AC188" s="67"/>
      <c r="AD188" s="67"/>
      <c r="AE188" s="229"/>
      <c r="AH188" s="362">
        <v>0</v>
      </c>
      <c r="AI188" s="67"/>
      <c r="AJ188" s="67"/>
      <c r="AK188" s="67"/>
      <c r="AL188" s="229"/>
      <c r="AN188" s="289">
        <f t="shared" si="8"/>
        <v>0</v>
      </c>
    </row>
    <row r="189" spans="1:40" ht="15" customHeight="1">
      <c r="A189" s="200">
        <v>3335</v>
      </c>
      <c r="B189" s="2">
        <v>103434</v>
      </c>
      <c r="C189" s="2" t="s">
        <v>256</v>
      </c>
      <c r="D189" s="2" t="s">
        <v>257</v>
      </c>
      <c r="E189" s="191" t="s">
        <v>32</v>
      </c>
      <c r="F189" s="213" t="str">
        <f>VLOOKUP(A189,'Summary Mar 2026'!A:F,6,FALSE)</f>
        <v>Chq Bk</v>
      </c>
      <c r="H189" s="228">
        <v>5139.75</v>
      </c>
      <c r="I189" s="67">
        <v>0</v>
      </c>
      <c r="J189" s="67">
        <f t="shared" si="6"/>
        <v>5139.75</v>
      </c>
      <c r="M189" s="67"/>
      <c r="N189" s="67"/>
      <c r="O189" s="67">
        <v>0</v>
      </c>
      <c r="P189" s="67"/>
      <c r="Q189" s="67"/>
      <c r="R189" s="67"/>
      <c r="S189" s="67"/>
      <c r="T189" s="67"/>
      <c r="U189" s="67"/>
      <c r="W189" s="289">
        <f t="shared" si="7"/>
        <v>-5139.75</v>
      </c>
      <c r="Y189" s="228"/>
      <c r="Z189" s="67"/>
      <c r="AA189" s="67"/>
      <c r="AB189" s="67"/>
      <c r="AC189" s="67"/>
      <c r="AD189" s="67"/>
      <c r="AE189" s="229"/>
      <c r="AH189" s="362">
        <v>0</v>
      </c>
      <c r="AI189" s="67"/>
      <c r="AJ189" s="67"/>
      <c r="AK189" s="67"/>
      <c r="AL189" s="229"/>
      <c r="AN189" s="289">
        <f t="shared" si="8"/>
        <v>0</v>
      </c>
    </row>
    <row r="190" spans="1:40" ht="15" customHeight="1">
      <c r="A190" s="200">
        <v>3372</v>
      </c>
      <c r="B190" s="2">
        <v>103460</v>
      </c>
      <c r="C190" s="2" t="s">
        <v>260</v>
      </c>
      <c r="D190" s="2" t="s">
        <v>261</v>
      </c>
      <c r="E190" s="191" t="s">
        <v>32</v>
      </c>
      <c r="F190" s="213" t="str">
        <f>VLOOKUP(A190,'Summary Mar 2026'!A:F,6,FALSE)</f>
        <v>Chq Bk</v>
      </c>
      <c r="H190" s="228">
        <v>0</v>
      </c>
      <c r="I190" s="67">
        <v>0</v>
      </c>
      <c r="J190" s="67">
        <f t="shared" si="6"/>
        <v>0</v>
      </c>
      <c r="M190" s="67"/>
      <c r="N190" s="67"/>
      <c r="O190" s="67">
        <v>0</v>
      </c>
      <c r="P190" s="67"/>
      <c r="Q190" s="67"/>
      <c r="R190" s="67"/>
      <c r="S190" s="67"/>
      <c r="T190" s="67"/>
      <c r="U190" s="67"/>
      <c r="W190" s="289">
        <f t="shared" si="7"/>
        <v>0</v>
      </c>
      <c r="Y190" s="228"/>
      <c r="Z190" s="67"/>
      <c r="AA190" s="67"/>
      <c r="AB190" s="67"/>
      <c r="AC190" s="67"/>
      <c r="AD190" s="67"/>
      <c r="AE190" s="229"/>
      <c r="AH190" s="362">
        <v>0</v>
      </c>
      <c r="AI190" s="67"/>
      <c r="AJ190" s="67"/>
      <c r="AK190" s="67"/>
      <c r="AL190" s="229"/>
      <c r="AN190" s="289">
        <f t="shared" si="8"/>
        <v>0</v>
      </c>
    </row>
    <row r="191" spans="1:40" ht="15" customHeight="1">
      <c r="A191" s="200">
        <v>3355</v>
      </c>
      <c r="B191" s="2">
        <v>103447</v>
      </c>
      <c r="C191" s="2" t="s">
        <v>270</v>
      </c>
      <c r="D191" s="2" t="s">
        <v>271</v>
      </c>
      <c r="E191" s="191" t="s">
        <v>32</v>
      </c>
      <c r="F191" s="213" t="str">
        <f>VLOOKUP(A191,'Summary Mar 2026'!A:F,6,FALSE)</f>
        <v>Chq Bk</v>
      </c>
      <c r="H191" s="228">
        <v>9471</v>
      </c>
      <c r="I191" s="67">
        <v>0</v>
      </c>
      <c r="J191" s="67">
        <f t="shared" si="6"/>
        <v>9471</v>
      </c>
      <c r="M191" s="67"/>
      <c r="N191" s="67"/>
      <c r="O191" s="67">
        <v>0</v>
      </c>
      <c r="P191" s="67"/>
      <c r="Q191" s="67"/>
      <c r="R191" s="67"/>
      <c r="S191" s="67"/>
      <c r="T191" s="67"/>
      <c r="U191" s="67"/>
      <c r="W191" s="289">
        <f t="shared" si="7"/>
        <v>-9471</v>
      </c>
      <c r="Y191" s="228"/>
      <c r="Z191" s="67"/>
      <c r="AA191" s="67"/>
      <c r="AB191" s="67"/>
      <c r="AC191" s="67"/>
      <c r="AD191" s="67"/>
      <c r="AE191" s="229"/>
      <c r="AH191" s="362">
        <v>-4587.5414000000001</v>
      </c>
      <c r="AI191" s="67"/>
      <c r="AJ191" s="67"/>
      <c r="AK191" s="67"/>
      <c r="AL191" s="229"/>
      <c r="AN191" s="289">
        <f t="shared" si="8"/>
        <v>-4587.5414000000001</v>
      </c>
    </row>
    <row r="192" spans="1:40" ht="15" customHeight="1">
      <c r="A192" s="200">
        <v>3367</v>
      </c>
      <c r="B192" s="2">
        <v>103458</v>
      </c>
      <c r="C192" s="2" t="s">
        <v>272</v>
      </c>
      <c r="D192" s="2" t="s">
        <v>273</v>
      </c>
      <c r="E192" s="191" t="s">
        <v>32</v>
      </c>
      <c r="F192" s="213" t="str">
        <f>VLOOKUP(A192,'Summary Mar 2026'!A:F,6,FALSE)</f>
        <v>Chq Bk</v>
      </c>
      <c r="H192" s="228">
        <v>5139.75</v>
      </c>
      <c r="I192" s="67">
        <v>0</v>
      </c>
      <c r="J192" s="67">
        <f t="shared" si="6"/>
        <v>5139.75</v>
      </c>
      <c r="M192" s="67"/>
      <c r="N192" s="67"/>
      <c r="O192" s="67">
        <v>0</v>
      </c>
      <c r="P192" s="67"/>
      <c r="Q192" s="67"/>
      <c r="R192" s="67"/>
      <c r="S192" s="67"/>
      <c r="T192" s="67"/>
      <c r="U192" s="67"/>
      <c r="W192" s="289">
        <f t="shared" si="7"/>
        <v>-5139.75</v>
      </c>
      <c r="Y192" s="228"/>
      <c r="Z192" s="67"/>
      <c r="AA192" s="67"/>
      <c r="AB192" s="67"/>
      <c r="AC192" s="67"/>
      <c r="AD192" s="67"/>
      <c r="AE192" s="229"/>
      <c r="AH192" s="362">
        <v>0</v>
      </c>
      <c r="AI192" s="67"/>
      <c r="AJ192" s="67"/>
      <c r="AK192" s="67"/>
      <c r="AL192" s="229"/>
      <c r="AN192" s="289">
        <f t="shared" si="8"/>
        <v>0</v>
      </c>
    </row>
    <row r="193" spans="1:40" ht="15" customHeight="1">
      <c r="A193" s="200">
        <v>3361</v>
      </c>
      <c r="B193" s="2">
        <v>103453</v>
      </c>
      <c r="C193" s="2" t="s">
        <v>284</v>
      </c>
      <c r="D193" s="2" t="s">
        <v>285</v>
      </c>
      <c r="E193" s="191" t="s">
        <v>32</v>
      </c>
      <c r="F193" s="213" t="str">
        <f>VLOOKUP(A193,'Summary Mar 2026'!A:F,6,FALSE)</f>
        <v>Chq Bk</v>
      </c>
      <c r="H193" s="228">
        <v>9471</v>
      </c>
      <c r="I193" s="67">
        <v>0</v>
      </c>
      <c r="J193" s="67">
        <f t="shared" si="6"/>
        <v>9471</v>
      </c>
      <c r="M193" s="67"/>
      <c r="N193" s="67"/>
      <c r="O193" s="67">
        <v>0</v>
      </c>
      <c r="P193" s="67"/>
      <c r="Q193" s="67"/>
      <c r="R193" s="67"/>
      <c r="S193" s="67"/>
      <c r="T193" s="67"/>
      <c r="U193" s="67"/>
      <c r="W193" s="289">
        <f t="shared" si="7"/>
        <v>-9471</v>
      </c>
      <c r="Y193" s="228"/>
      <c r="Z193" s="67"/>
      <c r="AA193" s="67"/>
      <c r="AB193" s="67"/>
      <c r="AC193" s="67"/>
      <c r="AD193" s="67"/>
      <c r="AE193" s="229"/>
      <c r="AH193" s="362">
        <v>0</v>
      </c>
      <c r="AI193" s="67"/>
      <c r="AJ193" s="67"/>
      <c r="AK193" s="67"/>
      <c r="AL193" s="229"/>
      <c r="AN193" s="289">
        <f t="shared" si="8"/>
        <v>0</v>
      </c>
    </row>
    <row r="194" spans="1:40" ht="15" customHeight="1">
      <c r="A194" s="200">
        <v>3344</v>
      </c>
      <c r="B194" s="2">
        <v>103438</v>
      </c>
      <c r="C194" s="2" t="s">
        <v>286</v>
      </c>
      <c r="D194" s="2" t="s">
        <v>287</v>
      </c>
      <c r="E194" s="191" t="s">
        <v>32</v>
      </c>
      <c r="F194" s="213" t="str">
        <f>VLOOKUP(A194,'Summary Mar 2026'!A:F,6,FALSE)</f>
        <v>Chq Bk</v>
      </c>
      <c r="H194" s="228">
        <v>9471</v>
      </c>
      <c r="I194" s="67">
        <v>0</v>
      </c>
      <c r="J194" s="67">
        <f t="shared" ref="J194:J206" si="9">H194+I194</f>
        <v>9471</v>
      </c>
      <c r="M194" s="67"/>
      <c r="N194" s="67"/>
      <c r="O194" s="67">
        <v>0</v>
      </c>
      <c r="P194" s="67"/>
      <c r="Q194" s="67"/>
      <c r="R194" s="67"/>
      <c r="S194" s="67"/>
      <c r="T194" s="67"/>
      <c r="U194" s="67"/>
      <c r="W194" s="289">
        <f t="shared" si="7"/>
        <v>-9471</v>
      </c>
      <c r="Y194" s="228"/>
      <c r="Z194" s="67"/>
      <c r="AA194" s="67"/>
      <c r="AB194" s="67"/>
      <c r="AC194" s="67"/>
      <c r="AD194" s="67"/>
      <c r="AE194" s="229"/>
      <c r="AH194" s="362">
        <v>0</v>
      </c>
      <c r="AI194" s="67"/>
      <c r="AJ194" s="67"/>
      <c r="AK194" s="67"/>
      <c r="AL194" s="229"/>
      <c r="AN194" s="289">
        <f t="shared" si="8"/>
        <v>0</v>
      </c>
    </row>
    <row r="195" spans="1:40" ht="15" customHeight="1">
      <c r="A195" s="200">
        <v>3019</v>
      </c>
      <c r="B195" s="2">
        <v>103406</v>
      </c>
      <c r="C195" s="2" t="s">
        <v>296</v>
      </c>
      <c r="D195" s="2" t="s">
        <v>297</v>
      </c>
      <c r="E195" s="191" t="s">
        <v>32</v>
      </c>
      <c r="F195" s="213" t="str">
        <f>VLOOKUP(A195,'Summary Mar 2026'!A:F,6,FALSE)</f>
        <v>Chq Bk</v>
      </c>
      <c r="H195" s="228">
        <v>9471</v>
      </c>
      <c r="I195" s="67">
        <v>0</v>
      </c>
      <c r="J195" s="67">
        <f t="shared" si="9"/>
        <v>9471</v>
      </c>
      <c r="M195" s="67"/>
      <c r="N195" s="67"/>
      <c r="O195" s="67">
        <v>0</v>
      </c>
      <c r="P195" s="67"/>
      <c r="Q195" s="67"/>
      <c r="R195" s="67"/>
      <c r="S195" s="67"/>
      <c r="T195" s="67"/>
      <c r="U195" s="67"/>
      <c r="W195" s="289">
        <f t="shared" si="7"/>
        <v>-9471</v>
      </c>
      <c r="Y195" s="228"/>
      <c r="Z195" s="67"/>
      <c r="AA195" s="67"/>
      <c r="AB195" s="67"/>
      <c r="AC195" s="67"/>
      <c r="AD195" s="67"/>
      <c r="AE195" s="229"/>
      <c r="AH195" s="362">
        <v>0</v>
      </c>
      <c r="AI195" s="67"/>
      <c r="AJ195" s="67"/>
      <c r="AK195" s="67"/>
      <c r="AL195" s="229"/>
      <c r="AN195" s="289">
        <f t="shared" si="8"/>
        <v>0</v>
      </c>
    </row>
    <row r="196" spans="1:40" ht="15" customHeight="1">
      <c r="A196" s="200">
        <v>2190</v>
      </c>
      <c r="B196" s="2">
        <v>103266</v>
      </c>
      <c r="C196" s="2" t="s">
        <v>302</v>
      </c>
      <c r="D196" s="2" t="s">
        <v>303</v>
      </c>
      <c r="E196" s="191" t="s">
        <v>32</v>
      </c>
      <c r="F196" s="213" t="str">
        <f>VLOOKUP(A196,'Summary Mar 2026'!A:F,6,FALSE)</f>
        <v>Chq Bk</v>
      </c>
      <c r="H196" s="228">
        <v>5139.75</v>
      </c>
      <c r="I196" s="67">
        <v>0</v>
      </c>
      <c r="J196" s="67">
        <f t="shared" si="9"/>
        <v>5139.75</v>
      </c>
      <c r="M196" s="67"/>
      <c r="N196" s="67"/>
      <c r="O196" s="67">
        <v>0</v>
      </c>
      <c r="P196" s="67"/>
      <c r="Q196" s="67"/>
      <c r="R196" s="67"/>
      <c r="S196" s="67"/>
      <c r="T196" s="67"/>
      <c r="U196" s="67"/>
      <c r="W196" s="289">
        <f t="shared" si="7"/>
        <v>-5139.75</v>
      </c>
      <c r="Y196" s="228"/>
      <c r="Z196" s="67"/>
      <c r="AA196" s="67"/>
      <c r="AB196" s="67"/>
      <c r="AC196" s="67"/>
      <c r="AD196" s="67"/>
      <c r="AE196" s="229"/>
      <c r="AH196" s="362">
        <v>0</v>
      </c>
      <c r="AI196" s="67"/>
      <c r="AJ196" s="67"/>
      <c r="AK196" s="67"/>
      <c r="AL196" s="229"/>
      <c r="AN196" s="289">
        <f t="shared" si="8"/>
        <v>0</v>
      </c>
    </row>
    <row r="197" spans="1:40" ht="15" customHeight="1">
      <c r="A197" s="200">
        <v>7035</v>
      </c>
      <c r="B197" s="2">
        <v>103615</v>
      </c>
      <c r="C197" s="2" t="s">
        <v>304</v>
      </c>
      <c r="D197" s="2" t="s">
        <v>305</v>
      </c>
      <c r="E197" s="191" t="s">
        <v>47</v>
      </c>
      <c r="F197" s="213" t="str">
        <f>VLOOKUP(A197,'Summary Mar 2026'!A:F,6,FALSE)</f>
        <v>Chq Bk</v>
      </c>
      <c r="H197" s="228">
        <v>5139.75</v>
      </c>
      <c r="I197" s="67">
        <v>0</v>
      </c>
      <c r="J197" s="67">
        <f t="shared" si="9"/>
        <v>5139.75</v>
      </c>
      <c r="M197" s="67"/>
      <c r="N197" s="67"/>
      <c r="O197" s="67">
        <v>0</v>
      </c>
      <c r="P197" s="67"/>
      <c r="Q197" s="67"/>
      <c r="R197" s="67"/>
      <c r="S197" s="67"/>
      <c r="T197" s="67"/>
      <c r="U197" s="67"/>
      <c r="W197" s="289">
        <f t="shared" si="7"/>
        <v>-5139.75</v>
      </c>
      <c r="Y197" s="228"/>
      <c r="Z197" s="67"/>
      <c r="AA197" s="67"/>
      <c r="AB197" s="67"/>
      <c r="AC197" s="67"/>
      <c r="AD197" s="67"/>
      <c r="AE197" s="229"/>
      <c r="AH197" s="362">
        <v>0</v>
      </c>
      <c r="AI197" s="67"/>
      <c r="AJ197" s="67"/>
      <c r="AK197" s="67"/>
      <c r="AL197" s="229"/>
      <c r="AN197" s="289">
        <f t="shared" si="8"/>
        <v>0</v>
      </c>
    </row>
    <row r="198" spans="1:40" ht="15" customHeight="1">
      <c r="A198" s="200">
        <v>7045</v>
      </c>
      <c r="B198" s="2">
        <v>103622</v>
      </c>
      <c r="C198" s="2" t="s">
        <v>308</v>
      </c>
      <c r="D198" s="2" t="s">
        <v>309</v>
      </c>
      <c r="E198" s="191" t="s">
        <v>47</v>
      </c>
      <c r="F198" s="213" t="str">
        <f>VLOOKUP(A198,'Summary Mar 2026'!A:F,6,FALSE)</f>
        <v>Chq Bk</v>
      </c>
      <c r="H198" s="228">
        <v>5139.75</v>
      </c>
      <c r="I198" s="67">
        <v>0</v>
      </c>
      <c r="J198" s="67">
        <f t="shared" si="9"/>
        <v>5139.75</v>
      </c>
      <c r="M198" s="67"/>
      <c r="N198" s="67"/>
      <c r="O198" s="67">
        <v>0</v>
      </c>
      <c r="P198" s="67"/>
      <c r="Q198" s="67"/>
      <c r="R198" s="67"/>
      <c r="S198" s="67"/>
      <c r="T198" s="67"/>
      <c r="U198" s="67"/>
      <c r="W198" s="289">
        <f t="shared" si="7"/>
        <v>-5139.75</v>
      </c>
      <c r="Y198" s="228"/>
      <c r="Z198" s="67"/>
      <c r="AA198" s="67"/>
      <c r="AB198" s="67"/>
      <c r="AC198" s="67"/>
      <c r="AD198" s="67"/>
      <c r="AE198" s="229"/>
      <c r="AH198" s="362">
        <v>0</v>
      </c>
      <c r="AI198" s="67"/>
      <c r="AJ198" s="67"/>
      <c r="AK198" s="67"/>
      <c r="AL198" s="229"/>
      <c r="AN198" s="289">
        <f t="shared" si="8"/>
        <v>0</v>
      </c>
    </row>
    <row r="199" spans="1:40" ht="15" customHeight="1">
      <c r="A199" s="200">
        <v>1019</v>
      </c>
      <c r="B199" s="2">
        <v>103132</v>
      </c>
      <c r="C199" s="2" t="s">
        <v>364</v>
      </c>
      <c r="D199" s="2" t="s">
        <v>365</v>
      </c>
      <c r="E199" s="191" t="s">
        <v>29</v>
      </c>
      <c r="F199" s="213" t="str">
        <f>VLOOKUP(A199,'Summary Mar 2026'!A:F,6,FALSE)</f>
        <v>Chq Bk</v>
      </c>
      <c r="H199" s="228">
        <v>3291.75</v>
      </c>
      <c r="I199" s="67">
        <v>0</v>
      </c>
      <c r="J199" s="67">
        <f t="shared" si="9"/>
        <v>3291.75</v>
      </c>
      <c r="M199" s="67"/>
      <c r="N199" s="67"/>
      <c r="O199" s="67">
        <v>0</v>
      </c>
      <c r="P199" s="67"/>
      <c r="Q199" s="67"/>
      <c r="R199" s="67"/>
      <c r="S199" s="67"/>
      <c r="T199" s="67"/>
      <c r="U199" s="67"/>
      <c r="W199" s="289">
        <f t="shared" si="7"/>
        <v>-3291.75</v>
      </c>
      <c r="Y199" s="228"/>
      <c r="Z199" s="67"/>
      <c r="AA199" s="67"/>
      <c r="AB199" s="67"/>
      <c r="AC199" s="67"/>
      <c r="AD199" s="67"/>
      <c r="AE199" s="229"/>
      <c r="AH199" s="362">
        <v>0</v>
      </c>
      <c r="AI199" s="67"/>
      <c r="AJ199" s="67"/>
      <c r="AK199" s="67"/>
      <c r="AL199" s="229"/>
      <c r="AN199" s="289">
        <f t="shared" si="8"/>
        <v>0</v>
      </c>
    </row>
    <row r="200" spans="1:40" ht="15" customHeight="1">
      <c r="A200" s="200">
        <v>2306</v>
      </c>
      <c r="B200" s="2">
        <v>103326</v>
      </c>
      <c r="C200" s="2" t="s">
        <v>322</v>
      </c>
      <c r="D200" s="2" t="s">
        <v>323</v>
      </c>
      <c r="E200" s="191" t="s">
        <v>32</v>
      </c>
      <c r="F200" s="213" t="str">
        <f>VLOOKUP(A200,'Summary Mar 2026'!A:F,6,FALSE)</f>
        <v>Chq Bk</v>
      </c>
      <c r="H200" s="228">
        <v>5139.75</v>
      </c>
      <c r="I200" s="67">
        <v>0</v>
      </c>
      <c r="J200" s="67">
        <f t="shared" si="9"/>
        <v>5139.75</v>
      </c>
      <c r="M200" s="67"/>
      <c r="N200" s="67"/>
      <c r="O200" s="67">
        <v>0</v>
      </c>
      <c r="P200" s="67"/>
      <c r="Q200" s="67"/>
      <c r="R200" s="67"/>
      <c r="S200" s="67"/>
      <c r="T200" s="67"/>
      <c r="U200" s="67"/>
      <c r="W200" s="289">
        <f t="shared" ref="W200:W206" si="10">-SUMIFS($H200:$P200,$H$3:$P$3,W$6)</f>
        <v>-5139.75</v>
      </c>
      <c r="Y200" s="228"/>
      <c r="Z200" s="67"/>
      <c r="AA200" s="67"/>
      <c r="AB200" s="67"/>
      <c r="AC200" s="67"/>
      <c r="AD200" s="67"/>
      <c r="AE200" s="229"/>
      <c r="AH200" s="362">
        <v>0</v>
      </c>
      <c r="AI200" s="67"/>
      <c r="AJ200" s="67"/>
      <c r="AK200" s="67"/>
      <c r="AL200" s="229"/>
      <c r="AN200" s="289">
        <f t="shared" ref="AN200:AN207" si="11">SUMIFS($AH200:$AL200,$AH$3:$AL$3,$AN$6)</f>
        <v>0</v>
      </c>
    </row>
    <row r="201" spans="1:40" ht="15" customHeight="1">
      <c r="A201" s="200">
        <v>2245</v>
      </c>
      <c r="B201" s="2">
        <v>103295</v>
      </c>
      <c r="C201" s="2" t="s">
        <v>326</v>
      </c>
      <c r="D201" s="2" t="s">
        <v>327</v>
      </c>
      <c r="E201" s="191" t="s">
        <v>32</v>
      </c>
      <c r="F201" s="213" t="str">
        <f>VLOOKUP(A201,'Summary Mar 2026'!A:F,6,FALSE)</f>
        <v>Chq Bk</v>
      </c>
      <c r="H201" s="228">
        <v>5139.75</v>
      </c>
      <c r="I201" s="67">
        <v>0</v>
      </c>
      <c r="J201" s="67">
        <f t="shared" si="9"/>
        <v>5139.75</v>
      </c>
      <c r="M201" s="67"/>
      <c r="N201" s="67"/>
      <c r="O201" s="67">
        <v>0</v>
      </c>
      <c r="P201" s="67"/>
      <c r="Q201" s="67"/>
      <c r="R201" s="67"/>
      <c r="S201" s="67"/>
      <c r="T201" s="67"/>
      <c r="U201" s="67"/>
      <c r="W201" s="289">
        <f t="shared" si="10"/>
        <v>-5139.75</v>
      </c>
      <c r="Y201" s="228"/>
      <c r="Z201" s="67"/>
      <c r="AA201" s="67"/>
      <c r="AB201" s="67"/>
      <c r="AC201" s="67"/>
      <c r="AD201" s="67"/>
      <c r="AE201" s="229"/>
      <c r="AH201" s="362">
        <v>0</v>
      </c>
      <c r="AI201" s="67"/>
      <c r="AJ201" s="67"/>
      <c r="AK201" s="67"/>
      <c r="AL201" s="229"/>
      <c r="AN201" s="289">
        <f t="shared" si="11"/>
        <v>0</v>
      </c>
    </row>
    <row r="202" spans="1:40" ht="15" customHeight="1">
      <c r="A202" s="200">
        <v>2445</v>
      </c>
      <c r="B202" s="2">
        <v>103372</v>
      </c>
      <c r="C202" s="2" t="s">
        <v>366</v>
      </c>
      <c r="D202" s="2" t="s">
        <v>367</v>
      </c>
      <c r="E202" s="191" t="s">
        <v>32</v>
      </c>
      <c r="F202" s="213" t="str">
        <f>VLOOKUP(A202,'Summary Mar 2026'!A:F,6,FALSE)</f>
        <v>Chq Bk</v>
      </c>
      <c r="H202" s="228">
        <v>5139.75</v>
      </c>
      <c r="I202" s="67">
        <v>0</v>
      </c>
      <c r="J202" s="67">
        <f t="shared" si="9"/>
        <v>5139.75</v>
      </c>
      <c r="M202" s="67"/>
      <c r="N202" s="67"/>
      <c r="O202" s="67">
        <v>0</v>
      </c>
      <c r="P202" s="67"/>
      <c r="Q202" s="67"/>
      <c r="R202" s="67"/>
      <c r="S202" s="67"/>
      <c r="T202" s="67"/>
      <c r="U202" s="67"/>
      <c r="W202" s="289">
        <f t="shared" si="10"/>
        <v>-5139.75</v>
      </c>
      <c r="Y202" s="228"/>
      <c r="Z202" s="67"/>
      <c r="AA202" s="67"/>
      <c r="AB202" s="67"/>
      <c r="AC202" s="67"/>
      <c r="AD202" s="67"/>
      <c r="AE202" s="229"/>
      <c r="AH202" s="362">
        <v>0</v>
      </c>
      <c r="AI202" s="67"/>
      <c r="AJ202" s="67"/>
      <c r="AK202" s="67"/>
      <c r="AL202" s="229"/>
      <c r="AN202" s="289">
        <f t="shared" si="11"/>
        <v>0</v>
      </c>
    </row>
    <row r="203" spans="1:40" ht="15" customHeight="1">
      <c r="A203" s="200">
        <v>2278</v>
      </c>
      <c r="B203" s="2">
        <v>103310</v>
      </c>
      <c r="C203" s="2" t="s">
        <v>338</v>
      </c>
      <c r="D203" s="2" t="s">
        <v>339</v>
      </c>
      <c r="E203" s="191" t="s">
        <v>32</v>
      </c>
      <c r="F203" s="213" t="str">
        <f>VLOOKUP(A203,'Summary Mar 2026'!A:F,6,FALSE)</f>
        <v>Chq Bk</v>
      </c>
      <c r="H203" s="228">
        <v>9471</v>
      </c>
      <c r="I203" s="67">
        <v>0</v>
      </c>
      <c r="J203" s="67">
        <f t="shared" si="9"/>
        <v>9471</v>
      </c>
      <c r="M203" s="67"/>
      <c r="N203" s="67"/>
      <c r="O203" s="67">
        <v>0</v>
      </c>
      <c r="P203" s="67"/>
      <c r="Q203" s="67"/>
      <c r="R203" s="67"/>
      <c r="S203" s="67"/>
      <c r="T203" s="67"/>
      <c r="U203" s="67"/>
      <c r="W203" s="289">
        <f t="shared" si="10"/>
        <v>-9471</v>
      </c>
      <c r="Y203" s="228"/>
      <c r="Z203" s="67"/>
      <c r="AA203" s="67"/>
      <c r="AB203" s="67"/>
      <c r="AC203" s="67"/>
      <c r="AD203" s="67"/>
      <c r="AE203" s="229"/>
      <c r="AH203" s="362">
        <v>-3832.5414000000001</v>
      </c>
      <c r="AI203" s="67"/>
      <c r="AJ203" s="67"/>
      <c r="AK203" s="67"/>
      <c r="AL203" s="229"/>
      <c r="AN203" s="289">
        <f t="shared" si="11"/>
        <v>-3832.5414000000001</v>
      </c>
    </row>
    <row r="204" spans="1:40" ht="15" customHeight="1">
      <c r="A204" s="200">
        <v>2317</v>
      </c>
      <c r="B204" s="2">
        <v>103337</v>
      </c>
      <c r="C204" s="2" t="s">
        <v>342</v>
      </c>
      <c r="D204" s="2" t="s">
        <v>343</v>
      </c>
      <c r="E204" s="191" t="s">
        <v>32</v>
      </c>
      <c r="F204" s="213" t="str">
        <f>VLOOKUP(A204,'Summary Mar 2026'!A:F,6,FALSE)</f>
        <v>Chq Bk</v>
      </c>
      <c r="H204" s="228">
        <v>5139.75</v>
      </c>
      <c r="I204" s="67">
        <v>0</v>
      </c>
      <c r="J204" s="67">
        <f t="shared" si="9"/>
        <v>5139.75</v>
      </c>
      <c r="M204" s="67"/>
      <c r="N204" s="67"/>
      <c r="O204" s="67">
        <v>0</v>
      </c>
      <c r="P204" s="67"/>
      <c r="Q204" s="67"/>
      <c r="R204" s="67"/>
      <c r="S204" s="67"/>
      <c r="T204" s="67"/>
      <c r="U204" s="67"/>
      <c r="W204" s="289">
        <f t="shared" si="10"/>
        <v>-5139.75</v>
      </c>
      <c r="Y204" s="228"/>
      <c r="Z204" s="67"/>
      <c r="AA204" s="67"/>
      <c r="AB204" s="67"/>
      <c r="AC204" s="67"/>
      <c r="AD204" s="67"/>
      <c r="AE204" s="229"/>
      <c r="AH204" s="362">
        <v>0</v>
      </c>
      <c r="AI204" s="67"/>
      <c r="AJ204" s="67"/>
      <c r="AK204" s="67"/>
      <c r="AL204" s="229"/>
      <c r="AN204" s="289">
        <f t="shared" si="11"/>
        <v>0</v>
      </c>
    </row>
    <row r="205" spans="1:40" ht="15" customHeight="1">
      <c r="A205" s="200">
        <v>3421</v>
      </c>
      <c r="B205" s="2">
        <v>133996</v>
      </c>
      <c r="C205" s="2" t="s">
        <v>348</v>
      </c>
      <c r="D205" s="2" t="s">
        <v>349</v>
      </c>
      <c r="E205" s="191" t="s">
        <v>32</v>
      </c>
      <c r="F205" s="213" t="str">
        <f>VLOOKUP(A205,'Summary Mar 2026'!A:F,6,FALSE)</f>
        <v>Chq Bk</v>
      </c>
      <c r="H205" s="228">
        <v>24312.75</v>
      </c>
      <c r="I205" s="67">
        <v>0</v>
      </c>
      <c r="J205" s="67">
        <f t="shared" si="9"/>
        <v>24312.75</v>
      </c>
      <c r="M205" s="67"/>
      <c r="N205" s="67"/>
      <c r="O205" s="67">
        <v>0</v>
      </c>
      <c r="P205" s="67"/>
      <c r="Q205" s="67"/>
      <c r="R205" s="67"/>
      <c r="S205" s="67"/>
      <c r="T205" s="67"/>
      <c r="U205" s="67"/>
      <c r="W205" s="289">
        <f t="shared" si="10"/>
        <v>-24312.75</v>
      </c>
      <c r="Y205" s="228"/>
      <c r="Z205" s="67"/>
      <c r="AA205" s="67"/>
      <c r="AB205" s="67"/>
      <c r="AC205" s="67"/>
      <c r="AD205" s="67"/>
      <c r="AE205" s="229"/>
      <c r="AH205" s="362">
        <v>0</v>
      </c>
      <c r="AI205" s="67"/>
      <c r="AJ205" s="67"/>
      <c r="AK205" s="67"/>
      <c r="AL205" s="229"/>
      <c r="AN205" s="289">
        <f t="shared" si="11"/>
        <v>0</v>
      </c>
    </row>
    <row r="206" spans="1:40" ht="15" customHeight="1">
      <c r="A206" s="200">
        <v>2184</v>
      </c>
      <c r="B206" s="2">
        <v>103262</v>
      </c>
      <c r="C206" s="2" t="s">
        <v>300</v>
      </c>
      <c r="D206" s="2" t="s">
        <v>301</v>
      </c>
      <c r="E206" s="191" t="s">
        <v>32</v>
      </c>
      <c r="F206" s="213" t="str">
        <f>VLOOKUP(A206,'Summary Mar 2026'!A:F,6,FALSE)</f>
        <v>Chq Bk</v>
      </c>
      <c r="H206" s="228">
        <v>9471</v>
      </c>
      <c r="I206" s="67">
        <v>0</v>
      </c>
      <c r="J206" s="67">
        <f t="shared" si="9"/>
        <v>9471</v>
      </c>
      <c r="M206" s="67"/>
      <c r="N206" s="67"/>
      <c r="O206" s="67">
        <v>0</v>
      </c>
      <c r="P206" s="67"/>
      <c r="Q206" s="67"/>
      <c r="R206" s="67"/>
      <c r="S206" s="67"/>
      <c r="T206" s="67"/>
      <c r="U206" s="67"/>
      <c r="W206" s="289">
        <f t="shared" si="10"/>
        <v>-9471</v>
      </c>
      <c r="Y206" s="228"/>
      <c r="Z206" s="67"/>
      <c r="AA206" s="67"/>
      <c r="AB206" s="67"/>
      <c r="AC206" s="67"/>
      <c r="AD206" s="67"/>
      <c r="AE206" s="229"/>
      <c r="AH206" s="362">
        <v>0</v>
      </c>
      <c r="AI206" s="67"/>
      <c r="AJ206" s="67"/>
      <c r="AK206" s="67"/>
      <c r="AL206" s="229"/>
      <c r="AN206" s="289">
        <f t="shared" si="11"/>
        <v>0</v>
      </c>
    </row>
    <row r="207" spans="1:40" ht="15" customHeight="1" thickBot="1">
      <c r="A207" s="202"/>
      <c r="B207" s="192"/>
      <c r="C207" s="192"/>
      <c r="D207" s="196" t="s">
        <v>1052</v>
      </c>
      <c r="E207" s="193"/>
      <c r="F207" s="215"/>
      <c r="H207" s="298">
        <f>SUM(H7:H206)</f>
        <v>1240793.4000000001</v>
      </c>
      <c r="I207" s="840">
        <f>SUM(I7:I206)</f>
        <v>386397</v>
      </c>
      <c r="J207" s="840">
        <f>SUM(J7:J206)</f>
        <v>1627190.4</v>
      </c>
      <c r="K207" s="26"/>
      <c r="L207" s="26"/>
      <c r="M207" s="840">
        <f t="shared" ref="M207:O207" si="12">SUM(M7:M206)</f>
        <v>1475.51</v>
      </c>
      <c r="N207" s="840">
        <f t="shared" si="12"/>
        <v>2107.88</v>
      </c>
      <c r="O207" s="840">
        <f t="shared" si="12"/>
        <v>-25133.587500000001</v>
      </c>
      <c r="P207" s="840"/>
      <c r="Q207" s="840"/>
      <c r="R207" s="840"/>
      <c r="S207" s="840"/>
      <c r="T207" s="840"/>
      <c r="U207" s="840"/>
      <c r="V207" s="26"/>
      <c r="W207" s="289">
        <f>SUM(W7:W206)</f>
        <v>-1601430.9574999998</v>
      </c>
      <c r="Y207" s="298"/>
      <c r="Z207" s="840"/>
      <c r="AA207" s="840"/>
      <c r="AB207" s="840"/>
      <c r="AC207" s="840"/>
      <c r="AD207" s="840"/>
      <c r="AE207" s="841"/>
      <c r="AH207" s="858">
        <f>SUM(AH7:AH206)</f>
        <v>-187965.78643333327</v>
      </c>
      <c r="AI207" s="840"/>
      <c r="AJ207" s="840"/>
      <c r="AK207" s="840"/>
      <c r="AL207" s="841"/>
      <c r="AM207" s="26"/>
      <c r="AN207" s="854">
        <f t="shared" si="11"/>
        <v>-187965.78643333327</v>
      </c>
    </row>
  </sheetData>
  <sheetProtection algorithmName="SHA-512" hashValue="gvMmptgFxWeZ3xFp1GxEwLI+v5jHsAKM0fF0FVJaFXenvns/7UPnSc4TsU/bpkSbggsCzLCXbHnhC4rXYNJyLg==" saltValue="4WNAUuESta9ttIPtiZPS9A==" spinCount="100000" sheet="1" autoFilter="0"/>
  <autoFilter ref="A6:K207" xr:uid="{28FB1EA9-B1FA-4AF5-B891-C7453F611430}"/>
  <conditionalFormatting sqref="A6:F6 A7:E7 E8:E207">
    <cfRule type="cellIs" dxfId="3" priority="4" operator="lessThan">
      <formula>0</formula>
    </cfRule>
  </conditionalFormatting>
  <conditionalFormatting sqref="I6:J6 M6:U6">
    <cfRule type="cellIs" dxfId="2" priority="3" operator="lessThan">
      <formula>0</formula>
    </cfRule>
  </conditionalFormatting>
  <conditionalFormatting sqref="Y6:AE6 AH6:AL6">
    <cfRule type="cellIs" dxfId="1" priority="1" operator="lessThan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0CFC7-2873-4814-80E4-8A7B7B468BAA}">
  <sheetPr codeName="Sheet16"/>
  <dimension ref="A1:U212"/>
  <sheetViews>
    <sheetView zoomScale="80" zoomScaleNormal="80" workbookViewId="0">
      <selection activeCell="J6" sqref="J6"/>
    </sheetView>
  </sheetViews>
  <sheetFormatPr defaultRowHeight="14.5"/>
  <cols>
    <col min="1" max="1" width="67" bestFit="1" customWidth="1"/>
    <col min="2" max="2" width="17.81640625" bestFit="1" customWidth="1"/>
    <col min="5" max="5" width="10.7265625" bestFit="1" customWidth="1"/>
    <col min="6" max="6" width="24.453125" bestFit="1" customWidth="1"/>
    <col min="7" max="7" width="18.1796875" bestFit="1" customWidth="1"/>
    <col min="8" max="8" width="16.453125" bestFit="1" customWidth="1"/>
    <col min="12" max="12" width="11.453125" customWidth="1"/>
    <col min="13" max="13" width="48" customWidth="1"/>
    <col min="15" max="15" width="41.1796875" bestFit="1" customWidth="1"/>
    <col min="17" max="17" width="14.54296875" customWidth="1"/>
  </cols>
  <sheetData>
    <row r="1" spans="1:21">
      <c r="G1" t="s">
        <v>1163</v>
      </c>
      <c r="H1" t="s">
        <v>1164</v>
      </c>
      <c r="L1" s="1"/>
      <c r="M1" s="1"/>
      <c r="N1" s="1"/>
      <c r="O1" s="1"/>
      <c r="P1" s="1"/>
      <c r="Q1" s="1"/>
    </row>
    <row r="2" spans="1:21">
      <c r="A2" s="176" t="s">
        <v>1165</v>
      </c>
      <c r="B2" s="174" t="s">
        <v>1166</v>
      </c>
      <c r="C2" s="174" t="s">
        <v>1167</v>
      </c>
      <c r="D2" s="175" t="s">
        <v>1166</v>
      </c>
      <c r="E2" s="175" t="s">
        <v>1168</v>
      </c>
      <c r="F2" s="174" t="s">
        <v>1169</v>
      </c>
      <c r="G2" s="773">
        <v>0</v>
      </c>
      <c r="H2" s="773">
        <v>0</v>
      </c>
      <c r="T2" s="453">
        <v>45748</v>
      </c>
      <c r="U2" t="s">
        <v>478</v>
      </c>
    </row>
    <row r="3" spans="1:21">
      <c r="A3" s="3" t="s">
        <v>28</v>
      </c>
      <c r="B3" s="3">
        <v>1027</v>
      </c>
      <c r="C3" s="3"/>
      <c r="D3" s="3" t="s">
        <v>27</v>
      </c>
      <c r="E3" s="3">
        <v>103140</v>
      </c>
      <c r="F3" s="3" t="str">
        <f>VLOOKUP(B3,'Summary Mar 2026'!A:F,6,FALSE)</f>
        <v>Chq Bk</v>
      </c>
      <c r="G3" s="444">
        <v>311817.20999999996</v>
      </c>
      <c r="H3" s="444">
        <v>4145.2700000000004</v>
      </c>
      <c r="L3" s="5"/>
      <c r="T3" s="453">
        <v>45778</v>
      </c>
      <c r="U3" t="s">
        <v>480</v>
      </c>
    </row>
    <row r="4" spans="1:21">
      <c r="A4" s="3" t="s">
        <v>31</v>
      </c>
      <c r="B4" s="172">
        <v>2010</v>
      </c>
      <c r="C4" s="172"/>
      <c r="D4" s="3" t="s">
        <v>30</v>
      </c>
      <c r="E4" s="173">
        <v>103159</v>
      </c>
      <c r="F4" s="3" t="str">
        <f>VLOOKUP(B4,'Summary Mar 2026'!A:F,6,FALSE)</f>
        <v>Chq Bk</v>
      </c>
      <c r="G4" s="444">
        <v>543637.66999999958</v>
      </c>
      <c r="H4" s="444">
        <v>145977.87</v>
      </c>
      <c r="T4" s="453">
        <v>45809</v>
      </c>
    </row>
    <row r="5" spans="1:21">
      <c r="A5" s="3" t="s">
        <v>34</v>
      </c>
      <c r="B5" s="3">
        <v>5949</v>
      </c>
      <c r="C5" s="3"/>
      <c r="D5" s="3" t="s">
        <v>33</v>
      </c>
      <c r="E5" s="3">
        <v>131465</v>
      </c>
      <c r="F5" s="3" t="str">
        <f>VLOOKUP(B5,'Summary Mar 2026'!A:F,6,FALSE)</f>
        <v>Chq Bk</v>
      </c>
      <c r="G5" s="444">
        <v>1036768.3400000057</v>
      </c>
      <c r="H5" s="444">
        <v>11065</v>
      </c>
      <c r="T5" s="453">
        <v>45839</v>
      </c>
    </row>
    <row r="6" spans="1:21">
      <c r="A6" s="3" t="s">
        <v>36</v>
      </c>
      <c r="B6" s="3">
        <v>1017</v>
      </c>
      <c r="C6" s="3"/>
      <c r="D6" s="3" t="s">
        <v>35</v>
      </c>
      <c r="E6" s="173">
        <v>103130</v>
      </c>
      <c r="F6" s="3" t="str">
        <f>VLOOKUP(B6,'Summary Mar 2026'!A:F,6,FALSE)</f>
        <v>Chq Bk</v>
      </c>
      <c r="G6" s="444">
        <v>33765.819999999803</v>
      </c>
      <c r="H6" s="444">
        <v>11243.269999999995</v>
      </c>
      <c r="T6" s="453">
        <v>45870</v>
      </c>
    </row>
    <row r="7" spans="1:21">
      <c r="A7" s="3" t="s">
        <v>38</v>
      </c>
      <c r="B7" s="3">
        <v>2153</v>
      </c>
      <c r="C7" s="3"/>
      <c r="D7" s="3" t="s">
        <v>37</v>
      </c>
      <c r="E7" s="3">
        <v>103243</v>
      </c>
      <c r="F7" s="3" t="str">
        <f>VLOOKUP(B7,'Summary Mar 2026'!A:F,6,FALSE)</f>
        <v>Chq Bk</v>
      </c>
      <c r="G7" s="444">
        <v>458200.9799999987</v>
      </c>
      <c r="H7" s="444">
        <v>17202.5</v>
      </c>
      <c r="L7" s="5"/>
      <c r="T7" s="453">
        <v>45901</v>
      </c>
    </row>
    <row r="8" spans="1:21">
      <c r="A8" s="3" t="s">
        <v>40</v>
      </c>
      <c r="B8" s="3">
        <v>2062</v>
      </c>
      <c r="C8" s="3"/>
      <c r="D8" s="3" t="s">
        <v>39</v>
      </c>
      <c r="E8" s="3">
        <v>103192</v>
      </c>
      <c r="F8" s="3" t="str">
        <f>VLOOKUP(B8,'Summary Mar 2026'!A:F,6,FALSE)</f>
        <v>Chq Bk</v>
      </c>
      <c r="G8" s="444">
        <v>405486.94000000099</v>
      </c>
      <c r="H8" s="444">
        <v>25844.01</v>
      </c>
      <c r="T8" s="453">
        <v>45931</v>
      </c>
    </row>
    <row r="9" spans="1:21">
      <c r="A9" s="3" t="s">
        <v>42</v>
      </c>
      <c r="B9" s="3">
        <v>2479</v>
      </c>
      <c r="C9" s="3"/>
      <c r="D9" s="3" t="s">
        <v>41</v>
      </c>
      <c r="E9" s="3">
        <v>132074</v>
      </c>
      <c r="F9" s="3" t="str">
        <f>VLOOKUP(B9,'Summary Mar 2026'!A:F,6,FALSE)</f>
        <v>Chq Bk</v>
      </c>
      <c r="G9" s="444">
        <v>105093.84999999334</v>
      </c>
      <c r="H9" s="444">
        <v>26835.650000000005</v>
      </c>
      <c r="L9" s="5"/>
      <c r="T9" s="453">
        <v>45962</v>
      </c>
    </row>
    <row r="10" spans="1:21">
      <c r="A10" s="3" t="s">
        <v>44</v>
      </c>
      <c r="B10" s="3">
        <v>2300</v>
      </c>
      <c r="C10" s="3"/>
      <c r="D10" s="3" t="s">
        <v>43</v>
      </c>
      <c r="E10" s="3">
        <v>103324</v>
      </c>
      <c r="F10" s="3" t="str">
        <f>VLOOKUP(B10,'Summary Mar 2026'!A:F,6,FALSE)</f>
        <v>Chq Bk</v>
      </c>
      <c r="G10" s="444">
        <v>257409.12000000023</v>
      </c>
      <c r="H10" s="444">
        <v>57514.54</v>
      </c>
      <c r="T10" s="453">
        <v>45992</v>
      </c>
    </row>
    <row r="11" spans="1:21">
      <c r="A11" s="3" t="s">
        <v>369</v>
      </c>
      <c r="B11" s="3">
        <v>2014</v>
      </c>
      <c r="C11" s="3"/>
      <c r="D11" s="3" t="s">
        <v>368</v>
      </c>
      <c r="E11" s="3">
        <v>103162</v>
      </c>
      <c r="F11" s="3" t="str">
        <f>VLOOKUP(B11,'Summary Mar 2026'!A:F,6,FALSE)</f>
        <v>Chq Bk</v>
      </c>
      <c r="G11" s="444">
        <v>-317369.06000000233</v>
      </c>
      <c r="H11" s="444">
        <v>8587.75</v>
      </c>
      <c r="T11" s="453">
        <v>46023</v>
      </c>
    </row>
    <row r="12" spans="1:21">
      <c r="A12" s="3" t="s">
        <v>46</v>
      </c>
      <c r="B12" s="3">
        <v>7016</v>
      </c>
      <c r="C12" s="3"/>
      <c r="D12" s="3" t="s">
        <v>45</v>
      </c>
      <c r="E12" s="3">
        <v>103606</v>
      </c>
      <c r="F12" s="3" t="str">
        <f>VLOOKUP(B12,'Summary Mar 2026'!A:F,6,FALSE)</f>
        <v>Chq Bk</v>
      </c>
      <c r="G12" s="444">
        <v>375429</v>
      </c>
      <c r="H12" s="444">
        <v>70303</v>
      </c>
      <c r="T12" s="453">
        <v>46054</v>
      </c>
    </row>
    <row r="13" spans="1:21">
      <c r="A13" s="3" t="s">
        <v>371</v>
      </c>
      <c r="B13" s="3">
        <v>7052</v>
      </c>
      <c r="C13" s="3"/>
      <c r="D13" s="3" t="s">
        <v>370</v>
      </c>
      <c r="E13" s="3">
        <v>103627</v>
      </c>
      <c r="F13" s="3" t="str">
        <f>VLOOKUP(B13,'Summary Mar 2026'!A:F,6,FALSE)</f>
        <v>Chq Bk</v>
      </c>
      <c r="G13" s="444">
        <v>-545844.02999999397</v>
      </c>
      <c r="H13" s="444">
        <v>8839.75</v>
      </c>
      <c r="T13" s="453">
        <v>46082</v>
      </c>
    </row>
    <row r="14" spans="1:21">
      <c r="A14" s="3" t="s">
        <v>49</v>
      </c>
      <c r="B14" s="3">
        <v>2017</v>
      </c>
      <c r="C14" s="3"/>
      <c r="D14" s="3" t="s">
        <v>48</v>
      </c>
      <c r="E14" s="3">
        <v>103164</v>
      </c>
      <c r="F14" s="3" t="str">
        <f>VLOOKUP(B14,'Summary Mar 2026'!A:F,6,FALSE)</f>
        <v>Chq Bk</v>
      </c>
      <c r="G14" s="444">
        <v>-100361.40999999945</v>
      </c>
      <c r="H14" s="444">
        <v>13294.82</v>
      </c>
      <c r="T14" s="453">
        <v>46113</v>
      </c>
    </row>
    <row r="15" spans="1:21">
      <c r="A15" s="3" t="s">
        <v>51</v>
      </c>
      <c r="B15" s="3">
        <v>2016</v>
      </c>
      <c r="C15" s="3"/>
      <c r="D15" s="3" t="s">
        <v>50</v>
      </c>
      <c r="E15" s="3">
        <v>103163</v>
      </c>
      <c r="F15" s="3" t="str">
        <f>VLOOKUP(B15,'Summary Mar 2026'!A:F,6,FALSE)</f>
        <v>Chq Bk</v>
      </c>
      <c r="G15" s="444">
        <v>154984</v>
      </c>
      <c r="H15" s="444">
        <v>8039</v>
      </c>
      <c r="T15" s="453">
        <v>46143</v>
      </c>
    </row>
    <row r="16" spans="1:21">
      <c r="A16" s="3" t="s">
        <v>53</v>
      </c>
      <c r="B16" s="3">
        <v>2239</v>
      </c>
      <c r="C16" s="3"/>
      <c r="D16" s="3" t="s">
        <v>52</v>
      </c>
      <c r="E16" s="3">
        <v>103289</v>
      </c>
      <c r="F16" s="3" t="str">
        <f>VLOOKUP(B16,'Summary Mar 2026'!A:F,6,FALSE)</f>
        <v>Chq Bk</v>
      </c>
      <c r="G16" s="444">
        <v>4803.1600000000617</v>
      </c>
      <c r="H16" s="444">
        <v>8871.6699999999983</v>
      </c>
    </row>
    <row r="17" spans="1:12">
      <c r="A17" s="3" t="s">
        <v>55</v>
      </c>
      <c r="B17" s="3">
        <v>2241</v>
      </c>
      <c r="C17" s="3"/>
      <c r="D17" s="3" t="s">
        <v>54</v>
      </c>
      <c r="E17" s="3">
        <v>103291</v>
      </c>
      <c r="F17" s="3" t="str">
        <f>VLOOKUP(B17,'Summary Mar 2026'!A:F,6,FALSE)</f>
        <v>Chq Bk</v>
      </c>
      <c r="G17" s="444">
        <v>-58421.729999999807</v>
      </c>
      <c r="H17" s="444">
        <v>12725.869999999999</v>
      </c>
    </row>
    <row r="18" spans="1:12">
      <c r="A18" s="3" t="s">
        <v>373</v>
      </c>
      <c r="B18" s="3">
        <v>2456</v>
      </c>
      <c r="C18" s="3"/>
      <c r="D18" s="3" t="s">
        <v>372</v>
      </c>
      <c r="E18" s="3">
        <v>103383</v>
      </c>
      <c r="F18" s="3" t="str">
        <f>VLOOKUP(B18,'Summary Mar 2026'!A:F,6,FALSE)</f>
        <v>Chq Bk</v>
      </c>
      <c r="G18" s="444">
        <v>-148547.98000000091</v>
      </c>
      <c r="H18" s="444">
        <v>4030.27</v>
      </c>
    </row>
    <row r="19" spans="1:12">
      <c r="A19" s="3" t="s">
        <v>57</v>
      </c>
      <c r="B19" s="3">
        <v>5413</v>
      </c>
      <c r="C19" s="3"/>
      <c r="D19" s="3" t="s">
        <v>56</v>
      </c>
      <c r="E19" s="3">
        <v>103560</v>
      </c>
      <c r="F19" s="3" t="str">
        <f>VLOOKUP(B19,'Summary Mar 2026'!A:F,6,FALSE)</f>
        <v>Chq Bk</v>
      </c>
      <c r="G19" s="444">
        <v>248128.38000000076</v>
      </c>
      <c r="H19" s="444">
        <v>0</v>
      </c>
      <c r="L19" s="5"/>
    </row>
    <row r="20" spans="1:12">
      <c r="A20" s="3" t="s">
        <v>375</v>
      </c>
      <c r="B20" s="3">
        <v>2254</v>
      </c>
      <c r="C20" s="3"/>
      <c r="D20" s="3" t="s">
        <v>374</v>
      </c>
      <c r="E20" s="3">
        <v>103300</v>
      </c>
      <c r="F20" s="3" t="str">
        <f>VLOOKUP(B20,'Summary Mar 2026'!A:F,6,FALSE)</f>
        <v>Chq Bk</v>
      </c>
      <c r="G20" s="444">
        <v>-1491332.2199999972</v>
      </c>
      <c r="H20" s="444">
        <v>10300</v>
      </c>
    </row>
    <row r="21" spans="1:12">
      <c r="A21" s="3" t="s">
        <v>60</v>
      </c>
      <c r="B21" s="3">
        <v>1025</v>
      </c>
      <c r="C21" s="3"/>
      <c r="D21" s="3" t="s">
        <v>59</v>
      </c>
      <c r="E21" s="3">
        <v>103138</v>
      </c>
      <c r="F21" s="3" t="str">
        <f>VLOOKUP(B21,'Summary Mar 2026'!A:F,6,FALSE)</f>
        <v>Chq Bk</v>
      </c>
      <c r="G21" s="444">
        <v>636711.52000000025</v>
      </c>
      <c r="H21" s="444">
        <v>27676.25</v>
      </c>
    </row>
    <row r="22" spans="1:12">
      <c r="A22" s="3" t="s">
        <v>62</v>
      </c>
      <c r="B22" s="3">
        <v>2402</v>
      </c>
      <c r="C22" s="3"/>
      <c r="D22" s="3" t="s">
        <v>61</v>
      </c>
      <c r="E22" s="3">
        <v>103342</v>
      </c>
      <c r="F22" s="3" t="str">
        <f>VLOOKUP(B22,'Summary Mar 2026'!A:F,6,FALSE)</f>
        <v>Chq Bk</v>
      </c>
      <c r="G22" s="444">
        <v>-86751.580000000249</v>
      </c>
      <c r="H22" s="444">
        <v>56294.36</v>
      </c>
    </row>
    <row r="23" spans="1:12">
      <c r="A23" s="3" t="s">
        <v>64</v>
      </c>
      <c r="B23" s="3">
        <v>2401</v>
      </c>
      <c r="C23" s="3"/>
      <c r="D23" s="3" t="s">
        <v>63</v>
      </c>
      <c r="E23" s="3">
        <v>103341</v>
      </c>
      <c r="F23" s="3" t="str">
        <f>VLOOKUP(B23,'Summary Mar 2026'!A:F,6,FALSE)</f>
        <v>Chq Bk</v>
      </c>
      <c r="G23" s="444">
        <v>21873.179999999993</v>
      </c>
      <c r="H23" s="444">
        <v>58954.69</v>
      </c>
      <c r="L23" s="5"/>
    </row>
    <row r="24" spans="1:12">
      <c r="A24" s="3" t="s">
        <v>355</v>
      </c>
      <c r="B24" s="3">
        <v>1001</v>
      </c>
      <c r="C24" s="3"/>
      <c r="D24" s="3" t="s">
        <v>354</v>
      </c>
      <c r="E24" s="3">
        <v>103120</v>
      </c>
      <c r="F24" s="3" t="str">
        <f>VLOOKUP(B24,'Summary Mar 2026'!A:F,6,FALSE)</f>
        <v>Chq Bk</v>
      </c>
      <c r="G24" s="444">
        <v>-211961.54999999993</v>
      </c>
      <c r="H24" s="444">
        <v>17836.75</v>
      </c>
    </row>
    <row r="25" spans="1:12">
      <c r="A25" s="3" t="s">
        <v>66</v>
      </c>
      <c r="B25" s="3">
        <v>4115</v>
      </c>
      <c r="C25" s="3"/>
      <c r="D25" s="3" t="s">
        <v>65</v>
      </c>
      <c r="E25" s="3">
        <v>103493</v>
      </c>
      <c r="F25" s="3" t="str">
        <f>VLOOKUP(B25,'Summary Mar 2026'!A:F,6,FALSE)</f>
        <v>Chq Bk</v>
      </c>
      <c r="G25" s="444">
        <v>2250261.4399999981</v>
      </c>
      <c r="H25" s="444">
        <v>0</v>
      </c>
    </row>
    <row r="26" spans="1:12">
      <c r="A26" s="3" t="s">
        <v>68</v>
      </c>
      <c r="B26" s="3">
        <v>2030</v>
      </c>
      <c r="C26" s="3"/>
      <c r="D26" s="3" t="s">
        <v>67</v>
      </c>
      <c r="E26" s="3">
        <v>103172</v>
      </c>
      <c r="F26" s="3" t="str">
        <f>VLOOKUP(B26,'Summary Mar 2026'!A:F,6,FALSE)</f>
        <v>Chq Bk</v>
      </c>
      <c r="G26" s="444">
        <v>542567.29999999877</v>
      </c>
      <c r="H26" s="444">
        <v>52009.5</v>
      </c>
    </row>
    <row r="27" spans="1:12">
      <c r="A27" s="3" t="s">
        <v>70</v>
      </c>
      <c r="B27" s="3">
        <v>3353</v>
      </c>
      <c r="C27" s="3"/>
      <c r="D27" s="3" t="s">
        <v>69</v>
      </c>
      <c r="E27" s="3">
        <v>103445</v>
      </c>
      <c r="F27" s="3" t="str">
        <f>VLOOKUP(B27,'Summary Mar 2026'!A:F,6,FALSE)</f>
        <v>Chq Bk</v>
      </c>
      <c r="G27" s="444">
        <v>148846.70000000601</v>
      </c>
      <c r="H27" s="444">
        <v>0</v>
      </c>
    </row>
    <row r="28" spans="1:12">
      <c r="A28" s="3" t="s">
        <v>72</v>
      </c>
      <c r="B28" s="3">
        <v>7030</v>
      </c>
      <c r="C28" s="3"/>
      <c r="D28" s="3" t="s">
        <v>71</v>
      </c>
      <c r="E28" s="3">
        <v>103611</v>
      </c>
      <c r="F28" s="3" t="str">
        <f>VLOOKUP(B28,'Summary Mar 2026'!A:F,6,FALSE)</f>
        <v>Chq Bk</v>
      </c>
      <c r="G28" s="444">
        <v>555829.35000000219</v>
      </c>
      <c r="H28" s="444">
        <v>7543.75</v>
      </c>
    </row>
    <row r="29" spans="1:12">
      <c r="A29" s="3" t="s">
        <v>74</v>
      </c>
      <c r="B29" s="3">
        <v>1002</v>
      </c>
      <c r="C29" s="3"/>
      <c r="D29" s="3" t="s">
        <v>73</v>
      </c>
      <c r="E29" s="3">
        <v>103121</v>
      </c>
      <c r="F29" s="3" t="str">
        <f>VLOOKUP(B29,'Summary Mar 2026'!A:F,6,FALSE)</f>
        <v>Chq Bk</v>
      </c>
      <c r="G29" s="444">
        <v>293856.1900000007</v>
      </c>
      <c r="H29" s="444">
        <v>45276.25</v>
      </c>
    </row>
    <row r="30" spans="1:12">
      <c r="A30" s="3" t="s">
        <v>76</v>
      </c>
      <c r="B30" s="3">
        <v>2238</v>
      </c>
      <c r="C30" s="3"/>
      <c r="D30" s="3" t="s">
        <v>75</v>
      </c>
      <c r="E30" s="3">
        <v>103288</v>
      </c>
      <c r="F30" s="3" t="str">
        <f>VLOOKUP(B30,'Summary Mar 2026'!A:F,6,FALSE)</f>
        <v>Academy</v>
      </c>
      <c r="G30" s="444">
        <v>-238455.4800000001</v>
      </c>
      <c r="H30" s="444">
        <v>17017.650000000001</v>
      </c>
      <c r="L30" s="5"/>
    </row>
    <row r="31" spans="1:12">
      <c r="A31" s="3" t="s">
        <v>78</v>
      </c>
      <c r="B31" s="3">
        <v>2236</v>
      </c>
      <c r="C31" s="3"/>
      <c r="D31" s="3" t="s">
        <v>77</v>
      </c>
      <c r="E31" s="173">
        <v>103286</v>
      </c>
      <c r="F31" s="3" t="str">
        <f>VLOOKUP(B31,'Summary Mar 2026'!A:F,6,FALSE)</f>
        <v>Academy</v>
      </c>
      <c r="G31" s="444">
        <v>306976.73000000056</v>
      </c>
      <c r="H31" s="444">
        <v>12958.300000000003</v>
      </c>
    </row>
    <row r="32" spans="1:12">
      <c r="A32" s="3" t="s">
        <v>80</v>
      </c>
      <c r="B32" s="3">
        <v>2465</v>
      </c>
      <c r="C32" s="3"/>
      <c r="D32" s="3" t="s">
        <v>79</v>
      </c>
      <c r="E32" s="3">
        <v>103391</v>
      </c>
      <c r="F32" s="3" t="str">
        <f>VLOOKUP(B32,'Summary Mar 2026'!A:F,6,FALSE)</f>
        <v>Chq Bk</v>
      </c>
      <c r="G32" s="444">
        <v>144626.78999999963</v>
      </c>
      <c r="H32" s="444">
        <v>17371.989999999998</v>
      </c>
    </row>
    <row r="33" spans="1:12">
      <c r="A33" s="3" t="s">
        <v>82</v>
      </c>
      <c r="B33" s="3">
        <v>4801</v>
      </c>
      <c r="C33" s="3"/>
      <c r="D33" s="3" t="s">
        <v>81</v>
      </c>
      <c r="E33" s="3">
        <v>103539</v>
      </c>
      <c r="F33" s="3" t="str">
        <f>VLOOKUP(B33,'Summary Mar 2026'!A:F,6,FALSE)</f>
        <v>Chq Bk</v>
      </c>
      <c r="G33" s="444">
        <v>228168.13000000006</v>
      </c>
      <c r="H33" s="444">
        <v>0</v>
      </c>
    </row>
    <row r="34" spans="1:12">
      <c r="A34" s="3" t="s">
        <v>84</v>
      </c>
      <c r="B34" s="3">
        <v>1048</v>
      </c>
      <c r="C34" s="3"/>
      <c r="D34" s="3" t="s">
        <v>83</v>
      </c>
      <c r="E34" s="3">
        <v>103144</v>
      </c>
      <c r="F34" s="3" t="str">
        <f>VLOOKUP(B34,'Summary Mar 2026'!A:F,6,FALSE)</f>
        <v>Chq Bk</v>
      </c>
      <c r="G34" s="444">
        <v>196971.08000000066</v>
      </c>
      <c r="H34" s="444">
        <v>36877.43</v>
      </c>
      <c r="L34" s="5"/>
    </row>
    <row r="35" spans="1:12">
      <c r="A35" s="3" t="s">
        <v>86</v>
      </c>
      <c r="B35" s="3">
        <v>2312</v>
      </c>
      <c r="C35" s="3"/>
      <c r="D35" s="3" t="s">
        <v>85</v>
      </c>
      <c r="E35" s="3">
        <v>103332</v>
      </c>
      <c r="F35" s="3" t="str">
        <f>VLOOKUP(B35,'Summary Mar 2026'!A:F,6,FALSE)</f>
        <v>Chq Bk</v>
      </c>
      <c r="G35" s="444">
        <v>-338161.9600000002</v>
      </c>
      <c r="H35" s="444">
        <v>20443.61</v>
      </c>
    </row>
    <row r="36" spans="1:12">
      <c r="A36" s="3" t="s">
        <v>88</v>
      </c>
      <c r="B36" s="173">
        <v>7051</v>
      </c>
      <c r="C36" s="173"/>
      <c r="D36" s="3" t="s">
        <v>87</v>
      </c>
      <c r="E36" s="3">
        <v>103626</v>
      </c>
      <c r="F36" s="3" t="str">
        <f>VLOOKUP(B36,'Summary Mar 2026'!A:F,6,FALSE)</f>
        <v>Chq Bk</v>
      </c>
      <c r="G36" s="444">
        <v>1103640.2800000003</v>
      </c>
      <c r="H36" s="444">
        <v>2119</v>
      </c>
    </row>
    <row r="37" spans="1:12">
      <c r="A37" s="3" t="s">
        <v>90</v>
      </c>
      <c r="B37" s="3">
        <v>2040</v>
      </c>
      <c r="C37" s="3"/>
      <c r="D37" s="3" t="s">
        <v>89</v>
      </c>
      <c r="E37" s="3">
        <v>103178</v>
      </c>
      <c r="F37" s="3" t="str">
        <f>VLOOKUP(B37,'Summary Mar 2026'!A:F,6,FALSE)</f>
        <v>Chq Bk</v>
      </c>
      <c r="G37" s="444">
        <v>296517.50999999978</v>
      </c>
      <c r="H37" s="444">
        <v>0</v>
      </c>
    </row>
    <row r="38" spans="1:12">
      <c r="A38" s="3" t="s">
        <v>92</v>
      </c>
      <c r="B38" s="3">
        <v>2251</v>
      </c>
      <c r="C38" s="3"/>
      <c r="D38" s="3" t="s">
        <v>91</v>
      </c>
      <c r="E38" s="3">
        <v>103298</v>
      </c>
      <c r="F38" s="3" t="str">
        <f>VLOOKUP(B38,'Summary Mar 2026'!A:F,6,FALSE)</f>
        <v>Chq Bk</v>
      </c>
      <c r="G38" s="444">
        <v>338588.01999999781</v>
      </c>
      <c r="H38" s="444">
        <v>17030.799999999996</v>
      </c>
      <c r="L38" s="5"/>
    </row>
    <row r="39" spans="1:12">
      <c r="A39" s="3" t="s">
        <v>94</v>
      </c>
      <c r="B39" s="3">
        <v>3002</v>
      </c>
      <c r="C39" s="3"/>
      <c r="D39" s="3" t="s">
        <v>93</v>
      </c>
      <c r="E39" s="3">
        <v>103397</v>
      </c>
      <c r="F39" s="3" t="str">
        <f>VLOOKUP(B39,'Summary Mar 2026'!A:F,6,FALSE)</f>
        <v>Chq Bk</v>
      </c>
      <c r="G39" s="444">
        <v>256325.70999999985</v>
      </c>
      <c r="H39" s="444">
        <v>40180.06</v>
      </c>
    </row>
    <row r="40" spans="1:12">
      <c r="A40" s="3" t="s">
        <v>96</v>
      </c>
      <c r="B40" s="3">
        <v>3319</v>
      </c>
      <c r="C40" s="3"/>
      <c r="D40" s="3" t="s">
        <v>95</v>
      </c>
      <c r="E40" s="3">
        <v>103423</v>
      </c>
      <c r="F40" s="3" t="str">
        <f>VLOOKUP(B40,'Summary Mar 2026'!A:F,6,FALSE)</f>
        <v>Chq Bk</v>
      </c>
      <c r="G40" s="444">
        <v>-116256.72000000047</v>
      </c>
      <c r="H40" s="444">
        <v>0</v>
      </c>
    </row>
    <row r="41" spans="1:12">
      <c r="A41" s="3" t="s">
        <v>98</v>
      </c>
      <c r="B41" s="3">
        <v>1100</v>
      </c>
      <c r="C41" s="3"/>
      <c r="D41" s="3" t="s">
        <v>97</v>
      </c>
      <c r="E41" s="3">
        <v>103146</v>
      </c>
      <c r="F41" s="3" t="str">
        <f>VLOOKUP(B41,'Summary Mar 2026'!A:F,6,FALSE)</f>
        <v>Chq Bk</v>
      </c>
      <c r="G41" s="444">
        <v>1082977.4099999464</v>
      </c>
      <c r="H41" s="444">
        <v>141457.74</v>
      </c>
    </row>
    <row r="42" spans="1:12">
      <c r="A42" s="3" t="s">
        <v>101</v>
      </c>
      <c r="B42" s="3">
        <v>3432</v>
      </c>
      <c r="C42" s="3"/>
      <c r="D42" s="3" t="s">
        <v>100</v>
      </c>
      <c r="E42" s="3">
        <v>134840</v>
      </c>
      <c r="F42" s="3" t="str">
        <f>VLOOKUP(B42,'Summary Mar 2026'!A:F,6,FALSE)</f>
        <v>Chq Bk</v>
      </c>
      <c r="G42" s="444">
        <v>684142.88999999687</v>
      </c>
      <c r="H42" s="444">
        <v>386.75</v>
      </c>
    </row>
    <row r="43" spans="1:12">
      <c r="A43" s="3" t="s">
        <v>103</v>
      </c>
      <c r="B43" s="3">
        <v>2289</v>
      </c>
      <c r="C43" s="3"/>
      <c r="D43" s="3" t="s">
        <v>102</v>
      </c>
      <c r="E43" s="3">
        <v>103315</v>
      </c>
      <c r="F43" s="3" t="str">
        <f>VLOOKUP(B43,'Summary Mar 2026'!A:F,6,FALSE)</f>
        <v>Chq Bk</v>
      </c>
      <c r="G43" s="444">
        <v>17216.229999998824</v>
      </c>
      <c r="H43" s="444">
        <v>7659.3500000000022</v>
      </c>
      <c r="L43" s="5"/>
    </row>
    <row r="44" spans="1:12">
      <c r="A44" s="3" t="s">
        <v>105</v>
      </c>
      <c r="B44" s="3">
        <v>2185</v>
      </c>
      <c r="C44" s="3"/>
      <c r="D44" s="3" t="s">
        <v>104</v>
      </c>
      <c r="E44" s="3">
        <v>103263</v>
      </c>
      <c r="F44" s="3" t="str">
        <f>VLOOKUP(B44,'Summary Mar 2026'!A:F,6,FALSE)</f>
        <v>Chq Bk</v>
      </c>
      <c r="G44" s="444">
        <v>111403.51999999865</v>
      </c>
      <c r="H44" s="444">
        <v>0</v>
      </c>
    </row>
    <row r="45" spans="1:12">
      <c r="A45" s="3" t="s">
        <v>107</v>
      </c>
      <c r="B45" s="3">
        <v>5416</v>
      </c>
      <c r="C45" s="3"/>
      <c r="D45" s="3" t="s">
        <v>106</v>
      </c>
      <c r="E45" s="173">
        <v>103563</v>
      </c>
      <c r="F45" s="3" t="str">
        <f>VLOOKUP(B45,'Summary Mar 2026'!A:F,6,FALSE)</f>
        <v>Chq Bk</v>
      </c>
      <c r="G45" s="444">
        <v>491994.42000000691</v>
      </c>
      <c r="H45" s="444">
        <v>6558.1699999999983</v>
      </c>
    </row>
    <row r="46" spans="1:12">
      <c r="A46" s="3" t="s">
        <v>109</v>
      </c>
      <c r="B46" s="3">
        <v>2054</v>
      </c>
      <c r="C46" s="3"/>
      <c r="D46" s="3" t="s">
        <v>108</v>
      </c>
      <c r="E46" s="173">
        <v>103189</v>
      </c>
      <c r="F46" s="3" t="str">
        <f>VLOOKUP(B46,'Summary Mar 2026'!A:F,6,FALSE)</f>
        <v>Chq Bk</v>
      </c>
      <c r="G46" s="444">
        <v>136206.45000000054</v>
      </c>
      <c r="H46" s="444">
        <v>42930.64</v>
      </c>
    </row>
    <row r="47" spans="1:12">
      <c r="A47" s="3" t="s">
        <v>111</v>
      </c>
      <c r="B47" s="3">
        <v>2053</v>
      </c>
      <c r="C47" s="3"/>
      <c r="D47" s="3" t="s">
        <v>110</v>
      </c>
      <c r="E47" s="3">
        <v>103188</v>
      </c>
      <c r="F47" s="3" t="str">
        <f>VLOOKUP(B47,'Summary Mar 2026'!A:F,6,FALSE)</f>
        <v>Chq Bk</v>
      </c>
      <c r="G47" s="444">
        <v>193096.06000000046</v>
      </c>
      <c r="H47" s="444">
        <v>35814.57</v>
      </c>
    </row>
    <row r="48" spans="1:12">
      <c r="A48" s="3" t="s">
        <v>357</v>
      </c>
      <c r="B48" s="3">
        <v>2464</v>
      </c>
      <c r="C48" s="3"/>
      <c r="D48" s="3" t="s">
        <v>356</v>
      </c>
      <c r="E48" s="3">
        <v>103390</v>
      </c>
      <c r="F48" s="3" t="str">
        <f>VLOOKUP(B48,'Summary Mar 2026'!A:F,6,FALSE)</f>
        <v>Chq Bk</v>
      </c>
      <c r="G48" s="444">
        <v>-374598.72999999963</v>
      </c>
      <c r="H48" s="444">
        <v>16820.559999999998</v>
      </c>
    </row>
    <row r="49" spans="1:8">
      <c r="A49" s="3" t="s">
        <v>113</v>
      </c>
      <c r="B49" s="3">
        <v>3320</v>
      </c>
      <c r="C49" s="3"/>
      <c r="D49" s="3" t="s">
        <v>112</v>
      </c>
      <c r="E49" s="3">
        <v>103424</v>
      </c>
      <c r="F49" s="3" t="str">
        <f>VLOOKUP(B49,'Summary Mar 2026'!A:F,6,FALSE)</f>
        <v>Chq Bk</v>
      </c>
      <c r="G49" s="444">
        <v>1162447.1699999988</v>
      </c>
      <c r="H49" s="444">
        <v>0</v>
      </c>
    </row>
    <row r="50" spans="1:8">
      <c r="A50" s="3" t="s">
        <v>115</v>
      </c>
      <c r="B50" s="3">
        <v>2055</v>
      </c>
      <c r="C50" s="3"/>
      <c r="D50" s="3" t="s">
        <v>114</v>
      </c>
      <c r="E50" s="3">
        <v>103190</v>
      </c>
      <c r="F50" s="3" t="str">
        <f>VLOOKUP(B50,'Summary Mar 2026'!A:F,6,FALSE)</f>
        <v>Chq Bk</v>
      </c>
      <c r="G50" s="444">
        <v>432763.37000000017</v>
      </c>
      <c r="H50" s="444">
        <v>0</v>
      </c>
    </row>
    <row r="51" spans="1:8">
      <c r="A51" s="3" t="s">
        <v>377</v>
      </c>
      <c r="B51" s="3">
        <v>1802</v>
      </c>
      <c r="C51" s="3"/>
      <c r="D51" s="3" t="s">
        <v>376</v>
      </c>
      <c r="E51" s="3">
        <v>103150</v>
      </c>
      <c r="F51" s="3" t="str">
        <f>VLOOKUP(B51,'Summary Mar 2026'!A:F,6,FALSE)</f>
        <v>Chq Bk</v>
      </c>
      <c r="G51" s="444">
        <v>67293</v>
      </c>
      <c r="H51" s="444">
        <v>20329</v>
      </c>
    </row>
    <row r="52" spans="1:8">
      <c r="A52" s="3" t="s">
        <v>117</v>
      </c>
      <c r="B52" s="3">
        <v>2454</v>
      </c>
      <c r="C52" s="3"/>
      <c r="D52" s="3" t="s">
        <v>116</v>
      </c>
      <c r="E52" s="3">
        <v>103381</v>
      </c>
      <c r="F52" s="3" t="str">
        <f>VLOOKUP(B52,'Summary Mar 2026'!A:F,6,FALSE)</f>
        <v>Chq Bk</v>
      </c>
      <c r="G52" s="444">
        <v>483826.00000000029</v>
      </c>
      <c r="H52" s="444">
        <v>16647.25</v>
      </c>
    </row>
    <row r="53" spans="1:8">
      <c r="A53" s="3" t="s">
        <v>119</v>
      </c>
      <c r="B53" s="3">
        <v>3321</v>
      </c>
      <c r="C53" s="3"/>
      <c r="D53" s="3" t="s">
        <v>118</v>
      </c>
      <c r="E53" s="3">
        <v>103425</v>
      </c>
      <c r="F53" s="3" t="str">
        <f>VLOOKUP(B53,'Summary Mar 2026'!A:F,6,FALSE)</f>
        <v>Chq Bk</v>
      </c>
      <c r="G53" s="444">
        <v>347111.54599999939</v>
      </c>
      <c r="H53" s="444">
        <v>0</v>
      </c>
    </row>
    <row r="54" spans="1:8">
      <c r="A54" s="3" t="s">
        <v>121</v>
      </c>
      <c r="B54" s="3">
        <v>1026</v>
      </c>
      <c r="C54" s="3"/>
      <c r="D54" s="3" t="s">
        <v>120</v>
      </c>
      <c r="E54" s="3">
        <v>103139</v>
      </c>
      <c r="F54" s="3" t="str">
        <f>VLOOKUP(B54,'Summary Mar 2026'!A:F,6,FALSE)</f>
        <v>Chq Bk</v>
      </c>
      <c r="G54" s="444">
        <v>354863</v>
      </c>
      <c r="H54" s="444">
        <v>17313</v>
      </c>
    </row>
    <row r="55" spans="1:8">
      <c r="A55" s="3" t="s">
        <v>123</v>
      </c>
      <c r="B55" s="3">
        <v>2294</v>
      </c>
      <c r="C55" s="3"/>
      <c r="D55" s="3" t="s">
        <v>122</v>
      </c>
      <c r="E55" s="3">
        <v>103318</v>
      </c>
      <c r="F55" s="3" t="str">
        <f>VLOOKUP(B55,'Summary Mar 2026'!A:F,6,FALSE)</f>
        <v>Chq Bk</v>
      </c>
      <c r="G55" s="444">
        <v>624852.93000000017</v>
      </c>
      <c r="H55" s="444">
        <v>13520</v>
      </c>
    </row>
    <row r="56" spans="1:8">
      <c r="A56" s="3" t="s">
        <v>125</v>
      </c>
      <c r="B56" s="3">
        <v>2486</v>
      </c>
      <c r="C56" s="3"/>
      <c r="D56" s="3" t="s">
        <v>124</v>
      </c>
      <c r="E56" s="3">
        <v>133759</v>
      </c>
      <c r="F56" s="3" t="str">
        <f>VLOOKUP(B56,'Summary Mar 2026'!A:F,6,FALSE)</f>
        <v>Chq Bk</v>
      </c>
      <c r="G56" s="444">
        <v>279307.1100000001</v>
      </c>
      <c r="H56" s="444">
        <v>4965.2000000000007</v>
      </c>
    </row>
    <row r="57" spans="1:8">
      <c r="A57" s="3" t="s">
        <v>127</v>
      </c>
      <c r="B57" s="3">
        <v>3435</v>
      </c>
      <c r="C57" s="3"/>
      <c r="D57" s="3" t="s">
        <v>126</v>
      </c>
      <c r="E57" s="3">
        <v>131920</v>
      </c>
      <c r="F57" s="3" t="str">
        <f>VLOOKUP(B57,'Summary Mar 2026'!A:F,6,FALSE)</f>
        <v>Chq Bk</v>
      </c>
      <c r="G57" s="444">
        <v>158198.56000000075</v>
      </c>
      <c r="H57" s="444">
        <v>11219.919999999995</v>
      </c>
    </row>
    <row r="58" spans="1:8">
      <c r="A58" s="3" t="s">
        <v>129</v>
      </c>
      <c r="B58" s="3">
        <v>7050</v>
      </c>
      <c r="C58" s="3"/>
      <c r="D58" s="3" t="s">
        <v>128</v>
      </c>
      <c r="E58" s="3">
        <v>103625</v>
      </c>
      <c r="F58" s="3" t="str">
        <f>VLOOKUP(B58,'Summary Mar 2026'!A:F,6,FALSE)</f>
        <v>Chq Bk</v>
      </c>
      <c r="G58" s="444">
        <v>900749.02000001026</v>
      </c>
      <c r="H58" s="444">
        <v>14690.21</v>
      </c>
    </row>
    <row r="59" spans="1:8">
      <c r="A59" s="3" t="s">
        <v>131</v>
      </c>
      <c r="B59" s="3">
        <v>1006</v>
      </c>
      <c r="C59" s="3"/>
      <c r="D59" s="3" t="s">
        <v>130</v>
      </c>
      <c r="E59" s="3">
        <v>103122</v>
      </c>
      <c r="F59" s="3" t="str">
        <f>VLOOKUP(B59,'Summary Mar 2026'!A:F,6,FALSE)</f>
        <v>Chq Bk</v>
      </c>
      <c r="G59" s="444">
        <v>155120.17000000016</v>
      </c>
      <c r="H59" s="444">
        <v>8347.0000000000036</v>
      </c>
    </row>
    <row r="60" spans="1:8">
      <c r="A60" s="3" t="s">
        <v>379</v>
      </c>
      <c r="B60" s="3">
        <v>2079</v>
      </c>
      <c r="C60" s="3"/>
      <c r="D60" s="3" t="s">
        <v>378</v>
      </c>
      <c r="E60" s="3">
        <v>103200</v>
      </c>
      <c r="F60" s="3" t="str">
        <f>VLOOKUP(B60,'Summary Mar 2026'!A:F,6,FALSE)</f>
        <v>Chq Bk</v>
      </c>
      <c r="G60" s="444">
        <v>33072.889999998559</v>
      </c>
      <c r="H60" s="444">
        <v>26473.19</v>
      </c>
    </row>
    <row r="61" spans="1:8">
      <c r="A61" s="3" t="s">
        <v>133</v>
      </c>
      <c r="B61" s="3">
        <v>2081</v>
      </c>
      <c r="C61" s="3"/>
      <c r="D61" s="3" t="s">
        <v>132</v>
      </c>
      <c r="E61" s="3">
        <v>103201</v>
      </c>
      <c r="F61" s="3" t="str">
        <f>VLOOKUP(B61,'Summary Mar 2026'!A:F,6,FALSE)</f>
        <v>Chq Bk</v>
      </c>
      <c r="G61" s="444">
        <v>53410.930000002991</v>
      </c>
      <c r="H61" s="444">
        <v>40011.79</v>
      </c>
    </row>
    <row r="62" spans="1:8">
      <c r="A62" s="3" t="s">
        <v>135</v>
      </c>
      <c r="B62" s="3">
        <v>2296</v>
      </c>
      <c r="C62" s="3"/>
      <c r="D62" s="3" t="s">
        <v>134</v>
      </c>
      <c r="E62" s="3">
        <v>103320</v>
      </c>
      <c r="F62" s="3" t="str">
        <f>VLOOKUP(B62,'Summary Mar 2026'!A:F,6,FALSE)</f>
        <v>Chq bk</v>
      </c>
      <c r="G62" s="444">
        <v>314590.01999999932</v>
      </c>
      <c r="H62" s="444">
        <v>20627.240000000002</v>
      </c>
    </row>
    <row r="63" spans="1:8">
      <c r="A63" s="3" t="s">
        <v>137</v>
      </c>
      <c r="B63" s="3">
        <v>1015</v>
      </c>
      <c r="C63" s="3"/>
      <c r="D63" s="3" t="s">
        <v>136</v>
      </c>
      <c r="E63" s="3">
        <v>103128</v>
      </c>
      <c r="F63" s="3" t="str">
        <f>VLOOKUP(B63,'Summary Mar 2026'!A:F,6,FALSE)</f>
        <v>Chq Bk</v>
      </c>
      <c r="G63" s="444">
        <v>215031.71999999962</v>
      </c>
      <c r="H63" s="444">
        <v>17189.25</v>
      </c>
    </row>
    <row r="64" spans="1:8">
      <c r="A64" s="3" t="s">
        <v>139</v>
      </c>
      <c r="B64" s="3">
        <v>1022</v>
      </c>
      <c r="C64" s="3"/>
      <c r="D64" s="3" t="s">
        <v>138</v>
      </c>
      <c r="E64" s="3">
        <v>103135</v>
      </c>
      <c r="F64" s="3" t="str">
        <f>VLOOKUP(B64,'Summary Mar 2026'!A:F,6,FALSE)</f>
        <v>Chq Bk</v>
      </c>
      <c r="G64" s="444">
        <v>349107.07999999984</v>
      </c>
      <c r="H64" s="444">
        <v>11925.339999999997</v>
      </c>
    </row>
    <row r="65" spans="1:8">
      <c r="A65" s="3" t="s">
        <v>141</v>
      </c>
      <c r="B65" s="3">
        <v>2087</v>
      </c>
      <c r="C65" s="3"/>
      <c r="D65" s="3" t="s">
        <v>140</v>
      </c>
      <c r="E65" s="3">
        <v>103205</v>
      </c>
      <c r="F65" s="3" t="str">
        <f>VLOOKUP(B65,'Summary Mar 2026'!A:F,6,FALSE)</f>
        <v>Chq Bk</v>
      </c>
      <c r="G65" s="444">
        <v>279576.97000000236</v>
      </c>
      <c r="H65" s="444">
        <v>2706.82</v>
      </c>
    </row>
    <row r="66" spans="1:8">
      <c r="A66" s="3" t="s">
        <v>143</v>
      </c>
      <c r="B66" s="3">
        <v>2466</v>
      </c>
      <c r="C66" s="3"/>
      <c r="D66" s="3" t="s">
        <v>142</v>
      </c>
      <c r="E66" s="3">
        <v>103392</v>
      </c>
      <c r="F66" s="3" t="str">
        <f>VLOOKUP(B66,'Summary Mar 2026'!A:F,6,FALSE)</f>
        <v>Chq Bk</v>
      </c>
      <c r="G66" s="444">
        <v>956483.09999999963</v>
      </c>
      <c r="H66" s="444">
        <v>13781.5</v>
      </c>
    </row>
    <row r="67" spans="1:8">
      <c r="A67" s="3" t="s">
        <v>381</v>
      </c>
      <c r="B67" s="3">
        <v>2091</v>
      </c>
      <c r="C67" s="3"/>
      <c r="D67" s="3" t="s">
        <v>380</v>
      </c>
      <c r="E67" s="3">
        <v>103208</v>
      </c>
      <c r="F67" s="3" t="str">
        <f>VLOOKUP(B67,'Summary Mar 2026'!A:F,6,FALSE)</f>
        <v>Chq Bk</v>
      </c>
      <c r="G67" s="444">
        <v>-649714.38999999873</v>
      </c>
      <c r="H67" s="444">
        <v>6098.13</v>
      </c>
    </row>
    <row r="68" spans="1:8">
      <c r="A68" s="3" t="s">
        <v>145</v>
      </c>
      <c r="B68" s="3">
        <v>2093</v>
      </c>
      <c r="C68" s="3"/>
      <c r="D68" s="3" t="s">
        <v>144</v>
      </c>
      <c r="E68" s="3">
        <v>103210</v>
      </c>
      <c r="F68" s="3" t="str">
        <f>VLOOKUP(B68,'Summary Mar 2026'!A:F,6,FALSE)</f>
        <v>Chq Bk</v>
      </c>
      <c r="G68" s="444">
        <v>539039.51999999932</v>
      </c>
      <c r="H68" s="444">
        <v>40509.479999999996</v>
      </c>
    </row>
    <row r="69" spans="1:8">
      <c r="A69" s="3" t="s">
        <v>147</v>
      </c>
      <c r="B69" s="3">
        <v>2092</v>
      </c>
      <c r="C69" s="3"/>
      <c r="D69" s="3" t="s">
        <v>146</v>
      </c>
      <c r="E69" s="3">
        <v>103209</v>
      </c>
      <c r="F69" s="3" t="str">
        <f>VLOOKUP(B69,'Summary Mar 2026'!A:F,6,FALSE)</f>
        <v>Chq Bk</v>
      </c>
      <c r="G69" s="444">
        <v>797018.92</v>
      </c>
      <c r="H69" s="444">
        <v>47001.66</v>
      </c>
    </row>
    <row r="70" spans="1:8">
      <c r="A70" s="3" t="s">
        <v>149</v>
      </c>
      <c r="B70" s="3">
        <v>7006</v>
      </c>
      <c r="C70" s="3"/>
      <c r="D70" s="3" t="s">
        <v>148</v>
      </c>
      <c r="E70" s="3">
        <v>103600</v>
      </c>
      <c r="F70" s="3" t="str">
        <f>VLOOKUP(B70,'Summary Mar 2026'!A:F,6,FALSE)</f>
        <v>Chq Bk</v>
      </c>
      <c r="G70" s="444">
        <v>-79625.6099999898</v>
      </c>
      <c r="H70" s="444">
        <v>107508</v>
      </c>
    </row>
    <row r="71" spans="1:8">
      <c r="A71" s="3" t="s">
        <v>383</v>
      </c>
      <c r="B71" s="3">
        <v>2477</v>
      </c>
      <c r="C71" s="3"/>
      <c r="D71" s="3" t="s">
        <v>382</v>
      </c>
      <c r="E71" s="3">
        <v>132261</v>
      </c>
      <c r="F71" s="3" t="str">
        <f>VLOOKUP(B71,'Summary Mar 2026'!A:F,6,FALSE)</f>
        <v>Chq Bk</v>
      </c>
      <c r="G71" s="444">
        <v>-501301.39000000671</v>
      </c>
      <c r="H71" s="444">
        <v>45835.49</v>
      </c>
    </row>
    <row r="72" spans="1:8">
      <c r="A72" s="3" t="s">
        <v>385</v>
      </c>
      <c r="B72" s="3">
        <v>3436</v>
      </c>
      <c r="C72" s="3"/>
      <c r="D72" s="3" t="s">
        <v>384</v>
      </c>
      <c r="E72" s="3">
        <v>136440</v>
      </c>
      <c r="F72" s="3" t="str">
        <f>VLOOKUP(B72,'Summary Mar 2026'!A:F,6,FALSE)</f>
        <v>Chq Bk</v>
      </c>
      <c r="G72" s="444">
        <v>-613836.30000000005</v>
      </c>
      <c r="H72" s="444">
        <v>0</v>
      </c>
    </row>
    <row r="73" spans="1:8">
      <c r="A73" s="3" t="s">
        <v>151</v>
      </c>
      <c r="B73" s="3">
        <v>2099</v>
      </c>
      <c r="C73" s="3"/>
      <c r="D73" s="3" t="s">
        <v>150</v>
      </c>
      <c r="E73" s="3">
        <v>103214</v>
      </c>
      <c r="F73" s="3" t="str">
        <f>VLOOKUP(B73,'Summary Mar 2026'!A:F,6,FALSE)</f>
        <v>Chq Bk</v>
      </c>
      <c r="G73" s="444">
        <v>210464.49999999965</v>
      </c>
      <c r="H73" s="444">
        <v>2309.25</v>
      </c>
    </row>
    <row r="74" spans="1:8">
      <c r="A74" s="3" t="s">
        <v>153</v>
      </c>
      <c r="B74" s="3">
        <v>1010</v>
      </c>
      <c r="C74" s="3"/>
      <c r="D74" s="3" t="s">
        <v>152</v>
      </c>
      <c r="E74" s="3">
        <v>103125</v>
      </c>
      <c r="F74" s="3" t="str">
        <f>VLOOKUP(B74,'Summary Mar 2026'!A:F,6,FALSE)</f>
        <v>Chq Bk</v>
      </c>
      <c r="G74" s="444">
        <v>470124.49999999977</v>
      </c>
      <c r="H74" s="444">
        <v>5194.75</v>
      </c>
    </row>
    <row r="75" spans="1:8">
      <c r="A75" s="3" t="s">
        <v>155</v>
      </c>
      <c r="B75" s="3">
        <v>1021</v>
      </c>
      <c r="C75" s="3"/>
      <c r="D75" s="3" t="s">
        <v>154</v>
      </c>
      <c r="E75" s="3">
        <v>103134</v>
      </c>
      <c r="F75" s="3" t="str">
        <f>VLOOKUP(B75,'Summary Mar 2026'!A:F,6,FALSE)</f>
        <v>Chq Bk</v>
      </c>
      <c r="G75" s="444">
        <v>119166.30000000028</v>
      </c>
      <c r="H75" s="444">
        <v>11694.310000000001</v>
      </c>
    </row>
    <row r="76" spans="1:8">
      <c r="A76" s="3" t="s">
        <v>157</v>
      </c>
      <c r="B76" s="3">
        <v>4201</v>
      </c>
      <c r="C76" s="3"/>
      <c r="D76" s="3" t="s">
        <v>156</v>
      </c>
      <c r="E76" s="3">
        <v>103503</v>
      </c>
      <c r="F76" s="3" t="str">
        <f>VLOOKUP(B76,'Summary Mar 2026'!A:F,6,FALSE)</f>
        <v>Chq Bk</v>
      </c>
      <c r="G76" s="444">
        <v>2462119.2100000018</v>
      </c>
      <c r="H76" s="444">
        <v>14787.839999999993</v>
      </c>
    </row>
    <row r="77" spans="1:8">
      <c r="A77" s="3" t="s">
        <v>159</v>
      </c>
      <c r="B77" s="3">
        <v>4015</v>
      </c>
      <c r="C77" s="3"/>
      <c r="D77" s="3" t="s">
        <v>158</v>
      </c>
      <c r="E77" s="3">
        <v>103483</v>
      </c>
      <c r="F77" s="3" t="str">
        <f>VLOOKUP(B77,'Summary Mar 2026'!A:F,6,FALSE)</f>
        <v>Chq Bk</v>
      </c>
      <c r="G77" s="444">
        <v>1167619.1300000011</v>
      </c>
      <c r="H77" s="444">
        <v>43990.84</v>
      </c>
    </row>
    <row r="78" spans="1:8">
      <c r="A78" s="3" t="s">
        <v>161</v>
      </c>
      <c r="B78" s="3">
        <v>3411</v>
      </c>
      <c r="C78" s="3"/>
      <c r="D78" s="3" t="s">
        <v>160</v>
      </c>
      <c r="E78" s="3">
        <v>103479</v>
      </c>
      <c r="F78" s="3" t="str">
        <f>VLOOKUP(B78,'Summary Mar 2026'!A:F,6,FALSE)</f>
        <v>Chq Bk</v>
      </c>
      <c r="G78" s="444">
        <v>391018.42000000062</v>
      </c>
      <c r="H78" s="444">
        <v>0</v>
      </c>
    </row>
    <row r="79" spans="1:8">
      <c r="A79" s="3" t="s">
        <v>387</v>
      </c>
      <c r="B79" s="3">
        <v>2474</v>
      </c>
      <c r="C79" s="3"/>
      <c r="D79" s="3" t="s">
        <v>386</v>
      </c>
      <c r="E79" s="3">
        <v>131672</v>
      </c>
      <c r="F79" s="3" t="str">
        <f>VLOOKUP(B79,'Summary Mar 2026'!A:F,6,FALSE)</f>
        <v>Chq Bk</v>
      </c>
      <c r="G79" s="444">
        <v>-12990.549999999334</v>
      </c>
      <c r="H79" s="444">
        <v>29847.75</v>
      </c>
    </row>
    <row r="80" spans="1:8">
      <c r="A80" s="3" t="s">
        <v>163</v>
      </c>
      <c r="B80" s="3">
        <v>4223</v>
      </c>
      <c r="C80" s="3"/>
      <c r="D80" s="3" t="s">
        <v>162</v>
      </c>
      <c r="E80" s="3">
        <v>103509</v>
      </c>
      <c r="F80" s="3" t="str">
        <f>VLOOKUP(B80,'Summary Mar 2026'!A:F,6,FALSE)</f>
        <v>Chq Bk</v>
      </c>
      <c r="G80" s="444">
        <v>3880738.2999999989</v>
      </c>
      <c r="H80" s="444">
        <v>24995.31</v>
      </c>
    </row>
    <row r="81" spans="1:13">
      <c r="A81" s="3" t="s">
        <v>165</v>
      </c>
      <c r="B81" s="3">
        <v>3317</v>
      </c>
      <c r="C81" s="3"/>
      <c r="D81" s="3" t="s">
        <v>164</v>
      </c>
      <c r="E81" s="3">
        <v>103421</v>
      </c>
      <c r="F81" s="3" t="str">
        <f>VLOOKUP(B81,'Summary Mar 2026'!A:F,6,FALSE)</f>
        <v>Chq Bk</v>
      </c>
      <c r="G81" s="444">
        <v>28044.320000000676</v>
      </c>
      <c r="H81" s="444">
        <v>44157</v>
      </c>
    </row>
    <row r="82" spans="1:13">
      <c r="A82" s="3" t="s">
        <v>167</v>
      </c>
      <c r="B82" s="3">
        <v>1023</v>
      </c>
      <c r="C82" s="3"/>
      <c r="D82" s="3" t="s">
        <v>166</v>
      </c>
      <c r="E82" s="3">
        <v>103136</v>
      </c>
      <c r="F82" s="3" t="str">
        <f>VLOOKUP(B82,'Summary Mar 2026'!A:F,6,FALSE)</f>
        <v>Chq Bk</v>
      </c>
      <c r="G82" s="444">
        <v>274462.42999999988</v>
      </c>
      <c r="H82" s="444">
        <v>27919.88</v>
      </c>
    </row>
    <row r="83" spans="1:13">
      <c r="A83" s="3" t="s">
        <v>169</v>
      </c>
      <c r="B83" s="3">
        <v>2015</v>
      </c>
      <c r="C83" s="3"/>
      <c r="D83" s="3" t="s">
        <v>168</v>
      </c>
      <c r="E83" s="3">
        <v>134102</v>
      </c>
      <c r="F83" s="3" t="str">
        <f>VLOOKUP(B83,'Summary Mar 2026'!A:F,6,FALSE)</f>
        <v>Chq Bk</v>
      </c>
      <c r="G83" s="444">
        <v>562555.25999999954</v>
      </c>
      <c r="H83" s="444">
        <v>13515</v>
      </c>
    </row>
    <row r="84" spans="1:13">
      <c r="A84" s="3" t="s">
        <v>389</v>
      </c>
      <c r="B84" s="3">
        <v>3352</v>
      </c>
      <c r="C84" s="3"/>
      <c r="D84" s="3" t="s">
        <v>388</v>
      </c>
      <c r="E84" s="3">
        <v>103444</v>
      </c>
      <c r="F84" s="3" t="str">
        <f>VLOOKUP(B84,'Summary Mar 2026'!A:F,6,FALSE)</f>
        <v>Chq Bk</v>
      </c>
      <c r="G84" s="444">
        <v>-141676.62000000064</v>
      </c>
      <c r="H84" s="444">
        <v>0</v>
      </c>
    </row>
    <row r="85" spans="1:13">
      <c r="A85" s="3" t="s">
        <v>391</v>
      </c>
      <c r="B85" s="3">
        <v>2005</v>
      </c>
      <c r="C85" s="3"/>
      <c r="D85" s="3" t="s">
        <v>390</v>
      </c>
      <c r="E85" s="3">
        <v>134098</v>
      </c>
      <c r="F85" s="3" t="str">
        <f>VLOOKUP(B85,'Summary Mar 2026'!A:F,6,FALSE)</f>
        <v>Chq Bk</v>
      </c>
      <c r="G85" s="444">
        <v>75644.140000003565</v>
      </c>
      <c r="H85" s="444">
        <v>0</v>
      </c>
    </row>
    <row r="86" spans="1:13">
      <c r="A86" s="3" t="s">
        <v>171</v>
      </c>
      <c r="B86" s="3">
        <v>4063</v>
      </c>
      <c r="C86" s="3"/>
      <c r="D86" s="3" t="s">
        <v>170</v>
      </c>
      <c r="E86" s="3">
        <v>103486</v>
      </c>
      <c r="F86" s="3" t="str">
        <f>VLOOKUP(B86,'Summary Mar 2026'!A:F,6,FALSE)</f>
        <v>Chq Bk</v>
      </c>
      <c r="G86" s="444">
        <v>546939.8599999994</v>
      </c>
      <c r="H86" s="444">
        <v>39715</v>
      </c>
    </row>
    <row r="87" spans="1:13">
      <c r="A87" s="3" t="s">
        <v>173</v>
      </c>
      <c r="B87" s="3">
        <v>1016</v>
      </c>
      <c r="C87" s="3"/>
      <c r="D87" s="3" t="s">
        <v>172</v>
      </c>
      <c r="E87" s="3">
        <v>103129</v>
      </c>
      <c r="F87" s="3" t="str">
        <f>VLOOKUP(B87,'Summary Mar 2026'!A:F,6,FALSE)</f>
        <v>Chq Bk</v>
      </c>
      <c r="G87" s="444">
        <v>145367.85000000114</v>
      </c>
      <c r="H87" s="444">
        <v>2934</v>
      </c>
    </row>
    <row r="88" spans="1:13">
      <c r="A88" s="3" t="s">
        <v>175</v>
      </c>
      <c r="B88" s="3">
        <v>2115</v>
      </c>
      <c r="C88" s="3"/>
      <c r="D88" s="3" t="s">
        <v>174</v>
      </c>
      <c r="E88" s="3">
        <v>103221</v>
      </c>
      <c r="F88" s="3" t="str">
        <f>VLOOKUP(B88,'Summary Mar 2026'!A:F,6,FALSE)</f>
        <v>Chq Bk</v>
      </c>
      <c r="G88" s="444">
        <v>291317.62000000023</v>
      </c>
      <c r="H88" s="444">
        <v>4559.88</v>
      </c>
    </row>
    <row r="89" spans="1:13">
      <c r="A89" s="3" t="s">
        <v>177</v>
      </c>
      <c r="B89" s="3">
        <v>2441</v>
      </c>
      <c r="C89" s="3"/>
      <c r="D89" s="3" t="s">
        <v>176</v>
      </c>
      <c r="E89" s="3">
        <v>103368</v>
      </c>
      <c r="F89" s="3" t="str">
        <f>VLOOKUP(B89,'Summary Mar 2026'!A:F,6,FALSE)</f>
        <v>Chq Bk</v>
      </c>
      <c r="G89" s="444">
        <v>319126.28000000305</v>
      </c>
      <c r="H89" s="444">
        <v>38444.129999999997</v>
      </c>
    </row>
    <row r="90" spans="1:13">
      <c r="A90" s="3" t="s">
        <v>179</v>
      </c>
      <c r="B90" s="3">
        <v>2321</v>
      </c>
      <c r="C90" s="3"/>
      <c r="D90" s="3" t="s">
        <v>178</v>
      </c>
      <c r="E90" s="3">
        <v>103339</v>
      </c>
      <c r="F90" s="3" t="str">
        <f>VLOOKUP(B90,'Summary Mar 2026'!A:F,6,FALSE)</f>
        <v>Chq Bk</v>
      </c>
      <c r="G90" s="444">
        <v>385866.67999999924</v>
      </c>
      <c r="H90" s="444">
        <v>6066.4</v>
      </c>
    </row>
    <row r="91" spans="1:13">
      <c r="A91" s="3" t="s">
        <v>359</v>
      </c>
      <c r="B91" s="3">
        <v>2189</v>
      </c>
      <c r="C91" s="3"/>
      <c r="D91" s="3" t="s">
        <v>358</v>
      </c>
      <c r="E91" s="3">
        <v>103265</v>
      </c>
      <c r="F91" s="3" t="str">
        <f>VLOOKUP(B91,'Summary Mar 2026'!A:F,6,FALSE)</f>
        <v>Chq Bk</v>
      </c>
      <c r="G91" s="444">
        <v>-481557.54000000155</v>
      </c>
      <c r="H91" s="444">
        <v>3803.01</v>
      </c>
    </row>
    <row r="92" spans="1:13">
      <c r="A92" s="3" t="s">
        <v>361</v>
      </c>
      <c r="B92" s="3">
        <v>7060</v>
      </c>
      <c r="C92" s="3"/>
      <c r="D92" s="3" t="s">
        <v>360</v>
      </c>
      <c r="E92" s="3">
        <v>103630</v>
      </c>
      <c r="F92" s="3" t="str">
        <f>VLOOKUP(B92,'Summary Mar 2026'!A:F,6,FALSE)</f>
        <v>Chq Bk</v>
      </c>
      <c r="G92" s="444">
        <v>-157003.14999998829</v>
      </c>
      <c r="H92" s="444">
        <v>85432.59</v>
      </c>
    </row>
    <row r="93" spans="1:13">
      <c r="A93" s="3" t="s">
        <v>393</v>
      </c>
      <c r="B93" s="3">
        <v>1024</v>
      </c>
      <c r="C93" s="3"/>
      <c r="D93" s="3" t="s">
        <v>392</v>
      </c>
      <c r="E93" s="3">
        <v>103137</v>
      </c>
      <c r="F93" s="3" t="str">
        <f>VLOOKUP(B93,'Summary Mar 2026'!A:F,6,FALSE)</f>
        <v>Chq Bk</v>
      </c>
      <c r="G93" s="444">
        <v>-494440.36</v>
      </c>
      <c r="H93" s="444">
        <v>17941</v>
      </c>
      <c r="L93" s="1"/>
      <c r="M93" s="1"/>
    </row>
    <row r="94" spans="1:13">
      <c r="A94" s="3" t="s">
        <v>181</v>
      </c>
      <c r="B94" s="3">
        <v>7062</v>
      </c>
      <c r="C94" s="3"/>
      <c r="D94" s="3" t="s">
        <v>180</v>
      </c>
      <c r="E94" s="3">
        <v>103632</v>
      </c>
      <c r="F94" s="3" t="str">
        <f>VLOOKUP(B94,'Summary Mar 2026'!A:F,6,FALSE)</f>
        <v>Chq Bk</v>
      </c>
      <c r="G94" s="444">
        <v>805759.3399999988</v>
      </c>
      <c r="H94" s="444">
        <v>53477.34</v>
      </c>
    </row>
    <row r="95" spans="1:13">
      <c r="A95" s="3" t="s">
        <v>183</v>
      </c>
      <c r="B95" s="3">
        <v>2462</v>
      </c>
      <c r="C95" s="3"/>
      <c r="D95" s="3" t="s">
        <v>182</v>
      </c>
      <c r="E95" s="3">
        <v>103388</v>
      </c>
      <c r="F95" s="3" t="str">
        <f>VLOOKUP(B95,'Summary Mar 2026'!A:F,6,FALSE)</f>
        <v>Chq Bk</v>
      </c>
      <c r="G95" s="444">
        <v>624319.06999999913</v>
      </c>
      <c r="H95" s="444">
        <v>4390.83</v>
      </c>
    </row>
    <row r="96" spans="1:13">
      <c r="A96" s="3" t="s">
        <v>185</v>
      </c>
      <c r="B96" s="3">
        <v>7012</v>
      </c>
      <c r="C96" s="3"/>
      <c r="D96" s="3" t="s">
        <v>184</v>
      </c>
      <c r="E96" s="3">
        <v>103603</v>
      </c>
      <c r="F96" s="3" t="str">
        <f>VLOOKUP(B96,'Summary Mar 2026'!A:F,6,FALSE)</f>
        <v>Chq Bk</v>
      </c>
      <c r="G96" s="444">
        <v>-131472.62000000011</v>
      </c>
      <c r="H96" s="444">
        <v>38628</v>
      </c>
    </row>
    <row r="97" spans="1:8">
      <c r="A97" s="3" t="s">
        <v>187</v>
      </c>
      <c r="B97" s="3">
        <v>2127</v>
      </c>
      <c r="C97" s="3"/>
      <c r="D97" s="3" t="s">
        <v>186</v>
      </c>
      <c r="E97" s="3">
        <v>103227</v>
      </c>
      <c r="F97" s="3" t="str">
        <f>VLOOKUP(B97,'Summary Mar 2026'!A:F,6,FALSE)</f>
        <v>Chq Bk</v>
      </c>
      <c r="G97" s="444">
        <v>314028.36000000092</v>
      </c>
      <c r="H97" s="444">
        <v>45956.78</v>
      </c>
    </row>
    <row r="98" spans="1:8">
      <c r="A98" s="3" t="s">
        <v>189</v>
      </c>
      <c r="B98" s="3">
        <v>2129</v>
      </c>
      <c r="C98" s="3"/>
      <c r="D98" s="3" t="s">
        <v>188</v>
      </c>
      <c r="E98" s="3">
        <v>103229</v>
      </c>
      <c r="F98" s="3" t="str">
        <f>VLOOKUP(B98,'Summary Mar 2026'!A:F,6,FALSE)</f>
        <v>Chq Bk</v>
      </c>
      <c r="G98" s="444">
        <v>50081.93357843082</v>
      </c>
      <c r="H98" s="444">
        <v>30406.47</v>
      </c>
    </row>
    <row r="99" spans="1:8">
      <c r="A99" s="3" t="s">
        <v>191</v>
      </c>
      <c r="B99" s="3">
        <v>2128</v>
      </c>
      <c r="C99" s="3"/>
      <c r="D99" s="3" t="s">
        <v>190</v>
      </c>
      <c r="E99" s="3">
        <v>103228</v>
      </c>
      <c r="F99" s="3" t="str">
        <f>VLOOKUP(B99,'Summary Mar 2026'!A:F,6,FALSE)</f>
        <v>Chq Bk</v>
      </c>
      <c r="G99" s="444">
        <v>213519.83208333323</v>
      </c>
      <c r="H99" s="444">
        <v>76166.37</v>
      </c>
    </row>
    <row r="100" spans="1:8">
      <c r="A100" s="3" t="s">
        <v>193</v>
      </c>
      <c r="B100" s="3">
        <v>2420</v>
      </c>
      <c r="C100" s="3"/>
      <c r="D100" s="3" t="s">
        <v>192</v>
      </c>
      <c r="E100" s="3">
        <v>103353</v>
      </c>
      <c r="F100" s="3" t="str">
        <f>VLOOKUP(B100,'Summary Mar 2026'!A:F,6,FALSE)</f>
        <v>Chq Bk</v>
      </c>
      <c r="G100" s="444">
        <v>284740</v>
      </c>
      <c r="H100" s="444">
        <v>7014</v>
      </c>
    </row>
    <row r="101" spans="1:8">
      <c r="A101" s="3" t="s">
        <v>395</v>
      </c>
      <c r="B101" s="3">
        <v>2004</v>
      </c>
      <c r="C101" s="3"/>
      <c r="D101" s="3" t="s">
        <v>394</v>
      </c>
      <c r="E101" s="3">
        <v>134094</v>
      </c>
      <c r="F101" s="3" t="str">
        <f>VLOOKUP(B101,'Summary Mar 2026'!A:F,6,FALSE)</f>
        <v>Chq Bk</v>
      </c>
      <c r="G101" s="444">
        <v>-61147.049999999785</v>
      </c>
      <c r="H101" s="444">
        <v>39010.620000000003</v>
      </c>
    </row>
    <row r="102" spans="1:8">
      <c r="A102" s="3" t="s">
        <v>195</v>
      </c>
      <c r="B102" s="3">
        <v>1012</v>
      </c>
      <c r="C102" s="3"/>
      <c r="D102" s="3" t="s">
        <v>194</v>
      </c>
      <c r="E102" s="3">
        <v>103126</v>
      </c>
      <c r="F102" s="3" t="str">
        <f>VLOOKUP(B102,'Summary Mar 2026'!A:F,6,FALSE)</f>
        <v>Chq Bk</v>
      </c>
      <c r="G102" s="444">
        <v>495607.77999999974</v>
      </c>
      <c r="H102" s="444">
        <v>45458.95</v>
      </c>
    </row>
    <row r="103" spans="1:8">
      <c r="A103" s="3" t="s">
        <v>197</v>
      </c>
      <c r="B103" s="3">
        <v>2133</v>
      </c>
      <c r="C103" s="3"/>
      <c r="D103" s="3" t="s">
        <v>196</v>
      </c>
      <c r="E103" s="3">
        <v>103233</v>
      </c>
      <c r="F103" s="3" t="str">
        <f>VLOOKUP(B103,'Summary Mar 2026'!A:F,6,FALSE)</f>
        <v>Chq Bk</v>
      </c>
      <c r="G103" s="444">
        <v>351829.37999999971</v>
      </c>
      <c r="H103" s="444">
        <v>40863.799999999996</v>
      </c>
    </row>
    <row r="104" spans="1:8">
      <c r="A104" s="3" t="s">
        <v>199</v>
      </c>
      <c r="B104" s="3">
        <v>3322</v>
      </c>
      <c r="C104" s="3"/>
      <c r="D104" s="3" t="s">
        <v>198</v>
      </c>
      <c r="E104" s="3">
        <v>103426</v>
      </c>
      <c r="F104" s="3" t="str">
        <f>VLOOKUP(B104,'Summary Mar 2026'!A:F,6,FALSE)</f>
        <v>Academy</v>
      </c>
      <c r="G104" s="444">
        <v>64079.089999999705</v>
      </c>
      <c r="H104" s="444">
        <v>13482.24</v>
      </c>
    </row>
    <row r="105" spans="1:8">
      <c r="A105" s="3" t="s">
        <v>201</v>
      </c>
      <c r="B105" s="3">
        <v>2406</v>
      </c>
      <c r="C105" s="3"/>
      <c r="D105" s="3" t="s">
        <v>200</v>
      </c>
      <c r="E105" s="3">
        <v>103345</v>
      </c>
      <c r="F105" s="3" t="str">
        <f>VLOOKUP(B105,'Summary Mar 2026'!A:F,6,FALSE)</f>
        <v>Chq Bk</v>
      </c>
      <c r="G105" s="444">
        <v>192585.37999999989</v>
      </c>
      <c r="H105" s="444">
        <v>8217</v>
      </c>
    </row>
    <row r="106" spans="1:8">
      <c r="A106" s="3" t="s">
        <v>203</v>
      </c>
      <c r="B106" s="3">
        <v>2416</v>
      </c>
      <c r="C106" s="3"/>
      <c r="D106" s="3" t="s">
        <v>202</v>
      </c>
      <c r="E106" s="3">
        <v>103351</v>
      </c>
      <c r="F106" s="3" t="str">
        <f>VLOOKUP(B106,'Summary Mar 2026'!A:F,6,FALSE)</f>
        <v>Chq Bk</v>
      </c>
      <c r="G106" s="444">
        <v>57712.910000000149</v>
      </c>
      <c r="H106" s="444">
        <v>19658</v>
      </c>
    </row>
    <row r="107" spans="1:8">
      <c r="A107" s="3" t="s">
        <v>205</v>
      </c>
      <c r="B107" s="3">
        <v>3003</v>
      </c>
      <c r="C107" s="3"/>
      <c r="D107" s="3" t="s">
        <v>204</v>
      </c>
      <c r="E107" s="3">
        <v>103398</v>
      </c>
      <c r="F107" s="3" t="str">
        <f>VLOOKUP(B107,'Summary Mar 2026'!A:F,6,FALSE)</f>
        <v>Chq Bk</v>
      </c>
      <c r="G107" s="444">
        <v>-4257.9900000001217</v>
      </c>
      <c r="H107" s="444">
        <v>0</v>
      </c>
    </row>
    <row r="108" spans="1:8">
      <c r="A108" s="3" t="s">
        <v>207</v>
      </c>
      <c r="B108" s="3">
        <v>4245</v>
      </c>
      <c r="C108" s="3"/>
      <c r="D108" s="3" t="s">
        <v>206</v>
      </c>
      <c r="E108" s="3">
        <v>103519</v>
      </c>
      <c r="F108" s="3" t="str">
        <f>VLOOKUP(B108,'Summary Mar 2026'!A:F,6,FALSE)</f>
        <v>Chq Bk</v>
      </c>
      <c r="G108" s="444">
        <v>3970910.9200000027</v>
      </c>
      <c r="H108" s="444">
        <v>144115.06</v>
      </c>
    </row>
    <row r="109" spans="1:8">
      <c r="A109" s="3" t="s">
        <v>209</v>
      </c>
      <c r="B109" s="3">
        <v>2457</v>
      </c>
      <c r="C109" s="3"/>
      <c r="D109" s="3" t="s">
        <v>208</v>
      </c>
      <c r="E109" s="3">
        <v>103384</v>
      </c>
      <c r="F109" s="3" t="str">
        <f>VLOOKUP(B109,'Summary Mar 2026'!A:F,6,FALSE)</f>
        <v>Chq Bk</v>
      </c>
      <c r="G109" s="444">
        <v>786953.4000000027</v>
      </c>
      <c r="H109" s="444">
        <v>8815.5</v>
      </c>
    </row>
    <row r="110" spans="1:8">
      <c r="A110" s="3" t="s">
        <v>211</v>
      </c>
      <c r="B110" s="3">
        <v>2142</v>
      </c>
      <c r="C110" s="3"/>
      <c r="D110" s="3" t="s">
        <v>210</v>
      </c>
      <c r="E110" s="3">
        <v>103237</v>
      </c>
      <c r="F110" s="3" t="str">
        <f>VLOOKUP(B110,'Summary Mar 2026'!A:F,6,FALSE)</f>
        <v>Chq Bk</v>
      </c>
      <c r="G110" s="444">
        <v>1177180.0599999989</v>
      </c>
      <c r="H110" s="444">
        <v>29289</v>
      </c>
    </row>
    <row r="111" spans="1:8">
      <c r="A111" s="3" t="s">
        <v>213</v>
      </c>
      <c r="B111" s="3">
        <v>2469</v>
      </c>
      <c r="C111" s="3"/>
      <c r="D111" s="3" t="s">
        <v>212</v>
      </c>
      <c r="E111" s="3">
        <v>103395</v>
      </c>
      <c r="F111" s="3" t="str">
        <f>VLOOKUP(B111,'Summary Mar 2026'!A:F,6,FALSE)</f>
        <v>Chq Bk</v>
      </c>
      <c r="G111" s="444">
        <v>286414</v>
      </c>
      <c r="H111" s="444">
        <v>7645</v>
      </c>
    </row>
    <row r="112" spans="1:8">
      <c r="A112" s="3" t="s">
        <v>397</v>
      </c>
      <c r="B112" s="3">
        <v>3431</v>
      </c>
      <c r="C112" s="3"/>
      <c r="D112" s="3" t="s">
        <v>396</v>
      </c>
      <c r="E112" s="3">
        <v>134774</v>
      </c>
      <c r="F112" s="3" t="str">
        <f>VLOOKUP(B112,'Summary Mar 2026'!A:F,6,FALSE)</f>
        <v>Academy</v>
      </c>
      <c r="G112" s="444">
        <v>-236637.06000000759</v>
      </c>
      <c r="H112" s="444">
        <v>30867.37</v>
      </c>
    </row>
    <row r="113" spans="1:12">
      <c r="A113" s="3" t="s">
        <v>399</v>
      </c>
      <c r="B113" s="3">
        <v>1028</v>
      </c>
      <c r="C113" s="3"/>
      <c r="D113" s="3" t="s">
        <v>398</v>
      </c>
      <c r="E113" s="3">
        <v>103141</v>
      </c>
      <c r="F113" s="3" t="str">
        <f>VLOOKUP(B113,'Summary Mar 2026'!A:F,6,FALSE)</f>
        <v>Chq Bk</v>
      </c>
      <c r="G113" s="444">
        <v>-107490.8114867999</v>
      </c>
      <c r="H113" s="444">
        <v>147.75</v>
      </c>
      <c r="L113" s="5"/>
    </row>
    <row r="114" spans="1:12">
      <c r="A114" s="3" t="s">
        <v>215</v>
      </c>
      <c r="B114" s="3">
        <v>1049</v>
      </c>
      <c r="C114" s="3"/>
      <c r="D114" s="3" t="s">
        <v>214</v>
      </c>
      <c r="E114" s="3">
        <v>103145</v>
      </c>
      <c r="F114" s="3" t="str">
        <f>VLOOKUP(B114,'Summary Mar 2026'!A:F,6,FALSE)</f>
        <v>Chq Bk</v>
      </c>
      <c r="G114" s="444">
        <v>514843.26999999973</v>
      </c>
      <c r="H114" s="444">
        <v>3512</v>
      </c>
    </row>
    <row r="115" spans="1:12">
      <c r="A115" s="3" t="s">
        <v>217</v>
      </c>
      <c r="B115" s="3">
        <v>7053</v>
      </c>
      <c r="C115" s="3"/>
      <c r="D115" s="3" t="s">
        <v>216</v>
      </c>
      <c r="E115" s="3">
        <v>103628</v>
      </c>
      <c r="F115" s="3" t="str">
        <f>VLOOKUP(B115,'Summary Mar 2026'!A:F,6,FALSE)</f>
        <v>Academy</v>
      </c>
      <c r="G115" s="444">
        <v>425700.05999999959</v>
      </c>
      <c r="H115" s="444">
        <v>50165</v>
      </c>
    </row>
    <row r="116" spans="1:12">
      <c r="A116" s="3" t="s">
        <v>219</v>
      </c>
      <c r="B116" s="3">
        <v>3351</v>
      </c>
      <c r="C116" s="3"/>
      <c r="D116" s="3" t="s">
        <v>218</v>
      </c>
      <c r="E116" s="3">
        <v>103443</v>
      </c>
      <c r="F116" s="3" t="str">
        <f>VLOOKUP(B116,'Summary Mar 2026'!A:F,6,FALSE)</f>
        <v>Chq Bk</v>
      </c>
      <c r="G116" s="444">
        <v>264120.30999999971</v>
      </c>
      <c r="H116" s="444">
        <v>0</v>
      </c>
    </row>
    <row r="117" spans="1:12">
      <c r="A117" s="3" t="s">
        <v>221</v>
      </c>
      <c r="B117" s="3">
        <v>3328</v>
      </c>
      <c r="C117" s="3"/>
      <c r="D117" s="3" t="s">
        <v>220</v>
      </c>
      <c r="E117" s="3">
        <v>103430</v>
      </c>
      <c r="F117" s="3" t="str">
        <f>VLOOKUP(B117,'Summary Mar 2026'!A:F,6,FALSE)</f>
        <v>Chq Bk</v>
      </c>
      <c r="G117" s="444">
        <v>313783.02</v>
      </c>
      <c r="H117" s="444">
        <v>0</v>
      </c>
    </row>
    <row r="118" spans="1:12">
      <c r="A118" s="3" t="s">
        <v>401</v>
      </c>
      <c r="B118" s="3">
        <v>2150</v>
      </c>
      <c r="C118" s="3"/>
      <c r="D118" s="3" t="s">
        <v>400</v>
      </c>
      <c r="E118" s="3">
        <v>103241</v>
      </c>
      <c r="F118" s="3" t="str">
        <f>VLOOKUP(B118,'Summary Mar 2026'!A:F,6,FALSE)</f>
        <v>Chq Bk</v>
      </c>
      <c r="G118" s="444">
        <v>-591807.22999999952</v>
      </c>
      <c r="H118" s="444">
        <v>46591.109999999993</v>
      </c>
      <c r="L118" s="5"/>
    </row>
    <row r="119" spans="1:12">
      <c r="A119" s="3" t="s">
        <v>403</v>
      </c>
      <c r="B119" s="3">
        <v>2425</v>
      </c>
      <c r="C119" s="3"/>
      <c r="D119" s="3" t="s">
        <v>402</v>
      </c>
      <c r="E119" s="3">
        <v>103356</v>
      </c>
      <c r="F119" s="3" t="str">
        <f>VLOOKUP(B119,'Summary Mar 2026'!A:F,6,FALSE)</f>
        <v>Chq Bk</v>
      </c>
      <c r="G119" s="444">
        <v>-222996.50999999867</v>
      </c>
      <c r="H119" s="444">
        <v>22306.16</v>
      </c>
      <c r="L119" s="5"/>
    </row>
    <row r="120" spans="1:12">
      <c r="A120" s="3" t="s">
        <v>223</v>
      </c>
      <c r="B120" s="3">
        <v>1008</v>
      </c>
      <c r="C120" s="3"/>
      <c r="D120" s="3" t="s">
        <v>222</v>
      </c>
      <c r="E120" s="3">
        <v>103123</v>
      </c>
      <c r="F120" s="3" t="str">
        <f>VLOOKUP(B120,'Summary Mar 2026'!A:F,6,FALSE)</f>
        <v>Chq Bk</v>
      </c>
      <c r="G120" s="444">
        <v>85700.029999999795</v>
      </c>
      <c r="H120" s="444">
        <v>16426.849999999999</v>
      </c>
    </row>
    <row r="121" spans="1:12">
      <c r="A121" s="3" t="s">
        <v>405</v>
      </c>
      <c r="B121" s="3">
        <v>7034</v>
      </c>
      <c r="C121" s="3"/>
      <c r="D121" s="3" t="s">
        <v>404</v>
      </c>
      <c r="E121" s="3">
        <v>103614</v>
      </c>
      <c r="F121" s="3" t="str">
        <f>VLOOKUP(B121,'Summary Mar 2026'!A:F,6,FALSE)</f>
        <v>Chq Bk</v>
      </c>
      <c r="G121" s="444">
        <v>440479.65000000084</v>
      </c>
      <c r="H121" s="444">
        <v>12376.739999999998</v>
      </c>
      <c r="L121" s="5"/>
    </row>
    <row r="122" spans="1:12">
      <c r="A122" s="3" t="s">
        <v>225</v>
      </c>
      <c r="B122" s="3">
        <v>4173</v>
      </c>
      <c r="C122" s="3"/>
      <c r="D122" s="3" t="s">
        <v>224</v>
      </c>
      <c r="E122" s="3">
        <v>103497</v>
      </c>
      <c r="F122" s="3" t="str">
        <f>VLOOKUP(B122,'Summary Mar 2026'!A:F,6,FALSE)</f>
        <v>Chq Bk</v>
      </c>
      <c r="G122" s="444">
        <v>845675.88642013865</v>
      </c>
      <c r="H122" s="444">
        <v>93376.040000000008</v>
      </c>
    </row>
    <row r="123" spans="1:12">
      <c r="A123" s="3" t="s">
        <v>407</v>
      </c>
      <c r="B123" s="3">
        <v>2157</v>
      </c>
      <c r="C123" s="3"/>
      <c r="D123" s="3" t="s">
        <v>406</v>
      </c>
      <c r="E123" s="3">
        <v>103246</v>
      </c>
      <c r="F123" s="3" t="str">
        <f>VLOOKUP(B123,'Summary Mar 2026'!A:F,6,FALSE)</f>
        <v>Chq Bk</v>
      </c>
      <c r="G123" s="444">
        <v>-404556.43000000017</v>
      </c>
      <c r="H123" s="444">
        <v>8713.75</v>
      </c>
    </row>
    <row r="124" spans="1:12">
      <c r="A124" s="3" t="s">
        <v>227</v>
      </c>
      <c r="B124" s="3">
        <v>2159</v>
      </c>
      <c r="C124" s="3"/>
      <c r="D124" s="3" t="s">
        <v>226</v>
      </c>
      <c r="E124" s="3">
        <v>103247</v>
      </c>
      <c r="F124" s="3" t="str">
        <f>VLOOKUP(B124,'Summary Mar 2026'!A:F,6,FALSE)</f>
        <v>Chq Bk</v>
      </c>
      <c r="G124" s="444">
        <v>8370.5500000001957</v>
      </c>
      <c r="H124" s="444">
        <v>361.80000000000109</v>
      </c>
    </row>
    <row r="125" spans="1:12">
      <c r="A125" s="3" t="s">
        <v>229</v>
      </c>
      <c r="B125" s="3">
        <v>2161</v>
      </c>
      <c r="C125" s="3"/>
      <c r="D125" s="3" t="s">
        <v>228</v>
      </c>
      <c r="E125" s="3">
        <v>103249</v>
      </c>
      <c r="F125" s="3" t="str">
        <f>VLOOKUP(B125,'Summary Mar 2026'!A:F,6,FALSE)</f>
        <v>Chq Bk</v>
      </c>
      <c r="G125" s="444">
        <v>330678.10999999952</v>
      </c>
      <c r="H125" s="444">
        <v>12036.91</v>
      </c>
    </row>
    <row r="126" spans="1:12">
      <c r="A126" s="3" t="s">
        <v>231</v>
      </c>
      <c r="B126" s="3">
        <v>2160</v>
      </c>
      <c r="C126" s="3"/>
      <c r="D126" s="3" t="s">
        <v>230</v>
      </c>
      <c r="E126" s="3">
        <v>103248</v>
      </c>
      <c r="F126" s="3" t="str">
        <f>VLOOKUP(B126,'Summary Mar 2026'!A:F,6,FALSE)</f>
        <v>Chq Bk</v>
      </c>
      <c r="G126" s="444">
        <v>206566.35000000038</v>
      </c>
      <c r="H126" s="444">
        <v>4170.8</v>
      </c>
    </row>
    <row r="127" spans="1:12">
      <c r="A127" s="3" t="s">
        <v>233</v>
      </c>
      <c r="B127" s="3">
        <v>2063</v>
      </c>
      <c r="C127" s="3"/>
      <c r="D127" s="3" t="s">
        <v>232</v>
      </c>
      <c r="E127" s="3">
        <v>103193</v>
      </c>
      <c r="F127" s="3" t="str">
        <f>VLOOKUP(B127,'Summary Mar 2026'!A:F,6,FALSE)</f>
        <v>Chq Bk</v>
      </c>
      <c r="G127" s="444">
        <v>148415.73000000251</v>
      </c>
      <c r="H127" s="444">
        <v>54056.579999999994</v>
      </c>
    </row>
    <row r="128" spans="1:12">
      <c r="A128" s="3" t="s">
        <v>235</v>
      </c>
      <c r="B128" s="3">
        <v>1018</v>
      </c>
      <c r="C128" s="3"/>
      <c r="D128" s="3" t="s">
        <v>234</v>
      </c>
      <c r="E128" s="3">
        <v>103131</v>
      </c>
      <c r="F128" s="3" t="str">
        <f>VLOOKUP(B128,'Summary Mar 2026'!A:F,6,FALSE)</f>
        <v>Chq Bk</v>
      </c>
      <c r="G128" s="444">
        <v>293583.9599999999</v>
      </c>
      <c r="H128" s="444">
        <v>32907.57</v>
      </c>
    </row>
    <row r="129" spans="1:8">
      <c r="A129" s="3" t="s">
        <v>409</v>
      </c>
      <c r="B129" s="3">
        <v>1000</v>
      </c>
      <c r="C129" s="3"/>
      <c r="D129" s="3" t="s">
        <v>408</v>
      </c>
      <c r="E129" s="3">
        <v>137796</v>
      </c>
      <c r="F129" s="3" t="str">
        <f>VLOOKUP(B129,'Summary Mar 2026'!A:F,6,FALSE)</f>
        <v>Chq Bk</v>
      </c>
      <c r="G129" s="444">
        <v>47207.109999999811</v>
      </c>
      <c r="H129" s="444">
        <v>10140.75</v>
      </c>
    </row>
    <row r="130" spans="1:8">
      <c r="A130" s="3" t="s">
        <v>237</v>
      </c>
      <c r="B130" s="3">
        <v>7033</v>
      </c>
      <c r="C130" s="3"/>
      <c r="D130" s="3" t="s">
        <v>236</v>
      </c>
      <c r="E130" s="3">
        <v>103613</v>
      </c>
      <c r="F130" s="3" t="str">
        <f>VLOOKUP(B130,'Summary Mar 2026'!A:F,6,FALSE)</f>
        <v>Chq Bk</v>
      </c>
      <c r="G130" s="444">
        <v>155979</v>
      </c>
      <c r="H130" s="444">
        <v>100451</v>
      </c>
    </row>
    <row r="131" spans="1:8">
      <c r="A131" s="3" t="s">
        <v>239</v>
      </c>
      <c r="B131" s="3">
        <v>4177</v>
      </c>
      <c r="C131" s="3"/>
      <c r="D131" s="3" t="s">
        <v>238</v>
      </c>
      <c r="E131" s="3">
        <v>103498</v>
      </c>
      <c r="F131" s="3" t="str">
        <f>VLOOKUP(B131,'Summary Mar 2026'!A:F,6,FALSE)</f>
        <v>Chq Bk</v>
      </c>
      <c r="G131" s="444">
        <v>457266</v>
      </c>
      <c r="H131" s="444">
        <v>33720</v>
      </c>
    </row>
    <row r="132" spans="1:8">
      <c r="A132" s="3" t="s">
        <v>241</v>
      </c>
      <c r="B132" s="3">
        <v>2169</v>
      </c>
      <c r="C132" s="3"/>
      <c r="D132" s="3" t="s">
        <v>240</v>
      </c>
      <c r="E132" s="3">
        <v>103252</v>
      </c>
      <c r="F132" s="3" t="str">
        <f>VLOOKUP(B132,'Summary Mar 2026'!A:F,6,FALSE)</f>
        <v>Chq Bk</v>
      </c>
      <c r="G132" s="444">
        <v>606867.83000000613</v>
      </c>
      <c r="H132" s="444">
        <v>40193.99</v>
      </c>
    </row>
    <row r="133" spans="1:8">
      <c r="A133" s="3" t="s">
        <v>243</v>
      </c>
      <c r="B133" s="3">
        <v>2008</v>
      </c>
      <c r="C133" s="3"/>
      <c r="D133" s="3" t="s">
        <v>242</v>
      </c>
      <c r="E133" s="3">
        <v>103157</v>
      </c>
      <c r="F133" s="3" t="str">
        <f>VLOOKUP(B133,'Summary Mar 2026'!A:F,6,FALSE)</f>
        <v>Chq Bk</v>
      </c>
      <c r="G133" s="444">
        <v>246208.84000000049</v>
      </c>
      <c r="H133" s="444">
        <v>17766.43</v>
      </c>
    </row>
    <row r="134" spans="1:8">
      <c r="A134" s="3" t="s">
        <v>245</v>
      </c>
      <c r="B134" s="3">
        <v>1038</v>
      </c>
      <c r="C134" s="3"/>
      <c r="D134" s="3" t="s">
        <v>244</v>
      </c>
      <c r="E134" s="3">
        <v>103142</v>
      </c>
      <c r="F134" s="3" t="str">
        <f>VLOOKUP(B134,'Summary Mar 2026'!A:F,6,FALSE)</f>
        <v>Chq Bk</v>
      </c>
      <c r="G134" s="444">
        <v>102220.76599999983</v>
      </c>
      <c r="H134" s="444">
        <v>20556.410000000003</v>
      </c>
    </row>
    <row r="135" spans="1:8">
      <c r="A135" s="3" t="s">
        <v>247</v>
      </c>
      <c r="B135" s="3">
        <v>2174</v>
      </c>
      <c r="C135" s="3"/>
      <c r="D135" s="3" t="s">
        <v>246</v>
      </c>
      <c r="E135" s="3">
        <v>103255</v>
      </c>
      <c r="F135" s="3" t="str">
        <f>VLOOKUP(B135,'Summary Mar 2026'!A:F,6,FALSE)</f>
        <v>Chq Bk</v>
      </c>
      <c r="G135" s="444">
        <v>168806.53999999893</v>
      </c>
      <c r="H135" s="444">
        <v>0.25</v>
      </c>
    </row>
    <row r="136" spans="1:8">
      <c r="A136" s="3" t="s">
        <v>249</v>
      </c>
      <c r="B136" s="3">
        <v>2176</v>
      </c>
      <c r="C136" s="3"/>
      <c r="D136" s="3" t="s">
        <v>248</v>
      </c>
      <c r="E136" s="3">
        <v>103256</v>
      </c>
      <c r="F136" s="3" t="str">
        <f>VLOOKUP(B136,'Summary Mar 2026'!A:F,6,FALSE)</f>
        <v>Chq Bk</v>
      </c>
      <c r="G136" s="444">
        <v>410224</v>
      </c>
      <c r="H136" s="444">
        <v>9805</v>
      </c>
    </row>
    <row r="137" spans="1:8">
      <c r="A137" s="3" t="s">
        <v>251</v>
      </c>
      <c r="B137" s="3">
        <v>7047</v>
      </c>
      <c r="C137" s="3"/>
      <c r="D137" s="3" t="s">
        <v>250</v>
      </c>
      <c r="E137" s="3">
        <v>103623</v>
      </c>
      <c r="F137" s="3" t="str">
        <f>VLOOKUP(B137,'Summary Mar 2026'!A:F,6,FALSE)</f>
        <v>Chq Bk</v>
      </c>
      <c r="G137" s="444">
        <v>-397009.12999999442</v>
      </c>
      <c r="H137" s="444">
        <v>21896.129999999997</v>
      </c>
    </row>
    <row r="138" spans="1:8">
      <c r="A138" s="3" t="s">
        <v>253</v>
      </c>
      <c r="B138" s="3">
        <v>3410</v>
      </c>
      <c r="C138" s="3"/>
      <c r="D138" s="3" t="s">
        <v>252</v>
      </c>
      <c r="E138" s="3">
        <v>103478</v>
      </c>
      <c r="F138" s="3" t="str">
        <f>VLOOKUP(B138,'Summary Mar 2026'!A:F,6,FALSE)</f>
        <v>Chq Bk</v>
      </c>
      <c r="G138" s="444">
        <v>224620.9800000001</v>
      </c>
      <c r="H138" s="444">
        <v>0</v>
      </c>
    </row>
    <row r="139" spans="1:8">
      <c r="A139" s="3" t="s">
        <v>255</v>
      </c>
      <c r="B139" s="3">
        <v>3381</v>
      </c>
      <c r="C139" s="3"/>
      <c r="D139" s="3" t="s">
        <v>254</v>
      </c>
      <c r="E139" s="3">
        <v>103466</v>
      </c>
      <c r="F139" s="3" t="str">
        <f>VLOOKUP(B139,'Summary Mar 2026'!A:F,6,FALSE)</f>
        <v>Chq Bk</v>
      </c>
      <c r="G139" s="444">
        <v>42150.669999999802</v>
      </c>
      <c r="H139" s="444">
        <v>0</v>
      </c>
    </row>
    <row r="140" spans="1:8">
      <c r="A140" s="3" t="s">
        <v>363</v>
      </c>
      <c r="B140" s="3">
        <v>3380</v>
      </c>
      <c r="C140" s="3"/>
      <c r="D140" s="3" t="s">
        <v>362</v>
      </c>
      <c r="E140" s="3">
        <v>103465</v>
      </c>
      <c r="F140" s="3" t="str">
        <f>VLOOKUP(B140,'Summary Mar 2026'!A:F,6,FALSE)</f>
        <v>Academy</v>
      </c>
      <c r="G140" s="444">
        <v>-108866.06000000116</v>
      </c>
      <c r="H140" s="444">
        <v>0</v>
      </c>
    </row>
    <row r="141" spans="1:8">
      <c r="A141" s="3" t="s">
        <v>257</v>
      </c>
      <c r="B141" s="3">
        <v>3335</v>
      </c>
      <c r="C141" s="3"/>
      <c r="D141" s="3" t="s">
        <v>256</v>
      </c>
      <c r="E141" s="3">
        <v>103434</v>
      </c>
      <c r="F141" s="3" t="str">
        <f>VLOOKUP(B141,'Summary Mar 2026'!A:F,6,FALSE)</f>
        <v>Chq Bk</v>
      </c>
      <c r="G141" s="444">
        <v>-105421.71999999808</v>
      </c>
      <c r="H141" s="444">
        <v>0</v>
      </c>
    </row>
    <row r="142" spans="1:8">
      <c r="A142" s="3" t="s">
        <v>411</v>
      </c>
      <c r="B142" s="3">
        <v>3329</v>
      </c>
      <c r="C142" s="3"/>
      <c r="D142" s="3" t="s">
        <v>410</v>
      </c>
      <c r="E142" s="3">
        <v>103431</v>
      </c>
      <c r="F142" s="3" t="str">
        <f>VLOOKUP(B142,'Summary Mar 2026'!A:F,6,FALSE)</f>
        <v>Academy</v>
      </c>
      <c r="G142" s="444">
        <v>66913.609999999491</v>
      </c>
      <c r="H142" s="444">
        <v>0</v>
      </c>
    </row>
    <row r="143" spans="1:8">
      <c r="A143" s="3" t="s">
        <v>259</v>
      </c>
      <c r="B143" s="3">
        <v>2183</v>
      </c>
      <c r="C143" s="3"/>
      <c r="D143" s="3" t="s">
        <v>258</v>
      </c>
      <c r="E143" s="3">
        <v>103261</v>
      </c>
      <c r="F143" s="3" t="str">
        <f>VLOOKUP(B143,'Summary Mar 2026'!A:F,6,FALSE)</f>
        <v>Chq Bk</v>
      </c>
      <c r="G143" s="444">
        <v>245176.52000000107</v>
      </c>
      <c r="H143" s="444">
        <v>0</v>
      </c>
    </row>
    <row r="144" spans="1:8">
      <c r="A144" s="3" t="s">
        <v>261</v>
      </c>
      <c r="B144" s="3">
        <v>3372</v>
      </c>
      <c r="C144" s="3"/>
      <c r="D144" s="3" t="s">
        <v>260</v>
      </c>
      <c r="E144" s="3">
        <v>103460</v>
      </c>
      <c r="F144" s="3" t="str">
        <f>VLOOKUP(B144,'Summary Mar 2026'!A:F,6,FALSE)</f>
        <v>Chq Bk</v>
      </c>
      <c r="G144" s="444">
        <v>473047.099999998</v>
      </c>
      <c r="H144" s="444">
        <v>0</v>
      </c>
    </row>
    <row r="145" spans="1:13">
      <c r="A145" s="3" t="s">
        <v>263</v>
      </c>
      <c r="B145" s="3">
        <v>3375</v>
      </c>
      <c r="C145" s="3"/>
      <c r="D145" s="3" t="s">
        <v>262</v>
      </c>
      <c r="E145" s="3">
        <v>103462</v>
      </c>
      <c r="F145" s="3" t="str">
        <f>VLOOKUP(B145,'Summary Mar 2026'!A:F,6,FALSE)</f>
        <v>Chq Bk</v>
      </c>
      <c r="G145" s="444">
        <v>399442.97999999986</v>
      </c>
      <c r="H145" s="444">
        <v>0</v>
      </c>
      <c r="L145" s="1"/>
      <c r="M145" s="1"/>
    </row>
    <row r="146" spans="1:13">
      <c r="A146" s="3" t="s">
        <v>265</v>
      </c>
      <c r="B146" s="3">
        <v>3331</v>
      </c>
      <c r="C146" s="3"/>
      <c r="D146" s="3" t="s">
        <v>264</v>
      </c>
      <c r="E146" s="3">
        <v>103433</v>
      </c>
      <c r="F146" s="3" t="str">
        <f>VLOOKUP(B146,'Summary Mar 2026'!A:F,6,FALSE)</f>
        <v>Chq Bk</v>
      </c>
      <c r="G146" s="444">
        <v>78838.26999999932</v>
      </c>
      <c r="H146" s="444">
        <v>0</v>
      </c>
    </row>
    <row r="147" spans="1:13">
      <c r="A147" s="3" t="s">
        <v>413</v>
      </c>
      <c r="B147" s="3">
        <v>3406</v>
      </c>
      <c r="C147" s="3"/>
      <c r="D147" s="3" t="s">
        <v>412</v>
      </c>
      <c r="E147" s="3">
        <v>103476</v>
      </c>
      <c r="F147" s="3" t="str">
        <f>VLOOKUP(B147,'Summary Mar 2026'!A:F,6,FALSE)</f>
        <v>Academy</v>
      </c>
      <c r="G147" s="444">
        <v>270476.17000000202</v>
      </c>
      <c r="H147" s="444">
        <v>0</v>
      </c>
    </row>
    <row r="148" spans="1:13">
      <c r="A148" s="3" t="s">
        <v>267</v>
      </c>
      <c r="B148" s="3">
        <v>3386</v>
      </c>
      <c r="C148" s="3"/>
      <c r="D148" s="3" t="s">
        <v>266</v>
      </c>
      <c r="E148" s="3">
        <v>103470</v>
      </c>
      <c r="F148" s="3" t="str">
        <f>VLOOKUP(B148,'Summary Mar 2026'!A:F,6,FALSE)</f>
        <v>Chq Bk</v>
      </c>
      <c r="G148" s="444">
        <v>208955.49999999892</v>
      </c>
      <c r="H148" s="444">
        <v>0</v>
      </c>
    </row>
    <row r="149" spans="1:13">
      <c r="A149" s="3" t="s">
        <v>269</v>
      </c>
      <c r="B149" s="3">
        <v>3363</v>
      </c>
      <c r="C149" s="3"/>
      <c r="D149" s="3" t="s">
        <v>268</v>
      </c>
      <c r="E149" s="3">
        <v>103455</v>
      </c>
      <c r="F149" s="3" t="str">
        <f>VLOOKUP(B149,'Summary Mar 2026'!A:F,6,FALSE)</f>
        <v>Chq Bk</v>
      </c>
      <c r="G149" s="444">
        <v>133538.21999999939</v>
      </c>
      <c r="H149" s="444">
        <v>0</v>
      </c>
    </row>
    <row r="150" spans="1:13">
      <c r="A150" s="3" t="s">
        <v>271</v>
      </c>
      <c r="B150" s="3">
        <v>3355</v>
      </c>
      <c r="C150" s="3"/>
      <c r="D150" s="3" t="s">
        <v>270</v>
      </c>
      <c r="E150" s="3">
        <v>103447</v>
      </c>
      <c r="F150" s="3" t="str">
        <f>VLOOKUP(B150,'Summary Mar 2026'!A:F,6,FALSE)</f>
        <v>Chq Bk</v>
      </c>
      <c r="G150" s="444">
        <v>391034.76000000234</v>
      </c>
      <c r="H150" s="444">
        <v>0</v>
      </c>
    </row>
    <row r="151" spans="1:13">
      <c r="A151" s="3" t="s">
        <v>415</v>
      </c>
      <c r="B151" s="3">
        <v>3342</v>
      </c>
      <c r="C151" s="3"/>
      <c r="D151" s="3" t="s">
        <v>414</v>
      </c>
      <c r="E151" s="3">
        <v>103437</v>
      </c>
      <c r="F151" s="3" t="str">
        <f>VLOOKUP(B151,'Summary Mar 2026'!A:F,6,FALSE)</f>
        <v>Academy</v>
      </c>
      <c r="G151" s="444">
        <v>521227.93000000052</v>
      </c>
      <c r="H151" s="444">
        <v>0</v>
      </c>
      <c r="L151" s="5"/>
    </row>
    <row r="152" spans="1:13">
      <c r="A152" s="3" t="s">
        <v>273</v>
      </c>
      <c r="B152" s="3">
        <v>3367</v>
      </c>
      <c r="C152" s="3"/>
      <c r="D152" s="3" t="s">
        <v>272</v>
      </c>
      <c r="E152" s="3">
        <v>103458</v>
      </c>
      <c r="F152" s="3" t="str">
        <f>VLOOKUP(B152,'Summary Mar 2026'!A:F,6,FALSE)</f>
        <v>Chq Bk</v>
      </c>
      <c r="G152" s="444">
        <v>35570.260000001064</v>
      </c>
      <c r="H152" s="444">
        <v>0</v>
      </c>
    </row>
    <row r="153" spans="1:13">
      <c r="A153" s="3" t="s">
        <v>275</v>
      </c>
      <c r="B153" s="3">
        <v>3010</v>
      </c>
      <c r="C153" s="3"/>
      <c r="D153" s="3" t="s">
        <v>274</v>
      </c>
      <c r="E153" s="3">
        <v>103401</v>
      </c>
      <c r="F153" s="3" t="str">
        <f>VLOOKUP(B153,'Summary Mar 2026'!A:F,6,FALSE)</f>
        <v>Chq Bk</v>
      </c>
      <c r="G153" s="444">
        <v>540387.24999999884</v>
      </c>
      <c r="H153" s="444">
        <v>8702.5</v>
      </c>
    </row>
    <row r="154" spans="1:13">
      <c r="A154" s="3" t="s">
        <v>277</v>
      </c>
      <c r="B154" s="3">
        <v>4625</v>
      </c>
      <c r="C154" s="3"/>
      <c r="D154" s="3" t="s">
        <v>276</v>
      </c>
      <c r="E154" s="3">
        <v>103534</v>
      </c>
      <c r="F154" s="3" t="str">
        <f>VLOOKUP(B154,'Summary Mar 2026'!A:F,6,FALSE)</f>
        <v>Chq Bk</v>
      </c>
      <c r="G154" s="444">
        <v>411888.28999999864</v>
      </c>
      <c r="H154" s="444">
        <v>0</v>
      </c>
    </row>
    <row r="155" spans="1:13">
      <c r="A155" s="3" t="s">
        <v>279</v>
      </c>
      <c r="B155" s="3">
        <v>3377</v>
      </c>
      <c r="C155" s="3"/>
      <c r="D155" s="3" t="s">
        <v>278</v>
      </c>
      <c r="E155" s="3">
        <v>103463</v>
      </c>
      <c r="F155" s="3" t="str">
        <f>VLOOKUP(B155,'Summary Mar 2026'!A:F,6,FALSE)</f>
        <v>Chq Bk</v>
      </c>
      <c r="G155" s="444">
        <v>244131.6399999999</v>
      </c>
      <c r="H155" s="444">
        <v>0</v>
      </c>
    </row>
    <row r="156" spans="1:13">
      <c r="A156" s="3" t="s">
        <v>281</v>
      </c>
      <c r="B156" s="3">
        <v>3371</v>
      </c>
      <c r="C156" s="3"/>
      <c r="D156" s="3" t="s">
        <v>280</v>
      </c>
      <c r="E156" s="3">
        <v>103459</v>
      </c>
      <c r="F156" s="3" t="str">
        <f>VLOOKUP(B156,'Summary Mar 2026'!A:F,6,FALSE)</f>
        <v>Chq Bk</v>
      </c>
      <c r="G156" s="444">
        <v>221346.31000000008</v>
      </c>
      <c r="H156" s="444">
        <v>0</v>
      </c>
    </row>
    <row r="157" spans="1:13">
      <c r="A157" s="3" t="s">
        <v>283</v>
      </c>
      <c r="B157" s="3">
        <v>3307</v>
      </c>
      <c r="C157" s="3"/>
      <c r="D157" s="3" t="s">
        <v>282</v>
      </c>
      <c r="E157" s="3">
        <v>103416</v>
      </c>
      <c r="F157" s="3" t="str">
        <f>VLOOKUP(B157,'Summary Mar 2026'!A:F,6,FALSE)</f>
        <v>Chq Bk</v>
      </c>
      <c r="G157" s="444">
        <v>305852</v>
      </c>
      <c r="H157" s="444">
        <v>0</v>
      </c>
    </row>
    <row r="158" spans="1:13">
      <c r="A158" s="3" t="s">
        <v>285</v>
      </c>
      <c r="B158" s="3">
        <v>3361</v>
      </c>
      <c r="C158" s="3"/>
      <c r="D158" s="3" t="s">
        <v>284</v>
      </c>
      <c r="E158" s="3">
        <v>103453</v>
      </c>
      <c r="F158" s="3" t="str">
        <f>VLOOKUP(B158,'Summary Mar 2026'!A:F,6,FALSE)</f>
        <v>Chq Bk</v>
      </c>
      <c r="G158" s="444">
        <v>47649.380000001052</v>
      </c>
      <c r="H158" s="444">
        <v>0</v>
      </c>
    </row>
    <row r="159" spans="1:13">
      <c r="A159" s="3" t="s">
        <v>417</v>
      </c>
      <c r="B159" s="3">
        <v>3382</v>
      </c>
      <c r="C159" s="3"/>
      <c r="D159" s="3" t="s">
        <v>416</v>
      </c>
      <c r="E159" s="3">
        <v>103467</v>
      </c>
      <c r="F159" s="3" t="str">
        <f>VLOOKUP(B159,'Summary Mar 2026'!A:F,6,FALSE)</f>
        <v>Chq Bk</v>
      </c>
      <c r="G159" s="444">
        <v>40897.279999999417</v>
      </c>
      <c r="H159" s="444">
        <v>0</v>
      </c>
    </row>
    <row r="160" spans="1:13">
      <c r="A160" s="3" t="s">
        <v>287</v>
      </c>
      <c r="B160" s="3">
        <v>3344</v>
      </c>
      <c r="C160" s="3"/>
      <c r="D160" s="3" t="s">
        <v>286</v>
      </c>
      <c r="E160" s="3">
        <v>103438</v>
      </c>
      <c r="F160" s="3" t="str">
        <f>VLOOKUP(B160,'Summary Mar 2026'!A:F,6,FALSE)</f>
        <v>Chq Bk</v>
      </c>
      <c r="G160" s="444">
        <v>163527.43999999776</v>
      </c>
      <c r="H160" s="444">
        <v>0</v>
      </c>
    </row>
    <row r="161" spans="1:13">
      <c r="A161" s="3" t="s">
        <v>289</v>
      </c>
      <c r="B161" s="3">
        <v>3025</v>
      </c>
      <c r="C161" s="3"/>
      <c r="D161" s="3" t="s">
        <v>288</v>
      </c>
      <c r="E161" s="3">
        <v>103410</v>
      </c>
      <c r="F161" s="3" t="str">
        <f>VLOOKUP(B161,'Summary Mar 2026'!A:F,6,FALSE)</f>
        <v>Chq Bk</v>
      </c>
      <c r="G161" s="444">
        <v>160539</v>
      </c>
      <c r="H161" s="444">
        <v>0</v>
      </c>
    </row>
    <row r="162" spans="1:13">
      <c r="A162" s="3" t="s">
        <v>291</v>
      </c>
      <c r="B162" s="3">
        <v>3016</v>
      </c>
      <c r="C162" s="3"/>
      <c r="D162" s="3" t="s">
        <v>290</v>
      </c>
      <c r="E162" s="3">
        <v>103404</v>
      </c>
      <c r="F162" s="3" t="str">
        <f>VLOOKUP(B162,'Summary Mar 2026'!A:F,6,FALSE)</f>
        <v>Chq Bk</v>
      </c>
      <c r="G162" s="444">
        <v>573548.19999999995</v>
      </c>
      <c r="H162" s="444">
        <v>1316.25</v>
      </c>
    </row>
    <row r="163" spans="1:13">
      <c r="A163" s="3" t="s">
        <v>419</v>
      </c>
      <c r="B163" s="3">
        <v>3346</v>
      </c>
      <c r="C163" s="3"/>
      <c r="D163" s="3" t="s">
        <v>418</v>
      </c>
      <c r="E163" s="3">
        <v>103439</v>
      </c>
      <c r="F163" s="3" t="str">
        <f>VLOOKUP(B163,'Summary Mar 2026'!A:F,6,FALSE)</f>
        <v>Chq Bk</v>
      </c>
      <c r="G163" s="444">
        <v>-714428.92443226802</v>
      </c>
      <c r="H163" s="444">
        <v>0</v>
      </c>
    </row>
    <row r="164" spans="1:13">
      <c r="A164" s="3" t="s">
        <v>293</v>
      </c>
      <c r="B164" s="3">
        <v>4606</v>
      </c>
      <c r="C164" s="3"/>
      <c r="D164" s="3" t="s">
        <v>292</v>
      </c>
      <c r="E164" s="3">
        <v>103531</v>
      </c>
      <c r="F164" s="3" t="str">
        <f>VLOOKUP(B164,'Summary Mar 2026'!A:F,6,FALSE)</f>
        <v>Chq Bk</v>
      </c>
      <c r="G164" s="444">
        <v>234294.16999999981</v>
      </c>
      <c r="H164" s="444">
        <v>0</v>
      </c>
    </row>
    <row r="165" spans="1:13">
      <c r="A165" s="3" t="s">
        <v>295</v>
      </c>
      <c r="B165" s="3">
        <v>3428</v>
      </c>
      <c r="C165" s="3"/>
      <c r="D165" s="3" t="s">
        <v>294</v>
      </c>
      <c r="E165" s="3">
        <v>134476</v>
      </c>
      <c r="F165" s="3" t="str">
        <f>VLOOKUP(B165,'Summary Mar 2026'!A:F,6,FALSE)</f>
        <v>Chq Bk</v>
      </c>
      <c r="G165" s="444">
        <v>13269</v>
      </c>
      <c r="H165" s="444">
        <v>0</v>
      </c>
    </row>
    <row r="166" spans="1:13">
      <c r="A166" s="3" t="s">
        <v>297</v>
      </c>
      <c r="B166" s="3">
        <v>3019</v>
      </c>
      <c r="C166" s="3"/>
      <c r="D166" s="3" t="s">
        <v>296</v>
      </c>
      <c r="E166" s="3">
        <v>103406</v>
      </c>
      <c r="F166" s="3" t="str">
        <f>VLOOKUP(B166,'Summary Mar 2026'!A:F,6,FALSE)</f>
        <v>Chq Bk</v>
      </c>
      <c r="G166" s="444">
        <v>402073.16000000003</v>
      </c>
      <c r="H166" s="444">
        <v>1803.5</v>
      </c>
    </row>
    <row r="167" spans="1:13">
      <c r="A167" s="3" t="s">
        <v>421</v>
      </c>
      <c r="B167" s="3">
        <v>3365</v>
      </c>
      <c r="C167" s="3"/>
      <c r="D167" s="3" t="s">
        <v>420</v>
      </c>
      <c r="E167" s="3">
        <v>103456</v>
      </c>
      <c r="F167" s="3" t="str">
        <f>VLOOKUP(B167,'Summary Mar 2026'!A:F,6,FALSE)</f>
        <v>Academy</v>
      </c>
      <c r="G167" s="444">
        <v>8204.4899999999907</v>
      </c>
      <c r="H167" s="444">
        <v>0</v>
      </c>
    </row>
    <row r="168" spans="1:13">
      <c r="A168" s="3" t="s">
        <v>423</v>
      </c>
      <c r="B168" s="3">
        <v>1009</v>
      </c>
      <c r="C168" s="3"/>
      <c r="D168" s="3" t="s">
        <v>422</v>
      </c>
      <c r="E168" s="3">
        <v>103124</v>
      </c>
      <c r="F168" s="3" t="str">
        <f>VLOOKUP(B168,'Summary Mar 2026'!A:F,6,FALSE)</f>
        <v>Chq Bk</v>
      </c>
      <c r="G168" s="444">
        <v>-1348493.9999999998</v>
      </c>
      <c r="H168" s="444">
        <v>50214.05</v>
      </c>
    </row>
    <row r="169" spans="1:13">
      <c r="A169" s="3" t="s">
        <v>425</v>
      </c>
      <c r="B169" s="3">
        <v>3310</v>
      </c>
      <c r="C169" s="3"/>
      <c r="D169" s="3" t="s">
        <v>424</v>
      </c>
      <c r="E169" s="3">
        <v>103417</v>
      </c>
      <c r="F169" s="3" t="str">
        <f>VLOOKUP(B169,'Summary Mar 2026'!A:F,6,FALSE)</f>
        <v>Academy</v>
      </c>
      <c r="G169" s="444">
        <v>-38202.860000000044</v>
      </c>
      <c r="H169" s="444">
        <v>0</v>
      </c>
      <c r="L169" s="5"/>
    </row>
    <row r="170" spans="1:13">
      <c r="A170" s="3" t="s">
        <v>299</v>
      </c>
      <c r="B170" s="3">
        <v>2178</v>
      </c>
      <c r="C170" s="3"/>
      <c r="D170" s="3" t="s">
        <v>298</v>
      </c>
      <c r="E170" s="3">
        <v>103257</v>
      </c>
      <c r="F170" s="3" t="str">
        <f>VLOOKUP(B170,'Summary Mar 2026'!A:F,6,FALSE)</f>
        <v>Chq Bk</v>
      </c>
      <c r="G170" s="444">
        <v>156528.46000000054</v>
      </c>
      <c r="H170" s="444">
        <v>5090.400000000006</v>
      </c>
    </row>
    <row r="171" spans="1:13">
      <c r="A171" s="3" t="s">
        <v>301</v>
      </c>
      <c r="B171" s="3">
        <v>2184</v>
      </c>
      <c r="C171" s="3"/>
      <c r="D171" s="3" t="s">
        <v>300</v>
      </c>
      <c r="E171" s="3">
        <v>103262</v>
      </c>
      <c r="F171" s="3" t="str">
        <f>VLOOKUP(B171,'Summary Mar 2026'!A:F,6,FALSE)</f>
        <v>Chq Bk</v>
      </c>
      <c r="G171" s="444">
        <v>743686.33000000159</v>
      </c>
      <c r="H171" s="444">
        <v>8860</v>
      </c>
    </row>
    <row r="172" spans="1:13">
      <c r="A172" s="3" t="s">
        <v>303</v>
      </c>
      <c r="B172" s="3">
        <v>2190</v>
      </c>
      <c r="C172" s="3"/>
      <c r="D172" s="3" t="s">
        <v>302</v>
      </c>
      <c r="E172" s="3">
        <v>103266</v>
      </c>
      <c r="F172" s="3" t="str">
        <f>VLOOKUP(B172,'Summary Mar 2026'!A:F,6,FALSE)</f>
        <v>Chq Bk</v>
      </c>
      <c r="G172" s="444">
        <v>21006.239999999525</v>
      </c>
      <c r="H172" s="444">
        <v>13013.599999999999</v>
      </c>
      <c r="L172" s="1"/>
      <c r="M172" s="1"/>
    </row>
    <row r="173" spans="1:13">
      <c r="A173" s="3" t="s">
        <v>305</v>
      </c>
      <c r="B173" s="3">
        <v>7035</v>
      </c>
      <c r="C173" s="3"/>
      <c r="D173" s="3" t="s">
        <v>304</v>
      </c>
      <c r="E173" s="3">
        <v>103615</v>
      </c>
      <c r="F173" s="3" t="str">
        <f>VLOOKUP(B173,'Summary Mar 2026'!A:F,6,FALSE)</f>
        <v>Chq Bk</v>
      </c>
      <c r="G173" s="444">
        <v>566221.22999999882</v>
      </c>
      <c r="H173" s="444">
        <v>32953.310000000005</v>
      </c>
    </row>
    <row r="174" spans="1:13">
      <c r="A174" s="3" t="s">
        <v>427</v>
      </c>
      <c r="B174" s="3">
        <v>2246</v>
      </c>
      <c r="C174" s="3"/>
      <c r="D174" s="3" t="s">
        <v>426</v>
      </c>
      <c r="E174" s="3">
        <v>103296</v>
      </c>
      <c r="F174" s="3" t="str">
        <f>VLOOKUP(B174,'Summary Mar 2026'!A:F,6,FALSE)</f>
        <v>Academy</v>
      </c>
      <c r="G174" s="444">
        <v>314045</v>
      </c>
      <c r="H174" s="444">
        <v>15601</v>
      </c>
      <c r="L174" s="5"/>
    </row>
    <row r="175" spans="1:13">
      <c r="A175" s="3" t="s">
        <v>307</v>
      </c>
      <c r="B175" s="3">
        <v>3323</v>
      </c>
      <c r="C175" s="3"/>
      <c r="D175" s="3" t="s">
        <v>306</v>
      </c>
      <c r="E175" s="3">
        <v>103427</v>
      </c>
      <c r="F175" s="3" t="str">
        <f>VLOOKUP(B175,'Summary Mar 2026'!A:F,6,FALSE)</f>
        <v>Academy</v>
      </c>
      <c r="G175" s="444">
        <v>311212.18999999994</v>
      </c>
      <c r="H175" s="444">
        <v>0</v>
      </c>
    </row>
    <row r="176" spans="1:13">
      <c r="A176" s="3" t="s">
        <v>309</v>
      </c>
      <c r="B176" s="3">
        <v>7045</v>
      </c>
      <c r="C176" s="3"/>
      <c r="D176" s="3" t="s">
        <v>308</v>
      </c>
      <c r="E176" s="3">
        <v>103622</v>
      </c>
      <c r="F176" s="3" t="str">
        <f>VLOOKUP(B176,'Summary Mar 2026'!A:F,6,FALSE)</f>
        <v>Chq Bk</v>
      </c>
      <c r="G176" s="444">
        <v>1144828.8299999991</v>
      </c>
      <c r="H176" s="444">
        <v>55810.630000000005</v>
      </c>
    </row>
    <row r="177" spans="1:12">
      <c r="A177" s="3" t="s">
        <v>311</v>
      </c>
      <c r="B177" s="3">
        <v>2192</v>
      </c>
      <c r="C177" s="3"/>
      <c r="D177" s="3" t="s">
        <v>310</v>
      </c>
      <c r="E177" s="3">
        <v>103268</v>
      </c>
      <c r="F177" s="3" t="str">
        <f>VLOOKUP(B177,'Summary Mar 2026'!A:F,6,FALSE)</f>
        <v>Chq Bk</v>
      </c>
      <c r="G177" s="444">
        <v>343597.85999999347</v>
      </c>
      <c r="H177" s="444">
        <v>0</v>
      </c>
    </row>
    <row r="178" spans="1:12">
      <c r="A178" s="3" t="s">
        <v>313</v>
      </c>
      <c r="B178" s="3">
        <v>7014</v>
      </c>
      <c r="C178" s="3"/>
      <c r="D178" s="3" t="s">
        <v>312</v>
      </c>
      <c r="E178" s="3">
        <v>103605</v>
      </c>
      <c r="F178" s="3" t="str">
        <f>VLOOKUP(B178,'Summary Mar 2026'!A:F,6,FALSE)</f>
        <v>Chq Bk</v>
      </c>
      <c r="G178" s="444">
        <v>1789289.3399999992</v>
      </c>
      <c r="H178" s="444">
        <v>17365.660000000003</v>
      </c>
    </row>
    <row r="179" spans="1:12">
      <c r="A179" s="3" t="s">
        <v>315</v>
      </c>
      <c r="B179" s="3">
        <v>7009</v>
      </c>
      <c r="C179" s="3"/>
      <c r="D179" s="3" t="s">
        <v>314</v>
      </c>
      <c r="E179" s="3">
        <v>103601</v>
      </c>
      <c r="F179" s="3" t="str">
        <f>VLOOKUP(B179,'Summary Mar 2026'!A:F,6,FALSE)</f>
        <v>Chq Bk</v>
      </c>
      <c r="G179" s="444">
        <v>2114597.4560000002</v>
      </c>
      <c r="H179" s="444">
        <v>10164.010000000002</v>
      </c>
    </row>
    <row r="180" spans="1:12">
      <c r="A180" s="3" t="s">
        <v>317</v>
      </c>
      <c r="B180" s="3">
        <v>5203</v>
      </c>
      <c r="C180" s="3"/>
      <c r="D180" s="3" t="s">
        <v>316</v>
      </c>
      <c r="E180" s="3">
        <v>103544</v>
      </c>
      <c r="F180" s="3" t="str">
        <f>VLOOKUP(B180,'Summary Mar 2026'!A:F,6,FALSE)</f>
        <v>Chq Bk</v>
      </c>
      <c r="G180" s="444">
        <v>82655.919999999431</v>
      </c>
      <c r="H180" s="444">
        <v>0</v>
      </c>
    </row>
    <row r="181" spans="1:12">
      <c r="A181" s="3" t="s">
        <v>319</v>
      </c>
      <c r="B181" s="3">
        <v>5202</v>
      </c>
      <c r="C181" s="3"/>
      <c r="D181" s="3" t="s">
        <v>318</v>
      </c>
      <c r="E181" s="3">
        <v>103543</v>
      </c>
      <c r="F181" s="3" t="str">
        <f>VLOOKUP(B181,'Summary Mar 2026'!A:F,6,FALSE)</f>
        <v>Chq Bk</v>
      </c>
      <c r="G181" s="444">
        <v>231787.62999999902</v>
      </c>
      <c r="H181" s="444">
        <v>27469</v>
      </c>
    </row>
    <row r="182" spans="1:12">
      <c r="A182" s="3" t="s">
        <v>321</v>
      </c>
      <c r="B182" s="3">
        <v>2108</v>
      </c>
      <c r="C182" s="3"/>
      <c r="D182" s="3" t="s">
        <v>320</v>
      </c>
      <c r="E182" s="3">
        <v>103217</v>
      </c>
      <c r="F182" s="3" t="str">
        <f>VLOOKUP(B182,'Summary Mar 2026'!A:F,6,FALSE)</f>
        <v>Chq Bk</v>
      </c>
      <c r="G182" s="444">
        <v>1091897.219999996</v>
      </c>
      <c r="H182" s="444">
        <v>146670.5</v>
      </c>
    </row>
    <row r="183" spans="1:12">
      <c r="A183" s="3" t="s">
        <v>365</v>
      </c>
      <c r="B183" s="3">
        <v>1019</v>
      </c>
      <c r="C183" s="3"/>
      <c r="D183" s="3" t="s">
        <v>364</v>
      </c>
      <c r="E183" s="3">
        <v>103132</v>
      </c>
      <c r="F183" s="3" t="str">
        <f>VLOOKUP(B183,'Summary Mar 2026'!A:F,6,FALSE)</f>
        <v>Chq Bk</v>
      </c>
      <c r="G183" s="444">
        <v>-241139.93999999989</v>
      </c>
      <c r="H183" s="444">
        <v>47827.95</v>
      </c>
    </row>
    <row r="184" spans="1:12">
      <c r="A184" s="3" t="s">
        <v>323</v>
      </c>
      <c r="B184" s="3">
        <v>2306</v>
      </c>
      <c r="C184" s="3"/>
      <c r="D184" s="3" t="s">
        <v>322</v>
      </c>
      <c r="E184" s="3">
        <v>103326</v>
      </c>
      <c r="F184" s="3" t="str">
        <f>VLOOKUP(B184,'Summary Mar 2026'!A:F,6,FALSE)</f>
        <v>Chq Bk</v>
      </c>
      <c r="G184" s="444">
        <v>279911.79999999847</v>
      </c>
      <c r="H184" s="444">
        <v>31042.98</v>
      </c>
    </row>
    <row r="185" spans="1:12">
      <c r="A185" s="3" t="s">
        <v>325</v>
      </c>
      <c r="B185" s="3">
        <v>2308</v>
      </c>
      <c r="C185" s="3"/>
      <c r="D185" s="3" t="s">
        <v>324</v>
      </c>
      <c r="E185" s="3">
        <v>103328</v>
      </c>
      <c r="F185" s="3" t="str">
        <f>VLOOKUP(B185,'Summary Mar 2026'!A:F,6,FALSE)</f>
        <v>Chq Bk</v>
      </c>
      <c r="G185" s="444">
        <v>432926.45999999827</v>
      </c>
      <c r="H185" s="444">
        <v>26430.370000000003</v>
      </c>
    </row>
    <row r="186" spans="1:12">
      <c r="A186" s="3" t="s">
        <v>327</v>
      </c>
      <c r="B186" s="3">
        <v>2245</v>
      </c>
      <c r="C186" s="3"/>
      <c r="D186" s="3" t="s">
        <v>326</v>
      </c>
      <c r="E186" s="3">
        <v>103295</v>
      </c>
      <c r="F186" s="3" t="str">
        <f>VLOOKUP(B186,'Summary Mar 2026'!A:F,6,FALSE)</f>
        <v>Chq Bk</v>
      </c>
      <c r="G186" s="444">
        <v>25296.379999997967</v>
      </c>
      <c r="H186" s="444">
        <v>45101.329999999994</v>
      </c>
    </row>
    <row r="187" spans="1:12">
      <c r="A187" s="3" t="s">
        <v>429</v>
      </c>
      <c r="B187" s="3">
        <v>1020</v>
      </c>
      <c r="C187" s="3"/>
      <c r="D187" s="3" t="s">
        <v>428</v>
      </c>
      <c r="E187" s="3">
        <v>103133</v>
      </c>
      <c r="F187" s="3" t="str">
        <f>VLOOKUP(B187,'Summary Mar 2026'!A:F,6,FALSE)</f>
        <v>Chq Bk</v>
      </c>
      <c r="G187" s="444">
        <v>-213139.79000000103</v>
      </c>
      <c r="H187" s="444">
        <v>51725.5</v>
      </c>
    </row>
    <row r="188" spans="1:12">
      <c r="A188" s="3" t="s">
        <v>329</v>
      </c>
      <c r="B188" s="3">
        <v>1014</v>
      </c>
      <c r="C188" s="3"/>
      <c r="D188" s="3" t="s">
        <v>328</v>
      </c>
      <c r="E188" s="3">
        <v>103127</v>
      </c>
      <c r="F188" s="3" t="str">
        <f>VLOOKUP(B188,'Summary Mar 2026'!A:F,6,FALSE)</f>
        <v>Chq Bk</v>
      </c>
      <c r="G188" s="444">
        <v>269332.04000000015</v>
      </c>
      <c r="H188" s="444">
        <v>29855.68</v>
      </c>
    </row>
    <row r="189" spans="1:12">
      <c r="A189" s="3" t="s">
        <v>431</v>
      </c>
      <c r="B189" s="3">
        <v>2019</v>
      </c>
      <c r="C189" s="3"/>
      <c r="D189" s="3" t="s">
        <v>430</v>
      </c>
      <c r="E189" s="3">
        <v>134279</v>
      </c>
      <c r="F189" s="3" t="str">
        <f>VLOOKUP(B189,'Summary Mar 2026'!A:F,6,FALSE)</f>
        <v>Chq Bk</v>
      </c>
      <c r="G189" s="444">
        <v>123178.30999999872</v>
      </c>
      <c r="H189" s="444">
        <v>30887.72</v>
      </c>
      <c r="L189" s="5"/>
    </row>
    <row r="190" spans="1:12">
      <c r="A190" s="3" t="s">
        <v>331</v>
      </c>
      <c r="B190" s="3">
        <v>2011</v>
      </c>
      <c r="C190" s="3"/>
      <c r="D190" s="3" t="s">
        <v>330</v>
      </c>
      <c r="E190" s="3">
        <v>134099</v>
      </c>
      <c r="F190" s="3" t="str">
        <f>VLOOKUP(B190,'Summary Mar 2026'!A:F,6,FALSE)</f>
        <v>Chq Bk</v>
      </c>
      <c r="G190" s="444">
        <v>467915.51000000129</v>
      </c>
      <c r="H190" s="444">
        <v>48032</v>
      </c>
    </row>
    <row r="191" spans="1:12">
      <c r="A191" s="3" t="s">
        <v>333</v>
      </c>
      <c r="B191" s="3">
        <v>4193</v>
      </c>
      <c r="C191" s="3"/>
      <c r="D191" s="3" t="s">
        <v>332</v>
      </c>
      <c r="E191" s="3">
        <v>103501</v>
      </c>
      <c r="F191" s="3" t="str">
        <f>VLOOKUP(B191,'Summary Mar 2026'!A:F,6,FALSE)</f>
        <v>Chq Bk</v>
      </c>
      <c r="G191" s="444">
        <v>1580301.9500000011</v>
      </c>
      <c r="H191" s="444">
        <v>75471.59</v>
      </c>
    </row>
    <row r="192" spans="1:12">
      <c r="A192" s="3" t="s">
        <v>335</v>
      </c>
      <c r="B192" s="3">
        <v>2478</v>
      </c>
      <c r="C192" s="3"/>
      <c r="D192" s="3" t="s">
        <v>334</v>
      </c>
      <c r="E192" s="3">
        <v>132007</v>
      </c>
      <c r="F192" s="3" t="str">
        <f>VLOOKUP(B192,'Summary Mar 2026'!A:F,6,FALSE)</f>
        <v>Chq Bk</v>
      </c>
      <c r="G192" s="444">
        <v>575599.77000000014</v>
      </c>
      <c r="H192" s="444">
        <v>4255.9600000000028</v>
      </c>
    </row>
    <row r="193" spans="1:12">
      <c r="A193" s="3" t="s">
        <v>337</v>
      </c>
      <c r="B193" s="3">
        <v>2293</v>
      </c>
      <c r="C193" s="3"/>
      <c r="D193" s="3" t="s">
        <v>336</v>
      </c>
      <c r="E193" s="3">
        <v>103317</v>
      </c>
      <c r="F193" s="3" t="str">
        <f>VLOOKUP(B193,'Summary Mar 2026'!A:F,6,FALSE)</f>
        <v>Chq Bk</v>
      </c>
      <c r="G193" s="444">
        <v>1033474.2400000016</v>
      </c>
      <c r="H193" s="444">
        <v>82527.95</v>
      </c>
    </row>
    <row r="194" spans="1:12">
      <c r="A194" s="3" t="s">
        <v>367</v>
      </c>
      <c r="B194" s="3">
        <v>2445</v>
      </c>
      <c r="C194" s="3"/>
      <c r="D194" s="3" t="s">
        <v>366</v>
      </c>
      <c r="E194" s="3">
        <v>103372</v>
      </c>
      <c r="F194" s="3" t="str">
        <f>VLOOKUP(B194,'Summary Mar 2026'!A:F,6,FALSE)</f>
        <v>Chq Bk</v>
      </c>
      <c r="G194" s="444">
        <v>23520.619999999151</v>
      </c>
      <c r="H194" s="444">
        <v>13518.599999999999</v>
      </c>
    </row>
    <row r="195" spans="1:12">
      <c r="A195" s="3" t="s">
        <v>339</v>
      </c>
      <c r="B195" s="3">
        <v>2278</v>
      </c>
      <c r="C195" s="3"/>
      <c r="D195" s="3" t="s">
        <v>338</v>
      </c>
      <c r="E195" s="3">
        <v>103310</v>
      </c>
      <c r="F195" s="3" t="str">
        <f>VLOOKUP(B195,'Summary Mar 2026'!A:F,6,FALSE)</f>
        <v>Chq Bk</v>
      </c>
      <c r="G195" s="444">
        <v>512082.35000000021</v>
      </c>
      <c r="H195" s="444">
        <v>28037.59</v>
      </c>
    </row>
    <row r="196" spans="1:12">
      <c r="A196" s="3" t="s">
        <v>341</v>
      </c>
      <c r="B196" s="3">
        <v>2314</v>
      </c>
      <c r="C196" s="3"/>
      <c r="D196" s="3" t="s">
        <v>340</v>
      </c>
      <c r="E196" s="3">
        <v>103334</v>
      </c>
      <c r="F196" s="3" t="str">
        <f>VLOOKUP(B196,'Summary Mar 2026'!A:F,6,FALSE)</f>
        <v>Academy</v>
      </c>
      <c r="G196" s="444">
        <v>56695.469999998721</v>
      </c>
      <c r="H196" s="444">
        <v>15666.879999999997</v>
      </c>
    </row>
    <row r="197" spans="1:12">
      <c r="A197" s="3" t="s">
        <v>343</v>
      </c>
      <c r="B197" s="3">
        <v>2317</v>
      </c>
      <c r="C197" s="3"/>
      <c r="D197" s="3" t="s">
        <v>342</v>
      </c>
      <c r="E197" s="3">
        <v>103337</v>
      </c>
      <c r="F197" s="3" t="str">
        <f>VLOOKUP(B197,'Summary Mar 2026'!A:F,6,FALSE)</f>
        <v>Chq Bk</v>
      </c>
      <c r="G197" s="444">
        <v>-92002.089999998105</v>
      </c>
      <c r="H197" s="444">
        <v>18324.299999999996</v>
      </c>
    </row>
    <row r="198" spans="1:12">
      <c r="A198" s="3" t="s">
        <v>345</v>
      </c>
      <c r="B198" s="3">
        <v>2225</v>
      </c>
      <c r="C198" s="3"/>
      <c r="D198" s="3" t="s">
        <v>344</v>
      </c>
      <c r="E198" s="3">
        <v>103279</v>
      </c>
      <c r="F198" s="3" t="str">
        <f>VLOOKUP(B198,'Summary Mar 2026'!A:F,6,FALSE)</f>
        <v>Chq Bk</v>
      </c>
      <c r="G198" s="444">
        <v>577131.90000000084</v>
      </c>
      <c r="H198" s="444">
        <v>58183.75</v>
      </c>
    </row>
    <row r="199" spans="1:12">
      <c r="A199" s="3" t="s">
        <v>347</v>
      </c>
      <c r="B199" s="3">
        <v>2412</v>
      </c>
      <c r="C199" s="3"/>
      <c r="D199" s="3" t="s">
        <v>346</v>
      </c>
      <c r="E199" s="3">
        <v>103349</v>
      </c>
      <c r="F199" s="3" t="str">
        <f>VLOOKUP(B199,'Summary Mar 2026'!A:F,6,FALSE)</f>
        <v>Chq Bk</v>
      </c>
      <c r="G199" s="444">
        <v>616793.31000000029</v>
      </c>
      <c r="H199" s="444">
        <v>70269.25</v>
      </c>
    </row>
    <row r="200" spans="1:12">
      <c r="A200" s="3" t="s">
        <v>349</v>
      </c>
      <c r="B200" s="3">
        <v>3421</v>
      </c>
      <c r="C200" s="3"/>
      <c r="D200" s="3" t="s">
        <v>348</v>
      </c>
      <c r="E200" s="3">
        <v>133996</v>
      </c>
      <c r="F200" s="3" t="str">
        <f>VLOOKUP(B200,'Summary Mar 2026'!A:F,6,FALSE)</f>
        <v>Chq Bk</v>
      </c>
      <c r="G200" s="444">
        <v>197343.95000000286</v>
      </c>
      <c r="H200" s="444">
        <v>6901.3099999999977</v>
      </c>
    </row>
    <row r="201" spans="1:12">
      <c r="A201" s="3" t="s">
        <v>351</v>
      </c>
      <c r="B201" s="3">
        <v>2227</v>
      </c>
      <c r="C201" s="3"/>
      <c r="D201" s="3" t="s">
        <v>350</v>
      </c>
      <c r="E201" s="3">
        <v>103281</v>
      </c>
      <c r="F201" s="3" t="str">
        <f>VLOOKUP(B201,'Summary Mar 2026'!A:F,6,FALSE)</f>
        <v>Chq Bk</v>
      </c>
      <c r="G201" s="444">
        <v>411321.15588224592</v>
      </c>
      <c r="H201" s="444">
        <v>3763.8</v>
      </c>
    </row>
    <row r="202" spans="1:12">
      <c r="A202" s="3" t="s">
        <v>353</v>
      </c>
      <c r="B202" s="3">
        <v>2231</v>
      </c>
      <c r="C202" s="3"/>
      <c r="D202" s="3" t="s">
        <v>352</v>
      </c>
      <c r="E202" s="3">
        <v>103284</v>
      </c>
      <c r="F202" s="3" t="str">
        <f>VLOOKUP(B202,'Summary Mar 2026'!A:F,6,FALSE)</f>
        <v>Chq Bk</v>
      </c>
      <c r="G202" s="444">
        <v>209531.29000000108</v>
      </c>
      <c r="H202" s="444">
        <v>7768.64</v>
      </c>
    </row>
    <row r="203" spans="1:12">
      <c r="A203" s="3"/>
      <c r="B203" s="3"/>
      <c r="C203" s="3"/>
      <c r="D203" s="3"/>
      <c r="E203" s="3"/>
      <c r="F203" s="3"/>
    </row>
    <row r="204" spans="1:12">
      <c r="A204" s="3"/>
      <c r="B204" s="3"/>
      <c r="C204" s="3"/>
      <c r="D204" s="3"/>
      <c r="E204" s="3"/>
      <c r="F204" s="3"/>
    </row>
    <row r="205" spans="1:12">
      <c r="A205" s="3"/>
      <c r="B205" s="3"/>
      <c r="C205" s="3"/>
      <c r="D205" s="3"/>
      <c r="E205" s="3"/>
      <c r="F205" s="3"/>
    </row>
    <row r="206" spans="1:12">
      <c r="A206" s="3"/>
      <c r="B206" s="3"/>
      <c r="C206" s="3"/>
      <c r="D206" s="3"/>
      <c r="E206" s="3"/>
      <c r="F206" s="3"/>
    </row>
    <row r="207" spans="1:12">
      <c r="A207" s="3"/>
      <c r="B207" s="3"/>
      <c r="C207" s="3"/>
      <c r="D207" s="3"/>
      <c r="E207" s="3"/>
      <c r="F207" s="3"/>
      <c r="L207" s="5"/>
    </row>
    <row r="208" spans="1:12">
      <c r="A208" s="3"/>
      <c r="B208" s="3"/>
      <c r="C208" s="3"/>
      <c r="D208" s="3"/>
      <c r="E208" s="3"/>
      <c r="F208" s="3"/>
      <c r="L208" s="5"/>
    </row>
    <row r="209" spans="1:8">
      <c r="A209" s="3"/>
      <c r="B209" s="3"/>
      <c r="C209" s="3"/>
      <c r="D209" s="3"/>
      <c r="E209" s="3"/>
      <c r="F209" s="3"/>
    </row>
    <row r="210" spans="1:8">
      <c r="A210" s="3"/>
      <c r="B210" s="3"/>
      <c r="C210" s="3"/>
      <c r="D210" s="3"/>
      <c r="E210" s="3"/>
      <c r="F210" s="3"/>
    </row>
    <row r="211" spans="1:8">
      <c r="A211" s="3"/>
      <c r="B211" s="3"/>
      <c r="C211" s="3"/>
      <c r="D211" s="3"/>
      <c r="E211" s="3"/>
      <c r="F211" s="3"/>
    </row>
    <row r="212" spans="1:8">
      <c r="G212" s="444">
        <f>SUM(G3:G211)</f>
        <v>60140209.890045114</v>
      </c>
      <c r="H212" s="444">
        <f>SUM(H3:H211)</f>
        <v>4375814.7300000004</v>
      </c>
    </row>
  </sheetData>
  <sheetProtection algorithmName="SHA-512" hashValue="oKYNyxS9vZl9whnfebxCSfCttldLQQm/jD/NIVae4UtLkG+R7lvIVjONjsuiRLQkD5GelXRuRUpCrapzbiKEFQ==" saltValue="Kk17hq/t57qNpTPqMugmRg==" spinCount="100000" sheet="1" objects="1" scenarios="1"/>
  <autoFilter ref="A2:Q2" xr:uid="{0750CFC7-2873-4814-80E4-8A7B7B468BAA}">
    <sortState xmlns:xlrd2="http://schemas.microsoft.com/office/spreadsheetml/2017/richdata2" ref="A3:Q202">
      <sortCondition ref="A2"/>
    </sortState>
  </autoFilter>
  <sortState xmlns:xlrd2="http://schemas.microsoft.com/office/spreadsheetml/2017/richdata2" ref="B4:F19">
    <sortCondition ref="E4:E19"/>
  </sortState>
  <phoneticPr fontId="94" type="noConversion"/>
  <conditionalFormatting sqref="G2:H2 B2:F3 B4:E20 F4:F211">
    <cfRule type="cellIs" dxfId="0" priority="1" operator="lessThan">
      <formula>0</formula>
    </cfRule>
  </conditionalFormatting>
  <pageMargins left="0.7" right="0.7" top="0.75" bottom="0.75" header="0.3" footer="0.3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fitToPage="1"/>
  </sheetPr>
  <dimension ref="A1:AF169"/>
  <sheetViews>
    <sheetView showGridLines="0" zoomScale="70" zoomScaleNormal="70" zoomScaleSheetLayoutView="90" workbookViewId="0">
      <selection activeCell="H6" sqref="H6"/>
    </sheetView>
  </sheetViews>
  <sheetFormatPr defaultRowHeight="14.5"/>
  <cols>
    <col min="1" max="1" width="1.7265625" customWidth="1"/>
    <col min="2" max="2" width="5.7265625" customWidth="1"/>
    <col min="3" max="3" width="57.81640625" customWidth="1"/>
    <col min="4" max="4" width="26" bestFit="1" customWidth="1"/>
    <col min="5" max="5" width="17.1796875" customWidth="1"/>
    <col min="6" max="6" width="17.7265625" customWidth="1"/>
    <col min="7" max="7" width="16.453125" customWidth="1"/>
    <col min="8" max="18" width="16.7265625" customWidth="1"/>
    <col min="19" max="19" width="17.26953125" customWidth="1"/>
    <col min="20" max="20" width="2" customWidth="1"/>
    <col min="21" max="21" width="1.7265625" customWidth="1"/>
    <col min="22" max="22" width="21.453125" bestFit="1" customWidth="1"/>
    <col min="23" max="23" width="25" customWidth="1"/>
    <col min="24" max="24" width="9.1796875" customWidth="1"/>
  </cols>
  <sheetData>
    <row r="1" spans="2:24" ht="25" customHeight="1">
      <c r="B1" s="231"/>
      <c r="C1" s="251" t="s">
        <v>432</v>
      </c>
      <c r="D1" s="252"/>
      <c r="E1" s="252"/>
      <c r="F1" s="232"/>
      <c r="G1" s="232"/>
      <c r="H1" s="232"/>
      <c r="I1" s="232"/>
      <c r="J1" s="232"/>
      <c r="K1" s="232"/>
      <c r="L1" s="232"/>
      <c r="M1" s="232"/>
      <c r="N1" s="233"/>
      <c r="O1" s="233"/>
      <c r="P1" s="234"/>
      <c r="Q1" s="234"/>
      <c r="R1" s="234"/>
      <c r="S1" s="234"/>
      <c r="T1" s="235"/>
      <c r="X1" s="9"/>
    </row>
    <row r="2" spans="2:24" ht="25" customHeight="1">
      <c r="B2" s="236"/>
      <c r="C2" s="253" t="s">
        <v>1243</v>
      </c>
      <c r="D2" s="254"/>
      <c r="E2" s="254"/>
      <c r="F2" s="237"/>
      <c r="G2" s="237"/>
      <c r="H2" s="237"/>
      <c r="I2" s="237"/>
      <c r="J2" s="237"/>
      <c r="K2" s="237"/>
      <c r="L2" s="237"/>
      <c r="M2" s="237"/>
      <c r="N2" s="238"/>
      <c r="O2" s="238"/>
      <c r="P2" s="238"/>
      <c r="Q2" s="238"/>
      <c r="R2" s="238"/>
      <c r="S2" s="238"/>
      <c r="T2" s="239"/>
    </row>
    <row r="3" spans="2:24" ht="25" customHeight="1">
      <c r="B3" s="236"/>
      <c r="C3" s="254"/>
      <c r="D3" s="254"/>
      <c r="E3" s="254"/>
      <c r="F3" s="237"/>
      <c r="G3" s="237"/>
      <c r="H3" s="237"/>
      <c r="I3" s="237"/>
      <c r="J3" s="237"/>
      <c r="K3" s="237"/>
      <c r="L3" s="237"/>
      <c r="M3" s="237"/>
      <c r="N3" s="238"/>
      <c r="O3" s="238"/>
      <c r="P3" s="238"/>
      <c r="Q3" s="238"/>
      <c r="R3" s="238"/>
      <c r="S3" s="238"/>
      <c r="T3" s="239"/>
    </row>
    <row r="4" spans="2:24" ht="18.5">
      <c r="B4" s="236"/>
      <c r="C4" s="253" t="s">
        <v>433</v>
      </c>
      <c r="D4" s="367" t="str">
        <f>VLOOKUP($D$6,Lookup!A:B,2,FALSE)</f>
        <v>-</v>
      </c>
      <c r="E4" s="254"/>
      <c r="F4" s="237"/>
      <c r="G4" s="237"/>
      <c r="H4" s="237"/>
      <c r="I4" s="237"/>
      <c r="J4" s="237"/>
      <c r="K4" s="237"/>
      <c r="L4" s="237"/>
      <c r="M4" s="237"/>
      <c r="N4" s="238"/>
      <c r="O4" s="238"/>
      <c r="P4" s="238"/>
      <c r="Q4" s="238"/>
      <c r="R4" s="238"/>
      <c r="S4" s="238"/>
      <c r="T4" s="239"/>
    </row>
    <row r="5" spans="2:24" ht="18.5">
      <c r="B5" s="236"/>
      <c r="C5" s="253" t="s">
        <v>434</v>
      </c>
      <c r="D5" s="255" t="str">
        <f>VLOOKUP($D$6,Lookup!A:D,4,FALSE)</f>
        <v>-</v>
      </c>
      <c r="E5" s="254"/>
      <c r="F5" s="237"/>
      <c r="G5" s="237"/>
      <c r="H5" s="237"/>
      <c r="I5" s="237"/>
      <c r="J5" s="237"/>
      <c r="K5" s="237"/>
      <c r="L5" s="237"/>
      <c r="M5" s="237"/>
      <c r="N5" s="238"/>
      <c r="O5" s="238"/>
      <c r="P5" s="238"/>
      <c r="Q5" s="238"/>
      <c r="R5" s="238"/>
      <c r="S5" s="238"/>
      <c r="T5" s="239"/>
    </row>
    <row r="6" spans="2:24" ht="18.5">
      <c r="B6" s="236"/>
      <c r="C6" s="253" t="s">
        <v>435</v>
      </c>
      <c r="D6" s="368" t="s">
        <v>1165</v>
      </c>
      <c r="E6" s="775"/>
      <c r="F6" s="774"/>
      <c r="G6" s="237"/>
      <c r="H6" s="237"/>
      <c r="I6" s="237"/>
      <c r="J6" s="237"/>
      <c r="K6" s="237"/>
      <c r="L6" s="237"/>
      <c r="M6" s="237"/>
      <c r="N6" s="238"/>
      <c r="O6" s="238"/>
      <c r="P6" s="238"/>
      <c r="Q6" s="238"/>
      <c r="R6" s="238"/>
      <c r="S6" s="238"/>
      <c r="T6" s="239"/>
    </row>
    <row r="7" spans="2:24" ht="15" thickBot="1">
      <c r="B7" s="240"/>
      <c r="C7" s="241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3"/>
    </row>
    <row r="8" spans="2:24">
      <c r="C8" s="1"/>
      <c r="D8" s="9"/>
    </row>
    <row r="9" spans="2:24" ht="19" thickBot="1">
      <c r="C9" s="10"/>
      <c r="D9" s="9"/>
      <c r="F9" s="256"/>
      <c r="G9" s="57"/>
      <c r="I9" s="57"/>
      <c r="S9" s="26"/>
    </row>
    <row r="10" spans="2:24">
      <c r="B10" s="11"/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  <c r="T10" s="15"/>
    </row>
    <row r="11" spans="2:24" ht="18.5">
      <c r="B11" s="16"/>
      <c r="C11" s="10" t="s">
        <v>436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T11" s="17"/>
    </row>
    <row r="12" spans="2:24">
      <c r="B12" s="16"/>
      <c r="C12" s="1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T12" s="17"/>
    </row>
    <row r="13" spans="2:24" ht="31">
      <c r="B13" s="16"/>
      <c r="C13" s="18" t="s">
        <v>437</v>
      </c>
      <c r="D13" s="72" t="s">
        <v>438</v>
      </c>
      <c r="E13" s="72" t="s">
        <v>439</v>
      </c>
      <c r="F13" s="72" t="s">
        <v>440</v>
      </c>
      <c r="G13" s="72" t="s">
        <v>441</v>
      </c>
      <c r="H13" s="72" t="s">
        <v>442</v>
      </c>
      <c r="I13" s="72" t="s">
        <v>443</v>
      </c>
      <c r="J13" s="72" t="s">
        <v>444</v>
      </c>
      <c r="K13" s="72" t="s">
        <v>445</v>
      </c>
      <c r="L13" s="72" t="s">
        <v>446</v>
      </c>
      <c r="M13" s="72" t="s">
        <v>447</v>
      </c>
      <c r="N13" s="72" t="s">
        <v>448</v>
      </c>
      <c r="O13" s="72" t="s">
        <v>449</v>
      </c>
      <c r="P13" s="72" t="s">
        <v>450</v>
      </c>
      <c r="Q13" s="72" t="s">
        <v>451</v>
      </c>
      <c r="R13" s="72" t="s">
        <v>452</v>
      </c>
      <c r="S13" s="164"/>
      <c r="T13" s="85"/>
      <c r="U13" s="65"/>
      <c r="V13" s="146"/>
      <c r="W13" s="147"/>
    </row>
    <row r="14" spans="2:24" ht="18" customHeight="1">
      <c r="B14" s="16"/>
      <c r="C14" s="20" t="s">
        <v>453</v>
      </c>
      <c r="D14" s="74">
        <f>_xlfn.IFNA(VLOOKUP($D$4,'Summary Mar 2026'!$A$8:$AW$213,8,FALSE),0)</f>
        <v>0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>
        <f>SUM(D14:Q14)</f>
        <v>0</v>
      </c>
      <c r="S14" s="165"/>
      <c r="T14" s="138"/>
      <c r="U14" s="65"/>
      <c r="V14" s="65"/>
      <c r="W14" s="147"/>
    </row>
    <row r="15" spans="2:24" ht="18" customHeight="1">
      <c r="B15" s="16"/>
      <c r="C15" s="20" t="s">
        <v>454</v>
      </c>
      <c r="D15" s="74">
        <f>_xlfn.IFNA(VLOOKUP($D$4,'Summary Mar 2026'!$A$8:$AW$213,10,FALSE),0)</f>
        <v>0</v>
      </c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29">
        <f t="shared" ref="R15:R16" si="0">SUM(D15:Q15)</f>
        <v>0</v>
      </c>
      <c r="S15" s="165"/>
      <c r="T15" s="138"/>
      <c r="U15" s="65"/>
      <c r="V15" s="65"/>
      <c r="W15" s="147"/>
    </row>
    <row r="16" spans="2:24" ht="18" customHeight="1">
      <c r="B16" s="16"/>
      <c r="C16" s="20" t="s">
        <v>455</v>
      </c>
      <c r="D16" s="74">
        <f>_xlfn.IFNA(VLOOKUP($D$4,'Summary Mar 2026'!$A$8:$AW$213,9,FALSE),0)</f>
        <v>0</v>
      </c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29">
        <f t="shared" si="0"/>
        <v>0</v>
      </c>
      <c r="S16" s="165"/>
      <c r="T16" s="138"/>
      <c r="U16" s="65"/>
      <c r="V16" s="65"/>
      <c r="W16" s="147"/>
    </row>
    <row r="17" spans="2:26" ht="18" customHeight="1">
      <c r="B17" s="16"/>
      <c r="C17" s="69" t="s">
        <v>456</v>
      </c>
      <c r="D17" s="75">
        <f>SUM(D14:D16)</f>
        <v>0</v>
      </c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>
        <f>SUM(D17:Q17)</f>
        <v>0</v>
      </c>
      <c r="S17" s="165"/>
      <c r="T17" s="138"/>
      <c r="U17" s="65"/>
      <c r="V17" s="65"/>
      <c r="W17" s="147"/>
    </row>
    <row r="18" spans="2:26" ht="18" customHeight="1">
      <c r="B18" s="16"/>
      <c r="C18" s="20" t="s">
        <v>457</v>
      </c>
      <c r="D18" s="74">
        <f>_xlfn.IFNA(VLOOKUP($D$4,HN!$A$8:$BT$213,8,FALSE),0)</f>
        <v>0</v>
      </c>
      <c r="E18" s="129"/>
      <c r="F18" s="129"/>
      <c r="G18" s="129"/>
      <c r="H18" s="129"/>
      <c r="I18" s="129"/>
      <c r="J18" s="129"/>
      <c r="K18" s="129">
        <f>_xlfn.IFNA(VLOOKUP($D$4,HN!$A$8:$BT$213,27,FALSE),0)</f>
        <v>0</v>
      </c>
      <c r="L18" s="129">
        <f>_xlfn.IFNA(VLOOKUP($D$4,HN!$A$8:$BT$213,32,FALSE),0)</f>
        <v>0</v>
      </c>
      <c r="M18" s="129"/>
      <c r="N18" s="129"/>
      <c r="O18" s="129"/>
      <c r="P18" s="129"/>
      <c r="Q18" s="129"/>
      <c r="R18" s="129">
        <f>SUM(D18:Q18)</f>
        <v>0</v>
      </c>
      <c r="S18" s="165"/>
      <c r="T18" s="138"/>
      <c r="U18" s="65"/>
      <c r="V18" s="65"/>
      <c r="W18" s="147"/>
    </row>
    <row r="19" spans="2:26" ht="18" customHeight="1">
      <c r="B19" s="16"/>
      <c r="C19" s="20" t="s">
        <v>458</v>
      </c>
      <c r="D19" s="74">
        <f>_xlfn.IFNA(VLOOKUP($D$4,HN!$A$8:$BT$213,9,FALSE),0)</f>
        <v>0</v>
      </c>
      <c r="E19" s="129"/>
      <c r="F19" s="110"/>
      <c r="G19" s="129">
        <f>_xlfn.IFNA(VLOOKUP($D$4,HN!$A$8:$BT$213,19,FALSE),0)+_xlfn.IFNA(VLOOKUP($D$4,HN!$A$8:$BT$213,20,FALSE),0)+_xlfn.IFNA(VLOOKUP($D$4,HN!$A$8:$BT$213,21,FALSE),0)</f>
        <v>0</v>
      </c>
      <c r="H19" s="129"/>
      <c r="J19" s="111"/>
      <c r="K19" s="129">
        <f>_xlfn.IFNA(VLOOKUP($D$4,HN!$A$8:$BT$213,28,FALSE),0)</f>
        <v>0</v>
      </c>
      <c r="L19" s="129">
        <f>_xlfn.IFNA(VLOOKUP($D$4,HN!$A$8:$BT$213,33,FALSE),0)</f>
        <v>0</v>
      </c>
      <c r="M19" s="111"/>
      <c r="N19" s="111"/>
      <c r="O19" s="111">
        <f>_xlfn.IFNA(VLOOKUP($D$4,HN!$A$8:$BT$213,35,FALSE),0)</f>
        <v>0</v>
      </c>
      <c r="P19" s="111"/>
      <c r="Q19" s="111"/>
      <c r="R19" s="129">
        <f t="shared" ref="R19:R29" si="1">SUM(D19:Q19)</f>
        <v>0</v>
      </c>
      <c r="S19" s="165"/>
      <c r="T19" s="138"/>
      <c r="U19" s="65"/>
      <c r="V19" s="65"/>
      <c r="W19" s="147"/>
    </row>
    <row r="20" spans="2:26" ht="18" customHeight="1">
      <c r="B20" s="16"/>
      <c r="C20" s="20" t="s">
        <v>459</v>
      </c>
      <c r="D20" s="74">
        <f>_xlfn.IFNA(VLOOKUP($D$4,HN!$A$8:$BT$213,10,FALSE),0)</f>
        <v>0</v>
      </c>
      <c r="E20" s="129"/>
      <c r="F20" s="110"/>
      <c r="G20" s="129"/>
      <c r="H20" s="129"/>
      <c r="I20" s="129"/>
      <c r="J20" s="111"/>
      <c r="K20" s="129">
        <f>_xlfn.IFNA(VLOOKUP($D$4,HN!$A$8:$BT$213,29,FALSE),0)</f>
        <v>0</v>
      </c>
      <c r="L20" s="111"/>
      <c r="M20" s="111"/>
      <c r="N20" s="111"/>
      <c r="O20" s="111"/>
      <c r="P20" s="111"/>
      <c r="Q20" s="111"/>
      <c r="R20" s="129">
        <f t="shared" si="1"/>
        <v>0</v>
      </c>
      <c r="S20" s="165"/>
      <c r="T20" s="138"/>
      <c r="U20" s="65"/>
      <c r="V20" s="65"/>
      <c r="W20" s="147"/>
    </row>
    <row r="21" spans="2:26" ht="18" customHeight="1">
      <c r="B21" s="16"/>
      <c r="C21" s="20" t="s">
        <v>460</v>
      </c>
      <c r="D21" s="74">
        <f>_xlfn.IFNA(VLOOKUP($D$4,HN!$A$8:$BT$213,14,FALSE),0)</f>
        <v>0</v>
      </c>
      <c r="E21" s="129"/>
      <c r="F21" s="110">
        <f>_xlfn.IFNA(VLOOKUP($D$4,HN!$A$8:$BT$213,24,FALSE),0)</f>
        <v>0</v>
      </c>
      <c r="G21" s="129"/>
      <c r="H21" s="111"/>
      <c r="I21" s="129"/>
      <c r="J21" s="111"/>
      <c r="K21" s="111"/>
      <c r="L21" s="111">
        <f>_xlfn.IFNA(VLOOKUP($D$4,HN!$A$8:$BT$213,31,FALSE),0)</f>
        <v>0</v>
      </c>
      <c r="M21" s="111"/>
      <c r="N21" s="111">
        <f>_xlfn.IFNA(VLOOKUP($D$4,HN!$A$8:$BT$213,34,FALSE),0)</f>
        <v>0</v>
      </c>
      <c r="O21" s="111"/>
      <c r="P21" s="111"/>
      <c r="Q21" s="111"/>
      <c r="R21" s="129">
        <f t="shared" si="1"/>
        <v>0</v>
      </c>
      <c r="S21" s="165"/>
      <c r="T21" s="138"/>
      <c r="U21" s="65"/>
      <c r="V21" s="65"/>
      <c r="W21" s="147"/>
    </row>
    <row r="22" spans="2:26" ht="18" customHeight="1">
      <c r="B22" s="16"/>
      <c r="C22" s="20" t="s">
        <v>461</v>
      </c>
      <c r="D22" s="74">
        <f>_xlfn.IFNA(VLOOKUP($D$4,HN!$A$8:$BT$213,15,FALSE),0)</f>
        <v>0</v>
      </c>
      <c r="E22" s="110"/>
      <c r="F22" s="110">
        <f>_xlfn.IFNA(VLOOKUP($D$4,HN!$A$8:$BT$213,25,FALSE),0)</f>
        <v>0</v>
      </c>
      <c r="G22" s="129"/>
      <c r="I22" s="129"/>
      <c r="J22" s="111"/>
      <c r="L22" s="111"/>
      <c r="M22" s="111"/>
      <c r="N22" s="111"/>
      <c r="O22" s="111">
        <f>_xlfn.IFNA(VLOOKUP($D$4,HN!$A$8:$BT$213,36,FALSE),0)</f>
        <v>0</v>
      </c>
      <c r="P22" s="111"/>
      <c r="Q22" s="111"/>
      <c r="R22" s="129">
        <f t="shared" si="1"/>
        <v>0</v>
      </c>
      <c r="S22" s="165"/>
      <c r="T22" s="138"/>
      <c r="U22" s="65"/>
      <c r="V22" s="65"/>
      <c r="W22" s="147"/>
    </row>
    <row r="23" spans="2:26" ht="18" customHeight="1">
      <c r="B23" s="16"/>
      <c r="C23" s="20" t="s">
        <v>462</v>
      </c>
      <c r="D23" s="74"/>
      <c r="E23" s="110">
        <f>_xlfn.IFNA(VLOOKUP($D$4,EY!$A:$AJ,10,FALSE),0)</f>
        <v>0</v>
      </c>
      <c r="F23" s="129"/>
      <c r="G23" s="129"/>
      <c r="H23" s="2"/>
      <c r="I23" s="129">
        <f>_xlfn.IFNA(VLOOKUP($D$4,EY!$A:$CZ,57,FALSE),0)</f>
        <v>0</v>
      </c>
      <c r="J23" s="111">
        <f>_xlfn.IFNA(VLOOKUP($D$4,EY!$A:$AJ,19,FALSE),0)</f>
        <v>0</v>
      </c>
      <c r="K23" s="2"/>
      <c r="L23" s="111"/>
      <c r="M23" s="111">
        <f>_xlfn.IFNA(VLOOKUP($D$4,EY!$A:$CZ,94,FALSE),0)+_xlfn.IFNA(VLOOKUP($D$4,EY!$A:$CZ,76,FALSE),0)</f>
        <v>0</v>
      </c>
      <c r="N23" s="111">
        <f>_xlfn.IFNA(VLOOKUP($D$4,EY!$A:$AX,28,FALSE),0)</f>
        <v>0</v>
      </c>
      <c r="O23" s="111"/>
      <c r="P23" s="111"/>
      <c r="Q23" s="111"/>
      <c r="R23" s="129">
        <f t="shared" si="1"/>
        <v>0</v>
      </c>
      <c r="S23" s="165"/>
      <c r="T23" s="138"/>
      <c r="U23" s="65"/>
      <c r="V23" s="65"/>
      <c r="W23" s="147"/>
    </row>
    <row r="24" spans="2:26" ht="18" customHeight="1">
      <c r="B24" s="16"/>
      <c r="C24" s="20" t="s">
        <v>463</v>
      </c>
      <c r="D24" s="74"/>
      <c r="E24" s="129">
        <f>_xlfn.IFNA(VLOOKUP($D$4,EY!$A:$AJ,11,FALSE),0)</f>
        <v>0</v>
      </c>
      <c r="F24" s="129"/>
      <c r="G24" s="129"/>
      <c r="H24" s="129"/>
      <c r="I24" s="129">
        <f>_xlfn.IFNA(VLOOKUP($D$4,EY!$A:$CZ,58,FALSE),0)</f>
        <v>0</v>
      </c>
      <c r="J24" s="111">
        <f>_xlfn.IFNA(VLOOKUP($D$4,EY!$A:$AJ,20,FALSE),0)</f>
        <v>0</v>
      </c>
      <c r="K24" s="111"/>
      <c r="L24" s="111"/>
      <c r="M24" s="111">
        <f>_xlfn.IFNA(VLOOKUP($D$4,EY!$A:$CZ,95,FALSE),0)+_xlfn.IFNA(VLOOKUP($D$4,EY!$A:$CZ,77,FALSE),0)</f>
        <v>0</v>
      </c>
      <c r="N24" s="111">
        <f>_xlfn.IFNA(VLOOKUP($D$4,EY!$A:$AX,29,FALSE),0)</f>
        <v>0</v>
      </c>
      <c r="O24" s="111"/>
      <c r="P24" s="111"/>
      <c r="Q24" s="111"/>
      <c r="R24" s="129">
        <f t="shared" si="1"/>
        <v>0</v>
      </c>
      <c r="S24" s="165"/>
      <c r="T24" s="138"/>
      <c r="U24" s="65"/>
      <c r="V24" s="65"/>
      <c r="W24" s="147"/>
    </row>
    <row r="25" spans="2:26" ht="18" customHeight="1">
      <c r="B25" s="16"/>
      <c r="C25" s="20" t="s">
        <v>464</v>
      </c>
      <c r="D25" s="74"/>
      <c r="E25" s="129">
        <f>_xlfn.IFNA(VLOOKUP($D$4,EY!$A:$AJ,12,FALSE),0)</f>
        <v>0</v>
      </c>
      <c r="F25" s="159"/>
      <c r="G25" s="129"/>
      <c r="H25" s="129"/>
      <c r="I25" s="129">
        <f>_xlfn.IFNA(VLOOKUP($D$4,EY!$A:$CZ,59,FALSE),0)</f>
        <v>0</v>
      </c>
      <c r="J25" s="111">
        <f>_xlfn.IFNA(VLOOKUP($D$4,EY!$A:$AJ,21,FALSE),0)</f>
        <v>0</v>
      </c>
      <c r="K25" s="111"/>
      <c r="L25" s="111"/>
      <c r="M25" s="111">
        <f>_xlfn.IFNA(VLOOKUP($D$4,EY!$A:$CZ,96,FALSE),0)+_xlfn.IFNA(VLOOKUP($D$4,EY!$A:$CZ,78,FALSE),0)</f>
        <v>0</v>
      </c>
      <c r="N25" s="111">
        <f>_xlfn.IFNA(VLOOKUP($D$4,EY!$A:$AX,30,FALSE),0)</f>
        <v>0</v>
      </c>
      <c r="O25" s="111"/>
      <c r="P25" s="111"/>
      <c r="Q25" s="111"/>
      <c r="R25" s="129">
        <f t="shared" si="1"/>
        <v>0</v>
      </c>
      <c r="S25" s="165"/>
      <c r="T25" s="138"/>
      <c r="U25" s="65"/>
      <c r="V25" s="65"/>
      <c r="W25" s="147"/>
    </row>
    <row r="26" spans="2:26" ht="18" customHeight="1">
      <c r="B26" s="16"/>
      <c r="C26" s="20" t="s">
        <v>465</v>
      </c>
      <c r="D26" s="74"/>
      <c r="E26" s="129">
        <f>_xlfn.IFNA(VLOOKUP($D$4,EY!$A:$AJ,13,FALSE),0)</f>
        <v>0</v>
      </c>
      <c r="F26" s="90"/>
      <c r="G26" s="129"/>
      <c r="H26" s="129"/>
      <c r="I26" s="129">
        <f>_xlfn.IFNA(VLOOKUP($D$4,EY!$A:$CZ,60,FALSE),0)</f>
        <v>0</v>
      </c>
      <c r="J26" s="111">
        <f>_xlfn.IFNA(VLOOKUP($D$4,EY!$A:$AJ,22,FALSE),0)</f>
        <v>0</v>
      </c>
      <c r="K26" s="111"/>
      <c r="L26" s="111"/>
      <c r="M26" s="111">
        <f>_xlfn.IFNA(VLOOKUP($D$4,EY!$A:$CZ,97,FALSE),0)+_xlfn.IFNA(VLOOKUP($D$4,EY!$A:$CZ,79,FALSE),0)</f>
        <v>0</v>
      </c>
      <c r="N26" s="111">
        <f>_xlfn.IFNA(VLOOKUP($D$4,EY!$A:$AX,31,FALSE),0)</f>
        <v>0</v>
      </c>
      <c r="O26" s="111"/>
      <c r="P26" s="111"/>
      <c r="Q26" s="111"/>
      <c r="R26" s="129">
        <f t="shared" si="1"/>
        <v>0</v>
      </c>
      <c r="S26" s="165"/>
      <c r="T26" s="138"/>
      <c r="U26" s="65"/>
      <c r="V26" s="65"/>
      <c r="W26" s="147"/>
    </row>
    <row r="27" spans="2:26" ht="18" customHeight="1">
      <c r="B27" s="16"/>
      <c r="C27" s="20" t="s">
        <v>466</v>
      </c>
      <c r="D27" s="74"/>
      <c r="E27" s="129">
        <f>_xlfn.IFNA(VLOOKUP($D$4,EY!$A:$AJ,14,FALSE),0)</f>
        <v>0</v>
      </c>
      <c r="F27" s="129"/>
      <c r="G27" s="129"/>
      <c r="H27" s="129"/>
      <c r="I27" s="129">
        <f>_xlfn.IFNA(VLOOKUP($D$4,EY!$A:$CZ,61,FALSE),0)</f>
        <v>0</v>
      </c>
      <c r="J27" s="111">
        <f>_xlfn.IFNA(VLOOKUP($D$4,EY!$A:$AJ,23,FALSE),0)</f>
        <v>0</v>
      </c>
      <c r="K27" s="111"/>
      <c r="L27" s="111"/>
      <c r="M27" s="111">
        <f>_xlfn.IFNA(VLOOKUP($D$4,EY!$A:$CZ,98,FALSE),0)+_xlfn.IFNA(VLOOKUP($D$4,EY!$A:$CZ,80,FALSE),0)</f>
        <v>0</v>
      </c>
      <c r="N27" s="111">
        <f>_xlfn.IFNA(VLOOKUP($D$4,EY!$A:$AX,32,FALSE),0)</f>
        <v>0</v>
      </c>
      <c r="O27" s="111"/>
      <c r="P27" s="111"/>
      <c r="Q27" s="111"/>
      <c r="R27" s="129">
        <f t="shared" si="1"/>
        <v>0</v>
      </c>
      <c r="S27" s="165"/>
      <c r="T27" s="138"/>
      <c r="U27" s="65"/>
      <c r="V27" s="65"/>
      <c r="W27" s="147"/>
    </row>
    <row r="28" spans="2:26" ht="18" customHeight="1">
      <c r="B28" s="16"/>
      <c r="C28" s="20" t="s">
        <v>467</v>
      </c>
      <c r="D28" s="74"/>
      <c r="E28" s="129">
        <f>_xlfn.IFNA(VLOOKUP($D$4,EY!$A:$CI,37,FALSE),0)</f>
        <v>0</v>
      </c>
      <c r="F28" s="129"/>
      <c r="G28" s="129"/>
      <c r="H28" s="129"/>
      <c r="I28" s="129">
        <f>_xlfn.IFNA(VLOOKUP($D$4,EY!$A:$CZ,63,FALSE),0)</f>
        <v>0</v>
      </c>
      <c r="J28" s="111">
        <f>_xlfn.IFNA(VLOOKUP($D$4,EY!$A:$AX,38,FALSE),0)</f>
        <v>0</v>
      </c>
      <c r="K28" s="111"/>
      <c r="L28" s="111"/>
      <c r="M28" s="111">
        <f>_xlfn.IFNA(VLOOKUP($D$4,EY!$A:$CZ,100,FALSE),0)+_xlfn.IFNA(VLOOKUP($D$4,EY!$A:$CZ,82,FALSE),0)</f>
        <v>0</v>
      </c>
      <c r="N28" s="111">
        <f>_xlfn.IFNA(VLOOKUP($D$4,EY!$A:$AX,39,FALSE),0)</f>
        <v>0</v>
      </c>
      <c r="O28" s="111"/>
      <c r="P28" s="111"/>
      <c r="Q28" s="111"/>
      <c r="R28" s="129">
        <f t="shared" si="1"/>
        <v>0</v>
      </c>
      <c r="S28" s="165"/>
      <c r="T28" s="138"/>
      <c r="U28" s="65"/>
      <c r="V28" s="65"/>
      <c r="W28" s="147"/>
    </row>
    <row r="29" spans="2:26" ht="18" customHeight="1">
      <c r="B29" s="16"/>
      <c r="C29" s="20" t="s">
        <v>468</v>
      </c>
      <c r="D29" s="74"/>
      <c r="E29" s="129">
        <f>_xlfn.IFNA(VLOOKUP($D$4,EY!$A:$CI,15,FALSE),0)</f>
        <v>0</v>
      </c>
      <c r="F29" s="129"/>
      <c r="G29" s="129"/>
      <c r="H29" s="129"/>
      <c r="I29" s="129">
        <f>_xlfn.IFNA(VLOOKUP($D$4,EY!$A:$CZ,62,FALSE),0)</f>
        <v>0</v>
      </c>
      <c r="J29" s="111">
        <f>_xlfn.IFNA(VLOOKUP($D$4,EY!$A:$AJ,24,FALSE),0)</f>
        <v>0</v>
      </c>
      <c r="K29" s="111"/>
      <c r="L29" s="111"/>
      <c r="M29" s="111">
        <f>_xlfn.IFNA(VLOOKUP($D$4,EY!$A:$CZ,99,FALSE),0)+_xlfn.IFNA(VLOOKUP($D$4,EY!$A:$CZ,81,FALSE),0)</f>
        <v>0</v>
      </c>
      <c r="N29" s="111">
        <f>_xlfn.IFNA(VLOOKUP($D$4,EY!$A:$AX,33,FALSE),0)</f>
        <v>0</v>
      </c>
      <c r="O29" s="111"/>
      <c r="P29" s="111"/>
      <c r="Q29" s="111"/>
      <c r="R29" s="129">
        <f t="shared" si="1"/>
        <v>0</v>
      </c>
      <c r="S29" s="165"/>
      <c r="T29" s="138"/>
      <c r="U29" s="65"/>
      <c r="V29" s="65"/>
      <c r="W29" s="147"/>
    </row>
    <row r="30" spans="2:26" s="7" customFormat="1" ht="18" customHeight="1">
      <c r="B30" s="29"/>
      <c r="C30" s="48" t="s">
        <v>469</v>
      </c>
      <c r="D30" s="74">
        <f>_xlfn.IFNA(VLOOKUP($D$4,EY!$A:$H,8,FALSE),0)</f>
        <v>0</v>
      </c>
      <c r="E30" s="90"/>
      <c r="F30" s="90"/>
      <c r="G30" s="129"/>
      <c r="H30" s="129"/>
      <c r="I30" s="90">
        <f>_xlfn.IFNA(VLOOKUP($D$4,EY!$A:$AT,46,FALSE),0)</f>
        <v>0</v>
      </c>
      <c r="K30" s="90"/>
      <c r="L30" s="111"/>
      <c r="M30" s="90"/>
      <c r="N30" s="90"/>
      <c r="O30" s="90"/>
      <c r="P30" s="111"/>
      <c r="Q30" s="111"/>
      <c r="R30" s="129">
        <f>SUM(D30:Q30)</f>
        <v>0</v>
      </c>
      <c r="S30" s="165"/>
      <c r="T30" s="138"/>
      <c r="U30" s="65"/>
      <c r="V30" s="65"/>
      <c r="W30" s="151"/>
      <c r="X30" s="152"/>
      <c r="Y30" s="150"/>
      <c r="Z30" s="150"/>
    </row>
    <row r="31" spans="2:26" ht="18" customHeight="1">
      <c r="B31" s="16"/>
      <c r="C31" s="69" t="s">
        <v>470</v>
      </c>
      <c r="D31" s="75">
        <f>ROUND(SUM(D17:D30),2)</f>
        <v>0</v>
      </c>
      <c r="E31" s="112">
        <f t="shared" ref="E31:P31" si="2">SUM(E14:E30)</f>
        <v>0</v>
      </c>
      <c r="F31" s="116">
        <f t="shared" si="2"/>
        <v>0</v>
      </c>
      <c r="G31" s="130">
        <f t="shared" si="2"/>
        <v>0</v>
      </c>
      <c r="H31" s="130">
        <f t="shared" si="2"/>
        <v>0</v>
      </c>
      <c r="I31" s="130">
        <f t="shared" si="2"/>
        <v>0</v>
      </c>
      <c r="J31" s="130">
        <f t="shared" si="2"/>
        <v>0</v>
      </c>
      <c r="K31" s="130">
        <f t="shared" si="2"/>
        <v>0</v>
      </c>
      <c r="L31" s="130">
        <f t="shared" si="2"/>
        <v>0</v>
      </c>
      <c r="M31" s="130">
        <f t="shared" si="2"/>
        <v>0</v>
      </c>
      <c r="N31" s="130">
        <f t="shared" si="2"/>
        <v>0</v>
      </c>
      <c r="O31" s="130">
        <f t="shared" si="2"/>
        <v>0</v>
      </c>
      <c r="P31" s="130">
        <f t="shared" si="2"/>
        <v>0</v>
      </c>
      <c r="Q31" s="130"/>
      <c r="R31" s="130">
        <f>SUM(R17:R30)</f>
        <v>0</v>
      </c>
      <c r="S31" s="165"/>
      <c r="T31" s="138"/>
      <c r="U31" s="65"/>
      <c r="V31" s="65"/>
    </row>
    <row r="32" spans="2:26" ht="18" customHeight="1">
      <c r="B32" s="16"/>
      <c r="C32" s="20" t="s">
        <v>471</v>
      </c>
      <c r="D32" s="74">
        <f>_xlfn.IFNA(VLOOKUP($D$4,'Post 16'!A:V,21,FALSE),0)</f>
        <v>0</v>
      </c>
      <c r="E32" s="129"/>
      <c r="F32" s="129"/>
      <c r="G32" s="129"/>
      <c r="H32" s="129"/>
      <c r="I32" s="129">
        <f>_xlfn.IFNA(VLOOKUP($D$4,'Post 16'!A:AR,40,FALSE),0)</f>
        <v>0</v>
      </c>
      <c r="J32" s="111"/>
      <c r="K32" s="111"/>
      <c r="L32" s="111"/>
      <c r="M32" s="111"/>
      <c r="N32" s="111"/>
      <c r="O32" s="111"/>
      <c r="P32" s="111"/>
      <c r="Q32" s="111"/>
      <c r="R32" s="129">
        <f>SUM(D32:Q32)</f>
        <v>0</v>
      </c>
      <c r="S32" s="394"/>
      <c r="T32" s="138"/>
      <c r="U32" s="65"/>
      <c r="V32" s="65"/>
      <c r="W32" s="147"/>
      <c r="Y32" s="147"/>
    </row>
    <row r="33" spans="2:32" ht="18" customHeight="1">
      <c r="B33" s="16"/>
      <c r="C33" s="21" t="s">
        <v>472</v>
      </c>
      <c r="D33" s="74">
        <f>_xlfn.IFNA(VLOOKUP($D$4,'Post 16'!A:AR,32,FALSE),0)</f>
        <v>0</v>
      </c>
      <c r="E33" s="129"/>
      <c r="F33" s="129"/>
      <c r="G33" s="129"/>
      <c r="H33" s="129"/>
      <c r="I33" s="129"/>
      <c r="J33" s="129"/>
      <c r="K33" s="129"/>
      <c r="L33" s="129"/>
      <c r="M33" s="129">
        <f>_xlfn.IFNA(VLOOKUP($D$4,'Post 16'!A:AV,41,FALSE),0)</f>
        <v>0</v>
      </c>
      <c r="N33" s="129"/>
      <c r="O33" s="129"/>
      <c r="P33" s="129"/>
      <c r="Q33" s="129"/>
      <c r="R33" s="129">
        <f t="shared" ref="R33:R35" si="3">SUM(D33:Q33)</f>
        <v>0</v>
      </c>
      <c r="S33" s="165"/>
      <c r="T33" s="138"/>
      <c r="U33" s="65"/>
    </row>
    <row r="34" spans="2:32" ht="18" customHeight="1">
      <c r="B34" s="16"/>
      <c r="C34" s="21" t="s">
        <v>1182</v>
      </c>
      <c r="D34" s="74"/>
      <c r="E34" s="129"/>
      <c r="F34" s="129"/>
      <c r="G34" s="129"/>
      <c r="H34" s="129"/>
      <c r="I34" s="129"/>
      <c r="J34" s="129"/>
      <c r="K34" s="129">
        <f>_xlfn.IFNA(VLOOKUP($D$4,'LA Deductions'!$A:$AN,34,FALSE),0)</f>
        <v>0</v>
      </c>
      <c r="L34" s="129"/>
      <c r="M34" s="129"/>
      <c r="N34" s="129"/>
      <c r="O34" s="129"/>
      <c r="P34" s="129"/>
      <c r="Q34" s="129"/>
      <c r="R34" s="129">
        <f t="shared" si="3"/>
        <v>0</v>
      </c>
      <c r="S34" s="165"/>
      <c r="T34" s="138"/>
      <c r="U34" s="65"/>
    </row>
    <row r="35" spans="2:32" ht="18" customHeight="1">
      <c r="B35" s="16"/>
      <c r="C35" s="21" t="s">
        <v>473</v>
      </c>
      <c r="D35" s="74"/>
      <c r="E35" s="129"/>
      <c r="F35" s="129">
        <f>-_xlfn.IFNA(VLOOKUP(D4,'LA Deductions'!A:M,13,FALSE),0)</f>
        <v>0</v>
      </c>
      <c r="G35" s="129"/>
      <c r="H35" s="129">
        <f>-_xlfn.IFNA(VLOOKUP(D4,'LA Deductions'!A:N,14,FALSE),0)</f>
        <v>0</v>
      </c>
      <c r="I35" s="129"/>
      <c r="J35" s="129">
        <f>-(_xlfn.IFNA(VLOOKUP($D$4,'LA Deductions'!$A:$J,10,FALSE),0)+_xlfn.IFNA(VLOOKUP($D$4,'LA Deductions'!$A:$AZ,15,FALSE),0))</f>
        <v>0</v>
      </c>
      <c r="K35" s="129">
        <f>-_xlfn.IFNA(VLOOKUP($D$4,'LA Deductions'!$A:$AZ,16,FALSE),0)</f>
        <v>0</v>
      </c>
      <c r="L35" s="129"/>
      <c r="M35" s="129"/>
      <c r="N35" s="129">
        <f>-_xlfn.IFNA(VLOOKUP($D$4,'LA Deductions'!$A:$AZ,17,FALSE),0)</f>
        <v>0</v>
      </c>
      <c r="O35" s="129"/>
      <c r="P35" s="129"/>
      <c r="Q35" s="129"/>
      <c r="R35" s="129">
        <f t="shared" si="3"/>
        <v>0</v>
      </c>
      <c r="S35" s="394"/>
      <c r="T35" s="138"/>
      <c r="U35" s="65"/>
    </row>
    <row r="36" spans="2:32" ht="18" customHeight="1">
      <c r="B36" s="16"/>
      <c r="C36" s="68" t="s">
        <v>474</v>
      </c>
      <c r="D36" s="77">
        <f>ROUND(SUM(D31:D35),2)</f>
        <v>0</v>
      </c>
      <c r="E36" s="77">
        <f>SUM(E31:E35)</f>
        <v>0</v>
      </c>
      <c r="F36" s="77">
        <f t="shared" ref="F36:P36" si="4">SUM(F31:F35)</f>
        <v>0</v>
      </c>
      <c r="G36" s="77">
        <f t="shared" si="4"/>
        <v>0</v>
      </c>
      <c r="H36" s="77">
        <f t="shared" si="4"/>
        <v>0</v>
      </c>
      <c r="I36" s="77">
        <f>SUM(I31:I35)</f>
        <v>0</v>
      </c>
      <c r="J36" s="77">
        <f t="shared" si="4"/>
        <v>0</v>
      </c>
      <c r="K36" s="77">
        <f t="shared" si="4"/>
        <v>0</v>
      </c>
      <c r="L36" s="77">
        <f t="shared" si="4"/>
        <v>0</v>
      </c>
      <c r="M36" s="77">
        <f t="shared" si="4"/>
        <v>0</v>
      </c>
      <c r="N36" s="77">
        <f t="shared" si="4"/>
        <v>0</v>
      </c>
      <c r="O36" s="77">
        <f t="shared" si="4"/>
        <v>0</v>
      </c>
      <c r="P36" s="77">
        <f t="shared" si="4"/>
        <v>0</v>
      </c>
      <c r="Q36" s="77"/>
      <c r="R36" s="131">
        <f>SUM(R31:R35)</f>
        <v>0</v>
      </c>
      <c r="S36" s="165"/>
      <c r="T36" s="138"/>
      <c r="U36" s="65"/>
      <c r="V36" s="65"/>
      <c r="Y36" s="148"/>
    </row>
    <row r="37" spans="2:32" ht="18" customHeight="1">
      <c r="B37" s="16"/>
      <c r="C37" s="244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6"/>
      <c r="R37" s="137"/>
      <c r="S37" s="162"/>
      <c r="T37" s="138"/>
      <c r="U37" s="65"/>
      <c r="V37" s="65"/>
      <c r="Y37" s="148"/>
    </row>
    <row r="38" spans="2:32" ht="17.149999999999999" customHeight="1" thickBot="1">
      <c r="B38" s="25"/>
      <c r="C38" s="257"/>
      <c r="D38" s="78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66"/>
      <c r="S38" s="163"/>
      <c r="T38" s="161"/>
      <c r="U38" s="71"/>
      <c r="V38" s="71"/>
      <c r="W38" s="22"/>
      <c r="X38" s="22"/>
      <c r="Z38" s="148"/>
      <c r="AB38" s="22"/>
      <c r="AC38" s="22"/>
      <c r="AD38" s="22"/>
      <c r="AE38" s="22"/>
      <c r="AF38" s="22"/>
    </row>
    <row r="39" spans="2:32" ht="17.149999999999999" customHeight="1">
      <c r="C39" s="23"/>
      <c r="D39" s="79"/>
      <c r="E39" s="133"/>
      <c r="F39" s="133"/>
      <c r="G39" s="133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76"/>
      <c r="T39" s="65"/>
      <c r="U39" s="65"/>
      <c r="V39" s="65"/>
      <c r="Y39" s="147"/>
    </row>
    <row r="40" spans="2:32" ht="18.75" customHeight="1" thickBot="1">
      <c r="C40" s="10"/>
      <c r="D40" s="80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73"/>
      <c r="T40" s="65"/>
      <c r="U40" s="65"/>
      <c r="V40" s="65"/>
      <c r="Y40" s="147"/>
    </row>
    <row r="41" spans="2:32" ht="30" customHeight="1">
      <c r="B41" s="11"/>
      <c r="C41" s="28"/>
      <c r="D41" s="81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82"/>
      <c r="T41" s="83"/>
      <c r="U41" s="65"/>
      <c r="V41" s="65"/>
      <c r="W41" s="149"/>
      <c r="X41" s="149"/>
      <c r="Y41" s="147"/>
      <c r="Z41" s="149"/>
    </row>
    <row r="42" spans="2:32" ht="18.5">
      <c r="B42" s="16"/>
      <c r="C42" s="10" t="s">
        <v>475</v>
      </c>
      <c r="D42" s="136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84"/>
      <c r="T42" s="85"/>
      <c r="U42" s="65"/>
      <c r="V42" s="65"/>
      <c r="W42" s="149"/>
      <c r="X42" s="149"/>
      <c r="Y42" s="147"/>
      <c r="Z42" s="149"/>
    </row>
    <row r="43" spans="2:32" s="7" customFormat="1" ht="32.25" customHeight="1">
      <c r="B43" s="29"/>
      <c r="C43" s="24"/>
      <c r="D43" s="875" t="s">
        <v>476</v>
      </c>
      <c r="E43" s="168">
        <v>45748</v>
      </c>
      <c r="F43" s="168">
        <v>45778</v>
      </c>
      <c r="G43" s="168">
        <v>45809</v>
      </c>
      <c r="H43" s="168">
        <v>45839</v>
      </c>
      <c r="I43" s="168">
        <v>45870</v>
      </c>
      <c r="J43" s="168">
        <v>45901</v>
      </c>
      <c r="K43" s="168">
        <v>45931</v>
      </c>
      <c r="L43" s="168">
        <v>45962</v>
      </c>
      <c r="M43" s="168">
        <v>45992</v>
      </c>
      <c r="N43" s="168">
        <v>46023</v>
      </c>
      <c r="O43" s="168">
        <v>46054</v>
      </c>
      <c r="P43" s="168">
        <v>46082</v>
      </c>
      <c r="Q43" s="260" t="s">
        <v>477</v>
      </c>
      <c r="R43" s="86" t="s">
        <v>478</v>
      </c>
      <c r="S43" s="224" t="s">
        <v>479</v>
      </c>
      <c r="T43" s="87"/>
      <c r="U43" s="88"/>
      <c r="V43" s="88"/>
      <c r="W43" s="150"/>
      <c r="X43" s="150"/>
      <c r="Y43" s="150"/>
      <c r="Z43" s="150"/>
    </row>
    <row r="44" spans="2:32" s="7" customFormat="1" ht="18" customHeight="1">
      <c r="B44" s="29"/>
      <c r="C44" s="24"/>
      <c r="D44" s="876"/>
      <c r="E44" s="169" t="s">
        <v>480</v>
      </c>
      <c r="F44" s="170" t="s">
        <v>480</v>
      </c>
      <c r="G44" s="170" t="s">
        <v>480</v>
      </c>
      <c r="H44" s="170" t="s">
        <v>480</v>
      </c>
      <c r="I44" s="170" t="s">
        <v>480</v>
      </c>
      <c r="J44" s="170" t="s">
        <v>480</v>
      </c>
      <c r="K44" s="170" t="s">
        <v>480</v>
      </c>
      <c r="L44" s="170" t="s">
        <v>480</v>
      </c>
      <c r="M44" s="170" t="s">
        <v>480</v>
      </c>
      <c r="N44" s="170" t="s">
        <v>480</v>
      </c>
      <c r="O44" s="170" t="s">
        <v>480</v>
      </c>
      <c r="P44" s="170" t="s">
        <v>480</v>
      </c>
      <c r="Q44" s="261" t="s">
        <v>480</v>
      </c>
      <c r="R44" s="86" t="s">
        <v>481</v>
      </c>
      <c r="S44" s="224"/>
      <c r="T44" s="87"/>
      <c r="U44" s="88"/>
      <c r="V44" s="88"/>
      <c r="W44" s="150"/>
      <c r="X44" s="150"/>
      <c r="Y44" s="150"/>
      <c r="Z44" s="150"/>
    </row>
    <row r="45" spans="2:32" s="7" customFormat="1" ht="18" customHeight="1">
      <c r="B45" s="29"/>
      <c r="C45" s="222" t="s">
        <v>453</v>
      </c>
      <c r="D45" s="89" t="s">
        <v>21</v>
      </c>
      <c r="E45" s="90">
        <f>_xlfn.IFNA(VLOOKUP($D$4,'Summary Mar 2026'!$A:$GE,13,0),0)</f>
        <v>0</v>
      </c>
      <c r="F45" s="90">
        <f>_xlfn.IFNA(VLOOKUP($D$4,'Summary Mar 2026'!$A:$GE,27,0),0)</f>
        <v>0</v>
      </c>
      <c r="G45" s="90">
        <f>_xlfn.IFNA(VLOOKUP($D$4,'Summary Mar 2026'!$A:$GE,41,0),0)</f>
        <v>0</v>
      </c>
      <c r="H45" s="90">
        <f>_xlfn.IFNA(VLOOKUP($D$4,'Summary Mar 2026'!$A:$GE,55,0),0)</f>
        <v>0</v>
      </c>
      <c r="I45" s="90">
        <f>_xlfn.IFNA(VLOOKUP($D$4,'Summary Mar 2026'!$A:$GE,69,0),0)</f>
        <v>0</v>
      </c>
      <c r="J45" s="90">
        <f>_xlfn.IFNA(VLOOKUP($D$4,'Summary Mar 2026'!$A:$GE,83,0),0)</f>
        <v>0</v>
      </c>
      <c r="K45" s="90">
        <f>_xlfn.IFNA(VLOOKUP($D$4,'Summary Mar 2026'!$A:$GE,98,0),0)</f>
        <v>0</v>
      </c>
      <c r="L45" s="90">
        <f>_xlfn.IFNA(VLOOKUP($D$4,'Summary Mar 2026'!$A:$GE,113,0),0)</f>
        <v>0</v>
      </c>
      <c r="M45" s="90">
        <f>_xlfn.IFNA(VLOOKUP($D$4,'Summary Mar 2026'!$A:$GE,128,0),0)</f>
        <v>0</v>
      </c>
      <c r="N45" s="90">
        <f>_xlfn.IFNA(VLOOKUP($D$4,'Summary Mar 2026'!$A:$GE,143,0),0)</f>
        <v>0</v>
      </c>
      <c r="O45" s="90">
        <f>_xlfn.IFNA(VLOOKUP($D$4,'Summary Mar 2026'!$A:$GE,158,0),0)</f>
        <v>0</v>
      </c>
      <c r="P45" s="90">
        <f>_xlfn.IFNA(VLOOKUP($D$4,'Summary Mar 2026'!$A:$GE,173,0),0)</f>
        <v>0</v>
      </c>
      <c r="Q45" s="262">
        <f>SUMIF($E$44:$P$44,$Q$44,E45:P45)</f>
        <v>0</v>
      </c>
      <c r="R45" s="92"/>
      <c r="S45" s="225">
        <f>SUM(E45:P45)+R45</f>
        <v>0</v>
      </c>
      <c r="T45" s="93"/>
      <c r="U45" s="88"/>
      <c r="V45" s="88"/>
      <c r="W45" s="151"/>
      <c r="X45" s="152"/>
      <c r="Y45" s="150"/>
      <c r="Z45" s="150"/>
    </row>
    <row r="46" spans="2:32" s="7" customFormat="1" ht="18" customHeight="1">
      <c r="B46" s="29"/>
      <c r="C46" s="222" t="s">
        <v>10</v>
      </c>
      <c r="D46" s="247" t="s">
        <v>23</v>
      </c>
      <c r="E46" s="90">
        <f>_xlfn.IFNA(VLOOKUP($D$4,'Summary Mar 2026'!$A:$GE,23,0),0)</f>
        <v>0</v>
      </c>
      <c r="F46" s="90">
        <f>_xlfn.IFNA(VLOOKUP($D$4,'Summary Mar 2026'!$A:$GE,37,0),0)</f>
        <v>0</v>
      </c>
      <c r="G46" s="90">
        <f>_xlfn.IFNA(VLOOKUP($D$4,'Summary Mar 2026'!$A:$GE,51,0),0)</f>
        <v>0</v>
      </c>
      <c r="H46" s="90">
        <f>_xlfn.IFNA(VLOOKUP($D$4,'Summary Mar 2026'!$A:$GE,65,0),0)</f>
        <v>0</v>
      </c>
      <c r="I46" s="90">
        <f>_xlfn.IFNA(VLOOKUP($D$4,'Summary Mar 2026'!$A:$GE,79,0),0)</f>
        <v>0</v>
      </c>
      <c r="J46" s="90">
        <f>_xlfn.IFNA(VLOOKUP($D$4,'Summary Mar 2026'!$A:$GE,93,0),0)</f>
        <v>0</v>
      </c>
      <c r="K46" s="90">
        <f>_xlfn.IFNA(VLOOKUP($D$4,'Summary Mar 2026'!$A:$GE,108,0),0)</f>
        <v>0</v>
      </c>
      <c r="L46" s="90">
        <f>_xlfn.IFNA(VLOOKUP($D$4,'Summary Mar 2026'!$A:$GE,123,0),0)</f>
        <v>0</v>
      </c>
      <c r="M46" s="90">
        <f>_xlfn.IFNA(VLOOKUP($D$4,'Summary Mar 2026'!$A:$GE,138,0),0)</f>
        <v>0</v>
      </c>
      <c r="N46" s="90">
        <f>_xlfn.IFNA(VLOOKUP($D$4,'Summary Mar 2026'!$A:$GE,153,0),0)</f>
        <v>0</v>
      </c>
      <c r="O46" s="90">
        <f>_xlfn.IFNA(VLOOKUP($D$4,'Summary Mar 2026'!$A:$GE,168,0),0)</f>
        <v>0</v>
      </c>
      <c r="P46" s="90">
        <f>_xlfn.IFNA(VLOOKUP($D$4,'Summary Mar 2026'!$A:$GE,183,0),0)</f>
        <v>0</v>
      </c>
      <c r="Q46" s="262">
        <f t="shared" ref="Q46:Q47" si="5">SUMIF($E$44:$P$44,$Q$44,E46:P46)</f>
        <v>0</v>
      </c>
      <c r="R46" s="92"/>
      <c r="S46" s="114">
        <f t="shared" ref="S46" si="6">SUM(E46:P46)+R46</f>
        <v>0</v>
      </c>
      <c r="T46" s="101"/>
      <c r="U46" s="88"/>
      <c r="V46" s="88"/>
      <c r="W46" s="151"/>
      <c r="X46" s="152"/>
      <c r="Y46" s="150"/>
      <c r="Z46" s="150"/>
    </row>
    <row r="47" spans="2:32" s="7" customFormat="1" ht="18" customHeight="1">
      <c r="B47" s="29"/>
      <c r="C47" s="222" t="s">
        <v>455</v>
      </c>
      <c r="D47" s="247" t="s">
        <v>22</v>
      </c>
      <c r="E47" s="90">
        <f>_xlfn.IFNA(VLOOKUP($D$4,'Summary Mar 2026'!$A:$GE,22,0),0)</f>
        <v>0</v>
      </c>
      <c r="F47" s="90">
        <f>_xlfn.IFNA(VLOOKUP($D$4,'Summary Mar 2026'!$A:$GE,36,0),0)</f>
        <v>0</v>
      </c>
      <c r="G47" s="90">
        <f>_xlfn.IFNA(VLOOKUP($D$4,'Summary Mar 2026'!$A:$GE,50,0),0)</f>
        <v>0</v>
      </c>
      <c r="H47" s="90">
        <f>_xlfn.IFNA(VLOOKUP($D$4,'Summary Mar 2026'!$A:$GE,64,0),0)</f>
        <v>0</v>
      </c>
      <c r="I47" s="90">
        <f>_xlfn.IFNA(VLOOKUP($D$4,'Summary Mar 2026'!$A:$GE,78,0),0)</f>
        <v>0</v>
      </c>
      <c r="J47" s="90">
        <f>_xlfn.IFNA(VLOOKUP($D$4,'Summary Mar 2026'!$A:$GE,92,0),0)</f>
        <v>0</v>
      </c>
      <c r="K47" s="90">
        <f>_xlfn.IFNA(VLOOKUP($D$4,'Summary Mar 2026'!$A:$GE,107,0),0)</f>
        <v>0</v>
      </c>
      <c r="L47" s="90">
        <f>_xlfn.IFNA(VLOOKUP($D$4,'Summary Mar 2026'!$A:$GE,122,0),0)</f>
        <v>0</v>
      </c>
      <c r="M47" s="90">
        <f>_xlfn.IFNA(VLOOKUP($D$4,'Summary Mar 2026'!$A:$GE,137,0),0)</f>
        <v>0</v>
      </c>
      <c r="N47" s="90">
        <f>_xlfn.IFNA(VLOOKUP($D$4,'Summary Mar 2026'!$A:$GE,152,0),0)</f>
        <v>0</v>
      </c>
      <c r="O47" s="90">
        <f>_xlfn.IFNA(VLOOKUP($D$4,'Summary Mar 2026'!$A:$GE,167,0),0)</f>
        <v>0</v>
      </c>
      <c r="P47" s="90">
        <f>_xlfn.IFNA(VLOOKUP($D$4,'Summary Mar 2026'!$A:$GE,182,0),0)</f>
        <v>0</v>
      </c>
      <c r="Q47" s="262">
        <f t="shared" si="5"/>
        <v>0</v>
      </c>
      <c r="R47" s="92"/>
      <c r="S47" s="114">
        <f>SUM(E47:P47)+R47</f>
        <v>0</v>
      </c>
      <c r="T47" s="101"/>
      <c r="U47" s="88"/>
      <c r="V47" s="88"/>
      <c r="W47" s="151"/>
      <c r="X47" s="152"/>
      <c r="Y47" s="150"/>
      <c r="Z47" s="150"/>
    </row>
    <row r="48" spans="2:32" ht="18" customHeight="1">
      <c r="B48" s="16"/>
      <c r="C48" s="69" t="s">
        <v>456</v>
      </c>
      <c r="D48" s="75">
        <f>SUM(D45:D45)</f>
        <v>0</v>
      </c>
      <c r="E48" s="130">
        <f>SUM(E45:E47)</f>
        <v>0</v>
      </c>
      <c r="F48" s="130">
        <f t="shared" ref="F48:P48" si="7">SUM(F45:F47)</f>
        <v>0</v>
      </c>
      <c r="G48" s="130">
        <f t="shared" si="7"/>
        <v>0</v>
      </c>
      <c r="H48" s="130">
        <f t="shared" si="7"/>
        <v>0</v>
      </c>
      <c r="I48" s="130">
        <f>SUM(I45:I47)</f>
        <v>0</v>
      </c>
      <c r="J48" s="130">
        <f t="shared" si="7"/>
        <v>0</v>
      </c>
      <c r="K48" s="130">
        <f t="shared" si="7"/>
        <v>0</v>
      </c>
      <c r="L48" s="130">
        <f t="shared" si="7"/>
        <v>0</v>
      </c>
      <c r="M48" s="130">
        <f t="shared" si="7"/>
        <v>0</v>
      </c>
      <c r="N48" s="130">
        <f t="shared" si="7"/>
        <v>0</v>
      </c>
      <c r="O48" s="130">
        <f t="shared" si="7"/>
        <v>0</v>
      </c>
      <c r="P48" s="130">
        <f t="shared" si="7"/>
        <v>0</v>
      </c>
      <c r="Q48" s="262">
        <f t="shared" ref="Q48:Q59" si="8">SUMIF($E$44:$P$44,$Q$44,E48:P48)</f>
        <v>0</v>
      </c>
      <c r="R48" s="171"/>
      <c r="S48" s="226">
        <f>SUM(S45:S47)</f>
        <v>0</v>
      </c>
      <c r="T48" s="138"/>
      <c r="U48" s="65"/>
      <c r="V48" s="88"/>
      <c r="W48" s="147"/>
    </row>
    <row r="49" spans="2:26" s="7" customFormat="1" ht="18" customHeight="1">
      <c r="B49" s="29"/>
      <c r="C49" s="20" t="s">
        <v>457</v>
      </c>
      <c r="D49" s="89" t="s">
        <v>21</v>
      </c>
      <c r="E49" s="90">
        <f>$D$18/12</f>
        <v>0</v>
      </c>
      <c r="F49" s="90">
        <f t="shared" ref="F49:J49" si="9">$D$18/12</f>
        <v>0</v>
      </c>
      <c r="G49" s="90">
        <f t="shared" si="9"/>
        <v>0</v>
      </c>
      <c r="H49" s="90">
        <f t="shared" si="9"/>
        <v>0</v>
      </c>
      <c r="I49" s="90">
        <f t="shared" si="9"/>
        <v>0</v>
      </c>
      <c r="J49" s="90">
        <f t="shared" si="9"/>
        <v>0</v>
      </c>
      <c r="K49" s="90">
        <f>($D$18/12)+($K$18/6)</f>
        <v>0</v>
      </c>
      <c r="L49" s="90">
        <f>($D$18/12)+($K$18/6)+($L$18*8/12)</f>
        <v>0</v>
      </c>
      <c r="M49" s="90">
        <f>($D$18/12)+($K$18/6)+($L$18/12)</f>
        <v>0</v>
      </c>
      <c r="N49" s="90">
        <f t="shared" ref="N49:P49" si="10">($D$18/12)+($K$18/6)+($L$18/12)</f>
        <v>0</v>
      </c>
      <c r="O49" s="90">
        <f t="shared" si="10"/>
        <v>0</v>
      </c>
      <c r="P49" s="90">
        <f t="shared" si="10"/>
        <v>0</v>
      </c>
      <c r="Q49" s="259">
        <f>SUMIF($E$44:$P$44,$Q$44,E49:P49)</f>
        <v>0</v>
      </c>
      <c r="R49" s="92"/>
      <c r="S49" s="225">
        <f>SUM(E49:P49)+R49</f>
        <v>0</v>
      </c>
      <c r="T49" s="93"/>
      <c r="U49" s="88"/>
      <c r="V49" s="88"/>
      <c r="W49" s="151"/>
      <c r="X49" s="152"/>
      <c r="Y49" s="150"/>
      <c r="Z49" s="150"/>
    </row>
    <row r="50" spans="2:26" s="7" customFormat="1" ht="18" customHeight="1">
      <c r="B50" s="29"/>
      <c r="C50" s="20" t="s">
        <v>482</v>
      </c>
      <c r="D50" s="89" t="s">
        <v>24</v>
      </c>
      <c r="E50" s="90">
        <f>$D$19/12</f>
        <v>0</v>
      </c>
      <c r="F50" s="90">
        <f t="shared" ref="F50:J50" si="11">$D$19/12</f>
        <v>0</v>
      </c>
      <c r="G50" s="90">
        <f>$D$19/12+G19</f>
        <v>0</v>
      </c>
      <c r="H50" s="90">
        <f t="shared" si="11"/>
        <v>0</v>
      </c>
      <c r="I50" s="90">
        <f t="shared" si="11"/>
        <v>0</v>
      </c>
      <c r="J50" s="90">
        <f t="shared" si="11"/>
        <v>0</v>
      </c>
      <c r="K50" s="90">
        <f>($D$19/12)+($K$19/6)</f>
        <v>0</v>
      </c>
      <c r="L50" s="90">
        <f>($D$19/12)+($K$19/6)+($L$19*8/12)</f>
        <v>0</v>
      </c>
      <c r="M50" s="90">
        <f>($D$19/12)+($K$19/6)+($L$19/12)</f>
        <v>0</v>
      </c>
      <c r="N50" s="90">
        <f t="shared" ref="N50" si="12">($D$19/12)+($K$19/6)+($L$19/12)</f>
        <v>0</v>
      </c>
      <c r="O50" s="90">
        <f>($D$19/12)+($K$19/6)+($L$19/12)+($O$19/2)</f>
        <v>0</v>
      </c>
      <c r="P50" s="90">
        <f>($D$19/12)+($K$19/6)+($L$19/12)+($O$19/2)</f>
        <v>0</v>
      </c>
      <c r="Q50" s="259">
        <f>SUMIF($E$44:$P$44,$Q$44,E50:P50)</f>
        <v>0</v>
      </c>
      <c r="R50" s="92"/>
      <c r="S50" s="225">
        <f>SUM(E50:P50)+R50</f>
        <v>0</v>
      </c>
      <c r="T50" s="93"/>
      <c r="U50" s="88"/>
      <c r="V50" s="88"/>
      <c r="W50" s="151"/>
      <c r="X50" s="152"/>
      <c r="Y50" s="150"/>
      <c r="Z50" s="150"/>
    </row>
    <row r="51" spans="2:26" s="7" customFormat="1" ht="18" customHeight="1">
      <c r="B51" s="29"/>
      <c r="C51" s="20" t="s">
        <v>459</v>
      </c>
      <c r="D51" s="89" t="s">
        <v>24</v>
      </c>
      <c r="E51" s="90">
        <f>$D$20/12</f>
        <v>0</v>
      </c>
      <c r="F51" s="90">
        <f t="shared" ref="F51:J51" si="13">$D$20/12</f>
        <v>0</v>
      </c>
      <c r="G51" s="90">
        <f t="shared" si="13"/>
        <v>0</v>
      </c>
      <c r="H51" s="90">
        <f t="shared" si="13"/>
        <v>0</v>
      </c>
      <c r="I51" s="90">
        <f t="shared" si="13"/>
        <v>0</v>
      </c>
      <c r="J51" s="90">
        <f t="shared" si="13"/>
        <v>0</v>
      </c>
      <c r="K51" s="90">
        <f>($D$20/12)+($K$20/6)</f>
        <v>0</v>
      </c>
      <c r="L51" s="90">
        <f t="shared" ref="L51:P51" si="14">($D$20/12)+($K$20/6)</f>
        <v>0</v>
      </c>
      <c r="M51" s="90">
        <f t="shared" si="14"/>
        <v>0</v>
      </c>
      <c r="N51" s="90">
        <f t="shared" si="14"/>
        <v>0</v>
      </c>
      <c r="O51" s="90">
        <f t="shared" si="14"/>
        <v>0</v>
      </c>
      <c r="P51" s="90">
        <f t="shared" si="14"/>
        <v>0</v>
      </c>
      <c r="Q51" s="259">
        <f t="shared" ref="Q51:Q54" si="15">SUMIF($E$44:$P$44,$Q$44,E51:P51)</f>
        <v>0</v>
      </c>
      <c r="R51" s="92"/>
      <c r="S51" s="225">
        <f t="shared" ref="S51:S60" si="16">SUM(E51:P51)+R51</f>
        <v>0</v>
      </c>
      <c r="T51" s="93"/>
      <c r="U51" s="88"/>
      <c r="V51" s="88"/>
      <c r="W51" s="151"/>
      <c r="X51" s="152"/>
      <c r="Y51" s="150"/>
      <c r="Z51" s="150"/>
    </row>
    <row r="52" spans="2:26" s="7" customFormat="1" ht="18" customHeight="1">
      <c r="B52" s="29"/>
      <c r="C52" s="20" t="s">
        <v>460</v>
      </c>
      <c r="D52" s="89" t="s">
        <v>21</v>
      </c>
      <c r="E52" s="90">
        <f>$D$21/12</f>
        <v>0</v>
      </c>
      <c r="F52" s="90">
        <f>($D$21/12)+($F$21/11)</f>
        <v>0</v>
      </c>
      <c r="G52" s="90">
        <f t="shared" ref="G52:M52" si="17">($D$21/12)+($F$21/11)</f>
        <v>0</v>
      </c>
      <c r="H52" s="90">
        <f t="shared" si="17"/>
        <v>0</v>
      </c>
      <c r="I52" s="90">
        <f t="shared" si="17"/>
        <v>0</v>
      </c>
      <c r="J52" s="90">
        <f t="shared" si="17"/>
        <v>0</v>
      </c>
      <c r="K52" s="90">
        <f t="shared" si="17"/>
        <v>0</v>
      </c>
      <c r="L52" s="90">
        <f>($D$21/12)+($F$21/11)+L21</f>
        <v>0</v>
      </c>
      <c r="M52" s="90">
        <f t="shared" si="17"/>
        <v>0</v>
      </c>
      <c r="N52" s="90">
        <f>($D$21/12)+($F$21/11)+($N$21/3)</f>
        <v>0</v>
      </c>
      <c r="O52" s="90">
        <f t="shared" ref="O52:P52" si="18">($D$21/12)+($F$21/11)+($N$21/3)</f>
        <v>0</v>
      </c>
      <c r="P52" s="90">
        <f t="shared" si="18"/>
        <v>0</v>
      </c>
      <c r="Q52" s="259">
        <f t="shared" si="15"/>
        <v>0</v>
      </c>
      <c r="R52" s="92"/>
      <c r="S52" s="225">
        <f>SUM(E52:P52)+R52</f>
        <v>0</v>
      </c>
      <c r="T52" s="93"/>
      <c r="U52" s="88"/>
      <c r="V52" s="88"/>
      <c r="W52" s="151"/>
      <c r="X52" s="152"/>
      <c r="Y52" s="150"/>
      <c r="Z52" s="150"/>
    </row>
    <row r="53" spans="2:26" s="7" customFormat="1" ht="18" customHeight="1">
      <c r="B53" s="29"/>
      <c r="C53" s="20" t="s">
        <v>483</v>
      </c>
      <c r="D53" s="247" t="s">
        <v>24</v>
      </c>
      <c r="E53" s="90">
        <f>$D$22/12</f>
        <v>0</v>
      </c>
      <c r="F53" s="90">
        <f>($D$22/12)+($F$22/11)</f>
        <v>0</v>
      </c>
      <c r="G53" s="90">
        <f t="shared" ref="G53:N53" si="19">($D$22/12)+($F$22/11)</f>
        <v>0</v>
      </c>
      <c r="H53" s="90">
        <f t="shared" si="19"/>
        <v>0</v>
      </c>
      <c r="I53" s="90">
        <f t="shared" si="19"/>
        <v>0</v>
      </c>
      <c r="J53" s="90">
        <f t="shared" si="19"/>
        <v>0</v>
      </c>
      <c r="K53" s="90">
        <f t="shared" si="19"/>
        <v>0</v>
      </c>
      <c r="L53" s="90">
        <f t="shared" si="19"/>
        <v>0</v>
      </c>
      <c r="M53" s="90">
        <f t="shared" si="19"/>
        <v>0</v>
      </c>
      <c r="N53" s="90">
        <f t="shared" si="19"/>
        <v>0</v>
      </c>
      <c r="O53" s="90">
        <f>($D$22/12)+($F$22/11)+($O$22/2)</f>
        <v>0</v>
      </c>
      <c r="P53" s="90">
        <f>($D$22/12)+($F$22/11)+($O$22/2)</f>
        <v>0</v>
      </c>
      <c r="Q53" s="259">
        <f t="shared" si="15"/>
        <v>0</v>
      </c>
      <c r="R53" s="92"/>
      <c r="S53" s="225">
        <f>SUM(E53:P53)+R53</f>
        <v>0</v>
      </c>
      <c r="T53" s="93"/>
      <c r="U53" s="88"/>
      <c r="V53" s="88"/>
      <c r="W53" s="151"/>
      <c r="X53" s="152"/>
      <c r="Y53" s="150"/>
      <c r="Z53" s="150"/>
    </row>
    <row r="54" spans="2:26" s="7" customFormat="1" ht="18" customHeight="1">
      <c r="B54" s="29"/>
      <c r="C54" s="20" t="s">
        <v>1210</v>
      </c>
      <c r="D54" s="247" t="s">
        <v>21</v>
      </c>
      <c r="E54" s="90">
        <f t="shared" ref="E54:E60" si="20">E23*80%</f>
        <v>0</v>
      </c>
      <c r="F54" s="90"/>
      <c r="G54" s="90"/>
      <c r="H54" s="90"/>
      <c r="I54" s="90"/>
      <c r="J54" s="90">
        <f t="shared" ref="J54:J60" si="21">(J23*80%)</f>
        <v>0</v>
      </c>
      <c r="K54" s="90"/>
      <c r="L54" s="90"/>
      <c r="M54" s="90"/>
      <c r="N54" s="90">
        <f t="shared" ref="N54:N60" si="22">N23*80%</f>
        <v>0</v>
      </c>
      <c r="O54" s="90"/>
      <c r="P54" s="90"/>
      <c r="Q54" s="259">
        <f t="shared" si="15"/>
        <v>0</v>
      </c>
      <c r="R54" s="92"/>
      <c r="S54" s="225">
        <f>SUM(E54:P54)+R54</f>
        <v>0</v>
      </c>
      <c r="T54" s="93"/>
      <c r="U54" s="88"/>
      <c r="V54" s="88"/>
      <c r="W54" s="151"/>
      <c r="X54" s="152"/>
      <c r="Y54" s="150"/>
      <c r="Z54" s="150"/>
    </row>
    <row r="55" spans="2:26" s="7" customFormat="1" ht="18" customHeight="1">
      <c r="B55" s="29"/>
      <c r="C55" s="48" t="s">
        <v>1211</v>
      </c>
      <c r="D55" s="89" t="s">
        <v>21</v>
      </c>
      <c r="E55" s="90">
        <f t="shared" si="20"/>
        <v>0</v>
      </c>
      <c r="F55" s="90"/>
      <c r="G55" s="90"/>
      <c r="H55" s="90"/>
      <c r="I55" s="90"/>
      <c r="J55" s="90">
        <f t="shared" si="21"/>
        <v>0</v>
      </c>
      <c r="K55" s="90"/>
      <c r="L55" s="90"/>
      <c r="M55" s="90"/>
      <c r="N55" s="90">
        <f t="shared" si="22"/>
        <v>0</v>
      </c>
      <c r="O55" s="90"/>
      <c r="P55" s="90"/>
      <c r="Q55" s="259">
        <f t="shared" si="8"/>
        <v>0</v>
      </c>
      <c r="R55" s="92"/>
      <c r="S55" s="225">
        <f t="shared" si="16"/>
        <v>0</v>
      </c>
      <c r="T55" s="93"/>
      <c r="U55" s="88"/>
      <c r="V55" s="88"/>
      <c r="W55" s="151"/>
      <c r="X55" s="152"/>
      <c r="Y55" s="150"/>
      <c r="Z55" s="150"/>
    </row>
    <row r="56" spans="2:26" s="7" customFormat="1" ht="18" customHeight="1">
      <c r="B56" s="29"/>
      <c r="C56" s="48" t="s">
        <v>1212</v>
      </c>
      <c r="D56" s="89" t="s">
        <v>21</v>
      </c>
      <c r="E56" s="90">
        <f t="shared" si="20"/>
        <v>0</v>
      </c>
      <c r="F56" s="90"/>
      <c r="G56" s="90"/>
      <c r="H56" s="90"/>
      <c r="I56" s="90"/>
      <c r="J56" s="90">
        <f t="shared" si="21"/>
        <v>0</v>
      </c>
      <c r="K56" s="90"/>
      <c r="L56" s="90"/>
      <c r="M56" s="90"/>
      <c r="N56" s="90">
        <f t="shared" si="22"/>
        <v>0</v>
      </c>
      <c r="O56" s="90"/>
      <c r="P56" s="90"/>
      <c r="Q56" s="259">
        <f t="shared" si="8"/>
        <v>0</v>
      </c>
      <c r="R56" s="92"/>
      <c r="S56" s="225">
        <f>SUM(E56:P56)+R56</f>
        <v>0</v>
      </c>
      <c r="T56" s="93"/>
      <c r="U56" s="88"/>
      <c r="V56" s="88"/>
      <c r="W56" s="151"/>
      <c r="X56" s="152"/>
      <c r="Y56" s="150"/>
      <c r="Z56" s="150"/>
    </row>
    <row r="57" spans="2:26" s="7" customFormat="1" ht="18" customHeight="1">
      <c r="B57" s="29"/>
      <c r="C57" s="48" t="s">
        <v>1213</v>
      </c>
      <c r="D57" s="89" t="s">
        <v>21</v>
      </c>
      <c r="E57" s="90">
        <f t="shared" si="20"/>
        <v>0</v>
      </c>
      <c r="F57" s="90"/>
      <c r="G57" s="90"/>
      <c r="H57" s="90"/>
      <c r="I57" s="90"/>
      <c r="J57" s="90">
        <f t="shared" si="21"/>
        <v>0</v>
      </c>
      <c r="K57" s="90"/>
      <c r="L57" s="90"/>
      <c r="M57" s="90"/>
      <c r="N57" s="90">
        <f t="shared" si="22"/>
        <v>0</v>
      </c>
      <c r="O57" s="90"/>
      <c r="P57" s="90"/>
      <c r="Q57" s="259">
        <f t="shared" si="8"/>
        <v>0</v>
      </c>
      <c r="R57" s="92"/>
      <c r="S57" s="225">
        <f t="shared" si="16"/>
        <v>0</v>
      </c>
      <c r="T57" s="93"/>
      <c r="U57" s="88"/>
      <c r="V57" s="88"/>
      <c r="W57" s="151"/>
      <c r="X57" s="152"/>
      <c r="Y57" s="150"/>
      <c r="Z57" s="150"/>
    </row>
    <row r="58" spans="2:26" s="7" customFormat="1" ht="18" customHeight="1">
      <c r="B58" s="29"/>
      <c r="C58" s="48" t="s">
        <v>1214</v>
      </c>
      <c r="D58" s="89" t="s">
        <v>21</v>
      </c>
      <c r="E58" s="90">
        <f t="shared" si="20"/>
        <v>0</v>
      </c>
      <c r="F58" s="90"/>
      <c r="G58" s="90"/>
      <c r="H58" s="90"/>
      <c r="I58" s="90"/>
      <c r="J58" s="90">
        <f t="shared" si="21"/>
        <v>0</v>
      </c>
      <c r="K58" s="90"/>
      <c r="L58" s="90"/>
      <c r="M58" s="90"/>
      <c r="N58" s="90">
        <f t="shared" si="22"/>
        <v>0</v>
      </c>
      <c r="O58" s="90"/>
      <c r="P58" s="90"/>
      <c r="Q58" s="259">
        <f t="shared" si="8"/>
        <v>0</v>
      </c>
      <c r="R58" s="92"/>
      <c r="S58" s="225">
        <f t="shared" si="16"/>
        <v>0</v>
      </c>
      <c r="T58" s="93"/>
      <c r="U58" s="88"/>
      <c r="V58" s="88"/>
      <c r="W58" s="151"/>
      <c r="X58" s="152"/>
      <c r="Y58" s="150"/>
      <c r="Z58" s="150"/>
    </row>
    <row r="59" spans="2:26" s="7" customFormat="1" ht="18" customHeight="1">
      <c r="B59" s="29"/>
      <c r="C59" s="48" t="s">
        <v>1215</v>
      </c>
      <c r="D59" s="89" t="s">
        <v>21</v>
      </c>
      <c r="E59" s="90">
        <f t="shared" si="20"/>
        <v>0</v>
      </c>
      <c r="F59" s="90"/>
      <c r="G59" s="90"/>
      <c r="H59" s="90"/>
      <c r="I59" s="90"/>
      <c r="J59" s="90">
        <f t="shared" si="21"/>
        <v>0</v>
      </c>
      <c r="K59" s="90"/>
      <c r="L59" s="90"/>
      <c r="M59" s="90"/>
      <c r="N59" s="90">
        <f t="shared" si="22"/>
        <v>0</v>
      </c>
      <c r="O59" s="90"/>
      <c r="P59" s="90"/>
      <c r="Q59" s="259">
        <f t="shared" si="8"/>
        <v>0</v>
      </c>
      <c r="R59" s="92"/>
      <c r="S59" s="225">
        <f>SUM(E59:P59)+R59</f>
        <v>0</v>
      </c>
      <c r="T59" s="93"/>
      <c r="U59" s="88"/>
      <c r="V59" s="95"/>
      <c r="W59" s="151"/>
      <c r="X59" s="152"/>
      <c r="Y59" s="150"/>
      <c r="Z59" s="150"/>
    </row>
    <row r="60" spans="2:26" s="7" customFormat="1" ht="18" customHeight="1">
      <c r="B60" s="29"/>
      <c r="C60" s="48" t="s">
        <v>1216</v>
      </c>
      <c r="D60" s="89" t="s">
        <v>24</v>
      </c>
      <c r="E60" s="90">
        <f t="shared" si="20"/>
        <v>0</v>
      </c>
      <c r="F60" s="90"/>
      <c r="G60" s="90"/>
      <c r="H60" s="90"/>
      <c r="I60" s="90"/>
      <c r="J60" s="90">
        <f t="shared" si="21"/>
        <v>0</v>
      </c>
      <c r="K60" s="90"/>
      <c r="L60" s="90"/>
      <c r="M60" s="90"/>
      <c r="N60" s="90">
        <f t="shared" si="22"/>
        <v>0</v>
      </c>
      <c r="O60" s="90"/>
      <c r="P60" s="90"/>
      <c r="Q60" s="259">
        <f t="shared" ref="Q60:Q67" si="23">SUMIF($E$44:$P$44,$Q$44,E60:P60)</f>
        <v>0</v>
      </c>
      <c r="R60" s="92"/>
      <c r="S60" s="225">
        <f t="shared" si="16"/>
        <v>0</v>
      </c>
      <c r="T60" s="93"/>
      <c r="U60" s="88"/>
      <c r="V60" s="95"/>
      <c r="W60" s="151"/>
      <c r="X60" s="152"/>
      <c r="Y60" s="150"/>
      <c r="Z60" s="150"/>
    </row>
    <row r="61" spans="2:26" s="7" customFormat="1" ht="18" customHeight="1">
      <c r="B61" s="29"/>
      <c r="C61" s="48" t="s">
        <v>469</v>
      </c>
      <c r="D61" s="89" t="s">
        <v>21</v>
      </c>
      <c r="E61" s="90">
        <f>D30</f>
        <v>0</v>
      </c>
      <c r="F61" s="90"/>
      <c r="G61" s="90"/>
      <c r="H61" s="90"/>
      <c r="I61" s="90"/>
      <c r="J61" s="90">
        <f>I30</f>
        <v>0</v>
      </c>
      <c r="K61" s="90"/>
      <c r="L61" s="90"/>
      <c r="M61" s="90"/>
      <c r="N61" s="90"/>
      <c r="O61" s="90"/>
      <c r="P61" s="90"/>
      <c r="Q61" s="259">
        <f t="shared" si="23"/>
        <v>0</v>
      </c>
      <c r="R61" s="92"/>
      <c r="S61" s="225">
        <f>SUM(E61:P61)+R61</f>
        <v>0</v>
      </c>
      <c r="T61" s="93"/>
      <c r="U61" s="88"/>
      <c r="V61" s="95"/>
      <c r="W61" s="151"/>
      <c r="X61" s="152"/>
      <c r="Y61" s="150"/>
      <c r="Z61" s="150"/>
    </row>
    <row r="62" spans="2:26" s="7" customFormat="1" ht="18" customHeight="1">
      <c r="B62" s="29"/>
      <c r="C62" s="48" t="s">
        <v>1230</v>
      </c>
      <c r="D62" s="89" t="s">
        <v>21</v>
      </c>
      <c r="E62" s="90"/>
      <c r="F62" s="90"/>
      <c r="G62" s="90"/>
      <c r="H62" s="90"/>
      <c r="I62" s="90"/>
      <c r="J62" s="90">
        <f>((E23+I23)-E54)+((E24+I24)-E55)+((E25+I25)-E56)+((E26+I26)-E57)+((E27+I27)-E58)+((E28+I28)-E59)</f>
        <v>0</v>
      </c>
      <c r="K62" s="90"/>
      <c r="L62" s="90"/>
      <c r="M62" s="90"/>
      <c r="N62" s="90">
        <f>((J23+M23)-J54)+((J24+M24)-J55)+((J25+M25)-J56)+((J26+M26)-J57)+((J27+M27)-J58)+((J28+M28)-J59)</f>
        <v>0</v>
      </c>
      <c r="O62" s="90"/>
      <c r="P62" s="90"/>
      <c r="Q62" s="259">
        <f t="shared" si="23"/>
        <v>0</v>
      </c>
      <c r="R62" s="92"/>
      <c r="S62" s="114">
        <f t="shared" ref="S62:S63" si="24">SUM(E62:P62)+R62</f>
        <v>0</v>
      </c>
      <c r="T62" s="101"/>
      <c r="U62" s="88"/>
      <c r="V62" s="872"/>
      <c r="W62" s="151"/>
      <c r="X62" s="152"/>
      <c r="Y62" s="150"/>
      <c r="Z62" s="150"/>
    </row>
    <row r="63" spans="2:26" s="7" customFormat="1" ht="18" customHeight="1">
      <c r="B63" s="29"/>
      <c r="C63" s="48" t="s">
        <v>1230</v>
      </c>
      <c r="D63" s="89" t="s">
        <v>24</v>
      </c>
      <c r="E63" s="90"/>
      <c r="F63" s="90"/>
      <c r="G63" s="90"/>
      <c r="H63" s="90"/>
      <c r="I63" s="90"/>
      <c r="J63" s="90">
        <f>((E29+I29)-E60)</f>
        <v>0</v>
      </c>
      <c r="K63" s="90"/>
      <c r="L63" s="90"/>
      <c r="M63" s="90"/>
      <c r="N63" s="90">
        <f>((J29+M29)-J60)</f>
        <v>0</v>
      </c>
      <c r="O63" s="90"/>
      <c r="P63" s="90"/>
      <c r="Q63" s="259">
        <f t="shared" si="23"/>
        <v>0</v>
      </c>
      <c r="R63" s="92"/>
      <c r="S63" s="114">
        <f t="shared" si="24"/>
        <v>0</v>
      </c>
      <c r="T63" s="101"/>
      <c r="U63" s="88"/>
      <c r="V63" s="95"/>
      <c r="W63" s="151"/>
      <c r="X63" s="152"/>
      <c r="Y63" s="150"/>
      <c r="Z63" s="150"/>
    </row>
    <row r="64" spans="2:26" ht="18" customHeight="1">
      <c r="B64" s="16"/>
      <c r="C64" s="69" t="s">
        <v>484</v>
      </c>
      <c r="D64" s="75">
        <f>SUM(D49:D63)</f>
        <v>0</v>
      </c>
      <c r="E64" s="112">
        <f t="shared" ref="E64:P64" si="25">SUM(E48:E63)</f>
        <v>0</v>
      </c>
      <c r="F64" s="112">
        <f t="shared" si="25"/>
        <v>0</v>
      </c>
      <c r="G64" s="112">
        <f t="shared" si="25"/>
        <v>0</v>
      </c>
      <c r="H64" s="112">
        <f t="shared" si="25"/>
        <v>0</v>
      </c>
      <c r="I64" s="112">
        <f t="shared" si="25"/>
        <v>0</v>
      </c>
      <c r="J64" s="112">
        <f t="shared" si="25"/>
        <v>0</v>
      </c>
      <c r="K64" s="112">
        <f t="shared" si="25"/>
        <v>0</v>
      </c>
      <c r="L64" s="112">
        <f t="shared" si="25"/>
        <v>0</v>
      </c>
      <c r="M64" s="112">
        <f t="shared" si="25"/>
        <v>0</v>
      </c>
      <c r="N64" s="112">
        <f t="shared" si="25"/>
        <v>0</v>
      </c>
      <c r="O64" s="112">
        <f t="shared" si="25"/>
        <v>0</v>
      </c>
      <c r="P64" s="112">
        <f t="shared" si="25"/>
        <v>0</v>
      </c>
      <c r="Q64" s="262">
        <f t="shared" si="23"/>
        <v>0</v>
      </c>
      <c r="R64" s="130">
        <f>SUM(R48:R61)</f>
        <v>0</v>
      </c>
      <c r="S64" s="131">
        <f>SUM(E64:P64)+R64</f>
        <v>0</v>
      </c>
      <c r="T64" s="138"/>
      <c r="U64" s="65"/>
      <c r="V64" s="65"/>
    </row>
    <row r="65" spans="1:27" ht="18" customHeight="1">
      <c r="B65" s="16"/>
      <c r="C65" s="20" t="s">
        <v>485</v>
      </c>
      <c r="D65" s="89" t="s">
        <v>25</v>
      </c>
      <c r="E65" s="90">
        <f>$D$32*1/4</f>
        <v>0</v>
      </c>
      <c r="F65" s="90">
        <f t="shared" ref="F65:H65" si="26">$D$32*1/4</f>
        <v>0</v>
      </c>
      <c r="G65" s="90">
        <f t="shared" si="26"/>
        <v>0</v>
      </c>
      <c r="H65" s="90">
        <f t="shared" si="26"/>
        <v>0</v>
      </c>
      <c r="I65" s="90">
        <f>($D$33*1/8)+I32</f>
        <v>0</v>
      </c>
      <c r="J65" s="90">
        <f t="shared" ref="J65:P65" si="27">$D$33*1/8</f>
        <v>0</v>
      </c>
      <c r="K65" s="90">
        <f t="shared" si="27"/>
        <v>0</v>
      </c>
      <c r="L65" s="90">
        <f t="shared" si="27"/>
        <v>0</v>
      </c>
      <c r="M65" s="90">
        <f>($D$33*1/8)+M33</f>
        <v>0</v>
      </c>
      <c r="N65" s="90">
        <f t="shared" si="27"/>
        <v>0</v>
      </c>
      <c r="O65" s="90">
        <f t="shared" si="27"/>
        <v>0</v>
      </c>
      <c r="P65" s="90">
        <f t="shared" si="27"/>
        <v>0</v>
      </c>
      <c r="Q65" s="259">
        <f t="shared" si="23"/>
        <v>0</v>
      </c>
      <c r="R65" s="391"/>
      <c r="S65" s="225">
        <f t="shared" ref="S65:S67" si="28">SUM(E65:P65)+R65</f>
        <v>0</v>
      </c>
      <c r="T65" s="93"/>
      <c r="U65" s="65"/>
      <c r="V65" s="65"/>
    </row>
    <row r="66" spans="1:27" ht="18" customHeight="1">
      <c r="B66" s="16"/>
      <c r="C66" s="20" t="s">
        <v>1182</v>
      </c>
      <c r="D66" s="89" t="s">
        <v>21</v>
      </c>
      <c r="E66" s="90"/>
      <c r="F66" s="90"/>
      <c r="G66" s="90"/>
      <c r="H66" s="90"/>
      <c r="I66" s="90"/>
      <c r="J66" s="90"/>
      <c r="K66" s="90">
        <f>K34</f>
        <v>0</v>
      </c>
      <c r="L66" s="90"/>
      <c r="M66" s="90"/>
      <c r="N66" s="90"/>
      <c r="O66" s="90"/>
      <c r="P66" s="90"/>
      <c r="Q66" s="259">
        <f t="shared" si="23"/>
        <v>0</v>
      </c>
      <c r="R66" s="391"/>
      <c r="S66" s="225">
        <f t="shared" si="28"/>
        <v>0</v>
      </c>
      <c r="T66" s="93"/>
      <c r="U66" s="65"/>
      <c r="V66" s="65"/>
    </row>
    <row r="67" spans="1:27" s="7" customFormat="1" ht="18" customHeight="1">
      <c r="B67" s="29"/>
      <c r="C67" s="20" t="s">
        <v>473</v>
      </c>
      <c r="D67" s="247" t="s">
        <v>26</v>
      </c>
      <c r="E67" s="90"/>
      <c r="F67" s="90">
        <f>F35</f>
        <v>0</v>
      </c>
      <c r="G67" s="90"/>
      <c r="H67" s="90">
        <f>H35</f>
        <v>0</v>
      </c>
      <c r="I67" s="90"/>
      <c r="J67" s="90">
        <f>J35</f>
        <v>0</v>
      </c>
      <c r="K67" s="90">
        <f>K35</f>
        <v>0</v>
      </c>
      <c r="L67" s="90"/>
      <c r="M67" s="90"/>
      <c r="N67" s="90">
        <f>N35</f>
        <v>0</v>
      </c>
      <c r="O67" s="90"/>
      <c r="P67" s="90"/>
      <c r="Q67" s="259">
        <f t="shared" si="23"/>
        <v>0</v>
      </c>
      <c r="R67" s="92"/>
      <c r="S67" s="225">
        <f t="shared" si="28"/>
        <v>0</v>
      </c>
      <c r="T67" s="93"/>
      <c r="U67" s="88"/>
      <c r="V67" s="393"/>
      <c r="W67" s="151"/>
      <c r="X67" s="152"/>
      <c r="Y67" s="150"/>
      <c r="Z67" s="150"/>
    </row>
    <row r="68" spans="1:27" s="7" customFormat="1" ht="18" customHeight="1">
      <c r="A68" s="7" t="s">
        <v>486</v>
      </c>
      <c r="B68" s="29" t="s">
        <v>486</v>
      </c>
      <c r="C68" s="69" t="s">
        <v>487</v>
      </c>
      <c r="D68" s="96"/>
      <c r="E68" s="97">
        <f>(SUM(E64:E67))</f>
        <v>0</v>
      </c>
      <c r="F68" s="97">
        <f t="shared" ref="F68:Q68" si="29">SUM(F64:F67)</f>
        <v>0</v>
      </c>
      <c r="G68" s="97">
        <f t="shared" si="29"/>
        <v>0</v>
      </c>
      <c r="H68" s="97">
        <f t="shared" si="29"/>
        <v>0</v>
      </c>
      <c r="I68" s="97">
        <f t="shared" si="29"/>
        <v>0</v>
      </c>
      <c r="J68" s="97">
        <f t="shared" si="29"/>
        <v>0</v>
      </c>
      <c r="K68" s="97">
        <f t="shared" si="29"/>
        <v>0</v>
      </c>
      <c r="L68" s="97">
        <f t="shared" si="29"/>
        <v>0</v>
      </c>
      <c r="M68" s="97">
        <f t="shared" si="29"/>
        <v>0</v>
      </c>
      <c r="N68" s="97">
        <f t="shared" si="29"/>
        <v>0</v>
      </c>
      <c r="O68" s="97">
        <f t="shared" si="29"/>
        <v>0</v>
      </c>
      <c r="P68" s="97">
        <f t="shared" si="29"/>
        <v>0</v>
      </c>
      <c r="Q68" s="258">
        <f t="shared" si="29"/>
        <v>0</v>
      </c>
      <c r="R68" s="97"/>
      <c r="S68" s="114">
        <f>SUM(E68:P68)+R68</f>
        <v>0</v>
      </c>
      <c r="T68" s="93"/>
      <c r="U68" s="88"/>
      <c r="V68" s="95"/>
      <c r="W68" s="152"/>
      <c r="X68" s="153"/>
      <c r="Y68" s="150"/>
      <c r="Z68" s="150"/>
    </row>
    <row r="69" spans="1:27" s="7" customFormat="1" ht="18" customHeight="1">
      <c r="B69" s="29"/>
      <c r="C69" s="823" t="s">
        <v>488</v>
      </c>
      <c r="D69" s="96"/>
      <c r="E69" s="117">
        <f>_xlfn.IFNA(VLOOKUP($D$4,'Cash Advances'!$A:$S,8,FALSE),0)</f>
        <v>0</v>
      </c>
      <c r="F69" s="117">
        <f>_xlfn.IFNA(VLOOKUP($D$4,'Cash Advances'!$A:$S,9,FALSE),0)</f>
        <v>0</v>
      </c>
      <c r="G69" s="117">
        <f>_xlfn.IFNA(VLOOKUP($D$4,'Cash Advances'!$A:$S,10,FALSE),0)</f>
        <v>0</v>
      </c>
      <c r="H69" s="117">
        <f>_xlfn.IFNA(VLOOKUP($D$4,'Cash Advances'!$A:$S,11,FALSE),0)</f>
        <v>0</v>
      </c>
      <c r="I69" s="117">
        <f>_xlfn.IFNA(VLOOKUP($D$4,'Cash Advances'!$A:$S,12,FALSE),0)</f>
        <v>0</v>
      </c>
      <c r="J69" s="117">
        <f>_xlfn.IFNA(VLOOKUP($D$4,'Cash Advances'!$A:$S,13,FALSE),0)</f>
        <v>0</v>
      </c>
      <c r="K69" s="117">
        <f>_xlfn.IFNA(VLOOKUP($D$4,'Cash Advances'!$A:$S,14,FALSE),0)</f>
        <v>0</v>
      </c>
      <c r="L69" s="117">
        <f>_xlfn.IFNA(VLOOKUP($D$4,'Cash Advances'!$A:$S,15,FALSE),0)</f>
        <v>0</v>
      </c>
      <c r="M69" s="117">
        <f>_xlfn.IFNA(VLOOKUP($D$4,'Cash Advances'!$A:$S,16,FALSE),0)</f>
        <v>0</v>
      </c>
      <c r="N69" s="117">
        <f>_xlfn.IFNA(VLOOKUP($D$4,'Cash Advances'!$A:$S,17,FALSE),0)</f>
        <v>0</v>
      </c>
      <c r="O69" s="117">
        <f>_xlfn.IFNA(VLOOKUP($D$4,'Cash Advances'!$A:$S,18,FALSE),0)</f>
        <v>0</v>
      </c>
      <c r="P69" s="117">
        <f>_xlfn.IFNA(VLOOKUP($D$4,'Cash Advances'!$A:$S,19,FALSE),0)</f>
        <v>0</v>
      </c>
      <c r="Q69" s="259">
        <f>SUMIF($E$44:$P$44,$Q$44,E69:P69)</f>
        <v>0</v>
      </c>
      <c r="R69" s="98"/>
      <c r="S69" s="114">
        <f>SUM(E69:P69)+R69</f>
        <v>0</v>
      </c>
      <c r="T69" s="101"/>
      <c r="U69" s="88"/>
      <c r="V69" s="95"/>
      <c r="W69" s="152"/>
      <c r="X69" s="153"/>
      <c r="Y69" s="150"/>
      <c r="Z69" s="150"/>
    </row>
    <row r="70" spans="1:27" s="7" customFormat="1" ht="18" customHeight="1">
      <c r="B70" s="29"/>
      <c r="C70" s="823" t="s">
        <v>489</v>
      </c>
      <c r="D70" s="96"/>
      <c r="E70" s="117"/>
      <c r="F70" s="117"/>
      <c r="G70" s="117"/>
      <c r="H70" s="117"/>
      <c r="I70" s="117"/>
      <c r="J70" s="117">
        <f>_xlfn.IFNA(VLOOKUP($D$4,'Summary Mar 2026'!$A:$GE,96,0),0)</f>
        <v>0</v>
      </c>
      <c r="K70" s="117">
        <f>_xlfn.IFNA(VLOOKUP($D$4,'Summary Mar 2026'!$A:$GE,111,0),0)</f>
        <v>0</v>
      </c>
      <c r="L70" s="117">
        <f>_xlfn.IFNA(VLOOKUP($D$4,'Summary Mar 2026'!$A:$GE,126,0),0)</f>
        <v>0</v>
      </c>
      <c r="M70" s="117">
        <f>_xlfn.IFNA(VLOOKUP($D$4,'Summary Mar 2026'!$A:$GE,141,0),0)</f>
        <v>0</v>
      </c>
      <c r="N70" s="117">
        <f>_xlfn.IFNA(VLOOKUP($D$4,'Summary Mar 2026'!$A:$GE,156,0),0)</f>
        <v>0</v>
      </c>
      <c r="O70" s="117">
        <f>_xlfn.IFNA(VLOOKUP($D$4,'Summary Mar 2026'!$A:$GE,171,0),0)</f>
        <v>0</v>
      </c>
      <c r="P70" s="117">
        <f>_xlfn.IFNA(VLOOKUP($D$4,'Summary Mar 2026'!$A:$GE,186,0),0)</f>
        <v>0</v>
      </c>
      <c r="Q70" s="259">
        <f>SUMIF($E$44:$P$44,$Q$44,E70:P70)</f>
        <v>0</v>
      </c>
      <c r="R70" s="98"/>
      <c r="S70" s="114">
        <f>SUM(E70:P70)+R70</f>
        <v>0</v>
      </c>
      <c r="T70" s="101"/>
      <c r="U70" s="88"/>
      <c r="V70" s="95"/>
      <c r="W70" s="152"/>
      <c r="X70" s="153"/>
      <c r="Y70" s="150"/>
      <c r="Z70" s="150"/>
    </row>
    <row r="71" spans="1:27" s="7" customFormat="1" ht="18" customHeight="1">
      <c r="B71" s="29"/>
      <c r="C71" s="69"/>
      <c r="D71" s="96"/>
      <c r="E71" s="97">
        <f t="shared" ref="E71:H71" si="30">SUM(E68:E70)</f>
        <v>0</v>
      </c>
      <c r="F71" s="97">
        <f t="shared" si="30"/>
        <v>0</v>
      </c>
      <c r="G71" s="97">
        <f t="shared" si="30"/>
        <v>0</v>
      </c>
      <c r="H71" s="97">
        <f t="shared" si="30"/>
        <v>0</v>
      </c>
      <c r="I71" s="97">
        <f>SUM(I68:I70)</f>
        <v>0</v>
      </c>
      <c r="J71" s="97">
        <f>SUM(J68:J70)</f>
        <v>0</v>
      </c>
      <c r="K71" s="97">
        <f t="shared" ref="K71:P71" si="31">SUM(K68:K70)</f>
        <v>0</v>
      </c>
      <c r="L71" s="97">
        <f t="shared" si="31"/>
        <v>0</v>
      </c>
      <c r="M71" s="97">
        <f t="shared" si="31"/>
        <v>0</v>
      </c>
      <c r="N71" s="97">
        <f t="shared" si="31"/>
        <v>0</v>
      </c>
      <c r="O71" s="97">
        <f t="shared" si="31"/>
        <v>0</v>
      </c>
      <c r="P71" s="97">
        <f t="shared" si="31"/>
        <v>0</v>
      </c>
      <c r="Q71" s="259"/>
      <c r="R71" s="98"/>
      <c r="S71" s="114"/>
      <c r="T71" s="101"/>
      <c r="U71" s="88"/>
      <c r="V71" s="95"/>
      <c r="W71" s="152"/>
      <c r="X71" s="153"/>
      <c r="Y71" s="150"/>
      <c r="Z71" s="150"/>
    </row>
    <row r="72" spans="1:27" s="7" customFormat="1" ht="18" customHeight="1" thickBot="1">
      <c r="B72" s="29"/>
      <c r="C72" s="20"/>
      <c r="D72" s="89"/>
      <c r="E72" s="90"/>
      <c r="F72" s="90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263"/>
      <c r="R72" s="92"/>
      <c r="S72" s="114"/>
      <c r="T72" s="101"/>
      <c r="U72" s="88"/>
      <c r="V72" s="95"/>
      <c r="W72" s="154"/>
      <c r="X72" s="155"/>
      <c r="Y72" s="150"/>
    </row>
    <row r="73" spans="1:27" s="7" customFormat="1" ht="18" customHeight="1" thickBot="1">
      <c r="B73" s="29"/>
      <c r="C73" s="70" t="s">
        <v>490</v>
      </c>
      <c r="D73" s="103"/>
      <c r="E73" s="104">
        <f>_xlfn.IFNA(VLOOKUP($D$4,'Summary Mar 2026'!$A:$GE,26,0),0)</f>
        <v>0</v>
      </c>
      <c r="F73" s="104">
        <f>_xlfn.IFNA(VLOOKUP($D$4,'Summary Mar 2026'!$A:$GE,40,0),0)</f>
        <v>0</v>
      </c>
      <c r="G73" s="104">
        <f>_xlfn.IFNA(VLOOKUP($D$4,'Summary Mar 2026'!$A:$GE,54,0),0)</f>
        <v>0</v>
      </c>
      <c r="H73" s="104">
        <f>_xlfn.IFNA(VLOOKUP($D$4,'Summary Mar 2026'!$A:$GE,68,0),0)</f>
        <v>0</v>
      </c>
      <c r="I73" s="104">
        <f>_xlfn.IFNA(VLOOKUP($D$4,'Summary Mar 2026'!$A:$GE,82,0),0)</f>
        <v>0</v>
      </c>
      <c r="J73" s="104">
        <f>_xlfn.IFNA(VLOOKUP($D$4,'Summary Mar 2026'!$A:$GE,97,0),0)</f>
        <v>0</v>
      </c>
      <c r="K73" s="104">
        <f>_xlfn.IFNA(VLOOKUP($D$4,'Summary Mar 2026'!$A:$GE,112,0),0)</f>
        <v>0</v>
      </c>
      <c r="L73" s="104">
        <f>_xlfn.IFNA(VLOOKUP($D$4,'Summary Mar 2026'!$A:$GE,127,0),0)</f>
        <v>0</v>
      </c>
      <c r="M73" s="104">
        <f>_xlfn.IFNA(VLOOKUP($D$4,'Summary Mar 2026'!$A:$GE,142,0),0)</f>
        <v>0</v>
      </c>
      <c r="N73" s="104">
        <f>_xlfn.IFNA(VLOOKUP($D$4,'Summary Mar 2026'!$A:$GE,157,0),0)</f>
        <v>0</v>
      </c>
      <c r="O73" s="104">
        <f>_xlfn.IFNA(VLOOKUP($D$4,'Summary Mar 2026'!$A:$GE,172,0),0)</f>
        <v>0</v>
      </c>
      <c r="P73" s="104">
        <f>_xlfn.IFNA(VLOOKUP($D$4,'Summary Mar 2026'!$A:$GE,187,0),0)</f>
        <v>0</v>
      </c>
      <c r="Q73" s="104">
        <f>SUM(Q68:Q72)</f>
        <v>0</v>
      </c>
      <c r="R73" s="104">
        <f>SUM(R68:R72)</f>
        <v>0</v>
      </c>
      <c r="S73" s="105">
        <f>SUM(E73:P73)+R73</f>
        <v>0</v>
      </c>
      <c r="T73" s="101"/>
      <c r="U73" s="88"/>
      <c r="V73" s="95"/>
      <c r="W73" s="155"/>
      <c r="X73" s="156"/>
      <c r="Y73" s="156"/>
      <c r="AA73" s="157"/>
    </row>
    <row r="74" spans="1:27" s="7" customFormat="1" ht="18" customHeight="1">
      <c r="B74" s="29"/>
      <c r="C74" s="63"/>
      <c r="D74" s="106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8"/>
      <c r="R74" s="108"/>
      <c r="S74" s="269"/>
      <c r="T74" s="101"/>
      <c r="U74" s="88"/>
      <c r="V74" s="95"/>
      <c r="X74" s="156"/>
    </row>
    <row r="75" spans="1:27" s="7" customFormat="1" ht="18" customHeight="1">
      <c r="B75" s="29"/>
      <c r="C75" s="268" t="s">
        <v>491</v>
      </c>
      <c r="D75" s="96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8"/>
      <c r="R75" s="98"/>
      <c r="S75" s="97"/>
      <c r="T75" s="101"/>
      <c r="U75" s="88"/>
      <c r="V75" s="95"/>
      <c r="X75" s="156"/>
    </row>
    <row r="76" spans="1:27" s="7" customFormat="1" ht="18" hidden="1" customHeight="1">
      <c r="B76" s="29"/>
      <c r="C76" s="63"/>
      <c r="D76" s="106" t="s">
        <v>492</v>
      </c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259">
        <f>SUMIF($E$44:$P$44,$Q$44,E76:P76)</f>
        <v>0</v>
      </c>
      <c r="R76" s="108"/>
      <c r="S76" s="114">
        <f>SUM(E76:P76)+R76</f>
        <v>0</v>
      </c>
      <c r="T76" s="101"/>
      <c r="U76" s="88"/>
      <c r="V76" s="95"/>
      <c r="X76" s="156"/>
    </row>
    <row r="77" spans="1:27" s="7" customFormat="1" ht="18" customHeight="1">
      <c r="B77" s="29"/>
      <c r="C77" s="222" t="s">
        <v>493</v>
      </c>
      <c r="D77" s="106" t="s">
        <v>492</v>
      </c>
      <c r="E77" s="94"/>
      <c r="F77" s="94"/>
      <c r="G77" s="94"/>
      <c r="H77" s="94"/>
      <c r="I77" s="94"/>
      <c r="J77" s="94"/>
      <c r="K77" s="94">
        <f>_xlfn.IFNA(VLOOKUP($D$4,Barclays!$A:$M,8,FALSE),0)</f>
        <v>0</v>
      </c>
      <c r="L77" s="94"/>
      <c r="M77" s="94"/>
      <c r="N77" s="94">
        <f>_xlfn.IFNA(VLOOKUP($D$4,Barclays!$A:$M,12,FALSE),0)+_xlfn.IFNA(VLOOKUP($D$4,Barclays!$A:$M,10,FALSE),0)</f>
        <v>0</v>
      </c>
      <c r="O77" s="94">
        <f>_xlfn.IFNA(VLOOKUP($D$4,Barclays!$A:$Z,14,FALSE),0)</f>
        <v>0</v>
      </c>
      <c r="P77" s="94"/>
      <c r="Q77" s="259">
        <f t="shared" ref="Q77:Q78" si="32">SUMIF($E$44:$P$44,$Q$44,E77:P77)</f>
        <v>0</v>
      </c>
      <c r="R77" s="108"/>
      <c r="S77" s="114">
        <f t="shared" ref="S77:S78" si="33">SUM(E77:P77)+R77</f>
        <v>0</v>
      </c>
      <c r="T77" s="101"/>
      <c r="U77" s="88"/>
      <c r="V77" s="95"/>
      <c r="X77" s="156"/>
    </row>
    <row r="78" spans="1:27" s="7" customFormat="1" ht="18" customHeight="1">
      <c r="B78" s="29"/>
      <c r="C78" s="222" t="s">
        <v>494</v>
      </c>
      <c r="D78" s="106" t="s">
        <v>495</v>
      </c>
      <c r="E78" s="94"/>
      <c r="F78" s="94"/>
      <c r="G78" s="94"/>
      <c r="H78" s="94"/>
      <c r="I78" s="94"/>
      <c r="J78" s="94"/>
      <c r="K78" s="94">
        <f>_xlfn.IFNA(VLOOKUP($D$4,Barclays!$A:$M,9,FALSE),0)</f>
        <v>0</v>
      </c>
      <c r="L78" s="94"/>
      <c r="M78" s="94"/>
      <c r="N78" s="94">
        <f>_xlfn.IFNA(VLOOKUP($D$4,Barclays!$A:$M,13,FALSE),0)+_xlfn.IFNA(VLOOKUP($D$4,Barclays!$A:$M,11,FALSE),0)</f>
        <v>0</v>
      </c>
      <c r="O78" s="94">
        <f>_xlfn.IFNA(VLOOKUP($D$4,Barclays!$A:$Z,15,FALSE),0)</f>
        <v>0</v>
      </c>
      <c r="P78" s="94"/>
      <c r="Q78" s="259">
        <f t="shared" si="32"/>
        <v>0</v>
      </c>
      <c r="R78" s="108"/>
      <c r="S78" s="114">
        <f t="shared" si="33"/>
        <v>0</v>
      </c>
      <c r="T78" s="101"/>
      <c r="U78" s="88"/>
      <c r="V78" s="95"/>
      <c r="X78" s="156"/>
    </row>
    <row r="79" spans="1:27" s="7" customFormat="1" ht="18" customHeight="1">
      <c r="B79" s="29"/>
      <c r="C79" s="373" t="s">
        <v>496</v>
      </c>
      <c r="D79" s="373"/>
      <c r="E79" s="258">
        <f>SUM(E76:E78)</f>
        <v>0</v>
      </c>
      <c r="F79" s="258">
        <f t="shared" ref="F79:P79" si="34">SUM(F76:F78)</f>
        <v>0</v>
      </c>
      <c r="G79" s="258">
        <f t="shared" si="34"/>
        <v>0</v>
      </c>
      <c r="H79" s="258">
        <f t="shared" si="34"/>
        <v>0</v>
      </c>
      <c r="I79" s="258">
        <f t="shared" si="34"/>
        <v>0</v>
      </c>
      <c r="J79" s="258">
        <f t="shared" si="34"/>
        <v>0</v>
      </c>
      <c r="K79" s="258">
        <f t="shared" si="34"/>
        <v>0</v>
      </c>
      <c r="L79" s="258">
        <f t="shared" si="34"/>
        <v>0</v>
      </c>
      <c r="M79" s="258">
        <f t="shared" si="34"/>
        <v>0</v>
      </c>
      <c r="N79" s="258">
        <f t="shared" si="34"/>
        <v>0</v>
      </c>
      <c r="O79" s="258">
        <f t="shared" si="34"/>
        <v>0</v>
      </c>
      <c r="P79" s="258">
        <f t="shared" si="34"/>
        <v>0</v>
      </c>
      <c r="Q79" s="259">
        <f>SUM(Q76:Q78)</f>
        <v>0</v>
      </c>
      <c r="R79" s="109"/>
      <c r="S79" s="114">
        <f>SUM(S76:S78)</f>
        <v>0</v>
      </c>
      <c r="T79" s="101"/>
      <c r="U79" s="88"/>
      <c r="V79" s="95"/>
      <c r="X79" s="156"/>
    </row>
    <row r="80" spans="1:27" s="7" customFormat="1" ht="18" customHeight="1">
      <c r="B80" s="29"/>
      <c r="C80" s="268" t="s">
        <v>497</v>
      </c>
      <c r="D80" s="96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8"/>
      <c r="R80" s="98"/>
      <c r="S80" s="97"/>
      <c r="T80" s="101"/>
      <c r="U80" s="88"/>
      <c r="V80" s="95"/>
      <c r="X80" s="156"/>
    </row>
    <row r="81" spans="2:26" s="7" customFormat="1" ht="18" customHeight="1">
      <c r="B81" s="29"/>
      <c r="C81" s="222" t="s">
        <v>498</v>
      </c>
      <c r="D81" s="99" t="s">
        <v>24</v>
      </c>
      <c r="E81" s="100"/>
      <c r="F81" s="100"/>
      <c r="G81" s="100"/>
      <c r="H81" s="94">
        <f>_xlfn.IFNA(VLOOKUP($D$4,OtherDSG!$A:$U,13,FALSE),0)</f>
        <v>0</v>
      </c>
      <c r="I81" s="94"/>
      <c r="J81" s="94">
        <f>_xlfn.IFNA(VLOOKUP($D$4,OtherDSG!$A:$U,14,FALSE),0)</f>
        <v>0</v>
      </c>
      <c r="K81" s="100"/>
      <c r="L81" s="94">
        <f>_xlfn.IFNA(VLOOKUP($D$4,OtherDSG!$A:$U,15,FALSE),0)</f>
        <v>0</v>
      </c>
      <c r="M81" s="100"/>
      <c r="N81" s="100"/>
      <c r="O81" s="94">
        <f>_xlfn.IFNA(VLOOKUP($D$4,OtherDSG!$A:$U,16,FALSE),0)</f>
        <v>0</v>
      </c>
      <c r="P81" s="100"/>
      <c r="Q81" s="259">
        <f>SUMIF($E$44:$P$44,$Q$44,E81:P81)</f>
        <v>0</v>
      </c>
      <c r="R81" s="109"/>
      <c r="S81" s="114">
        <f>SUM(E81:P81)+R81</f>
        <v>0</v>
      </c>
      <c r="T81" s="101"/>
      <c r="U81" s="88"/>
      <c r="V81" s="95"/>
      <c r="X81" s="156"/>
    </row>
    <row r="82" spans="2:26" s="7" customFormat="1" ht="18" customHeight="1">
      <c r="B82" s="29"/>
      <c r="C82" s="222" t="s">
        <v>499</v>
      </c>
      <c r="D82" s="99" t="s">
        <v>24</v>
      </c>
      <c r="E82" s="94"/>
      <c r="F82" s="94">
        <f>_xlfn.IFNA(VLOOKUP($D$4,OtherDSG!$A:$U,8,FALSE),0)</f>
        <v>0</v>
      </c>
      <c r="G82" s="94">
        <f>_xlfn.IFNA(VLOOKUP($D$4,OtherDSG!$A:$U,9,FALSE),0)</f>
        <v>0</v>
      </c>
      <c r="H82" s="94"/>
      <c r="I82" s="94">
        <f>_xlfn.IFNA(VLOOKUP($D$4,OtherDSG!$A:$U,10,FALSE),0)</f>
        <v>0</v>
      </c>
      <c r="J82" s="100"/>
      <c r="K82" s="94"/>
      <c r="L82" s="94">
        <f>_xlfn.IFNA(VLOOKUP($D$4,OtherDSG!$A:$U,11,FALSE),0)</f>
        <v>0</v>
      </c>
      <c r="M82" s="100"/>
      <c r="N82" s="94">
        <f>_xlfn.IFNA(VLOOKUP($D$4,OtherDSG!$A:$U,12,FALSE),0)</f>
        <v>0</v>
      </c>
      <c r="O82" s="94">
        <f>_xlfn.IFNA(VLOOKUP($D$4,OtherDSG!$A:$AZ,39,FALSE),0)</f>
        <v>0</v>
      </c>
      <c r="P82" s="100"/>
      <c r="Q82" s="259">
        <f t="shared" ref="Q82:Q117" si="35">SUMIF($E$44:$P$44,$Q$44,E82:P82)</f>
        <v>0</v>
      </c>
      <c r="R82" s="109"/>
      <c r="S82" s="114">
        <f t="shared" ref="S82:S84" si="36">SUM(E82:P82)+R82</f>
        <v>0</v>
      </c>
      <c r="T82" s="101"/>
      <c r="U82" s="88"/>
      <c r="V82" s="95"/>
      <c r="X82" s="156"/>
    </row>
    <row r="83" spans="2:26" s="7" customFormat="1" ht="18" customHeight="1">
      <c r="B83" s="29"/>
      <c r="C83" s="222" t="s">
        <v>500</v>
      </c>
      <c r="D83" s="99" t="s">
        <v>21</v>
      </c>
      <c r="E83" s="100"/>
      <c r="F83" s="94">
        <f>_xlfn.IFNA(VLOOKUP($D$4,OtherDSG!$A:$U,19,FALSE)+((VLOOKUP($D$4,OtherDSG!$A:$U,20,FALSE)*2/5)),0)</f>
        <v>0</v>
      </c>
      <c r="G83" s="94">
        <f>_xlfn.IFNA((VLOOKUP($D$4,OtherDSG!$A:$U,20,FALSE)*1/5),0)</f>
        <v>0</v>
      </c>
      <c r="H83" s="94">
        <f>_xlfn.IFNA((VLOOKUP($D$4,OtherDSG!$A:$U,20,FALSE)*1/5),0)</f>
        <v>0</v>
      </c>
      <c r="I83" s="94">
        <f>_xlfn.IFNA((VLOOKUP($D$4,OtherDSG!$A:$U,20,FALSE)*1/5),0)</f>
        <v>0</v>
      </c>
      <c r="J83" s="100"/>
      <c r="K83" s="94"/>
      <c r="L83" s="94"/>
      <c r="M83" s="94"/>
      <c r="N83" s="94"/>
      <c r="O83" s="94"/>
      <c r="P83" s="94"/>
      <c r="Q83" s="259">
        <f>SUMIF($E$44:$P$44,$Q$44,E83:P83)</f>
        <v>0</v>
      </c>
      <c r="R83" s="109"/>
      <c r="S83" s="114">
        <f t="shared" si="36"/>
        <v>0</v>
      </c>
      <c r="T83" s="101"/>
      <c r="U83" s="88"/>
      <c r="V83" s="95"/>
      <c r="X83" s="156"/>
    </row>
    <row r="84" spans="2:26" s="7" customFormat="1" ht="18" customHeight="1">
      <c r="B84" s="29"/>
      <c r="C84" s="222" t="s">
        <v>501</v>
      </c>
      <c r="D84" s="99" t="s">
        <v>21</v>
      </c>
      <c r="E84" s="100"/>
      <c r="F84" s="94">
        <f>_xlfn.IFNA(VLOOKUP($D$4,OtherDSG!$A:$U,17,FALSE),0)</f>
        <v>0</v>
      </c>
      <c r="G84" s="94"/>
      <c r="H84" s="100"/>
      <c r="I84" s="94"/>
      <c r="J84" s="94">
        <f>_xlfn.IFNA(VLOOKUP($D$4,OtherDSG!$A:$U,18,FALSE),0)*1/7</f>
        <v>0</v>
      </c>
      <c r="K84" s="94">
        <f>_xlfn.IFNA(VLOOKUP($D$4,OtherDSG!$A:$U,18,FALSE),0)*1/7</f>
        <v>0</v>
      </c>
      <c r="L84" s="94">
        <f>_xlfn.IFNA(VLOOKUP($D$4,OtherDSG!$A:$U,18,FALSE),0)*1/7</f>
        <v>0</v>
      </c>
      <c r="M84" s="94">
        <f>_xlfn.IFNA(VLOOKUP($D$4,OtherDSG!$A:$U,18,FALSE),0)*1/7</f>
        <v>0</v>
      </c>
      <c r="N84" s="94">
        <f>(_xlfn.IFNA(VLOOKUP($D$4,OtherDSG!$A:$U,18,FALSE),0)*1/7)+(_xlfn.IFNA(VLOOKUP($D$4,OtherDSG!$A:$AK,37,FALSE),0)*1/3)+(_xlfn.IFNA(VLOOKUP($D$4,OtherDSG!$A:$AL,38,FALSE),0)*5/7)</f>
        <v>0</v>
      </c>
      <c r="O84" s="94">
        <f>(_xlfn.IFNA(VLOOKUP($D$4,OtherDSG!$A:$U,18,FALSE),0)*1/7)+(_xlfn.IFNA(VLOOKUP($D$4,OtherDSG!$A:$AK,37,FALSE),0)*1/3)+(_xlfn.IFNA(VLOOKUP($D$4,OtherDSG!$A:$AL,38,FALSE),0)*1/7)</f>
        <v>0</v>
      </c>
      <c r="P84" s="94">
        <f>(_xlfn.IFNA(VLOOKUP($D$4,OtherDSG!$A:$U,18,FALSE),0)*1/7)+(_xlfn.IFNA(VLOOKUP($D$4,OtherDSG!$A:$AK,37,FALSE),0)*1/3)+(_xlfn.IFNA(VLOOKUP($D$4,OtherDSG!$A:$AL,38,FALSE),0)*1/7)</f>
        <v>0</v>
      </c>
      <c r="Q84" s="259">
        <f t="shared" si="35"/>
        <v>0</v>
      </c>
      <c r="R84" s="109"/>
      <c r="S84" s="114">
        <f t="shared" si="36"/>
        <v>0</v>
      </c>
      <c r="T84" s="101"/>
      <c r="U84" s="88"/>
      <c r="V84" s="95"/>
      <c r="X84" s="156"/>
    </row>
    <row r="85" spans="2:26" s="7" customFormat="1" ht="18" customHeight="1">
      <c r="B85" s="29"/>
      <c r="C85" s="373" t="s">
        <v>502</v>
      </c>
      <c r="D85" s="373"/>
      <c r="E85" s="258">
        <f t="shared" ref="E85:P85" si="37">SUM(E81:E84)</f>
        <v>0</v>
      </c>
      <c r="F85" s="258">
        <f t="shared" si="37"/>
        <v>0</v>
      </c>
      <c r="G85" s="258">
        <f t="shared" si="37"/>
        <v>0</v>
      </c>
      <c r="H85" s="258">
        <f t="shared" si="37"/>
        <v>0</v>
      </c>
      <c r="I85" s="258">
        <f>SUM(I81:I84)</f>
        <v>0</v>
      </c>
      <c r="J85" s="258">
        <f t="shared" si="37"/>
        <v>0</v>
      </c>
      <c r="K85" s="258">
        <f t="shared" si="37"/>
        <v>0</v>
      </c>
      <c r="L85" s="258">
        <f t="shared" si="37"/>
        <v>0</v>
      </c>
      <c r="M85" s="258">
        <f t="shared" si="37"/>
        <v>0</v>
      </c>
      <c r="N85" s="258">
        <f t="shared" si="37"/>
        <v>0</v>
      </c>
      <c r="O85" s="258">
        <f t="shared" si="37"/>
        <v>0</v>
      </c>
      <c r="P85" s="258">
        <f t="shared" si="37"/>
        <v>0</v>
      </c>
      <c r="Q85" s="259">
        <f>SUM(Q81:Q84)</f>
        <v>0</v>
      </c>
      <c r="R85" s="109"/>
      <c r="S85" s="114"/>
      <c r="T85" s="101"/>
      <c r="U85" s="88"/>
      <c r="V85" s="95"/>
      <c r="X85" s="156"/>
    </row>
    <row r="86" spans="2:26" s="7" customFormat="1" ht="18" customHeight="1">
      <c r="B86" s="29"/>
      <c r="C86" s="264" t="s">
        <v>503</v>
      </c>
      <c r="D86" s="96"/>
      <c r="E86" s="97"/>
      <c r="F86" s="97"/>
      <c r="G86" s="97"/>
      <c r="H86" s="97"/>
      <c r="I86" s="117"/>
      <c r="J86" s="265"/>
      <c r="K86" s="117"/>
      <c r="L86" s="117"/>
      <c r="M86" s="117"/>
      <c r="N86" s="117"/>
      <c r="O86" s="117"/>
      <c r="P86" s="117"/>
      <c r="Q86" s="98"/>
      <c r="R86" s="98"/>
      <c r="S86" s="97"/>
      <c r="T86" s="266"/>
      <c r="U86" s="267"/>
      <c r="V86" s="95"/>
      <c r="X86" s="156"/>
    </row>
    <row r="87" spans="2:26" s="7" customFormat="1" ht="18" customHeight="1">
      <c r="B87" s="29"/>
      <c r="C87" s="248" t="s">
        <v>1201</v>
      </c>
      <c r="D87" s="99" t="s">
        <v>21</v>
      </c>
      <c r="E87" s="94"/>
      <c r="F87" s="94"/>
      <c r="G87" s="94"/>
      <c r="H87" s="94"/>
      <c r="I87" s="94"/>
      <c r="J87" s="94"/>
      <c r="K87" s="110"/>
      <c r="L87" s="110">
        <f>_xlfn.IFNA(VLOOKUP($D$4,Grants!$A:$AV,26,FALSE),0)</f>
        <v>0</v>
      </c>
      <c r="M87" s="110"/>
      <c r="N87" s="110"/>
      <c r="O87" s="110"/>
      <c r="P87" s="111"/>
      <c r="Q87" s="259">
        <f t="shared" si="35"/>
        <v>0</v>
      </c>
      <c r="R87" s="92"/>
      <c r="S87" s="114">
        <f>SUM(E87:P87)+R87</f>
        <v>0</v>
      </c>
      <c r="T87" s="101"/>
      <c r="U87" s="88"/>
      <c r="V87" s="88"/>
      <c r="W87" s="151"/>
      <c r="X87" s="153"/>
      <c r="Y87" s="150"/>
      <c r="Z87" s="150"/>
    </row>
    <row r="88" spans="2:26" s="7" customFormat="1" ht="18" hidden="1" customHeight="1">
      <c r="B88" s="29"/>
      <c r="C88" s="248" t="s">
        <v>504</v>
      </c>
      <c r="D88" s="99" t="s">
        <v>21</v>
      </c>
      <c r="E88" s="94"/>
      <c r="F88" s="94"/>
      <c r="G88" s="94"/>
      <c r="H88" s="94"/>
      <c r="I88" s="94"/>
      <c r="J88" s="94"/>
      <c r="K88" s="110"/>
      <c r="L88" s="110"/>
      <c r="M88" s="110"/>
      <c r="N88" s="110"/>
      <c r="O88" s="110"/>
      <c r="P88" s="111"/>
      <c r="Q88" s="259">
        <f t="shared" si="35"/>
        <v>0</v>
      </c>
      <c r="R88" s="92"/>
      <c r="S88" s="114">
        <f t="shared" ref="S88:S117" si="38">SUM(E88:P88)+R88</f>
        <v>0</v>
      </c>
      <c r="T88" s="101"/>
      <c r="U88" s="88"/>
      <c r="V88" s="88"/>
      <c r="W88" s="151"/>
      <c r="X88" s="153"/>
      <c r="Y88" s="150"/>
      <c r="Z88" s="150"/>
    </row>
    <row r="89" spans="2:26" s="7" customFormat="1" ht="18" customHeight="1">
      <c r="B89" s="29"/>
      <c r="C89" s="248" t="s">
        <v>505</v>
      </c>
      <c r="D89" s="99" t="s">
        <v>25</v>
      </c>
      <c r="E89" s="94"/>
      <c r="F89" s="94"/>
      <c r="G89" s="94"/>
      <c r="H89" s="94">
        <f>_xlfn.IFNA(VLOOKUP($D$4,Grants!$A:$AV,14,FALSE),0)</f>
        <v>0</v>
      </c>
      <c r="I89" s="94"/>
      <c r="J89" s="94"/>
      <c r="K89" s="110"/>
      <c r="L89" s="110">
        <f>_xlfn.IFNA(VLOOKUP($D$4,Grants!$A:$AV,25,FALSE),0)</f>
        <v>0</v>
      </c>
      <c r="M89" s="110"/>
      <c r="N89" s="110"/>
      <c r="O89" s="110"/>
      <c r="P89" s="111"/>
      <c r="Q89" s="259">
        <f t="shared" si="35"/>
        <v>0</v>
      </c>
      <c r="R89" s="92"/>
      <c r="S89" s="114">
        <f t="shared" si="38"/>
        <v>0</v>
      </c>
      <c r="T89" s="101"/>
      <c r="U89" s="88"/>
      <c r="V89" s="88"/>
      <c r="W89" s="151"/>
      <c r="X89" s="153"/>
      <c r="Y89" s="150"/>
      <c r="Z89" s="150"/>
    </row>
    <row r="90" spans="2:26" s="7" customFormat="1" ht="18" customHeight="1">
      <c r="B90" s="29"/>
      <c r="C90" s="248" t="s">
        <v>1205</v>
      </c>
      <c r="D90" s="99" t="s">
        <v>21</v>
      </c>
      <c r="E90" s="94"/>
      <c r="F90" s="94"/>
      <c r="G90" s="94"/>
      <c r="H90" s="94"/>
      <c r="I90" s="94"/>
      <c r="J90" s="94"/>
      <c r="K90" s="110"/>
      <c r="L90" s="110">
        <f>_xlfn.IFNA(VLOOKUP($D$4,Grants!$A:$AV,29,FALSE),0)</f>
        <v>0</v>
      </c>
      <c r="M90" s="110"/>
      <c r="N90" s="110"/>
      <c r="O90" s="110"/>
      <c r="P90" s="111"/>
      <c r="Q90" s="259">
        <f t="shared" si="35"/>
        <v>0</v>
      </c>
      <c r="R90" s="92"/>
      <c r="S90" s="114">
        <f t="shared" si="38"/>
        <v>0</v>
      </c>
      <c r="T90" s="101"/>
      <c r="U90" s="88"/>
      <c r="V90" s="88"/>
      <c r="W90" s="151"/>
      <c r="X90" s="153"/>
      <c r="Y90" s="150"/>
      <c r="Z90" s="150"/>
    </row>
    <row r="91" spans="2:26" s="7" customFormat="1" ht="18" customHeight="1">
      <c r="B91" s="29"/>
      <c r="C91" s="248" t="s">
        <v>1206</v>
      </c>
      <c r="D91" s="99" t="s">
        <v>21</v>
      </c>
      <c r="E91" s="94"/>
      <c r="F91" s="94"/>
      <c r="G91" s="94"/>
      <c r="H91" s="94"/>
      <c r="I91" s="94"/>
      <c r="J91" s="94"/>
      <c r="K91" s="110"/>
      <c r="L91" s="110">
        <f>_xlfn.IFNA(VLOOKUP($D$4,Grants!$A:$AV,28,FALSE),0)</f>
        <v>0</v>
      </c>
      <c r="M91" s="110"/>
      <c r="N91" s="110"/>
      <c r="O91" s="110"/>
      <c r="P91" s="111"/>
      <c r="Q91" s="259">
        <f t="shared" si="35"/>
        <v>0</v>
      </c>
      <c r="R91" s="92"/>
      <c r="S91" s="114">
        <f t="shared" si="38"/>
        <v>0</v>
      </c>
      <c r="T91" s="101"/>
      <c r="U91" s="88"/>
      <c r="V91" s="88"/>
      <c r="W91" s="151"/>
      <c r="X91" s="153"/>
      <c r="Y91" s="150"/>
      <c r="Z91" s="150"/>
    </row>
    <row r="92" spans="2:26" s="7" customFormat="1" ht="18" customHeight="1">
      <c r="B92" s="29"/>
      <c r="C92" s="270" t="s">
        <v>1242</v>
      </c>
      <c r="D92" s="271" t="s">
        <v>21</v>
      </c>
      <c r="E92" s="94"/>
      <c r="F92" s="94"/>
      <c r="G92" s="94"/>
      <c r="H92" s="94"/>
      <c r="I92" s="94"/>
      <c r="J92" s="94"/>
      <c r="K92" s="110"/>
      <c r="L92" s="110"/>
      <c r="M92" s="110"/>
      <c r="N92" s="110"/>
      <c r="O92" s="110">
        <f>_xlfn.IFNA(VLOOKUP($D$4,Grants!$A:$AV,21,FALSE),0)</f>
        <v>0</v>
      </c>
      <c r="P92" s="111"/>
      <c r="Q92" s="259">
        <f t="shared" si="35"/>
        <v>0</v>
      </c>
      <c r="R92" s="92"/>
      <c r="S92" s="114">
        <f t="shared" si="38"/>
        <v>0</v>
      </c>
      <c r="T92" s="101"/>
      <c r="U92" s="88"/>
      <c r="V92" s="88"/>
      <c r="W92" s="151"/>
      <c r="X92" s="153"/>
      <c r="Y92" s="150"/>
      <c r="Z92" s="150"/>
    </row>
    <row r="93" spans="2:26" s="7" customFormat="1" ht="18" customHeight="1">
      <c r="B93" s="29"/>
      <c r="C93" s="248" t="s">
        <v>506</v>
      </c>
      <c r="D93" s="271" t="s">
        <v>21</v>
      </c>
      <c r="E93" s="94"/>
      <c r="F93" s="94"/>
      <c r="G93" s="94"/>
      <c r="H93" s="94"/>
      <c r="I93" s="94">
        <f>_xlfn.IFNA(VLOOKUP($D$4,Grants!$A:$AV,16,FALSE),0)</f>
        <v>0</v>
      </c>
      <c r="J93" s="94"/>
      <c r="K93" s="110"/>
      <c r="L93" s="110"/>
      <c r="M93" s="110"/>
      <c r="N93" s="110"/>
      <c r="O93" s="110"/>
      <c r="P93" s="111"/>
      <c r="Q93" s="259">
        <f t="shared" si="35"/>
        <v>0</v>
      </c>
      <c r="R93" s="92"/>
      <c r="S93" s="114">
        <f t="shared" si="38"/>
        <v>0</v>
      </c>
      <c r="T93" s="101"/>
      <c r="U93" s="88"/>
      <c r="V93" s="88"/>
      <c r="W93" s="151"/>
      <c r="X93" s="153"/>
      <c r="Y93" s="150"/>
      <c r="Z93" s="150"/>
    </row>
    <row r="94" spans="2:26" s="7" customFormat="1" ht="18" customHeight="1">
      <c r="B94" s="29"/>
      <c r="C94" s="270" t="s">
        <v>507</v>
      </c>
      <c r="D94" s="271" t="s">
        <v>21</v>
      </c>
      <c r="E94" s="94"/>
      <c r="F94" s="94"/>
      <c r="G94" s="94"/>
      <c r="H94" s="94"/>
      <c r="I94" s="94"/>
      <c r="J94" s="94"/>
      <c r="K94" s="110"/>
      <c r="L94" s="110"/>
      <c r="M94" s="110"/>
      <c r="N94" s="110"/>
      <c r="O94" s="110"/>
      <c r="P94" s="111"/>
      <c r="Q94" s="259">
        <f t="shared" si="35"/>
        <v>0</v>
      </c>
      <c r="R94" s="92"/>
      <c r="S94" s="114">
        <f t="shared" si="38"/>
        <v>0</v>
      </c>
      <c r="T94" s="101"/>
      <c r="U94" s="88"/>
      <c r="V94" s="88"/>
      <c r="W94" s="151"/>
      <c r="X94" s="153"/>
      <c r="Y94" s="150"/>
      <c r="Z94" s="150"/>
    </row>
    <row r="95" spans="2:26" s="7" customFormat="1" ht="18" customHeight="1">
      <c r="B95" s="29"/>
      <c r="C95" s="270" t="s">
        <v>1190</v>
      </c>
      <c r="D95" s="271" t="s">
        <v>21</v>
      </c>
      <c r="E95" s="94"/>
      <c r="F95" s="94"/>
      <c r="G95" s="94"/>
      <c r="H95" s="94"/>
      <c r="I95" s="94"/>
      <c r="J95" s="94"/>
      <c r="K95" s="110">
        <f>_xlfn.IFNA(VLOOKUP($D$4,Grants!$A:$AV,20,FALSE),0)</f>
        <v>0</v>
      </c>
      <c r="L95" s="110"/>
      <c r="M95" s="110"/>
      <c r="N95" s="110"/>
      <c r="O95" s="110"/>
      <c r="P95" s="111"/>
      <c r="Q95" s="259">
        <f t="shared" si="35"/>
        <v>0</v>
      </c>
      <c r="R95" s="92"/>
      <c r="S95" s="114">
        <f t="shared" si="38"/>
        <v>0</v>
      </c>
      <c r="T95" s="101"/>
      <c r="U95" s="88"/>
      <c r="V95" s="88"/>
      <c r="W95" s="151"/>
      <c r="X95" s="153"/>
      <c r="Y95" s="150"/>
      <c r="Z95" s="150"/>
    </row>
    <row r="96" spans="2:26" s="7" customFormat="1" ht="18" customHeight="1">
      <c r="B96" s="29"/>
      <c r="C96" s="20" t="s">
        <v>508</v>
      </c>
      <c r="D96" s="99" t="s">
        <v>25</v>
      </c>
      <c r="E96" s="94"/>
      <c r="F96" s="94"/>
      <c r="G96" s="94"/>
      <c r="H96" s="94"/>
      <c r="I96" s="94"/>
      <c r="J96" s="94"/>
      <c r="K96" s="110"/>
      <c r="L96" s="110"/>
      <c r="M96" s="110"/>
      <c r="N96" s="110"/>
      <c r="O96" s="110">
        <f>_xlfn.IFNA(VLOOKUP($D$4,Grants!$A:$AV,36,FALSE),0)</f>
        <v>0</v>
      </c>
      <c r="P96" s="111"/>
      <c r="Q96" s="259">
        <f t="shared" si="35"/>
        <v>0</v>
      </c>
      <c r="R96" s="92"/>
      <c r="S96" s="114">
        <f t="shared" si="38"/>
        <v>0</v>
      </c>
      <c r="T96" s="101"/>
      <c r="U96" s="88"/>
      <c r="V96" s="88"/>
      <c r="W96" s="158"/>
      <c r="X96" s="156"/>
    </row>
    <row r="97" spans="2:26" s="7" customFormat="1" ht="18" customHeight="1">
      <c r="B97" s="29"/>
      <c r="C97" s="248" t="s">
        <v>509</v>
      </c>
      <c r="D97" s="99" t="s">
        <v>25</v>
      </c>
      <c r="E97" s="94"/>
      <c r="F97" s="94"/>
      <c r="G97" s="94"/>
      <c r="H97" s="94">
        <f>_xlfn.IFNA(VLOOKUP($D$4,Grants!$A:$AV,15,FALSE),0)</f>
        <v>0</v>
      </c>
      <c r="I97" s="94"/>
      <c r="J97" s="94"/>
      <c r="K97" s="110"/>
      <c r="L97" s="110"/>
      <c r="M97" s="111"/>
      <c r="N97" s="110"/>
      <c r="O97" s="110"/>
      <c r="P97" s="111"/>
      <c r="Q97" s="259">
        <f t="shared" si="35"/>
        <v>0</v>
      </c>
      <c r="R97" s="92"/>
      <c r="S97" s="114">
        <f t="shared" si="38"/>
        <v>0</v>
      </c>
      <c r="T97" s="101"/>
      <c r="U97" s="88"/>
      <c r="V97" s="88"/>
      <c r="W97" s="158"/>
      <c r="X97" s="156"/>
    </row>
    <row r="98" spans="2:26" s="7" customFormat="1" ht="18" customHeight="1">
      <c r="B98" s="29"/>
      <c r="C98" s="248" t="s">
        <v>1185</v>
      </c>
      <c r="D98" s="99" t="s">
        <v>25</v>
      </c>
      <c r="E98" s="94"/>
      <c r="F98" s="94"/>
      <c r="G98" s="94"/>
      <c r="H98" s="94"/>
      <c r="I98" s="94"/>
      <c r="J98" s="94"/>
      <c r="K98" s="110">
        <f>_xlfn.IFNA(VLOOKUP($D$4,Grants!$A:$AV,19,FALSE),0)</f>
        <v>0</v>
      </c>
      <c r="L98" s="110"/>
      <c r="M98" s="111"/>
      <c r="N98" s="110"/>
      <c r="O98" s="110"/>
      <c r="P98" s="111"/>
      <c r="Q98" s="259">
        <f t="shared" si="35"/>
        <v>0</v>
      </c>
      <c r="R98" s="92"/>
      <c r="S98" s="114">
        <f t="shared" si="38"/>
        <v>0</v>
      </c>
      <c r="T98" s="101"/>
      <c r="U98" s="88"/>
      <c r="V98" s="88"/>
      <c r="W98" s="158"/>
      <c r="X98" s="156"/>
    </row>
    <row r="99" spans="2:26" s="7" customFormat="1" ht="18" customHeight="1">
      <c r="B99" s="29"/>
      <c r="C99" s="248" t="s">
        <v>510</v>
      </c>
      <c r="D99" s="99" t="s">
        <v>24</v>
      </c>
      <c r="E99" s="94"/>
      <c r="F99" s="94"/>
      <c r="G99" s="94"/>
      <c r="H99" s="94">
        <f>_xlfn.IFNA(VLOOKUP($D$4,Grants!$A:$AV,10,FALSE),0)</f>
        <v>0</v>
      </c>
      <c r="I99" s="94"/>
      <c r="J99" s="94"/>
      <c r="K99" s="110">
        <f>_xlfn.IFNA(VLOOKUP($D$4,Grants!$A:$AV,23,FALSE),0)</f>
        <v>0</v>
      </c>
      <c r="L99" s="110">
        <f>_xlfn.IFNA(VLOOKUP($D$4,Grants!$A:$AV,27,FALSE),0)</f>
        <v>0</v>
      </c>
      <c r="M99" s="111"/>
      <c r="N99" s="110"/>
      <c r="O99" s="110"/>
      <c r="P99" s="111"/>
      <c r="Q99" s="259">
        <f>SUMIF($E$44:$P$44,$Q$44,E99:P99)</f>
        <v>0</v>
      </c>
      <c r="R99" s="92"/>
      <c r="S99" s="114">
        <f t="shared" si="38"/>
        <v>0</v>
      </c>
      <c r="T99" s="101"/>
      <c r="U99" s="88"/>
      <c r="V99" s="88"/>
      <c r="W99" s="158"/>
      <c r="X99" s="156"/>
    </row>
    <row r="100" spans="2:26" s="7" customFormat="1" ht="18" customHeight="1">
      <c r="B100" s="29"/>
      <c r="C100" s="248" t="s">
        <v>511</v>
      </c>
      <c r="D100" s="99" t="s">
        <v>512</v>
      </c>
      <c r="E100" s="94"/>
      <c r="F100" s="94"/>
      <c r="G100" s="94"/>
      <c r="H100" s="94">
        <f>_xlfn.IFNA(VLOOKUP($D$4,Grants!$A:$AV,11,FALSE),0)</f>
        <v>0</v>
      </c>
      <c r="I100" s="94"/>
      <c r="J100" s="94"/>
      <c r="K100" s="110">
        <f>_xlfn.IFNA(VLOOKUP($D$4,Grants!$A:$AV,18,FALSE),0)</f>
        <v>0</v>
      </c>
      <c r="L100" s="110"/>
      <c r="M100" s="110"/>
      <c r="N100" s="110">
        <f>_xlfn.IFNA(VLOOKUP($D$4,Grants!$A:$AV,34,FALSE),0)</f>
        <v>0</v>
      </c>
      <c r="O100" s="110">
        <f>_xlfn.IFNA(VLOOKUP($D$4,Grants!$A:$AV,38,FALSE),0)</f>
        <v>0</v>
      </c>
      <c r="P100" s="111"/>
      <c r="Q100" s="259">
        <f t="shared" si="35"/>
        <v>0</v>
      </c>
      <c r="R100" s="92"/>
      <c r="S100" s="114">
        <f t="shared" si="38"/>
        <v>0</v>
      </c>
      <c r="T100" s="101"/>
      <c r="U100" s="88"/>
      <c r="V100" s="379" t="s">
        <v>513</v>
      </c>
      <c r="W100" s="158"/>
      <c r="X100" s="156"/>
    </row>
    <row r="101" spans="2:26" s="7" customFormat="1" ht="18" customHeight="1">
      <c r="B101" s="29"/>
      <c r="C101" s="248" t="s">
        <v>514</v>
      </c>
      <c r="D101" s="99" t="s">
        <v>515</v>
      </c>
      <c r="E101" s="94"/>
      <c r="F101" s="94"/>
      <c r="G101" s="94"/>
      <c r="H101" s="94"/>
      <c r="I101" s="94"/>
      <c r="J101" s="94"/>
      <c r="K101" s="110"/>
      <c r="L101" s="110"/>
      <c r="M101" s="110"/>
      <c r="N101" s="110"/>
      <c r="O101" s="110"/>
      <c r="P101" s="111"/>
      <c r="Q101" s="259">
        <f t="shared" si="35"/>
        <v>0</v>
      </c>
      <c r="R101" s="92"/>
      <c r="S101" s="114">
        <f t="shared" si="38"/>
        <v>0</v>
      </c>
      <c r="T101" s="101"/>
      <c r="U101" s="88"/>
      <c r="V101" s="88"/>
      <c r="W101" s="151"/>
      <c r="X101" s="153"/>
      <c r="Y101" s="150"/>
      <c r="Z101" s="150"/>
    </row>
    <row r="102" spans="2:26" s="7" customFormat="1" ht="18" hidden="1" customHeight="1">
      <c r="B102" s="29"/>
      <c r="C102" s="20" t="s">
        <v>516</v>
      </c>
      <c r="D102" s="99" t="s">
        <v>515</v>
      </c>
      <c r="E102" s="94"/>
      <c r="F102" s="94"/>
      <c r="G102" s="94"/>
      <c r="H102" s="94"/>
      <c r="I102" s="94"/>
      <c r="J102" s="94"/>
      <c r="K102" s="110"/>
      <c r="L102" s="110"/>
      <c r="M102" s="110"/>
      <c r="N102" s="110"/>
      <c r="O102" s="110"/>
      <c r="P102" s="111"/>
      <c r="Q102" s="259">
        <f t="shared" si="35"/>
        <v>0</v>
      </c>
      <c r="R102" s="92"/>
      <c r="S102" s="114">
        <f t="shared" si="38"/>
        <v>0</v>
      </c>
      <c r="T102" s="101"/>
      <c r="U102" s="88"/>
      <c r="V102" s="88"/>
      <c r="W102" s="158"/>
      <c r="X102" s="156"/>
    </row>
    <row r="103" spans="2:26" s="7" customFormat="1" ht="18" customHeight="1">
      <c r="B103" s="29"/>
      <c r="C103" s="20" t="s">
        <v>517</v>
      </c>
      <c r="D103" s="99" t="s">
        <v>515</v>
      </c>
      <c r="E103" s="94"/>
      <c r="F103" s="94"/>
      <c r="G103" s="94"/>
      <c r="H103" s="94"/>
      <c r="I103" s="94"/>
      <c r="J103" s="94"/>
      <c r="K103" s="110"/>
      <c r="L103" s="110"/>
      <c r="M103" s="110">
        <f>_xlfn.IFNA(VLOOKUP($D$4,Grants!$A:$AV,31,FALSE),0)</f>
        <v>0</v>
      </c>
      <c r="N103" s="110"/>
      <c r="O103" s="110"/>
      <c r="P103" s="111"/>
      <c r="Q103" s="259">
        <f t="shared" si="35"/>
        <v>0</v>
      </c>
      <c r="R103" s="92"/>
      <c r="S103" s="114">
        <f t="shared" si="38"/>
        <v>0</v>
      </c>
      <c r="T103" s="101"/>
      <c r="U103" s="88"/>
      <c r="V103" s="88"/>
      <c r="W103" s="158"/>
      <c r="X103" s="156"/>
    </row>
    <row r="104" spans="2:26" s="7" customFormat="1" ht="18" customHeight="1">
      <c r="B104" s="29"/>
      <c r="C104" s="20" t="s">
        <v>518</v>
      </c>
      <c r="D104" s="99" t="s">
        <v>515</v>
      </c>
      <c r="E104" s="94"/>
      <c r="F104" s="94"/>
      <c r="G104" s="94"/>
      <c r="H104" s="94"/>
      <c r="I104" s="94"/>
      <c r="J104" s="94"/>
      <c r="K104" s="110"/>
      <c r="L104" s="110"/>
      <c r="M104" s="110">
        <f>_xlfn.IFNA(VLOOKUP($D$4,Grants!$A:$AV,32,FALSE),0)</f>
        <v>0</v>
      </c>
      <c r="N104" s="110"/>
      <c r="O104" s="94"/>
      <c r="P104" s="111"/>
      <c r="Q104" s="259">
        <f t="shared" si="35"/>
        <v>0</v>
      </c>
      <c r="R104" s="92"/>
      <c r="S104" s="114">
        <f t="shared" si="38"/>
        <v>0</v>
      </c>
      <c r="T104" s="101"/>
      <c r="U104" s="88"/>
      <c r="V104" s="88"/>
      <c r="W104" s="158"/>
      <c r="X104" s="156"/>
    </row>
    <row r="105" spans="2:26" s="7" customFormat="1" ht="18" customHeight="1">
      <c r="B105" s="29"/>
      <c r="C105" s="20" t="s">
        <v>519</v>
      </c>
      <c r="D105" s="99" t="s">
        <v>515</v>
      </c>
      <c r="E105" s="94"/>
      <c r="F105" s="94"/>
      <c r="G105" s="94"/>
      <c r="H105" s="94"/>
      <c r="I105" s="94"/>
      <c r="J105" s="94"/>
      <c r="K105" s="110"/>
      <c r="L105" s="110"/>
      <c r="M105" s="110"/>
      <c r="N105" s="110"/>
      <c r="O105" s="94"/>
      <c r="P105" s="111"/>
      <c r="Q105" s="259">
        <f t="shared" si="35"/>
        <v>0</v>
      </c>
      <c r="R105" s="92"/>
      <c r="S105" s="114">
        <f t="shared" si="38"/>
        <v>0</v>
      </c>
      <c r="T105" s="101"/>
      <c r="U105" s="88"/>
      <c r="V105" s="88"/>
      <c r="W105" s="158"/>
      <c r="X105" s="156"/>
    </row>
    <row r="106" spans="2:26" s="7" customFormat="1" ht="18" customHeight="1">
      <c r="B106" s="29"/>
      <c r="C106" s="248" t="s">
        <v>520</v>
      </c>
      <c r="D106" s="99" t="s">
        <v>515</v>
      </c>
      <c r="E106" s="94"/>
      <c r="F106" s="94"/>
      <c r="G106" s="94"/>
      <c r="H106" s="94"/>
      <c r="I106" s="94"/>
      <c r="J106" s="94"/>
      <c r="K106" s="110"/>
      <c r="L106" s="110"/>
      <c r="M106" s="110"/>
      <c r="N106" s="110"/>
      <c r="O106" s="110"/>
      <c r="P106" s="111"/>
      <c r="Q106" s="259">
        <f t="shared" si="35"/>
        <v>0</v>
      </c>
      <c r="R106" s="92"/>
      <c r="S106" s="114">
        <f t="shared" si="38"/>
        <v>0</v>
      </c>
      <c r="T106" s="101"/>
      <c r="U106" s="88"/>
      <c r="V106" s="88"/>
      <c r="W106" s="158"/>
      <c r="X106" s="156"/>
    </row>
    <row r="107" spans="2:26" s="7" customFormat="1" ht="18" hidden="1" customHeight="1">
      <c r="B107" s="29"/>
      <c r="C107" s="248" t="s">
        <v>521</v>
      </c>
      <c r="D107" s="99"/>
      <c r="E107" s="94"/>
      <c r="F107" s="94"/>
      <c r="G107" s="94"/>
      <c r="H107" s="94"/>
      <c r="I107" s="94"/>
      <c r="J107" s="94"/>
      <c r="K107" s="110"/>
      <c r="L107" s="110"/>
      <c r="M107" s="110"/>
      <c r="N107" s="377"/>
      <c r="O107" s="94"/>
      <c r="P107" s="111"/>
      <c r="Q107" s="259">
        <f>SUMIF($E$44:$P$44,$Q$44,E107:P107)</f>
        <v>0</v>
      </c>
      <c r="R107" s="92"/>
      <c r="S107" s="114">
        <f t="shared" si="38"/>
        <v>0</v>
      </c>
      <c r="T107" s="101"/>
      <c r="U107" s="88"/>
      <c r="V107" s="88"/>
      <c r="W107" s="151"/>
      <c r="X107" s="153"/>
      <c r="Y107" s="150"/>
      <c r="Z107" s="150"/>
    </row>
    <row r="108" spans="2:26" s="7" customFormat="1" ht="18" hidden="1" customHeight="1">
      <c r="B108" s="29"/>
      <c r="C108" s="248" t="s">
        <v>522</v>
      </c>
      <c r="D108" s="99"/>
      <c r="E108" s="94"/>
      <c r="F108" s="94"/>
      <c r="G108" s="94"/>
      <c r="H108" s="94"/>
      <c r="I108" s="94"/>
      <c r="J108" s="94"/>
      <c r="K108" s="110"/>
      <c r="L108" s="110"/>
      <c r="M108" s="110"/>
      <c r="N108" s="110"/>
      <c r="O108" s="110"/>
      <c r="P108" s="111"/>
      <c r="Q108" s="259">
        <f t="shared" si="35"/>
        <v>0</v>
      </c>
      <c r="R108" s="92"/>
      <c r="S108" s="114">
        <f t="shared" si="38"/>
        <v>0</v>
      </c>
      <c r="T108" s="101"/>
      <c r="U108" s="88"/>
      <c r="V108" s="88"/>
      <c r="W108" s="151"/>
      <c r="X108" s="153"/>
      <c r="Y108" s="150"/>
      <c r="Z108" s="150"/>
    </row>
    <row r="109" spans="2:26" s="7" customFormat="1" ht="18" hidden="1" customHeight="1">
      <c r="B109" s="29"/>
      <c r="C109" s="371" t="s">
        <v>523</v>
      </c>
      <c r="D109" s="99"/>
      <c r="E109" s="94"/>
      <c r="F109" s="94"/>
      <c r="G109" s="94"/>
      <c r="H109" s="94"/>
      <c r="I109" s="94"/>
      <c r="J109" s="94"/>
      <c r="K109" s="110"/>
      <c r="L109" s="110"/>
      <c r="M109" s="110"/>
      <c r="N109" s="110"/>
      <c r="O109" s="110"/>
      <c r="P109" s="111"/>
      <c r="Q109" s="259">
        <f t="shared" si="35"/>
        <v>0</v>
      </c>
      <c r="R109" s="92"/>
      <c r="S109" s="114">
        <f t="shared" si="38"/>
        <v>0</v>
      </c>
      <c r="T109" s="101"/>
      <c r="U109" s="88"/>
      <c r="V109" s="88"/>
      <c r="W109" s="151"/>
      <c r="X109" s="153"/>
      <c r="Y109" s="150"/>
      <c r="Z109" s="150"/>
    </row>
    <row r="110" spans="2:26" s="7" customFormat="1" ht="18" hidden="1" customHeight="1">
      <c r="B110" s="29"/>
      <c r="C110" s="371" t="s">
        <v>524</v>
      </c>
      <c r="D110" s="99"/>
      <c r="E110" s="94"/>
      <c r="F110" s="94"/>
      <c r="G110" s="94"/>
      <c r="H110" s="94"/>
      <c r="I110" s="94"/>
      <c r="J110" s="94"/>
      <c r="K110" s="110"/>
      <c r="L110" s="110"/>
      <c r="M110" s="110"/>
      <c r="N110" s="110"/>
      <c r="O110" s="110"/>
      <c r="P110" s="111"/>
      <c r="Q110" s="259">
        <f t="shared" si="35"/>
        <v>0</v>
      </c>
      <c r="R110" s="92"/>
      <c r="S110" s="114">
        <f t="shared" si="38"/>
        <v>0</v>
      </c>
      <c r="T110" s="101"/>
      <c r="U110" s="88"/>
      <c r="V110" s="88"/>
      <c r="W110" s="151"/>
      <c r="X110" s="153"/>
      <c r="Y110" s="150"/>
      <c r="Z110" s="150"/>
    </row>
    <row r="111" spans="2:26" s="7" customFormat="1" ht="18" customHeight="1">
      <c r="B111" s="29"/>
      <c r="C111" s="248" t="s">
        <v>525</v>
      </c>
      <c r="D111" s="99" t="s">
        <v>515</v>
      </c>
      <c r="E111" s="94"/>
      <c r="F111" s="94">
        <f>_xlfn.IFNA(VLOOKUP($D$4,Grants!$A:$AV,8,FALSE),0)</f>
        <v>0</v>
      </c>
      <c r="G111" s="94"/>
      <c r="I111" s="94"/>
      <c r="J111" s="94"/>
      <c r="K111" s="110"/>
      <c r="L111" s="110">
        <f>_xlfn.IFNA(VLOOKUP($D$4,Grants!$A:$AV,24,FALSE),0)</f>
        <v>0</v>
      </c>
      <c r="M111" s="110"/>
      <c r="N111" s="110"/>
      <c r="O111" s="94"/>
      <c r="P111" s="111"/>
      <c r="Q111" s="259">
        <f t="shared" si="35"/>
        <v>0</v>
      </c>
      <c r="R111" s="92"/>
      <c r="S111" s="114">
        <f t="shared" si="38"/>
        <v>0</v>
      </c>
      <c r="T111" s="101"/>
      <c r="U111" s="88"/>
      <c r="V111" s="88"/>
      <c r="W111" s="151"/>
      <c r="X111" s="153"/>
      <c r="Y111" s="150"/>
      <c r="Z111" s="150"/>
    </row>
    <row r="112" spans="2:26" s="7" customFormat="1" ht="18" customHeight="1">
      <c r="B112" s="29"/>
      <c r="C112" s="248" t="s">
        <v>526</v>
      </c>
      <c r="D112" s="99" t="s">
        <v>515</v>
      </c>
      <c r="E112" s="94"/>
      <c r="F112" s="94"/>
      <c r="G112" s="94"/>
      <c r="H112" s="94">
        <f>_xlfn.IFNA(VLOOKUP($D$4,Grants!$A:$AV,12,FALSE),0)</f>
        <v>0</v>
      </c>
      <c r="I112" s="94"/>
      <c r="J112" s="94"/>
      <c r="K112" s="110"/>
      <c r="L112" s="110"/>
      <c r="M112" s="110"/>
      <c r="N112" s="110"/>
      <c r="O112" s="110"/>
      <c r="P112" s="111"/>
      <c r="Q112" s="259">
        <f t="shared" si="35"/>
        <v>0</v>
      </c>
      <c r="R112" s="92"/>
      <c r="S112" s="114">
        <f t="shared" si="38"/>
        <v>0</v>
      </c>
      <c r="T112" s="101"/>
      <c r="U112" s="88"/>
      <c r="V112" s="88"/>
      <c r="W112" s="151"/>
      <c r="X112" s="153"/>
      <c r="Y112" s="150"/>
      <c r="Z112" s="150"/>
    </row>
    <row r="113" spans="2:26" s="7" customFormat="1" ht="18" customHeight="1">
      <c r="B113" s="29"/>
      <c r="C113" s="248" t="s">
        <v>527</v>
      </c>
      <c r="D113" s="99" t="s">
        <v>515</v>
      </c>
      <c r="E113" s="94"/>
      <c r="F113" s="94"/>
      <c r="G113" s="94"/>
      <c r="H113" s="94">
        <f>_xlfn.IFNA(VLOOKUP($D$4,Grants!$A:$AV,13,FALSE),0)</f>
        <v>0</v>
      </c>
      <c r="I113" s="94"/>
      <c r="J113" s="94"/>
      <c r="K113" s="110"/>
      <c r="L113" s="110"/>
      <c r="M113" s="110"/>
      <c r="N113" s="110"/>
      <c r="O113" s="110"/>
      <c r="P113" s="111"/>
      <c r="Q113" s="259">
        <f t="shared" si="35"/>
        <v>0</v>
      </c>
      <c r="R113" s="92"/>
      <c r="S113" s="114">
        <f t="shared" si="38"/>
        <v>0</v>
      </c>
      <c r="T113" s="101"/>
      <c r="U113" s="88"/>
      <c r="V113" s="88"/>
      <c r="W113" s="151"/>
      <c r="X113" s="153"/>
      <c r="Y113" s="150"/>
      <c r="Z113" s="150"/>
    </row>
    <row r="114" spans="2:26" s="7" customFormat="1" ht="18" customHeight="1">
      <c r="B114" s="29"/>
      <c r="C114" s="248" t="s">
        <v>528</v>
      </c>
      <c r="D114" s="99" t="s">
        <v>515</v>
      </c>
      <c r="E114" s="94"/>
      <c r="F114" s="94">
        <f>_xlfn.IFNA(VLOOKUP($D$4,Grants!$A:$AV,9,FALSE),0)</f>
        <v>0</v>
      </c>
      <c r="G114" s="94"/>
      <c r="H114" s="94"/>
      <c r="I114" s="94"/>
      <c r="J114" s="94"/>
      <c r="K114" s="110"/>
      <c r="L114" s="110"/>
      <c r="M114" s="110">
        <f>_xlfn.IFNA(VLOOKUP($D$4,Grants!$A:$AV,30,FALSE),0)</f>
        <v>0</v>
      </c>
      <c r="N114" s="110"/>
      <c r="O114" s="94">
        <f>_xlfn.IFNA(VLOOKUP($D$4,Grants!$A:$AV,37,FALSE),0)</f>
        <v>0</v>
      </c>
      <c r="P114" s="111"/>
      <c r="Q114" s="259">
        <f t="shared" si="35"/>
        <v>0</v>
      </c>
      <c r="R114" s="92"/>
      <c r="S114" s="114">
        <f t="shared" si="38"/>
        <v>0</v>
      </c>
      <c r="T114" s="101"/>
      <c r="U114" s="88"/>
      <c r="V114" s="88"/>
      <c r="W114" s="151"/>
      <c r="X114" s="153"/>
      <c r="Y114" s="150"/>
      <c r="Z114" s="150"/>
    </row>
    <row r="115" spans="2:26" s="7" customFormat="1" ht="18" customHeight="1">
      <c r="B115" s="29"/>
      <c r="C115" s="248" t="s">
        <v>1189</v>
      </c>
      <c r="D115" s="99" t="s">
        <v>515</v>
      </c>
      <c r="E115" s="94"/>
      <c r="F115" s="94"/>
      <c r="G115" s="94"/>
      <c r="H115" s="94"/>
      <c r="I115" s="94"/>
      <c r="J115" s="94"/>
      <c r="K115" s="110">
        <f>_xlfn.IFNA(VLOOKUP($D$4,Grants!$A:$AV,22,FALSE),0)</f>
        <v>0</v>
      </c>
      <c r="L115" s="110"/>
      <c r="M115" s="110"/>
      <c r="N115" s="110">
        <f>_xlfn.IFNA(VLOOKUP($D$4,Grants!$A:$AV,33,FALSE),0)</f>
        <v>0</v>
      </c>
      <c r="O115" s="110"/>
      <c r="P115" s="111"/>
      <c r="Q115" s="259">
        <f t="shared" si="35"/>
        <v>0</v>
      </c>
      <c r="R115" s="92"/>
      <c r="S115" s="114">
        <f t="shared" si="38"/>
        <v>0</v>
      </c>
      <c r="T115" s="101"/>
      <c r="U115" s="88"/>
      <c r="V115" s="88"/>
      <c r="W115" s="151"/>
      <c r="X115" s="153"/>
      <c r="Y115" s="150"/>
      <c r="Z115" s="150"/>
    </row>
    <row r="116" spans="2:26" s="7" customFormat="1" ht="18" customHeight="1">
      <c r="B116" s="29"/>
      <c r="C116" s="20" t="s">
        <v>529</v>
      </c>
      <c r="D116" s="99" t="s">
        <v>530</v>
      </c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259">
        <f t="shared" si="35"/>
        <v>0</v>
      </c>
      <c r="R116" s="91"/>
      <c r="S116" s="114">
        <f t="shared" si="38"/>
        <v>0</v>
      </c>
      <c r="T116" s="101"/>
      <c r="U116" s="88"/>
      <c r="V116" s="88"/>
      <c r="W116" s="155"/>
      <c r="X116" s="156"/>
    </row>
    <row r="117" spans="2:26" s="7" customFormat="1" ht="18" customHeight="1">
      <c r="B117" s="29"/>
      <c r="C117" s="2" t="s">
        <v>531</v>
      </c>
      <c r="D117" s="99" t="s">
        <v>530</v>
      </c>
      <c r="E117" s="94"/>
      <c r="F117" s="94"/>
      <c r="G117" s="94"/>
      <c r="H117" s="94"/>
      <c r="I117" s="94"/>
      <c r="J117" s="94">
        <f>_xlfn.IFNA(VLOOKUP($D$4,Grants!$A:$AV,17,FALSE),0)</f>
        <v>0</v>
      </c>
      <c r="K117" s="110"/>
      <c r="L117" s="110"/>
      <c r="M117" s="110"/>
      <c r="N117" s="110">
        <f>_xlfn.IFNA(VLOOKUP($D$4,Grants!$A:$AV,35,FALSE),0)</f>
        <v>0</v>
      </c>
      <c r="O117" s="94">
        <f>_xlfn.IFNA(VLOOKUP($D$4,Grants!$A:$AV,39,FALSE),0)</f>
        <v>0</v>
      </c>
      <c r="P117" s="111"/>
      <c r="Q117" s="259">
        <f t="shared" si="35"/>
        <v>0</v>
      </c>
      <c r="R117" s="92"/>
      <c r="S117" s="114">
        <f t="shared" si="38"/>
        <v>0</v>
      </c>
      <c r="T117" s="101"/>
      <c r="U117" s="88"/>
      <c r="V117" s="88"/>
      <c r="W117" s="158"/>
      <c r="X117" s="156"/>
    </row>
    <row r="118" spans="2:26" s="7" customFormat="1" ht="18" customHeight="1">
      <c r="B118" s="29"/>
      <c r="C118" s="69" t="s">
        <v>532</v>
      </c>
      <c r="D118" s="96"/>
      <c r="E118" s="97">
        <f t="shared" ref="E118:R118" si="39">SUM(E87:E117)</f>
        <v>0</v>
      </c>
      <c r="F118" s="97">
        <f t="shared" si="39"/>
        <v>0</v>
      </c>
      <c r="G118" s="97">
        <f t="shared" si="39"/>
        <v>0</v>
      </c>
      <c r="H118" s="97">
        <f t="shared" si="39"/>
        <v>0</v>
      </c>
      <c r="I118" s="97">
        <f t="shared" si="39"/>
        <v>0</v>
      </c>
      <c r="J118" s="97">
        <f t="shared" si="39"/>
        <v>0</v>
      </c>
      <c r="K118" s="97">
        <f t="shared" si="39"/>
        <v>0</v>
      </c>
      <c r="L118" s="97">
        <f t="shared" si="39"/>
        <v>0</v>
      </c>
      <c r="M118" s="97">
        <f t="shared" si="39"/>
        <v>0</v>
      </c>
      <c r="N118" s="97">
        <f t="shared" si="39"/>
        <v>0</v>
      </c>
      <c r="O118" s="97">
        <f t="shared" si="39"/>
        <v>0</v>
      </c>
      <c r="P118" s="97">
        <f t="shared" si="39"/>
        <v>0</v>
      </c>
      <c r="Q118" s="258">
        <f t="shared" si="39"/>
        <v>0</v>
      </c>
      <c r="R118" s="98">
        <f t="shared" si="39"/>
        <v>0</v>
      </c>
      <c r="S118" s="97">
        <f>SUM(E118:P118)+R118</f>
        <v>0</v>
      </c>
      <c r="T118" s="101"/>
      <c r="U118" s="88"/>
      <c r="V118" s="88"/>
      <c r="W118" s="158"/>
      <c r="X118" s="156"/>
    </row>
    <row r="119" spans="2:26" s="7" customFormat="1" ht="18" customHeight="1">
      <c r="B119" s="29"/>
      <c r="C119" s="68" t="s">
        <v>533</v>
      </c>
      <c r="D119" s="113"/>
      <c r="E119" s="114">
        <f t="shared" ref="E119:R119" si="40">E118+E73+E79+E85</f>
        <v>0</v>
      </c>
      <c r="F119" s="114">
        <f t="shared" si="40"/>
        <v>0</v>
      </c>
      <c r="G119" s="114">
        <f t="shared" si="40"/>
        <v>0</v>
      </c>
      <c r="H119" s="114">
        <f t="shared" si="40"/>
        <v>0</v>
      </c>
      <c r="I119" s="114">
        <f t="shared" si="40"/>
        <v>0</v>
      </c>
      <c r="J119" s="114">
        <f t="shared" si="40"/>
        <v>0</v>
      </c>
      <c r="K119" s="114">
        <f t="shared" si="40"/>
        <v>0</v>
      </c>
      <c r="L119" s="114">
        <f t="shared" si="40"/>
        <v>0</v>
      </c>
      <c r="M119" s="114">
        <f t="shared" si="40"/>
        <v>0</v>
      </c>
      <c r="N119" s="114">
        <f t="shared" si="40"/>
        <v>0</v>
      </c>
      <c r="O119" s="114">
        <f t="shared" si="40"/>
        <v>0</v>
      </c>
      <c r="P119" s="114">
        <f t="shared" si="40"/>
        <v>0</v>
      </c>
      <c r="Q119" s="114">
        <f t="shared" si="40"/>
        <v>0</v>
      </c>
      <c r="R119" s="114">
        <f t="shared" si="40"/>
        <v>0</v>
      </c>
      <c r="S119" s="114">
        <f>SUM(E119:P119)+R119</f>
        <v>0</v>
      </c>
      <c r="T119" s="101"/>
      <c r="U119" s="88"/>
      <c r="V119" s="88"/>
      <c r="W119" s="158"/>
      <c r="X119" s="156"/>
    </row>
    <row r="120" spans="2:26" s="7" customFormat="1" ht="18" customHeight="1">
      <c r="B120" s="29"/>
      <c r="C120" s="69" t="s">
        <v>534</v>
      </c>
      <c r="D120" s="115"/>
      <c r="E120" s="116">
        <f t="shared" ref="E120:Q120" si="41">ROUND((E119-E118-E73-E79-E85),0)</f>
        <v>0</v>
      </c>
      <c r="F120" s="116">
        <f t="shared" si="41"/>
        <v>0</v>
      </c>
      <c r="G120" s="116">
        <f t="shared" si="41"/>
        <v>0</v>
      </c>
      <c r="H120" s="116">
        <f t="shared" si="41"/>
        <v>0</v>
      </c>
      <c r="I120" s="116">
        <f t="shared" si="41"/>
        <v>0</v>
      </c>
      <c r="J120" s="116">
        <f t="shared" si="41"/>
        <v>0</v>
      </c>
      <c r="K120" s="116">
        <f t="shared" si="41"/>
        <v>0</v>
      </c>
      <c r="L120" s="116">
        <f t="shared" si="41"/>
        <v>0</v>
      </c>
      <c r="M120" s="116">
        <f t="shared" si="41"/>
        <v>0</v>
      </c>
      <c r="N120" s="116">
        <f t="shared" si="41"/>
        <v>0</v>
      </c>
      <c r="O120" s="116">
        <f t="shared" si="41"/>
        <v>0</v>
      </c>
      <c r="P120" s="116">
        <f t="shared" si="41"/>
        <v>0</v>
      </c>
      <c r="Q120" s="116">
        <f t="shared" si="41"/>
        <v>0</v>
      </c>
      <c r="R120" s="117"/>
      <c r="S120" s="97">
        <f>SUM(E120:R120)-Q120</f>
        <v>0</v>
      </c>
      <c r="T120" s="101"/>
      <c r="U120" s="88"/>
      <c r="V120" s="65"/>
      <c r="W120" s="154"/>
      <c r="X120" s="155"/>
    </row>
    <row r="121" spans="2:26">
      <c r="B121" s="16"/>
      <c r="D121" s="139"/>
      <c r="E121" s="137"/>
      <c r="F121" s="137"/>
      <c r="G121" s="137"/>
      <c r="H121" s="137"/>
      <c r="I121" s="140"/>
      <c r="J121" s="140"/>
      <c r="K121" s="140"/>
      <c r="L121" s="140"/>
      <c r="M121" s="140"/>
      <c r="N121" s="140"/>
      <c r="O121" s="140"/>
      <c r="P121" s="863"/>
      <c r="Q121" s="863"/>
      <c r="R121" s="863"/>
      <c r="S121" s="141"/>
      <c r="T121" s="118"/>
      <c r="U121" s="65"/>
      <c r="V121" s="65"/>
    </row>
    <row r="122" spans="2:26">
      <c r="B122" s="16"/>
      <c r="F122" s="137"/>
      <c r="G122" s="137"/>
      <c r="H122" s="137"/>
      <c r="I122" s="143"/>
      <c r="J122" s="143"/>
      <c r="K122" s="143"/>
      <c r="L122" s="143"/>
      <c r="M122" s="140"/>
      <c r="N122" s="140"/>
      <c r="O122" s="140"/>
      <c r="P122" s="863"/>
      <c r="Q122" s="863"/>
      <c r="R122" s="863"/>
      <c r="S122" s="144"/>
      <c r="T122" s="118"/>
      <c r="U122" s="65"/>
      <c r="V122" s="65"/>
    </row>
    <row r="123" spans="2:26" ht="15.5">
      <c r="B123" s="16"/>
      <c r="E123" s="168">
        <v>45748</v>
      </c>
      <c r="F123" s="168">
        <v>45778</v>
      </c>
      <c r="G123" s="168">
        <v>45809</v>
      </c>
      <c r="H123" s="168">
        <v>45839</v>
      </c>
      <c r="I123" s="168">
        <v>45870</v>
      </c>
      <c r="J123" s="168">
        <v>45901</v>
      </c>
      <c r="K123" s="168">
        <v>45931</v>
      </c>
      <c r="L123" s="168">
        <v>45962</v>
      </c>
      <c r="M123" s="168">
        <v>45992</v>
      </c>
      <c r="N123" s="168">
        <v>46023</v>
      </c>
      <c r="O123" s="168">
        <v>46054</v>
      </c>
      <c r="P123" s="168">
        <v>46082</v>
      </c>
      <c r="Q123" s="170" t="s">
        <v>477</v>
      </c>
      <c r="T123" s="118"/>
      <c r="U123" s="65"/>
      <c r="V123" s="65"/>
    </row>
    <row r="124" spans="2:26" ht="15.5">
      <c r="B124" s="16"/>
      <c r="C124" s="879" t="s">
        <v>535</v>
      </c>
      <c r="D124" s="880"/>
      <c r="E124" s="110">
        <f>-_xlfn.IFNA(VLOOKUP($D$4,'LA Expenditure'!$A:$T,8,FALSE),0)</f>
        <v>0</v>
      </c>
      <c r="F124" s="110">
        <f>-_xlfn.IFNA(VLOOKUP($D$4,'LA Expenditure'!$A:$T,9,FALSE),0)</f>
        <v>0</v>
      </c>
      <c r="G124" s="110">
        <f>-_xlfn.IFNA(VLOOKUP($D$4,'LA Expenditure'!$A:$T,10,FALSE),0)</f>
        <v>0</v>
      </c>
      <c r="H124" s="110">
        <f>-_xlfn.IFNA(VLOOKUP($D$4,'LA Expenditure'!$A:$T,11,FALSE),0)</f>
        <v>0</v>
      </c>
      <c r="I124" s="110">
        <f>-_xlfn.IFNA(VLOOKUP($D$4,'LA Expenditure'!$A:$T,12,FALSE),0)</f>
        <v>0</v>
      </c>
      <c r="J124" s="110"/>
      <c r="K124" s="110"/>
      <c r="L124" s="110"/>
      <c r="M124" s="110"/>
      <c r="N124" s="110"/>
      <c r="O124" s="110"/>
      <c r="P124" s="110"/>
      <c r="Q124" s="110">
        <f>SUM(E124:P124)</f>
        <v>0</v>
      </c>
      <c r="R124" s="140"/>
      <c r="S124" s="145"/>
      <c r="T124" s="118"/>
      <c r="U124" s="65"/>
      <c r="V124" s="65"/>
    </row>
    <row r="125" spans="2:26" ht="12.75" customHeight="1">
      <c r="B125" s="16"/>
      <c r="F125" s="137"/>
      <c r="G125" s="137"/>
      <c r="H125" s="137"/>
      <c r="J125" s="143"/>
      <c r="K125" s="143"/>
      <c r="L125" s="143"/>
      <c r="M125" s="140"/>
      <c r="N125" s="140"/>
      <c r="O125" s="140"/>
      <c r="P125" s="140"/>
      <c r="Q125" s="140"/>
      <c r="R125" s="140"/>
      <c r="S125" s="145"/>
      <c r="T125" s="118"/>
      <c r="U125" s="65"/>
      <c r="V125" s="65"/>
    </row>
    <row r="126" spans="2:26" ht="12.75" customHeight="1">
      <c r="B126" s="16"/>
      <c r="F126" s="137"/>
      <c r="G126" s="137"/>
      <c r="H126" s="137"/>
      <c r="I126" s="143"/>
      <c r="J126" s="143"/>
      <c r="K126" s="143"/>
      <c r="L126" s="143"/>
      <c r="M126" s="140"/>
      <c r="N126" s="140"/>
      <c r="O126" s="140"/>
      <c r="P126" s="140"/>
      <c r="Q126" s="140"/>
      <c r="R126" s="140"/>
      <c r="S126" s="145"/>
      <c r="T126" s="118"/>
      <c r="U126" s="65"/>
      <c r="V126" s="65"/>
    </row>
    <row r="127" spans="2:26">
      <c r="B127" s="16"/>
      <c r="F127" s="137"/>
      <c r="G127" s="137"/>
      <c r="H127" s="137"/>
      <c r="I127" s="143"/>
      <c r="J127" s="137"/>
      <c r="K127" s="137"/>
      <c r="L127" s="137"/>
      <c r="M127" s="137"/>
      <c r="N127" s="137"/>
      <c r="O127" s="137"/>
      <c r="P127" s="137"/>
      <c r="Q127" s="137"/>
      <c r="R127" s="137"/>
      <c r="S127" s="139"/>
      <c r="T127" s="85"/>
      <c r="U127" s="65"/>
      <c r="V127" s="65"/>
    </row>
    <row r="128" spans="2:26" ht="15.5">
      <c r="B128" s="16"/>
      <c r="C128" s="167" t="s">
        <v>536</v>
      </c>
      <c r="D128" s="139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9"/>
      <c r="T128" s="85"/>
      <c r="U128" s="65"/>
      <c r="V128" s="65"/>
    </row>
    <row r="129" spans="2:22" ht="15.5">
      <c r="B129" s="16"/>
      <c r="C129" s="167" t="s">
        <v>1221</v>
      </c>
      <c r="D129" s="139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9"/>
      <c r="T129" s="85"/>
      <c r="U129" s="65"/>
      <c r="V129" s="65"/>
    </row>
    <row r="130" spans="2:22" ht="15.5">
      <c r="B130" s="16"/>
      <c r="C130" s="167" t="s">
        <v>537</v>
      </c>
      <c r="D130" s="139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9"/>
      <c r="T130" s="85"/>
      <c r="U130" s="65"/>
      <c r="V130" s="65"/>
    </row>
    <row r="131" spans="2:22" ht="15.5">
      <c r="B131" s="16"/>
      <c r="C131" s="167" t="s">
        <v>538</v>
      </c>
      <c r="D131" s="139"/>
      <c r="E131" s="137"/>
      <c r="F131" s="137"/>
      <c r="G131" s="137"/>
      <c r="H131" s="137"/>
      <c r="I131" s="137"/>
      <c r="J131" s="160"/>
      <c r="K131" s="137"/>
      <c r="L131" s="137"/>
      <c r="M131" s="137"/>
      <c r="N131" s="137"/>
      <c r="O131" s="137"/>
      <c r="P131" s="137"/>
      <c r="Q131" s="137"/>
      <c r="R131" s="137"/>
      <c r="S131" s="139"/>
      <c r="T131" s="85"/>
      <c r="U131" s="65"/>
      <c r="V131" s="65"/>
    </row>
    <row r="132" spans="2:22" ht="15.5">
      <c r="B132" s="16"/>
      <c r="C132" s="167" t="s">
        <v>539</v>
      </c>
      <c r="D132" s="139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9"/>
      <c r="T132" s="85"/>
      <c r="U132" s="65"/>
      <c r="V132" s="65"/>
    </row>
    <row r="133" spans="2:22" ht="15.5">
      <c r="B133" s="16"/>
      <c r="C133" s="167" t="s">
        <v>540</v>
      </c>
      <c r="D133" s="139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9"/>
      <c r="T133" s="85"/>
      <c r="U133" s="65"/>
      <c r="V133" s="65"/>
    </row>
    <row r="134" spans="2:22" ht="15" thickBot="1">
      <c r="B134" s="16"/>
      <c r="C134" s="142"/>
      <c r="D134" s="139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9"/>
      <c r="T134" s="85"/>
      <c r="U134" s="65"/>
      <c r="V134" s="65"/>
    </row>
    <row r="135" spans="2:22" ht="17">
      <c r="B135" s="16"/>
      <c r="C135" s="59" t="s">
        <v>541</v>
      </c>
      <c r="D135" s="119"/>
      <c r="E135" s="120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9"/>
      <c r="T135" s="85"/>
      <c r="U135" s="65"/>
      <c r="V135" s="65"/>
    </row>
    <row r="136" spans="2:22" ht="15.5">
      <c r="B136" s="16"/>
      <c r="C136" s="60" t="s">
        <v>542</v>
      </c>
      <c r="D136" s="121" t="s">
        <v>21</v>
      </c>
      <c r="E136" s="122">
        <f t="shared" ref="E136:E150" si="42">SUMIF($D$45:$D$117,D136,$Q$45:$Q$119)</f>
        <v>0</v>
      </c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9"/>
      <c r="T136" s="85"/>
      <c r="U136" s="65"/>
      <c r="V136" s="65"/>
    </row>
    <row r="137" spans="2:22" ht="15.5">
      <c r="B137" s="16"/>
      <c r="C137" s="60" t="s">
        <v>543</v>
      </c>
      <c r="D137" s="121" t="s">
        <v>25</v>
      </c>
      <c r="E137" s="122">
        <f t="shared" si="42"/>
        <v>0</v>
      </c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9"/>
      <c r="T137" s="85"/>
      <c r="U137" s="65"/>
      <c r="V137" s="65"/>
    </row>
    <row r="138" spans="2:22" ht="15.5">
      <c r="B138" s="16"/>
      <c r="C138" s="60" t="s">
        <v>544</v>
      </c>
      <c r="D138" s="121" t="s">
        <v>24</v>
      </c>
      <c r="E138" s="122">
        <f t="shared" si="42"/>
        <v>0</v>
      </c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9"/>
      <c r="T138" s="85"/>
      <c r="U138" s="65"/>
      <c r="V138" s="65"/>
    </row>
    <row r="139" spans="2:22" ht="15.5">
      <c r="B139" s="16"/>
      <c r="C139" s="60" t="s">
        <v>545</v>
      </c>
      <c r="D139" s="121" t="s">
        <v>512</v>
      </c>
      <c r="E139" s="122">
        <f t="shared" si="42"/>
        <v>0</v>
      </c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9"/>
      <c r="T139" s="85"/>
      <c r="U139" s="65"/>
      <c r="V139" s="65"/>
    </row>
    <row r="140" spans="2:22" ht="15.5">
      <c r="B140" s="16"/>
      <c r="C140" s="60" t="s">
        <v>546</v>
      </c>
      <c r="D140" s="121" t="s">
        <v>515</v>
      </c>
      <c r="E140" s="122">
        <f t="shared" si="42"/>
        <v>0</v>
      </c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9"/>
      <c r="T140" s="85"/>
      <c r="U140" s="65"/>
      <c r="V140" s="65"/>
    </row>
    <row r="141" spans="2:22" ht="15.5">
      <c r="B141" s="16"/>
      <c r="C141" s="60" t="s">
        <v>493</v>
      </c>
      <c r="D141" s="121" t="s">
        <v>492</v>
      </c>
      <c r="E141" s="122">
        <f t="shared" si="42"/>
        <v>0</v>
      </c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9"/>
      <c r="T141" s="85"/>
      <c r="U141" s="65"/>
      <c r="V141" s="65"/>
    </row>
    <row r="142" spans="2:22" ht="15.5">
      <c r="B142" s="16"/>
      <c r="C142" s="61" t="s">
        <v>547</v>
      </c>
      <c r="D142" s="124" t="s">
        <v>530</v>
      </c>
      <c r="E142" s="123">
        <f t="shared" si="42"/>
        <v>0</v>
      </c>
      <c r="F142" s="139"/>
      <c r="G142" s="139"/>
      <c r="H142" s="139"/>
      <c r="I142" s="137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85"/>
      <c r="U142" s="65"/>
      <c r="V142" s="65"/>
    </row>
    <row r="143" spans="2:22" ht="15.5">
      <c r="B143" s="16"/>
      <c r="C143" s="61" t="s">
        <v>548</v>
      </c>
      <c r="D143" s="124" t="s">
        <v>549</v>
      </c>
      <c r="E143" s="123">
        <f t="shared" si="42"/>
        <v>0</v>
      </c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85"/>
      <c r="U143" s="65"/>
      <c r="V143" s="65"/>
    </row>
    <row r="144" spans="2:22" ht="15.5">
      <c r="B144" s="16"/>
      <c r="C144" s="61" t="s">
        <v>550</v>
      </c>
      <c r="D144" s="124" t="s">
        <v>551</v>
      </c>
      <c r="E144" s="123">
        <f t="shared" si="42"/>
        <v>0</v>
      </c>
      <c r="F144" s="65"/>
      <c r="G144" s="65"/>
      <c r="H144" s="65"/>
      <c r="I144" s="139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85"/>
      <c r="U144" s="65"/>
      <c r="V144" s="65"/>
    </row>
    <row r="145" spans="2:22" ht="15.5">
      <c r="B145" s="16"/>
      <c r="C145" s="61" t="s">
        <v>552</v>
      </c>
      <c r="D145" s="124" t="s">
        <v>553</v>
      </c>
      <c r="E145" s="123">
        <f t="shared" si="42"/>
        <v>0</v>
      </c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85"/>
      <c r="U145" s="65"/>
      <c r="V145" s="65"/>
    </row>
    <row r="146" spans="2:22" ht="15.5">
      <c r="B146" s="16"/>
      <c r="C146" s="61" t="s">
        <v>554</v>
      </c>
      <c r="D146" s="124" t="s">
        <v>23</v>
      </c>
      <c r="E146" s="123">
        <f t="shared" si="42"/>
        <v>0</v>
      </c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85"/>
      <c r="U146" s="65"/>
      <c r="V146" s="65"/>
    </row>
    <row r="147" spans="2:22" ht="15.5">
      <c r="B147" s="16"/>
      <c r="C147" s="61" t="s">
        <v>494</v>
      </c>
      <c r="D147" s="124" t="s">
        <v>495</v>
      </c>
      <c r="E147" s="123">
        <f t="shared" si="42"/>
        <v>0</v>
      </c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85"/>
      <c r="U147" s="65"/>
      <c r="V147" s="65"/>
    </row>
    <row r="148" spans="2:22" ht="15.5">
      <c r="B148" s="16"/>
      <c r="C148" s="61" t="s">
        <v>555</v>
      </c>
      <c r="D148" s="124" t="s">
        <v>26</v>
      </c>
      <c r="E148" s="123">
        <f t="shared" si="42"/>
        <v>0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85"/>
      <c r="U148" s="65"/>
      <c r="V148" s="65"/>
    </row>
    <row r="149" spans="2:22" ht="15.5">
      <c r="B149" s="16"/>
      <c r="C149" s="61" t="s">
        <v>556</v>
      </c>
      <c r="D149" s="124" t="s">
        <v>557</v>
      </c>
      <c r="E149" s="123">
        <f t="shared" si="42"/>
        <v>0</v>
      </c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85"/>
      <c r="U149" s="65"/>
      <c r="V149" s="65"/>
    </row>
    <row r="150" spans="2:22" ht="16" thickBot="1">
      <c r="B150" s="16"/>
      <c r="C150" s="62" t="s">
        <v>558</v>
      </c>
      <c r="D150" s="125" t="s">
        <v>22</v>
      </c>
      <c r="E150" s="126">
        <f t="shared" si="42"/>
        <v>0</v>
      </c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85"/>
      <c r="U150" s="65"/>
      <c r="V150" s="65"/>
    </row>
    <row r="151" spans="2:22">
      <c r="B151" s="16"/>
      <c r="C151" s="142"/>
      <c r="D151" s="440" t="s">
        <v>559</v>
      </c>
      <c r="E151" s="441">
        <f>SUM(E136:E150)</f>
        <v>0</v>
      </c>
      <c r="F151" s="442" t="s">
        <v>1219</v>
      </c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85"/>
      <c r="U151" s="65"/>
      <c r="V151" s="65"/>
    </row>
    <row r="152" spans="2:22" ht="15" thickBot="1">
      <c r="B152" s="25"/>
      <c r="C152" s="26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8"/>
      <c r="U152" s="65"/>
      <c r="V152" s="65"/>
    </row>
    <row r="153" spans="2:22">
      <c r="D153" s="33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2:22">
      <c r="D154" s="33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2:22" hidden="1">
      <c r="I155" s="6"/>
    </row>
    <row r="156" spans="2:22" hidden="1">
      <c r="D156" s="8"/>
    </row>
    <row r="157" spans="2:22" hidden="1">
      <c r="B157" s="11"/>
      <c r="C157" s="14"/>
      <c r="D157" s="14"/>
      <c r="E157" s="14"/>
      <c r="F157" s="14"/>
      <c r="G157" s="14"/>
      <c r="H157" s="14"/>
      <c r="J157" s="14"/>
      <c r="K157" s="14"/>
      <c r="L157" s="14"/>
      <c r="M157" s="14"/>
      <c r="N157" s="14"/>
      <c r="O157" s="14"/>
      <c r="P157" s="14"/>
      <c r="Q157" s="14"/>
      <c r="R157" s="14"/>
      <c r="S157" s="15"/>
    </row>
    <row r="158" spans="2:22" ht="18.5" hidden="1">
      <c r="B158" s="16"/>
      <c r="C158" s="10" t="s">
        <v>560</v>
      </c>
      <c r="D158" s="36"/>
      <c r="E158" s="34"/>
      <c r="F158" s="34"/>
      <c r="G158" s="34"/>
      <c r="H158" s="34"/>
      <c r="I158" s="14"/>
      <c r="J158" s="34"/>
      <c r="K158" s="34"/>
      <c r="L158" s="34"/>
      <c r="M158" s="34"/>
      <c r="N158" s="34"/>
      <c r="O158" s="34"/>
      <c r="P158" s="34"/>
      <c r="Q158" s="34"/>
      <c r="R158" s="24"/>
      <c r="S158" s="17"/>
    </row>
    <row r="159" spans="2:22" ht="18.5" hidden="1">
      <c r="B159" s="16"/>
      <c r="C159" s="10"/>
      <c r="D159" s="877" t="s">
        <v>476</v>
      </c>
      <c r="E159" s="30">
        <v>44287</v>
      </c>
      <c r="F159" s="30">
        <v>44317</v>
      </c>
      <c r="G159" s="30">
        <v>44348</v>
      </c>
      <c r="H159" s="30">
        <v>44378</v>
      </c>
      <c r="I159" s="34"/>
      <c r="J159" s="30">
        <v>44440</v>
      </c>
      <c r="K159" s="30">
        <v>44470</v>
      </c>
      <c r="L159" s="30">
        <v>44501</v>
      </c>
      <c r="M159" s="30">
        <v>44531</v>
      </c>
      <c r="N159" s="30">
        <v>44562</v>
      </c>
      <c r="O159" s="30">
        <v>44593</v>
      </c>
      <c r="P159" s="30">
        <v>44621</v>
      </c>
      <c r="Q159" s="30"/>
      <c r="R159" s="19" t="s">
        <v>479</v>
      </c>
      <c r="S159" s="17"/>
    </row>
    <row r="160" spans="2:22" ht="15.5" hidden="1">
      <c r="B160" s="16"/>
      <c r="D160" s="878"/>
      <c r="E160" s="30" t="s">
        <v>480</v>
      </c>
      <c r="F160" s="30" t="s">
        <v>480</v>
      </c>
      <c r="G160" s="30" t="s">
        <v>561</v>
      </c>
      <c r="H160" s="30" t="s">
        <v>480</v>
      </c>
      <c r="I160" s="30">
        <v>44409</v>
      </c>
      <c r="J160" s="30" t="s">
        <v>480</v>
      </c>
      <c r="K160" s="30" t="s">
        <v>480</v>
      </c>
      <c r="L160" s="30" t="s">
        <v>480</v>
      </c>
      <c r="M160" s="30" t="s">
        <v>480</v>
      </c>
      <c r="N160" s="30" t="s">
        <v>480</v>
      </c>
      <c r="O160" s="30" t="s">
        <v>480</v>
      </c>
      <c r="P160" s="30" t="s">
        <v>480</v>
      </c>
      <c r="Q160" s="30"/>
      <c r="R160" s="19"/>
      <c r="S160" s="17"/>
    </row>
    <row r="161" spans="1:19" ht="15.5" hidden="1">
      <c r="A161" t="s">
        <v>562</v>
      </c>
      <c r="B161" s="16"/>
      <c r="C161" s="20"/>
      <c r="D161" s="2"/>
      <c r="E161" s="31"/>
      <c r="F161" s="31"/>
      <c r="G161" s="31"/>
      <c r="H161" s="31"/>
      <c r="I161" s="30" t="s">
        <v>480</v>
      </c>
      <c r="J161" s="31"/>
      <c r="K161" s="31"/>
      <c r="L161" s="31"/>
      <c r="M161" s="31"/>
      <c r="N161" s="31"/>
      <c r="O161" s="31"/>
      <c r="P161" s="31"/>
      <c r="Q161" s="20"/>
      <c r="R161" s="35"/>
      <c r="S161" s="17"/>
    </row>
    <row r="162" spans="1:19" ht="15.5" hidden="1">
      <c r="B162" s="16"/>
      <c r="C162" s="2"/>
      <c r="D162" s="2"/>
      <c r="E162" s="31"/>
      <c r="F162" s="31"/>
      <c r="G162" s="31"/>
      <c r="H162" s="31"/>
      <c r="I162" s="31"/>
      <c r="J162" s="37"/>
      <c r="K162" s="31"/>
      <c r="L162" s="31"/>
      <c r="M162" s="31"/>
      <c r="N162" s="31"/>
      <c r="O162" s="31"/>
      <c r="P162" s="31"/>
      <c r="Q162" s="20"/>
      <c r="R162" s="35"/>
      <c r="S162" s="17"/>
    </row>
    <row r="163" spans="1:19" ht="15.5" hidden="1">
      <c r="B163" s="16"/>
      <c r="C163" s="2"/>
      <c r="D163" s="2"/>
      <c r="E163" s="31"/>
      <c r="F163" s="31"/>
      <c r="G163" s="31"/>
      <c r="H163" s="31"/>
      <c r="I163" s="31"/>
      <c r="J163" s="37"/>
      <c r="K163" s="31"/>
      <c r="L163" s="31"/>
      <c r="M163" s="31"/>
      <c r="N163" s="31"/>
      <c r="O163" s="31"/>
      <c r="P163" s="31"/>
      <c r="Q163" s="20"/>
      <c r="R163" s="35"/>
      <c r="S163" s="17"/>
    </row>
    <row r="164" spans="1:19" ht="15.5" hidden="1">
      <c r="B164" s="16"/>
      <c r="C164" s="2"/>
      <c r="D164" s="2"/>
      <c r="E164" s="31"/>
      <c r="F164" s="31"/>
      <c r="G164" s="31"/>
      <c r="H164" s="31"/>
      <c r="I164" s="31"/>
      <c r="J164" s="32"/>
      <c r="K164" s="31"/>
      <c r="L164" s="31"/>
      <c r="M164" s="31"/>
      <c r="N164" s="31"/>
      <c r="O164" s="31"/>
      <c r="P164" s="31"/>
      <c r="Q164" s="20"/>
      <c r="R164" s="35"/>
      <c r="S164" s="17"/>
    </row>
    <row r="165" spans="1:19" ht="15.5" hidden="1">
      <c r="B165" s="16"/>
      <c r="C165" s="2"/>
      <c r="D165" s="2"/>
      <c r="E165" s="20"/>
      <c r="F165" s="20"/>
      <c r="G165" s="20"/>
      <c r="H165" s="20"/>
      <c r="I165" s="31"/>
      <c r="J165" s="20"/>
      <c r="K165" s="31"/>
      <c r="L165" s="20"/>
      <c r="M165" s="20"/>
      <c r="N165" s="20"/>
      <c r="O165" s="20"/>
      <c r="P165" s="20"/>
      <c r="Q165" s="20"/>
      <c r="R165" s="35"/>
      <c r="S165" s="17"/>
    </row>
    <row r="166" spans="1:19" ht="15.5" hidden="1">
      <c r="B166" s="16"/>
      <c r="C166" s="2"/>
      <c r="D166" s="2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17"/>
    </row>
    <row r="167" spans="1:19" ht="18.5" hidden="1">
      <c r="B167" s="16"/>
      <c r="C167" s="38" t="s">
        <v>479</v>
      </c>
      <c r="D167" s="4"/>
      <c r="E167" s="39"/>
      <c r="F167" s="39"/>
      <c r="G167" s="39"/>
      <c r="H167" s="39"/>
      <c r="I167" s="20"/>
      <c r="J167" s="39"/>
      <c r="K167" s="39"/>
      <c r="L167" s="39"/>
      <c r="M167" s="39"/>
      <c r="N167" s="39"/>
      <c r="O167" s="39"/>
      <c r="P167" s="39"/>
      <c r="Q167" s="39"/>
      <c r="R167" s="39"/>
      <c r="S167" s="17"/>
    </row>
    <row r="168" spans="1:19" ht="16" hidden="1" thickBot="1">
      <c r="B168" s="25"/>
      <c r="C168" s="26"/>
      <c r="D168" s="26"/>
      <c r="E168" s="26"/>
      <c r="F168" s="26"/>
      <c r="G168" s="26"/>
      <c r="H168" s="26"/>
      <c r="I168" s="39"/>
      <c r="J168" s="26"/>
      <c r="K168" s="26"/>
      <c r="L168" s="26"/>
      <c r="M168" s="26"/>
      <c r="N168" s="26"/>
      <c r="O168" s="26"/>
      <c r="P168" s="26"/>
      <c r="Q168" s="26"/>
      <c r="R168" s="26"/>
      <c r="S168" s="27"/>
    </row>
    <row r="169" spans="1:19" ht="15" hidden="1" thickBot="1">
      <c r="I169" s="26"/>
    </row>
  </sheetData>
  <sheetProtection algorithmName="SHA-512" hashValue="opsA/RtgpQCP12uqCBKj9HVcrlqM40TeKpZEQfixIoSjc1xPRJRRg3vITn9HFj8KsD1oHPSKpvEGq3ID3X/TCw==" saltValue="OXg9Pa9HjG6plHc/LW/dvA==" spinCount="100000" sheet="1" objects="1" scenarios="1"/>
  <mergeCells count="3">
    <mergeCell ref="D43:D44"/>
    <mergeCell ref="D159:D160"/>
    <mergeCell ref="C124:D124"/>
  </mergeCells>
  <phoneticPr fontId="94" type="noConversion"/>
  <conditionalFormatting sqref="E120:S120">
    <cfRule type="cellIs" dxfId="98" priority="17" operator="notEqual">
      <formula>0</formula>
    </cfRule>
  </conditionalFormatting>
  <conditionalFormatting sqref="I13:I18 D13:H21 J13:P21 R13:V32 Q13:Q36 I20:I63 D22:G23 J22:J23 L22:P23 J24:P29 D24:H63 K30:P30 J31:P36 R33:U35 R36:V36 J37:V67 D64:I74 J68:U74 V68:V86 D75:U78 E79:U79 D80:H84 J80:U85 I80:I118 E85:H85 K86:U86 D86:H110 J87:V118 D111:G113 H112:H113 D114:H118 D119:V119 F120:Q120 D120:H121 J120:V122 I120:I124 F122:H122 T123:V123 J124:V152 F125:H151 I126:I152 D128:E151 D152:H152">
    <cfRule type="cellIs" dxfId="97" priority="6" operator="equal">
      <formula>0</formula>
    </cfRule>
  </conditionalFormatting>
  <conditionalFormatting sqref="I14:I18 D14:H21 J14:P21 Q14:S36 I20:I63 D22:G23 J22:J23 L22:P23 J24:P29 D24:H63 K30:P30 J31:P36 J37:R37 J38:S74 D64:I74 D75:S78 E79:S79 D80:H84 J80:S85 I80:I118 E85:H85 K86:S86 D86:H110 J87:S118 D111:G113 H112:H113 D114:H118 D119:S119 F120:Q120 D120:H121 J120:S122 I120:I124 F122:H122 J124:S141 F125:H141 I126:I142 D128:E150">
    <cfRule type="cellIs" dxfId="96" priority="16" operator="lessThan">
      <formula>0</formula>
    </cfRule>
  </conditionalFormatting>
  <conditionalFormatting sqref="J123:Q123 E123:H124">
    <cfRule type="cellIs" dxfId="95" priority="1" operator="equal">
      <formula>0</formula>
    </cfRule>
    <cfRule type="cellIs" dxfId="94" priority="2" operator="lessThan">
      <formula>0</formula>
    </cfRule>
  </conditionalFormatting>
  <conditionalFormatting sqref="S37">
    <cfRule type="cellIs" dxfId="93" priority="14" operator="equal">
      <formula>0</formula>
    </cfRule>
    <cfRule type="expression" dxfId="92" priority="15">
      <formula>0</formula>
    </cfRule>
  </conditionalFormatting>
  <conditionalFormatting sqref="S121">
    <cfRule type="containsText" dxfId="91" priority="30" operator="containsText" text="False">
      <formula>NOT(ISERROR(SEARCH("False",S121)))</formula>
    </cfRule>
  </conditionalFormatting>
  <conditionalFormatting sqref="U7:X9 AH10:AK29 AH31:AK38 U39:X40 V41:Y47 V47:V58 V49:Y63 V67:Y67 W68:Y73 V68:V99 X74:Y99 V87:Y119 W120:Y120 V121:Y152 U153:X153">
    <cfRule type="expression" dxfId="90" priority="47">
      <formula>0</formula>
    </cfRule>
  </conditionalFormatting>
  <conditionalFormatting sqref="U30:X30 U49:X63 U67:X67 W68:X72 U68:V99 X74:Y99 U100:X100 V102:V106 V111:V117 U116:Y116">
    <cfRule type="cellIs" dxfId="89" priority="3" operator="equal">
      <formula>0</formula>
    </cfRule>
  </conditionalFormatting>
  <conditionalFormatting sqref="U44:X47 V47:V58 U120 W120:Y120">
    <cfRule type="cellIs" dxfId="88" priority="20" operator="equal">
      <formula>0</formula>
    </cfRule>
  </conditionalFormatting>
  <conditionalFormatting sqref="V87:V99 W43:X47 W67:X73 X74:X99">
    <cfRule type="colorScale" priority="46">
      <colorScale>
        <cfvo type="num" val="&quot;&lt;0&quot;"/>
        <cfvo type="num" val="0"/>
        <color theme="1"/>
        <color theme="0"/>
      </colorScale>
    </cfRule>
  </conditionalFormatting>
  <conditionalFormatting sqref="V30:Y30">
    <cfRule type="expression" dxfId="87" priority="5">
      <formula>0</formula>
    </cfRule>
  </conditionalFormatting>
  <conditionalFormatting sqref="W68:W73 V87:V99 W116">
    <cfRule type="cellIs" dxfId="86" priority="42" operator="between">
      <formula>0.09999999999</formula>
      <formula>-1</formula>
    </cfRule>
  </conditionalFormatting>
  <conditionalFormatting sqref="W120">
    <cfRule type="cellIs" dxfId="85" priority="18" operator="between">
      <formula>0.09999999999</formula>
      <formula>-1</formula>
    </cfRule>
  </conditionalFormatting>
  <conditionalFormatting sqref="W30:X30 W49:X63 W112:X116 W100:X110">
    <cfRule type="colorScale" priority="4">
      <colorScale>
        <cfvo type="num" val="&quot;&lt;0&quot;"/>
        <cfvo type="num" val="0"/>
        <color theme="1"/>
        <color theme="0"/>
      </colorScale>
    </cfRule>
  </conditionalFormatting>
  <conditionalFormatting sqref="W68:X73 X74:X99 V87:V99 W116:X116">
    <cfRule type="cellIs" dxfId="84" priority="43" operator="between">
      <formula>0.00999999999</formula>
      <formula>0</formula>
    </cfRule>
  </conditionalFormatting>
  <conditionalFormatting sqref="W120:X120">
    <cfRule type="cellIs" dxfId="83" priority="19" operator="between">
      <formula>0.00999999999</formula>
      <formula>0</formula>
    </cfRule>
    <cfRule type="colorScale" priority="21">
      <colorScale>
        <cfvo type="num" val="&quot;&lt;0&quot;"/>
        <cfvo type="num" val="0"/>
        <color theme="1"/>
        <color theme="0"/>
      </colorScale>
    </cfRule>
  </conditionalFormatting>
  <conditionalFormatting sqref="W73:Y73">
    <cfRule type="cellIs" dxfId="82" priority="45" operator="equal">
      <formula>0</formula>
    </cfRule>
  </conditionalFormatting>
  <conditionalFormatting sqref="AH48:AK48">
    <cfRule type="expression" dxfId="81" priority="9">
      <formula>0</formula>
    </cfRule>
  </conditionalFormatting>
  <conditionalFormatting sqref="AH64:AK67">
    <cfRule type="expression" dxfId="80" priority="8">
      <formula>0</formula>
    </cfRule>
  </conditionalFormatting>
  <hyperlinks>
    <hyperlink ref="C87" r:id="rId1" xr:uid="{4CCB3455-5CF0-4E91-B1C6-690E016E4612}"/>
    <hyperlink ref="C88" r:id="rId2" xr:uid="{721427D9-F38B-4CBC-A1E4-C10959FAB220}"/>
    <hyperlink ref="C101" r:id="rId3" xr:uid="{24133DCE-B348-4591-B4A2-9B06C503DCAB}"/>
    <hyperlink ref="C107" r:id="rId4" xr:uid="{E46CAF17-B883-4F0A-8E13-0D40CDDE1615}"/>
    <hyperlink ref="C111" r:id="rId5" xr:uid="{ABE68501-6044-4164-B8E4-C545110D2843}"/>
    <hyperlink ref="C100" r:id="rId6" xr:uid="{B3BB876E-9F06-43E8-86CA-235A3DAD578C}"/>
    <hyperlink ref="C108" r:id="rId7" xr:uid="{1CDB262C-D963-4DCD-B591-20C568CA94E2}"/>
    <hyperlink ref="C112" r:id="rId8" xr:uid="{5A39BFDD-5FD1-4687-8FD2-7CB70797FE3D}"/>
    <hyperlink ref="C113" r:id="rId9" xr:uid="{4B4364C1-042C-4AED-ADCE-691973385024}"/>
    <hyperlink ref="C106" r:id="rId10" xr:uid="{35F6E6AD-1429-41CC-B5FB-98C1DE7A5573}"/>
    <hyperlink ref="C89" r:id="rId11" xr:uid="{4D74BE08-740B-4923-BCCE-895B32C40E46}"/>
    <hyperlink ref="C90" r:id="rId12" display="Teaches' Pension Employer Contribution Grant" xr:uid="{53B3AB0C-FB81-403F-8648-B6B6DA2C97D3}"/>
    <hyperlink ref="C91" r:id="rId13" display="Teachers' pay additional grant" xr:uid="{208A51AC-FDDC-49C2-8EC3-DF5D3B0195E0}"/>
    <hyperlink ref="C97" r:id="rId14" xr:uid="{84C0DDB8-6ECA-40C0-B628-D801CAC45AAD}"/>
    <hyperlink ref="C99" r:id="rId15" xr:uid="{83E44DBC-C093-4358-9253-CA2B91C480C9}"/>
    <hyperlink ref="C114" r:id="rId16" xr:uid="{326F3B25-83F8-43DF-96EB-28A8B34641DC}"/>
    <hyperlink ref="C93" r:id="rId17" xr:uid="{BD2A605C-AEC5-40AE-9220-776DC5C42DBD}"/>
    <hyperlink ref="C98" r:id="rId18" xr:uid="{E6CB8EFF-E51A-4743-8C1E-7840915CF0B3}"/>
    <hyperlink ref="C115" r:id="rId19" xr:uid="{07737712-95A7-4FDC-A52E-16309F978CBC}"/>
    <hyperlink ref="C95" r:id="rId20" xr:uid="{4F2D1ADC-B55F-489F-B839-F38F3094EB9E}"/>
    <hyperlink ref="C92" r:id="rId21" display="Early Years National Insurance Contributions" xr:uid="{BE76F40E-51B9-4F66-A696-8F2B369AF63E}"/>
  </hyperlinks>
  <pageMargins left="0.25" right="0.25" top="0.75" bottom="0.75" header="0.3" footer="0.3"/>
  <pageSetup paperSize="9" scale="19" orientation="landscape" r:id="rId22"/>
  <headerFooter>
    <oddFooter>&amp;C_x000D_&amp;1#&amp;"Calibri"&amp;10&amp;K000000 OFFICIAL</oddFooter>
  </headerFooter>
  <ignoredErrors>
    <ignoredError sqref="S48 G50 L52 M65" formula="1"/>
  </ignoredErrors>
  <drawing r:id="rId2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EC2428-B561-492B-A19F-BD17C6CF575E}">
          <x14:formula1>
            <xm:f>Lookup!$A$2:$A$211</xm:f>
          </x14:formula1>
          <xm:sqref>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396A-BDBA-4966-87C0-9B68B22E7FE6}">
  <sheetPr codeName="Sheet3">
    <tabColor theme="1"/>
    <pageSetUpPr fitToPage="1"/>
  </sheetPr>
  <dimension ref="A1:AF75"/>
  <sheetViews>
    <sheetView showGridLines="0" zoomScale="70" zoomScaleNormal="70" zoomScaleSheetLayoutView="90" workbookViewId="0">
      <selection activeCell="Q6" sqref="Q6"/>
    </sheetView>
  </sheetViews>
  <sheetFormatPr defaultColWidth="9.1796875" defaultRowHeight="14.5"/>
  <cols>
    <col min="1" max="1" width="1.7265625" style="471" customWidth="1"/>
    <col min="2" max="2" width="5.7265625" style="471" customWidth="1"/>
    <col min="3" max="3" width="57.81640625" style="471" customWidth="1"/>
    <col min="4" max="15" width="17.1796875" style="471" customWidth="1"/>
    <col min="16" max="18" width="16.7265625" style="471" customWidth="1"/>
    <col min="19" max="19" width="17.26953125" style="471" customWidth="1"/>
    <col min="20" max="20" width="2" style="471" customWidth="1"/>
    <col min="21" max="21" width="1.7265625" style="471" customWidth="1"/>
    <col min="22" max="22" width="21.453125" style="471" bestFit="1" customWidth="1"/>
    <col min="23" max="23" width="25" style="471" customWidth="1"/>
    <col min="24" max="24" width="9.1796875" style="471" customWidth="1"/>
    <col min="25" max="16384" width="9.1796875" style="471"/>
  </cols>
  <sheetData>
    <row r="1" spans="2:24" ht="25" customHeight="1">
      <c r="B1" s="468"/>
      <c r="C1" s="469" t="s">
        <v>563</v>
      </c>
      <c r="D1" s="470"/>
      <c r="E1" s="470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5"/>
      <c r="X1" s="472"/>
    </row>
    <row r="2" spans="2:24" ht="25" customHeight="1">
      <c r="B2" s="473"/>
      <c r="C2" s="474" t="s">
        <v>564</v>
      </c>
      <c r="D2" s="475"/>
      <c r="E2" s="475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9"/>
    </row>
    <row r="3" spans="2:24" ht="25" customHeight="1">
      <c r="B3" s="473"/>
      <c r="C3" s="475"/>
      <c r="D3" s="475"/>
      <c r="E3" s="475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9"/>
    </row>
    <row r="4" spans="2:24" ht="18.5">
      <c r="B4" s="473"/>
      <c r="C4" s="474" t="s">
        <v>433</v>
      </c>
      <c r="D4" s="476" t="str">
        <f>'1. Calculator'!D4</f>
        <v>-</v>
      </c>
      <c r="E4" s="475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9"/>
    </row>
    <row r="5" spans="2:24" ht="18.5">
      <c r="B5" s="473"/>
      <c r="C5" s="474" t="s">
        <v>434</v>
      </c>
      <c r="D5" s="477" t="str">
        <f>'1. Calculator'!D5</f>
        <v>-</v>
      </c>
      <c r="E5" s="475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9"/>
    </row>
    <row r="6" spans="2:24" ht="18.5">
      <c r="B6" s="473"/>
      <c r="C6" s="474" t="s">
        <v>435</v>
      </c>
      <c r="D6" s="477" t="str">
        <f>'1. Calculator'!D6</f>
        <v>Select School Name</v>
      </c>
      <c r="E6" s="475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9"/>
    </row>
    <row r="7" spans="2:24" ht="15" thickBot="1">
      <c r="B7" s="478"/>
      <c r="C7" s="479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1"/>
    </row>
    <row r="8" spans="2:24">
      <c r="C8" s="482"/>
      <c r="D8" s="472"/>
    </row>
    <row r="9" spans="2:24" ht="19" thickBot="1">
      <c r="C9" s="483"/>
      <c r="D9" s="472"/>
      <c r="F9" s="484"/>
      <c r="G9" s="485"/>
      <c r="I9" s="485"/>
      <c r="S9" s="486"/>
    </row>
    <row r="10" spans="2:24">
      <c r="B10" s="487"/>
      <c r="C10" s="488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489"/>
      <c r="R10" s="490"/>
      <c r="T10" s="491"/>
    </row>
    <row r="11" spans="2:24" ht="18.5">
      <c r="B11" s="492"/>
      <c r="C11" s="483"/>
      <c r="D11" s="472"/>
      <c r="E11" s="472"/>
      <c r="F11" s="472"/>
      <c r="G11" s="472"/>
      <c r="H11" s="472"/>
      <c r="I11" s="472"/>
      <c r="J11" s="472"/>
      <c r="K11" s="472"/>
      <c r="L11" s="472"/>
      <c r="M11" s="472"/>
      <c r="N11" s="472"/>
      <c r="O11" s="472"/>
      <c r="P11" s="472"/>
      <c r="Q11" s="472"/>
      <c r="T11" s="493"/>
    </row>
    <row r="12" spans="2:24" ht="15.5">
      <c r="B12" s="492"/>
      <c r="C12" s="464" t="s">
        <v>565</v>
      </c>
      <c r="D12" s="556">
        <v>45748</v>
      </c>
      <c r="E12" s="454">
        <f t="shared" ref="E12:O12" si="0">EDATE(D12,1)</f>
        <v>45778</v>
      </c>
      <c r="F12" s="454">
        <f t="shared" si="0"/>
        <v>45809</v>
      </c>
      <c r="G12" s="454">
        <f t="shared" si="0"/>
        <v>45839</v>
      </c>
      <c r="H12" s="454">
        <f t="shared" si="0"/>
        <v>45870</v>
      </c>
      <c r="I12" s="454">
        <f t="shared" si="0"/>
        <v>45901</v>
      </c>
      <c r="J12" s="454">
        <f t="shared" si="0"/>
        <v>45931</v>
      </c>
      <c r="K12" s="454">
        <f t="shared" si="0"/>
        <v>45962</v>
      </c>
      <c r="L12" s="454">
        <f t="shared" si="0"/>
        <v>45992</v>
      </c>
      <c r="M12" s="454">
        <f t="shared" si="0"/>
        <v>46023</v>
      </c>
      <c r="N12" s="454">
        <f t="shared" si="0"/>
        <v>46054</v>
      </c>
      <c r="O12" s="454">
        <f t="shared" si="0"/>
        <v>46082</v>
      </c>
      <c r="P12" s="886" t="s">
        <v>566</v>
      </c>
      <c r="Q12" s="886"/>
      <c r="R12" s="886"/>
      <c r="S12" s="886"/>
      <c r="T12" s="493"/>
    </row>
    <row r="13" spans="2:24" ht="15.5">
      <c r="B13" s="492"/>
      <c r="C13" s="462" t="s">
        <v>567</v>
      </c>
      <c r="D13" s="575" t="s">
        <v>478</v>
      </c>
      <c r="E13" s="557" t="s">
        <v>478</v>
      </c>
      <c r="F13" s="557" t="s">
        <v>478</v>
      </c>
      <c r="G13" s="557" t="s">
        <v>478</v>
      </c>
      <c r="H13" s="557" t="s">
        <v>478</v>
      </c>
      <c r="I13" s="557" t="s">
        <v>478</v>
      </c>
      <c r="J13" s="557" t="s">
        <v>478</v>
      </c>
      <c r="K13" s="557" t="s">
        <v>478</v>
      </c>
      <c r="L13" s="557" t="s">
        <v>478</v>
      </c>
      <c r="M13" s="557" t="s">
        <v>478</v>
      </c>
      <c r="N13" s="557" t="s">
        <v>478</v>
      </c>
      <c r="O13" s="557" t="s">
        <v>478</v>
      </c>
      <c r="P13" s="889"/>
      <c r="Q13" s="889"/>
      <c r="R13" s="889"/>
      <c r="S13" s="889"/>
      <c r="T13" s="494"/>
      <c r="U13" s="495"/>
      <c r="V13" s="496"/>
      <c r="W13" s="497"/>
    </row>
    <row r="14" spans="2:24" ht="18" customHeight="1">
      <c r="B14" s="492"/>
      <c r="C14" s="463"/>
      <c r="D14" s="458"/>
      <c r="E14" s="457"/>
      <c r="F14" s="457"/>
      <c r="G14" s="457"/>
      <c r="H14" s="457"/>
      <c r="I14" s="457"/>
      <c r="J14" s="457"/>
      <c r="K14" s="457"/>
      <c r="L14" s="457"/>
      <c r="M14" s="457"/>
      <c r="N14" s="457"/>
      <c r="O14" s="457"/>
      <c r="P14" s="459"/>
      <c r="Q14" s="456"/>
      <c r="R14" s="456"/>
      <c r="S14" s="498"/>
      <c r="T14" s="499"/>
      <c r="U14" s="495"/>
      <c r="V14" s="495"/>
      <c r="W14" s="497"/>
    </row>
    <row r="15" spans="2:24" ht="18" customHeight="1">
      <c r="B15" s="492"/>
      <c r="C15" s="500" t="s">
        <v>568</v>
      </c>
      <c r="D15" s="563">
        <f>SUMIFS('1. Calculator'!$E$119:$P$119,'1. Calculator'!$E$43:$P$43,'2. Cash Flow Statement'!D$12)</f>
        <v>0</v>
      </c>
      <c r="E15" s="563">
        <f>SUMIFS('1. Calculator'!$E$119:$P$119,'1. Calculator'!$E$43:$P$43,'2. Cash Flow Statement'!E$12)</f>
        <v>0</v>
      </c>
      <c r="F15" s="563">
        <f>SUMIFS('1. Calculator'!$E$119:$P$119,'1. Calculator'!$E$43:$P$43,'2. Cash Flow Statement'!F$12)</f>
        <v>0</v>
      </c>
      <c r="G15" s="563">
        <f>SUMIFS('1. Calculator'!$E$119:$P$119,'1. Calculator'!$E$43:$P$43,'2. Cash Flow Statement'!G$12)</f>
        <v>0</v>
      </c>
      <c r="H15" s="563">
        <f>SUMIFS('1. Calculator'!$E$119:$P$119,'1. Calculator'!$E$43:$P$43,'2. Cash Flow Statement'!H$12)</f>
        <v>0</v>
      </c>
      <c r="I15" s="563">
        <f>SUMIFS('1. Calculator'!$E$119:$P$119,'1. Calculator'!$E$43:$P$43,'2. Cash Flow Statement'!I$12)</f>
        <v>0</v>
      </c>
      <c r="J15" s="563">
        <f>SUMIFS('1. Calculator'!$E$119:$P$119,'1. Calculator'!$E$43:$P$43,'2. Cash Flow Statement'!J$12)</f>
        <v>0</v>
      </c>
      <c r="K15" s="563">
        <f>SUMIFS('1. Calculator'!$E$119:$P$119,'1. Calculator'!$E$43:$P$43,'2. Cash Flow Statement'!K$12)</f>
        <v>0</v>
      </c>
      <c r="L15" s="563">
        <f>SUMIFS('1. Calculator'!$E$119:$P$119,'1. Calculator'!$E$43:$P$43,'2. Cash Flow Statement'!L$12)</f>
        <v>0</v>
      </c>
      <c r="M15" s="563">
        <f>SUMIFS('1. Calculator'!$E$119:$P$119,'1. Calculator'!$E$43:$P$43,'2. Cash Flow Statement'!M$12)</f>
        <v>0</v>
      </c>
      <c r="N15" s="563">
        <f>SUMIFS('1. Calculator'!$E$119:$P$119,'1. Calculator'!$E$43:$P$43,'2. Cash Flow Statement'!N$12)</f>
        <v>0</v>
      </c>
      <c r="O15" s="563">
        <f>SUMIFS('1. Calculator'!$E$119:$P$119,'1. Calculator'!$E$43:$P$43,'2. Cash Flow Statement'!O$12)</f>
        <v>0</v>
      </c>
      <c r="P15" s="890"/>
      <c r="Q15" s="890"/>
      <c r="R15" s="890"/>
      <c r="S15" s="890"/>
      <c r="T15" s="499"/>
      <c r="U15" s="495"/>
      <c r="V15" s="495"/>
      <c r="W15" s="497"/>
    </row>
    <row r="16" spans="2:24" ht="18" customHeight="1">
      <c r="B16" s="492"/>
      <c r="C16" s="561"/>
      <c r="D16" s="562"/>
      <c r="E16" s="562"/>
      <c r="F16" s="562"/>
      <c r="G16" s="562"/>
      <c r="H16" s="562"/>
      <c r="I16" s="562"/>
      <c r="J16" s="562"/>
      <c r="K16" s="562"/>
      <c r="L16" s="562"/>
      <c r="M16" s="562"/>
      <c r="N16" s="562"/>
      <c r="O16" s="562"/>
      <c r="P16" s="825"/>
      <c r="Q16" s="825"/>
      <c r="R16" s="825"/>
      <c r="S16" s="825"/>
      <c r="T16" s="499"/>
      <c r="U16" s="495"/>
      <c r="V16" s="495"/>
      <c r="W16" s="497"/>
    </row>
    <row r="17" spans="2:26" ht="18" customHeight="1">
      <c r="B17" s="492"/>
      <c r="C17" s="500" t="s">
        <v>569</v>
      </c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890"/>
      <c r="Q17" s="890"/>
      <c r="R17" s="890"/>
      <c r="S17" s="890"/>
      <c r="T17" s="499"/>
      <c r="U17" s="495"/>
      <c r="V17" s="495"/>
      <c r="W17" s="497"/>
    </row>
    <row r="18" spans="2:26" ht="18" customHeight="1">
      <c r="B18" s="492"/>
      <c r="P18" s="825"/>
      <c r="Q18" s="825"/>
      <c r="R18" s="825"/>
      <c r="S18" s="825"/>
      <c r="T18" s="499"/>
      <c r="U18" s="495"/>
      <c r="V18" s="495"/>
      <c r="W18" s="497"/>
    </row>
    <row r="19" spans="2:26" ht="18" customHeight="1">
      <c r="B19" s="492"/>
      <c r="C19" s="579" t="s">
        <v>570</v>
      </c>
      <c r="D19" s="467"/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  <c r="P19" s="891"/>
      <c r="Q19" s="891"/>
      <c r="R19" s="891"/>
      <c r="S19" s="891"/>
      <c r="T19" s="499"/>
      <c r="U19" s="495"/>
      <c r="V19" s="495"/>
      <c r="W19" s="497"/>
    </row>
    <row r="20" spans="2:26" ht="18" customHeight="1">
      <c r="B20" s="492"/>
      <c r="P20" s="826"/>
      <c r="Q20" s="826"/>
      <c r="R20" s="826"/>
      <c r="S20" s="826"/>
      <c r="T20" s="499"/>
      <c r="U20" s="495"/>
      <c r="V20" s="495"/>
      <c r="W20" s="497"/>
    </row>
    <row r="21" spans="2:26" ht="18" customHeight="1" thickBot="1">
      <c r="B21" s="492"/>
      <c r="C21" s="501" t="s">
        <v>571</v>
      </c>
      <c r="D21" s="465">
        <f>D15+D17+D19</f>
        <v>0</v>
      </c>
      <c r="E21" s="465">
        <f t="shared" ref="E21:O21" si="1">E15+E17+E19</f>
        <v>0</v>
      </c>
      <c r="F21" s="465">
        <f t="shared" si="1"/>
        <v>0</v>
      </c>
      <c r="G21" s="465">
        <f t="shared" si="1"/>
        <v>0</v>
      </c>
      <c r="H21" s="465">
        <f t="shared" si="1"/>
        <v>0</v>
      </c>
      <c r="I21" s="465">
        <f t="shared" si="1"/>
        <v>0</v>
      </c>
      <c r="J21" s="465">
        <f t="shared" si="1"/>
        <v>0</v>
      </c>
      <c r="K21" s="465">
        <f t="shared" si="1"/>
        <v>0</v>
      </c>
      <c r="L21" s="465">
        <f t="shared" si="1"/>
        <v>0</v>
      </c>
      <c r="M21" s="465">
        <f t="shared" si="1"/>
        <v>0</v>
      </c>
      <c r="N21" s="465">
        <f t="shared" si="1"/>
        <v>0</v>
      </c>
      <c r="O21" s="465">
        <f t="shared" si="1"/>
        <v>0</v>
      </c>
      <c r="P21" s="887"/>
      <c r="Q21" s="887"/>
      <c r="R21" s="887"/>
      <c r="S21" s="887"/>
      <c r="T21" s="499"/>
      <c r="U21" s="495"/>
      <c r="V21" s="495"/>
      <c r="W21" s="497"/>
    </row>
    <row r="22" spans="2:26" ht="18" customHeight="1">
      <c r="B22" s="492"/>
      <c r="C22" s="463"/>
      <c r="D22" s="458"/>
      <c r="E22" s="459"/>
      <c r="F22" s="457"/>
      <c r="G22" s="459"/>
      <c r="H22" s="457"/>
      <c r="I22" s="459"/>
      <c r="J22" s="457"/>
      <c r="K22" s="457"/>
      <c r="L22" s="457"/>
      <c r="M22" s="457"/>
      <c r="N22" s="457"/>
      <c r="O22" s="457"/>
      <c r="P22" s="457"/>
      <c r="Q22" s="457"/>
      <c r="R22" s="456"/>
      <c r="S22" s="498"/>
      <c r="T22" s="499"/>
      <c r="U22" s="495"/>
      <c r="V22" s="495"/>
      <c r="W22" s="497"/>
    </row>
    <row r="23" spans="2:26" ht="18" customHeight="1">
      <c r="B23" s="492"/>
      <c r="C23" s="463"/>
      <c r="D23" s="458"/>
      <c r="E23" s="457"/>
      <c r="F23" s="459"/>
      <c r="G23" s="459"/>
      <c r="I23" s="459"/>
      <c r="J23" s="457"/>
      <c r="L23" s="457"/>
      <c r="M23" s="457"/>
      <c r="N23" s="457"/>
      <c r="O23" s="457"/>
      <c r="P23" s="457"/>
      <c r="Q23" s="457"/>
      <c r="R23" s="456"/>
      <c r="S23" s="498"/>
      <c r="T23" s="499"/>
      <c r="U23" s="495"/>
      <c r="V23" s="495"/>
      <c r="W23" s="497"/>
    </row>
    <row r="24" spans="2:26" ht="18" customHeight="1">
      <c r="B24" s="492"/>
      <c r="C24" s="500" t="s">
        <v>572</v>
      </c>
      <c r="D24" s="467"/>
      <c r="E24" s="467"/>
      <c r="F24" s="467"/>
      <c r="G24" s="467"/>
      <c r="H24" s="467"/>
      <c r="I24" s="467"/>
      <c r="J24" s="467"/>
      <c r="K24" s="467"/>
      <c r="L24" s="467"/>
      <c r="M24" s="467"/>
      <c r="N24" s="467"/>
      <c r="O24" s="467"/>
      <c r="P24" s="890"/>
      <c r="Q24" s="890"/>
      <c r="R24" s="890"/>
      <c r="S24" s="890"/>
      <c r="T24" s="499"/>
      <c r="U24" s="495"/>
      <c r="V24" s="495"/>
      <c r="W24" s="497"/>
    </row>
    <row r="25" spans="2:26" ht="18" customHeight="1">
      <c r="B25" s="492"/>
      <c r="C25" s="463"/>
      <c r="D25" s="458"/>
      <c r="E25" s="459"/>
      <c r="F25" s="459"/>
      <c r="G25" s="459"/>
      <c r="H25" s="459"/>
      <c r="I25" s="459"/>
      <c r="J25" s="457"/>
      <c r="K25" s="457"/>
      <c r="L25" s="457"/>
      <c r="M25" s="457"/>
      <c r="N25" s="457"/>
      <c r="O25" s="457"/>
      <c r="P25" s="457"/>
      <c r="Q25" s="457"/>
      <c r="R25" s="456"/>
      <c r="S25" s="498"/>
      <c r="T25" s="499"/>
      <c r="U25" s="495"/>
      <c r="V25" s="495"/>
      <c r="W25" s="497"/>
    </row>
    <row r="26" spans="2:26" ht="18" customHeight="1">
      <c r="B26" s="492"/>
      <c r="C26" s="500" t="s">
        <v>573</v>
      </c>
      <c r="D26" s="467"/>
      <c r="E26" s="467"/>
      <c r="F26" s="467"/>
      <c r="G26" s="467"/>
      <c r="H26" s="467"/>
      <c r="I26" s="467"/>
      <c r="J26" s="467"/>
      <c r="K26" s="467"/>
      <c r="L26" s="467"/>
      <c r="M26" s="467"/>
      <c r="N26" s="467"/>
      <c r="O26" s="467"/>
      <c r="P26" s="890"/>
      <c r="Q26" s="890"/>
      <c r="R26" s="890"/>
      <c r="S26" s="890"/>
      <c r="T26" s="499"/>
      <c r="U26" s="495"/>
      <c r="V26" s="495"/>
      <c r="W26" s="497"/>
    </row>
    <row r="27" spans="2:26" ht="18" customHeight="1">
      <c r="B27" s="492"/>
      <c r="C27" s="463"/>
      <c r="D27" s="458"/>
      <c r="E27" s="459"/>
      <c r="F27" s="457"/>
      <c r="G27" s="459"/>
      <c r="H27" s="459"/>
      <c r="I27" s="459"/>
      <c r="J27" s="457"/>
      <c r="K27" s="457"/>
      <c r="L27" s="457"/>
      <c r="M27" s="457"/>
      <c r="N27" s="457"/>
      <c r="O27" s="457"/>
      <c r="P27" s="457"/>
      <c r="Q27" s="457"/>
      <c r="R27" s="456"/>
      <c r="S27" s="498"/>
      <c r="T27" s="499"/>
      <c r="U27" s="495"/>
      <c r="V27" s="495"/>
      <c r="W27" s="497"/>
    </row>
    <row r="28" spans="2:26" ht="18" customHeight="1" thickBot="1">
      <c r="B28" s="492"/>
      <c r="C28" s="501" t="s">
        <v>574</v>
      </c>
      <c r="D28" s="465">
        <f>D24+D26</f>
        <v>0</v>
      </c>
      <c r="E28" s="465">
        <f t="shared" ref="E28:O28" si="2">E24+E26</f>
        <v>0</v>
      </c>
      <c r="F28" s="465">
        <f t="shared" si="2"/>
        <v>0</v>
      </c>
      <c r="G28" s="465">
        <f t="shared" si="2"/>
        <v>0</v>
      </c>
      <c r="H28" s="465">
        <f t="shared" si="2"/>
        <v>0</v>
      </c>
      <c r="I28" s="465">
        <f t="shared" si="2"/>
        <v>0</v>
      </c>
      <c r="J28" s="465">
        <f t="shared" si="2"/>
        <v>0</v>
      </c>
      <c r="K28" s="465">
        <f t="shared" si="2"/>
        <v>0</v>
      </c>
      <c r="L28" s="465">
        <f t="shared" si="2"/>
        <v>0</v>
      </c>
      <c r="M28" s="465">
        <f t="shared" si="2"/>
        <v>0</v>
      </c>
      <c r="N28" s="465">
        <f t="shared" si="2"/>
        <v>0</v>
      </c>
      <c r="O28" s="465">
        <f t="shared" si="2"/>
        <v>0</v>
      </c>
      <c r="P28" s="887"/>
      <c r="Q28" s="887"/>
      <c r="R28" s="887"/>
      <c r="S28" s="887"/>
      <c r="T28" s="499"/>
      <c r="U28" s="495"/>
      <c r="V28" s="495"/>
      <c r="W28" s="497"/>
    </row>
    <row r="29" spans="2:26" ht="18" customHeight="1">
      <c r="B29" s="492"/>
      <c r="C29" s="463"/>
      <c r="D29" s="458"/>
      <c r="E29" s="459"/>
      <c r="F29" s="459"/>
      <c r="G29" s="459"/>
      <c r="H29" s="459"/>
      <c r="I29" s="459"/>
      <c r="J29" s="457"/>
      <c r="K29" s="457"/>
      <c r="L29" s="457"/>
      <c r="M29" s="457"/>
      <c r="N29" s="457"/>
      <c r="O29" s="457"/>
      <c r="P29" s="457"/>
      <c r="Q29" s="457"/>
      <c r="R29" s="456"/>
      <c r="S29" s="498"/>
      <c r="T29" s="499"/>
      <c r="U29" s="495"/>
      <c r="V29" s="495"/>
      <c r="W29" s="497"/>
    </row>
    <row r="30" spans="2:26" ht="18" customHeight="1" thickBot="1">
      <c r="B30" s="492"/>
      <c r="C30" s="501" t="s">
        <v>575</v>
      </c>
      <c r="D30" s="466">
        <f>D21-D28</f>
        <v>0</v>
      </c>
      <c r="E30" s="466">
        <f t="shared" ref="E30:O30" si="3">E21-E28</f>
        <v>0</v>
      </c>
      <c r="F30" s="466">
        <f t="shared" si="3"/>
        <v>0</v>
      </c>
      <c r="G30" s="466">
        <f t="shared" si="3"/>
        <v>0</v>
      </c>
      <c r="H30" s="466">
        <f t="shared" si="3"/>
        <v>0</v>
      </c>
      <c r="I30" s="466">
        <f t="shared" si="3"/>
        <v>0</v>
      </c>
      <c r="J30" s="466">
        <f t="shared" si="3"/>
        <v>0</v>
      </c>
      <c r="K30" s="466">
        <f t="shared" si="3"/>
        <v>0</v>
      </c>
      <c r="L30" s="466">
        <f t="shared" si="3"/>
        <v>0</v>
      </c>
      <c r="M30" s="466">
        <f t="shared" si="3"/>
        <v>0</v>
      </c>
      <c r="N30" s="466">
        <f t="shared" si="3"/>
        <v>0</v>
      </c>
      <c r="O30" s="466">
        <f t="shared" si="3"/>
        <v>0</v>
      </c>
      <c r="P30" s="888"/>
      <c r="Q30" s="888"/>
      <c r="R30" s="888"/>
      <c r="S30" s="888"/>
      <c r="T30" s="499"/>
      <c r="U30" s="495"/>
      <c r="V30" s="495"/>
      <c r="W30" s="497"/>
    </row>
    <row r="31" spans="2:26" ht="18" customHeight="1" thickTop="1">
      <c r="B31" s="492"/>
      <c r="C31" s="502"/>
      <c r="D31" s="458"/>
      <c r="E31" s="457"/>
      <c r="F31" s="457"/>
      <c r="G31" s="459"/>
      <c r="H31" s="459"/>
      <c r="I31" s="457"/>
      <c r="J31" s="457"/>
      <c r="K31" s="457"/>
      <c r="L31" s="457"/>
      <c r="M31" s="457"/>
      <c r="N31" s="457"/>
      <c r="O31" s="457"/>
      <c r="P31" s="457"/>
      <c r="Q31" s="457"/>
      <c r="R31" s="456"/>
      <c r="S31" s="498"/>
      <c r="T31" s="499"/>
      <c r="U31" s="495"/>
      <c r="V31" s="495"/>
      <c r="W31" s="497"/>
    </row>
    <row r="32" spans="2:26" s="508" customFormat="1" ht="18" customHeight="1">
      <c r="B32" s="503"/>
      <c r="C32" s="504" t="s">
        <v>576</v>
      </c>
      <c r="D32" s="245"/>
      <c r="E32" s="460"/>
      <c r="F32" s="457"/>
      <c r="G32" s="246"/>
      <c r="H32" s="246"/>
      <c r="I32" s="246"/>
      <c r="J32" s="246"/>
      <c r="K32" s="246"/>
      <c r="L32" s="246"/>
      <c r="M32" s="246"/>
      <c r="N32" s="246"/>
      <c r="O32" s="246"/>
      <c r="P32" s="457"/>
      <c r="Q32" s="457"/>
      <c r="R32" s="459"/>
      <c r="S32" s="498"/>
      <c r="T32" s="499"/>
      <c r="U32" s="495"/>
      <c r="V32" s="495"/>
      <c r="W32" s="505"/>
      <c r="X32" s="506"/>
      <c r="Y32" s="507"/>
      <c r="Z32" s="507"/>
    </row>
    <row r="33" spans="2:32" ht="18" customHeight="1">
      <c r="B33" s="492"/>
      <c r="C33" s="463" t="s">
        <v>577</v>
      </c>
      <c r="D33" s="558"/>
      <c r="E33" s="459">
        <f>D35</f>
        <v>0</v>
      </c>
      <c r="F33" s="459">
        <f t="shared" ref="F33:O33" si="4">E35</f>
        <v>0</v>
      </c>
      <c r="G33" s="459">
        <f t="shared" si="4"/>
        <v>0</v>
      </c>
      <c r="H33" s="459">
        <f t="shared" si="4"/>
        <v>0</v>
      </c>
      <c r="I33" s="459">
        <f t="shared" si="4"/>
        <v>0</v>
      </c>
      <c r="J33" s="459">
        <f t="shared" si="4"/>
        <v>0</v>
      </c>
      <c r="K33" s="459">
        <f t="shared" si="4"/>
        <v>0</v>
      </c>
      <c r="L33" s="459">
        <f t="shared" si="4"/>
        <v>0</v>
      </c>
      <c r="M33" s="459">
        <f t="shared" si="4"/>
        <v>0</v>
      </c>
      <c r="N33" s="459">
        <f t="shared" si="4"/>
        <v>0</v>
      </c>
      <c r="O33" s="459">
        <f t="shared" si="4"/>
        <v>0</v>
      </c>
      <c r="P33" s="826"/>
      <c r="Q33" s="826"/>
      <c r="R33" s="826"/>
      <c r="S33" s="826"/>
      <c r="T33" s="499"/>
      <c r="U33" s="495"/>
      <c r="V33" s="495"/>
    </row>
    <row r="34" spans="2:32" ht="18" customHeight="1">
      <c r="B34" s="492"/>
      <c r="C34" s="463" t="s">
        <v>575</v>
      </c>
      <c r="D34" s="458">
        <f>D30</f>
        <v>0</v>
      </c>
      <c r="E34" s="458">
        <f t="shared" ref="E34:O34" si="5">E30</f>
        <v>0</v>
      </c>
      <c r="F34" s="458">
        <f t="shared" si="5"/>
        <v>0</v>
      </c>
      <c r="G34" s="458">
        <f t="shared" si="5"/>
        <v>0</v>
      </c>
      <c r="H34" s="458">
        <f t="shared" si="5"/>
        <v>0</v>
      </c>
      <c r="I34" s="458">
        <f t="shared" si="5"/>
        <v>0</v>
      </c>
      <c r="J34" s="458">
        <f t="shared" si="5"/>
        <v>0</v>
      </c>
      <c r="K34" s="458">
        <f t="shared" si="5"/>
        <v>0</v>
      </c>
      <c r="L34" s="458">
        <f t="shared" si="5"/>
        <v>0</v>
      </c>
      <c r="M34" s="458">
        <f t="shared" si="5"/>
        <v>0</v>
      </c>
      <c r="N34" s="458">
        <f t="shared" si="5"/>
        <v>0</v>
      </c>
      <c r="O34" s="458">
        <f t="shared" si="5"/>
        <v>0</v>
      </c>
      <c r="P34" s="825"/>
      <c r="Q34" s="825"/>
      <c r="R34" s="825"/>
      <c r="S34" s="825"/>
      <c r="T34" s="499"/>
      <c r="U34" s="495"/>
      <c r="V34" s="495"/>
      <c r="W34" s="497"/>
      <c r="Y34" s="497"/>
    </row>
    <row r="35" spans="2:32" ht="18" customHeight="1" thickBot="1">
      <c r="B35" s="492"/>
      <c r="C35" s="463" t="s">
        <v>578</v>
      </c>
      <c r="D35" s="461">
        <f>SUM(D33:D34)+D37</f>
        <v>0</v>
      </c>
      <c r="E35" s="461">
        <f t="shared" ref="E35:O35" si="6">SUM(E33:E34)+E37</f>
        <v>0</v>
      </c>
      <c r="F35" s="461">
        <f t="shared" si="6"/>
        <v>0</v>
      </c>
      <c r="G35" s="461">
        <f t="shared" si="6"/>
        <v>0</v>
      </c>
      <c r="H35" s="461">
        <f t="shared" si="6"/>
        <v>0</v>
      </c>
      <c r="I35" s="461">
        <f t="shared" si="6"/>
        <v>0</v>
      </c>
      <c r="J35" s="461">
        <f t="shared" si="6"/>
        <v>0</v>
      </c>
      <c r="K35" s="461">
        <f t="shared" si="6"/>
        <v>0</v>
      </c>
      <c r="L35" s="461">
        <f t="shared" si="6"/>
        <v>0</v>
      </c>
      <c r="M35" s="461">
        <f t="shared" si="6"/>
        <v>0</v>
      </c>
      <c r="N35" s="461">
        <f t="shared" si="6"/>
        <v>0</v>
      </c>
      <c r="O35" s="461">
        <f t="shared" si="6"/>
        <v>0</v>
      </c>
      <c r="P35" s="827"/>
      <c r="Q35" s="827"/>
      <c r="R35" s="827"/>
      <c r="S35" s="827"/>
      <c r="T35" s="499"/>
      <c r="U35" s="495"/>
    </row>
    <row r="36" spans="2:32" ht="18" customHeight="1" thickTop="1">
      <c r="B36" s="492"/>
      <c r="C36" s="504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459"/>
      <c r="Q36" s="459"/>
      <c r="R36" s="459"/>
      <c r="S36" s="509"/>
      <c r="T36" s="499"/>
      <c r="U36" s="495"/>
    </row>
    <row r="37" spans="2:32" ht="18" customHeight="1">
      <c r="B37" s="492"/>
      <c r="C37" s="501" t="s">
        <v>579</v>
      </c>
      <c r="D37" s="560"/>
      <c r="E37" s="560"/>
      <c r="F37" s="560"/>
      <c r="G37" s="560"/>
      <c r="H37" s="560"/>
      <c r="I37" s="560"/>
      <c r="J37" s="560"/>
      <c r="K37" s="560"/>
      <c r="L37" s="560"/>
      <c r="M37" s="560"/>
      <c r="N37" s="560"/>
      <c r="O37" s="560"/>
      <c r="P37" s="245" t="s">
        <v>580</v>
      </c>
      <c r="Q37" s="245"/>
      <c r="R37" s="246"/>
      <c r="S37" s="498"/>
      <c r="T37" s="499"/>
      <c r="U37" s="495"/>
      <c r="V37" s="495"/>
      <c r="Y37" s="510"/>
    </row>
    <row r="38" spans="2:32" ht="17.149999999999999" customHeight="1" thickBot="1">
      <c r="B38" s="512"/>
      <c r="C38" s="513"/>
      <c r="D38" s="514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6"/>
      <c r="S38" s="517"/>
      <c r="T38" s="518"/>
      <c r="U38" s="519"/>
      <c r="V38" s="519"/>
      <c r="W38" s="520"/>
      <c r="X38" s="520"/>
      <c r="Z38" s="510"/>
      <c r="AB38" s="520"/>
      <c r="AC38" s="520"/>
      <c r="AD38" s="520"/>
      <c r="AE38" s="520"/>
      <c r="AF38" s="520"/>
    </row>
    <row r="39" spans="2:32" ht="17.149999999999999" customHeight="1">
      <c r="C39" s="463"/>
      <c r="D39" s="455"/>
      <c r="E39" s="456"/>
      <c r="F39" s="456"/>
      <c r="G39" s="456"/>
      <c r="H39" s="521"/>
      <c r="I39" s="521"/>
      <c r="J39" s="521"/>
      <c r="K39" s="521"/>
      <c r="L39" s="521"/>
      <c r="M39" s="521"/>
      <c r="N39" s="521"/>
      <c r="O39" s="521"/>
      <c r="P39" s="521"/>
      <c r="Q39" s="521"/>
      <c r="R39" s="521"/>
      <c r="S39" s="522"/>
      <c r="T39" s="495"/>
      <c r="U39" s="495"/>
      <c r="V39" s="495"/>
      <c r="Y39" s="497"/>
    </row>
    <row r="40" spans="2:32" ht="18.75" customHeight="1" thickBot="1">
      <c r="C40" s="483"/>
      <c r="D40" s="523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S40" s="524"/>
      <c r="T40" s="495"/>
      <c r="U40" s="495"/>
      <c r="V40" s="495"/>
      <c r="Y40" s="497"/>
    </row>
    <row r="41" spans="2:32" ht="30" customHeight="1">
      <c r="B41" s="487"/>
      <c r="C41" s="525" t="s">
        <v>581</v>
      </c>
      <c r="D41" s="526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8"/>
      <c r="T41" s="529"/>
      <c r="U41" s="495"/>
      <c r="V41" s="495"/>
      <c r="W41" s="530"/>
      <c r="X41" s="530"/>
      <c r="Y41" s="497"/>
      <c r="Z41" s="530"/>
    </row>
    <row r="42" spans="2:32" ht="35.15" customHeight="1">
      <c r="B42" s="492"/>
      <c r="C42" s="559" t="s">
        <v>582</v>
      </c>
      <c r="D42" s="883"/>
      <c r="E42" s="883"/>
      <c r="F42" s="883"/>
      <c r="G42" s="883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531"/>
      <c r="T42" s="494"/>
      <c r="U42" s="495"/>
      <c r="V42" s="495"/>
      <c r="W42" s="530"/>
      <c r="X42" s="530"/>
      <c r="Y42" s="497"/>
      <c r="Z42" s="530"/>
    </row>
    <row r="43" spans="2:32" s="508" customFormat="1" ht="35.15" customHeight="1">
      <c r="B43" s="503"/>
      <c r="C43" s="559" t="s">
        <v>583</v>
      </c>
      <c r="D43" s="884"/>
      <c r="E43" s="884"/>
      <c r="F43" s="884"/>
      <c r="G43" s="884"/>
      <c r="H43" s="532"/>
      <c r="I43" s="532"/>
      <c r="J43" s="532"/>
      <c r="K43" s="532"/>
      <c r="L43" s="532"/>
      <c r="M43" s="532"/>
      <c r="N43" s="532"/>
      <c r="O43" s="532"/>
      <c r="P43" s="532"/>
      <c r="Q43" s="533"/>
      <c r="R43" s="533"/>
      <c r="S43" s="533"/>
      <c r="T43" s="534"/>
      <c r="U43" s="535"/>
      <c r="V43" s="535"/>
      <c r="W43" s="507"/>
      <c r="X43" s="507"/>
      <c r="Y43" s="507"/>
      <c r="Z43" s="507"/>
    </row>
    <row r="44" spans="2:32" s="508" customFormat="1" ht="35.15" customHeight="1">
      <c r="B44" s="503"/>
      <c r="C44" s="559" t="s">
        <v>584</v>
      </c>
      <c r="D44" s="884"/>
      <c r="E44" s="884"/>
      <c r="F44" s="884"/>
      <c r="G44" s="884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4"/>
      <c r="U44" s="535"/>
      <c r="V44" s="535"/>
      <c r="W44" s="507"/>
      <c r="X44" s="507"/>
      <c r="Y44" s="507"/>
      <c r="Z44" s="507"/>
    </row>
    <row r="45" spans="2:32" s="508" customFormat="1" ht="35.15" customHeight="1">
      <c r="B45" s="503"/>
      <c r="C45" s="559" t="s">
        <v>585</v>
      </c>
      <c r="D45" s="884"/>
      <c r="E45" s="884"/>
      <c r="F45" s="884"/>
      <c r="G45" s="884"/>
      <c r="H45" s="457"/>
      <c r="I45" s="457"/>
      <c r="J45" s="457"/>
      <c r="K45" s="457"/>
      <c r="L45" s="457"/>
      <c r="M45" s="457"/>
      <c r="N45" s="457"/>
      <c r="O45" s="457"/>
      <c r="P45" s="457"/>
      <c r="Q45" s="246"/>
      <c r="R45" s="457"/>
      <c r="S45" s="460"/>
      <c r="T45" s="536"/>
      <c r="U45" s="535"/>
      <c r="V45" s="535"/>
      <c r="W45" s="505"/>
      <c r="X45" s="506"/>
      <c r="Y45" s="507"/>
      <c r="Z45" s="507"/>
    </row>
    <row r="46" spans="2:32" s="508" customFormat="1" ht="35.15" customHeight="1">
      <c r="B46" s="503"/>
      <c r="C46" s="559" t="s">
        <v>586</v>
      </c>
      <c r="D46" s="885"/>
      <c r="E46" s="885"/>
      <c r="F46" s="885"/>
      <c r="G46" s="885"/>
      <c r="H46" s="457"/>
      <c r="I46" s="457"/>
      <c r="J46" s="457"/>
      <c r="K46" s="457"/>
      <c r="L46" s="457"/>
      <c r="M46" s="457"/>
      <c r="N46" s="457"/>
      <c r="O46" s="457"/>
      <c r="P46" s="457"/>
      <c r="Q46" s="246"/>
      <c r="R46" s="457"/>
      <c r="S46" s="460"/>
      <c r="T46" s="536"/>
      <c r="U46" s="535"/>
      <c r="V46" s="535"/>
      <c r="W46" s="505"/>
      <c r="X46" s="506"/>
      <c r="Y46" s="507"/>
      <c r="Z46" s="507"/>
    </row>
    <row r="47" spans="2:32" s="508" customFormat="1" ht="35.15" customHeight="1">
      <c r="B47" s="503"/>
      <c r="C47" s="559" t="s">
        <v>587</v>
      </c>
      <c r="D47" s="884"/>
      <c r="E47" s="884"/>
      <c r="F47" s="884"/>
      <c r="G47" s="884"/>
      <c r="H47" s="457"/>
      <c r="I47" s="457"/>
      <c r="J47" s="457"/>
      <c r="K47" s="457"/>
      <c r="L47" s="457"/>
      <c r="M47" s="457"/>
      <c r="N47" s="457"/>
      <c r="O47" s="457"/>
      <c r="P47" s="457"/>
      <c r="Q47" s="246"/>
      <c r="R47" s="457"/>
      <c r="S47" s="460"/>
      <c r="T47" s="536"/>
      <c r="U47" s="535"/>
      <c r="V47" s="535"/>
      <c r="W47" s="505"/>
      <c r="X47" s="506"/>
      <c r="Y47" s="507"/>
      <c r="Z47" s="507"/>
    </row>
    <row r="48" spans="2:32" s="508" customFormat="1" ht="35.15" customHeight="1">
      <c r="B48" s="503"/>
      <c r="C48" s="559" t="s">
        <v>588</v>
      </c>
      <c r="D48" s="885"/>
      <c r="E48" s="885"/>
      <c r="F48" s="885"/>
      <c r="G48" s="885"/>
      <c r="H48" s="457"/>
      <c r="I48" s="457"/>
      <c r="J48" s="457"/>
      <c r="K48" s="457"/>
      <c r="L48" s="457"/>
      <c r="M48" s="457"/>
      <c r="N48" s="457"/>
      <c r="O48" s="457"/>
      <c r="P48" s="457"/>
      <c r="Q48" s="246"/>
      <c r="R48" s="457"/>
      <c r="S48" s="460"/>
      <c r="T48" s="536"/>
      <c r="U48" s="535"/>
      <c r="V48" s="535"/>
      <c r="W48" s="505"/>
      <c r="X48" s="506"/>
      <c r="Y48" s="507"/>
      <c r="Z48" s="507"/>
    </row>
    <row r="49" spans="2:26" s="508" customFormat="1" ht="35.15" customHeight="1">
      <c r="B49" s="503"/>
      <c r="C49" s="537"/>
      <c r="D49" s="458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246"/>
      <c r="R49" s="457"/>
      <c r="S49" s="460"/>
      <c r="T49" s="536"/>
      <c r="U49" s="535"/>
      <c r="V49" s="535"/>
      <c r="W49" s="505"/>
      <c r="X49" s="506"/>
      <c r="Y49" s="507"/>
      <c r="Z49" s="507"/>
    </row>
    <row r="50" spans="2:26" ht="18" customHeight="1">
      <c r="B50" s="492"/>
      <c r="C50" s="463" t="s">
        <v>589</v>
      </c>
      <c r="D50" s="245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511"/>
      <c r="S50" s="246"/>
      <c r="T50" s="499"/>
      <c r="U50" s="495"/>
      <c r="V50" s="535"/>
      <c r="W50" s="497"/>
    </row>
    <row r="51" spans="2:26" s="508" customFormat="1" ht="18" customHeight="1">
      <c r="B51" s="503"/>
      <c r="C51" s="463" t="s">
        <v>590</v>
      </c>
      <c r="D51" s="458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60"/>
      <c r="R51" s="457"/>
      <c r="S51" s="460"/>
      <c r="T51" s="536"/>
      <c r="U51" s="535"/>
      <c r="V51" s="535"/>
      <c r="W51" s="505"/>
      <c r="X51" s="506"/>
      <c r="Y51" s="507"/>
      <c r="Z51" s="507"/>
    </row>
    <row r="52" spans="2:26" s="508" customFormat="1" ht="18" customHeight="1">
      <c r="B52" s="503"/>
      <c r="C52" s="463" t="s">
        <v>591</v>
      </c>
      <c r="D52" s="458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60"/>
      <c r="R52" s="457"/>
      <c r="S52" s="460"/>
      <c r="T52" s="536"/>
      <c r="U52" s="535"/>
      <c r="V52" s="535"/>
      <c r="W52" s="505"/>
      <c r="X52" s="506"/>
      <c r="Y52" s="507"/>
      <c r="Z52" s="507"/>
    </row>
    <row r="53" spans="2:26" s="508" customFormat="1" ht="18" customHeight="1">
      <c r="B53" s="503"/>
      <c r="C53" s="463" t="s">
        <v>592</v>
      </c>
      <c r="D53" s="458"/>
      <c r="E53" s="457"/>
      <c r="F53" s="457"/>
      <c r="G53" s="457"/>
      <c r="H53" s="457"/>
      <c r="I53" s="457"/>
      <c r="J53" s="457"/>
      <c r="K53" s="457"/>
      <c r="L53" s="457"/>
      <c r="M53" s="457"/>
      <c r="N53" s="457"/>
      <c r="O53" s="457"/>
      <c r="P53" s="457"/>
      <c r="Q53" s="460"/>
      <c r="R53" s="457"/>
      <c r="S53" s="460"/>
      <c r="T53" s="536"/>
      <c r="U53" s="535"/>
      <c r="V53" s="535"/>
      <c r="W53" s="505"/>
      <c r="X53" s="506"/>
      <c r="Y53" s="507"/>
      <c r="Z53" s="507"/>
    </row>
    <row r="54" spans="2:26" s="508" customFormat="1" ht="18" customHeight="1">
      <c r="B54" s="503"/>
      <c r="C54" s="463"/>
      <c r="D54" s="458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60"/>
      <c r="R54" s="457"/>
      <c r="S54" s="460"/>
      <c r="T54" s="536"/>
      <c r="U54" s="535"/>
      <c r="V54" s="535"/>
      <c r="W54" s="505"/>
      <c r="X54" s="506"/>
      <c r="Y54" s="507"/>
      <c r="Z54" s="507"/>
    </row>
    <row r="55" spans="2:26" s="508" customFormat="1" ht="18" customHeight="1">
      <c r="B55" s="503"/>
      <c r="C55" s="564" t="s">
        <v>593</v>
      </c>
      <c r="D55" s="458"/>
      <c r="E55" s="457"/>
      <c r="F55" s="457"/>
      <c r="G55" s="457"/>
      <c r="H55" s="457"/>
      <c r="I55" s="457"/>
      <c r="J55" s="457"/>
      <c r="K55" s="457"/>
      <c r="L55" s="457"/>
      <c r="M55" s="457"/>
      <c r="N55" s="457"/>
      <c r="O55" s="457"/>
      <c r="P55" s="457"/>
      <c r="Q55" s="460"/>
      <c r="R55" s="457"/>
      <c r="S55" s="460"/>
      <c r="T55" s="536"/>
      <c r="U55" s="535"/>
      <c r="V55" s="535"/>
      <c r="W55" s="505"/>
      <c r="X55" s="506"/>
      <c r="Y55" s="507"/>
      <c r="Z55" s="507"/>
    </row>
    <row r="56" spans="2:26" s="508" customFormat="1" ht="18" customHeight="1">
      <c r="B56" s="503"/>
      <c r="C56" s="463" t="s">
        <v>594</v>
      </c>
      <c r="D56" s="458"/>
      <c r="E56" s="457"/>
      <c r="F56" s="457"/>
      <c r="G56" s="457"/>
      <c r="H56" s="457"/>
      <c r="I56" s="457"/>
      <c r="J56" s="457"/>
      <c r="K56" s="457"/>
      <c r="L56" s="457"/>
      <c r="M56" s="457"/>
      <c r="N56" s="457"/>
      <c r="O56" s="457"/>
      <c r="P56" s="457"/>
      <c r="Q56" s="460"/>
      <c r="R56" s="457"/>
      <c r="S56" s="460"/>
      <c r="T56" s="536"/>
      <c r="U56" s="535"/>
      <c r="V56" s="535"/>
      <c r="W56" s="505"/>
      <c r="X56" s="506"/>
      <c r="Y56" s="507"/>
      <c r="Z56" s="507"/>
    </row>
    <row r="57" spans="2:26" s="508" customFormat="1" ht="18" customHeight="1">
      <c r="B57" s="503"/>
      <c r="C57" s="463" t="s">
        <v>595</v>
      </c>
      <c r="D57" s="458"/>
      <c r="E57" s="457"/>
      <c r="F57" s="457"/>
      <c r="G57" s="457"/>
      <c r="H57" s="457"/>
      <c r="I57" s="457"/>
      <c r="J57" s="457"/>
      <c r="K57" s="457"/>
      <c r="L57" s="457"/>
      <c r="M57" s="457"/>
      <c r="N57" s="457"/>
      <c r="O57" s="457"/>
      <c r="P57" s="457"/>
      <c r="Q57" s="460"/>
      <c r="R57" s="457"/>
      <c r="S57" s="460"/>
      <c r="T57" s="536"/>
      <c r="U57" s="535"/>
      <c r="V57" s="535"/>
      <c r="W57" s="505"/>
      <c r="X57" s="506"/>
      <c r="Y57" s="507"/>
      <c r="Z57" s="507"/>
    </row>
    <row r="58" spans="2:26" ht="15" thickBot="1">
      <c r="B58" s="512"/>
      <c r="C58" s="486"/>
      <c r="D58" s="538"/>
      <c r="E58" s="538"/>
      <c r="F58" s="538"/>
      <c r="G58" s="538"/>
      <c r="H58" s="538"/>
      <c r="I58" s="538"/>
      <c r="J58" s="538"/>
      <c r="K58" s="538"/>
      <c r="L58" s="538"/>
      <c r="M58" s="538"/>
      <c r="N58" s="538"/>
      <c r="O58" s="538"/>
      <c r="P58" s="538"/>
      <c r="Q58" s="538"/>
      <c r="R58" s="538"/>
      <c r="S58" s="538"/>
      <c r="T58" s="539"/>
      <c r="U58" s="495"/>
      <c r="V58" s="495"/>
    </row>
    <row r="59" spans="2:26">
      <c r="D59" s="540"/>
      <c r="I59" s="541"/>
      <c r="J59" s="541"/>
      <c r="K59" s="541"/>
      <c r="L59" s="541"/>
      <c r="M59" s="541"/>
      <c r="N59" s="541"/>
      <c r="O59" s="541"/>
      <c r="P59" s="541"/>
      <c r="Q59" s="541"/>
      <c r="R59" s="541"/>
      <c r="S59" s="541"/>
      <c r="T59" s="541"/>
    </row>
    <row r="60" spans="2:26">
      <c r="D60" s="540"/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41"/>
      <c r="T60" s="541"/>
    </row>
    <row r="61" spans="2:26" hidden="1"/>
    <row r="62" spans="2:26" hidden="1">
      <c r="D62" s="542"/>
    </row>
    <row r="63" spans="2:26" hidden="1">
      <c r="B63" s="487"/>
      <c r="C63" s="490"/>
      <c r="D63" s="490"/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0"/>
      <c r="R63" s="490"/>
      <c r="S63" s="491"/>
    </row>
    <row r="64" spans="2:26" ht="18.5" hidden="1">
      <c r="B64" s="492"/>
      <c r="C64" s="483" t="s">
        <v>560</v>
      </c>
      <c r="D64" s="543"/>
      <c r="E64" s="454"/>
      <c r="F64" s="454"/>
      <c r="G64" s="454"/>
      <c r="H64" s="454"/>
      <c r="I64" s="454"/>
      <c r="J64" s="454"/>
      <c r="K64" s="454"/>
      <c r="L64" s="454"/>
      <c r="M64" s="454"/>
      <c r="N64" s="454"/>
      <c r="O64" s="454"/>
      <c r="P64" s="454"/>
      <c r="Q64" s="454"/>
      <c r="R64" s="544"/>
      <c r="S64" s="493"/>
    </row>
    <row r="65" spans="1:19" ht="18.5" hidden="1">
      <c r="B65" s="492"/>
      <c r="C65" s="483"/>
      <c r="D65" s="881" t="s">
        <v>476</v>
      </c>
      <c r="E65" s="452">
        <v>44287</v>
      </c>
      <c r="F65" s="452">
        <v>44317</v>
      </c>
      <c r="G65" s="452">
        <v>44348</v>
      </c>
      <c r="H65" s="452">
        <v>44378</v>
      </c>
      <c r="I65" s="452">
        <v>44409</v>
      </c>
      <c r="J65" s="452">
        <v>44440</v>
      </c>
      <c r="K65" s="452">
        <v>44470</v>
      </c>
      <c r="L65" s="452">
        <v>44501</v>
      </c>
      <c r="M65" s="452">
        <v>44531</v>
      </c>
      <c r="N65" s="452">
        <v>44562</v>
      </c>
      <c r="O65" s="452">
        <v>44593</v>
      </c>
      <c r="P65" s="452">
        <v>44621</v>
      </c>
      <c r="Q65" s="452"/>
      <c r="R65" s="545" t="s">
        <v>479</v>
      </c>
      <c r="S65" s="493"/>
    </row>
    <row r="66" spans="1:19" ht="15.5" hidden="1">
      <c r="B66" s="492"/>
      <c r="D66" s="882"/>
      <c r="E66" s="452" t="s">
        <v>480</v>
      </c>
      <c r="F66" s="452" t="s">
        <v>480</v>
      </c>
      <c r="G66" s="452" t="s">
        <v>561</v>
      </c>
      <c r="H66" s="452" t="s">
        <v>480</v>
      </c>
      <c r="I66" s="452" t="s">
        <v>480</v>
      </c>
      <c r="J66" s="452" t="s">
        <v>480</v>
      </c>
      <c r="K66" s="452" t="s">
        <v>480</v>
      </c>
      <c r="L66" s="452" t="s">
        <v>480</v>
      </c>
      <c r="M66" s="452" t="s">
        <v>480</v>
      </c>
      <c r="N66" s="452" t="s">
        <v>480</v>
      </c>
      <c r="O66" s="452" t="s">
        <v>480</v>
      </c>
      <c r="P66" s="452" t="s">
        <v>480</v>
      </c>
      <c r="Q66" s="452"/>
      <c r="R66" s="545"/>
      <c r="S66" s="493"/>
    </row>
    <row r="67" spans="1:19" ht="15.5" hidden="1">
      <c r="A67" s="471" t="s">
        <v>562</v>
      </c>
      <c r="B67" s="492"/>
      <c r="C67" s="546"/>
      <c r="D67" s="547"/>
      <c r="E67" s="548"/>
      <c r="F67" s="548"/>
      <c r="G67" s="548"/>
      <c r="H67" s="548"/>
      <c r="I67" s="548"/>
      <c r="J67" s="548"/>
      <c r="K67" s="548"/>
      <c r="L67" s="548"/>
      <c r="M67" s="548"/>
      <c r="N67" s="548"/>
      <c r="O67" s="548"/>
      <c r="P67" s="548"/>
      <c r="Q67" s="546"/>
      <c r="R67" s="549"/>
      <c r="S67" s="493"/>
    </row>
    <row r="68" spans="1:19" ht="15.5" hidden="1">
      <c r="B68" s="492"/>
      <c r="C68" s="547"/>
      <c r="D68" s="547"/>
      <c r="E68" s="548"/>
      <c r="F68" s="548"/>
      <c r="G68" s="548"/>
      <c r="H68" s="548"/>
      <c r="I68" s="548"/>
      <c r="J68" s="550"/>
      <c r="K68" s="548"/>
      <c r="L68" s="548"/>
      <c r="M68" s="548"/>
      <c r="N68" s="548"/>
      <c r="O68" s="548"/>
      <c r="P68" s="548"/>
      <c r="Q68" s="546"/>
      <c r="R68" s="549"/>
      <c r="S68" s="493"/>
    </row>
    <row r="69" spans="1:19" ht="15.5" hidden="1">
      <c r="B69" s="492"/>
      <c r="C69" s="547"/>
      <c r="D69" s="547"/>
      <c r="E69" s="548"/>
      <c r="F69" s="548"/>
      <c r="G69" s="548"/>
      <c r="H69" s="548"/>
      <c r="I69" s="548"/>
      <c r="J69" s="550"/>
      <c r="K69" s="548"/>
      <c r="L69" s="548"/>
      <c r="M69" s="548"/>
      <c r="N69" s="548"/>
      <c r="O69" s="548"/>
      <c r="P69" s="548"/>
      <c r="Q69" s="546"/>
      <c r="R69" s="549"/>
      <c r="S69" s="493"/>
    </row>
    <row r="70" spans="1:19" ht="15.5" hidden="1">
      <c r="B70" s="492"/>
      <c r="C70" s="547"/>
      <c r="D70" s="547"/>
      <c r="E70" s="548"/>
      <c r="F70" s="548"/>
      <c r="G70" s="548"/>
      <c r="H70" s="548"/>
      <c r="I70" s="548"/>
      <c r="J70" s="551"/>
      <c r="K70" s="548"/>
      <c r="L70" s="548"/>
      <c r="M70" s="548"/>
      <c r="N70" s="548"/>
      <c r="O70" s="548"/>
      <c r="P70" s="548"/>
      <c r="Q70" s="546"/>
      <c r="R70" s="549"/>
      <c r="S70" s="493"/>
    </row>
    <row r="71" spans="1:19" ht="15.5" hidden="1">
      <c r="B71" s="492"/>
      <c r="C71" s="547"/>
      <c r="D71" s="547"/>
      <c r="E71" s="546"/>
      <c r="F71" s="546"/>
      <c r="G71" s="546"/>
      <c r="H71" s="546"/>
      <c r="I71" s="546"/>
      <c r="J71" s="546"/>
      <c r="K71" s="548"/>
      <c r="L71" s="546"/>
      <c r="M71" s="546"/>
      <c r="N71" s="546"/>
      <c r="O71" s="546"/>
      <c r="P71" s="546"/>
      <c r="Q71" s="546"/>
      <c r="R71" s="549"/>
      <c r="S71" s="493"/>
    </row>
    <row r="72" spans="1:19" ht="15.5" hidden="1">
      <c r="B72" s="492"/>
      <c r="C72" s="547"/>
      <c r="D72" s="547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6"/>
      <c r="S72" s="493"/>
    </row>
    <row r="73" spans="1:19" ht="18.5" hidden="1">
      <c r="B73" s="492"/>
      <c r="C73" s="552" t="s">
        <v>479</v>
      </c>
      <c r="D73" s="553"/>
      <c r="E73" s="554"/>
      <c r="F73" s="554"/>
      <c r="G73" s="554"/>
      <c r="H73" s="554"/>
      <c r="I73" s="554"/>
      <c r="J73" s="554"/>
      <c r="K73" s="554"/>
      <c r="L73" s="554"/>
      <c r="M73" s="554"/>
      <c r="N73" s="554"/>
      <c r="O73" s="554"/>
      <c r="P73" s="554"/>
      <c r="Q73" s="554"/>
      <c r="R73" s="554"/>
      <c r="S73" s="493"/>
    </row>
    <row r="74" spans="1:19" ht="15" hidden="1" thickBot="1">
      <c r="B74" s="512"/>
      <c r="C74" s="486"/>
      <c r="D74" s="486"/>
      <c r="E74" s="486"/>
      <c r="F74" s="486"/>
      <c r="G74" s="486"/>
      <c r="H74" s="486"/>
      <c r="I74" s="486"/>
      <c r="J74" s="486"/>
      <c r="K74" s="486"/>
      <c r="L74" s="486"/>
      <c r="M74" s="486"/>
      <c r="N74" s="486"/>
      <c r="O74" s="486"/>
      <c r="P74" s="486"/>
      <c r="Q74" s="486"/>
      <c r="R74" s="486"/>
      <c r="S74" s="555"/>
    </row>
    <row r="75" spans="1:19" hidden="1"/>
  </sheetData>
  <mergeCells count="18">
    <mergeCell ref="P12:S12"/>
    <mergeCell ref="P28:S28"/>
    <mergeCell ref="P21:S21"/>
    <mergeCell ref="P30:S30"/>
    <mergeCell ref="P13:S13"/>
    <mergeCell ref="P15:S15"/>
    <mergeCell ref="P17:S17"/>
    <mergeCell ref="P19:S19"/>
    <mergeCell ref="P24:S24"/>
    <mergeCell ref="P26:S26"/>
    <mergeCell ref="D65:D66"/>
    <mergeCell ref="D42:G42"/>
    <mergeCell ref="D43:G43"/>
    <mergeCell ref="D44:G44"/>
    <mergeCell ref="D45:G45"/>
    <mergeCell ref="D46:G46"/>
    <mergeCell ref="D47:G47"/>
    <mergeCell ref="D48:G48"/>
  </mergeCells>
  <phoneticPr fontId="94" type="noConversion"/>
  <conditionalFormatting sqref="C13 E13:O13 P14:S14 D14:O17 P15 P17 D19:P19 P21 D21:O22 P22:S23 D23:G23 I23:J23 L23:O23 P24 D24:O37 P25:S25 P26 P27:S27 P28 P29:S29 P30 P31:S32 P33:P35 P36:S37 D38:S41 D42:D48 H42:S48 D49:S57">
    <cfRule type="cellIs" dxfId="79" priority="13" operator="lessThan">
      <formula>0</formula>
    </cfRule>
  </conditionalFormatting>
  <conditionalFormatting sqref="D12:P12 C12:C13 E13:O13 T13:V13 P14:V14 D14:O17 P15 T15:V21 P17 D19:P19 P21 D21:O22 P22:V23 D23:G23 I23:J23 L23:O23 P24 T24:V24 D24:O37 P25:V25 P26 T26:V26 P27:V27 P28 T28:V28 P29:V29 P30 T30:V30 P31:V32 T33:V34 P33:P35 T35:U35 R36:U36 P36:Q37 R37:V37 D38:V41 D42:D48 H42:V48 D49:V58">
    <cfRule type="cellIs" dxfId="78" priority="8" operator="equal">
      <formula>0</formula>
    </cfRule>
  </conditionalFormatting>
  <conditionalFormatting sqref="U7:X9 AH10:AK31 AH33:AK38 U39:X40 V41:Y49 V50:V57 W51:Y57 V58:Y58 U59:X59">
    <cfRule type="expression" dxfId="77" priority="25">
      <formula>0</formula>
    </cfRule>
  </conditionalFormatting>
  <conditionalFormatting sqref="U32:X32 U51:X57">
    <cfRule type="cellIs" dxfId="76" priority="5" operator="equal">
      <formula>0</formula>
    </cfRule>
  </conditionalFormatting>
  <conditionalFormatting sqref="U44:X49 V50:V57">
    <cfRule type="cellIs" dxfId="75" priority="17" operator="equal">
      <formula>0</formula>
    </cfRule>
  </conditionalFormatting>
  <conditionalFormatting sqref="V32:Y32">
    <cfRule type="expression" dxfId="74" priority="7">
      <formula>0</formula>
    </cfRule>
  </conditionalFormatting>
  <conditionalFormatting sqref="W32:X32 W51:X57">
    <cfRule type="colorScale" priority="6">
      <colorScale>
        <cfvo type="num" val="&quot;&lt;0&quot;"/>
        <cfvo type="num" val="0"/>
        <color theme="1"/>
        <color theme="0"/>
      </colorScale>
    </cfRule>
  </conditionalFormatting>
  <conditionalFormatting sqref="W43:X49">
    <cfRule type="colorScale" priority="24">
      <colorScale>
        <cfvo type="num" val="&quot;&lt;0&quot;"/>
        <cfvo type="num" val="0"/>
        <color theme="1"/>
        <color theme="0"/>
      </colorScale>
    </cfRule>
  </conditionalFormatting>
  <conditionalFormatting sqref="AH50:AK50">
    <cfRule type="expression" dxfId="73" priority="10">
      <formula>0</formula>
    </cfRule>
  </conditionalFormatting>
  <pageMargins left="0.25" right="0.25" top="0.75" bottom="0.75" header="0.3" footer="0.3"/>
  <pageSetup paperSize="9" scale="40" orientation="landscape" r:id="rId1"/>
  <headerFooter>
    <oddFooter>&amp;C_x000D_&amp;1#&amp;"Calibri"&amp;10&amp;K000000 OFFICIAL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82A47A0-BE55-440E-95E7-7C191F5AB479}">
          <x14:formula1>
            <xm:f>Lookup!$T$2:$T$15</xm:f>
          </x14:formula1>
          <xm:sqref>D12</xm:sqref>
        </x14:dataValidation>
        <x14:dataValidation type="list" allowBlank="1" showInputMessage="1" showErrorMessage="1" xr:uid="{DAE7CAFC-0B6A-4CC0-AF86-B7DCFF056A06}">
          <x14:formula1>
            <xm:f>Lookup!$U$2:$U$3</xm:f>
          </x14:formula1>
          <xm:sqref>D13:O13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39C81-81A2-40E8-B9E6-7362DF96A270}">
  <sheetPr codeName="Sheet13">
    <tabColor theme="1"/>
    <pageSetUpPr fitToPage="1"/>
  </sheetPr>
  <dimension ref="A1:AJ248"/>
  <sheetViews>
    <sheetView showGridLines="0" tabSelected="1" zoomScale="70" zoomScaleNormal="70" workbookViewId="0">
      <pane ySplit="9" topLeftCell="A10" activePane="bottomLeft" state="frozen"/>
      <selection pane="bottomLeft" activeCell="X6" sqref="X6"/>
    </sheetView>
  </sheetViews>
  <sheetFormatPr defaultColWidth="14.453125" defaultRowHeight="14.5"/>
  <cols>
    <col min="1" max="1" width="1.7265625" style="471" customWidth="1"/>
    <col min="2" max="3" width="0" style="594" hidden="1" customWidth="1"/>
    <col min="4" max="4" width="16.453125" style="666" customWidth="1"/>
    <col min="5" max="5" width="83.1796875" style="594" bestFit="1" customWidth="1"/>
    <col min="6" max="9" width="0" style="660" hidden="1" customWidth="1"/>
    <col min="10" max="11" width="14.453125" style="594"/>
    <col min="12" max="18" width="15.7265625" style="594" hidden="1" customWidth="1"/>
    <col min="19" max="19" width="14.453125" style="594"/>
    <col min="20" max="20" width="15.7265625" style="594" hidden="1" customWidth="1"/>
    <col min="21" max="21" width="14.453125" style="594"/>
    <col min="22" max="23" width="14.453125" style="594" hidden="1" customWidth="1"/>
    <col min="24" max="24" width="62.81640625" style="616" customWidth="1"/>
    <col min="25" max="25" width="14.453125" style="616"/>
    <col min="26" max="26" width="14.453125" style="585"/>
    <col min="27" max="36" width="0" style="594" hidden="1" customWidth="1"/>
    <col min="37" max="16384" width="14.453125" style="594"/>
  </cols>
  <sheetData>
    <row r="1" spans="1:36" s="471" customFormat="1" ht="25" customHeight="1">
      <c r="B1" s="468"/>
      <c r="C1" s="469"/>
      <c r="D1" s="581" t="s">
        <v>563</v>
      </c>
      <c r="E1" s="470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4"/>
      <c r="U1" s="234"/>
      <c r="V1" s="234"/>
      <c r="W1" s="234"/>
      <c r="X1" s="764"/>
    </row>
    <row r="2" spans="1:36" s="471" customFormat="1" ht="25" customHeight="1">
      <c r="B2" s="473"/>
      <c r="C2" s="474"/>
      <c r="D2" s="582" t="s">
        <v>596</v>
      </c>
      <c r="E2" s="475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9"/>
    </row>
    <row r="3" spans="1:36" s="583" customFormat="1" ht="25" customHeight="1">
      <c r="A3" s="471"/>
      <c r="D3" s="584"/>
      <c r="E3" s="779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65"/>
      <c r="Y3" s="585"/>
    </row>
    <row r="4" spans="1:36" s="583" customFormat="1" ht="18.75" customHeight="1" thickBot="1">
      <c r="A4" s="471"/>
      <c r="D4" s="582" t="s">
        <v>433</v>
      </c>
      <c r="E4" s="476" t="str">
        <f>'1. Calculator'!D4</f>
        <v>-</v>
      </c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66"/>
      <c r="Y4" s="585"/>
    </row>
    <row r="5" spans="1:36" s="583" customFormat="1" ht="18.75" customHeight="1">
      <c r="A5" s="471"/>
      <c r="D5" s="582" t="s">
        <v>434</v>
      </c>
      <c r="E5" s="477" t="str">
        <f>'1. Calculator'!D5</f>
        <v>-</v>
      </c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0"/>
      <c r="Q5" s="780"/>
      <c r="R5" s="780"/>
      <c r="S5" s="780"/>
      <c r="T5" s="780"/>
      <c r="U5" s="780"/>
      <c r="V5" s="780"/>
      <c r="W5" s="780"/>
      <c r="X5" s="766"/>
      <c r="Y5" s="585"/>
      <c r="AA5" s="587"/>
      <c r="AB5" s="588"/>
      <c r="AC5" s="588"/>
      <c r="AD5" s="588"/>
      <c r="AE5" s="588"/>
      <c r="AF5" s="588"/>
      <c r="AG5" s="588"/>
      <c r="AH5" s="588"/>
      <c r="AI5" s="588"/>
      <c r="AJ5" s="588"/>
    </row>
    <row r="6" spans="1:36" s="583" customFormat="1" ht="18.75" customHeight="1">
      <c r="A6" s="471"/>
      <c r="D6" s="582" t="s">
        <v>435</v>
      </c>
      <c r="E6" s="477" t="str">
        <f>'1. Calculator'!D6</f>
        <v>Select School Name</v>
      </c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66"/>
      <c r="Y6" s="585"/>
      <c r="AA6" s="589"/>
      <c r="AB6" s="583" t="s">
        <v>597</v>
      </c>
    </row>
    <row r="7" spans="1:36" s="583" customFormat="1" ht="15.75" customHeight="1" thickBot="1">
      <c r="A7" s="471"/>
      <c r="D7" s="590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767"/>
      <c r="Y7" s="585"/>
      <c r="AA7" s="589"/>
    </row>
    <row r="8" spans="1:36" s="592" customFormat="1">
      <c r="A8" s="471"/>
      <c r="D8" s="892"/>
      <c r="E8" s="892"/>
      <c r="F8" s="892"/>
      <c r="G8" s="892"/>
      <c r="H8" s="892"/>
      <c r="I8" s="892"/>
      <c r="J8" s="893"/>
      <c r="K8" s="893"/>
      <c r="L8" s="893"/>
      <c r="M8" s="893"/>
      <c r="N8" s="893"/>
      <c r="O8" s="893"/>
      <c r="P8" s="893"/>
      <c r="Q8" s="893"/>
      <c r="R8" s="893"/>
      <c r="S8" s="893"/>
      <c r="T8" s="893"/>
      <c r="U8" s="893"/>
      <c r="V8" s="893"/>
      <c r="W8" s="520"/>
      <c r="X8" s="586"/>
      <c r="Y8" s="586"/>
      <c r="Z8" s="585"/>
      <c r="AA8" s="593"/>
    </row>
    <row r="9" spans="1:36" ht="73.5" customHeight="1">
      <c r="D9" s="781"/>
      <c r="E9" s="782" t="s">
        <v>598</v>
      </c>
      <c r="F9" s="783" t="s">
        <v>599</v>
      </c>
      <c r="G9" s="783" t="s">
        <v>600</v>
      </c>
      <c r="H9" s="783" t="s">
        <v>601</v>
      </c>
      <c r="I9" s="783" t="s">
        <v>602</v>
      </c>
      <c r="J9" s="783" t="s">
        <v>603</v>
      </c>
      <c r="K9" s="783" t="s">
        <v>604</v>
      </c>
      <c r="L9" s="783" t="s">
        <v>605</v>
      </c>
      <c r="M9" s="783" t="s">
        <v>606</v>
      </c>
      <c r="N9" s="783" t="s">
        <v>607</v>
      </c>
      <c r="O9" s="783" t="s">
        <v>608</v>
      </c>
      <c r="P9" s="783" t="s">
        <v>609</v>
      </c>
      <c r="Q9" s="783" t="s">
        <v>610</v>
      </c>
      <c r="R9" s="783"/>
      <c r="S9" s="783" t="s">
        <v>611</v>
      </c>
      <c r="T9" s="783" t="s">
        <v>612</v>
      </c>
      <c r="U9" s="783" t="s">
        <v>613</v>
      </c>
      <c r="V9" s="783" t="s">
        <v>614</v>
      </c>
      <c r="W9" s="784" t="s">
        <v>615</v>
      </c>
      <c r="X9" s="782" t="s">
        <v>616</v>
      </c>
      <c r="Y9" s="597"/>
      <c r="Z9" s="597"/>
      <c r="AA9" s="598"/>
      <c r="AB9" s="595" t="s">
        <v>617</v>
      </c>
      <c r="AC9" s="599"/>
      <c r="AF9" s="595" t="s">
        <v>618</v>
      </c>
      <c r="AG9" s="599"/>
      <c r="AH9" s="599"/>
      <c r="AJ9" s="595" t="s">
        <v>619</v>
      </c>
    </row>
    <row r="10" spans="1:36" ht="15.75" customHeight="1">
      <c r="D10" s="600"/>
      <c r="E10" s="601"/>
      <c r="F10" s="595" t="s">
        <v>620</v>
      </c>
      <c r="G10" s="595" t="s">
        <v>620</v>
      </c>
      <c r="H10" s="595" t="s">
        <v>620</v>
      </c>
      <c r="I10" s="595" t="s">
        <v>620</v>
      </c>
      <c r="J10" s="783" t="s">
        <v>620</v>
      </c>
      <c r="K10" s="783" t="s">
        <v>620</v>
      </c>
      <c r="L10" s="783" t="s">
        <v>620</v>
      </c>
      <c r="M10" s="783" t="s">
        <v>620</v>
      </c>
      <c r="N10" s="783" t="s">
        <v>620</v>
      </c>
      <c r="O10" s="783" t="s">
        <v>620</v>
      </c>
      <c r="P10" s="783" t="s">
        <v>620</v>
      </c>
      <c r="Q10" s="783" t="s">
        <v>620</v>
      </c>
      <c r="R10" s="783"/>
      <c r="S10" s="783" t="s">
        <v>620</v>
      </c>
      <c r="T10" s="595"/>
      <c r="U10" s="595"/>
      <c r="V10" s="595" t="s">
        <v>620</v>
      </c>
      <c r="W10" s="596" t="s">
        <v>620</v>
      </c>
      <c r="X10" s="601"/>
      <c r="Y10" s="597"/>
      <c r="Z10" s="597"/>
      <c r="AA10" s="598"/>
      <c r="AB10" s="602"/>
      <c r="AC10" s="599"/>
      <c r="AF10" s="602"/>
      <c r="AG10" s="599"/>
      <c r="AH10" s="599"/>
      <c r="AJ10" s="603"/>
    </row>
    <row r="11" spans="1:36" ht="23.5">
      <c r="D11" s="798" t="s">
        <v>621</v>
      </c>
      <c r="E11" s="604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5"/>
      <c r="S11" s="605"/>
      <c r="T11" s="605"/>
      <c r="U11" s="606"/>
      <c r="V11" s="607"/>
      <c r="W11" s="607"/>
      <c r="X11" s="608"/>
      <c r="Y11" s="597"/>
      <c r="Z11" s="597"/>
      <c r="AA11" s="598"/>
      <c r="AB11" s="605"/>
      <c r="AC11" s="599"/>
      <c r="AF11" s="605"/>
      <c r="AG11" s="599"/>
      <c r="AH11" s="599"/>
      <c r="AJ11" s="608"/>
    </row>
    <row r="12" spans="1:36" ht="12" customHeight="1">
      <c r="D12" s="609">
        <v>7</v>
      </c>
      <c r="E12" s="610">
        <v>8</v>
      </c>
      <c r="F12" s="607"/>
      <c r="G12" s="607"/>
      <c r="H12" s="607"/>
      <c r="I12" s="607"/>
      <c r="J12" s="607"/>
      <c r="K12" s="607"/>
      <c r="L12" s="607"/>
      <c r="M12" s="607"/>
      <c r="N12" s="607"/>
      <c r="O12" s="607"/>
      <c r="P12" s="607"/>
      <c r="Q12" s="607"/>
      <c r="R12" s="607"/>
      <c r="S12" s="607"/>
      <c r="T12" s="607"/>
      <c r="U12" s="608"/>
      <c r="V12" s="599"/>
      <c r="W12" s="599"/>
      <c r="X12" s="608"/>
      <c r="Y12" s="597"/>
      <c r="Z12" s="597"/>
      <c r="AA12" s="598"/>
      <c r="AB12" s="599"/>
      <c r="AC12" s="599"/>
      <c r="AF12" s="599"/>
      <c r="AG12" s="599"/>
      <c r="AH12" s="599"/>
      <c r="AJ12" s="608"/>
    </row>
    <row r="13" spans="1:36" ht="18" customHeight="1">
      <c r="D13" s="796" t="s">
        <v>622</v>
      </c>
      <c r="E13" s="783"/>
      <c r="F13" s="611">
        <v>0</v>
      </c>
      <c r="G13" s="611"/>
      <c r="H13" s="611"/>
      <c r="I13" s="611"/>
      <c r="J13" s="785">
        <f>_xlfn.IFNA(VLOOKUP($E$4,Lookup!$B:$H,6,FALSE),0)</f>
        <v>0</v>
      </c>
      <c r="K13" s="612"/>
      <c r="L13" s="612">
        <f>G13</f>
        <v>0</v>
      </c>
      <c r="M13" s="612"/>
      <c r="N13" s="612"/>
      <c r="O13" s="612"/>
      <c r="P13" s="612"/>
      <c r="Q13" s="612"/>
      <c r="R13" s="612"/>
      <c r="S13" s="785">
        <f>J13</f>
        <v>0</v>
      </c>
      <c r="T13" s="613"/>
      <c r="U13" s="613"/>
      <c r="V13" s="614"/>
      <c r="W13" s="613"/>
      <c r="X13" s="615"/>
      <c r="Z13" s="616"/>
      <c r="AA13" s="617"/>
      <c r="AB13" s="612"/>
      <c r="AC13" s="618"/>
      <c r="AF13" s="612">
        <v>0</v>
      </c>
      <c r="AG13" s="618"/>
      <c r="AH13" s="618"/>
      <c r="AJ13" s="615"/>
    </row>
    <row r="14" spans="1:36" ht="18" customHeight="1">
      <c r="D14" s="619"/>
      <c r="E14" s="797" t="s">
        <v>623</v>
      </c>
      <c r="F14" s="620"/>
      <c r="G14" s="620"/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1"/>
      <c r="W14" s="620"/>
      <c r="X14" s="620"/>
      <c r="AA14" s="598"/>
      <c r="AB14" s="620"/>
      <c r="AC14" s="622"/>
      <c r="AF14" s="620"/>
      <c r="AG14" s="622"/>
      <c r="AH14" s="622"/>
      <c r="AJ14" s="620"/>
    </row>
    <row r="15" spans="1:36" ht="18" customHeight="1">
      <c r="B15" s="594" t="s">
        <v>624</v>
      </c>
      <c r="C15" s="623" t="s">
        <v>625</v>
      </c>
      <c r="D15" s="788" t="s">
        <v>21</v>
      </c>
      <c r="E15" s="787" t="s">
        <v>542</v>
      </c>
      <c r="F15" s="625">
        <v>0</v>
      </c>
      <c r="G15" s="626"/>
      <c r="H15" s="626"/>
      <c r="I15" s="627">
        <f>G15+H15</f>
        <v>0</v>
      </c>
      <c r="J15" s="789">
        <f>SUMIFS('1. Calculator'!$E$136:$E$150,'1. Calculator'!$D$136:$D$150,'3. Monitoring'!$D15)</f>
        <v>0</v>
      </c>
      <c r="K15" s="790"/>
      <c r="L15" s="625">
        <f t="shared" ref="L15:L29" si="0">J15+K15</f>
        <v>0</v>
      </c>
      <c r="M15" s="625">
        <v>0</v>
      </c>
      <c r="N15" s="628"/>
      <c r="O15" s="628"/>
      <c r="P15" s="625">
        <v>0</v>
      </c>
      <c r="Q15" s="625"/>
      <c r="R15" s="625"/>
      <c r="S15" s="789">
        <f>J15+K15</f>
        <v>0</v>
      </c>
      <c r="T15" s="629" t="str">
        <f t="shared" ref="T15:T29" si="1">IFERROR((S15/G15),"")</f>
        <v/>
      </c>
      <c r="U15" s="791" t="str">
        <f>IFERROR(+S15/$S$30,"")</f>
        <v/>
      </c>
      <c r="V15" s="631"/>
      <c r="W15" s="625">
        <f t="shared" ref="W15:W29" si="2">I15-V15</f>
        <v>0</v>
      </c>
      <c r="X15" s="792"/>
      <c r="Z15" s="616"/>
      <c r="AA15" s="617"/>
      <c r="AB15" s="625"/>
      <c r="AC15" s="633"/>
      <c r="AF15" s="625">
        <v>0</v>
      </c>
      <c r="AG15" s="633"/>
      <c r="AH15" s="633"/>
      <c r="AJ15" s="632"/>
    </row>
    <row r="16" spans="1:36" ht="18" customHeight="1">
      <c r="C16" s="634" t="s">
        <v>626</v>
      </c>
      <c r="D16" s="788" t="s">
        <v>25</v>
      </c>
      <c r="E16" s="787" t="s">
        <v>543</v>
      </c>
      <c r="F16" s="625">
        <v>0</v>
      </c>
      <c r="G16" s="626"/>
      <c r="H16" s="626"/>
      <c r="I16" s="627">
        <f t="shared" ref="I16:I29" si="3">G16+H16</f>
        <v>0</v>
      </c>
      <c r="J16" s="789">
        <f>SUMIFS('1. Calculator'!$E$136:$E$150,'1. Calculator'!$D$136:$D$150,'3. Monitoring'!$D16)</f>
        <v>0</v>
      </c>
      <c r="K16" s="790"/>
      <c r="L16" s="625">
        <f t="shared" si="0"/>
        <v>0</v>
      </c>
      <c r="M16" s="625">
        <v>0</v>
      </c>
      <c r="N16" s="628"/>
      <c r="O16" s="628"/>
      <c r="P16" s="625">
        <v>0</v>
      </c>
      <c r="Q16" s="625"/>
      <c r="R16" s="625"/>
      <c r="S16" s="789">
        <f t="shared" ref="S16:S29" si="4">J16+K16</f>
        <v>0</v>
      </c>
      <c r="T16" s="629" t="str">
        <f t="shared" si="1"/>
        <v/>
      </c>
      <c r="U16" s="791" t="str">
        <f t="shared" ref="U16:U29" si="5">IFERROR(+S16/$S$30,"")</f>
        <v/>
      </c>
      <c r="V16" s="631"/>
      <c r="W16" s="625">
        <f t="shared" si="2"/>
        <v>0</v>
      </c>
      <c r="X16" s="792"/>
      <c r="Z16" s="616"/>
      <c r="AA16" s="617"/>
      <c r="AB16" s="625"/>
      <c r="AC16" s="633"/>
      <c r="AF16" s="625">
        <v>0</v>
      </c>
    </row>
    <row r="17" spans="1:32" ht="18" customHeight="1">
      <c r="C17" s="634" t="s">
        <v>627</v>
      </c>
      <c r="D17" s="788" t="s">
        <v>24</v>
      </c>
      <c r="E17" s="787" t="s">
        <v>544</v>
      </c>
      <c r="F17" s="625">
        <v>0</v>
      </c>
      <c r="G17" s="626"/>
      <c r="H17" s="626"/>
      <c r="I17" s="627">
        <f t="shared" si="3"/>
        <v>0</v>
      </c>
      <c r="J17" s="789">
        <f>SUMIFS('1. Calculator'!$E$136:$E$150,'1. Calculator'!$D$136:$D$150,'3. Monitoring'!$D17)</f>
        <v>0</v>
      </c>
      <c r="K17" s="790"/>
      <c r="L17" s="625">
        <f t="shared" si="0"/>
        <v>0</v>
      </c>
      <c r="M17" s="625">
        <v>0</v>
      </c>
      <c r="N17" s="628"/>
      <c r="O17" s="628"/>
      <c r="P17" s="625">
        <v>0</v>
      </c>
      <c r="Q17" s="625"/>
      <c r="R17" s="625"/>
      <c r="S17" s="789">
        <f t="shared" si="4"/>
        <v>0</v>
      </c>
      <c r="T17" s="629" t="str">
        <f t="shared" si="1"/>
        <v/>
      </c>
      <c r="U17" s="791" t="str">
        <f t="shared" si="5"/>
        <v/>
      </c>
      <c r="V17" s="631"/>
      <c r="W17" s="625">
        <f t="shared" si="2"/>
        <v>0</v>
      </c>
      <c r="X17" s="792"/>
      <c r="Z17" s="616"/>
      <c r="AA17" s="617"/>
      <c r="AB17" s="625"/>
      <c r="AC17" s="633"/>
      <c r="AF17" s="625">
        <v>0</v>
      </c>
    </row>
    <row r="18" spans="1:32" ht="18" customHeight="1">
      <c r="C18" s="634" t="s">
        <v>628</v>
      </c>
      <c r="D18" s="788" t="s">
        <v>629</v>
      </c>
      <c r="E18" s="787" t="s">
        <v>630</v>
      </c>
      <c r="F18" s="625">
        <v>0</v>
      </c>
      <c r="G18" s="626"/>
      <c r="H18" s="626"/>
      <c r="I18" s="627">
        <f t="shared" si="3"/>
        <v>0</v>
      </c>
      <c r="J18" s="789"/>
      <c r="K18" s="790"/>
      <c r="L18" s="625">
        <f t="shared" si="0"/>
        <v>0</v>
      </c>
      <c r="M18" s="625"/>
      <c r="N18" s="628"/>
      <c r="O18" s="628"/>
      <c r="P18" s="625"/>
      <c r="Q18" s="625"/>
      <c r="R18" s="625"/>
      <c r="S18" s="789">
        <f t="shared" si="4"/>
        <v>0</v>
      </c>
      <c r="T18" s="629" t="str">
        <f t="shared" si="1"/>
        <v/>
      </c>
      <c r="U18" s="791" t="str">
        <f t="shared" si="5"/>
        <v/>
      </c>
      <c r="V18" s="631"/>
      <c r="W18" s="625">
        <f t="shared" si="2"/>
        <v>0</v>
      </c>
      <c r="X18" s="792"/>
      <c r="Z18" s="616"/>
      <c r="AA18" s="617"/>
      <c r="AB18" s="625"/>
      <c r="AC18" s="633"/>
      <c r="AF18" s="625"/>
    </row>
    <row r="19" spans="1:32" ht="18" customHeight="1">
      <c r="C19" s="634" t="s">
        <v>631</v>
      </c>
      <c r="D19" s="788" t="s">
        <v>512</v>
      </c>
      <c r="E19" s="787" t="s">
        <v>545</v>
      </c>
      <c r="F19" s="625">
        <v>0</v>
      </c>
      <c r="G19" s="626"/>
      <c r="H19" s="626"/>
      <c r="I19" s="627">
        <f t="shared" si="3"/>
        <v>0</v>
      </c>
      <c r="J19" s="789">
        <f>SUMIFS('1. Calculator'!$E$136:$E$150,'1. Calculator'!$D$136:$D$150,'3. Monitoring'!$D19)</f>
        <v>0</v>
      </c>
      <c r="K19" s="790"/>
      <c r="L19" s="625">
        <f t="shared" si="0"/>
        <v>0</v>
      </c>
      <c r="M19" s="625">
        <v>0</v>
      </c>
      <c r="N19" s="628"/>
      <c r="O19" s="628"/>
      <c r="P19" s="625">
        <v>0</v>
      </c>
      <c r="Q19" s="625"/>
      <c r="R19" s="625"/>
      <c r="S19" s="789">
        <f t="shared" si="4"/>
        <v>0</v>
      </c>
      <c r="T19" s="629" t="str">
        <f t="shared" si="1"/>
        <v/>
      </c>
      <c r="U19" s="791" t="str">
        <f t="shared" si="5"/>
        <v/>
      </c>
      <c r="V19" s="631"/>
      <c r="W19" s="625">
        <f t="shared" si="2"/>
        <v>0</v>
      </c>
      <c r="X19" s="792"/>
      <c r="Z19" s="616"/>
      <c r="AA19" s="617"/>
      <c r="AB19" s="625"/>
      <c r="AC19" s="633"/>
      <c r="AF19" s="625">
        <v>0</v>
      </c>
    </row>
    <row r="20" spans="1:32" ht="18" customHeight="1">
      <c r="C20" s="634" t="s">
        <v>632</v>
      </c>
      <c r="D20" s="788" t="s">
        <v>515</v>
      </c>
      <c r="E20" s="787" t="s">
        <v>546</v>
      </c>
      <c r="F20" s="625">
        <v>0</v>
      </c>
      <c r="G20" s="626"/>
      <c r="H20" s="626"/>
      <c r="I20" s="627">
        <f t="shared" si="3"/>
        <v>0</v>
      </c>
      <c r="J20" s="789">
        <f>SUMIFS('1. Calculator'!$E$136:$E$150,'1. Calculator'!$D$136:$D$150,'3. Monitoring'!$D20)</f>
        <v>0</v>
      </c>
      <c r="K20" s="790"/>
      <c r="L20" s="625">
        <f t="shared" si="0"/>
        <v>0</v>
      </c>
      <c r="M20" s="625">
        <v>0</v>
      </c>
      <c r="N20" s="628"/>
      <c r="O20" s="628"/>
      <c r="P20" s="625">
        <v>0</v>
      </c>
      <c r="Q20" s="625"/>
      <c r="R20" s="625"/>
      <c r="S20" s="789">
        <f t="shared" si="4"/>
        <v>0</v>
      </c>
      <c r="T20" s="629" t="str">
        <f t="shared" si="1"/>
        <v/>
      </c>
      <c r="U20" s="791" t="str">
        <f t="shared" si="5"/>
        <v/>
      </c>
      <c r="V20" s="631"/>
      <c r="W20" s="625">
        <f t="shared" si="2"/>
        <v>0</v>
      </c>
      <c r="X20" s="792"/>
      <c r="Z20" s="616"/>
      <c r="AA20" s="617"/>
      <c r="AB20" s="625"/>
      <c r="AC20" s="633"/>
      <c r="AF20" s="625">
        <v>0</v>
      </c>
    </row>
    <row r="21" spans="1:32" ht="18" customHeight="1">
      <c r="C21" s="634" t="s">
        <v>633</v>
      </c>
      <c r="D21" s="788" t="s">
        <v>634</v>
      </c>
      <c r="E21" s="787" t="s">
        <v>635</v>
      </c>
      <c r="F21" s="625">
        <v>0</v>
      </c>
      <c r="G21" s="626"/>
      <c r="H21" s="626"/>
      <c r="I21" s="627">
        <f t="shared" si="3"/>
        <v>0</v>
      </c>
      <c r="J21" s="789">
        <f>SUMIFS('1. Calculator'!$E$136:$E$150,'1. Calculator'!$D$136:$D$150,'3. Monitoring'!$D21)</f>
        <v>0</v>
      </c>
      <c r="K21" s="790"/>
      <c r="L21" s="625">
        <f t="shared" si="0"/>
        <v>0</v>
      </c>
      <c r="M21" s="625">
        <v>0</v>
      </c>
      <c r="N21" s="628"/>
      <c r="O21" s="628"/>
      <c r="P21" s="625">
        <v>0</v>
      </c>
      <c r="Q21" s="625"/>
      <c r="R21" s="625"/>
      <c r="S21" s="789">
        <f t="shared" si="4"/>
        <v>0</v>
      </c>
      <c r="T21" s="629" t="str">
        <f t="shared" si="1"/>
        <v/>
      </c>
      <c r="U21" s="791" t="str">
        <f t="shared" si="5"/>
        <v/>
      </c>
      <c r="V21" s="631"/>
      <c r="W21" s="625">
        <f t="shared" si="2"/>
        <v>0</v>
      </c>
      <c r="X21" s="792"/>
      <c r="Z21" s="616"/>
      <c r="AA21" s="617"/>
      <c r="AB21" s="625"/>
      <c r="AC21" s="633"/>
      <c r="AF21" s="625">
        <v>0</v>
      </c>
    </row>
    <row r="22" spans="1:32" ht="18" customHeight="1">
      <c r="C22" s="634" t="s">
        <v>636</v>
      </c>
      <c r="D22" s="788" t="s">
        <v>637</v>
      </c>
      <c r="E22" s="787" t="s">
        <v>638</v>
      </c>
      <c r="F22" s="625">
        <v>0</v>
      </c>
      <c r="G22" s="626"/>
      <c r="H22" s="626"/>
      <c r="I22" s="627">
        <f t="shared" si="3"/>
        <v>0</v>
      </c>
      <c r="J22" s="789"/>
      <c r="K22" s="790"/>
      <c r="L22" s="625">
        <f t="shared" si="0"/>
        <v>0</v>
      </c>
      <c r="M22" s="625">
        <v>0</v>
      </c>
      <c r="N22" s="628"/>
      <c r="O22" s="628"/>
      <c r="P22" s="625">
        <v>0</v>
      </c>
      <c r="Q22" s="625"/>
      <c r="R22" s="625"/>
      <c r="S22" s="789">
        <f t="shared" si="4"/>
        <v>0</v>
      </c>
      <c r="T22" s="629" t="str">
        <f t="shared" si="1"/>
        <v/>
      </c>
      <c r="U22" s="791" t="str">
        <f t="shared" si="5"/>
        <v/>
      </c>
      <c r="V22" s="631"/>
      <c r="W22" s="625">
        <f t="shared" si="2"/>
        <v>0</v>
      </c>
      <c r="X22" s="792"/>
      <c r="Z22" s="616"/>
      <c r="AA22" s="617"/>
      <c r="AB22" s="625"/>
      <c r="AC22" s="633"/>
      <c r="AF22" s="625">
        <v>0</v>
      </c>
    </row>
    <row r="23" spans="1:32" ht="18" customHeight="1">
      <c r="C23" s="634" t="s">
        <v>639</v>
      </c>
      <c r="D23" s="788" t="s">
        <v>492</v>
      </c>
      <c r="E23" s="787" t="s">
        <v>640</v>
      </c>
      <c r="F23" s="625">
        <v>0</v>
      </c>
      <c r="G23" s="626"/>
      <c r="H23" s="626"/>
      <c r="I23" s="627">
        <f t="shared" si="3"/>
        <v>0</v>
      </c>
      <c r="J23" s="789">
        <f>SUMIFS('1. Calculator'!$E$136:$E$150,'1. Calculator'!$D$136:$D$150,'3. Monitoring'!$D23)</f>
        <v>0</v>
      </c>
      <c r="K23" s="790"/>
      <c r="L23" s="625">
        <f t="shared" si="0"/>
        <v>0</v>
      </c>
      <c r="M23" s="625"/>
      <c r="N23" s="628"/>
      <c r="O23" s="628"/>
      <c r="P23" s="625"/>
      <c r="Q23" s="625"/>
      <c r="R23" s="625"/>
      <c r="S23" s="789">
        <f t="shared" si="4"/>
        <v>0</v>
      </c>
      <c r="T23" s="629" t="str">
        <f t="shared" si="1"/>
        <v/>
      </c>
      <c r="U23" s="791" t="str">
        <f t="shared" si="5"/>
        <v/>
      </c>
      <c r="V23" s="631"/>
      <c r="W23" s="625">
        <f t="shared" si="2"/>
        <v>0</v>
      </c>
      <c r="X23" s="792"/>
      <c r="Z23" s="616"/>
      <c r="AA23" s="617"/>
      <c r="AB23" s="625"/>
      <c r="AC23" s="633"/>
      <c r="AF23" s="625"/>
    </row>
    <row r="24" spans="1:32" ht="18" customHeight="1">
      <c r="C24" s="634" t="s">
        <v>641</v>
      </c>
      <c r="D24" s="788" t="s">
        <v>642</v>
      </c>
      <c r="E24" s="787" t="s">
        <v>643</v>
      </c>
      <c r="F24" s="625">
        <v>0</v>
      </c>
      <c r="G24" s="626"/>
      <c r="H24" s="626"/>
      <c r="I24" s="627">
        <f t="shared" si="3"/>
        <v>0</v>
      </c>
      <c r="J24" s="789"/>
      <c r="K24" s="790"/>
      <c r="L24" s="625">
        <f t="shared" si="0"/>
        <v>0</v>
      </c>
      <c r="M24" s="625">
        <v>0</v>
      </c>
      <c r="N24" s="628"/>
      <c r="O24" s="628"/>
      <c r="P24" s="625">
        <v>0</v>
      </c>
      <c r="Q24" s="625"/>
      <c r="R24" s="625"/>
      <c r="S24" s="789">
        <f t="shared" si="4"/>
        <v>0</v>
      </c>
      <c r="T24" s="629" t="str">
        <f t="shared" si="1"/>
        <v/>
      </c>
      <c r="U24" s="791" t="str">
        <f t="shared" si="5"/>
        <v/>
      </c>
      <c r="V24" s="631"/>
      <c r="W24" s="625">
        <f t="shared" si="2"/>
        <v>0</v>
      </c>
      <c r="X24" s="792"/>
      <c r="Z24" s="616"/>
      <c r="AA24" s="617"/>
      <c r="AB24" s="625"/>
      <c r="AC24" s="633"/>
      <c r="AF24" s="625">
        <v>0</v>
      </c>
    </row>
    <row r="25" spans="1:32" ht="18" customHeight="1">
      <c r="C25" s="634" t="s">
        <v>644</v>
      </c>
      <c r="D25" s="788" t="s">
        <v>645</v>
      </c>
      <c r="E25" s="787" t="s">
        <v>646</v>
      </c>
      <c r="F25" s="625">
        <v>0</v>
      </c>
      <c r="G25" s="626"/>
      <c r="H25" s="626"/>
      <c r="I25" s="627">
        <f t="shared" si="3"/>
        <v>0</v>
      </c>
      <c r="J25" s="789"/>
      <c r="K25" s="790"/>
      <c r="L25" s="625">
        <f t="shared" si="0"/>
        <v>0</v>
      </c>
      <c r="M25" s="625">
        <v>0</v>
      </c>
      <c r="N25" s="628"/>
      <c r="O25" s="628"/>
      <c r="P25" s="625">
        <v>0</v>
      </c>
      <c r="Q25" s="625"/>
      <c r="R25" s="625"/>
      <c r="S25" s="789">
        <f t="shared" si="4"/>
        <v>0</v>
      </c>
      <c r="T25" s="629" t="str">
        <f t="shared" si="1"/>
        <v/>
      </c>
      <c r="U25" s="791" t="str">
        <f t="shared" si="5"/>
        <v/>
      </c>
      <c r="V25" s="631"/>
      <c r="W25" s="625">
        <f t="shared" si="2"/>
        <v>0</v>
      </c>
      <c r="X25" s="792"/>
      <c r="Z25" s="616"/>
      <c r="AA25" s="617"/>
      <c r="AB25" s="625"/>
      <c r="AC25" s="633"/>
      <c r="AF25" s="625">
        <v>0</v>
      </c>
    </row>
    <row r="26" spans="1:32" ht="18" customHeight="1">
      <c r="C26" s="634" t="s">
        <v>647</v>
      </c>
      <c r="D26" s="788" t="s">
        <v>648</v>
      </c>
      <c r="E26" s="787" t="s">
        <v>649</v>
      </c>
      <c r="F26" s="625">
        <v>0</v>
      </c>
      <c r="G26" s="626"/>
      <c r="H26" s="626"/>
      <c r="I26" s="627">
        <f t="shared" si="3"/>
        <v>0</v>
      </c>
      <c r="J26" s="789"/>
      <c r="K26" s="790"/>
      <c r="L26" s="625">
        <f t="shared" si="0"/>
        <v>0</v>
      </c>
      <c r="M26" s="625">
        <v>0</v>
      </c>
      <c r="N26" s="628"/>
      <c r="O26" s="628"/>
      <c r="P26" s="625">
        <v>0</v>
      </c>
      <c r="Q26" s="625"/>
      <c r="R26" s="625"/>
      <c r="S26" s="789">
        <f t="shared" si="4"/>
        <v>0</v>
      </c>
      <c r="T26" s="629" t="str">
        <f t="shared" si="1"/>
        <v/>
      </c>
      <c r="U26" s="791" t="str">
        <f t="shared" si="5"/>
        <v/>
      </c>
      <c r="V26" s="631"/>
      <c r="W26" s="625">
        <f t="shared" si="2"/>
        <v>0</v>
      </c>
      <c r="X26" s="792"/>
      <c r="Z26" s="616"/>
      <c r="AA26" s="617"/>
      <c r="AB26" s="625"/>
      <c r="AC26" s="633"/>
      <c r="AF26" s="625">
        <v>0</v>
      </c>
    </row>
    <row r="27" spans="1:32" ht="18" customHeight="1">
      <c r="C27" s="634" t="s">
        <v>650</v>
      </c>
      <c r="D27" s="788" t="s">
        <v>651</v>
      </c>
      <c r="E27" s="787" t="s">
        <v>652</v>
      </c>
      <c r="F27" s="625">
        <v>0</v>
      </c>
      <c r="G27" s="626"/>
      <c r="H27" s="626"/>
      <c r="I27" s="627">
        <f t="shared" si="3"/>
        <v>0</v>
      </c>
      <c r="J27" s="789"/>
      <c r="K27" s="790"/>
      <c r="L27" s="625">
        <f t="shared" si="0"/>
        <v>0</v>
      </c>
      <c r="M27" s="625">
        <v>0</v>
      </c>
      <c r="N27" s="628"/>
      <c r="O27" s="628"/>
      <c r="P27" s="625">
        <v>0</v>
      </c>
      <c r="Q27" s="625"/>
      <c r="R27" s="625"/>
      <c r="S27" s="789">
        <f t="shared" si="4"/>
        <v>0</v>
      </c>
      <c r="T27" s="629" t="str">
        <f t="shared" si="1"/>
        <v/>
      </c>
      <c r="U27" s="791" t="str">
        <f t="shared" si="5"/>
        <v/>
      </c>
      <c r="V27" s="631"/>
      <c r="W27" s="625">
        <f t="shared" si="2"/>
        <v>0</v>
      </c>
      <c r="X27" s="792"/>
      <c r="Z27" s="616"/>
      <c r="AA27" s="617"/>
      <c r="AB27" s="625"/>
      <c r="AC27" s="633"/>
      <c r="AF27" s="625">
        <v>0</v>
      </c>
    </row>
    <row r="28" spans="1:32" ht="18" customHeight="1">
      <c r="C28" s="634" t="s">
        <v>653</v>
      </c>
      <c r="D28" s="788" t="s">
        <v>654</v>
      </c>
      <c r="E28" s="787" t="s">
        <v>655</v>
      </c>
      <c r="F28" s="625">
        <v>0</v>
      </c>
      <c r="G28" s="626"/>
      <c r="H28" s="626"/>
      <c r="I28" s="627">
        <f t="shared" si="3"/>
        <v>0</v>
      </c>
      <c r="J28" s="789"/>
      <c r="K28" s="790"/>
      <c r="L28" s="625">
        <f t="shared" si="0"/>
        <v>0</v>
      </c>
      <c r="M28" s="625">
        <v>0</v>
      </c>
      <c r="N28" s="628"/>
      <c r="O28" s="628"/>
      <c r="P28" s="625">
        <v>0</v>
      </c>
      <c r="Q28" s="625"/>
      <c r="R28" s="625"/>
      <c r="S28" s="789">
        <f t="shared" si="4"/>
        <v>0</v>
      </c>
      <c r="T28" s="629" t="str">
        <f t="shared" si="1"/>
        <v/>
      </c>
      <c r="U28" s="791" t="str">
        <f t="shared" si="5"/>
        <v/>
      </c>
      <c r="V28" s="631"/>
      <c r="W28" s="625">
        <f t="shared" si="2"/>
        <v>0</v>
      </c>
      <c r="X28" s="792"/>
      <c r="Z28" s="616"/>
      <c r="AA28" s="617"/>
      <c r="AB28" s="625"/>
      <c r="AC28" s="633"/>
      <c r="AF28" s="625">
        <v>0</v>
      </c>
    </row>
    <row r="29" spans="1:32" ht="18" customHeight="1">
      <c r="C29" s="634" t="s">
        <v>656</v>
      </c>
      <c r="D29" s="788" t="s">
        <v>657</v>
      </c>
      <c r="E29" s="787" t="s">
        <v>658</v>
      </c>
      <c r="F29" s="625">
        <v>0</v>
      </c>
      <c r="G29" s="626"/>
      <c r="H29" s="626"/>
      <c r="I29" s="627">
        <f t="shared" si="3"/>
        <v>0</v>
      </c>
      <c r="J29" s="789"/>
      <c r="K29" s="790"/>
      <c r="L29" s="625">
        <f t="shared" si="0"/>
        <v>0</v>
      </c>
      <c r="M29" s="625">
        <v>0</v>
      </c>
      <c r="N29" s="628"/>
      <c r="O29" s="628"/>
      <c r="P29" s="625">
        <v>0</v>
      </c>
      <c r="Q29" s="625"/>
      <c r="R29" s="625"/>
      <c r="S29" s="789">
        <f t="shared" si="4"/>
        <v>0</v>
      </c>
      <c r="T29" s="629" t="str">
        <f t="shared" si="1"/>
        <v/>
      </c>
      <c r="U29" s="791" t="str">
        <f t="shared" si="5"/>
        <v/>
      </c>
      <c r="V29" s="631"/>
      <c r="W29" s="625">
        <f t="shared" si="2"/>
        <v>0</v>
      </c>
      <c r="X29" s="792"/>
      <c r="Z29" s="616"/>
      <c r="AA29" s="617"/>
      <c r="AB29" s="625"/>
      <c r="AC29" s="633"/>
      <c r="AF29" s="625">
        <v>0</v>
      </c>
    </row>
    <row r="30" spans="1:32" ht="18" customHeight="1">
      <c r="D30" s="795" t="s">
        <v>659</v>
      </c>
      <c r="E30" s="795"/>
      <c r="F30" s="612">
        <f>SUM(F15:F29)</f>
        <v>0</v>
      </c>
      <c r="G30" s="612">
        <f t="shared" ref="G30:Q30" si="6">SUM(G15:G29)</f>
        <v>0</v>
      </c>
      <c r="H30" s="612">
        <f t="shared" si="6"/>
        <v>0</v>
      </c>
      <c r="I30" s="612">
        <f t="shared" si="6"/>
        <v>0</v>
      </c>
      <c r="J30" s="785">
        <f t="shared" si="6"/>
        <v>0</v>
      </c>
      <c r="K30" s="785">
        <f t="shared" si="6"/>
        <v>0</v>
      </c>
      <c r="L30" s="785">
        <f t="shared" si="6"/>
        <v>0</v>
      </c>
      <c r="M30" s="785">
        <f t="shared" si="6"/>
        <v>0</v>
      </c>
      <c r="N30" s="785">
        <f t="shared" si="6"/>
        <v>0</v>
      </c>
      <c r="O30" s="785">
        <f t="shared" si="6"/>
        <v>0</v>
      </c>
      <c r="P30" s="785">
        <f t="shared" si="6"/>
        <v>0</v>
      </c>
      <c r="Q30" s="785">
        <f t="shared" si="6"/>
        <v>0</v>
      </c>
      <c r="R30" s="785"/>
      <c r="S30" s="785">
        <f>SUM(S15:S29)</f>
        <v>0</v>
      </c>
      <c r="T30" s="612"/>
      <c r="U30" s="635"/>
      <c r="V30" s="636">
        <f>SUM(V15:V29)</f>
        <v>0</v>
      </c>
      <c r="W30" s="612">
        <f>SUM(W15:W29)</f>
        <v>0</v>
      </c>
      <c r="X30" s="615"/>
      <c r="AA30" s="617"/>
      <c r="AB30" s="612">
        <v>0</v>
      </c>
      <c r="AC30" s="618"/>
      <c r="AF30" s="612">
        <v>0</v>
      </c>
    </row>
    <row r="31" spans="1:32" ht="18" customHeight="1">
      <c r="D31" s="619"/>
      <c r="E31" s="797" t="s">
        <v>660</v>
      </c>
      <c r="F31" s="637"/>
      <c r="G31" s="637"/>
      <c r="H31" s="637"/>
      <c r="I31" s="637"/>
      <c r="J31" s="637"/>
      <c r="K31" s="637"/>
      <c r="L31" s="637"/>
      <c r="M31" s="637"/>
      <c r="N31" s="637"/>
      <c r="O31" s="637"/>
      <c r="P31" s="637"/>
      <c r="Q31" s="637"/>
      <c r="R31" s="637"/>
      <c r="S31" s="637"/>
      <c r="T31" s="637"/>
      <c r="U31" s="638"/>
      <c r="V31" s="639"/>
      <c r="W31" s="637"/>
      <c r="X31" s="637"/>
      <c r="AA31" s="617"/>
      <c r="AB31" s="637"/>
      <c r="AC31" s="640"/>
      <c r="AF31" s="637"/>
    </row>
    <row r="32" spans="1:32" ht="18" customHeight="1">
      <c r="A32" s="508"/>
      <c r="C32" s="634" t="s">
        <v>661</v>
      </c>
      <c r="D32" s="788" t="s">
        <v>662</v>
      </c>
      <c r="E32" s="787" t="s">
        <v>663</v>
      </c>
      <c r="F32" s="625">
        <v>0</v>
      </c>
      <c r="G32" s="626"/>
      <c r="H32" s="626"/>
      <c r="I32" s="627">
        <f t="shared" ref="I32:I68" si="7">G32+H32</f>
        <v>0</v>
      </c>
      <c r="J32" s="789"/>
      <c r="K32" s="790"/>
      <c r="L32" s="625">
        <f t="shared" ref="L32:L51" si="8">J32+K32</f>
        <v>0</v>
      </c>
      <c r="M32" s="628"/>
      <c r="N32" s="625">
        <v>0</v>
      </c>
      <c r="O32" s="625">
        <v>0</v>
      </c>
      <c r="P32" s="628"/>
      <c r="Q32" s="625"/>
      <c r="R32" s="625"/>
      <c r="S32" s="789">
        <f>J32+K32</f>
        <v>0</v>
      </c>
      <c r="T32" s="629" t="str">
        <f t="shared" ref="T32:T68" si="9">IFERROR((S32/G32),"")</f>
        <v/>
      </c>
      <c r="U32" s="791" t="str">
        <f t="shared" ref="U32:U57" si="10">IFERROR(+S32/$S$69,"")</f>
        <v/>
      </c>
      <c r="V32" s="631"/>
      <c r="W32" s="625">
        <f t="shared" ref="W32:W51" si="11">I32-V32</f>
        <v>0</v>
      </c>
      <c r="X32" s="792"/>
      <c r="Z32" s="616"/>
      <c r="AA32" s="617"/>
      <c r="AB32" s="625"/>
      <c r="AC32" s="633"/>
      <c r="AF32" s="625">
        <v>0</v>
      </c>
    </row>
    <row r="33" spans="1:32" ht="18" customHeight="1">
      <c r="C33" s="634" t="s">
        <v>664</v>
      </c>
      <c r="D33" s="788" t="s">
        <v>665</v>
      </c>
      <c r="E33" s="787" t="s">
        <v>666</v>
      </c>
      <c r="F33" s="625">
        <v>0</v>
      </c>
      <c r="G33" s="626"/>
      <c r="H33" s="626"/>
      <c r="I33" s="627">
        <f t="shared" si="7"/>
        <v>0</v>
      </c>
      <c r="J33" s="789"/>
      <c r="K33" s="790"/>
      <c r="L33" s="625">
        <f t="shared" si="8"/>
        <v>0</v>
      </c>
      <c r="M33" s="628"/>
      <c r="N33" s="625">
        <v>0</v>
      </c>
      <c r="O33" s="625">
        <v>0</v>
      </c>
      <c r="P33" s="628"/>
      <c r="Q33" s="625"/>
      <c r="R33" s="625"/>
      <c r="S33" s="789">
        <f t="shared" ref="S33:S68" si="12">J33+K33</f>
        <v>0</v>
      </c>
      <c r="T33" s="629" t="str">
        <f t="shared" si="9"/>
        <v/>
      </c>
      <c r="U33" s="791" t="str">
        <f t="shared" si="10"/>
        <v/>
      </c>
      <c r="V33" s="631"/>
      <c r="W33" s="625">
        <f t="shared" si="11"/>
        <v>0</v>
      </c>
      <c r="X33" s="792"/>
      <c r="Z33" s="616"/>
      <c r="AA33" s="617"/>
      <c r="AB33" s="626"/>
      <c r="AC33" s="633"/>
      <c r="AF33" s="625">
        <v>0</v>
      </c>
    </row>
    <row r="34" spans="1:32" ht="18" customHeight="1">
      <c r="C34" s="634" t="s">
        <v>667</v>
      </c>
      <c r="D34" s="788" t="s">
        <v>668</v>
      </c>
      <c r="E34" s="787" t="s">
        <v>669</v>
      </c>
      <c r="F34" s="625">
        <v>0</v>
      </c>
      <c r="G34" s="626"/>
      <c r="H34" s="626"/>
      <c r="I34" s="627">
        <f t="shared" si="7"/>
        <v>0</v>
      </c>
      <c r="J34" s="789"/>
      <c r="K34" s="790"/>
      <c r="L34" s="625">
        <f t="shared" si="8"/>
        <v>0</v>
      </c>
      <c r="M34" s="628"/>
      <c r="N34" s="625">
        <v>0</v>
      </c>
      <c r="O34" s="625">
        <v>0</v>
      </c>
      <c r="P34" s="628"/>
      <c r="Q34" s="625"/>
      <c r="R34" s="625"/>
      <c r="S34" s="789">
        <f t="shared" si="12"/>
        <v>0</v>
      </c>
      <c r="T34" s="629" t="str">
        <f t="shared" si="9"/>
        <v/>
      </c>
      <c r="U34" s="791" t="str">
        <f t="shared" si="10"/>
        <v/>
      </c>
      <c r="V34" s="631"/>
      <c r="W34" s="625">
        <f t="shared" si="11"/>
        <v>0</v>
      </c>
      <c r="X34" s="792"/>
      <c r="Z34" s="616"/>
      <c r="AA34" s="617"/>
      <c r="AB34" s="625"/>
      <c r="AC34" s="633"/>
      <c r="AF34" s="625">
        <v>0</v>
      </c>
    </row>
    <row r="35" spans="1:32" ht="18" customHeight="1">
      <c r="C35" s="634" t="s">
        <v>670</v>
      </c>
      <c r="D35" s="788" t="s">
        <v>671</v>
      </c>
      <c r="E35" s="787" t="s">
        <v>672</v>
      </c>
      <c r="F35" s="625">
        <v>0</v>
      </c>
      <c r="G35" s="626"/>
      <c r="H35" s="626"/>
      <c r="I35" s="627">
        <f t="shared" si="7"/>
        <v>0</v>
      </c>
      <c r="J35" s="789"/>
      <c r="K35" s="790"/>
      <c r="L35" s="625">
        <f t="shared" si="8"/>
        <v>0</v>
      </c>
      <c r="M35" s="628"/>
      <c r="N35" s="625">
        <v>0</v>
      </c>
      <c r="O35" s="625">
        <v>0</v>
      </c>
      <c r="P35" s="628"/>
      <c r="Q35" s="625"/>
      <c r="R35" s="625"/>
      <c r="S35" s="789">
        <f t="shared" si="12"/>
        <v>0</v>
      </c>
      <c r="T35" s="629" t="str">
        <f t="shared" si="9"/>
        <v/>
      </c>
      <c r="U35" s="791" t="str">
        <f t="shared" si="10"/>
        <v/>
      </c>
      <c r="V35" s="631"/>
      <c r="W35" s="625">
        <f t="shared" si="11"/>
        <v>0</v>
      </c>
      <c r="X35" s="792"/>
      <c r="Z35" s="616"/>
      <c r="AA35" s="617"/>
      <c r="AB35" s="625"/>
      <c r="AC35" s="633"/>
      <c r="AF35" s="625">
        <v>0</v>
      </c>
    </row>
    <row r="36" spans="1:32" ht="18" customHeight="1">
      <c r="C36" s="634" t="s">
        <v>673</v>
      </c>
      <c r="D36" s="788" t="s">
        <v>674</v>
      </c>
      <c r="E36" s="787" t="s">
        <v>675</v>
      </c>
      <c r="F36" s="625">
        <v>0</v>
      </c>
      <c r="G36" s="626"/>
      <c r="H36" s="626"/>
      <c r="I36" s="627">
        <f t="shared" si="7"/>
        <v>0</v>
      </c>
      <c r="J36" s="789"/>
      <c r="K36" s="790"/>
      <c r="L36" s="625">
        <f t="shared" si="8"/>
        <v>0</v>
      </c>
      <c r="M36" s="628"/>
      <c r="N36" s="625">
        <v>0</v>
      </c>
      <c r="O36" s="625">
        <v>0</v>
      </c>
      <c r="P36" s="628"/>
      <c r="Q36" s="625"/>
      <c r="R36" s="625"/>
      <c r="S36" s="789">
        <f t="shared" si="12"/>
        <v>0</v>
      </c>
      <c r="T36" s="629" t="str">
        <f t="shared" si="9"/>
        <v/>
      </c>
      <c r="U36" s="791" t="str">
        <f t="shared" si="10"/>
        <v/>
      </c>
      <c r="V36" s="631"/>
      <c r="W36" s="625">
        <f t="shared" si="11"/>
        <v>0</v>
      </c>
      <c r="X36" s="792"/>
      <c r="Z36" s="616"/>
      <c r="AA36" s="617"/>
      <c r="AB36" s="625"/>
      <c r="AC36" s="633"/>
      <c r="AF36" s="625">
        <v>0</v>
      </c>
    </row>
    <row r="37" spans="1:32" ht="18" customHeight="1">
      <c r="C37" s="634" t="s">
        <v>676</v>
      </c>
      <c r="D37" s="788" t="s">
        <v>677</v>
      </c>
      <c r="E37" s="787" t="s">
        <v>678</v>
      </c>
      <c r="F37" s="625">
        <v>0</v>
      </c>
      <c r="G37" s="626"/>
      <c r="H37" s="626"/>
      <c r="I37" s="627">
        <f t="shared" si="7"/>
        <v>0</v>
      </c>
      <c r="J37" s="789"/>
      <c r="K37" s="790"/>
      <c r="L37" s="625">
        <f t="shared" si="8"/>
        <v>0</v>
      </c>
      <c r="M37" s="628"/>
      <c r="N37" s="625">
        <v>0</v>
      </c>
      <c r="O37" s="625">
        <v>0</v>
      </c>
      <c r="P37" s="628"/>
      <c r="Q37" s="625"/>
      <c r="R37" s="625"/>
      <c r="S37" s="789">
        <f t="shared" si="12"/>
        <v>0</v>
      </c>
      <c r="T37" s="629" t="str">
        <f t="shared" si="9"/>
        <v/>
      </c>
      <c r="U37" s="791" t="str">
        <f t="shared" si="10"/>
        <v/>
      </c>
      <c r="V37" s="631"/>
      <c r="W37" s="625">
        <f t="shared" si="11"/>
        <v>0</v>
      </c>
      <c r="X37" s="792"/>
      <c r="Z37" s="616"/>
      <c r="AA37" s="617"/>
      <c r="AB37" s="625"/>
      <c r="AC37" s="633"/>
      <c r="AF37" s="625">
        <v>0</v>
      </c>
    </row>
    <row r="38" spans="1:32" ht="18" customHeight="1">
      <c r="C38" s="634" t="s">
        <v>679</v>
      </c>
      <c r="D38" s="788" t="s">
        <v>680</v>
      </c>
      <c r="E38" s="787" t="s">
        <v>681</v>
      </c>
      <c r="F38" s="625">
        <v>0</v>
      </c>
      <c r="G38" s="626"/>
      <c r="H38" s="626"/>
      <c r="I38" s="627">
        <f t="shared" si="7"/>
        <v>0</v>
      </c>
      <c r="J38" s="789"/>
      <c r="K38" s="790"/>
      <c r="L38" s="625">
        <f t="shared" si="8"/>
        <v>0</v>
      </c>
      <c r="M38" s="628"/>
      <c r="N38" s="625">
        <v>0</v>
      </c>
      <c r="O38" s="625">
        <v>0</v>
      </c>
      <c r="P38" s="628"/>
      <c r="Q38" s="625"/>
      <c r="R38" s="625"/>
      <c r="S38" s="789">
        <f t="shared" si="12"/>
        <v>0</v>
      </c>
      <c r="T38" s="629" t="str">
        <f t="shared" si="9"/>
        <v/>
      </c>
      <c r="U38" s="791" t="str">
        <f t="shared" si="10"/>
        <v/>
      </c>
      <c r="V38" s="631"/>
      <c r="W38" s="625">
        <f t="shared" si="11"/>
        <v>0</v>
      </c>
      <c r="X38" s="792"/>
      <c r="Z38" s="616"/>
      <c r="AA38" s="617"/>
      <c r="AB38" s="625"/>
      <c r="AC38" s="633"/>
      <c r="AF38" s="625">
        <v>0</v>
      </c>
    </row>
    <row r="39" spans="1:32" ht="18" customHeight="1">
      <c r="C39" s="634" t="s">
        <v>682</v>
      </c>
      <c r="D39" s="788" t="s">
        <v>551</v>
      </c>
      <c r="E39" s="787" t="s">
        <v>683</v>
      </c>
      <c r="F39" s="625">
        <v>0</v>
      </c>
      <c r="G39" s="626"/>
      <c r="H39" s="626"/>
      <c r="I39" s="627">
        <f t="shared" si="7"/>
        <v>0</v>
      </c>
      <c r="J39" s="789"/>
      <c r="K39" s="790"/>
      <c r="L39" s="625">
        <f t="shared" si="8"/>
        <v>0</v>
      </c>
      <c r="M39" s="628"/>
      <c r="N39" s="625">
        <v>0</v>
      </c>
      <c r="O39" s="625">
        <v>0</v>
      </c>
      <c r="P39" s="628"/>
      <c r="Q39" s="625"/>
      <c r="R39" s="625"/>
      <c r="S39" s="789">
        <f t="shared" si="12"/>
        <v>0</v>
      </c>
      <c r="T39" s="629" t="str">
        <f t="shared" si="9"/>
        <v/>
      </c>
      <c r="U39" s="791" t="str">
        <f t="shared" si="10"/>
        <v/>
      </c>
      <c r="V39" s="631"/>
      <c r="W39" s="625">
        <f t="shared" si="11"/>
        <v>0</v>
      </c>
      <c r="X39" s="792"/>
      <c r="Z39" s="616"/>
      <c r="AA39" s="617"/>
      <c r="AB39" s="625"/>
      <c r="AC39" s="633"/>
      <c r="AF39" s="625">
        <v>0</v>
      </c>
    </row>
    <row r="40" spans="1:32" ht="18" customHeight="1">
      <c r="C40" s="634" t="s">
        <v>684</v>
      </c>
      <c r="D40" s="788" t="s">
        <v>685</v>
      </c>
      <c r="E40" s="787" t="s">
        <v>686</v>
      </c>
      <c r="F40" s="625">
        <v>0</v>
      </c>
      <c r="G40" s="626"/>
      <c r="H40" s="626"/>
      <c r="I40" s="627">
        <f t="shared" si="7"/>
        <v>0</v>
      </c>
      <c r="J40" s="789"/>
      <c r="K40" s="790"/>
      <c r="L40" s="625">
        <f t="shared" si="8"/>
        <v>0</v>
      </c>
      <c r="M40" s="628"/>
      <c r="N40" s="625">
        <v>0</v>
      </c>
      <c r="O40" s="625">
        <v>0</v>
      </c>
      <c r="P40" s="628"/>
      <c r="Q40" s="625"/>
      <c r="R40" s="625"/>
      <c r="S40" s="789">
        <f t="shared" si="12"/>
        <v>0</v>
      </c>
      <c r="T40" s="629" t="str">
        <f t="shared" si="9"/>
        <v/>
      </c>
      <c r="U40" s="791" t="str">
        <f t="shared" si="10"/>
        <v/>
      </c>
      <c r="V40" s="631"/>
      <c r="W40" s="625">
        <f t="shared" si="11"/>
        <v>0</v>
      </c>
      <c r="X40" s="792"/>
      <c r="Z40" s="616"/>
      <c r="AA40" s="617"/>
      <c r="AB40" s="625"/>
      <c r="AC40" s="633"/>
      <c r="AF40" s="625">
        <v>0</v>
      </c>
    </row>
    <row r="41" spans="1:32" ht="18" customHeight="1">
      <c r="C41" s="634" t="s">
        <v>687</v>
      </c>
      <c r="D41" s="788" t="s">
        <v>688</v>
      </c>
      <c r="E41" s="787" t="s">
        <v>689</v>
      </c>
      <c r="F41" s="625">
        <v>0</v>
      </c>
      <c r="G41" s="626"/>
      <c r="H41" s="626"/>
      <c r="I41" s="627">
        <f t="shared" si="7"/>
        <v>0</v>
      </c>
      <c r="J41" s="789"/>
      <c r="K41" s="790"/>
      <c r="L41" s="625">
        <f t="shared" si="8"/>
        <v>0</v>
      </c>
      <c r="M41" s="628"/>
      <c r="N41" s="625">
        <v>0</v>
      </c>
      <c r="O41" s="625">
        <v>0</v>
      </c>
      <c r="P41" s="628"/>
      <c r="Q41" s="625"/>
      <c r="R41" s="625"/>
      <c r="S41" s="789">
        <f t="shared" si="12"/>
        <v>0</v>
      </c>
      <c r="T41" s="629" t="str">
        <f t="shared" si="9"/>
        <v/>
      </c>
      <c r="U41" s="791" t="str">
        <f t="shared" si="10"/>
        <v/>
      </c>
      <c r="V41" s="631"/>
      <c r="W41" s="625">
        <f t="shared" si="11"/>
        <v>0</v>
      </c>
      <c r="X41" s="792"/>
      <c r="Z41" s="616"/>
      <c r="AA41" s="617"/>
      <c r="AB41" s="625"/>
      <c r="AC41" s="633"/>
      <c r="AF41" s="625">
        <v>0</v>
      </c>
    </row>
    <row r="42" spans="1:32" ht="18" customHeight="1">
      <c r="C42" s="634" t="s">
        <v>690</v>
      </c>
      <c r="D42" s="788" t="s">
        <v>691</v>
      </c>
      <c r="E42" s="787" t="s">
        <v>692</v>
      </c>
      <c r="F42" s="625">
        <v>0</v>
      </c>
      <c r="G42" s="626"/>
      <c r="H42" s="626"/>
      <c r="I42" s="627">
        <f t="shared" si="7"/>
        <v>0</v>
      </c>
      <c r="J42" s="789"/>
      <c r="K42" s="790"/>
      <c r="L42" s="625">
        <f t="shared" si="8"/>
        <v>0</v>
      </c>
      <c r="M42" s="628"/>
      <c r="N42" s="625">
        <v>0</v>
      </c>
      <c r="O42" s="625">
        <v>0</v>
      </c>
      <c r="P42" s="628"/>
      <c r="Q42" s="625"/>
      <c r="R42" s="625"/>
      <c r="S42" s="789">
        <f t="shared" si="12"/>
        <v>0</v>
      </c>
      <c r="T42" s="629" t="str">
        <f t="shared" si="9"/>
        <v/>
      </c>
      <c r="U42" s="791" t="str">
        <f t="shared" si="10"/>
        <v/>
      </c>
      <c r="V42" s="631"/>
      <c r="W42" s="625">
        <f t="shared" si="11"/>
        <v>0</v>
      </c>
      <c r="X42" s="792"/>
      <c r="Z42" s="616"/>
      <c r="AA42" s="617"/>
      <c r="AB42" s="625"/>
      <c r="AC42" s="633"/>
      <c r="AF42" s="625">
        <v>0</v>
      </c>
    </row>
    <row r="43" spans="1:32" ht="18" customHeight="1">
      <c r="A43" s="508"/>
      <c r="C43" s="634" t="s">
        <v>693</v>
      </c>
      <c r="D43" s="788" t="s">
        <v>694</v>
      </c>
      <c r="E43" s="787" t="s">
        <v>695</v>
      </c>
      <c r="F43" s="625">
        <v>0</v>
      </c>
      <c r="G43" s="626"/>
      <c r="H43" s="626"/>
      <c r="I43" s="627">
        <f t="shared" si="7"/>
        <v>0</v>
      </c>
      <c r="J43" s="789"/>
      <c r="K43" s="790"/>
      <c r="L43" s="625">
        <f t="shared" si="8"/>
        <v>0</v>
      </c>
      <c r="M43" s="628"/>
      <c r="N43" s="625">
        <v>0</v>
      </c>
      <c r="O43" s="625">
        <v>0</v>
      </c>
      <c r="P43" s="628"/>
      <c r="Q43" s="625"/>
      <c r="R43" s="625"/>
      <c r="S43" s="789">
        <f t="shared" si="12"/>
        <v>0</v>
      </c>
      <c r="T43" s="629" t="str">
        <f t="shared" si="9"/>
        <v/>
      </c>
      <c r="U43" s="791" t="str">
        <f t="shared" si="10"/>
        <v/>
      </c>
      <c r="V43" s="631"/>
      <c r="W43" s="625">
        <f t="shared" si="11"/>
        <v>0</v>
      </c>
      <c r="X43" s="792"/>
      <c r="Z43" s="616"/>
      <c r="AA43" s="617"/>
      <c r="AB43" s="625"/>
      <c r="AC43" s="633"/>
      <c r="AF43" s="625">
        <v>0</v>
      </c>
    </row>
    <row r="44" spans="1:32" ht="18" customHeight="1">
      <c r="A44" s="508"/>
      <c r="C44" s="634" t="s">
        <v>696</v>
      </c>
      <c r="D44" s="788" t="s">
        <v>697</v>
      </c>
      <c r="E44" s="787" t="s">
        <v>698</v>
      </c>
      <c r="F44" s="625">
        <v>0</v>
      </c>
      <c r="G44" s="626"/>
      <c r="H44" s="626"/>
      <c r="I44" s="627">
        <f t="shared" si="7"/>
        <v>0</v>
      </c>
      <c r="J44" s="789"/>
      <c r="K44" s="790"/>
      <c r="L44" s="625">
        <f t="shared" si="8"/>
        <v>0</v>
      </c>
      <c r="M44" s="628"/>
      <c r="N44" s="625">
        <v>0</v>
      </c>
      <c r="O44" s="625">
        <v>0</v>
      </c>
      <c r="P44" s="628"/>
      <c r="Q44" s="625"/>
      <c r="R44" s="625"/>
      <c r="S44" s="789">
        <f t="shared" si="12"/>
        <v>0</v>
      </c>
      <c r="T44" s="629" t="str">
        <f t="shared" si="9"/>
        <v/>
      </c>
      <c r="U44" s="791" t="str">
        <f t="shared" si="10"/>
        <v/>
      </c>
      <c r="V44" s="631"/>
      <c r="W44" s="625">
        <f t="shared" si="11"/>
        <v>0</v>
      </c>
      <c r="X44" s="792"/>
      <c r="Z44" s="616"/>
      <c r="AA44" s="617"/>
      <c r="AB44" s="625"/>
      <c r="AC44" s="633"/>
      <c r="AF44" s="625">
        <v>0</v>
      </c>
    </row>
    <row r="45" spans="1:32" ht="18" customHeight="1">
      <c r="A45" s="508"/>
      <c r="C45" s="634" t="s">
        <v>699</v>
      </c>
      <c r="D45" s="788" t="s">
        <v>700</v>
      </c>
      <c r="E45" s="787" t="s">
        <v>701</v>
      </c>
      <c r="F45" s="625">
        <v>0</v>
      </c>
      <c r="G45" s="626"/>
      <c r="H45" s="626"/>
      <c r="I45" s="627">
        <f t="shared" si="7"/>
        <v>0</v>
      </c>
      <c r="J45" s="789"/>
      <c r="K45" s="790"/>
      <c r="L45" s="625">
        <f t="shared" si="8"/>
        <v>0</v>
      </c>
      <c r="M45" s="628"/>
      <c r="N45" s="625">
        <v>0</v>
      </c>
      <c r="O45" s="625">
        <v>0</v>
      </c>
      <c r="P45" s="628"/>
      <c r="Q45" s="625"/>
      <c r="R45" s="625"/>
      <c r="S45" s="789">
        <f t="shared" si="12"/>
        <v>0</v>
      </c>
      <c r="T45" s="629" t="str">
        <f t="shared" si="9"/>
        <v/>
      </c>
      <c r="U45" s="791" t="str">
        <f t="shared" si="10"/>
        <v/>
      </c>
      <c r="V45" s="631"/>
      <c r="W45" s="625">
        <f t="shared" si="11"/>
        <v>0</v>
      </c>
      <c r="X45" s="792"/>
      <c r="Z45" s="616"/>
      <c r="AA45" s="617"/>
      <c r="AB45" s="625"/>
      <c r="AC45" s="633"/>
      <c r="AF45" s="625">
        <v>0</v>
      </c>
    </row>
    <row r="46" spans="1:32" ht="18" customHeight="1">
      <c r="A46" s="508"/>
      <c r="C46" s="634" t="s">
        <v>702</v>
      </c>
      <c r="D46" s="788" t="s">
        <v>703</v>
      </c>
      <c r="E46" s="787" t="s">
        <v>704</v>
      </c>
      <c r="F46" s="625">
        <v>0</v>
      </c>
      <c r="G46" s="626"/>
      <c r="H46" s="626"/>
      <c r="I46" s="627">
        <f t="shared" si="7"/>
        <v>0</v>
      </c>
      <c r="J46" s="789"/>
      <c r="K46" s="790"/>
      <c r="L46" s="625">
        <f t="shared" si="8"/>
        <v>0</v>
      </c>
      <c r="M46" s="628"/>
      <c r="N46" s="625">
        <v>0</v>
      </c>
      <c r="O46" s="625">
        <v>0</v>
      </c>
      <c r="P46" s="628"/>
      <c r="Q46" s="625"/>
      <c r="R46" s="625"/>
      <c r="S46" s="789">
        <f t="shared" si="12"/>
        <v>0</v>
      </c>
      <c r="T46" s="629" t="str">
        <f t="shared" si="9"/>
        <v/>
      </c>
      <c r="U46" s="791" t="str">
        <f t="shared" si="10"/>
        <v/>
      </c>
      <c r="V46" s="631"/>
      <c r="W46" s="625">
        <f t="shared" si="11"/>
        <v>0</v>
      </c>
      <c r="X46" s="792"/>
      <c r="Z46" s="616"/>
      <c r="AA46" s="617"/>
      <c r="AB46" s="625"/>
      <c r="AC46" s="633"/>
      <c r="AF46" s="625">
        <v>0</v>
      </c>
    </row>
    <row r="47" spans="1:32" ht="18" customHeight="1">
      <c r="A47" s="508"/>
      <c r="C47" s="634" t="s">
        <v>705</v>
      </c>
      <c r="D47" s="788" t="s">
        <v>553</v>
      </c>
      <c r="E47" s="787" t="s">
        <v>706</v>
      </c>
      <c r="F47" s="625">
        <v>0</v>
      </c>
      <c r="G47" s="626"/>
      <c r="H47" s="626"/>
      <c r="I47" s="627">
        <f t="shared" si="7"/>
        <v>0</v>
      </c>
      <c r="J47" s="789"/>
      <c r="K47" s="790"/>
      <c r="L47" s="625">
        <f t="shared" si="8"/>
        <v>0</v>
      </c>
      <c r="M47" s="628"/>
      <c r="N47" s="625">
        <v>0</v>
      </c>
      <c r="O47" s="625">
        <v>0</v>
      </c>
      <c r="P47" s="628"/>
      <c r="Q47" s="625"/>
      <c r="R47" s="625"/>
      <c r="S47" s="789">
        <f t="shared" si="12"/>
        <v>0</v>
      </c>
      <c r="T47" s="629" t="str">
        <f t="shared" si="9"/>
        <v/>
      </c>
      <c r="U47" s="791" t="str">
        <f t="shared" si="10"/>
        <v/>
      </c>
      <c r="V47" s="631"/>
      <c r="W47" s="625">
        <f t="shared" si="11"/>
        <v>0</v>
      </c>
      <c r="X47" s="792"/>
      <c r="Z47" s="616"/>
      <c r="AA47" s="617"/>
      <c r="AB47" s="625"/>
      <c r="AC47" s="633"/>
      <c r="AF47" s="625">
        <v>0</v>
      </c>
    </row>
    <row r="48" spans="1:32" ht="18" customHeight="1">
      <c r="A48" s="508"/>
      <c r="C48" s="634" t="s">
        <v>707</v>
      </c>
      <c r="D48" s="788" t="s">
        <v>23</v>
      </c>
      <c r="E48" s="787" t="s">
        <v>708</v>
      </c>
      <c r="F48" s="625">
        <v>0</v>
      </c>
      <c r="G48" s="626"/>
      <c r="H48" s="626"/>
      <c r="I48" s="627">
        <f t="shared" si="7"/>
        <v>0</v>
      </c>
      <c r="J48" s="789">
        <f>-SUMIFS('1. Calculator'!$E$136:$E$150,'1. Calculator'!$D$136:$D$150,'3. Monitoring'!$D48)</f>
        <v>0</v>
      </c>
      <c r="K48" s="790"/>
      <c r="L48" s="625">
        <f t="shared" si="8"/>
        <v>0</v>
      </c>
      <c r="M48" s="628"/>
      <c r="N48" s="625">
        <v>0</v>
      </c>
      <c r="O48" s="625">
        <v>0</v>
      </c>
      <c r="P48" s="628"/>
      <c r="Q48" s="625"/>
      <c r="R48" s="625"/>
      <c r="S48" s="789">
        <f t="shared" si="12"/>
        <v>0</v>
      </c>
      <c r="T48" s="629" t="str">
        <f t="shared" si="9"/>
        <v/>
      </c>
      <c r="U48" s="791" t="str">
        <f t="shared" si="10"/>
        <v/>
      </c>
      <c r="V48" s="631"/>
      <c r="W48" s="625">
        <f t="shared" si="11"/>
        <v>0</v>
      </c>
      <c r="X48" s="792"/>
      <c r="Z48" s="616"/>
      <c r="AA48" s="617"/>
      <c r="AB48" s="625"/>
      <c r="AC48" s="633"/>
      <c r="AF48" s="625">
        <v>0</v>
      </c>
    </row>
    <row r="49" spans="1:32" ht="18" customHeight="1">
      <c r="A49" s="508"/>
      <c r="C49" s="634" t="s">
        <v>709</v>
      </c>
      <c r="D49" s="788" t="s">
        <v>710</v>
      </c>
      <c r="E49" s="787" t="s">
        <v>711</v>
      </c>
      <c r="F49" s="625">
        <v>0</v>
      </c>
      <c r="G49" s="626"/>
      <c r="H49" s="626"/>
      <c r="I49" s="627">
        <f t="shared" si="7"/>
        <v>0</v>
      </c>
      <c r="J49" s="789"/>
      <c r="K49" s="790"/>
      <c r="L49" s="625">
        <f t="shared" si="8"/>
        <v>0</v>
      </c>
      <c r="M49" s="628"/>
      <c r="N49" s="625">
        <v>0</v>
      </c>
      <c r="O49" s="625">
        <v>0</v>
      </c>
      <c r="P49" s="628"/>
      <c r="Q49" s="625"/>
      <c r="R49" s="625"/>
      <c r="S49" s="789">
        <f t="shared" si="12"/>
        <v>0</v>
      </c>
      <c r="T49" s="629" t="str">
        <f t="shared" si="9"/>
        <v/>
      </c>
      <c r="U49" s="791" t="str">
        <f t="shared" si="10"/>
        <v/>
      </c>
      <c r="V49" s="631"/>
      <c r="W49" s="625">
        <f t="shared" si="11"/>
        <v>0</v>
      </c>
      <c r="X49" s="792"/>
      <c r="Z49" s="616"/>
      <c r="AA49" s="617"/>
      <c r="AB49" s="625"/>
      <c r="AC49" s="633"/>
      <c r="AF49" s="625">
        <v>0</v>
      </c>
    </row>
    <row r="50" spans="1:32" ht="18" customHeight="1">
      <c r="C50" s="634" t="s">
        <v>712</v>
      </c>
      <c r="D50" s="788" t="s">
        <v>713</v>
      </c>
      <c r="E50" s="787" t="s">
        <v>714</v>
      </c>
      <c r="F50" s="625">
        <v>0</v>
      </c>
      <c r="G50" s="626"/>
      <c r="H50" s="626"/>
      <c r="I50" s="627">
        <f t="shared" si="7"/>
        <v>0</v>
      </c>
      <c r="J50" s="789"/>
      <c r="K50" s="790"/>
      <c r="L50" s="625">
        <f t="shared" si="8"/>
        <v>0</v>
      </c>
      <c r="M50" s="628"/>
      <c r="N50" s="625">
        <v>0</v>
      </c>
      <c r="O50" s="625">
        <v>0</v>
      </c>
      <c r="P50" s="628"/>
      <c r="Q50" s="625"/>
      <c r="R50" s="625"/>
      <c r="S50" s="789">
        <f t="shared" si="12"/>
        <v>0</v>
      </c>
      <c r="T50" s="629" t="str">
        <f t="shared" si="9"/>
        <v/>
      </c>
      <c r="U50" s="791" t="str">
        <f t="shared" si="10"/>
        <v/>
      </c>
      <c r="V50" s="631"/>
      <c r="W50" s="625">
        <f t="shared" si="11"/>
        <v>0</v>
      </c>
      <c r="X50" s="792"/>
      <c r="Z50" s="616"/>
      <c r="AA50" s="617"/>
      <c r="AB50" s="625"/>
      <c r="AC50" s="633"/>
      <c r="AF50" s="625">
        <v>0</v>
      </c>
    </row>
    <row r="51" spans="1:32" ht="18" customHeight="1">
      <c r="A51" s="508"/>
      <c r="C51" s="634" t="s">
        <v>715</v>
      </c>
      <c r="D51" s="788" t="s">
        <v>716</v>
      </c>
      <c r="E51" s="787" t="s">
        <v>717</v>
      </c>
      <c r="F51" s="625">
        <v>0</v>
      </c>
      <c r="G51" s="626"/>
      <c r="H51" s="626"/>
      <c r="I51" s="627">
        <f t="shared" si="7"/>
        <v>0</v>
      </c>
      <c r="J51" s="789"/>
      <c r="K51" s="790"/>
      <c r="L51" s="625">
        <f t="shared" si="8"/>
        <v>0</v>
      </c>
      <c r="M51" s="628"/>
      <c r="N51" s="625">
        <v>0</v>
      </c>
      <c r="O51" s="625">
        <v>0</v>
      </c>
      <c r="P51" s="628"/>
      <c r="Q51" s="625"/>
      <c r="R51" s="625"/>
      <c r="S51" s="789">
        <f t="shared" si="12"/>
        <v>0</v>
      </c>
      <c r="T51" s="629" t="str">
        <f t="shared" si="9"/>
        <v/>
      </c>
      <c r="U51" s="791" t="str">
        <f t="shared" si="10"/>
        <v/>
      </c>
      <c r="V51" s="631"/>
      <c r="W51" s="625">
        <f t="shared" si="11"/>
        <v>0</v>
      </c>
      <c r="X51" s="792"/>
      <c r="Z51" s="616"/>
      <c r="AA51" s="617"/>
      <c r="AB51" s="625"/>
      <c r="AC51" s="633"/>
      <c r="AF51" s="625">
        <v>0</v>
      </c>
    </row>
    <row r="52" spans="1:32" ht="18" customHeight="1">
      <c r="A52" s="508"/>
      <c r="C52" s="634" t="s">
        <v>718</v>
      </c>
      <c r="D52" s="788" t="s">
        <v>719</v>
      </c>
      <c r="E52" s="787" t="s">
        <v>720</v>
      </c>
      <c r="F52" s="625"/>
      <c r="G52" s="626"/>
      <c r="H52" s="626"/>
      <c r="I52" s="627"/>
      <c r="J52" s="789"/>
      <c r="K52" s="790"/>
      <c r="L52" s="625"/>
      <c r="M52" s="628"/>
      <c r="N52" s="625"/>
      <c r="O52" s="625"/>
      <c r="P52" s="628"/>
      <c r="Q52" s="625"/>
      <c r="R52" s="625"/>
      <c r="S52" s="789">
        <f t="shared" si="12"/>
        <v>0</v>
      </c>
      <c r="T52" s="629" t="str">
        <f t="shared" si="9"/>
        <v/>
      </c>
      <c r="U52" s="791" t="str">
        <f t="shared" si="10"/>
        <v/>
      </c>
      <c r="V52" s="631"/>
      <c r="W52" s="625"/>
      <c r="X52" s="792"/>
      <c r="Z52" s="616"/>
      <c r="AA52" s="617"/>
      <c r="AB52" s="625"/>
      <c r="AC52" s="633"/>
      <c r="AF52" s="625"/>
    </row>
    <row r="53" spans="1:32" ht="18" customHeight="1">
      <c r="A53" s="508"/>
      <c r="C53" s="634" t="s">
        <v>721</v>
      </c>
      <c r="D53" s="788" t="s">
        <v>722</v>
      </c>
      <c r="E53" s="787" t="s">
        <v>723</v>
      </c>
      <c r="F53" s="625"/>
      <c r="G53" s="626"/>
      <c r="H53" s="626"/>
      <c r="I53" s="627"/>
      <c r="J53" s="789"/>
      <c r="K53" s="790"/>
      <c r="L53" s="625"/>
      <c r="M53" s="628"/>
      <c r="N53" s="625"/>
      <c r="O53" s="625"/>
      <c r="P53" s="628"/>
      <c r="Q53" s="625"/>
      <c r="R53" s="625"/>
      <c r="S53" s="789">
        <f t="shared" si="12"/>
        <v>0</v>
      </c>
      <c r="T53" s="629" t="str">
        <f t="shared" si="9"/>
        <v/>
      </c>
      <c r="U53" s="791" t="str">
        <f t="shared" si="10"/>
        <v/>
      </c>
      <c r="V53" s="631"/>
      <c r="W53" s="625"/>
      <c r="X53" s="792"/>
      <c r="Z53" s="616"/>
      <c r="AA53" s="617"/>
      <c r="AB53" s="625"/>
      <c r="AC53" s="633"/>
      <c r="AF53" s="625"/>
    </row>
    <row r="54" spans="1:32" ht="18" customHeight="1">
      <c r="A54" s="508"/>
      <c r="C54" s="634" t="s">
        <v>724</v>
      </c>
      <c r="D54" s="788" t="s">
        <v>725</v>
      </c>
      <c r="E54" s="787" t="s">
        <v>726</v>
      </c>
      <c r="F54" s="625"/>
      <c r="G54" s="626"/>
      <c r="H54" s="626"/>
      <c r="I54" s="627"/>
      <c r="J54" s="789"/>
      <c r="K54" s="790"/>
      <c r="L54" s="625"/>
      <c r="M54" s="628"/>
      <c r="N54" s="625"/>
      <c r="O54" s="625"/>
      <c r="P54" s="628"/>
      <c r="Q54" s="625"/>
      <c r="R54" s="625"/>
      <c r="S54" s="789">
        <f t="shared" si="12"/>
        <v>0</v>
      </c>
      <c r="T54" s="629" t="str">
        <f t="shared" si="9"/>
        <v/>
      </c>
      <c r="U54" s="791" t="str">
        <f t="shared" si="10"/>
        <v/>
      </c>
      <c r="V54" s="631"/>
      <c r="W54" s="625"/>
      <c r="X54" s="792"/>
      <c r="Z54" s="616"/>
      <c r="AA54" s="617"/>
      <c r="AB54" s="625"/>
      <c r="AC54" s="633"/>
      <c r="AF54" s="625"/>
    </row>
    <row r="55" spans="1:32" ht="18" customHeight="1">
      <c r="A55" s="508"/>
      <c r="C55" s="634" t="s">
        <v>727</v>
      </c>
      <c r="D55" s="788" t="s">
        <v>728</v>
      </c>
      <c r="E55" s="787" t="s">
        <v>729</v>
      </c>
      <c r="F55" s="625"/>
      <c r="G55" s="626"/>
      <c r="H55" s="626"/>
      <c r="I55" s="627"/>
      <c r="J55" s="789"/>
      <c r="K55" s="790"/>
      <c r="L55" s="625"/>
      <c r="M55" s="628"/>
      <c r="N55" s="625"/>
      <c r="O55" s="625"/>
      <c r="P55" s="628"/>
      <c r="Q55" s="625"/>
      <c r="R55" s="625"/>
      <c r="S55" s="789">
        <f t="shared" si="12"/>
        <v>0</v>
      </c>
      <c r="T55" s="629" t="str">
        <f t="shared" si="9"/>
        <v/>
      </c>
      <c r="U55" s="791" t="str">
        <f t="shared" si="10"/>
        <v/>
      </c>
      <c r="V55" s="631"/>
      <c r="W55" s="625"/>
      <c r="X55" s="792"/>
      <c r="Z55" s="616"/>
      <c r="AA55" s="617"/>
      <c r="AB55" s="625"/>
      <c r="AC55" s="633"/>
      <c r="AF55" s="625"/>
    </row>
    <row r="56" spans="1:32" ht="18" customHeight="1">
      <c r="A56" s="508"/>
      <c r="C56" s="634" t="s">
        <v>730</v>
      </c>
      <c r="D56" s="788" t="s">
        <v>731</v>
      </c>
      <c r="E56" s="787" t="s">
        <v>732</v>
      </c>
      <c r="F56" s="625"/>
      <c r="G56" s="626"/>
      <c r="H56" s="626"/>
      <c r="I56" s="627"/>
      <c r="J56" s="789"/>
      <c r="K56" s="790"/>
      <c r="L56" s="625"/>
      <c r="M56" s="628"/>
      <c r="N56" s="625"/>
      <c r="O56" s="625"/>
      <c r="P56" s="628"/>
      <c r="Q56" s="625"/>
      <c r="R56" s="625"/>
      <c r="S56" s="789">
        <f t="shared" si="12"/>
        <v>0</v>
      </c>
      <c r="T56" s="629" t="str">
        <f t="shared" si="9"/>
        <v/>
      </c>
      <c r="U56" s="791" t="str">
        <f t="shared" si="10"/>
        <v/>
      </c>
      <c r="V56" s="631"/>
      <c r="W56" s="625"/>
      <c r="X56" s="792"/>
      <c r="Z56" s="616"/>
      <c r="AA56" s="617"/>
      <c r="AB56" s="625"/>
      <c r="AC56" s="633"/>
      <c r="AF56" s="625"/>
    </row>
    <row r="57" spans="1:32" ht="18" customHeight="1">
      <c r="A57" s="508"/>
      <c r="C57" s="634" t="s">
        <v>733</v>
      </c>
      <c r="D57" s="788" t="s">
        <v>734</v>
      </c>
      <c r="E57" s="787" t="s">
        <v>735</v>
      </c>
      <c r="F57" s="625"/>
      <c r="G57" s="626"/>
      <c r="H57" s="626"/>
      <c r="I57" s="627"/>
      <c r="J57" s="789"/>
      <c r="K57" s="790"/>
      <c r="L57" s="625"/>
      <c r="M57" s="628"/>
      <c r="N57" s="625"/>
      <c r="O57" s="625"/>
      <c r="P57" s="628"/>
      <c r="Q57" s="625"/>
      <c r="R57" s="625"/>
      <c r="S57" s="789">
        <f t="shared" si="12"/>
        <v>0</v>
      </c>
      <c r="T57" s="629" t="str">
        <f t="shared" si="9"/>
        <v/>
      </c>
      <c r="U57" s="791" t="str">
        <f t="shared" si="10"/>
        <v/>
      </c>
      <c r="V57" s="631"/>
      <c r="W57" s="625"/>
      <c r="X57" s="792"/>
      <c r="Z57" s="616"/>
      <c r="AA57" s="617"/>
      <c r="AB57" s="625"/>
      <c r="AC57" s="633"/>
      <c r="AF57" s="625"/>
    </row>
    <row r="58" spans="1:32" ht="18" customHeight="1">
      <c r="C58" s="634"/>
      <c r="D58" s="788" t="s">
        <v>736</v>
      </c>
      <c r="E58" s="787" t="s">
        <v>737</v>
      </c>
      <c r="F58" s="625">
        <v>0</v>
      </c>
      <c r="G58" s="626"/>
      <c r="H58" s="626"/>
      <c r="I58" s="627">
        <f t="shared" si="7"/>
        <v>0</v>
      </c>
      <c r="J58" s="789"/>
      <c r="K58" s="790"/>
      <c r="L58" s="625">
        <f t="shared" ref="L58:L68" si="13">J58+K58</f>
        <v>0</v>
      </c>
      <c r="M58" s="628"/>
      <c r="N58" s="625">
        <v>0</v>
      </c>
      <c r="O58" s="625">
        <v>0</v>
      </c>
      <c r="P58" s="628"/>
      <c r="Q58" s="625"/>
      <c r="R58" s="625"/>
      <c r="S58" s="789">
        <f t="shared" si="12"/>
        <v>0</v>
      </c>
      <c r="T58" s="629" t="str">
        <f t="shared" si="9"/>
        <v/>
      </c>
      <c r="U58" s="791" t="str">
        <f t="shared" ref="U58:U68" si="14">IFERROR(+S58/$S$69,"")</f>
        <v/>
      </c>
      <c r="V58" s="631"/>
      <c r="W58" s="625">
        <f t="shared" ref="W58:W68" si="15">I58-V58</f>
        <v>0</v>
      </c>
      <c r="X58" s="792"/>
      <c r="Z58" s="616"/>
      <c r="AA58" s="617"/>
      <c r="AB58" s="625"/>
      <c r="AC58" s="633"/>
      <c r="AF58" s="625">
        <v>0</v>
      </c>
    </row>
    <row r="59" spans="1:32" ht="18" customHeight="1">
      <c r="C59" s="634" t="s">
        <v>738</v>
      </c>
      <c r="D59" s="788" t="s">
        <v>495</v>
      </c>
      <c r="E59" s="787" t="s">
        <v>739</v>
      </c>
      <c r="F59" s="625">
        <v>0</v>
      </c>
      <c r="G59" s="626"/>
      <c r="H59" s="626"/>
      <c r="I59" s="627">
        <f t="shared" si="7"/>
        <v>0</v>
      </c>
      <c r="J59" s="789">
        <f>-SUMIFS('1. Calculator'!$E$136:$E$150,'1. Calculator'!$D$136:$D$150,'3. Monitoring'!$D59)</f>
        <v>0</v>
      </c>
      <c r="K59" s="790"/>
      <c r="L59" s="625">
        <f t="shared" si="13"/>
        <v>0</v>
      </c>
      <c r="M59" s="628"/>
      <c r="N59" s="625">
        <v>0</v>
      </c>
      <c r="O59" s="625">
        <v>0</v>
      </c>
      <c r="P59" s="628"/>
      <c r="Q59" s="625"/>
      <c r="R59" s="625"/>
      <c r="S59" s="789">
        <f t="shared" si="12"/>
        <v>0</v>
      </c>
      <c r="T59" s="629" t="str">
        <f t="shared" si="9"/>
        <v/>
      </c>
      <c r="U59" s="791" t="str">
        <f t="shared" si="14"/>
        <v/>
      </c>
      <c r="V59" s="631"/>
      <c r="W59" s="625">
        <f t="shared" si="15"/>
        <v>0</v>
      </c>
      <c r="X59" s="792"/>
      <c r="Z59" s="616"/>
      <c r="AA59" s="617"/>
      <c r="AB59" s="625"/>
      <c r="AC59" s="633"/>
      <c r="AF59" s="625">
        <v>0</v>
      </c>
    </row>
    <row r="60" spans="1:32" ht="18" customHeight="1">
      <c r="C60" s="634" t="s">
        <v>740</v>
      </c>
      <c r="D60" s="788" t="s">
        <v>26</v>
      </c>
      <c r="E60" s="787" t="s">
        <v>741</v>
      </c>
      <c r="F60" s="625">
        <v>0</v>
      </c>
      <c r="G60" s="626"/>
      <c r="H60" s="626"/>
      <c r="I60" s="627">
        <f t="shared" si="7"/>
        <v>0</v>
      </c>
      <c r="J60" s="789">
        <f>-SUMIFS('1. Calculator'!$E$136:$E$150,'1. Calculator'!$D$136:$D$150,'3. Monitoring'!$D60)</f>
        <v>0</v>
      </c>
      <c r="K60" s="790"/>
      <c r="L60" s="625">
        <f t="shared" si="13"/>
        <v>0</v>
      </c>
      <c r="M60" s="628"/>
      <c r="N60" s="625">
        <v>0</v>
      </c>
      <c r="O60" s="625">
        <v>0</v>
      </c>
      <c r="P60" s="628"/>
      <c r="Q60" s="625"/>
      <c r="R60" s="625"/>
      <c r="S60" s="789">
        <f t="shared" si="12"/>
        <v>0</v>
      </c>
      <c r="T60" s="629" t="str">
        <f t="shared" si="9"/>
        <v/>
      </c>
      <c r="U60" s="791" t="str">
        <f t="shared" si="14"/>
        <v/>
      </c>
      <c r="V60" s="631"/>
      <c r="W60" s="625">
        <f t="shared" si="15"/>
        <v>0</v>
      </c>
      <c r="X60" s="792"/>
      <c r="Z60" s="616"/>
      <c r="AA60" s="617"/>
      <c r="AB60" s="625"/>
      <c r="AC60" s="633"/>
      <c r="AF60" s="625">
        <v>0</v>
      </c>
    </row>
    <row r="61" spans="1:32" ht="18" customHeight="1">
      <c r="C61" s="634" t="s">
        <v>742</v>
      </c>
      <c r="D61" s="788" t="s">
        <v>743</v>
      </c>
      <c r="E61" s="787" t="s">
        <v>744</v>
      </c>
      <c r="F61" s="625">
        <v>0</v>
      </c>
      <c r="G61" s="626"/>
      <c r="H61" s="626"/>
      <c r="I61" s="627">
        <f t="shared" si="7"/>
        <v>0</v>
      </c>
      <c r="J61" s="789"/>
      <c r="K61" s="790"/>
      <c r="L61" s="625">
        <f t="shared" si="13"/>
        <v>0</v>
      </c>
      <c r="M61" s="628"/>
      <c r="N61" s="625">
        <v>0</v>
      </c>
      <c r="O61" s="625">
        <v>0</v>
      </c>
      <c r="P61" s="628"/>
      <c r="Q61" s="625"/>
      <c r="R61" s="625"/>
      <c r="S61" s="789">
        <f t="shared" si="12"/>
        <v>0</v>
      </c>
      <c r="T61" s="629" t="str">
        <f t="shared" si="9"/>
        <v/>
      </c>
      <c r="U61" s="791" t="str">
        <f t="shared" si="14"/>
        <v/>
      </c>
      <c r="V61" s="631"/>
      <c r="W61" s="625">
        <f t="shared" si="15"/>
        <v>0</v>
      </c>
      <c r="X61" s="792"/>
      <c r="Z61" s="616"/>
      <c r="AA61" s="617"/>
      <c r="AB61" s="625"/>
      <c r="AC61" s="633"/>
      <c r="AF61" s="625">
        <v>0</v>
      </c>
    </row>
    <row r="62" spans="1:32" ht="18" customHeight="1">
      <c r="C62" s="634" t="s">
        <v>745</v>
      </c>
      <c r="D62" s="788" t="s">
        <v>746</v>
      </c>
      <c r="E62" s="787" t="s">
        <v>747</v>
      </c>
      <c r="F62" s="625">
        <v>0</v>
      </c>
      <c r="G62" s="626"/>
      <c r="H62" s="626"/>
      <c r="I62" s="627">
        <f t="shared" si="7"/>
        <v>0</v>
      </c>
      <c r="J62" s="789"/>
      <c r="K62" s="790"/>
      <c r="L62" s="625">
        <f t="shared" si="13"/>
        <v>0</v>
      </c>
      <c r="M62" s="628"/>
      <c r="N62" s="625">
        <v>0</v>
      </c>
      <c r="O62" s="625">
        <v>0</v>
      </c>
      <c r="P62" s="628"/>
      <c r="Q62" s="625"/>
      <c r="R62" s="625"/>
      <c r="S62" s="789">
        <f t="shared" si="12"/>
        <v>0</v>
      </c>
      <c r="T62" s="629" t="str">
        <f t="shared" si="9"/>
        <v/>
      </c>
      <c r="U62" s="791" t="str">
        <f t="shared" si="14"/>
        <v/>
      </c>
      <c r="V62" s="631"/>
      <c r="W62" s="625">
        <f t="shared" si="15"/>
        <v>0</v>
      </c>
      <c r="X62" s="792"/>
      <c r="Z62" s="616"/>
      <c r="AA62" s="617"/>
      <c r="AB62" s="625"/>
      <c r="AC62" s="633"/>
      <c r="AF62" s="625">
        <v>0</v>
      </c>
    </row>
    <row r="63" spans="1:32" ht="18" customHeight="1">
      <c r="B63" s="594" t="s">
        <v>748</v>
      </c>
      <c r="C63" s="634" t="s">
        <v>749</v>
      </c>
      <c r="D63" s="788" t="s">
        <v>750</v>
      </c>
      <c r="E63" s="787" t="s">
        <v>751</v>
      </c>
      <c r="F63" s="625">
        <v>0</v>
      </c>
      <c r="G63" s="626"/>
      <c r="H63" s="626"/>
      <c r="I63" s="627">
        <f t="shared" si="7"/>
        <v>0</v>
      </c>
      <c r="J63" s="789"/>
      <c r="K63" s="790"/>
      <c r="L63" s="625">
        <f t="shared" si="13"/>
        <v>0</v>
      </c>
      <c r="M63" s="628"/>
      <c r="N63" s="625">
        <v>0</v>
      </c>
      <c r="O63" s="625">
        <v>0</v>
      </c>
      <c r="P63" s="628"/>
      <c r="Q63" s="625"/>
      <c r="R63" s="625"/>
      <c r="S63" s="789">
        <f t="shared" si="12"/>
        <v>0</v>
      </c>
      <c r="T63" s="629" t="str">
        <f t="shared" si="9"/>
        <v/>
      </c>
      <c r="U63" s="791" t="str">
        <f t="shared" si="14"/>
        <v/>
      </c>
      <c r="V63" s="631"/>
      <c r="W63" s="625">
        <f t="shared" si="15"/>
        <v>0</v>
      </c>
      <c r="X63" s="792"/>
      <c r="Z63" s="616"/>
      <c r="AA63" s="617"/>
      <c r="AB63" s="625"/>
      <c r="AC63" s="633"/>
      <c r="AF63" s="625">
        <v>0</v>
      </c>
    </row>
    <row r="64" spans="1:32" ht="18" customHeight="1">
      <c r="C64" s="634" t="s">
        <v>752</v>
      </c>
      <c r="D64" s="788" t="s">
        <v>22</v>
      </c>
      <c r="E64" s="787" t="s">
        <v>753</v>
      </c>
      <c r="F64" s="625">
        <v>0</v>
      </c>
      <c r="G64" s="626"/>
      <c r="H64" s="626"/>
      <c r="I64" s="627">
        <f t="shared" si="7"/>
        <v>0</v>
      </c>
      <c r="J64" s="789">
        <f>-SUMIFS('1. Calculator'!$E$136:$E$150,'1. Calculator'!$D$136:$D$150,'3. Monitoring'!$D64)</f>
        <v>0</v>
      </c>
      <c r="K64" s="790"/>
      <c r="L64" s="625">
        <f t="shared" si="13"/>
        <v>0</v>
      </c>
      <c r="M64" s="628"/>
      <c r="N64" s="625">
        <v>0</v>
      </c>
      <c r="O64" s="625">
        <v>0</v>
      </c>
      <c r="P64" s="628"/>
      <c r="Q64" s="625"/>
      <c r="R64" s="625"/>
      <c r="S64" s="789">
        <f t="shared" si="12"/>
        <v>0</v>
      </c>
      <c r="T64" s="629" t="str">
        <f t="shared" si="9"/>
        <v/>
      </c>
      <c r="U64" s="791" t="str">
        <f t="shared" si="14"/>
        <v/>
      </c>
      <c r="V64" s="631"/>
      <c r="W64" s="625">
        <f t="shared" si="15"/>
        <v>0</v>
      </c>
      <c r="X64" s="792"/>
      <c r="Z64" s="616"/>
      <c r="AA64" s="617"/>
      <c r="AB64" s="625"/>
      <c r="AC64" s="633"/>
      <c r="AF64" s="625">
        <v>0</v>
      </c>
    </row>
    <row r="65" spans="1:32" ht="18" customHeight="1">
      <c r="C65" s="634" t="s">
        <v>754</v>
      </c>
      <c r="D65" s="788" t="s">
        <v>755</v>
      </c>
      <c r="E65" s="787" t="s">
        <v>756</v>
      </c>
      <c r="F65" s="625">
        <v>0</v>
      </c>
      <c r="G65" s="626"/>
      <c r="H65" s="626"/>
      <c r="I65" s="627">
        <f t="shared" si="7"/>
        <v>0</v>
      </c>
      <c r="J65" s="789"/>
      <c r="K65" s="790"/>
      <c r="L65" s="625">
        <f t="shared" si="13"/>
        <v>0</v>
      </c>
      <c r="M65" s="628"/>
      <c r="N65" s="625">
        <v>0</v>
      </c>
      <c r="O65" s="625">
        <v>0</v>
      </c>
      <c r="P65" s="628"/>
      <c r="Q65" s="625"/>
      <c r="R65" s="625"/>
      <c r="S65" s="789">
        <f t="shared" si="12"/>
        <v>0</v>
      </c>
      <c r="T65" s="629" t="str">
        <f t="shared" si="9"/>
        <v/>
      </c>
      <c r="U65" s="791" t="str">
        <f t="shared" si="14"/>
        <v/>
      </c>
      <c r="V65" s="631"/>
      <c r="W65" s="625">
        <f t="shared" si="15"/>
        <v>0</v>
      </c>
      <c r="X65" s="792"/>
      <c r="Z65" s="616"/>
      <c r="AA65" s="617"/>
      <c r="AB65" s="625"/>
      <c r="AC65" s="633"/>
      <c r="AF65" s="625">
        <v>0</v>
      </c>
    </row>
    <row r="66" spans="1:32" ht="18" customHeight="1">
      <c r="C66" s="634" t="s">
        <v>757</v>
      </c>
      <c r="D66" s="788" t="s">
        <v>557</v>
      </c>
      <c r="E66" s="787" t="s">
        <v>758</v>
      </c>
      <c r="F66" s="625">
        <v>0</v>
      </c>
      <c r="G66" s="626"/>
      <c r="H66" s="626"/>
      <c r="I66" s="627">
        <f t="shared" si="7"/>
        <v>0</v>
      </c>
      <c r="J66" s="789"/>
      <c r="K66" s="790"/>
      <c r="L66" s="625">
        <f t="shared" si="13"/>
        <v>0</v>
      </c>
      <c r="M66" s="628"/>
      <c r="N66" s="625">
        <v>0</v>
      </c>
      <c r="O66" s="625">
        <v>0</v>
      </c>
      <c r="P66" s="628"/>
      <c r="Q66" s="625"/>
      <c r="R66" s="625"/>
      <c r="S66" s="789">
        <f t="shared" si="12"/>
        <v>0</v>
      </c>
      <c r="T66" s="629" t="str">
        <f t="shared" si="9"/>
        <v/>
      </c>
      <c r="U66" s="791" t="str">
        <f t="shared" si="14"/>
        <v/>
      </c>
      <c r="V66" s="631"/>
      <c r="W66" s="625">
        <f t="shared" si="15"/>
        <v>0</v>
      </c>
      <c r="X66" s="792"/>
      <c r="Z66" s="616"/>
      <c r="AA66" s="617"/>
      <c r="AB66" s="625"/>
      <c r="AC66" s="633"/>
      <c r="AF66" s="625">
        <v>0</v>
      </c>
    </row>
    <row r="67" spans="1:32" ht="18" customHeight="1">
      <c r="A67" s="471" t="s">
        <v>562</v>
      </c>
      <c r="C67" s="634" t="s">
        <v>759</v>
      </c>
      <c r="D67" s="788" t="s">
        <v>760</v>
      </c>
      <c r="E67" s="787" t="s">
        <v>761</v>
      </c>
      <c r="F67" s="625">
        <v>0</v>
      </c>
      <c r="G67" s="626"/>
      <c r="H67" s="626"/>
      <c r="I67" s="627">
        <f t="shared" si="7"/>
        <v>0</v>
      </c>
      <c r="J67" s="789"/>
      <c r="K67" s="790"/>
      <c r="L67" s="625">
        <f t="shared" si="13"/>
        <v>0</v>
      </c>
      <c r="M67" s="628"/>
      <c r="N67" s="625">
        <v>0</v>
      </c>
      <c r="O67" s="625">
        <v>0</v>
      </c>
      <c r="P67" s="628"/>
      <c r="Q67" s="625"/>
      <c r="R67" s="625"/>
      <c r="S67" s="789">
        <f t="shared" si="12"/>
        <v>0</v>
      </c>
      <c r="T67" s="629" t="str">
        <f t="shared" si="9"/>
        <v/>
      </c>
      <c r="U67" s="791" t="str">
        <f t="shared" si="14"/>
        <v/>
      </c>
      <c r="V67" s="631"/>
      <c r="W67" s="625">
        <f t="shared" si="15"/>
        <v>0</v>
      </c>
      <c r="X67" s="792"/>
      <c r="Z67" s="616"/>
      <c r="AA67" s="617"/>
      <c r="AB67" s="625"/>
      <c r="AC67" s="633"/>
      <c r="AF67" s="625">
        <v>0</v>
      </c>
    </row>
    <row r="68" spans="1:32" ht="18" customHeight="1">
      <c r="C68" s="634" t="s">
        <v>762</v>
      </c>
      <c r="D68" s="788" t="s">
        <v>763</v>
      </c>
      <c r="E68" s="787" t="s">
        <v>764</v>
      </c>
      <c r="F68" s="625">
        <v>0</v>
      </c>
      <c r="G68" s="626"/>
      <c r="H68" s="626"/>
      <c r="I68" s="627">
        <f t="shared" si="7"/>
        <v>0</v>
      </c>
      <c r="J68" s="789"/>
      <c r="K68" s="790"/>
      <c r="L68" s="625">
        <f t="shared" si="13"/>
        <v>0</v>
      </c>
      <c r="M68" s="628"/>
      <c r="N68" s="625">
        <v>0</v>
      </c>
      <c r="O68" s="625">
        <v>0</v>
      </c>
      <c r="P68" s="628"/>
      <c r="Q68" s="625"/>
      <c r="R68" s="625"/>
      <c r="S68" s="789">
        <f t="shared" si="12"/>
        <v>0</v>
      </c>
      <c r="T68" s="629" t="str">
        <f t="shared" si="9"/>
        <v/>
      </c>
      <c r="U68" s="791" t="str">
        <f t="shared" si="14"/>
        <v/>
      </c>
      <c r="V68" s="631"/>
      <c r="W68" s="625">
        <f t="shared" si="15"/>
        <v>0</v>
      </c>
      <c r="X68" s="792"/>
      <c r="Z68" s="616"/>
      <c r="AA68" s="617"/>
      <c r="AB68" s="625"/>
      <c r="AC68" s="633"/>
      <c r="AF68" s="625">
        <v>0</v>
      </c>
    </row>
    <row r="69" spans="1:32" ht="18" customHeight="1">
      <c r="D69" s="786" t="s">
        <v>765</v>
      </c>
      <c r="E69" s="786"/>
      <c r="F69" s="612">
        <f t="shared" ref="F69:Q69" si="16">SUM(F32:F68)</f>
        <v>0</v>
      </c>
      <c r="G69" s="612">
        <f t="shared" si="16"/>
        <v>0</v>
      </c>
      <c r="H69" s="612">
        <f t="shared" si="16"/>
        <v>0</v>
      </c>
      <c r="I69" s="612">
        <f t="shared" si="16"/>
        <v>0</v>
      </c>
      <c r="J69" s="785">
        <f t="shared" si="16"/>
        <v>0</v>
      </c>
      <c r="K69" s="785">
        <f t="shared" si="16"/>
        <v>0</v>
      </c>
      <c r="L69" s="785">
        <f t="shared" si="16"/>
        <v>0</v>
      </c>
      <c r="M69" s="785">
        <f t="shared" si="16"/>
        <v>0</v>
      </c>
      <c r="N69" s="785">
        <f t="shared" si="16"/>
        <v>0</v>
      </c>
      <c r="O69" s="785">
        <f t="shared" si="16"/>
        <v>0</v>
      </c>
      <c r="P69" s="785">
        <f t="shared" si="16"/>
        <v>0</v>
      </c>
      <c r="Q69" s="785">
        <f t="shared" si="16"/>
        <v>0</v>
      </c>
      <c r="R69" s="785"/>
      <c r="S69" s="785">
        <f>SUM(S32:S68)</f>
        <v>0</v>
      </c>
      <c r="T69" s="612"/>
      <c r="U69" s="635"/>
      <c r="V69" s="636">
        <f>SUM(V32:V68)</f>
        <v>0</v>
      </c>
      <c r="W69" s="612">
        <f>SUM(W32:W68)</f>
        <v>0</v>
      </c>
      <c r="X69" s="615"/>
      <c r="AA69" s="598"/>
      <c r="AB69" s="612">
        <v>0</v>
      </c>
      <c r="AC69" s="618"/>
      <c r="AF69" s="612">
        <v>0</v>
      </c>
    </row>
    <row r="70" spans="1:32">
      <c r="D70" s="641"/>
      <c r="E70" s="642"/>
      <c r="F70" s="643"/>
      <c r="G70" s="644"/>
      <c r="H70" s="644"/>
      <c r="I70" s="644"/>
      <c r="J70" s="645"/>
      <c r="K70" s="644"/>
      <c r="L70" s="644"/>
      <c r="M70" s="644"/>
      <c r="N70" s="644"/>
      <c r="O70" s="644"/>
      <c r="P70" s="644"/>
      <c r="Q70" s="644"/>
      <c r="R70" s="644"/>
      <c r="S70" s="644"/>
      <c r="T70" s="644"/>
      <c r="U70" s="646"/>
      <c r="V70" s="622"/>
      <c r="W70" s="622"/>
      <c r="X70" s="647"/>
      <c r="Z70" s="616"/>
      <c r="AA70" s="617"/>
      <c r="AB70" s="622"/>
      <c r="AC70" s="622"/>
      <c r="AF70" s="622"/>
    </row>
    <row r="71" spans="1:32" ht="15.5">
      <c r="D71" s="795" t="s">
        <v>766</v>
      </c>
      <c r="E71" s="795"/>
      <c r="F71" s="612">
        <f t="shared" ref="F71:Q71" si="17">F30-F69</f>
        <v>0</v>
      </c>
      <c r="G71" s="612">
        <f t="shared" si="17"/>
        <v>0</v>
      </c>
      <c r="H71" s="612">
        <f t="shared" si="17"/>
        <v>0</v>
      </c>
      <c r="I71" s="612">
        <f t="shared" si="17"/>
        <v>0</v>
      </c>
      <c r="J71" s="785">
        <f t="shared" si="17"/>
        <v>0</v>
      </c>
      <c r="K71" s="785">
        <f t="shared" si="17"/>
        <v>0</v>
      </c>
      <c r="L71" s="785">
        <f t="shared" si="17"/>
        <v>0</v>
      </c>
      <c r="M71" s="785">
        <f t="shared" si="17"/>
        <v>0</v>
      </c>
      <c r="N71" s="785">
        <f t="shared" si="17"/>
        <v>0</v>
      </c>
      <c r="O71" s="785">
        <f t="shared" si="17"/>
        <v>0</v>
      </c>
      <c r="P71" s="785">
        <f t="shared" si="17"/>
        <v>0</v>
      </c>
      <c r="Q71" s="785">
        <f t="shared" si="17"/>
        <v>0</v>
      </c>
      <c r="R71" s="785"/>
      <c r="S71" s="785">
        <f>S30-S69</f>
        <v>0</v>
      </c>
      <c r="T71" s="612"/>
      <c r="U71" s="635"/>
      <c r="V71" s="636">
        <f>V30-V69</f>
        <v>0</v>
      </c>
      <c r="W71" s="612">
        <f>W30-W69</f>
        <v>0</v>
      </c>
      <c r="X71" s="648"/>
      <c r="AA71" s="598"/>
      <c r="AB71" s="612">
        <v>0</v>
      </c>
      <c r="AC71" s="618"/>
      <c r="AF71" s="612">
        <v>0</v>
      </c>
    </row>
    <row r="72" spans="1:32">
      <c r="D72" s="794"/>
      <c r="F72" s="643"/>
      <c r="G72" s="644"/>
      <c r="H72" s="644"/>
      <c r="I72" s="644"/>
      <c r="J72" s="645"/>
      <c r="K72" s="644"/>
      <c r="L72" s="644"/>
      <c r="M72" s="644"/>
      <c r="N72" s="644"/>
      <c r="O72" s="644"/>
      <c r="P72" s="644"/>
      <c r="Q72" s="644"/>
      <c r="R72" s="644"/>
      <c r="S72" s="644"/>
      <c r="T72" s="644"/>
      <c r="U72" s="646"/>
      <c r="V72" s="622"/>
      <c r="W72" s="622"/>
      <c r="X72" s="649"/>
      <c r="Z72" s="616"/>
      <c r="AA72" s="617"/>
      <c r="AB72" s="622"/>
      <c r="AC72" s="622"/>
      <c r="AF72" s="622"/>
    </row>
    <row r="73" spans="1:32" ht="15.5">
      <c r="D73" s="786" t="s">
        <v>767</v>
      </c>
      <c r="E73" s="786"/>
      <c r="F73" s="612">
        <f t="shared" ref="F73:Q73" si="18">F71+F13</f>
        <v>0</v>
      </c>
      <c r="G73" s="612">
        <f t="shared" si="18"/>
        <v>0</v>
      </c>
      <c r="H73" s="612">
        <f t="shared" si="18"/>
        <v>0</v>
      </c>
      <c r="I73" s="612">
        <f t="shared" si="18"/>
        <v>0</v>
      </c>
      <c r="J73" s="785">
        <f t="shared" si="18"/>
        <v>0</v>
      </c>
      <c r="K73" s="785">
        <f t="shared" si="18"/>
        <v>0</v>
      </c>
      <c r="L73" s="785">
        <f t="shared" si="18"/>
        <v>0</v>
      </c>
      <c r="M73" s="785">
        <f t="shared" si="18"/>
        <v>0</v>
      </c>
      <c r="N73" s="785">
        <f t="shared" si="18"/>
        <v>0</v>
      </c>
      <c r="O73" s="785">
        <f t="shared" si="18"/>
        <v>0</v>
      </c>
      <c r="P73" s="785">
        <f t="shared" si="18"/>
        <v>0</v>
      </c>
      <c r="Q73" s="785">
        <f t="shared" si="18"/>
        <v>0</v>
      </c>
      <c r="R73" s="785"/>
      <c r="S73" s="785">
        <f>S71+S13</f>
        <v>0</v>
      </c>
      <c r="T73" s="612">
        <f>T71+T13</f>
        <v>0</v>
      </c>
      <c r="U73" s="635"/>
      <c r="V73" s="636">
        <f>V71+V13</f>
        <v>0</v>
      </c>
      <c r="W73" s="612">
        <f>W71+W13</f>
        <v>0</v>
      </c>
      <c r="X73" s="648"/>
      <c r="AA73" s="598"/>
      <c r="AB73" s="612">
        <v>0</v>
      </c>
      <c r="AC73" s="618"/>
      <c r="AF73" s="612">
        <v>0</v>
      </c>
    </row>
    <row r="74" spans="1:32">
      <c r="D74" s="770"/>
      <c r="E74" s="650"/>
      <c r="F74" s="651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3"/>
      <c r="V74" s="652"/>
      <c r="W74" s="652"/>
      <c r="X74" s="647"/>
      <c r="Z74" s="616"/>
      <c r="AA74" s="617"/>
      <c r="AB74" s="652"/>
      <c r="AC74" s="622"/>
      <c r="AF74" s="652"/>
    </row>
    <row r="75" spans="1:32" ht="23.5">
      <c r="D75" s="798" t="s">
        <v>768</v>
      </c>
      <c r="E75" s="650"/>
      <c r="F75" s="651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3"/>
      <c r="V75" s="652"/>
      <c r="W75" s="652"/>
      <c r="X75" s="647"/>
      <c r="Z75" s="616"/>
      <c r="AA75" s="617"/>
      <c r="AB75" s="622"/>
      <c r="AC75" s="622"/>
      <c r="AF75" s="622"/>
    </row>
    <row r="76" spans="1:32" ht="12" customHeight="1">
      <c r="D76" s="654"/>
      <c r="E76" s="655"/>
      <c r="F76" s="656"/>
      <c r="G76" s="657"/>
      <c r="H76" s="657"/>
      <c r="I76" s="657"/>
      <c r="J76" s="657"/>
      <c r="K76" s="657"/>
      <c r="L76" s="657"/>
      <c r="M76" s="657"/>
      <c r="N76" s="657"/>
      <c r="O76" s="657"/>
      <c r="P76" s="657"/>
      <c r="Q76" s="657"/>
      <c r="R76" s="657"/>
      <c r="S76" s="657"/>
      <c r="T76" s="657"/>
      <c r="U76" s="769"/>
      <c r="V76" s="657"/>
      <c r="W76" s="657"/>
      <c r="X76" s="649"/>
      <c r="Z76" s="616"/>
      <c r="AA76" s="617"/>
      <c r="AB76" s="657"/>
      <c r="AC76" s="622"/>
      <c r="AF76" s="657"/>
    </row>
    <row r="77" spans="1:32" ht="18" customHeight="1">
      <c r="D77" s="796" t="s">
        <v>769</v>
      </c>
      <c r="E77" s="783"/>
      <c r="F77" s="611">
        <v>0</v>
      </c>
      <c r="G77" s="611"/>
      <c r="H77" s="611"/>
      <c r="I77" s="611"/>
      <c r="J77" s="785">
        <f>_xlfn.IFNA(VLOOKUP($E$4,Lookup!$B:$H,7,FALSE),0)</f>
        <v>0</v>
      </c>
      <c r="K77" s="612"/>
      <c r="L77" s="612"/>
      <c r="M77" s="612"/>
      <c r="N77" s="612"/>
      <c r="O77" s="612"/>
      <c r="P77" s="612"/>
      <c r="Q77" s="612"/>
      <c r="R77" s="612"/>
      <c r="S77" s="785">
        <f>J77</f>
        <v>0</v>
      </c>
      <c r="T77" s="613"/>
      <c r="U77" s="613"/>
      <c r="V77" s="636"/>
      <c r="W77" s="612"/>
      <c r="X77" s="615"/>
      <c r="Z77" s="616"/>
      <c r="AA77" s="617"/>
      <c r="AB77" s="612">
        <v>0</v>
      </c>
      <c r="AC77" s="618"/>
      <c r="AF77" s="612">
        <v>0</v>
      </c>
    </row>
    <row r="78" spans="1:32" ht="18" customHeight="1">
      <c r="D78" s="619"/>
      <c r="E78" s="797" t="s">
        <v>770</v>
      </c>
      <c r="F78" s="658"/>
      <c r="G78" s="658"/>
      <c r="H78" s="658"/>
      <c r="I78" s="658"/>
      <c r="J78" s="658"/>
      <c r="K78" s="658"/>
      <c r="L78" s="658"/>
      <c r="M78" s="658"/>
      <c r="N78" s="658"/>
      <c r="O78" s="658"/>
      <c r="P78" s="658"/>
      <c r="Q78" s="658"/>
      <c r="R78" s="658"/>
      <c r="S78" s="658"/>
      <c r="T78" s="658"/>
      <c r="U78" s="638"/>
      <c r="V78" s="659"/>
      <c r="W78" s="658"/>
      <c r="X78" s="637"/>
      <c r="AA78" s="598"/>
      <c r="AB78" s="658"/>
      <c r="AC78" s="660"/>
      <c r="AF78" s="658"/>
    </row>
    <row r="79" spans="1:32" ht="18" customHeight="1">
      <c r="C79" s="619" t="s">
        <v>771</v>
      </c>
      <c r="D79" s="788" t="s">
        <v>530</v>
      </c>
      <c r="E79" s="787" t="s">
        <v>547</v>
      </c>
      <c r="F79" s="625">
        <v>0</v>
      </c>
      <c r="G79" s="626"/>
      <c r="H79" s="626"/>
      <c r="I79" s="627">
        <f>G79+H79</f>
        <v>0</v>
      </c>
      <c r="J79" s="789">
        <f>SUMIFS('1. Calculator'!$E$136:$E$150,'1. Calculator'!$D$136:$D$150,'3. Monitoring'!$D79)</f>
        <v>0</v>
      </c>
      <c r="K79" s="790"/>
      <c r="L79" s="625">
        <f>J79+K79</f>
        <v>0</v>
      </c>
      <c r="M79" s="625">
        <v>0</v>
      </c>
      <c r="N79" s="628"/>
      <c r="O79" s="628"/>
      <c r="P79" s="625">
        <v>0</v>
      </c>
      <c r="Q79" s="625"/>
      <c r="R79" s="625"/>
      <c r="S79" s="789">
        <f t="shared" ref="S79:S81" si="19">J79+K79</f>
        <v>0</v>
      </c>
      <c r="T79" s="629" t="str">
        <f>IFERROR((S79/G79),"")</f>
        <v/>
      </c>
      <c r="U79" s="791" t="str">
        <f t="shared" ref="U79:U81" si="20">IFERROR(+S79/$S$69,"")</f>
        <v/>
      </c>
      <c r="V79" s="631"/>
      <c r="W79" s="625">
        <f>I79-V79</f>
        <v>0</v>
      </c>
      <c r="X79" s="792"/>
      <c r="Z79" s="616"/>
      <c r="AA79" s="598"/>
      <c r="AB79" s="625"/>
      <c r="AC79" s="633"/>
      <c r="AF79" s="625">
        <v>0</v>
      </c>
    </row>
    <row r="80" spans="1:32" ht="18" customHeight="1">
      <c r="C80" s="619" t="s">
        <v>772</v>
      </c>
      <c r="D80" s="788" t="s">
        <v>773</v>
      </c>
      <c r="E80" s="787" t="s">
        <v>774</v>
      </c>
      <c r="F80" s="625">
        <v>0</v>
      </c>
      <c r="G80" s="626"/>
      <c r="H80" s="626"/>
      <c r="I80" s="627">
        <f>G80+H80</f>
        <v>0</v>
      </c>
      <c r="J80" s="789"/>
      <c r="K80" s="790"/>
      <c r="L80" s="625">
        <f>J80+K80</f>
        <v>0</v>
      </c>
      <c r="M80" s="625">
        <v>0</v>
      </c>
      <c r="N80" s="628"/>
      <c r="O80" s="628"/>
      <c r="P80" s="625">
        <v>0</v>
      </c>
      <c r="Q80" s="625"/>
      <c r="R80" s="625"/>
      <c r="S80" s="789">
        <f t="shared" si="19"/>
        <v>0</v>
      </c>
      <c r="T80" s="629" t="str">
        <f>IFERROR((S80/G80),"")</f>
        <v/>
      </c>
      <c r="U80" s="791" t="str">
        <f t="shared" si="20"/>
        <v/>
      </c>
      <c r="V80" s="631"/>
      <c r="W80" s="625">
        <f>I80-V80</f>
        <v>0</v>
      </c>
      <c r="X80" s="792"/>
      <c r="Z80" s="616"/>
      <c r="AA80" s="598"/>
      <c r="AB80" s="625"/>
      <c r="AC80" s="633"/>
      <c r="AF80" s="625">
        <v>0</v>
      </c>
    </row>
    <row r="81" spans="3:32" ht="18" customHeight="1">
      <c r="C81" s="619" t="s">
        <v>775</v>
      </c>
      <c r="D81" s="788" t="s">
        <v>776</v>
      </c>
      <c r="E81" s="787" t="s">
        <v>777</v>
      </c>
      <c r="F81" s="625">
        <v>0</v>
      </c>
      <c r="G81" s="626"/>
      <c r="H81" s="626"/>
      <c r="I81" s="627">
        <f t="shared" ref="I81" si="21">G81+H81</f>
        <v>0</v>
      </c>
      <c r="J81" s="789"/>
      <c r="K81" s="790"/>
      <c r="L81" s="625">
        <f>J81+K81</f>
        <v>0</v>
      </c>
      <c r="M81" s="625">
        <v>0</v>
      </c>
      <c r="N81" s="628"/>
      <c r="O81" s="628"/>
      <c r="P81" s="625">
        <v>0</v>
      </c>
      <c r="Q81" s="625"/>
      <c r="R81" s="625"/>
      <c r="S81" s="789">
        <f t="shared" si="19"/>
        <v>0</v>
      </c>
      <c r="T81" s="629" t="str">
        <f>IFERROR((S81/G81),"")</f>
        <v/>
      </c>
      <c r="U81" s="791" t="str">
        <f t="shared" si="20"/>
        <v/>
      </c>
      <c r="V81" s="631"/>
      <c r="W81" s="625">
        <f>I81-V81</f>
        <v>0</v>
      </c>
      <c r="X81" s="792"/>
      <c r="Z81" s="616"/>
      <c r="AA81" s="598"/>
      <c r="AB81" s="625"/>
      <c r="AC81" s="633"/>
      <c r="AF81" s="625">
        <v>0</v>
      </c>
    </row>
    <row r="82" spans="3:32" ht="18" customHeight="1">
      <c r="D82" s="795" t="s">
        <v>778</v>
      </c>
      <c r="E82" s="795"/>
      <c r="F82" s="612">
        <f t="shared" ref="F82:Q82" si="22">SUM(F79:F81)</f>
        <v>0</v>
      </c>
      <c r="G82" s="612">
        <f>SUM(G79:G81)</f>
        <v>0</v>
      </c>
      <c r="H82" s="612">
        <f t="shared" si="22"/>
        <v>0</v>
      </c>
      <c r="I82" s="612">
        <f t="shared" si="22"/>
        <v>0</v>
      </c>
      <c r="J82" s="612">
        <f t="shared" si="22"/>
        <v>0</v>
      </c>
      <c r="K82" s="612">
        <f t="shared" si="22"/>
        <v>0</v>
      </c>
      <c r="L82" s="612">
        <f t="shared" si="22"/>
        <v>0</v>
      </c>
      <c r="M82" s="612">
        <f t="shared" si="22"/>
        <v>0</v>
      </c>
      <c r="N82" s="612">
        <f t="shared" si="22"/>
        <v>0</v>
      </c>
      <c r="O82" s="612">
        <f t="shared" si="22"/>
        <v>0</v>
      </c>
      <c r="P82" s="612">
        <f t="shared" si="22"/>
        <v>0</v>
      </c>
      <c r="Q82" s="612">
        <f t="shared" si="22"/>
        <v>0</v>
      </c>
      <c r="R82" s="612"/>
      <c r="S82" s="612">
        <f>SUM(S79:S81)</f>
        <v>0</v>
      </c>
      <c r="T82" s="612">
        <f>SUM(T79:T81)</f>
        <v>0</v>
      </c>
      <c r="U82" s="635"/>
      <c r="V82" s="636">
        <f>SUM(V79:V81)</f>
        <v>0</v>
      </c>
      <c r="W82" s="612">
        <f>SUM(W79:W81)</f>
        <v>0</v>
      </c>
      <c r="X82" s="615"/>
      <c r="AA82" s="598"/>
      <c r="AB82" s="612">
        <v>0</v>
      </c>
      <c r="AC82" s="618"/>
      <c r="AF82" s="612">
        <v>0</v>
      </c>
    </row>
    <row r="83" spans="3:32" ht="18" customHeight="1">
      <c r="D83" s="619"/>
      <c r="E83" s="797" t="s">
        <v>779</v>
      </c>
      <c r="F83" s="637"/>
      <c r="G83" s="637"/>
      <c r="H83" s="637"/>
      <c r="I83" s="637"/>
      <c r="J83" s="637"/>
      <c r="K83" s="637"/>
      <c r="L83" s="637"/>
      <c r="M83" s="637"/>
      <c r="N83" s="637"/>
      <c r="O83" s="637"/>
      <c r="P83" s="637"/>
      <c r="Q83" s="637"/>
      <c r="R83" s="637"/>
      <c r="S83" s="637"/>
      <c r="T83" s="637"/>
      <c r="U83" s="638"/>
      <c r="V83" s="639"/>
      <c r="W83" s="637"/>
      <c r="X83" s="637"/>
      <c r="AA83" s="598"/>
      <c r="AB83" s="637"/>
      <c r="AC83" s="640"/>
      <c r="AF83" s="637"/>
    </row>
    <row r="84" spans="3:32" ht="18" customHeight="1">
      <c r="C84" s="619" t="s">
        <v>780</v>
      </c>
      <c r="D84" s="788" t="s">
        <v>781</v>
      </c>
      <c r="E84" s="787" t="s">
        <v>782</v>
      </c>
      <c r="F84" s="625">
        <v>0</v>
      </c>
      <c r="G84" s="626"/>
      <c r="H84" s="626"/>
      <c r="I84" s="627">
        <f t="shared" ref="I84:I91" si="23">G84+H84</f>
        <v>0</v>
      </c>
      <c r="J84" s="789"/>
      <c r="K84" s="790"/>
      <c r="L84" s="625">
        <f>J84+K84</f>
        <v>0</v>
      </c>
      <c r="M84" s="628"/>
      <c r="N84" s="625">
        <v>0</v>
      </c>
      <c r="O84" s="625">
        <v>0</v>
      </c>
      <c r="P84" s="628"/>
      <c r="Q84" s="625"/>
      <c r="R84" s="625"/>
      <c r="S84" s="789">
        <f t="shared" ref="S84:S91" si="24">J84+K84</f>
        <v>0</v>
      </c>
      <c r="T84" s="629" t="str">
        <f t="shared" ref="T84:T91" si="25">IFERROR((S84/G84),"")</f>
        <v/>
      </c>
      <c r="U84" s="791" t="str">
        <f t="shared" ref="U84:U91" si="26">IFERROR(+S84/$S$69,"")</f>
        <v/>
      </c>
      <c r="V84" s="631"/>
      <c r="W84" s="625">
        <f>I84-V84</f>
        <v>0</v>
      </c>
      <c r="X84" s="792"/>
      <c r="Z84" s="616"/>
      <c r="AA84" s="598"/>
      <c r="AB84" s="625"/>
      <c r="AC84" s="633"/>
      <c r="AF84" s="625">
        <v>0</v>
      </c>
    </row>
    <row r="85" spans="3:32" ht="18" customHeight="1">
      <c r="C85" s="619" t="s">
        <v>783</v>
      </c>
      <c r="D85" s="788" t="s">
        <v>784</v>
      </c>
      <c r="E85" s="787" t="s">
        <v>785</v>
      </c>
      <c r="F85" s="625">
        <v>0</v>
      </c>
      <c r="G85" s="626"/>
      <c r="H85" s="626"/>
      <c r="I85" s="627">
        <f t="shared" si="23"/>
        <v>0</v>
      </c>
      <c r="J85" s="789"/>
      <c r="K85" s="790"/>
      <c r="L85" s="625">
        <f>J85+K85</f>
        <v>0</v>
      </c>
      <c r="M85" s="628"/>
      <c r="N85" s="625">
        <v>0</v>
      </c>
      <c r="O85" s="625">
        <v>0</v>
      </c>
      <c r="P85" s="628"/>
      <c r="Q85" s="625"/>
      <c r="R85" s="625"/>
      <c r="S85" s="789">
        <f t="shared" si="24"/>
        <v>0</v>
      </c>
      <c r="T85" s="629" t="str">
        <f t="shared" si="25"/>
        <v/>
      </c>
      <c r="U85" s="791" t="str">
        <f t="shared" si="26"/>
        <v/>
      </c>
      <c r="V85" s="631"/>
      <c r="W85" s="625">
        <f>I85-V85</f>
        <v>0</v>
      </c>
      <c r="X85" s="792"/>
      <c r="Z85" s="616"/>
      <c r="AA85" s="598"/>
      <c r="AB85" s="625"/>
      <c r="AC85" s="633"/>
      <c r="AF85" s="625">
        <v>0</v>
      </c>
    </row>
    <row r="86" spans="3:32" ht="18" customHeight="1">
      <c r="C86" s="619" t="s">
        <v>786</v>
      </c>
      <c r="D86" s="788" t="s">
        <v>787</v>
      </c>
      <c r="E86" s="787" t="s">
        <v>788</v>
      </c>
      <c r="F86" s="625">
        <v>0</v>
      </c>
      <c r="G86" s="626"/>
      <c r="H86" s="626"/>
      <c r="I86" s="627">
        <f t="shared" si="23"/>
        <v>0</v>
      </c>
      <c r="J86" s="789"/>
      <c r="K86" s="790"/>
      <c r="L86" s="625">
        <f>J86+K86</f>
        <v>0</v>
      </c>
      <c r="M86" s="628"/>
      <c r="N86" s="625">
        <v>0</v>
      </c>
      <c r="O86" s="625">
        <v>0</v>
      </c>
      <c r="P86" s="628"/>
      <c r="Q86" s="625"/>
      <c r="R86" s="625"/>
      <c r="S86" s="789">
        <f t="shared" si="24"/>
        <v>0</v>
      </c>
      <c r="T86" s="629" t="str">
        <f t="shared" si="25"/>
        <v/>
      </c>
      <c r="U86" s="791" t="str">
        <f t="shared" si="26"/>
        <v/>
      </c>
      <c r="V86" s="631"/>
      <c r="W86" s="625">
        <f>I86-V86</f>
        <v>0</v>
      </c>
      <c r="X86" s="792"/>
      <c r="Z86" s="616"/>
      <c r="AA86" s="598"/>
      <c r="AB86" s="625"/>
      <c r="AC86" s="633"/>
      <c r="AF86" s="625">
        <v>0</v>
      </c>
    </row>
    <row r="87" spans="3:32" ht="18" customHeight="1">
      <c r="C87" s="619" t="s">
        <v>789</v>
      </c>
      <c r="D87" s="788" t="s">
        <v>790</v>
      </c>
      <c r="E87" s="787" t="s">
        <v>717</v>
      </c>
      <c r="F87" s="625"/>
      <c r="G87" s="626"/>
      <c r="H87" s="626"/>
      <c r="I87" s="627"/>
      <c r="J87" s="789"/>
      <c r="K87" s="790"/>
      <c r="L87" s="625"/>
      <c r="M87" s="628"/>
      <c r="N87" s="625"/>
      <c r="O87" s="625"/>
      <c r="P87" s="628"/>
      <c r="Q87" s="625"/>
      <c r="R87" s="625"/>
      <c r="S87" s="789">
        <f t="shared" si="24"/>
        <v>0</v>
      </c>
      <c r="T87" s="629" t="str">
        <f t="shared" si="25"/>
        <v/>
      </c>
      <c r="U87" s="791" t="str">
        <f t="shared" si="26"/>
        <v/>
      </c>
      <c r="V87" s="631"/>
      <c r="W87" s="625"/>
      <c r="X87" s="792"/>
      <c r="Z87" s="616"/>
      <c r="AA87" s="598"/>
      <c r="AB87" s="625"/>
      <c r="AC87" s="633"/>
      <c r="AF87" s="625"/>
    </row>
    <row r="88" spans="3:32" ht="18" customHeight="1">
      <c r="C88" s="619" t="s">
        <v>791</v>
      </c>
      <c r="D88" s="788" t="s">
        <v>792</v>
      </c>
      <c r="E88" s="787" t="s">
        <v>720</v>
      </c>
      <c r="F88" s="625"/>
      <c r="G88" s="626"/>
      <c r="H88" s="626"/>
      <c r="I88" s="627"/>
      <c r="J88" s="789"/>
      <c r="K88" s="790"/>
      <c r="L88" s="625"/>
      <c r="M88" s="628"/>
      <c r="N88" s="625"/>
      <c r="O88" s="625"/>
      <c r="P88" s="628"/>
      <c r="Q88" s="625"/>
      <c r="R88" s="625"/>
      <c r="S88" s="789">
        <f t="shared" si="24"/>
        <v>0</v>
      </c>
      <c r="T88" s="629" t="str">
        <f t="shared" si="25"/>
        <v/>
      </c>
      <c r="U88" s="791" t="str">
        <f t="shared" si="26"/>
        <v/>
      </c>
      <c r="V88" s="631"/>
      <c r="W88" s="625"/>
      <c r="X88" s="792"/>
      <c r="Z88" s="616"/>
      <c r="AA88" s="598"/>
      <c r="AB88" s="625"/>
      <c r="AC88" s="633"/>
      <c r="AF88" s="625"/>
    </row>
    <row r="89" spans="3:32" ht="18" customHeight="1">
      <c r="C89" s="619" t="s">
        <v>793</v>
      </c>
      <c r="D89" s="788" t="s">
        <v>794</v>
      </c>
      <c r="E89" s="787" t="s">
        <v>726</v>
      </c>
      <c r="F89" s="625"/>
      <c r="G89" s="626"/>
      <c r="H89" s="626"/>
      <c r="I89" s="627"/>
      <c r="J89" s="789"/>
      <c r="K89" s="790"/>
      <c r="L89" s="625"/>
      <c r="M89" s="628"/>
      <c r="N89" s="625"/>
      <c r="O89" s="625"/>
      <c r="P89" s="628"/>
      <c r="Q89" s="625"/>
      <c r="R89" s="625"/>
      <c r="S89" s="789">
        <f t="shared" si="24"/>
        <v>0</v>
      </c>
      <c r="T89" s="629" t="str">
        <f t="shared" si="25"/>
        <v/>
      </c>
      <c r="U89" s="791" t="str">
        <f t="shared" si="26"/>
        <v/>
      </c>
      <c r="V89" s="631"/>
      <c r="W89" s="625"/>
      <c r="X89" s="792"/>
      <c r="Z89" s="616"/>
      <c r="AA89" s="598"/>
      <c r="AB89" s="625"/>
      <c r="AC89" s="633"/>
      <c r="AF89" s="625"/>
    </row>
    <row r="90" spans="3:32" ht="18" customHeight="1">
      <c r="C90" s="619" t="s">
        <v>795</v>
      </c>
      <c r="D90" s="788" t="s">
        <v>796</v>
      </c>
      <c r="E90" s="787" t="s">
        <v>797</v>
      </c>
      <c r="F90" s="625"/>
      <c r="G90" s="626"/>
      <c r="H90" s="626"/>
      <c r="I90" s="627"/>
      <c r="J90" s="789"/>
      <c r="K90" s="790"/>
      <c r="L90" s="625"/>
      <c r="M90" s="628"/>
      <c r="N90" s="625"/>
      <c r="O90" s="625"/>
      <c r="P90" s="628"/>
      <c r="Q90" s="625"/>
      <c r="R90" s="625"/>
      <c r="S90" s="789">
        <f t="shared" si="24"/>
        <v>0</v>
      </c>
      <c r="T90" s="629" t="str">
        <f t="shared" si="25"/>
        <v/>
      </c>
      <c r="U90" s="791" t="str">
        <f t="shared" si="26"/>
        <v/>
      </c>
      <c r="V90" s="631"/>
      <c r="W90" s="625"/>
      <c r="X90" s="792"/>
      <c r="Z90" s="616"/>
      <c r="AA90" s="598"/>
      <c r="AB90" s="625"/>
      <c r="AC90" s="633"/>
      <c r="AF90" s="625"/>
    </row>
    <row r="91" spans="3:32" ht="18" customHeight="1">
      <c r="C91" s="619" t="s">
        <v>798</v>
      </c>
      <c r="D91" s="788" t="s">
        <v>799</v>
      </c>
      <c r="E91" s="787" t="s">
        <v>732</v>
      </c>
      <c r="F91" s="625">
        <v>0</v>
      </c>
      <c r="G91" s="626"/>
      <c r="H91" s="626"/>
      <c r="I91" s="627">
        <f t="shared" si="23"/>
        <v>0</v>
      </c>
      <c r="J91" s="789"/>
      <c r="K91" s="790"/>
      <c r="L91" s="625">
        <f>J91+K91</f>
        <v>0</v>
      </c>
      <c r="M91" s="628"/>
      <c r="N91" s="625">
        <v>0</v>
      </c>
      <c r="O91" s="625">
        <v>0</v>
      </c>
      <c r="P91" s="628"/>
      <c r="Q91" s="625"/>
      <c r="R91" s="625"/>
      <c r="S91" s="789">
        <f t="shared" si="24"/>
        <v>0</v>
      </c>
      <c r="T91" s="629" t="str">
        <f t="shared" si="25"/>
        <v/>
      </c>
      <c r="U91" s="791" t="str">
        <f t="shared" si="26"/>
        <v/>
      </c>
      <c r="V91" s="631"/>
      <c r="W91" s="625">
        <f>I91-V91</f>
        <v>0</v>
      </c>
      <c r="X91" s="792"/>
      <c r="Z91" s="616"/>
      <c r="AA91" s="598"/>
      <c r="AB91" s="625"/>
      <c r="AC91" s="633"/>
      <c r="AF91" s="625">
        <v>0</v>
      </c>
    </row>
    <row r="92" spans="3:32" ht="18" customHeight="1">
      <c r="D92" s="795" t="s">
        <v>800</v>
      </c>
      <c r="E92" s="795"/>
      <c r="F92" s="612">
        <f t="shared" ref="F92:Q92" si="27">SUM(F84:F91)</f>
        <v>0</v>
      </c>
      <c r="G92" s="612">
        <f t="shared" si="27"/>
        <v>0</v>
      </c>
      <c r="H92" s="612">
        <f t="shared" si="27"/>
        <v>0</v>
      </c>
      <c r="I92" s="612">
        <f t="shared" si="27"/>
        <v>0</v>
      </c>
      <c r="J92" s="785">
        <f t="shared" si="27"/>
        <v>0</v>
      </c>
      <c r="K92" s="612">
        <f t="shared" si="27"/>
        <v>0</v>
      </c>
      <c r="L92" s="612">
        <f t="shared" si="27"/>
        <v>0</v>
      </c>
      <c r="M92" s="612">
        <f t="shared" si="27"/>
        <v>0</v>
      </c>
      <c r="N92" s="612">
        <f t="shared" si="27"/>
        <v>0</v>
      </c>
      <c r="O92" s="612">
        <f t="shared" si="27"/>
        <v>0</v>
      </c>
      <c r="P92" s="612">
        <f t="shared" si="27"/>
        <v>0</v>
      </c>
      <c r="Q92" s="612">
        <f t="shared" si="27"/>
        <v>0</v>
      </c>
      <c r="R92" s="612"/>
      <c r="S92" s="785">
        <f>SUM(S84:S91)</f>
        <v>0</v>
      </c>
      <c r="T92" s="612">
        <f>SUM(T84:T91)</f>
        <v>0</v>
      </c>
      <c r="U92" s="635"/>
      <c r="V92" s="636">
        <f>SUM(V84:V91)</f>
        <v>0</v>
      </c>
      <c r="W92" s="612">
        <f>SUM(W84:W91)</f>
        <v>0</v>
      </c>
      <c r="X92" s="615"/>
      <c r="AA92" s="598"/>
      <c r="AB92" s="612">
        <v>0</v>
      </c>
      <c r="AC92" s="618"/>
      <c r="AF92" s="612">
        <v>0</v>
      </c>
    </row>
    <row r="93" spans="3:32" ht="18" customHeight="1">
      <c r="D93" s="654"/>
      <c r="E93" s="642"/>
      <c r="F93" s="661"/>
      <c r="G93" s="662"/>
      <c r="H93" s="662"/>
      <c r="I93" s="662"/>
      <c r="J93" s="663"/>
      <c r="K93" s="662"/>
      <c r="L93" s="662"/>
      <c r="M93" s="662"/>
      <c r="N93" s="662"/>
      <c r="O93" s="662"/>
      <c r="P93" s="662"/>
      <c r="Q93" s="662"/>
      <c r="R93" s="662"/>
      <c r="S93" s="662"/>
      <c r="T93" s="662"/>
      <c r="U93" s="646"/>
      <c r="V93" s="662"/>
      <c r="W93" s="662"/>
      <c r="X93" s="649"/>
      <c r="Z93" s="616"/>
      <c r="AA93" s="617"/>
      <c r="AB93" s="664"/>
      <c r="AC93" s="664"/>
      <c r="AF93" s="664"/>
    </row>
    <row r="94" spans="3:32" ht="18" customHeight="1">
      <c r="D94" s="795" t="s">
        <v>801</v>
      </c>
      <c r="E94" s="795"/>
      <c r="F94" s="612">
        <f t="shared" ref="F94:Q94" si="28">F82-F92</f>
        <v>0</v>
      </c>
      <c r="G94" s="612">
        <f t="shared" si="28"/>
        <v>0</v>
      </c>
      <c r="H94" s="612">
        <f t="shared" si="28"/>
        <v>0</v>
      </c>
      <c r="I94" s="612">
        <f t="shared" si="28"/>
        <v>0</v>
      </c>
      <c r="J94" s="785">
        <f t="shared" si="28"/>
        <v>0</v>
      </c>
      <c r="K94" s="612">
        <f t="shared" si="28"/>
        <v>0</v>
      </c>
      <c r="L94" s="612">
        <f t="shared" si="28"/>
        <v>0</v>
      </c>
      <c r="M94" s="612">
        <f t="shared" si="28"/>
        <v>0</v>
      </c>
      <c r="N94" s="612">
        <f t="shared" si="28"/>
        <v>0</v>
      </c>
      <c r="O94" s="612">
        <f t="shared" si="28"/>
        <v>0</v>
      </c>
      <c r="P94" s="612">
        <f t="shared" si="28"/>
        <v>0</v>
      </c>
      <c r="Q94" s="612">
        <f t="shared" si="28"/>
        <v>0</v>
      </c>
      <c r="R94" s="612"/>
      <c r="S94" s="785">
        <f>S82-S92</f>
        <v>0</v>
      </c>
      <c r="T94" s="612"/>
      <c r="U94" s="635"/>
      <c r="V94" s="636">
        <f>V82-V92</f>
        <v>0</v>
      </c>
      <c r="W94" s="612">
        <f>W82-W92</f>
        <v>0</v>
      </c>
      <c r="X94" s="648"/>
      <c r="AA94" s="598"/>
      <c r="AB94" s="612">
        <v>0</v>
      </c>
      <c r="AC94" s="618"/>
      <c r="AF94" s="612">
        <v>0</v>
      </c>
    </row>
    <row r="95" spans="3:32" ht="18" customHeight="1">
      <c r="D95" s="634"/>
      <c r="E95" s="642"/>
      <c r="F95" s="659"/>
      <c r="G95" s="665"/>
      <c r="H95" s="662"/>
      <c r="I95" s="662"/>
      <c r="J95" s="663"/>
      <c r="K95" s="662"/>
      <c r="L95" s="662"/>
      <c r="M95" s="662"/>
      <c r="N95" s="662"/>
      <c r="O95" s="662"/>
      <c r="P95" s="662"/>
      <c r="Q95" s="662"/>
      <c r="R95" s="662"/>
      <c r="S95" s="662"/>
      <c r="T95" s="662"/>
      <c r="U95" s="646"/>
      <c r="V95" s="662"/>
      <c r="W95" s="662"/>
      <c r="X95" s="649"/>
      <c r="Z95" s="616"/>
      <c r="AA95" s="617"/>
      <c r="AB95" s="664"/>
      <c r="AC95" s="664"/>
      <c r="AF95" s="664"/>
    </row>
    <row r="96" spans="3:32" ht="18" customHeight="1">
      <c r="D96" s="795" t="s">
        <v>802</v>
      </c>
      <c r="E96" s="795"/>
      <c r="F96" s="612">
        <f t="shared" ref="F96:Q96" si="29">F77+F94</f>
        <v>0</v>
      </c>
      <c r="G96" s="612">
        <f t="shared" si="29"/>
        <v>0</v>
      </c>
      <c r="H96" s="612">
        <f t="shared" si="29"/>
        <v>0</v>
      </c>
      <c r="I96" s="612">
        <f t="shared" si="29"/>
        <v>0</v>
      </c>
      <c r="J96" s="785">
        <f t="shared" si="29"/>
        <v>0</v>
      </c>
      <c r="K96" s="612">
        <f t="shared" si="29"/>
        <v>0</v>
      </c>
      <c r="L96" s="612">
        <f t="shared" si="29"/>
        <v>0</v>
      </c>
      <c r="M96" s="612">
        <f t="shared" si="29"/>
        <v>0</v>
      </c>
      <c r="N96" s="612">
        <f t="shared" si="29"/>
        <v>0</v>
      </c>
      <c r="O96" s="612">
        <f t="shared" si="29"/>
        <v>0</v>
      </c>
      <c r="P96" s="612">
        <f t="shared" si="29"/>
        <v>0</v>
      </c>
      <c r="Q96" s="612">
        <f t="shared" si="29"/>
        <v>0</v>
      </c>
      <c r="R96" s="612"/>
      <c r="S96" s="785">
        <f>S77+S94</f>
        <v>0</v>
      </c>
      <c r="T96" s="612">
        <f>T77+T94</f>
        <v>0</v>
      </c>
      <c r="U96" s="635"/>
      <c r="V96" s="636">
        <f>V77+V94</f>
        <v>0</v>
      </c>
      <c r="W96" s="612">
        <f>W77+W94</f>
        <v>0</v>
      </c>
      <c r="X96" s="648"/>
      <c r="AA96" s="598"/>
      <c r="AB96" s="612">
        <v>0</v>
      </c>
      <c r="AC96" s="618"/>
      <c r="AF96" s="612">
        <v>0</v>
      </c>
    </row>
    <row r="97" spans="3:32">
      <c r="D97" s="770"/>
      <c r="E97" s="650"/>
      <c r="F97" s="651"/>
      <c r="G97" s="652"/>
      <c r="H97" s="652"/>
      <c r="I97" s="652"/>
      <c r="J97" s="652"/>
      <c r="K97" s="652"/>
      <c r="L97" s="652"/>
      <c r="M97" s="652"/>
      <c r="N97" s="652"/>
      <c r="O97" s="652"/>
      <c r="P97" s="652"/>
      <c r="Q97" s="652"/>
      <c r="R97" s="652"/>
      <c r="S97" s="652"/>
      <c r="T97" s="652"/>
      <c r="U97" s="653"/>
      <c r="V97" s="652"/>
      <c r="W97" s="652"/>
      <c r="X97" s="647"/>
      <c r="Z97" s="616"/>
      <c r="AA97" s="617"/>
      <c r="AB97" s="652"/>
      <c r="AC97" s="622"/>
      <c r="AF97" s="652"/>
    </row>
    <row r="98" spans="3:32" ht="23.5">
      <c r="D98" s="798" t="s">
        <v>803</v>
      </c>
      <c r="E98" s="650"/>
      <c r="F98" s="651"/>
      <c r="G98" s="652"/>
      <c r="H98" s="652"/>
      <c r="I98" s="652"/>
      <c r="J98" s="652"/>
      <c r="K98" s="652"/>
      <c r="L98" s="652"/>
      <c r="M98" s="652"/>
      <c r="N98" s="652"/>
      <c r="O98" s="652"/>
      <c r="P98" s="652"/>
      <c r="Q98" s="652"/>
      <c r="R98" s="652"/>
      <c r="S98" s="652"/>
      <c r="T98" s="652"/>
      <c r="U98" s="653"/>
      <c r="V98" s="652"/>
      <c r="W98" s="652"/>
      <c r="X98" s="647"/>
      <c r="Z98" s="616"/>
      <c r="AA98" s="617"/>
      <c r="AB98" s="622"/>
      <c r="AC98" s="622"/>
      <c r="AF98" s="622"/>
    </row>
    <row r="99" spans="3:32" ht="12" customHeight="1">
      <c r="D99" s="654"/>
      <c r="F99" s="668"/>
      <c r="G99" s="644"/>
      <c r="H99" s="644"/>
      <c r="I99" s="644"/>
      <c r="J99" s="644"/>
      <c r="K99" s="644"/>
      <c r="L99" s="644"/>
      <c r="M99" s="644"/>
      <c r="N99" s="644"/>
      <c r="O99" s="644"/>
      <c r="P99" s="644"/>
      <c r="Q99" s="644"/>
      <c r="R99" s="644"/>
      <c r="S99" s="644"/>
      <c r="T99" s="644"/>
      <c r="U99" s="769"/>
      <c r="V99" s="644"/>
      <c r="W99" s="644"/>
      <c r="X99" s="649"/>
      <c r="Z99" s="616"/>
      <c r="AA99" s="617"/>
      <c r="AB99" s="622"/>
      <c r="AC99" s="622"/>
      <c r="AF99" s="622"/>
    </row>
    <row r="100" spans="3:32" ht="18" customHeight="1">
      <c r="D100" s="796" t="s">
        <v>804</v>
      </c>
      <c r="E100" s="783"/>
      <c r="F100" s="611">
        <v>0</v>
      </c>
      <c r="G100" s="611"/>
      <c r="H100" s="611"/>
      <c r="I100" s="611"/>
      <c r="J100" s="785"/>
      <c r="K100" s="612"/>
      <c r="L100" s="612"/>
      <c r="M100" s="612"/>
      <c r="N100" s="612"/>
      <c r="O100" s="612"/>
      <c r="P100" s="612"/>
      <c r="Q100" s="612"/>
      <c r="R100" s="612"/>
      <c r="S100" s="785"/>
      <c r="T100" s="613"/>
      <c r="U100" s="635"/>
      <c r="V100" s="636"/>
      <c r="W100" s="613"/>
      <c r="X100" s="615"/>
      <c r="AA100" s="598"/>
      <c r="AB100" s="612">
        <v>0</v>
      </c>
      <c r="AC100" s="618"/>
      <c r="AF100" s="612">
        <v>0</v>
      </c>
    </row>
    <row r="101" spans="3:32" ht="18" customHeight="1">
      <c r="D101" s="634"/>
      <c r="E101" s="797" t="s">
        <v>805</v>
      </c>
      <c r="F101" s="669"/>
      <c r="G101" s="669"/>
      <c r="H101" s="669"/>
      <c r="I101" s="669"/>
      <c r="J101" s="669"/>
      <c r="K101" s="669"/>
      <c r="L101" s="669"/>
      <c r="M101" s="669"/>
      <c r="N101" s="669"/>
      <c r="O101" s="669"/>
      <c r="P101" s="669"/>
      <c r="Q101" s="669"/>
      <c r="R101" s="669"/>
      <c r="S101" s="669"/>
      <c r="T101" s="629"/>
      <c r="U101" s="630"/>
      <c r="V101" s="670"/>
      <c r="W101" s="629"/>
      <c r="X101" s="620"/>
      <c r="Z101" s="616"/>
      <c r="AA101" s="617"/>
      <c r="AB101" s="669"/>
      <c r="AC101" s="664"/>
      <c r="AF101" s="669"/>
    </row>
    <row r="102" spans="3:32" ht="18" customHeight="1">
      <c r="C102" s="634" t="s">
        <v>806</v>
      </c>
      <c r="D102" s="788" t="s">
        <v>807</v>
      </c>
      <c r="E102" s="787" t="s">
        <v>808</v>
      </c>
      <c r="F102" s="625">
        <v>0</v>
      </c>
      <c r="G102" s="626"/>
      <c r="H102" s="626"/>
      <c r="I102" s="627">
        <f t="shared" ref="I102:I103" si="30">G102+H102</f>
        <v>0</v>
      </c>
      <c r="J102" s="789"/>
      <c r="K102" s="790"/>
      <c r="L102" s="625">
        <f>J102+K102</f>
        <v>0</v>
      </c>
      <c r="M102" s="625">
        <v>0</v>
      </c>
      <c r="N102" s="628"/>
      <c r="O102" s="628"/>
      <c r="P102" s="625">
        <v>0</v>
      </c>
      <c r="Q102" s="625"/>
      <c r="R102" s="625"/>
      <c r="S102" s="789">
        <f t="shared" ref="S102:S103" si="31">J102+K102</f>
        <v>0</v>
      </c>
      <c r="T102" s="629" t="str">
        <f>IFERROR((S102/G102),"")</f>
        <v/>
      </c>
      <c r="U102" s="791" t="str">
        <f t="shared" ref="U102:U103" si="32">IFERROR(+S102/$S$69,"")</f>
        <v/>
      </c>
      <c r="V102" s="631"/>
      <c r="W102" s="625">
        <f>I102-V102</f>
        <v>0</v>
      </c>
      <c r="X102" s="792"/>
      <c r="Z102" s="616"/>
      <c r="AA102" s="617"/>
      <c r="AB102" s="625"/>
      <c r="AC102" s="633"/>
      <c r="AF102" s="625">
        <v>0</v>
      </c>
    </row>
    <row r="103" spans="3:32" ht="18" customHeight="1">
      <c r="C103" s="634" t="s">
        <v>809</v>
      </c>
      <c r="D103" s="788" t="s">
        <v>810</v>
      </c>
      <c r="E103" s="787" t="s">
        <v>811</v>
      </c>
      <c r="F103" s="625">
        <v>0</v>
      </c>
      <c r="G103" s="626"/>
      <c r="H103" s="626"/>
      <c r="I103" s="627">
        <f t="shared" si="30"/>
        <v>0</v>
      </c>
      <c r="J103" s="789"/>
      <c r="K103" s="790"/>
      <c r="L103" s="625">
        <f>J103+K103</f>
        <v>0</v>
      </c>
      <c r="M103" s="625">
        <v>0</v>
      </c>
      <c r="N103" s="628"/>
      <c r="O103" s="628"/>
      <c r="P103" s="625">
        <v>0</v>
      </c>
      <c r="Q103" s="625"/>
      <c r="R103" s="625"/>
      <c r="S103" s="789">
        <f t="shared" si="31"/>
        <v>0</v>
      </c>
      <c r="T103" s="629" t="str">
        <f>IFERROR((S103/G103),"")</f>
        <v/>
      </c>
      <c r="U103" s="791" t="str">
        <f t="shared" si="32"/>
        <v/>
      </c>
      <c r="V103" s="631"/>
      <c r="W103" s="625">
        <f>I103-V103</f>
        <v>0</v>
      </c>
      <c r="X103" s="792"/>
      <c r="Z103" s="616"/>
      <c r="AA103" s="617"/>
      <c r="AB103" s="625"/>
      <c r="AC103" s="633"/>
      <c r="AF103" s="625">
        <v>0</v>
      </c>
    </row>
    <row r="104" spans="3:32" ht="18" customHeight="1">
      <c r="D104" s="795" t="s">
        <v>812</v>
      </c>
      <c r="E104" s="795"/>
      <c r="F104" s="612">
        <f>SUM(F102:F103)</f>
        <v>0</v>
      </c>
      <c r="G104" s="612">
        <f>SUM(G102:G103)</f>
        <v>0</v>
      </c>
      <c r="H104" s="612">
        <f>SUM(H102:H103)</f>
        <v>0</v>
      </c>
      <c r="I104" s="612"/>
      <c r="J104" s="612">
        <f t="shared" ref="J104:Q104" si="33">SUM(J102:J103)</f>
        <v>0</v>
      </c>
      <c r="K104" s="612">
        <f t="shared" si="33"/>
        <v>0</v>
      </c>
      <c r="L104" s="612">
        <f t="shared" si="33"/>
        <v>0</v>
      </c>
      <c r="M104" s="612">
        <f t="shared" si="33"/>
        <v>0</v>
      </c>
      <c r="N104" s="612">
        <f t="shared" si="33"/>
        <v>0</v>
      </c>
      <c r="O104" s="612">
        <f t="shared" si="33"/>
        <v>0</v>
      </c>
      <c r="P104" s="612">
        <f t="shared" si="33"/>
        <v>0</v>
      </c>
      <c r="Q104" s="612">
        <f t="shared" si="33"/>
        <v>0</v>
      </c>
      <c r="R104" s="612"/>
      <c r="S104" s="612">
        <f>SUM(S102:S103)</f>
        <v>0</v>
      </c>
      <c r="T104" s="612">
        <f>SUM(T102:T103)</f>
        <v>0</v>
      </c>
      <c r="U104" s="635"/>
      <c r="V104" s="636">
        <f>SUM(V102:V103)</f>
        <v>0</v>
      </c>
      <c r="W104" s="612"/>
      <c r="X104" s="615"/>
      <c r="AA104" s="598"/>
      <c r="AB104" s="612">
        <v>0</v>
      </c>
      <c r="AC104" s="618"/>
      <c r="AF104" s="612">
        <v>0</v>
      </c>
    </row>
    <row r="105" spans="3:32" ht="18" customHeight="1">
      <c r="D105" s="634"/>
      <c r="E105" s="797" t="s">
        <v>813</v>
      </c>
      <c r="F105" s="669"/>
      <c r="G105" s="669"/>
      <c r="H105" s="669"/>
      <c r="I105" s="669"/>
      <c r="J105" s="669"/>
      <c r="K105" s="669"/>
      <c r="L105" s="669"/>
      <c r="M105" s="669"/>
      <c r="N105" s="669"/>
      <c r="O105" s="669"/>
      <c r="P105" s="669"/>
      <c r="Q105" s="669"/>
      <c r="R105" s="669"/>
      <c r="S105" s="669"/>
      <c r="T105" s="669" t="str">
        <f>IFERROR((S105/I105),"")</f>
        <v/>
      </c>
      <c r="U105" s="671"/>
      <c r="V105" s="670"/>
      <c r="W105" s="669"/>
      <c r="X105" s="620"/>
      <c r="AA105" s="598"/>
      <c r="AB105" s="669"/>
      <c r="AC105" s="664"/>
      <c r="AF105" s="669"/>
    </row>
    <row r="106" spans="3:32" ht="18" customHeight="1">
      <c r="C106" s="634" t="s">
        <v>814</v>
      </c>
      <c r="D106" s="788" t="s">
        <v>815</v>
      </c>
      <c r="E106" s="787" t="s">
        <v>816</v>
      </c>
      <c r="F106" s="625">
        <v>0</v>
      </c>
      <c r="G106" s="626"/>
      <c r="H106" s="626"/>
      <c r="I106" s="627">
        <f t="shared" ref="I106:I107" si="34">G106+H106</f>
        <v>0</v>
      </c>
      <c r="J106" s="789"/>
      <c r="K106" s="790"/>
      <c r="L106" s="625">
        <f>J106+K106</f>
        <v>0</v>
      </c>
      <c r="M106" s="628"/>
      <c r="N106" s="625">
        <v>0</v>
      </c>
      <c r="O106" s="625">
        <v>0</v>
      </c>
      <c r="P106" s="628"/>
      <c r="Q106" s="625"/>
      <c r="R106" s="625"/>
      <c r="S106" s="789">
        <f t="shared" ref="S106:S107" si="35">J106+K106</f>
        <v>0</v>
      </c>
      <c r="T106" s="629" t="str">
        <f>IFERROR((S106/G106),"")</f>
        <v/>
      </c>
      <c r="U106" s="791" t="str">
        <f t="shared" ref="U106:U107" si="36">IFERROR(+S106/$S$69,"")</f>
        <v/>
      </c>
      <c r="V106" s="631"/>
      <c r="W106" s="625">
        <f>I106-V106</f>
        <v>0</v>
      </c>
      <c r="X106" s="792"/>
      <c r="Z106" s="616"/>
      <c r="AA106" s="617"/>
      <c r="AB106" s="625"/>
      <c r="AC106" s="633"/>
      <c r="AF106" s="625">
        <v>0</v>
      </c>
    </row>
    <row r="107" spans="3:32" ht="18" customHeight="1">
      <c r="C107" s="634" t="s">
        <v>817</v>
      </c>
      <c r="D107" s="788" t="s">
        <v>818</v>
      </c>
      <c r="E107" s="787" t="s">
        <v>819</v>
      </c>
      <c r="F107" s="625">
        <v>0</v>
      </c>
      <c r="G107" s="626"/>
      <c r="H107" s="626"/>
      <c r="I107" s="627">
        <f t="shared" si="34"/>
        <v>0</v>
      </c>
      <c r="J107" s="789"/>
      <c r="K107" s="790"/>
      <c r="L107" s="625">
        <f>J107+K107</f>
        <v>0</v>
      </c>
      <c r="M107" s="628"/>
      <c r="N107" s="625">
        <v>0</v>
      </c>
      <c r="O107" s="625">
        <v>0</v>
      </c>
      <c r="P107" s="628"/>
      <c r="Q107" s="625"/>
      <c r="R107" s="625"/>
      <c r="S107" s="789">
        <f t="shared" si="35"/>
        <v>0</v>
      </c>
      <c r="T107" s="629" t="str">
        <f>IFERROR((S107/G107),"")</f>
        <v/>
      </c>
      <c r="U107" s="791" t="str">
        <f t="shared" si="36"/>
        <v/>
      </c>
      <c r="V107" s="631"/>
      <c r="W107" s="625">
        <f>I107-V107</f>
        <v>0</v>
      </c>
      <c r="X107" s="792"/>
      <c r="Z107" s="616"/>
      <c r="AA107" s="617"/>
      <c r="AB107" s="625"/>
      <c r="AC107" s="633"/>
      <c r="AF107" s="625">
        <v>0</v>
      </c>
    </row>
    <row r="108" spans="3:32" ht="18" customHeight="1">
      <c r="D108" s="795" t="s">
        <v>820</v>
      </c>
      <c r="E108" s="795"/>
      <c r="F108" s="612">
        <f t="shared" ref="F108:Q108" si="37">SUM(F106:F107)</f>
        <v>0</v>
      </c>
      <c r="G108" s="612">
        <f t="shared" si="37"/>
        <v>0</v>
      </c>
      <c r="H108" s="612">
        <f t="shared" si="37"/>
        <v>0</v>
      </c>
      <c r="I108" s="612">
        <f t="shared" si="37"/>
        <v>0</v>
      </c>
      <c r="J108" s="785">
        <f t="shared" si="37"/>
        <v>0</v>
      </c>
      <c r="K108" s="612">
        <f t="shared" si="37"/>
        <v>0</v>
      </c>
      <c r="L108" s="612">
        <f t="shared" si="37"/>
        <v>0</v>
      </c>
      <c r="M108" s="612">
        <f t="shared" si="37"/>
        <v>0</v>
      </c>
      <c r="N108" s="612">
        <f t="shared" si="37"/>
        <v>0</v>
      </c>
      <c r="O108" s="612">
        <f t="shared" si="37"/>
        <v>0</v>
      </c>
      <c r="P108" s="612">
        <f t="shared" si="37"/>
        <v>0</v>
      </c>
      <c r="Q108" s="612">
        <f t="shared" si="37"/>
        <v>0</v>
      </c>
      <c r="R108" s="612"/>
      <c r="S108" s="785">
        <f>SUM(S106:S107)</f>
        <v>0</v>
      </c>
      <c r="T108" s="612">
        <f>SUM(T106:T107)</f>
        <v>0</v>
      </c>
      <c r="U108" s="635"/>
      <c r="V108" s="636">
        <f>SUM(V106:V107)</f>
        <v>0</v>
      </c>
      <c r="W108" s="612">
        <f>SUM(W106:W107)</f>
        <v>0</v>
      </c>
      <c r="X108" s="615"/>
      <c r="AA108" s="598"/>
      <c r="AB108" s="612">
        <v>0</v>
      </c>
      <c r="AC108" s="618"/>
      <c r="AF108" s="612">
        <v>0</v>
      </c>
    </row>
    <row r="109" spans="3:32" ht="18" customHeight="1">
      <c r="D109" s="672"/>
      <c r="F109" s="673"/>
      <c r="G109" s="673"/>
      <c r="H109" s="673"/>
      <c r="I109" s="673"/>
      <c r="U109" s="674"/>
      <c r="X109" s="696"/>
    </row>
    <row r="110" spans="3:32" ht="18" customHeight="1">
      <c r="D110" s="795" t="s">
        <v>821</v>
      </c>
      <c r="E110" s="795"/>
      <c r="F110" s="612">
        <f t="shared" ref="F110:Q110" si="38">F104-F108</f>
        <v>0</v>
      </c>
      <c r="G110" s="612">
        <f t="shared" si="38"/>
        <v>0</v>
      </c>
      <c r="H110" s="612">
        <f t="shared" si="38"/>
        <v>0</v>
      </c>
      <c r="I110" s="612">
        <f t="shared" si="38"/>
        <v>0</v>
      </c>
      <c r="J110" s="785">
        <f t="shared" si="38"/>
        <v>0</v>
      </c>
      <c r="K110" s="612">
        <f t="shared" si="38"/>
        <v>0</v>
      </c>
      <c r="L110" s="612">
        <f t="shared" si="38"/>
        <v>0</v>
      </c>
      <c r="M110" s="612">
        <f t="shared" si="38"/>
        <v>0</v>
      </c>
      <c r="N110" s="612">
        <f t="shared" si="38"/>
        <v>0</v>
      </c>
      <c r="O110" s="612">
        <f t="shared" si="38"/>
        <v>0</v>
      </c>
      <c r="P110" s="612">
        <f t="shared" si="38"/>
        <v>0</v>
      </c>
      <c r="Q110" s="612">
        <f t="shared" si="38"/>
        <v>0</v>
      </c>
      <c r="R110" s="612"/>
      <c r="S110" s="785">
        <f>S104-S108</f>
        <v>0</v>
      </c>
      <c r="T110" s="612">
        <f>T104-T108</f>
        <v>0</v>
      </c>
      <c r="U110" s="635"/>
      <c r="V110" s="636">
        <f>V104-V108</f>
        <v>0</v>
      </c>
      <c r="W110" s="612">
        <f>W104-W108</f>
        <v>0</v>
      </c>
      <c r="X110" s="648"/>
      <c r="AA110" s="598"/>
      <c r="AB110" s="612">
        <v>0</v>
      </c>
      <c r="AC110" s="618"/>
      <c r="AF110" s="612">
        <v>0</v>
      </c>
    </row>
    <row r="111" spans="3:32" ht="18" customHeight="1">
      <c r="D111" s="634"/>
      <c r="E111" s="624"/>
      <c r="F111" s="658"/>
      <c r="G111" s="658"/>
      <c r="H111" s="658"/>
      <c r="I111" s="658"/>
      <c r="J111" s="658"/>
      <c r="K111" s="658"/>
      <c r="L111" s="658"/>
      <c r="M111" s="658"/>
      <c r="N111" s="658"/>
      <c r="O111" s="658"/>
      <c r="P111" s="658"/>
      <c r="Q111" s="658"/>
      <c r="R111" s="658"/>
      <c r="S111" s="658"/>
      <c r="T111" s="658"/>
      <c r="U111" s="638"/>
      <c r="V111" s="659"/>
      <c r="W111" s="658"/>
      <c r="X111" s="620"/>
      <c r="Z111" s="616"/>
      <c r="AA111" s="617"/>
      <c r="AB111" s="658"/>
      <c r="AC111" s="660"/>
      <c r="AF111" s="658"/>
    </row>
    <row r="112" spans="3:32" ht="18" customHeight="1">
      <c r="D112" s="795" t="s">
        <v>822</v>
      </c>
      <c r="E112" s="795"/>
      <c r="F112" s="612">
        <f t="shared" ref="F112:Q112" si="39">F100+F110</f>
        <v>0</v>
      </c>
      <c r="G112" s="612">
        <f t="shared" si="39"/>
        <v>0</v>
      </c>
      <c r="H112" s="612">
        <f t="shared" si="39"/>
        <v>0</v>
      </c>
      <c r="I112" s="612">
        <f t="shared" si="39"/>
        <v>0</v>
      </c>
      <c r="J112" s="785">
        <f t="shared" si="39"/>
        <v>0</v>
      </c>
      <c r="K112" s="612">
        <f t="shared" si="39"/>
        <v>0</v>
      </c>
      <c r="L112" s="612">
        <f t="shared" si="39"/>
        <v>0</v>
      </c>
      <c r="M112" s="612">
        <f t="shared" si="39"/>
        <v>0</v>
      </c>
      <c r="N112" s="612">
        <f t="shared" si="39"/>
        <v>0</v>
      </c>
      <c r="O112" s="612">
        <f t="shared" si="39"/>
        <v>0</v>
      </c>
      <c r="P112" s="612">
        <f t="shared" si="39"/>
        <v>0</v>
      </c>
      <c r="Q112" s="612">
        <f t="shared" si="39"/>
        <v>0</v>
      </c>
      <c r="R112" s="612"/>
      <c r="S112" s="785">
        <f>S100+S110</f>
        <v>0</v>
      </c>
      <c r="T112" s="612">
        <f>T100+T110</f>
        <v>0</v>
      </c>
      <c r="U112" s="635"/>
      <c r="V112" s="636">
        <f>V100+V110</f>
        <v>0</v>
      </c>
      <c r="W112" s="612">
        <f>W100+W110</f>
        <v>0</v>
      </c>
      <c r="X112" s="648"/>
      <c r="AA112" s="598"/>
      <c r="AB112" s="612">
        <v>0</v>
      </c>
      <c r="AC112" s="618"/>
      <c r="AF112" s="612">
        <v>0</v>
      </c>
    </row>
    <row r="113" spans="1:34">
      <c r="U113" s="667"/>
    </row>
    <row r="114" spans="1:34">
      <c r="U114" s="667"/>
    </row>
    <row r="115" spans="1:34" ht="23.5">
      <c r="D115" s="798" t="s">
        <v>823</v>
      </c>
      <c r="E115" s="650"/>
      <c r="F115" s="676"/>
      <c r="G115" s="676"/>
      <c r="H115" s="676"/>
      <c r="I115" s="676"/>
      <c r="J115" s="650"/>
      <c r="K115" s="650"/>
      <c r="L115" s="650"/>
      <c r="M115" s="650"/>
      <c r="N115" s="650"/>
      <c r="O115" s="650"/>
      <c r="P115" s="650"/>
      <c r="Q115" s="650"/>
      <c r="R115" s="650"/>
      <c r="S115" s="650"/>
      <c r="T115" s="650"/>
      <c r="U115" s="768"/>
      <c r="V115" s="650"/>
      <c r="W115" s="650"/>
      <c r="X115" s="756"/>
    </row>
    <row r="116" spans="1:34" ht="12" customHeight="1">
      <c r="D116" s="654"/>
      <c r="E116" s="655"/>
      <c r="F116" s="656"/>
      <c r="G116" s="657"/>
      <c r="H116" s="657"/>
      <c r="I116" s="657"/>
      <c r="J116" s="657"/>
      <c r="K116" s="657"/>
      <c r="L116" s="657"/>
      <c r="M116" s="657"/>
      <c r="N116" s="657"/>
      <c r="O116" s="657"/>
      <c r="P116" s="657"/>
      <c r="Q116" s="657"/>
      <c r="R116" s="657"/>
      <c r="S116" s="657"/>
      <c r="T116" s="657"/>
      <c r="U116" s="769"/>
      <c r="V116" s="657"/>
      <c r="W116" s="657"/>
      <c r="X116" s="649"/>
      <c r="Z116" s="616"/>
      <c r="AA116" s="617"/>
      <c r="AB116" s="657"/>
      <c r="AC116" s="622"/>
      <c r="AF116" s="657"/>
    </row>
    <row r="117" spans="1:34" ht="18" hidden="1">
      <c r="D117" s="654"/>
      <c r="E117" s="592"/>
      <c r="F117" s="644"/>
      <c r="G117" s="644"/>
      <c r="H117" s="644"/>
      <c r="I117" s="644"/>
      <c r="J117" s="644"/>
      <c r="K117" s="644"/>
      <c r="L117" s="644"/>
      <c r="M117" s="644"/>
      <c r="N117" s="644"/>
      <c r="O117" s="644"/>
      <c r="P117" s="644"/>
      <c r="Q117" s="644"/>
      <c r="R117" s="644"/>
      <c r="S117" s="644"/>
      <c r="T117" s="644"/>
      <c r="U117" s="646"/>
      <c r="V117" s="644"/>
      <c r="W117" s="644"/>
      <c r="X117" s="649"/>
      <c r="AA117" s="598"/>
      <c r="AB117" s="622"/>
      <c r="AC117" s="622"/>
      <c r="AF117" s="622"/>
    </row>
    <row r="118" spans="1:34" ht="18" customHeight="1">
      <c r="D118" s="677"/>
      <c r="E118" s="797" t="s">
        <v>824</v>
      </c>
      <c r="F118" s="678"/>
      <c r="G118" s="679"/>
      <c r="H118" s="678"/>
      <c r="I118" s="678"/>
      <c r="J118" s="678"/>
      <c r="K118" s="678"/>
      <c r="L118" s="678"/>
      <c r="M118" s="678"/>
      <c r="N118" s="678"/>
      <c r="O118" s="678"/>
      <c r="P118" s="678"/>
      <c r="Q118" s="678"/>
      <c r="R118" s="678"/>
      <c r="S118" s="678"/>
      <c r="T118" s="678"/>
      <c r="U118" s="680"/>
      <c r="V118" s="681"/>
      <c r="W118" s="678"/>
      <c r="X118" s="678"/>
      <c r="AA118" s="598"/>
      <c r="AB118" s="682"/>
      <c r="AC118" s="668"/>
      <c r="AF118" s="682"/>
    </row>
    <row r="119" spans="1:34" ht="18" customHeight="1">
      <c r="C119" s="634"/>
      <c r="D119" s="788" t="s">
        <v>825</v>
      </c>
      <c r="E119" s="787" t="s">
        <v>826</v>
      </c>
      <c r="F119" s="625">
        <f>F73</f>
        <v>0</v>
      </c>
      <c r="G119" s="626"/>
      <c r="H119" s="626"/>
      <c r="I119" s="626"/>
      <c r="J119" s="789">
        <f>J73</f>
        <v>0</v>
      </c>
      <c r="K119" s="789">
        <f>K73</f>
        <v>0</v>
      </c>
      <c r="L119" s="625">
        <f>J119+K119</f>
        <v>0</v>
      </c>
      <c r="M119" s="625"/>
      <c r="N119" s="625"/>
      <c r="O119" s="625"/>
      <c r="P119" s="625"/>
      <c r="Q119" s="625" t="e">
        <f>SUMIF(#REF!,D119,#REF!)</f>
        <v>#REF!</v>
      </c>
      <c r="R119" s="625"/>
      <c r="S119" s="789">
        <f>S73</f>
        <v>0</v>
      </c>
      <c r="T119" s="629" t="str">
        <f>IFERROR((S119/G119),"")</f>
        <v/>
      </c>
      <c r="U119" s="791" t="str">
        <f>IFERROR(+S119/S30,"")</f>
        <v/>
      </c>
      <c r="V119" s="621">
        <f>V73</f>
        <v>0</v>
      </c>
      <c r="W119" s="627">
        <f>I119-V119</f>
        <v>0</v>
      </c>
      <c r="X119" s="792"/>
      <c r="AA119" s="598"/>
      <c r="AB119" s="625">
        <v>0</v>
      </c>
      <c r="AC119" s="633"/>
      <c r="AF119" s="625">
        <v>0</v>
      </c>
    </row>
    <row r="120" spans="1:34" ht="18" customHeight="1">
      <c r="C120" s="634"/>
      <c r="D120" s="788" t="s">
        <v>827</v>
      </c>
      <c r="E120" s="787" t="s">
        <v>828</v>
      </c>
      <c r="F120" s="625"/>
      <c r="G120" s="626"/>
      <c r="H120" s="626"/>
      <c r="I120" s="626"/>
      <c r="J120" s="625"/>
      <c r="K120" s="580"/>
      <c r="L120" s="625">
        <f>J120+K120</f>
        <v>0</v>
      </c>
      <c r="M120" s="625"/>
      <c r="N120" s="625"/>
      <c r="O120" s="625"/>
      <c r="P120" s="625"/>
      <c r="Q120" s="625" t="e">
        <f>SUMIF(#REF!,D120,#REF!)</f>
        <v>#REF!</v>
      </c>
      <c r="R120" s="625"/>
      <c r="S120" s="789"/>
      <c r="T120" s="629" t="str">
        <f>IFERROR((S120/G120),"")</f>
        <v/>
      </c>
      <c r="U120" s="791"/>
      <c r="V120" s="621"/>
      <c r="W120" s="627">
        <f>I120-V120</f>
        <v>0</v>
      </c>
      <c r="X120" s="792"/>
      <c r="AA120" s="598"/>
      <c r="AB120" s="625"/>
      <c r="AC120" s="633"/>
      <c r="AF120" s="625">
        <v>0</v>
      </c>
    </row>
    <row r="121" spans="1:34" ht="18" customHeight="1">
      <c r="C121" s="634"/>
      <c r="D121" s="788" t="s">
        <v>829</v>
      </c>
      <c r="E121" s="787" t="s">
        <v>830</v>
      </c>
      <c r="F121" s="625">
        <f>F96</f>
        <v>0</v>
      </c>
      <c r="G121" s="626"/>
      <c r="H121" s="683"/>
      <c r="I121" s="683"/>
      <c r="J121" s="789">
        <f>J96</f>
        <v>0</v>
      </c>
      <c r="K121" s="789">
        <f>K96</f>
        <v>0</v>
      </c>
      <c r="L121" s="625">
        <f>J121+K121</f>
        <v>0</v>
      </c>
      <c r="M121" s="625"/>
      <c r="N121" s="625"/>
      <c r="O121" s="625"/>
      <c r="P121" s="625"/>
      <c r="Q121" s="625" t="e">
        <f>SUMIF(#REF!,D121,#REF!)</f>
        <v>#REF!</v>
      </c>
      <c r="R121" s="625"/>
      <c r="S121" s="789">
        <f>S96</f>
        <v>0</v>
      </c>
      <c r="T121" s="629" t="str">
        <f>IFERROR((S121/G121),"")</f>
        <v/>
      </c>
      <c r="U121" s="791" t="str">
        <f>IFERROR(+S121/S82,"")</f>
        <v/>
      </c>
      <c r="V121" s="621">
        <f>V96</f>
        <v>0</v>
      </c>
      <c r="W121" s="627">
        <f>I121-V121</f>
        <v>0</v>
      </c>
      <c r="X121" s="792"/>
      <c r="AA121" s="598"/>
      <c r="AB121" s="625">
        <v>0</v>
      </c>
      <c r="AC121" s="633"/>
      <c r="AF121" s="625">
        <v>0</v>
      </c>
    </row>
    <row r="122" spans="1:34" ht="18" customHeight="1">
      <c r="C122" s="634"/>
      <c r="D122" s="788" t="s">
        <v>831</v>
      </c>
      <c r="E122" s="787" t="s">
        <v>832</v>
      </c>
      <c r="F122" s="625"/>
      <c r="G122" s="626"/>
      <c r="H122" s="626"/>
      <c r="I122" s="626"/>
      <c r="J122" s="625"/>
      <c r="K122" s="580"/>
      <c r="L122" s="625">
        <f>J122+K122</f>
        <v>0</v>
      </c>
      <c r="M122" s="625"/>
      <c r="N122" s="625"/>
      <c r="O122" s="625"/>
      <c r="P122" s="625"/>
      <c r="Q122" s="625" t="e">
        <f>SUMIF(#REF!,D122,#REF!)</f>
        <v>#REF!</v>
      </c>
      <c r="R122" s="625"/>
      <c r="S122" s="789"/>
      <c r="T122" s="629" t="str">
        <f>IFERROR((S122/G122),"")</f>
        <v/>
      </c>
      <c r="U122" s="791"/>
      <c r="V122" s="621"/>
      <c r="W122" s="627">
        <f>I122-V122</f>
        <v>0</v>
      </c>
      <c r="X122" s="792"/>
      <c r="AA122" s="598"/>
      <c r="AB122" s="625"/>
      <c r="AC122" s="633"/>
      <c r="AF122" s="625"/>
    </row>
    <row r="123" spans="1:34" ht="18" customHeight="1">
      <c r="C123" s="634"/>
      <c r="D123" s="788" t="s">
        <v>833</v>
      </c>
      <c r="E123" s="787" t="s">
        <v>834</v>
      </c>
      <c r="F123" s="625">
        <f>F112</f>
        <v>0</v>
      </c>
      <c r="G123" s="626"/>
      <c r="H123" s="683"/>
      <c r="I123" s="683"/>
      <c r="J123" s="625"/>
      <c r="K123" s="580"/>
      <c r="L123" s="625"/>
      <c r="M123" s="625"/>
      <c r="N123" s="625"/>
      <c r="O123" s="625"/>
      <c r="P123" s="683"/>
      <c r="Q123" s="683"/>
      <c r="R123" s="683"/>
      <c r="S123" s="789">
        <f>S112</f>
        <v>0</v>
      </c>
      <c r="T123" s="629" t="str">
        <f>IFERROR((S123/G123),"")</f>
        <v/>
      </c>
      <c r="U123" s="791"/>
      <c r="V123" s="621">
        <f>V112</f>
        <v>0</v>
      </c>
      <c r="W123" s="627">
        <f>I123-V123</f>
        <v>0</v>
      </c>
      <c r="X123" s="792"/>
      <c r="AA123" s="598"/>
      <c r="AB123" s="625">
        <v>0</v>
      </c>
      <c r="AC123" s="633"/>
      <c r="AF123" s="625">
        <v>0</v>
      </c>
    </row>
    <row r="124" spans="1:34" ht="18" customHeight="1">
      <c r="D124" s="795" t="s">
        <v>835</v>
      </c>
      <c r="E124" s="795"/>
      <c r="F124" s="612">
        <f>SUM(F119:F123)</f>
        <v>0</v>
      </c>
      <c r="G124" s="612">
        <f>SUM(G119:G123)</f>
        <v>0</v>
      </c>
      <c r="H124" s="612">
        <f t="shared" ref="H124:W124" si="40">SUM(H119:H123)</f>
        <v>0</v>
      </c>
      <c r="I124" s="612">
        <f t="shared" si="40"/>
        <v>0</v>
      </c>
      <c r="J124" s="785">
        <f t="shared" si="40"/>
        <v>0</v>
      </c>
      <c r="K124" s="785">
        <f t="shared" si="40"/>
        <v>0</v>
      </c>
      <c r="L124" s="785">
        <f t="shared" si="40"/>
        <v>0</v>
      </c>
      <c r="M124" s="785">
        <f t="shared" si="40"/>
        <v>0</v>
      </c>
      <c r="N124" s="785">
        <f t="shared" si="40"/>
        <v>0</v>
      </c>
      <c r="O124" s="785">
        <f t="shared" si="40"/>
        <v>0</v>
      </c>
      <c r="P124" s="785">
        <f t="shared" si="40"/>
        <v>0</v>
      </c>
      <c r="Q124" s="785" t="e">
        <f t="shared" si="40"/>
        <v>#REF!</v>
      </c>
      <c r="R124" s="785"/>
      <c r="S124" s="785">
        <f t="shared" si="40"/>
        <v>0</v>
      </c>
      <c r="T124" s="612"/>
      <c r="U124" s="635"/>
      <c r="V124" s="636">
        <f>SUM(V119:V123)</f>
        <v>0</v>
      </c>
      <c r="W124" s="612">
        <f t="shared" si="40"/>
        <v>0</v>
      </c>
      <c r="X124" s="648"/>
      <c r="AA124" s="598"/>
      <c r="AB124" s="612">
        <v>0</v>
      </c>
      <c r="AC124" s="618"/>
      <c r="AF124" s="612">
        <v>0</v>
      </c>
      <c r="AG124" s="618"/>
      <c r="AH124" s="618"/>
    </row>
    <row r="125" spans="1:34">
      <c r="D125" s="771"/>
      <c r="E125" s="650"/>
      <c r="F125" s="676"/>
      <c r="G125" s="676"/>
      <c r="H125" s="676"/>
      <c r="I125" s="676"/>
      <c r="J125" s="676"/>
      <c r="K125" s="676"/>
      <c r="L125" s="676"/>
      <c r="M125" s="676"/>
      <c r="N125" s="676"/>
      <c r="O125" s="676"/>
      <c r="P125" s="676"/>
      <c r="Q125" s="676"/>
      <c r="R125" s="676"/>
      <c r="S125" s="676"/>
      <c r="T125" s="676"/>
      <c r="U125" s="676"/>
      <c r="V125" s="676"/>
      <c r="W125" s="676"/>
      <c r="X125" s="650"/>
      <c r="AA125" s="598"/>
      <c r="AB125" s="676"/>
      <c r="AC125" s="660"/>
      <c r="AF125" s="676">
        <v>0</v>
      </c>
      <c r="AG125" s="660"/>
      <c r="AH125" s="660"/>
    </row>
    <row r="126" spans="1:34" s="616" customFormat="1">
      <c r="A126" s="471"/>
      <c r="D126" s="675"/>
      <c r="E126" s="684"/>
      <c r="F126" s="685"/>
      <c r="G126" s="686"/>
      <c r="H126" s="686"/>
      <c r="I126" s="686"/>
      <c r="J126" s="687"/>
      <c r="K126" s="687"/>
      <c r="L126" s="687"/>
      <c r="M126" s="687"/>
      <c r="N126" s="687"/>
      <c r="O126" s="687"/>
      <c r="P126" s="687"/>
      <c r="Q126" s="687"/>
      <c r="R126" s="687"/>
      <c r="S126" s="687"/>
      <c r="T126" s="685"/>
      <c r="U126" s="685"/>
      <c r="V126" s="685"/>
      <c r="W126" s="685"/>
      <c r="X126" s="688"/>
      <c r="Z126" s="585"/>
      <c r="AA126" s="598"/>
      <c r="AB126" s="618"/>
      <c r="AC126" s="618"/>
      <c r="AD126" s="594"/>
      <c r="AE126" s="594"/>
      <c r="AF126" s="618"/>
      <c r="AG126" s="618"/>
      <c r="AH126" s="618"/>
    </row>
    <row r="127" spans="1:34" s="616" customFormat="1" ht="8.5" customHeight="1">
      <c r="A127" s="471"/>
      <c r="D127" s="672"/>
      <c r="E127" s="691"/>
      <c r="F127" s="689"/>
      <c r="G127" s="692"/>
      <c r="H127" s="692"/>
      <c r="I127" s="692"/>
      <c r="J127" s="693"/>
      <c r="K127" s="693"/>
      <c r="L127" s="693"/>
      <c r="M127" s="693"/>
      <c r="N127" s="693"/>
      <c r="O127" s="693"/>
      <c r="P127" s="693"/>
      <c r="Q127" s="693"/>
      <c r="R127" s="693"/>
      <c r="S127" s="693"/>
      <c r="T127" s="689"/>
      <c r="U127" s="689"/>
      <c r="V127" s="689"/>
      <c r="W127" s="689"/>
      <c r="X127" s="690"/>
      <c r="Z127" s="585"/>
      <c r="AA127" s="598"/>
      <c r="AB127" s="618"/>
      <c r="AC127" s="618"/>
      <c r="AD127" s="594"/>
      <c r="AE127" s="594"/>
      <c r="AF127" s="618"/>
      <c r="AG127" s="618"/>
      <c r="AH127" s="618"/>
    </row>
    <row r="128" spans="1:34" s="616" customFormat="1" ht="29.15" customHeight="1">
      <c r="A128" s="471"/>
      <c r="D128" s="672"/>
      <c r="E128" s="800" t="s">
        <v>836</v>
      </c>
      <c r="F128" s="689"/>
      <c r="G128" s="692"/>
      <c r="H128" s="692"/>
      <c r="I128" s="692"/>
      <c r="J128" s="693"/>
      <c r="K128" s="804" t="s">
        <v>837</v>
      </c>
      <c r="L128" s="805"/>
      <c r="M128" s="805"/>
      <c r="N128" s="805"/>
      <c r="O128" s="805"/>
      <c r="P128" s="805"/>
      <c r="Q128" s="805"/>
      <c r="R128" s="805"/>
      <c r="S128" s="804" t="s">
        <v>838</v>
      </c>
      <c r="T128" s="689"/>
      <c r="U128" s="689"/>
      <c r="V128" s="694" t="s">
        <v>839</v>
      </c>
      <c r="W128" s="694"/>
      <c r="X128" s="690"/>
      <c r="Z128" s="585"/>
      <c r="AA128" s="598"/>
      <c r="AB128" s="695" t="s">
        <v>840</v>
      </c>
      <c r="AD128" s="695" t="s">
        <v>841</v>
      </c>
      <c r="AE128" s="695"/>
      <c r="AF128" s="695" t="s">
        <v>842</v>
      </c>
      <c r="AG128" s="695"/>
      <c r="AH128" s="695" t="s">
        <v>843</v>
      </c>
    </row>
    <row r="129" spans="1:34">
      <c r="D129" s="672"/>
      <c r="F129" s="673"/>
      <c r="G129" s="673"/>
      <c r="H129" s="673"/>
      <c r="I129" s="673"/>
      <c r="X129" s="696"/>
    </row>
    <row r="130" spans="1:34" s="616" customFormat="1" ht="18" customHeight="1">
      <c r="A130" s="471"/>
      <c r="D130" s="697"/>
      <c r="E130" s="795" t="s">
        <v>844</v>
      </c>
      <c r="F130" s="689"/>
      <c r="H130" s="689"/>
      <c r="I130" s="689"/>
      <c r="J130" s="689"/>
      <c r="K130" s="806"/>
      <c r="L130" s="700"/>
      <c r="M130" s="700"/>
      <c r="N130" s="700"/>
      <c r="O130" s="700"/>
      <c r="P130" s="700"/>
      <c r="Q130" s="700"/>
      <c r="R130" s="700"/>
      <c r="S130" s="806"/>
      <c r="T130" s="689"/>
      <c r="U130" s="690"/>
      <c r="V130" s="792"/>
      <c r="W130" s="792"/>
      <c r="X130" s="793"/>
      <c r="Z130" s="701"/>
      <c r="AA130" s="598"/>
      <c r="AB130" s="699"/>
      <c r="AC130" s="625"/>
      <c r="AD130" s="699"/>
      <c r="AE130" s="625"/>
      <c r="AF130" s="699">
        <v>0</v>
      </c>
      <c r="AG130" s="625"/>
      <c r="AH130" s="699">
        <v>0</v>
      </c>
    </row>
    <row r="131" spans="1:34" s="616" customFormat="1" ht="18" customHeight="1">
      <c r="A131" s="471"/>
      <c r="D131" s="697"/>
      <c r="E131" s="702"/>
      <c r="F131" s="689"/>
      <c r="H131" s="689"/>
      <c r="I131" s="689"/>
      <c r="J131" s="689"/>
      <c r="K131" s="689"/>
      <c r="L131" s="689"/>
      <c r="M131" s="689"/>
      <c r="N131" s="689"/>
      <c r="O131" s="689"/>
      <c r="P131" s="689"/>
      <c r="Q131" s="689"/>
      <c r="R131" s="689"/>
      <c r="S131" s="689"/>
      <c r="T131" s="689"/>
      <c r="U131" s="689"/>
      <c r="V131" s="689"/>
      <c r="W131" s="689"/>
      <c r="X131" s="688"/>
      <c r="Z131" s="585"/>
      <c r="AA131" s="598"/>
      <c r="AB131" s="689"/>
      <c r="AC131" s="689"/>
      <c r="AD131" s="689"/>
      <c r="AE131" s="689"/>
      <c r="AF131" s="689"/>
      <c r="AG131" s="689"/>
      <c r="AH131" s="689"/>
    </row>
    <row r="132" spans="1:34" s="616" customFormat="1" ht="18" customHeight="1">
      <c r="A132" s="471"/>
      <c r="D132" s="697"/>
      <c r="E132" s="799" t="s">
        <v>845</v>
      </c>
      <c r="F132" s="689"/>
      <c r="H132" s="689"/>
      <c r="I132" s="689"/>
      <c r="J132" s="689"/>
      <c r="K132" s="689"/>
      <c r="L132" s="689"/>
      <c r="M132" s="689"/>
      <c r="N132" s="689"/>
      <c r="O132" s="689"/>
      <c r="P132" s="689"/>
      <c r="Q132" s="689"/>
      <c r="R132" s="689"/>
      <c r="S132" s="689"/>
      <c r="T132" s="689"/>
      <c r="U132" s="689"/>
      <c r="V132" s="689"/>
      <c r="W132" s="689"/>
      <c r="X132" s="727"/>
      <c r="Z132" s="585"/>
      <c r="AA132" s="598"/>
      <c r="AB132" s="689"/>
      <c r="AC132" s="689"/>
      <c r="AD132" s="689"/>
      <c r="AE132" s="689"/>
      <c r="AF132" s="689"/>
      <c r="AG132" s="689"/>
      <c r="AH132" s="689"/>
    </row>
    <row r="133" spans="1:34" s="616" customFormat="1" ht="18" customHeight="1">
      <c r="A133" s="471"/>
      <c r="D133" s="697"/>
      <c r="E133" s="801" t="s">
        <v>846</v>
      </c>
      <c r="F133" s="689"/>
      <c r="H133" s="689"/>
      <c r="I133" s="689"/>
      <c r="J133" s="692"/>
      <c r="K133" s="806"/>
      <c r="L133" s="806"/>
      <c r="M133" s="806"/>
      <c r="N133" s="806"/>
      <c r="O133" s="806"/>
      <c r="P133" s="806"/>
      <c r="Q133" s="806"/>
      <c r="R133" s="806"/>
      <c r="S133" s="806"/>
      <c r="T133" s="689"/>
      <c r="U133" s="690"/>
      <c r="V133" s="793"/>
      <c r="W133" s="793"/>
      <c r="X133" s="793"/>
      <c r="Z133" s="585"/>
      <c r="AA133" s="598"/>
      <c r="AB133" s="699"/>
      <c r="AC133" s="625"/>
      <c r="AD133" s="699"/>
      <c r="AE133" s="625"/>
      <c r="AF133" s="699">
        <v>0</v>
      </c>
      <c r="AG133" s="625"/>
      <c r="AH133" s="699">
        <v>0</v>
      </c>
    </row>
    <row r="134" spans="1:34" s="616" customFormat="1" ht="18" customHeight="1">
      <c r="A134" s="471"/>
      <c r="D134" s="697"/>
      <c r="E134" s="801" t="s">
        <v>847</v>
      </c>
      <c r="F134" s="689"/>
      <c r="H134" s="692"/>
      <c r="I134" s="692"/>
      <c r="J134" s="692"/>
      <c r="K134" s="806"/>
      <c r="L134" s="806"/>
      <c r="M134" s="806"/>
      <c r="N134" s="806"/>
      <c r="O134" s="806"/>
      <c r="P134" s="806"/>
      <c r="Q134" s="806"/>
      <c r="R134" s="806"/>
      <c r="S134" s="806"/>
      <c r="T134" s="689"/>
      <c r="U134" s="690"/>
      <c r="V134" s="793"/>
      <c r="W134" s="793"/>
      <c r="X134" s="793"/>
      <c r="Z134" s="585"/>
      <c r="AA134" s="598"/>
      <c r="AB134" s="699"/>
      <c r="AC134" s="625"/>
      <c r="AD134" s="699"/>
      <c r="AE134" s="625"/>
      <c r="AF134" s="699">
        <v>0</v>
      </c>
      <c r="AG134" s="625"/>
      <c r="AH134" s="699">
        <v>0</v>
      </c>
    </row>
    <row r="135" spans="1:34" s="616" customFormat="1" ht="18" customHeight="1">
      <c r="A135" s="471"/>
      <c r="D135" s="697"/>
      <c r="E135" s="702"/>
      <c r="F135" s="689"/>
      <c r="H135" s="692"/>
      <c r="I135" s="692"/>
      <c r="J135" s="692"/>
      <c r="K135" s="692"/>
      <c r="L135" s="692"/>
      <c r="M135" s="692"/>
      <c r="N135" s="692"/>
      <c r="O135" s="692"/>
      <c r="P135" s="692"/>
      <c r="Q135" s="692"/>
      <c r="R135" s="692"/>
      <c r="S135" s="692"/>
      <c r="T135" s="689"/>
      <c r="U135" s="689"/>
      <c r="V135" s="689"/>
      <c r="W135" s="689"/>
      <c r="X135" s="690"/>
      <c r="Z135" s="585"/>
      <c r="AA135" s="598"/>
      <c r="AB135" s="692"/>
      <c r="AC135" s="692"/>
      <c r="AD135" s="692"/>
      <c r="AE135" s="692"/>
      <c r="AF135" s="692"/>
      <c r="AG135" s="692"/>
      <c r="AH135" s="692"/>
    </row>
    <row r="136" spans="1:34" s="616" customFormat="1" ht="18" customHeight="1">
      <c r="A136" s="471"/>
      <c r="D136" s="697"/>
      <c r="E136" s="795" t="s">
        <v>848</v>
      </c>
      <c r="F136" s="689"/>
      <c r="H136" s="692"/>
      <c r="I136" s="692"/>
      <c r="J136" s="689"/>
      <c r="K136" s="785">
        <f>K130-K133+K134</f>
        <v>0</v>
      </c>
      <c r="L136" s="807"/>
      <c r="M136" s="807"/>
      <c r="N136" s="807"/>
      <c r="O136" s="807"/>
      <c r="P136" s="807"/>
      <c r="Q136" s="807"/>
      <c r="R136" s="807"/>
      <c r="S136" s="785">
        <f>S130-S133+S134</f>
        <v>0</v>
      </c>
      <c r="T136" s="689"/>
      <c r="U136" s="689"/>
      <c r="V136" s="689"/>
      <c r="W136" s="689"/>
      <c r="X136" s="690"/>
      <c r="Z136" s="585"/>
      <c r="AA136" s="598"/>
      <c r="AB136" s="612">
        <v>0</v>
      </c>
      <c r="AC136" s="704"/>
      <c r="AD136" s="612">
        <v>0</v>
      </c>
      <c r="AE136" s="704"/>
      <c r="AF136" s="612">
        <v>0</v>
      </c>
      <c r="AG136" s="704"/>
      <c r="AH136" s="612">
        <v>0</v>
      </c>
    </row>
    <row r="137" spans="1:34" s="616" customFormat="1" ht="18" customHeight="1">
      <c r="A137" s="471"/>
      <c r="D137" s="697"/>
      <c r="E137" s="702"/>
      <c r="F137" s="689"/>
      <c r="H137" s="689"/>
      <c r="I137" s="689"/>
      <c r="J137" s="692"/>
      <c r="K137" s="689"/>
      <c r="L137" s="689"/>
      <c r="M137" s="689"/>
      <c r="N137" s="689"/>
      <c r="O137" s="689"/>
      <c r="P137" s="689"/>
      <c r="Q137" s="689"/>
      <c r="R137" s="689"/>
      <c r="S137" s="689"/>
      <c r="T137" s="689"/>
      <c r="U137" s="689"/>
      <c r="V137" s="689"/>
      <c r="W137" s="689"/>
      <c r="X137" s="690"/>
      <c r="Z137" s="585"/>
      <c r="AA137" s="598"/>
      <c r="AB137" s="689"/>
      <c r="AC137" s="689"/>
      <c r="AD137" s="689"/>
      <c r="AE137" s="689"/>
      <c r="AF137" s="689"/>
      <c r="AG137" s="689"/>
      <c r="AH137" s="689"/>
    </row>
    <row r="138" spans="1:34" s="616" customFormat="1" ht="18" customHeight="1">
      <c r="A138" s="471"/>
      <c r="D138" s="697"/>
      <c r="E138" s="801" t="s">
        <v>849</v>
      </c>
      <c r="F138" s="689"/>
      <c r="H138" s="692"/>
      <c r="I138" s="692"/>
      <c r="J138" s="692"/>
      <c r="K138" s="806"/>
      <c r="L138" s="700"/>
      <c r="M138" s="700"/>
      <c r="N138" s="700"/>
      <c r="O138" s="700"/>
      <c r="P138" s="700"/>
      <c r="Q138" s="700"/>
      <c r="R138" s="700"/>
      <c r="S138" s="705"/>
      <c r="T138" s="689"/>
      <c r="U138" s="690"/>
      <c r="V138" s="793"/>
      <c r="W138" s="793"/>
      <c r="X138" s="793"/>
      <c r="Z138" s="585"/>
      <c r="AA138" s="598"/>
      <c r="AB138" s="699"/>
      <c r="AC138" s="625"/>
      <c r="AD138" s="705"/>
      <c r="AE138" s="625"/>
      <c r="AF138" s="699">
        <v>0</v>
      </c>
      <c r="AG138" s="625"/>
      <c r="AH138" s="705"/>
    </row>
    <row r="139" spans="1:34" s="616" customFormat="1" ht="18" customHeight="1">
      <c r="A139" s="471"/>
      <c r="D139" s="697"/>
      <c r="E139" s="801" t="s">
        <v>850</v>
      </c>
      <c r="F139" s="689"/>
      <c r="H139" s="692"/>
      <c r="I139" s="692"/>
      <c r="J139" s="692"/>
      <c r="K139" s="806"/>
      <c r="L139" s="700"/>
      <c r="M139" s="700"/>
      <c r="N139" s="700"/>
      <c r="O139" s="700"/>
      <c r="P139" s="700"/>
      <c r="Q139" s="700"/>
      <c r="R139" s="700"/>
      <c r="S139" s="705"/>
      <c r="T139" s="689"/>
      <c r="U139" s="690"/>
      <c r="V139" s="793"/>
      <c r="W139" s="793"/>
      <c r="X139" s="793"/>
      <c r="Z139" s="585"/>
      <c r="AA139" s="598"/>
      <c r="AB139" s="699"/>
      <c r="AC139" s="625"/>
      <c r="AD139" s="705"/>
      <c r="AE139" s="625"/>
      <c r="AF139" s="699">
        <v>0</v>
      </c>
      <c r="AG139" s="625"/>
      <c r="AH139" s="705"/>
    </row>
    <row r="140" spans="1:34" s="616" customFormat="1" ht="18" customHeight="1">
      <c r="A140" s="471"/>
      <c r="D140" s="697"/>
      <c r="E140" s="801" t="s">
        <v>851</v>
      </c>
      <c r="F140" s="689"/>
      <c r="H140" s="692"/>
      <c r="I140" s="692"/>
      <c r="J140" s="692"/>
      <c r="K140" s="806"/>
      <c r="L140" s="700"/>
      <c r="M140" s="700"/>
      <c r="N140" s="700"/>
      <c r="O140" s="700"/>
      <c r="P140" s="700"/>
      <c r="Q140" s="700"/>
      <c r="R140" s="700"/>
      <c r="S140" s="705"/>
      <c r="T140" s="689"/>
      <c r="U140" s="690"/>
      <c r="V140" s="793"/>
      <c r="W140" s="793"/>
      <c r="X140" s="793"/>
      <c r="Z140" s="585"/>
      <c r="AA140" s="598"/>
      <c r="AB140" s="699"/>
      <c r="AC140" s="625"/>
      <c r="AD140" s="705"/>
      <c r="AE140" s="625"/>
      <c r="AF140" s="699">
        <v>0</v>
      </c>
      <c r="AG140" s="625"/>
      <c r="AH140" s="705"/>
    </row>
    <row r="141" spans="1:34" s="616" customFormat="1" ht="18" customHeight="1">
      <c r="A141" s="471"/>
      <c r="D141" s="697"/>
      <c r="E141" s="801" t="s">
        <v>852</v>
      </c>
      <c r="F141" s="689"/>
      <c r="H141" s="692"/>
      <c r="I141" s="692"/>
      <c r="J141" s="692"/>
      <c r="K141" s="806"/>
      <c r="L141" s="700"/>
      <c r="M141" s="700"/>
      <c r="N141" s="700"/>
      <c r="O141" s="700"/>
      <c r="P141" s="700"/>
      <c r="Q141" s="700"/>
      <c r="R141" s="700"/>
      <c r="S141" s="705"/>
      <c r="T141" s="689"/>
      <c r="U141" s="690"/>
      <c r="V141" s="793"/>
      <c r="W141" s="793"/>
      <c r="X141" s="793"/>
      <c r="Z141" s="585"/>
      <c r="AA141" s="598"/>
      <c r="AB141" s="699"/>
      <c r="AC141" s="625"/>
      <c r="AD141" s="705"/>
      <c r="AE141" s="625"/>
      <c r="AF141" s="699">
        <v>0</v>
      </c>
      <c r="AG141" s="625"/>
      <c r="AH141" s="705"/>
    </row>
    <row r="142" spans="1:34" s="616" customFormat="1" ht="18" customHeight="1">
      <c r="A142" s="471"/>
      <c r="D142" s="697"/>
      <c r="E142" s="801" t="s">
        <v>853</v>
      </c>
      <c r="F142" s="689"/>
      <c r="H142" s="692"/>
      <c r="I142" s="692"/>
      <c r="J142" s="692"/>
      <c r="K142" s="806"/>
      <c r="L142" s="700"/>
      <c r="M142" s="700"/>
      <c r="N142" s="700"/>
      <c r="O142" s="700"/>
      <c r="P142" s="700"/>
      <c r="Q142" s="700"/>
      <c r="R142" s="700"/>
      <c r="S142" s="806">
        <f>-'1. Calculator'!Q69</f>
        <v>0</v>
      </c>
      <c r="T142" s="689"/>
      <c r="U142" s="690"/>
      <c r="V142" s="896" t="s">
        <v>854</v>
      </c>
      <c r="W142" s="897"/>
      <c r="X142" s="898"/>
      <c r="Z142" s="585"/>
      <c r="AA142" s="598"/>
      <c r="AB142" s="699"/>
      <c r="AC142" s="625"/>
      <c r="AD142" s="699">
        <v>0</v>
      </c>
      <c r="AE142" s="625"/>
      <c r="AF142" s="699">
        <v>0</v>
      </c>
      <c r="AG142" s="625"/>
      <c r="AH142" s="699">
        <v>0</v>
      </c>
    </row>
    <row r="143" spans="1:34" s="616" customFormat="1" ht="18" customHeight="1">
      <c r="A143" s="471"/>
      <c r="D143" s="697"/>
      <c r="E143" s="702"/>
      <c r="F143" s="689"/>
      <c r="H143" s="689"/>
      <c r="I143" s="689"/>
      <c r="J143" s="692"/>
      <c r="K143" s="689"/>
      <c r="L143" s="689"/>
      <c r="M143" s="689"/>
      <c r="N143" s="689"/>
      <c r="O143" s="689"/>
      <c r="P143" s="689"/>
      <c r="Q143" s="689"/>
      <c r="R143" s="689"/>
      <c r="S143" s="689"/>
      <c r="T143" s="689"/>
      <c r="U143" s="689"/>
      <c r="V143" s="689"/>
      <c r="W143" s="689"/>
      <c r="X143" s="690"/>
      <c r="Z143" s="585"/>
      <c r="AA143" s="598"/>
      <c r="AB143" s="689"/>
      <c r="AC143" s="689"/>
      <c r="AD143" s="689"/>
      <c r="AE143" s="689"/>
      <c r="AF143" s="689"/>
      <c r="AG143" s="689"/>
      <c r="AH143" s="689"/>
    </row>
    <row r="144" spans="1:34" s="616" customFormat="1" ht="18" customHeight="1">
      <c r="A144" s="471"/>
      <c r="D144" s="697"/>
      <c r="E144" s="795" t="s">
        <v>855</v>
      </c>
      <c r="F144" s="689"/>
      <c r="H144" s="689"/>
      <c r="I144" s="689"/>
      <c r="J144" s="692"/>
      <c r="K144" s="785">
        <f>SUM(K136:K142)</f>
        <v>0</v>
      </c>
      <c r="L144" s="807"/>
      <c r="M144" s="807"/>
      <c r="N144" s="807"/>
      <c r="O144" s="807"/>
      <c r="P144" s="807"/>
      <c r="Q144" s="807"/>
      <c r="R144" s="807"/>
      <c r="S144" s="785">
        <f>SUM(S136:S142)</f>
        <v>0</v>
      </c>
      <c r="T144" s="689"/>
      <c r="U144" s="689"/>
      <c r="V144" s="689"/>
      <c r="W144" s="689"/>
      <c r="X144" s="690"/>
      <c r="Z144" s="585"/>
      <c r="AA144" s="598"/>
      <c r="AB144" s="612">
        <v>0</v>
      </c>
      <c r="AC144" s="704"/>
      <c r="AD144" s="612">
        <v>0</v>
      </c>
      <c r="AE144" s="704"/>
      <c r="AF144" s="612">
        <v>0</v>
      </c>
      <c r="AG144" s="704"/>
      <c r="AH144" s="612">
        <v>0</v>
      </c>
    </row>
    <row r="145" spans="1:32" ht="18" customHeight="1">
      <c r="D145" s="672"/>
      <c r="F145" s="673"/>
      <c r="G145" s="673"/>
      <c r="H145" s="673"/>
      <c r="I145" s="673"/>
      <c r="X145" s="696"/>
    </row>
    <row r="146" spans="1:32" ht="18" hidden="1" customHeight="1">
      <c r="D146" s="672"/>
      <c r="F146" s="673"/>
      <c r="G146" s="673"/>
      <c r="H146" s="673"/>
      <c r="I146" s="673"/>
      <c r="X146" s="696"/>
    </row>
    <row r="147" spans="1:32" s="616" customFormat="1" ht="18" hidden="1" customHeight="1">
      <c r="A147" s="471"/>
      <c r="D147" s="697"/>
      <c r="E147" s="706" t="s">
        <v>856</v>
      </c>
      <c r="F147" s="689"/>
      <c r="H147" s="689"/>
      <c r="I147" s="689"/>
      <c r="J147" s="692"/>
      <c r="K147" s="693"/>
      <c r="L147" s="707"/>
      <c r="M147" s="707"/>
      <c r="N147" s="707"/>
      <c r="O147" s="707"/>
      <c r="P147" s="707"/>
      <c r="Q147" s="707"/>
      <c r="R147" s="707"/>
      <c r="S147" s="708"/>
      <c r="T147" s="689"/>
      <c r="U147" s="689"/>
      <c r="V147" s="689"/>
      <c r="W147" s="689"/>
      <c r="X147" s="690"/>
      <c r="Z147" s="585"/>
      <c r="AA147" s="598"/>
      <c r="AB147" s="709"/>
      <c r="AC147" s="618"/>
      <c r="AD147" s="594"/>
      <c r="AE147" s="594"/>
      <c r="AF147" s="709"/>
    </row>
    <row r="148" spans="1:32" s="616" customFormat="1" ht="18" hidden="1" customHeight="1">
      <c r="A148" s="471"/>
      <c r="D148" s="697"/>
      <c r="E148" s="703" t="s">
        <v>857</v>
      </c>
      <c r="F148" s="689"/>
      <c r="H148" s="689"/>
      <c r="I148" s="689"/>
      <c r="J148" s="692"/>
      <c r="K148" s="693"/>
      <c r="L148" s="710" t="s">
        <v>858</v>
      </c>
      <c r="M148" s="707"/>
      <c r="N148" s="707"/>
      <c r="O148" s="707"/>
      <c r="P148" s="707"/>
      <c r="Q148" s="707"/>
      <c r="R148" s="707"/>
      <c r="S148" s="711"/>
      <c r="V148" s="894"/>
      <c r="W148" s="895"/>
      <c r="X148" s="895"/>
      <c r="Z148" s="585"/>
      <c r="AA148" s="598"/>
      <c r="AB148" s="699"/>
      <c r="AC148" s="712"/>
      <c r="AD148" s="594"/>
      <c r="AE148" s="594"/>
      <c r="AF148" s="699">
        <v>0</v>
      </c>
    </row>
    <row r="149" spans="1:32" s="616" customFormat="1" ht="18" hidden="1" customHeight="1">
      <c r="A149" s="471"/>
      <c r="D149" s="697"/>
      <c r="E149" s="703" t="s">
        <v>859</v>
      </c>
      <c r="F149" s="689"/>
      <c r="H149" s="689"/>
      <c r="I149" s="689"/>
      <c r="J149" s="692"/>
      <c r="K149" s="693"/>
      <c r="L149" s="710" t="s">
        <v>858</v>
      </c>
      <c r="M149" s="707"/>
      <c r="N149" s="707"/>
      <c r="O149" s="707"/>
      <c r="P149" s="707"/>
      <c r="Q149" s="707"/>
      <c r="R149" s="707"/>
      <c r="S149" s="711"/>
      <c r="V149" s="894"/>
      <c r="W149" s="895"/>
      <c r="X149" s="895"/>
      <c r="Z149" s="585"/>
      <c r="AA149" s="598"/>
      <c r="AB149" s="699"/>
      <c r="AC149" s="712"/>
      <c r="AD149" s="594"/>
      <c r="AE149" s="594"/>
      <c r="AF149" s="699">
        <v>0</v>
      </c>
    </row>
    <row r="150" spans="1:32" s="616" customFormat="1" ht="18" hidden="1" customHeight="1">
      <c r="A150" s="471"/>
      <c r="D150" s="697"/>
      <c r="E150" s="703" t="s">
        <v>860</v>
      </c>
      <c r="F150" s="689"/>
      <c r="H150" s="689"/>
      <c r="I150" s="689"/>
      <c r="J150" s="692"/>
      <c r="K150" s="693"/>
      <c r="L150" s="710" t="s">
        <v>858</v>
      </c>
      <c r="M150" s="707"/>
      <c r="N150" s="707"/>
      <c r="O150" s="707"/>
      <c r="P150" s="707"/>
      <c r="Q150" s="707"/>
      <c r="R150" s="707"/>
      <c r="S150" s="711"/>
      <c r="V150" s="894"/>
      <c r="W150" s="895"/>
      <c r="X150" s="895"/>
      <c r="Z150" s="585"/>
      <c r="AA150" s="598"/>
      <c r="AB150" s="699"/>
      <c r="AC150" s="712"/>
      <c r="AD150" s="594"/>
      <c r="AE150" s="594"/>
      <c r="AF150" s="699">
        <v>0</v>
      </c>
    </row>
    <row r="151" spans="1:32" s="616" customFormat="1" ht="18" hidden="1" customHeight="1">
      <c r="A151" s="471"/>
      <c r="D151" s="697"/>
      <c r="E151" s="703" t="s">
        <v>861</v>
      </c>
      <c r="F151" s="689"/>
      <c r="H151" s="689"/>
      <c r="I151" s="689"/>
      <c r="J151" s="692"/>
      <c r="K151" s="693"/>
      <c r="L151" s="710" t="s">
        <v>858</v>
      </c>
      <c r="M151" s="707"/>
      <c r="N151" s="707"/>
      <c r="O151" s="707"/>
      <c r="P151" s="707"/>
      <c r="Q151" s="707"/>
      <c r="R151" s="707"/>
      <c r="S151" s="711"/>
      <c r="V151" s="894"/>
      <c r="W151" s="895"/>
      <c r="X151" s="895"/>
      <c r="Z151" s="585"/>
      <c r="AA151" s="598"/>
      <c r="AB151" s="699"/>
      <c r="AC151" s="712"/>
      <c r="AD151" s="594"/>
      <c r="AE151" s="594"/>
      <c r="AF151" s="699">
        <v>0</v>
      </c>
    </row>
    <row r="152" spans="1:32" s="616" customFormat="1" ht="18" hidden="1" customHeight="1">
      <c r="A152" s="471"/>
      <c r="D152" s="697"/>
      <c r="E152" s="703" t="s">
        <v>862</v>
      </c>
      <c r="F152" s="689"/>
      <c r="H152" s="689"/>
      <c r="I152" s="689"/>
      <c r="J152" s="692"/>
      <c r="K152" s="693"/>
      <c r="L152" s="710" t="s">
        <v>863</v>
      </c>
      <c r="M152" s="707"/>
      <c r="N152" s="707"/>
      <c r="O152" s="707"/>
      <c r="P152" s="707"/>
      <c r="Q152" s="707"/>
      <c r="R152" s="707"/>
      <c r="S152" s="711"/>
      <c r="V152" s="894"/>
      <c r="W152" s="895"/>
      <c r="X152" s="895"/>
      <c r="Z152" s="585"/>
      <c r="AA152" s="598"/>
      <c r="AB152" s="699"/>
      <c r="AC152" s="712"/>
      <c r="AD152" s="594"/>
      <c r="AE152" s="594"/>
      <c r="AF152" s="699">
        <v>0</v>
      </c>
    </row>
    <row r="153" spans="1:32" s="616" customFormat="1" ht="18" hidden="1" customHeight="1">
      <c r="A153" s="471"/>
      <c r="D153" s="697"/>
      <c r="E153" s="703" t="s">
        <v>864</v>
      </c>
      <c r="F153" s="689"/>
      <c r="H153" s="689"/>
      <c r="I153" s="689"/>
      <c r="J153" s="692"/>
      <c r="K153" s="693"/>
      <c r="L153" s="710" t="s">
        <v>863</v>
      </c>
      <c r="M153" s="707"/>
      <c r="N153" s="707"/>
      <c r="O153" s="707"/>
      <c r="P153" s="707"/>
      <c r="Q153" s="707"/>
      <c r="R153" s="707"/>
      <c r="S153" s="711"/>
      <c r="V153" s="894"/>
      <c r="W153" s="895"/>
      <c r="X153" s="895"/>
      <c r="Z153" s="585"/>
      <c r="AA153" s="598"/>
      <c r="AB153" s="699"/>
      <c r="AC153" s="712"/>
      <c r="AD153" s="594"/>
      <c r="AE153" s="594"/>
      <c r="AF153" s="699">
        <v>0</v>
      </c>
    </row>
    <row r="154" spans="1:32" s="616" customFormat="1" ht="18" hidden="1" customHeight="1">
      <c r="A154" s="471"/>
      <c r="D154" s="697"/>
      <c r="E154" s="703" t="s">
        <v>865</v>
      </c>
      <c r="F154" s="689"/>
      <c r="H154" s="689"/>
      <c r="I154" s="689"/>
      <c r="J154" s="692"/>
      <c r="K154" s="693"/>
      <c r="L154" s="710" t="s">
        <v>863</v>
      </c>
      <c r="M154" s="707"/>
      <c r="N154" s="707"/>
      <c r="O154" s="707"/>
      <c r="P154" s="707"/>
      <c r="Q154" s="707"/>
      <c r="R154" s="707"/>
      <c r="S154" s="711"/>
      <c r="V154" s="894"/>
      <c r="W154" s="895"/>
      <c r="X154" s="895"/>
      <c r="Z154" s="585"/>
      <c r="AA154" s="598"/>
      <c r="AB154" s="699"/>
      <c r="AC154" s="712"/>
      <c r="AD154" s="594"/>
      <c r="AE154" s="594"/>
      <c r="AF154" s="699">
        <v>0</v>
      </c>
    </row>
    <row r="155" spans="1:32" s="616" customFormat="1" ht="18" hidden="1" customHeight="1">
      <c r="A155" s="471"/>
      <c r="D155" s="697"/>
      <c r="E155" s="703" t="s">
        <v>866</v>
      </c>
      <c r="F155" s="689"/>
      <c r="H155" s="689"/>
      <c r="I155" s="689"/>
      <c r="J155" s="692"/>
      <c r="K155" s="693"/>
      <c r="L155" s="710" t="s">
        <v>863</v>
      </c>
      <c r="M155" s="707"/>
      <c r="N155" s="707"/>
      <c r="O155" s="707"/>
      <c r="P155" s="707"/>
      <c r="Q155" s="707"/>
      <c r="R155" s="707"/>
      <c r="S155" s="711"/>
      <c r="V155" s="894"/>
      <c r="W155" s="895"/>
      <c r="X155" s="895"/>
      <c r="Z155" s="585"/>
      <c r="AA155" s="598"/>
      <c r="AB155" s="699"/>
      <c r="AC155" s="712"/>
      <c r="AD155" s="594"/>
      <c r="AE155" s="594"/>
      <c r="AF155" s="699">
        <v>0</v>
      </c>
    </row>
    <row r="156" spans="1:32" ht="18" hidden="1" customHeight="1">
      <c r="D156" s="672"/>
      <c r="F156" s="673"/>
      <c r="G156" s="673"/>
      <c r="H156" s="673"/>
      <c r="I156" s="673"/>
      <c r="X156" s="696"/>
    </row>
    <row r="157" spans="1:32" s="616" customFormat="1" ht="18" hidden="1" customHeight="1">
      <c r="A157" s="471"/>
      <c r="D157" s="697"/>
      <c r="E157" s="698" t="s">
        <v>867</v>
      </c>
      <c r="F157" s="689"/>
      <c r="H157" s="689"/>
      <c r="I157" s="689"/>
      <c r="J157" s="692"/>
      <c r="K157" s="693"/>
      <c r="L157" s="689"/>
      <c r="M157" s="693"/>
      <c r="N157" s="693"/>
      <c r="O157" s="693"/>
      <c r="P157" s="693"/>
      <c r="Q157" s="693"/>
      <c r="R157" s="693"/>
      <c r="S157" s="713">
        <f>SUM(S148:S155)</f>
        <v>0</v>
      </c>
      <c r="X157" s="690"/>
      <c r="Z157" s="585"/>
      <c r="AA157" s="598"/>
      <c r="AB157" s="713">
        <v>0</v>
      </c>
      <c r="AC157" s="714"/>
      <c r="AD157" s="594"/>
      <c r="AE157" s="594"/>
      <c r="AF157" s="713">
        <v>0</v>
      </c>
    </row>
    <row r="158" spans="1:32" s="616" customFormat="1" ht="18" hidden="1" customHeight="1">
      <c r="A158" s="471"/>
      <c r="D158" s="697"/>
      <c r="E158" s="715"/>
      <c r="F158" s="689"/>
      <c r="H158" s="689"/>
      <c r="I158" s="689"/>
      <c r="J158" s="692"/>
      <c r="K158" s="693"/>
      <c r="L158" s="689"/>
      <c r="M158" s="693"/>
      <c r="N158" s="693"/>
      <c r="O158" s="693"/>
      <c r="P158" s="693"/>
      <c r="Q158" s="693"/>
      <c r="R158" s="693"/>
      <c r="S158" s="712"/>
      <c r="X158" s="690"/>
      <c r="Z158" s="585"/>
      <c r="AA158" s="598"/>
      <c r="AB158" s="712"/>
      <c r="AC158" s="712"/>
      <c r="AD158" s="594"/>
      <c r="AE158" s="594"/>
      <c r="AF158" s="712"/>
    </row>
    <row r="159" spans="1:32" s="616" customFormat="1" ht="18" customHeight="1">
      <c r="A159" s="471"/>
      <c r="D159" s="697"/>
      <c r="E159" s="715"/>
      <c r="F159" s="689"/>
      <c r="H159" s="689"/>
      <c r="I159" s="689"/>
      <c r="J159" s="692"/>
      <c r="K159" s="693"/>
      <c r="L159" s="689"/>
      <c r="M159" s="693"/>
      <c r="N159" s="693"/>
      <c r="O159" s="693"/>
      <c r="P159" s="693"/>
      <c r="Q159" s="693"/>
      <c r="R159" s="693"/>
      <c r="S159" s="712"/>
      <c r="X159" s="690"/>
      <c r="Z159" s="585"/>
      <c r="AA159" s="598"/>
      <c r="AB159" s="712"/>
      <c r="AC159" s="712"/>
      <c r="AD159" s="594"/>
      <c r="AE159" s="594"/>
      <c r="AF159" s="712"/>
    </row>
    <row r="160" spans="1:32" s="616" customFormat="1" ht="18" customHeight="1">
      <c r="A160" s="471"/>
      <c r="D160" s="697"/>
      <c r="E160" s="795" t="s">
        <v>868</v>
      </c>
      <c r="F160" s="689"/>
      <c r="H160" s="689"/>
      <c r="I160" s="689"/>
      <c r="J160" s="692"/>
      <c r="K160" s="693"/>
      <c r="L160" s="689"/>
      <c r="M160" s="693"/>
      <c r="N160" s="693"/>
      <c r="O160" s="693"/>
      <c r="P160" s="693"/>
      <c r="Q160" s="693"/>
      <c r="R160" s="693"/>
      <c r="S160" s="712"/>
      <c r="X160" s="690"/>
      <c r="Z160" s="585"/>
      <c r="AA160" s="598"/>
      <c r="AB160" s="712"/>
      <c r="AC160" s="712"/>
      <c r="AD160" s="594"/>
      <c r="AE160" s="594"/>
      <c r="AF160" s="712"/>
    </row>
    <row r="161" spans="1:32" s="616" customFormat="1" ht="18" customHeight="1">
      <c r="A161" s="471"/>
      <c r="D161" s="697"/>
      <c r="E161" s="801" t="s">
        <v>857</v>
      </c>
      <c r="F161" s="689"/>
      <c r="H161" s="689"/>
      <c r="I161" s="689"/>
      <c r="J161" s="692"/>
      <c r="K161" s="693"/>
      <c r="L161" s="689" t="s">
        <v>869</v>
      </c>
      <c r="M161" s="693"/>
      <c r="N161" s="693"/>
      <c r="O161" s="693"/>
      <c r="P161" s="693"/>
      <c r="Q161" s="693"/>
      <c r="R161" s="693"/>
      <c r="S161" s="806"/>
      <c r="U161" s="696"/>
      <c r="V161" s="793"/>
      <c r="W161" s="793"/>
      <c r="X161" s="793"/>
      <c r="Z161" s="585"/>
      <c r="AA161" s="598"/>
      <c r="AB161" s="699"/>
      <c r="AC161" s="633"/>
      <c r="AD161" s="594"/>
      <c r="AE161" s="594"/>
      <c r="AF161" s="699">
        <v>0</v>
      </c>
    </row>
    <row r="162" spans="1:32" s="616" customFormat="1" ht="18" customHeight="1">
      <c r="A162" s="471"/>
      <c r="D162" s="697"/>
      <c r="E162" s="801" t="s">
        <v>859</v>
      </c>
      <c r="F162" s="689"/>
      <c r="H162" s="689"/>
      <c r="I162" s="689"/>
      <c r="J162" s="692"/>
      <c r="K162" s="693"/>
      <c r="L162" s="689" t="s">
        <v>869</v>
      </c>
      <c r="M162" s="693"/>
      <c r="N162" s="693"/>
      <c r="O162" s="693"/>
      <c r="P162" s="693"/>
      <c r="Q162" s="693"/>
      <c r="R162" s="693"/>
      <c r="S162" s="806"/>
      <c r="U162" s="696"/>
      <c r="V162" s="793"/>
      <c r="W162" s="793"/>
      <c r="X162" s="793"/>
      <c r="Z162" s="585"/>
      <c r="AA162" s="598"/>
      <c r="AB162" s="699"/>
      <c r="AC162" s="633"/>
      <c r="AD162" s="594"/>
      <c r="AE162" s="594"/>
      <c r="AF162" s="699">
        <v>0</v>
      </c>
    </row>
    <row r="163" spans="1:32" s="616" customFormat="1" ht="18" customHeight="1">
      <c r="A163" s="471"/>
      <c r="D163" s="697"/>
      <c r="E163" s="715"/>
      <c r="F163" s="689"/>
      <c r="H163" s="689"/>
      <c r="I163" s="689"/>
      <c r="J163" s="692"/>
      <c r="K163" s="693"/>
      <c r="L163" s="689"/>
      <c r="M163" s="693"/>
      <c r="N163" s="693"/>
      <c r="O163" s="693"/>
      <c r="P163" s="693"/>
      <c r="Q163" s="693"/>
      <c r="R163" s="693"/>
      <c r="S163" s="712"/>
      <c r="X163" s="688"/>
      <c r="Z163" s="585"/>
      <c r="AA163" s="598"/>
      <c r="AB163" s="712"/>
      <c r="AC163" s="712"/>
      <c r="AD163" s="594"/>
      <c r="AE163" s="594"/>
      <c r="AF163" s="712"/>
    </row>
    <row r="164" spans="1:32" s="616" customFormat="1" ht="18" customHeight="1">
      <c r="A164" s="471"/>
      <c r="D164" s="697"/>
      <c r="E164" s="795" t="s">
        <v>870</v>
      </c>
      <c r="F164" s="689"/>
      <c r="H164" s="689"/>
      <c r="I164" s="689"/>
      <c r="J164" s="692"/>
      <c r="K164" s="693"/>
      <c r="L164" s="689"/>
      <c r="M164" s="693"/>
      <c r="N164" s="693"/>
      <c r="O164" s="693"/>
      <c r="P164" s="693"/>
      <c r="Q164" s="693"/>
      <c r="R164" s="693"/>
      <c r="S164" s="712"/>
      <c r="X164" s="727"/>
      <c r="Z164" s="585"/>
      <c r="AA164" s="598"/>
      <c r="AB164" s="712"/>
      <c r="AC164" s="712"/>
      <c r="AD164" s="594"/>
      <c r="AE164" s="594"/>
      <c r="AF164" s="712"/>
    </row>
    <row r="165" spans="1:32" s="616" customFormat="1" ht="18" customHeight="1">
      <c r="A165" s="471"/>
      <c r="D165" s="697"/>
      <c r="E165" s="801" t="s">
        <v>862</v>
      </c>
      <c r="F165" s="689"/>
      <c r="H165" s="689"/>
      <c r="I165" s="689"/>
      <c r="J165" s="692"/>
      <c r="K165" s="693"/>
      <c r="L165" s="689" t="s">
        <v>871</v>
      </c>
      <c r="M165" s="693"/>
      <c r="N165" s="693"/>
      <c r="O165" s="693"/>
      <c r="P165" s="693"/>
      <c r="Q165" s="693"/>
      <c r="R165" s="693"/>
      <c r="S165" s="806"/>
      <c r="U165" s="696"/>
      <c r="V165" s="793"/>
      <c r="W165" s="793"/>
      <c r="X165" s="793"/>
      <c r="Z165" s="585"/>
      <c r="AA165" s="598"/>
      <c r="AB165" s="699"/>
      <c r="AC165" s="633"/>
      <c r="AD165" s="594"/>
      <c r="AE165" s="594"/>
      <c r="AF165" s="699">
        <v>0</v>
      </c>
    </row>
    <row r="166" spans="1:32" s="616" customFormat="1" ht="18" customHeight="1">
      <c r="A166" s="471"/>
      <c r="D166" s="697"/>
      <c r="E166" s="801" t="s">
        <v>864</v>
      </c>
      <c r="F166" s="689"/>
      <c r="H166" s="689"/>
      <c r="I166" s="689"/>
      <c r="J166" s="692"/>
      <c r="K166" s="693"/>
      <c r="L166" s="689" t="s">
        <v>871</v>
      </c>
      <c r="M166" s="693"/>
      <c r="N166" s="693"/>
      <c r="O166" s="693"/>
      <c r="P166" s="693"/>
      <c r="Q166" s="693"/>
      <c r="R166" s="693"/>
      <c r="S166" s="806"/>
      <c r="U166" s="696"/>
      <c r="V166" s="793"/>
      <c r="W166" s="793"/>
      <c r="X166" s="793"/>
      <c r="Z166" s="585"/>
      <c r="AA166" s="598"/>
      <c r="AB166" s="699"/>
      <c r="AC166" s="633"/>
      <c r="AD166" s="594"/>
      <c r="AE166" s="594"/>
      <c r="AF166" s="699"/>
    </row>
    <row r="167" spans="1:32" s="616" customFormat="1" ht="18" customHeight="1">
      <c r="A167" s="471"/>
      <c r="D167" s="697"/>
      <c r="E167" s="716"/>
      <c r="F167" s="689"/>
      <c r="H167" s="689"/>
      <c r="I167" s="689"/>
      <c r="J167" s="692"/>
      <c r="K167" s="693"/>
      <c r="L167" s="689"/>
      <c r="M167" s="693"/>
      <c r="N167" s="693"/>
      <c r="O167" s="693"/>
      <c r="P167" s="693"/>
      <c r="Q167" s="693"/>
      <c r="R167" s="693"/>
      <c r="S167" s="717"/>
      <c r="X167" s="772"/>
      <c r="Z167" s="585"/>
      <c r="AA167" s="598"/>
      <c r="AB167" s="717"/>
      <c r="AC167" s="633"/>
      <c r="AD167" s="594"/>
      <c r="AE167" s="594"/>
      <c r="AF167" s="717"/>
    </row>
    <row r="168" spans="1:32" s="616" customFormat="1" ht="18" customHeight="1">
      <c r="A168" s="471"/>
      <c r="D168" s="697"/>
      <c r="E168" s="801" t="s">
        <v>872</v>
      </c>
      <c r="F168" s="689"/>
      <c r="H168" s="689"/>
      <c r="I168" s="689"/>
      <c r="J168" s="692"/>
      <c r="K168" s="693"/>
      <c r="L168" s="689" t="s">
        <v>871</v>
      </c>
      <c r="M168" s="693"/>
      <c r="N168" s="693"/>
      <c r="O168" s="693"/>
      <c r="P168" s="693"/>
      <c r="Q168" s="693"/>
      <c r="R168" s="693"/>
      <c r="S168" s="806"/>
      <c r="U168" s="696"/>
      <c r="V168" s="793"/>
      <c r="W168" s="793"/>
      <c r="X168" s="793"/>
      <c r="Z168" s="585"/>
      <c r="AA168" s="598"/>
      <c r="AB168" s="699"/>
      <c r="AC168" s="633"/>
      <c r="AD168" s="594"/>
      <c r="AE168" s="594"/>
      <c r="AF168" s="699">
        <v>0</v>
      </c>
    </row>
    <row r="169" spans="1:32" s="616" customFormat="1" ht="18" customHeight="1">
      <c r="A169" s="471"/>
      <c r="D169" s="697"/>
      <c r="E169" s="715"/>
      <c r="F169" s="689"/>
      <c r="H169" s="689"/>
      <c r="I169" s="689"/>
      <c r="J169" s="692"/>
      <c r="K169" s="693"/>
      <c r="L169" s="693"/>
      <c r="M169" s="693"/>
      <c r="N169" s="693"/>
      <c r="O169" s="693"/>
      <c r="P169" s="693"/>
      <c r="Q169" s="693"/>
      <c r="R169" s="693"/>
      <c r="S169" s="712"/>
      <c r="T169" s="689"/>
      <c r="U169" s="689"/>
      <c r="V169" s="689"/>
      <c r="W169" s="689"/>
      <c r="X169" s="690"/>
      <c r="Z169" s="585"/>
      <c r="AA169" s="598"/>
      <c r="AB169" s="712"/>
      <c r="AC169" s="712"/>
      <c r="AD169" s="594"/>
      <c r="AE169" s="594"/>
      <c r="AF169" s="712"/>
    </row>
    <row r="170" spans="1:32" s="616" customFormat="1" ht="18" customHeight="1">
      <c r="A170" s="471"/>
      <c r="D170" s="697"/>
      <c r="E170" s="803" t="s">
        <v>873</v>
      </c>
      <c r="F170" s="689"/>
      <c r="H170" s="689"/>
      <c r="I170" s="689"/>
      <c r="J170" s="692"/>
      <c r="K170" s="693"/>
      <c r="L170" s="693"/>
      <c r="M170" s="693"/>
      <c r="N170" s="693"/>
      <c r="O170" s="693"/>
      <c r="P170" s="693"/>
      <c r="Q170" s="693"/>
      <c r="R170" s="693"/>
      <c r="S170" s="785">
        <f>+K144+S144+S157+S161+S162+S165+S166+S168</f>
        <v>0</v>
      </c>
      <c r="T170" s="689"/>
      <c r="U170" s="689"/>
      <c r="V170" s="689"/>
      <c r="W170" s="689"/>
      <c r="X170" s="690"/>
      <c r="Z170" s="585"/>
      <c r="AA170" s="598"/>
      <c r="AB170" s="612">
        <v>0</v>
      </c>
      <c r="AC170" s="618"/>
      <c r="AD170" s="594"/>
      <c r="AE170" s="594"/>
      <c r="AF170" s="718">
        <v>0</v>
      </c>
    </row>
    <row r="171" spans="1:32" ht="18" customHeight="1">
      <c r="D171" s="672"/>
      <c r="F171" s="673"/>
      <c r="G171" s="673"/>
      <c r="H171" s="673"/>
      <c r="I171" s="673"/>
      <c r="X171" s="696"/>
    </row>
    <row r="172" spans="1:32" s="719" customFormat="1" ht="18" customHeight="1">
      <c r="A172" s="471"/>
      <c r="D172" s="720"/>
      <c r="E172" s="802" t="s">
        <v>874</v>
      </c>
      <c r="F172" s="689"/>
      <c r="H172" s="689"/>
      <c r="I172" s="689"/>
      <c r="J172" s="689"/>
      <c r="K172" s="693"/>
      <c r="L172" s="693"/>
      <c r="M172" s="693"/>
      <c r="N172" s="693"/>
      <c r="O172" s="693"/>
      <c r="P172" s="693"/>
      <c r="Q172" s="693"/>
      <c r="R172" s="693"/>
      <c r="S172" s="785">
        <f>+S124-S170</f>
        <v>0</v>
      </c>
      <c r="U172" s="808" t="s">
        <v>875</v>
      </c>
      <c r="V172" s="689"/>
      <c r="W172" s="689"/>
      <c r="X172" s="690"/>
      <c r="Z172" s="721"/>
      <c r="AA172" s="593"/>
      <c r="AB172" s="612">
        <v>0</v>
      </c>
      <c r="AC172" s="618"/>
      <c r="AD172" s="592"/>
      <c r="AE172" s="592"/>
      <c r="AF172" s="612">
        <v>0</v>
      </c>
    </row>
    <row r="173" spans="1:32" s="616" customFormat="1" ht="5.5" customHeight="1">
      <c r="A173" s="471"/>
      <c r="D173" s="697"/>
      <c r="F173" s="689"/>
      <c r="H173" s="689"/>
      <c r="I173" s="689"/>
      <c r="J173" s="692"/>
      <c r="K173" s="693"/>
      <c r="L173" s="693"/>
      <c r="M173" s="693"/>
      <c r="N173" s="693"/>
      <c r="O173" s="693"/>
      <c r="P173" s="693"/>
      <c r="Q173" s="693"/>
      <c r="R173" s="693"/>
      <c r="S173" s="693"/>
      <c r="T173" s="689"/>
      <c r="U173" s="689"/>
      <c r="V173" s="689"/>
      <c r="W173" s="689"/>
      <c r="X173" s="690"/>
      <c r="Z173" s="585"/>
      <c r="AA173" s="598"/>
      <c r="AB173" s="594"/>
      <c r="AC173" s="594"/>
      <c r="AD173" s="594"/>
      <c r="AE173" s="594"/>
      <c r="AF173" s="594"/>
    </row>
    <row r="174" spans="1:32" s="616" customFormat="1" hidden="1">
      <c r="A174" s="471"/>
      <c r="D174" s="697"/>
      <c r="E174" s="616" t="s">
        <v>876</v>
      </c>
      <c r="F174" s="689"/>
      <c r="H174" s="689"/>
      <c r="I174" s="689"/>
      <c r="J174" s="692"/>
      <c r="K174" s="693"/>
      <c r="L174" s="693"/>
      <c r="M174" s="693"/>
      <c r="N174" s="693"/>
      <c r="O174" s="693"/>
      <c r="P174" s="693"/>
      <c r="Q174" s="693"/>
      <c r="R174" s="693"/>
      <c r="S174" s="693"/>
      <c r="T174" s="689"/>
      <c r="U174" s="689"/>
      <c r="V174" s="689"/>
      <c r="W174" s="689"/>
      <c r="X174" s="690"/>
      <c r="Z174" s="585"/>
      <c r="AA174" s="598"/>
      <c r="AB174" s="594"/>
      <c r="AC174" s="594"/>
      <c r="AD174" s="594"/>
      <c r="AE174" s="594"/>
      <c r="AF174" s="594"/>
    </row>
    <row r="175" spans="1:32" s="616" customFormat="1" ht="6" customHeight="1">
      <c r="A175" s="471"/>
      <c r="D175" s="722"/>
      <c r="E175" s="723"/>
      <c r="F175" s="724"/>
      <c r="G175" s="725"/>
      <c r="H175" s="725"/>
      <c r="I175" s="725"/>
      <c r="J175" s="726"/>
      <c r="K175" s="726"/>
      <c r="L175" s="726"/>
      <c r="M175" s="726"/>
      <c r="N175" s="726"/>
      <c r="O175" s="726"/>
      <c r="P175" s="726"/>
      <c r="Q175" s="726"/>
      <c r="R175" s="726"/>
      <c r="S175" s="726"/>
      <c r="T175" s="724"/>
      <c r="U175" s="724"/>
      <c r="V175" s="724"/>
      <c r="W175" s="724"/>
      <c r="X175" s="727"/>
      <c r="Z175" s="585"/>
      <c r="AA175" s="598"/>
      <c r="AB175" s="594"/>
      <c r="AC175" s="594"/>
      <c r="AD175" s="594"/>
      <c r="AE175" s="594"/>
      <c r="AF175" s="594"/>
    </row>
    <row r="176" spans="1:32" s="616" customFormat="1" hidden="1">
      <c r="A176" s="471"/>
      <c r="E176" s="728" t="s">
        <v>877</v>
      </c>
      <c r="F176" s="689"/>
      <c r="G176" s="692"/>
      <c r="H176" s="692"/>
      <c r="I176" s="692"/>
      <c r="J176" s="700"/>
      <c r="K176" s="693"/>
      <c r="L176" s="693"/>
      <c r="M176" s="693"/>
      <c r="N176" s="693"/>
      <c r="O176" s="693"/>
      <c r="P176" s="693"/>
      <c r="Q176" s="693"/>
      <c r="R176" s="693"/>
      <c r="S176" s="693"/>
      <c r="T176" s="689"/>
      <c r="U176" s="689"/>
      <c r="V176" s="689"/>
      <c r="W176" s="689"/>
      <c r="X176" s="690"/>
      <c r="Z176" s="585"/>
      <c r="AA176" s="598"/>
      <c r="AB176" s="594"/>
      <c r="AC176" s="594"/>
      <c r="AD176" s="594"/>
      <c r="AE176" s="594"/>
      <c r="AF176" s="594"/>
    </row>
    <row r="177" spans="1:9" hidden="1"/>
    <row r="178" spans="1:9" s="616" customFormat="1" ht="39" hidden="1" customHeight="1">
      <c r="A178" s="471"/>
      <c r="D178" s="672"/>
      <c r="E178" s="729" t="s">
        <v>878</v>
      </c>
      <c r="F178" s="689"/>
      <c r="G178" s="692"/>
      <c r="H178" s="730">
        <f>SUM(S32:S39,S106)</f>
        <v>0</v>
      </c>
      <c r="I178" s="689"/>
    </row>
    <row r="179" spans="1:9" s="616" customFormat="1" hidden="1">
      <c r="A179" s="471"/>
      <c r="D179" s="672"/>
      <c r="E179" s="731" t="s">
        <v>879</v>
      </c>
      <c r="F179" s="689"/>
      <c r="G179" s="692"/>
      <c r="H179" s="730" t="e">
        <v>#N/A</v>
      </c>
      <c r="I179" s="689"/>
    </row>
    <row r="180" spans="1:9" s="616" customFormat="1" hidden="1">
      <c r="A180" s="471"/>
      <c r="D180" s="672"/>
      <c r="E180" s="731" t="s">
        <v>880</v>
      </c>
      <c r="F180" s="689"/>
      <c r="G180" s="692"/>
      <c r="H180" s="730" t="e">
        <f>H178-H179</f>
        <v>#N/A</v>
      </c>
      <c r="I180" s="732" t="s">
        <v>881</v>
      </c>
    </row>
    <row r="181" spans="1:9" s="616" customFormat="1" ht="13.5" hidden="1" customHeight="1">
      <c r="A181" s="471"/>
      <c r="D181" s="672"/>
      <c r="F181" s="689"/>
      <c r="G181" s="692"/>
      <c r="H181" s="693"/>
      <c r="I181" s="616" t="s">
        <v>882</v>
      </c>
    </row>
    <row r="182" spans="1:9" s="616" customFormat="1" ht="6" hidden="1" customHeight="1">
      <c r="A182" s="471"/>
      <c r="D182" s="672"/>
    </row>
    <row r="183" spans="1:9" s="616" customFormat="1" ht="1.5" hidden="1" customHeight="1">
      <c r="A183" s="471"/>
      <c r="D183" s="672"/>
      <c r="E183" s="691"/>
      <c r="F183" s="689"/>
      <c r="G183" s="692"/>
      <c r="H183" s="693"/>
      <c r="I183" s="733"/>
    </row>
    <row r="184" spans="1:9" s="616" customFormat="1" hidden="1">
      <c r="A184" s="471"/>
      <c r="D184" s="672">
        <v>2</v>
      </c>
      <c r="E184" s="730" t="s">
        <v>883</v>
      </c>
      <c r="F184" s="689"/>
      <c r="G184" s="692"/>
    </row>
    <row r="185" spans="1:9" s="616" customFormat="1" hidden="1">
      <c r="A185" s="471"/>
      <c r="D185" s="672"/>
      <c r="E185" s="730"/>
      <c r="F185" s="689"/>
      <c r="G185" s="692"/>
    </row>
    <row r="186" spans="1:9" s="616" customFormat="1" hidden="1">
      <c r="A186" s="471"/>
      <c r="D186" s="672"/>
      <c r="E186" s="731" t="s">
        <v>884</v>
      </c>
      <c r="F186" s="689"/>
      <c r="G186" s="692"/>
      <c r="H186" s="730">
        <f>+S157</f>
        <v>0</v>
      </c>
      <c r="I186" s="689"/>
    </row>
    <row r="187" spans="1:9" s="616" customFormat="1" hidden="1">
      <c r="A187" s="471"/>
      <c r="D187" s="672"/>
      <c r="E187" s="731" t="s">
        <v>885</v>
      </c>
      <c r="F187" s="689"/>
      <c r="G187" s="692"/>
      <c r="H187" s="730">
        <f>Q71+Q94+Q110</f>
        <v>0</v>
      </c>
      <c r="I187" s="689"/>
    </row>
    <row r="188" spans="1:9" s="616" customFormat="1" hidden="1">
      <c r="A188" s="471"/>
      <c r="D188" s="672"/>
      <c r="E188" s="731" t="s">
        <v>880</v>
      </c>
      <c r="F188" s="689"/>
      <c r="G188" s="692"/>
      <c r="H188" s="730">
        <v>0</v>
      </c>
    </row>
    <row r="189" spans="1:9" s="616" customFormat="1" ht="7" hidden="1" customHeight="1">
      <c r="A189" s="471"/>
      <c r="D189" s="672"/>
      <c r="E189" s="691"/>
      <c r="F189" s="689"/>
      <c r="G189" s="692"/>
      <c r="H189" s="693"/>
    </row>
    <row r="190" spans="1:9" s="616" customFormat="1" hidden="1">
      <c r="A190" s="471"/>
      <c r="D190" s="672">
        <v>3</v>
      </c>
      <c r="E190" s="691" t="s">
        <v>886</v>
      </c>
      <c r="F190" s="689"/>
      <c r="G190" s="692"/>
      <c r="H190" s="730">
        <v>0</v>
      </c>
    </row>
    <row r="191" spans="1:9" s="616" customFormat="1" hidden="1">
      <c r="A191" s="471"/>
      <c r="D191" s="672"/>
      <c r="E191" s="734" t="s">
        <v>887</v>
      </c>
      <c r="F191" s="689"/>
      <c r="G191" s="692"/>
      <c r="H191" s="693"/>
    </row>
    <row r="192" spans="1:9" hidden="1"/>
    <row r="193" spans="1:26" s="616" customFormat="1" hidden="1">
      <c r="A193" s="471"/>
      <c r="D193" s="672">
        <v>4</v>
      </c>
      <c r="E193" s="691" t="s">
        <v>888</v>
      </c>
      <c r="F193" s="689"/>
      <c r="G193" s="692"/>
      <c r="H193" s="730">
        <v>0</v>
      </c>
    </row>
    <row r="194" spans="1:26" s="616" customFormat="1" hidden="1">
      <c r="A194" s="471"/>
      <c r="D194" s="672"/>
      <c r="E194" s="734" t="s">
        <v>887</v>
      </c>
      <c r="F194" s="689"/>
      <c r="G194" s="692"/>
      <c r="H194" s="693"/>
    </row>
    <row r="195" spans="1:26" s="616" customFormat="1" hidden="1">
      <c r="A195" s="471"/>
      <c r="D195" s="672"/>
      <c r="E195" s="691"/>
      <c r="F195" s="689"/>
      <c r="G195" s="692"/>
      <c r="H195" s="693"/>
    </row>
    <row r="196" spans="1:26" s="616" customFormat="1" hidden="1">
      <c r="A196" s="471"/>
      <c r="D196" s="672"/>
      <c r="E196" s="691" t="s">
        <v>889</v>
      </c>
      <c r="F196" s="689"/>
      <c r="G196" s="692"/>
      <c r="H196" s="735">
        <v>45565</v>
      </c>
    </row>
    <row r="197" spans="1:26" s="616" customFormat="1" hidden="1">
      <c r="A197" s="471"/>
      <c r="D197" s="672"/>
      <c r="E197" s="691"/>
      <c r="F197" s="689"/>
      <c r="G197" s="692"/>
      <c r="H197" s="736"/>
    </row>
    <row r="198" spans="1:26" s="616" customFormat="1" hidden="1">
      <c r="A198" s="471"/>
      <c r="D198" s="672"/>
      <c r="E198" s="691"/>
      <c r="F198" s="689"/>
      <c r="G198" s="692"/>
      <c r="H198" s="736"/>
    </row>
    <row r="199" spans="1:26" s="616" customFormat="1" hidden="1">
      <c r="A199" s="471"/>
      <c r="D199" s="672"/>
      <c r="E199" s="737" t="s">
        <v>890</v>
      </c>
      <c r="F199" s="738"/>
      <c r="G199" s="739"/>
      <c r="H199" s="736"/>
    </row>
    <row r="200" spans="1:26" s="616" customFormat="1" hidden="1">
      <c r="A200" s="471"/>
      <c r="D200" s="672"/>
      <c r="E200" s="740"/>
      <c r="F200" s="741" t="s">
        <v>891</v>
      </c>
      <c r="G200" s="742"/>
      <c r="H200" s="736"/>
    </row>
    <row r="201" spans="1:26" s="616" customFormat="1" hidden="1">
      <c r="A201" s="471"/>
      <c r="D201" s="672"/>
      <c r="E201" s="740"/>
      <c r="F201" s="692"/>
      <c r="G201" s="742"/>
      <c r="H201" s="736"/>
    </row>
    <row r="202" spans="1:26" s="616" customFormat="1" hidden="1">
      <c r="A202" s="471"/>
      <c r="D202" s="672"/>
      <c r="E202" s="743" t="s">
        <v>892</v>
      </c>
      <c r="F202" s="744">
        <f>S30</f>
        <v>0</v>
      </c>
      <c r="G202" s="742"/>
      <c r="H202" s="736"/>
    </row>
    <row r="203" spans="1:26" s="616" customFormat="1" hidden="1">
      <c r="A203" s="471"/>
      <c r="D203" s="672"/>
      <c r="E203" s="743" t="s">
        <v>893</v>
      </c>
      <c r="F203" s="744">
        <f>S69</f>
        <v>0</v>
      </c>
      <c r="G203" s="742"/>
      <c r="H203" s="736"/>
    </row>
    <row r="204" spans="1:26" s="616" customFormat="1" hidden="1">
      <c r="A204" s="471"/>
      <c r="D204" s="697"/>
      <c r="E204" s="745" t="s">
        <v>894</v>
      </c>
      <c r="F204" s="746">
        <f>F202-F203</f>
        <v>0</v>
      </c>
      <c r="G204" s="747"/>
    </row>
    <row r="205" spans="1:26" s="616" customFormat="1" hidden="1">
      <c r="A205" s="471"/>
      <c r="D205" s="697"/>
      <c r="E205" s="748"/>
      <c r="F205" s="746"/>
      <c r="G205" s="747"/>
    </row>
    <row r="206" spans="1:26" s="616" customFormat="1" hidden="1">
      <c r="A206" s="471"/>
      <c r="D206" s="697"/>
      <c r="E206" s="749"/>
      <c r="F206" s="746"/>
      <c r="G206" s="747"/>
    </row>
    <row r="207" spans="1:26" s="616" customFormat="1" ht="15" hidden="1" thickBot="1">
      <c r="A207" s="471"/>
      <c r="D207" s="697"/>
      <c r="E207" s="750" t="s">
        <v>895</v>
      </c>
      <c r="F207" s="751">
        <f>F204</f>
        <v>0</v>
      </c>
      <c r="G207" s="747"/>
    </row>
    <row r="208" spans="1:26" s="660" customFormat="1" hidden="1">
      <c r="A208" s="471"/>
      <c r="B208" s="594"/>
      <c r="C208" s="594"/>
      <c r="D208" s="666"/>
      <c r="E208" s="594"/>
      <c r="J208" s="594"/>
      <c r="K208" s="594"/>
      <c r="L208" s="594"/>
      <c r="M208" s="594"/>
      <c r="N208" s="594"/>
      <c r="O208" s="594"/>
      <c r="P208" s="594"/>
      <c r="Q208" s="594"/>
      <c r="R208" s="594"/>
      <c r="S208" s="594"/>
      <c r="T208" s="594"/>
      <c r="U208" s="594"/>
      <c r="V208" s="594"/>
      <c r="W208" s="594"/>
      <c r="X208" s="616"/>
      <c r="Y208" s="616"/>
      <c r="Z208" s="585"/>
    </row>
    <row r="209" spans="1:26" s="616" customFormat="1" hidden="1">
      <c r="A209" s="471"/>
      <c r="D209" s="697"/>
      <c r="E209" s="745" t="s">
        <v>896</v>
      </c>
      <c r="F209" s="746">
        <f>S13</f>
        <v>0</v>
      </c>
      <c r="G209" s="747"/>
    </row>
    <row r="210" spans="1:26" s="616" customFormat="1" hidden="1">
      <c r="A210" s="471"/>
      <c r="D210" s="697"/>
      <c r="E210" s="749"/>
      <c r="F210" s="746"/>
      <c r="G210" s="747"/>
    </row>
    <row r="211" spans="1:26" s="616" customFormat="1" ht="15" hidden="1" thickBot="1">
      <c r="A211" s="471"/>
      <c r="D211" s="697"/>
      <c r="E211" s="750" t="s">
        <v>897</v>
      </c>
      <c r="F211" s="751">
        <f>F207+F209</f>
        <v>0</v>
      </c>
      <c r="G211" s="747"/>
    </row>
    <row r="212" spans="1:26" s="616" customFormat="1" hidden="1">
      <c r="A212" s="471"/>
      <c r="D212" s="697"/>
      <c r="E212" s="749"/>
      <c r="F212" s="746"/>
      <c r="G212" s="747"/>
    </row>
    <row r="213" spans="1:26" s="616" customFormat="1" hidden="1">
      <c r="A213" s="471"/>
      <c r="D213" s="697"/>
      <c r="E213" s="752" t="s">
        <v>898</v>
      </c>
      <c r="F213" s="744">
        <f>K144</f>
        <v>0</v>
      </c>
      <c r="G213" s="747"/>
    </row>
    <row r="214" spans="1:26" s="616" customFormat="1" hidden="1">
      <c r="A214" s="471"/>
      <c r="D214" s="697"/>
      <c r="E214" s="752"/>
      <c r="F214" s="744"/>
      <c r="G214" s="747"/>
    </row>
    <row r="215" spans="1:26" s="616" customFormat="1" hidden="1">
      <c r="A215" s="471"/>
      <c r="D215" s="697"/>
      <c r="E215" s="752" t="s">
        <v>899</v>
      </c>
      <c r="F215" s="744">
        <f>F211-F213</f>
        <v>0</v>
      </c>
      <c r="G215" s="747"/>
    </row>
    <row r="216" spans="1:26" s="616" customFormat="1" hidden="1">
      <c r="A216" s="471"/>
      <c r="D216" s="697"/>
      <c r="E216" s="752"/>
      <c r="F216" s="744"/>
      <c r="G216" s="747"/>
    </row>
    <row r="217" spans="1:26" s="616" customFormat="1" hidden="1">
      <c r="A217" s="471"/>
      <c r="D217" s="697"/>
      <c r="E217" s="752" t="s">
        <v>900</v>
      </c>
      <c r="F217" s="744">
        <f>S96</f>
        <v>0</v>
      </c>
      <c r="G217" s="747"/>
    </row>
    <row r="218" spans="1:26" s="616" customFormat="1" hidden="1">
      <c r="A218" s="471"/>
      <c r="D218" s="697"/>
      <c r="E218" s="752"/>
      <c r="F218" s="744"/>
      <c r="G218" s="747"/>
    </row>
    <row r="219" spans="1:26" s="616" customFormat="1" ht="15" hidden="1" thickBot="1">
      <c r="A219" s="471"/>
      <c r="D219" s="697"/>
      <c r="E219" s="750" t="s">
        <v>901</v>
      </c>
      <c r="F219" s="751">
        <f>F215+F217</f>
        <v>0</v>
      </c>
      <c r="G219" s="753"/>
    </row>
    <row r="220" spans="1:26" s="660" customFormat="1" hidden="1">
      <c r="A220" s="471"/>
      <c r="B220" s="594"/>
      <c r="C220" s="594"/>
      <c r="D220" s="672"/>
      <c r="E220" s="594"/>
      <c r="F220" s="673"/>
      <c r="G220" s="673"/>
      <c r="H220" s="673"/>
      <c r="J220" s="594"/>
      <c r="K220" s="594"/>
      <c r="L220" s="594"/>
      <c r="M220" s="594"/>
      <c r="N220" s="594"/>
      <c r="O220" s="594"/>
      <c r="P220" s="594"/>
      <c r="Q220" s="594"/>
      <c r="R220" s="594"/>
      <c r="S220" s="594"/>
      <c r="T220" s="594"/>
      <c r="U220" s="594"/>
      <c r="V220" s="594"/>
      <c r="W220" s="594"/>
      <c r="X220" s="616"/>
      <c r="Y220" s="616"/>
      <c r="Z220" s="585"/>
    </row>
    <row r="221" spans="1:26" s="660" customFormat="1" hidden="1">
      <c r="A221" s="471"/>
      <c r="B221" s="594"/>
      <c r="C221" s="594"/>
      <c r="D221" s="672"/>
      <c r="E221" s="594"/>
      <c r="F221" s="673"/>
      <c r="G221" s="673"/>
      <c r="H221" s="673"/>
      <c r="J221" s="594"/>
      <c r="K221" s="594"/>
      <c r="L221" s="594"/>
      <c r="M221" s="594"/>
      <c r="N221" s="594"/>
      <c r="O221" s="594"/>
      <c r="P221" s="594"/>
      <c r="Q221" s="594"/>
      <c r="R221" s="594"/>
      <c r="S221" s="594"/>
      <c r="T221" s="594"/>
      <c r="U221" s="594"/>
      <c r="V221" s="594"/>
      <c r="W221" s="594"/>
      <c r="X221" s="616"/>
      <c r="Y221" s="616"/>
      <c r="Z221" s="585"/>
    </row>
    <row r="222" spans="1:26" s="660" customFormat="1" hidden="1">
      <c r="A222" s="471"/>
      <c r="B222" s="594"/>
      <c r="C222" s="594"/>
      <c r="D222" s="672"/>
      <c r="E222" s="594"/>
      <c r="F222" s="673"/>
      <c r="G222" s="673"/>
      <c r="H222" s="673"/>
      <c r="J222" s="594"/>
      <c r="K222" s="594"/>
      <c r="L222" s="594"/>
      <c r="M222" s="594"/>
      <c r="N222" s="594"/>
      <c r="O222" s="594"/>
      <c r="P222" s="594"/>
      <c r="Q222" s="594"/>
      <c r="R222" s="594"/>
      <c r="S222" s="594"/>
      <c r="T222" s="594"/>
      <c r="U222" s="594"/>
      <c r="V222" s="594"/>
      <c r="W222" s="594"/>
      <c r="X222" s="616"/>
      <c r="Y222" s="616"/>
      <c r="Z222" s="585"/>
    </row>
    <row r="223" spans="1:26" s="660" customFormat="1" hidden="1">
      <c r="A223" s="471"/>
      <c r="B223" s="594"/>
      <c r="C223" s="594"/>
      <c r="D223" s="672"/>
      <c r="E223" s="594"/>
      <c r="F223" s="673"/>
      <c r="G223" s="673"/>
      <c r="H223" s="673"/>
      <c r="J223" s="594"/>
      <c r="K223" s="594"/>
      <c r="L223" s="594"/>
      <c r="M223" s="594"/>
      <c r="N223" s="594"/>
      <c r="O223" s="594"/>
      <c r="P223" s="594"/>
      <c r="Q223" s="594"/>
      <c r="R223" s="594"/>
      <c r="S223" s="594"/>
      <c r="T223" s="594"/>
      <c r="U223" s="594"/>
      <c r="V223" s="594"/>
      <c r="W223" s="594"/>
      <c r="X223" s="616"/>
      <c r="Y223" s="616"/>
      <c r="Z223" s="585"/>
    </row>
    <row r="224" spans="1:26" s="616" customFormat="1" hidden="1">
      <c r="A224" s="471"/>
      <c r="D224" s="672">
        <v>7</v>
      </c>
      <c r="E224" s="691" t="s">
        <v>902</v>
      </c>
      <c r="F224" s="689"/>
      <c r="G224" s="692"/>
      <c r="H224" s="754">
        <v>0</v>
      </c>
    </row>
    <row r="225" spans="1:26" s="616" customFormat="1" hidden="1">
      <c r="A225" s="471"/>
      <c r="D225" s="672"/>
      <c r="E225" s="734" t="s">
        <v>887</v>
      </c>
      <c r="F225" s="689"/>
      <c r="G225" s="692"/>
      <c r="H225" s="692"/>
    </row>
    <row r="226" spans="1:26" s="616" customFormat="1" ht="6.65" hidden="1" customHeight="1">
      <c r="A226" s="471"/>
      <c r="D226" s="672"/>
      <c r="E226" s="734"/>
      <c r="F226" s="689"/>
      <c r="G226" s="692"/>
      <c r="H226" s="692"/>
    </row>
    <row r="227" spans="1:26" s="616" customFormat="1" hidden="1">
      <c r="A227" s="471"/>
      <c r="D227" s="672">
        <v>6</v>
      </c>
      <c r="E227" s="691" t="s">
        <v>903</v>
      </c>
      <c r="F227" s="689"/>
      <c r="G227" s="692"/>
      <c r="H227" s="754">
        <v>0</v>
      </c>
    </row>
    <row r="228" spans="1:26" s="616" customFormat="1" hidden="1">
      <c r="A228" s="471"/>
      <c r="D228" s="672"/>
      <c r="E228" s="734" t="s">
        <v>887</v>
      </c>
      <c r="F228" s="689"/>
      <c r="G228" s="692"/>
      <c r="H228" s="692"/>
    </row>
    <row r="229" spans="1:26" s="616" customFormat="1" hidden="1">
      <c r="A229" s="471"/>
      <c r="B229" s="594"/>
      <c r="C229" s="594"/>
      <c r="D229" s="675"/>
      <c r="E229" s="650"/>
      <c r="F229" s="676"/>
      <c r="G229" s="755"/>
      <c r="H229" s="755"/>
      <c r="I229" s="676"/>
      <c r="J229" s="650"/>
      <c r="K229" s="650"/>
      <c r="L229" s="650"/>
      <c r="M229" s="650"/>
      <c r="N229" s="650"/>
      <c r="O229" s="650"/>
      <c r="P229" s="650"/>
      <c r="Q229" s="650"/>
      <c r="R229" s="650"/>
      <c r="S229" s="650"/>
      <c r="T229" s="650"/>
      <c r="U229" s="650"/>
      <c r="V229" s="650"/>
      <c r="W229" s="650"/>
      <c r="X229" s="756"/>
      <c r="Z229" s="585"/>
    </row>
    <row r="230" spans="1:26" s="616" customFormat="1" ht="18" hidden="1">
      <c r="A230" s="471"/>
      <c r="B230" s="594"/>
      <c r="C230" s="594"/>
      <c r="D230" s="654" t="s">
        <v>904</v>
      </c>
      <c r="E230" s="594"/>
      <c r="F230" s="673"/>
      <c r="G230" s="757"/>
      <c r="H230" s="757"/>
      <c r="I230" s="673"/>
      <c r="J230" s="594"/>
      <c r="K230" s="594"/>
      <c r="L230" s="594"/>
      <c r="M230" s="594"/>
      <c r="N230" s="594"/>
      <c r="O230" s="594"/>
      <c r="P230" s="594"/>
      <c r="Q230" s="594"/>
      <c r="R230" s="594"/>
      <c r="S230" s="594"/>
      <c r="T230" s="594"/>
      <c r="U230" s="594"/>
      <c r="V230" s="594"/>
      <c r="W230" s="594"/>
      <c r="X230" s="696"/>
      <c r="Z230" s="585"/>
    </row>
    <row r="231" spans="1:26" s="616" customFormat="1" ht="10.5" hidden="1" customHeight="1">
      <c r="A231" s="471"/>
      <c r="B231" s="594"/>
      <c r="C231" s="594"/>
      <c r="D231" s="654"/>
      <c r="E231" s="594"/>
      <c r="F231" s="673"/>
      <c r="G231" s="757"/>
      <c r="H231" s="757"/>
      <c r="I231" s="673"/>
      <c r="J231" s="594"/>
      <c r="K231" s="594"/>
      <c r="L231" s="594"/>
      <c r="M231" s="594"/>
      <c r="N231" s="594"/>
      <c r="O231" s="594"/>
      <c r="P231" s="594"/>
      <c r="Q231" s="594"/>
      <c r="R231" s="594"/>
      <c r="S231" s="594"/>
      <c r="T231" s="594"/>
      <c r="U231" s="594"/>
      <c r="V231" s="594"/>
      <c r="W231" s="594"/>
      <c r="X231" s="696"/>
      <c r="Z231" s="585"/>
    </row>
    <row r="232" spans="1:26" s="616" customFormat="1" ht="10.5" hidden="1" customHeight="1">
      <c r="A232" s="471"/>
      <c r="D232" s="672"/>
      <c r="E232" s="901" t="s">
        <v>905</v>
      </c>
      <c r="F232" s="901"/>
      <c r="G232" s="758"/>
      <c r="H232" s="758"/>
      <c r="X232" s="696"/>
    </row>
    <row r="233" spans="1:26" s="616" customFormat="1" hidden="1">
      <c r="A233" s="471"/>
      <c r="B233" s="594"/>
      <c r="C233" s="594"/>
      <c r="D233" s="672"/>
      <c r="E233" s="594"/>
      <c r="F233" s="673"/>
      <c r="G233" s="673"/>
      <c r="H233" s="673"/>
      <c r="I233" s="673"/>
      <c r="J233" s="594"/>
      <c r="K233" s="594"/>
      <c r="L233" s="594"/>
      <c r="M233" s="594"/>
      <c r="N233" s="594"/>
      <c r="O233" s="594"/>
      <c r="P233" s="594"/>
      <c r="Q233" s="594"/>
      <c r="R233" s="594"/>
      <c r="S233" s="594"/>
      <c r="T233" s="594"/>
      <c r="U233" s="594"/>
      <c r="V233" s="594"/>
      <c r="W233" s="594"/>
      <c r="X233" s="696"/>
      <c r="Z233" s="585"/>
    </row>
    <row r="234" spans="1:26" s="616" customFormat="1" hidden="1">
      <c r="A234" s="471"/>
      <c r="B234" s="594"/>
      <c r="C234" s="594"/>
      <c r="D234" s="672"/>
      <c r="E234" s="594"/>
      <c r="F234" s="673"/>
      <c r="G234" s="673"/>
      <c r="H234" s="673"/>
      <c r="I234" s="673"/>
      <c r="J234" s="594"/>
      <c r="K234" s="594"/>
      <c r="L234" s="594"/>
      <c r="M234" s="594"/>
      <c r="N234" s="594"/>
      <c r="O234" s="594"/>
      <c r="P234" s="594"/>
      <c r="Q234" s="594"/>
      <c r="R234" s="594"/>
      <c r="S234" s="594"/>
      <c r="T234" s="594"/>
      <c r="U234" s="594"/>
      <c r="V234" s="594"/>
      <c r="W234" s="594"/>
      <c r="X234" s="696"/>
      <c r="Z234" s="585"/>
    </row>
    <row r="235" spans="1:26" s="616" customFormat="1" hidden="1">
      <c r="A235" s="471"/>
      <c r="B235" s="594"/>
      <c r="C235" s="594"/>
      <c r="D235" s="672"/>
      <c r="E235" s="594"/>
      <c r="F235" s="673"/>
      <c r="G235" s="673"/>
      <c r="H235" s="673"/>
      <c r="I235" s="673"/>
      <c r="J235" s="594"/>
      <c r="K235" s="594"/>
      <c r="L235" s="594"/>
      <c r="M235" s="594"/>
      <c r="N235" s="594"/>
      <c r="O235" s="594"/>
      <c r="P235" s="594"/>
      <c r="Q235" s="594"/>
      <c r="R235" s="594"/>
      <c r="S235" s="594"/>
      <c r="T235" s="594"/>
      <c r="U235" s="594"/>
      <c r="V235" s="594"/>
      <c r="W235" s="594"/>
      <c r="X235" s="696"/>
      <c r="Z235" s="585"/>
    </row>
    <row r="236" spans="1:26" s="616" customFormat="1" ht="15" hidden="1" customHeight="1">
      <c r="A236" s="471"/>
      <c r="D236" s="697"/>
      <c r="E236" s="759" t="s">
        <v>906</v>
      </c>
      <c r="F236" s="902" t="s">
        <v>907</v>
      </c>
      <c r="G236" s="902"/>
      <c r="H236" s="902"/>
      <c r="I236" s="902"/>
      <c r="J236" s="902"/>
      <c r="K236" s="902"/>
      <c r="L236" s="902"/>
      <c r="M236" s="902"/>
      <c r="N236" s="902"/>
      <c r="O236" s="902"/>
      <c r="P236" s="902"/>
      <c r="Q236" s="902"/>
      <c r="R236" s="902"/>
      <c r="S236" s="902"/>
      <c r="T236" s="902"/>
      <c r="U236" s="902"/>
      <c r="V236" s="902"/>
      <c r="X236" s="696"/>
    </row>
    <row r="237" spans="1:26" s="616" customFormat="1" hidden="1">
      <c r="A237" s="471"/>
      <c r="D237" s="697"/>
      <c r="E237" s="760"/>
      <c r="F237" s="760"/>
      <c r="G237" s="760"/>
      <c r="H237" s="760"/>
      <c r="I237" s="760"/>
      <c r="J237" s="594"/>
      <c r="K237" s="594"/>
      <c r="L237" s="594"/>
      <c r="M237" s="594"/>
      <c r="N237" s="594"/>
      <c r="O237" s="594"/>
      <c r="P237" s="594"/>
      <c r="Q237" s="594"/>
      <c r="R237" s="594"/>
      <c r="S237" s="594"/>
      <c r="T237" s="594"/>
      <c r="U237" s="594"/>
      <c r="V237" s="594"/>
      <c r="X237" s="696"/>
    </row>
    <row r="238" spans="1:26" s="616" customFormat="1" hidden="1">
      <c r="A238" s="471"/>
      <c r="D238" s="697"/>
      <c r="E238" s="760"/>
      <c r="F238" s="760"/>
      <c r="G238" s="760"/>
      <c r="H238" s="760"/>
      <c r="I238" s="760"/>
      <c r="J238" s="594"/>
      <c r="K238" s="594"/>
      <c r="L238" s="594"/>
      <c r="M238" s="594"/>
      <c r="N238" s="594"/>
      <c r="O238" s="594"/>
      <c r="P238" s="594"/>
      <c r="Q238" s="594"/>
      <c r="R238" s="594"/>
      <c r="S238" s="594"/>
      <c r="T238" s="594"/>
      <c r="U238" s="594"/>
      <c r="V238" s="594"/>
      <c r="X238" s="696"/>
    </row>
    <row r="239" spans="1:26" s="616" customFormat="1" ht="15" hidden="1" customHeight="1">
      <c r="A239" s="471"/>
      <c r="D239" s="697"/>
      <c r="E239" s="759" t="s">
        <v>908</v>
      </c>
      <c r="F239" s="900"/>
      <c r="G239" s="900"/>
      <c r="H239" s="900"/>
      <c r="I239" s="900"/>
      <c r="J239" s="900"/>
      <c r="K239" s="900"/>
      <c r="L239" s="900"/>
      <c r="M239" s="900"/>
      <c r="N239" s="900"/>
      <c r="O239" s="900"/>
      <c r="P239" s="900"/>
      <c r="Q239" s="900"/>
      <c r="R239" s="900"/>
      <c r="S239" s="900"/>
      <c r="T239" s="900"/>
      <c r="U239" s="900"/>
      <c r="V239" s="900"/>
      <c r="X239" s="696"/>
    </row>
    <row r="240" spans="1:26" s="616" customFormat="1" hidden="1">
      <c r="A240" s="471"/>
      <c r="B240" s="594"/>
      <c r="C240" s="594"/>
      <c r="D240" s="672"/>
      <c r="E240" s="594"/>
      <c r="F240" s="673"/>
      <c r="G240" s="673"/>
      <c r="H240" s="673"/>
      <c r="I240" s="673"/>
      <c r="J240" s="594"/>
      <c r="K240" s="594"/>
      <c r="L240" s="594"/>
      <c r="M240" s="594"/>
      <c r="N240" s="594"/>
      <c r="O240" s="594"/>
      <c r="P240" s="594"/>
      <c r="Q240" s="594"/>
      <c r="R240" s="594"/>
      <c r="S240" s="594"/>
      <c r="T240" s="594"/>
      <c r="U240" s="594"/>
      <c r="V240" s="594"/>
      <c r="W240" s="594"/>
      <c r="X240" s="696"/>
      <c r="Z240" s="585"/>
    </row>
    <row r="241" spans="1:26" s="616" customFormat="1" hidden="1">
      <c r="A241" s="471"/>
      <c r="B241" s="594"/>
      <c r="C241" s="594"/>
      <c r="D241" s="672"/>
      <c r="E241" s="594"/>
      <c r="F241" s="673"/>
      <c r="G241" s="673"/>
      <c r="H241" s="673"/>
      <c r="I241" s="673"/>
      <c r="J241" s="594"/>
      <c r="K241" s="594"/>
      <c r="L241" s="594"/>
      <c r="M241" s="594"/>
      <c r="N241" s="594"/>
      <c r="O241" s="594"/>
      <c r="P241" s="594"/>
      <c r="Q241" s="594"/>
      <c r="R241" s="594"/>
      <c r="S241" s="594"/>
      <c r="T241" s="594"/>
      <c r="U241" s="594"/>
      <c r="V241" s="594"/>
      <c r="W241" s="594"/>
      <c r="X241" s="696"/>
      <c r="Z241" s="585"/>
    </row>
    <row r="242" spans="1:26" s="616" customFormat="1" ht="15" hidden="1" customHeight="1">
      <c r="A242" s="471"/>
      <c r="D242" s="697"/>
      <c r="E242" s="759" t="s">
        <v>909</v>
      </c>
      <c r="F242" s="899"/>
      <c r="G242" s="900"/>
      <c r="H242" s="900"/>
      <c r="I242" s="900"/>
      <c r="J242" s="900"/>
      <c r="K242" s="900"/>
      <c r="L242" s="900"/>
      <c r="M242" s="900"/>
      <c r="N242" s="900"/>
      <c r="O242" s="900"/>
      <c r="P242" s="900"/>
      <c r="Q242" s="900"/>
      <c r="R242" s="900"/>
      <c r="S242" s="900"/>
      <c r="T242" s="900"/>
      <c r="U242" s="900"/>
      <c r="V242" s="900"/>
      <c r="X242" s="696"/>
    </row>
    <row r="243" spans="1:26" s="616" customFormat="1" hidden="1">
      <c r="A243" s="471"/>
      <c r="B243" s="594"/>
      <c r="C243" s="594"/>
      <c r="D243" s="672"/>
      <c r="E243" s="594"/>
      <c r="F243" s="673"/>
      <c r="G243" s="673"/>
      <c r="H243" s="673"/>
      <c r="I243" s="673"/>
      <c r="J243" s="594"/>
      <c r="K243" s="594"/>
      <c r="L243" s="594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696"/>
      <c r="Z243" s="585"/>
    </row>
    <row r="244" spans="1:26" s="616" customFormat="1" hidden="1">
      <c r="A244" s="471"/>
      <c r="B244" s="594"/>
      <c r="C244" s="594"/>
      <c r="D244" s="672"/>
      <c r="E244" s="594"/>
      <c r="F244" s="673"/>
      <c r="G244" s="673"/>
      <c r="H244" s="673"/>
      <c r="I244" s="673"/>
      <c r="J244" s="594"/>
      <c r="K244" s="594"/>
      <c r="L244" s="594"/>
      <c r="M244" s="594"/>
      <c r="N244" s="594"/>
      <c r="O244" s="594"/>
      <c r="P244" s="594"/>
      <c r="Q244" s="594"/>
      <c r="R244" s="594"/>
      <c r="S244" s="594"/>
      <c r="T244" s="594"/>
      <c r="U244" s="594"/>
      <c r="V244" s="594"/>
      <c r="W244" s="594"/>
      <c r="X244" s="696"/>
      <c r="Z244" s="585"/>
    </row>
    <row r="245" spans="1:26" s="616" customFormat="1" hidden="1">
      <c r="A245" s="471"/>
      <c r="B245" s="594"/>
      <c r="C245" s="594"/>
      <c r="D245" s="672"/>
      <c r="E245" s="594"/>
      <c r="F245" s="673"/>
      <c r="G245" s="673"/>
      <c r="H245" s="673"/>
      <c r="I245" s="673"/>
      <c r="J245" s="594"/>
      <c r="K245" s="594"/>
      <c r="L245" s="594"/>
      <c r="M245" s="594"/>
      <c r="N245" s="594"/>
      <c r="O245" s="594"/>
      <c r="P245" s="594"/>
      <c r="Q245" s="594"/>
      <c r="R245" s="594"/>
      <c r="S245" s="594"/>
      <c r="T245" s="594"/>
      <c r="U245" s="594"/>
      <c r="V245" s="594"/>
      <c r="W245" s="594"/>
      <c r="X245" s="696"/>
      <c r="Z245" s="585"/>
    </row>
    <row r="246" spans="1:26" s="616" customFormat="1" hidden="1">
      <c r="A246" s="471"/>
      <c r="B246" s="594"/>
      <c r="C246" s="594"/>
      <c r="D246" s="672"/>
      <c r="E246" s="594"/>
      <c r="F246" s="673"/>
      <c r="G246" s="673"/>
      <c r="H246" s="673"/>
      <c r="I246" s="673"/>
      <c r="J246" s="594"/>
      <c r="K246" s="594"/>
      <c r="L246" s="594"/>
      <c r="M246" s="594"/>
      <c r="N246" s="594"/>
      <c r="O246" s="594"/>
      <c r="P246" s="594"/>
      <c r="Q246" s="594"/>
      <c r="R246" s="594"/>
      <c r="S246" s="594"/>
      <c r="T246" s="594"/>
      <c r="U246" s="594"/>
      <c r="V246" s="594"/>
      <c r="W246" s="594"/>
      <c r="X246" s="696"/>
      <c r="Z246" s="585"/>
    </row>
    <row r="247" spans="1:26" s="616" customFormat="1" hidden="1">
      <c r="A247" s="471"/>
      <c r="B247" s="594"/>
      <c r="C247" s="594"/>
      <c r="D247" s="761"/>
      <c r="E247" s="655"/>
      <c r="F247" s="762"/>
      <c r="G247" s="762"/>
      <c r="H247" s="762"/>
      <c r="I247" s="762"/>
      <c r="J247" s="655"/>
      <c r="K247" s="655"/>
      <c r="L247" s="655"/>
      <c r="M247" s="655"/>
      <c r="N247" s="655"/>
      <c r="O247" s="655"/>
      <c r="P247" s="655"/>
      <c r="Q247" s="655"/>
      <c r="R247" s="655"/>
      <c r="S247" s="655"/>
      <c r="T247" s="655"/>
      <c r="U247" s="655"/>
      <c r="V247" s="655"/>
      <c r="W247" s="655"/>
      <c r="X247" s="763"/>
      <c r="Z247" s="585"/>
    </row>
    <row r="248" spans="1:26" hidden="1"/>
  </sheetData>
  <dataConsolidate/>
  <mergeCells count="14">
    <mergeCell ref="F242:V242"/>
    <mergeCell ref="V153:X153"/>
    <mergeCell ref="V154:X154"/>
    <mergeCell ref="V155:X155"/>
    <mergeCell ref="E232:F232"/>
    <mergeCell ref="F236:V236"/>
    <mergeCell ref="F239:V239"/>
    <mergeCell ref="D8:V8"/>
    <mergeCell ref="V152:X152"/>
    <mergeCell ref="V142:X142"/>
    <mergeCell ref="V148:X148"/>
    <mergeCell ref="V149:X149"/>
    <mergeCell ref="V150:X150"/>
    <mergeCell ref="V151:X151"/>
  </mergeCells>
  <conditionalFormatting sqref="D8:E8">
    <cfRule type="containsText" dxfId="72" priority="55" operator="containsText" text="THE FOLLOWING STATEMENT RECONCILES">
      <formula>NOT(ISERROR(SEARCH("THE FOLLOWING STATEMENT RECONCILES",D8)))</formula>
    </cfRule>
    <cfRule type="containsText" dxfId="71" priority="56" operator="containsText" text="&quot;THE FOLLOWING STATEMENT DOES NOT RECONCILE&quot;">
      <formula>NOT(ISERROR(SEARCH("""THE FOLLOWING STATEMENT DOES NOT RECONCILE""",D8)))</formula>
    </cfRule>
  </conditionalFormatting>
  <conditionalFormatting sqref="D8:W8">
    <cfRule type="containsText" dxfId="70" priority="54" operator="containsText" text="THE FOLLOWING STATEMENT DOES NOT RECONCILE">
      <formula>NOT(ISERROR(SEARCH("THE FOLLOWING STATEMENT DOES NOT RECONCILE",D8)))</formula>
    </cfRule>
  </conditionalFormatting>
  <conditionalFormatting sqref="F13:W13 F15:U29 W15:W29 F30:W30 F32:W73 F77:W96 F100:W112 H119:W123 F124:W124 J126:S127 J175:S175 E176:E180 J221:S227">
    <cfRule type="cellIs" dxfId="69" priority="44" operator="lessThan">
      <formula>-1</formula>
    </cfRule>
  </conditionalFormatting>
  <conditionalFormatting sqref="F70:W70 F72:W72">
    <cfRule type="cellIs" dxfId="68" priority="13" operator="lessThan">
      <formula>0</formula>
    </cfRule>
  </conditionalFormatting>
  <conditionalFormatting sqref="G118:G123">
    <cfRule type="cellIs" dxfId="67" priority="10" operator="lessThan">
      <formula>-1</formula>
    </cfRule>
  </conditionalFormatting>
  <conditionalFormatting sqref="H178:I181">
    <cfRule type="cellIs" dxfId="66" priority="43" operator="lessThan">
      <formula>-1</formula>
    </cfRule>
  </conditionalFormatting>
  <conditionalFormatting sqref="H183:I183 L184:S187 E184:E188">
    <cfRule type="cellIs" dxfId="65" priority="51" operator="lessThan">
      <formula>-1</formula>
    </cfRule>
  </conditionalFormatting>
  <conditionalFormatting sqref="H186:I220">
    <cfRule type="cellIs" dxfId="64" priority="37" operator="lessThan">
      <formula>-1</formula>
    </cfRule>
  </conditionalFormatting>
  <conditionalFormatting sqref="H224:I224">
    <cfRule type="cellIs" dxfId="63" priority="40" operator="lessThan">
      <formula>-1</formula>
    </cfRule>
  </conditionalFormatting>
  <conditionalFormatting sqref="H227:I227">
    <cfRule type="cellIs" dxfId="62" priority="39" operator="lessThan">
      <formula>-1</formula>
    </cfRule>
  </conditionalFormatting>
  <conditionalFormatting sqref="I180">
    <cfRule type="cellIs" dxfId="61" priority="15" operator="lessThan">
      <formula>-1</formula>
    </cfRule>
  </conditionalFormatting>
  <conditionalFormatting sqref="J128:J129 K176:S179 M180:P180 S180 K181:S183">
    <cfRule type="cellIs" dxfId="60" priority="50" operator="lessThan">
      <formula>-1</formula>
    </cfRule>
  </conditionalFormatting>
  <conditionalFormatting sqref="J176:J177">
    <cfRule type="cellIs" dxfId="59" priority="45" operator="lessThan">
      <formula>-1</formula>
    </cfRule>
  </conditionalFormatting>
  <conditionalFormatting sqref="K130:S130 K133:S134 K136:S136 K144:S144 K145:R174">
    <cfRule type="cellIs" dxfId="58" priority="47" operator="lessThan">
      <formula>-1</formula>
    </cfRule>
  </conditionalFormatting>
  <conditionalFormatting sqref="K138:S142">
    <cfRule type="cellIs" dxfId="57" priority="6" operator="lessThan">
      <formula>-1</formula>
    </cfRule>
  </conditionalFormatting>
  <conditionalFormatting sqref="K188:S220">
    <cfRule type="cellIs" dxfId="56" priority="38" operator="lessThan">
      <formula>-1</formula>
    </cfRule>
  </conditionalFormatting>
  <conditionalFormatting sqref="S145:S147">
    <cfRule type="cellIs" dxfId="55" priority="46" operator="lessThan">
      <formula>-1</formula>
    </cfRule>
  </conditionalFormatting>
  <conditionalFormatting sqref="S153:S155">
    <cfRule type="top10" dxfId="54" priority="42" percent="1" rank="10"/>
  </conditionalFormatting>
  <conditionalFormatting sqref="S161:S162">
    <cfRule type="cellIs" dxfId="53" priority="5" operator="lessThan">
      <formula>-1</formula>
    </cfRule>
  </conditionalFormatting>
  <conditionalFormatting sqref="S165:S168">
    <cfRule type="cellIs" dxfId="52" priority="3" operator="lessThan">
      <formula>-1</formula>
    </cfRule>
  </conditionalFormatting>
  <conditionalFormatting sqref="S170:S174">
    <cfRule type="cellIs" dxfId="51" priority="1" operator="lessThan">
      <formula>-1</formula>
    </cfRule>
  </conditionalFormatting>
  <conditionalFormatting sqref="T100:U100">
    <cfRule type="cellIs" dxfId="50" priority="52" operator="lessThan">
      <formula>0</formula>
    </cfRule>
  </conditionalFormatting>
  <conditionalFormatting sqref="V14:V29">
    <cfRule type="cellIs" dxfId="49" priority="8" operator="lessThan">
      <formula>-1</formula>
    </cfRule>
  </conditionalFormatting>
  <conditionalFormatting sqref="W100">
    <cfRule type="cellIs" dxfId="48" priority="12" operator="lessThan">
      <formula>0</formula>
    </cfRule>
  </conditionalFormatting>
  <conditionalFormatting sqref="AB148:AB155">
    <cfRule type="cellIs" dxfId="47" priority="20" operator="lessThan">
      <formula>-1</formula>
    </cfRule>
  </conditionalFormatting>
  <conditionalFormatting sqref="AB13:AC13">
    <cfRule type="cellIs" dxfId="46" priority="35" operator="lessThan">
      <formula>-1</formula>
    </cfRule>
  </conditionalFormatting>
  <conditionalFormatting sqref="AB15:AC30 AF15:AH30 F119:F123">
    <cfRule type="cellIs" dxfId="45" priority="49" operator="lessThan">
      <formula>-1</formula>
    </cfRule>
  </conditionalFormatting>
  <conditionalFormatting sqref="AB32:AC73 AF32:AH73 AB77:AC96 AF77:AH96 AB100:AC112 AF100:AH112 AB119:AC124 AF119:AH124">
    <cfRule type="cellIs" dxfId="44" priority="14" operator="lessThan">
      <formula>-1</formula>
    </cfRule>
  </conditionalFormatting>
  <conditionalFormatting sqref="AB70:AC70 AB72:AC72">
    <cfRule type="cellIs" dxfId="43" priority="36" operator="lessThan">
      <formula>0</formula>
    </cfRule>
  </conditionalFormatting>
  <conditionalFormatting sqref="AB126:AC127">
    <cfRule type="cellIs" dxfId="42" priority="34" operator="lessThan">
      <formula>-1</formula>
    </cfRule>
  </conditionalFormatting>
  <conditionalFormatting sqref="AB144:AC147">
    <cfRule type="cellIs" dxfId="41" priority="32" operator="lessThan">
      <formula>-1</formula>
    </cfRule>
  </conditionalFormatting>
  <conditionalFormatting sqref="AB161:AC162">
    <cfRule type="cellIs" dxfId="40" priority="30" operator="lessThan">
      <formula>-1</formula>
    </cfRule>
  </conditionalFormatting>
  <conditionalFormatting sqref="AB165:AC168">
    <cfRule type="cellIs" dxfId="39" priority="29" operator="lessThan">
      <formula>-1</formula>
    </cfRule>
  </conditionalFormatting>
  <conditionalFormatting sqref="AB170:AC172">
    <cfRule type="cellIs" dxfId="38" priority="33" operator="lessThan">
      <formula>-1</formula>
    </cfRule>
  </conditionalFormatting>
  <conditionalFormatting sqref="AB130:AH130 AB133:AH134 AB136:AH136 AD144:AH144">
    <cfRule type="cellIs" dxfId="37" priority="22" operator="lessThan">
      <formula>-1</formula>
    </cfRule>
  </conditionalFormatting>
  <conditionalFormatting sqref="AB138:AH142">
    <cfRule type="cellIs" dxfId="36" priority="21" operator="lessThan">
      <formula>-1</formula>
    </cfRule>
  </conditionalFormatting>
  <conditionalFormatting sqref="AC153:AC155">
    <cfRule type="top10" dxfId="35" priority="31" percent="1" rank="10"/>
  </conditionalFormatting>
  <conditionalFormatting sqref="AF148:AF155">
    <cfRule type="cellIs" dxfId="34" priority="19" operator="lessThan">
      <formula>-1</formula>
    </cfRule>
  </conditionalFormatting>
  <conditionalFormatting sqref="AF13:AH13">
    <cfRule type="cellIs" dxfId="33" priority="27" operator="lessThan">
      <formula>-1</formula>
    </cfRule>
  </conditionalFormatting>
  <conditionalFormatting sqref="AF70:AH70 AF72:AH72">
    <cfRule type="cellIs" dxfId="32" priority="28" operator="lessThan">
      <formula>0</formula>
    </cfRule>
  </conditionalFormatting>
  <conditionalFormatting sqref="AF126:AH127">
    <cfRule type="cellIs" dxfId="31" priority="26" operator="lessThan">
      <formula>-1</formula>
    </cfRule>
  </conditionalFormatting>
  <conditionalFormatting sqref="AF145:AH147">
    <cfRule type="cellIs" dxfId="30" priority="24" operator="lessThan">
      <formula>-1</formula>
    </cfRule>
  </conditionalFormatting>
  <conditionalFormatting sqref="AF161:AH162">
    <cfRule type="cellIs" dxfId="29" priority="18" operator="lessThan">
      <formula>-1</formula>
    </cfRule>
  </conditionalFormatting>
  <conditionalFormatting sqref="AF165:AH168">
    <cfRule type="cellIs" dxfId="28" priority="17" operator="lessThan">
      <formula>-1</formula>
    </cfRule>
  </conditionalFormatting>
  <conditionalFormatting sqref="AF170:AH172">
    <cfRule type="cellIs" dxfId="27" priority="25" operator="lessThan">
      <formula>-1</formula>
    </cfRule>
  </conditionalFormatting>
  <conditionalFormatting sqref="AG153:AH155">
    <cfRule type="top10" dxfId="26" priority="23" percent="1" rank="10"/>
  </conditionalFormatting>
  <pageMargins left="0.70866141732283472" right="0.70866141732283472" top="0.74803149606299213" bottom="0.74803149606299213" header="0.31496062992125984" footer="0.31496062992125984"/>
  <pageSetup paperSize="9" scale="59" fitToHeight="0" orientation="landscape" r:id="rId1"/>
  <headerFooter>
    <oddFooter>&amp;C_x000D_&amp;1#&amp;"Calibri"&amp;10&amp;K000000 OFFICIAL</oddFooter>
  </headerFooter>
  <rowBreaks count="2" manualBreakCount="2">
    <brk id="69" min="2" max="19" man="1"/>
    <brk id="12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B0D9D-094F-41C9-BE75-C0CC6FF66015}">
  <sheetPr codeName="Sheet14"/>
  <dimension ref="A1:P221"/>
  <sheetViews>
    <sheetView workbookViewId="0">
      <selection activeCell="FP201" sqref="FP201"/>
    </sheetView>
  </sheetViews>
  <sheetFormatPr defaultRowHeight="14.5"/>
  <cols>
    <col min="1" max="1" width="13.1796875" bestFit="1" customWidth="1"/>
    <col min="2" max="2" width="31" bestFit="1" customWidth="1"/>
    <col min="3" max="3" width="9.453125" customWidth="1"/>
    <col min="6" max="6" width="11.54296875" bestFit="1" customWidth="1"/>
    <col min="7" max="7" width="21.26953125" customWidth="1"/>
    <col min="8" max="8" width="11.54296875" bestFit="1" customWidth="1"/>
    <col min="9" max="9" width="10.54296875" bestFit="1" customWidth="1"/>
    <col min="10" max="11" width="11.54296875" bestFit="1" customWidth="1"/>
    <col min="12" max="12" width="10.54296875" bestFit="1" customWidth="1"/>
    <col min="13" max="13" width="9.54296875" bestFit="1" customWidth="1"/>
    <col min="14" max="14" width="10.54296875" bestFit="1" customWidth="1"/>
    <col min="15" max="15" width="9.54296875" bestFit="1" customWidth="1"/>
    <col min="16" max="16" width="13.26953125" bestFit="1" customWidth="1"/>
  </cols>
  <sheetData>
    <row r="1" spans="1:2">
      <c r="A1" s="809" t="s">
        <v>910</v>
      </c>
      <c r="B1" t="s">
        <v>1238</v>
      </c>
    </row>
    <row r="2" spans="1:2">
      <c r="A2" s="5" t="s">
        <v>912</v>
      </c>
      <c r="B2" s="33">
        <v>37654125.555215485</v>
      </c>
    </row>
    <row r="3" spans="1:2">
      <c r="A3" s="5" t="s">
        <v>913</v>
      </c>
      <c r="B3" s="33">
        <v>37654125.555215485</v>
      </c>
    </row>
    <row r="34" spans="1:16" hidden="1">
      <c r="A34" s="1" t="s">
        <v>15</v>
      </c>
      <c r="B34" s="1" t="s">
        <v>16</v>
      </c>
      <c r="C34" s="1" t="s">
        <v>17</v>
      </c>
      <c r="D34" s="1" t="s">
        <v>18</v>
      </c>
      <c r="E34" s="1" t="s">
        <v>19</v>
      </c>
      <c r="F34" s="1" t="s">
        <v>20</v>
      </c>
      <c r="G34" s="1" t="s">
        <v>914</v>
      </c>
      <c r="H34" s="1" t="s">
        <v>457</v>
      </c>
      <c r="I34" s="1" t="s">
        <v>916</v>
      </c>
      <c r="J34" s="1" t="s">
        <v>13</v>
      </c>
      <c r="K34" s="1" t="s">
        <v>918</v>
      </c>
      <c r="L34" s="1" t="s">
        <v>919</v>
      </c>
      <c r="M34" s="1" t="s">
        <v>9</v>
      </c>
      <c r="N34" s="1" t="s">
        <v>10</v>
      </c>
      <c r="O34" s="1" t="s">
        <v>489</v>
      </c>
      <c r="P34" s="1" t="s">
        <v>954</v>
      </c>
    </row>
    <row r="35" spans="1:16" hidden="1">
      <c r="A35">
        <v>1027</v>
      </c>
      <c r="B35">
        <v>103140</v>
      </c>
      <c r="C35" t="s">
        <v>27</v>
      </c>
      <c r="D35" t="s">
        <v>28</v>
      </c>
      <c r="E35" t="s">
        <v>29</v>
      </c>
      <c r="F35" t="s">
        <v>912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</row>
    <row r="36" spans="1:16" hidden="1">
      <c r="A36">
        <v>2010</v>
      </c>
      <c r="B36">
        <v>103159</v>
      </c>
      <c r="C36" t="s">
        <v>30</v>
      </c>
      <c r="D36" t="s">
        <v>31</v>
      </c>
      <c r="E36" t="s">
        <v>32</v>
      </c>
      <c r="F36" t="s">
        <v>912</v>
      </c>
      <c r="G36" s="57">
        <v>219581.35606729952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-910.62666666666655</v>
      </c>
      <c r="N36" s="57">
        <v>-3930.81</v>
      </c>
      <c r="O36" s="57">
        <v>0</v>
      </c>
      <c r="P36" s="57">
        <v>214739.91940063285</v>
      </c>
    </row>
    <row r="37" spans="1:16" hidden="1">
      <c r="A37">
        <v>5949</v>
      </c>
      <c r="B37">
        <v>131465</v>
      </c>
      <c r="C37" t="s">
        <v>33</v>
      </c>
      <c r="D37" t="s">
        <v>34</v>
      </c>
      <c r="E37" t="s">
        <v>32</v>
      </c>
      <c r="F37" t="s">
        <v>912</v>
      </c>
      <c r="G37" s="57">
        <v>303025.269104212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-1371.3733333333332</v>
      </c>
      <c r="N37" s="57">
        <v>-6153.3675000000003</v>
      </c>
      <c r="O37" s="57">
        <v>0</v>
      </c>
      <c r="P37" s="57">
        <v>295500.52827087865</v>
      </c>
    </row>
    <row r="38" spans="1:16" hidden="1">
      <c r="A38">
        <v>1017</v>
      </c>
      <c r="B38">
        <v>103130</v>
      </c>
      <c r="C38" t="s">
        <v>35</v>
      </c>
      <c r="D38" t="s">
        <v>36</v>
      </c>
      <c r="E38" t="s">
        <v>29</v>
      </c>
      <c r="F38" t="s">
        <v>912</v>
      </c>
      <c r="G38" s="57">
        <v>0</v>
      </c>
      <c r="H38" s="57">
        <v>0</v>
      </c>
      <c r="I38" s="57">
        <v>4000</v>
      </c>
      <c r="J38" s="57">
        <v>0</v>
      </c>
      <c r="K38" s="57">
        <v>0</v>
      </c>
      <c r="L38" s="57">
        <v>9462.0116666666672</v>
      </c>
      <c r="M38" s="57">
        <v>0</v>
      </c>
      <c r="N38" s="57">
        <v>0</v>
      </c>
      <c r="O38" s="57">
        <v>0</v>
      </c>
      <c r="P38" s="57">
        <v>13462.011666666667</v>
      </c>
    </row>
    <row r="39" spans="1:16" hidden="1">
      <c r="A39">
        <v>2153</v>
      </c>
      <c r="B39">
        <v>103243</v>
      </c>
      <c r="C39" t="s">
        <v>37</v>
      </c>
      <c r="D39" t="s">
        <v>38</v>
      </c>
      <c r="E39" t="s">
        <v>32</v>
      </c>
      <c r="F39" t="s">
        <v>912</v>
      </c>
      <c r="G39" s="57">
        <v>206966.2751977072</v>
      </c>
      <c r="H39" s="57">
        <v>0</v>
      </c>
      <c r="I39" s="57">
        <v>22666.666666666668</v>
      </c>
      <c r="J39" s="57">
        <v>0</v>
      </c>
      <c r="K39" s="57">
        <v>0</v>
      </c>
      <c r="L39" s="57">
        <v>15942.940000000002</v>
      </c>
      <c r="M39" s="57">
        <v>-867.16</v>
      </c>
      <c r="N39" s="57">
        <v>-2059.0374999999999</v>
      </c>
      <c r="O39" s="57">
        <v>0</v>
      </c>
      <c r="P39" s="57">
        <v>242649.68436437385</v>
      </c>
    </row>
    <row r="40" spans="1:16" hidden="1">
      <c r="A40">
        <v>2062</v>
      </c>
      <c r="B40">
        <v>103192</v>
      </c>
      <c r="C40" t="s">
        <v>39</v>
      </c>
      <c r="D40" t="s">
        <v>40</v>
      </c>
      <c r="E40" t="s">
        <v>32</v>
      </c>
      <c r="F40" t="s">
        <v>912</v>
      </c>
      <c r="G40" s="57">
        <v>210272.83492670828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-854.11999999999989</v>
      </c>
      <c r="N40" s="57">
        <v>-4054.6608333333334</v>
      </c>
      <c r="O40" s="57">
        <v>0</v>
      </c>
      <c r="P40" s="57">
        <v>205364.05409337496</v>
      </c>
    </row>
    <row r="41" spans="1:16" hidden="1">
      <c r="A41">
        <v>2479</v>
      </c>
      <c r="B41">
        <v>132074</v>
      </c>
      <c r="C41" t="s">
        <v>41</v>
      </c>
      <c r="D41" t="s">
        <v>42</v>
      </c>
      <c r="E41" t="s">
        <v>32</v>
      </c>
      <c r="F41" t="s">
        <v>912</v>
      </c>
      <c r="G41" s="57">
        <v>321388.17469997873</v>
      </c>
      <c r="H41" s="57">
        <v>0</v>
      </c>
      <c r="I41" s="57">
        <v>5000</v>
      </c>
      <c r="J41" s="57">
        <v>0</v>
      </c>
      <c r="K41" s="57">
        <v>0</v>
      </c>
      <c r="L41" s="57">
        <v>7242.8808333333336</v>
      </c>
      <c r="M41" s="57">
        <v>-1360.5066666666664</v>
      </c>
      <c r="N41" s="57">
        <v>-2605.8175000000001</v>
      </c>
      <c r="O41" s="57">
        <v>0</v>
      </c>
      <c r="P41" s="57">
        <v>329664.73136664543</v>
      </c>
    </row>
    <row r="42" spans="1:16" hidden="1">
      <c r="A42">
        <v>2300</v>
      </c>
      <c r="B42">
        <v>103324</v>
      </c>
      <c r="C42" t="s">
        <v>43</v>
      </c>
      <c r="D42" t="s">
        <v>44</v>
      </c>
      <c r="E42" t="s">
        <v>32</v>
      </c>
      <c r="F42" t="s">
        <v>912</v>
      </c>
      <c r="G42" s="57">
        <v>317456.45563230768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>
        <v>-1388.76</v>
      </c>
      <c r="N42" s="57">
        <v>-6741.0908333333327</v>
      </c>
      <c r="O42" s="57">
        <v>0</v>
      </c>
      <c r="P42" s="57">
        <v>309326.60479897435</v>
      </c>
    </row>
    <row r="43" spans="1:16" hidden="1">
      <c r="A43">
        <v>7016</v>
      </c>
      <c r="B43">
        <v>103606</v>
      </c>
      <c r="C43" t="s">
        <v>45</v>
      </c>
      <c r="D43" t="s">
        <v>46</v>
      </c>
      <c r="E43" t="s">
        <v>47</v>
      </c>
      <c r="F43" t="s">
        <v>912</v>
      </c>
      <c r="G43" s="57">
        <v>0</v>
      </c>
      <c r="H43" s="57">
        <v>173195</v>
      </c>
      <c r="I43" s="57">
        <v>0</v>
      </c>
      <c r="J43" s="57">
        <v>0</v>
      </c>
      <c r="K43" s="57">
        <v>243250.88710517736</v>
      </c>
      <c r="L43" s="57">
        <v>0</v>
      </c>
      <c r="M43" s="57">
        <v>0</v>
      </c>
      <c r="N43" s="57">
        <v>0</v>
      </c>
      <c r="O43" s="57">
        <v>0</v>
      </c>
      <c r="P43" s="57">
        <v>416445.88710517739</v>
      </c>
    </row>
    <row r="44" spans="1:16" hidden="1">
      <c r="A44">
        <v>2017</v>
      </c>
      <c r="B44">
        <v>103164</v>
      </c>
      <c r="C44" t="s">
        <v>48</v>
      </c>
      <c r="D44" t="s">
        <v>49</v>
      </c>
      <c r="E44" t="s">
        <v>32</v>
      </c>
      <c r="F44" t="s">
        <v>912</v>
      </c>
      <c r="G44" s="57">
        <v>148652.69704209597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>
        <v>-575.93333333333328</v>
      </c>
      <c r="N44" s="57">
        <v>-2367.3191666666667</v>
      </c>
      <c r="O44" s="57">
        <v>0</v>
      </c>
      <c r="P44" s="57">
        <v>145709.444542096</v>
      </c>
    </row>
    <row r="45" spans="1:16" hidden="1">
      <c r="A45">
        <v>2016</v>
      </c>
      <c r="B45">
        <v>103163</v>
      </c>
      <c r="C45" t="s">
        <v>50</v>
      </c>
      <c r="D45" t="s">
        <v>51</v>
      </c>
      <c r="E45" t="s">
        <v>32</v>
      </c>
      <c r="F45" t="s">
        <v>912</v>
      </c>
      <c r="G45" s="57">
        <v>190506.38868066322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-780.22666666666657</v>
      </c>
      <c r="N45" s="57">
        <v>-3550.978333333333</v>
      </c>
      <c r="O45" s="57">
        <v>0</v>
      </c>
      <c r="P45" s="57">
        <v>186175.18368066323</v>
      </c>
    </row>
    <row r="46" spans="1:16" hidden="1">
      <c r="A46">
        <v>2239</v>
      </c>
      <c r="B46">
        <v>103289</v>
      </c>
      <c r="C46" t="s">
        <v>52</v>
      </c>
      <c r="D46" t="s">
        <v>53</v>
      </c>
      <c r="E46" t="s">
        <v>32</v>
      </c>
      <c r="F46" t="s">
        <v>912</v>
      </c>
      <c r="G46" s="57">
        <v>81101.380064877696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-319.47999999999996</v>
      </c>
      <c r="N46" s="57">
        <v>-925.4666666666667</v>
      </c>
      <c r="O46" s="57">
        <v>0</v>
      </c>
      <c r="P46" s="57">
        <v>79856.43339821104</v>
      </c>
    </row>
    <row r="47" spans="1:16" hidden="1">
      <c r="A47">
        <v>2241</v>
      </c>
      <c r="B47">
        <v>103291</v>
      </c>
      <c r="C47" t="s">
        <v>54</v>
      </c>
      <c r="D47" t="s">
        <v>55</v>
      </c>
      <c r="E47" t="s">
        <v>32</v>
      </c>
      <c r="F47" t="s">
        <v>912</v>
      </c>
      <c r="G47" s="57">
        <v>128307.30481873961</v>
      </c>
      <c r="H47" s="57">
        <v>0</v>
      </c>
      <c r="I47" s="57">
        <v>5000</v>
      </c>
      <c r="J47" s="57">
        <v>0</v>
      </c>
      <c r="K47" s="57">
        <v>0</v>
      </c>
      <c r="L47" s="57">
        <v>0</v>
      </c>
      <c r="M47" s="57">
        <v>-530.29333333333329</v>
      </c>
      <c r="N47" s="57">
        <v>-1226.7825</v>
      </c>
      <c r="O47" s="57">
        <v>0</v>
      </c>
      <c r="P47" s="57">
        <v>131550.22898540625</v>
      </c>
    </row>
    <row r="48" spans="1:16" hidden="1">
      <c r="A48">
        <v>5413</v>
      </c>
      <c r="B48">
        <v>103560</v>
      </c>
      <c r="C48" t="s">
        <v>56</v>
      </c>
      <c r="D48" t="s">
        <v>57</v>
      </c>
      <c r="E48" t="s">
        <v>58</v>
      </c>
      <c r="F48" t="s">
        <v>912</v>
      </c>
      <c r="G48" s="57">
        <v>614733.84409639623</v>
      </c>
      <c r="H48" s="57">
        <v>0</v>
      </c>
      <c r="I48" s="57">
        <v>0</v>
      </c>
      <c r="J48" s="57">
        <v>132581.83333333334</v>
      </c>
      <c r="K48" s="57">
        <v>0</v>
      </c>
      <c r="L48" s="57">
        <v>0</v>
      </c>
      <c r="M48" s="57">
        <v>-1665.7574999999999</v>
      </c>
      <c r="N48" s="57">
        <v>-7300.3525</v>
      </c>
      <c r="O48" s="57">
        <v>0</v>
      </c>
      <c r="P48" s="57">
        <v>738349.56742972962</v>
      </c>
    </row>
    <row r="49" spans="1:16" hidden="1">
      <c r="A49">
        <v>1025</v>
      </c>
      <c r="B49">
        <v>103138</v>
      </c>
      <c r="C49" t="s">
        <v>59</v>
      </c>
      <c r="D49" t="s">
        <v>60</v>
      </c>
      <c r="E49" t="s">
        <v>29</v>
      </c>
      <c r="F49" t="s">
        <v>912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</row>
    <row r="50" spans="1:16" hidden="1">
      <c r="A50">
        <v>2402</v>
      </c>
      <c r="B50">
        <v>103342</v>
      </c>
      <c r="C50" t="s">
        <v>61</v>
      </c>
      <c r="D50" t="s">
        <v>62</v>
      </c>
      <c r="E50" t="s">
        <v>32</v>
      </c>
      <c r="F50" t="s">
        <v>912</v>
      </c>
      <c r="G50" s="57">
        <v>116366.29212458333</v>
      </c>
      <c r="H50" s="57">
        <v>0</v>
      </c>
      <c r="I50" s="57">
        <v>11000</v>
      </c>
      <c r="J50" s="57">
        <v>0</v>
      </c>
      <c r="K50" s="57">
        <v>0</v>
      </c>
      <c r="L50" s="57">
        <v>19980.493333333332</v>
      </c>
      <c r="M50" s="57">
        <v>-593.31999999999994</v>
      </c>
      <c r="N50" s="57">
        <v>-1506.575</v>
      </c>
      <c r="O50" s="57">
        <v>0</v>
      </c>
      <c r="P50" s="57">
        <v>145246.89045791666</v>
      </c>
    </row>
    <row r="51" spans="1:16" hidden="1">
      <c r="A51">
        <v>2401</v>
      </c>
      <c r="B51">
        <v>103341</v>
      </c>
      <c r="C51" t="s">
        <v>63</v>
      </c>
      <c r="D51" t="s">
        <v>64</v>
      </c>
      <c r="E51" t="s">
        <v>32</v>
      </c>
      <c r="F51" t="s">
        <v>912</v>
      </c>
      <c r="G51" s="57">
        <v>159075.33333333334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-828.04</v>
      </c>
      <c r="N51" s="57">
        <v>-1754.0833333333333</v>
      </c>
      <c r="O51" s="57">
        <v>0</v>
      </c>
      <c r="P51" s="57">
        <v>156493.21</v>
      </c>
    </row>
    <row r="52" spans="1:16" hidden="1">
      <c r="A52">
        <v>4115</v>
      </c>
      <c r="B52">
        <v>103493</v>
      </c>
      <c r="C52" t="s">
        <v>65</v>
      </c>
      <c r="D52" t="s">
        <v>66</v>
      </c>
      <c r="E52" t="s">
        <v>58</v>
      </c>
      <c r="F52" t="s">
        <v>912</v>
      </c>
      <c r="G52" s="57">
        <v>440089.33827634115</v>
      </c>
      <c r="H52" s="57">
        <v>0</v>
      </c>
      <c r="I52" s="57">
        <v>6000</v>
      </c>
      <c r="J52" s="57">
        <v>197073.33333333331</v>
      </c>
      <c r="K52" s="57">
        <v>0</v>
      </c>
      <c r="L52" s="57">
        <v>31213.860833333332</v>
      </c>
      <c r="M52" s="57">
        <v>-1058.5024999999998</v>
      </c>
      <c r="N52" s="57">
        <v>-7134.8258333333333</v>
      </c>
      <c r="O52" s="57">
        <v>0</v>
      </c>
      <c r="P52" s="57">
        <v>666183.20410967455</v>
      </c>
    </row>
    <row r="53" spans="1:16" hidden="1">
      <c r="A53">
        <v>2030</v>
      </c>
      <c r="B53">
        <v>103172</v>
      </c>
      <c r="C53" t="s">
        <v>67</v>
      </c>
      <c r="D53" t="s">
        <v>68</v>
      </c>
      <c r="E53" t="s">
        <v>32</v>
      </c>
      <c r="F53" t="s">
        <v>912</v>
      </c>
      <c r="G53" s="57">
        <v>308029.62634481379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-1345.2933333333333</v>
      </c>
      <c r="N53" s="57">
        <v>-2782.4833333333336</v>
      </c>
      <c r="O53" s="57">
        <v>0</v>
      </c>
      <c r="P53" s="57">
        <v>303901.84967814712</v>
      </c>
    </row>
    <row r="54" spans="1:16" hidden="1">
      <c r="A54">
        <v>3353</v>
      </c>
      <c r="B54">
        <v>103445</v>
      </c>
      <c r="C54" t="s">
        <v>69</v>
      </c>
      <c r="D54" t="s">
        <v>70</v>
      </c>
      <c r="E54" t="s">
        <v>32</v>
      </c>
      <c r="F54" t="s">
        <v>912</v>
      </c>
      <c r="G54" s="57">
        <v>269330.6816666667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>
        <v>-1412.6666666666667</v>
      </c>
      <c r="N54" s="57">
        <v>-934.84833333333336</v>
      </c>
      <c r="O54" s="57">
        <v>0</v>
      </c>
      <c r="P54" s="57">
        <v>266983.16666666669</v>
      </c>
    </row>
    <row r="55" spans="1:16" hidden="1">
      <c r="A55">
        <v>7030</v>
      </c>
      <c r="B55">
        <v>103611</v>
      </c>
      <c r="C55" t="s">
        <v>71</v>
      </c>
      <c r="D55" t="s">
        <v>72</v>
      </c>
      <c r="E55" t="s">
        <v>47</v>
      </c>
      <c r="F55" t="s">
        <v>912</v>
      </c>
      <c r="G55" s="57">
        <v>0</v>
      </c>
      <c r="H55" s="57">
        <v>70015</v>
      </c>
      <c r="I55" s="57">
        <v>0</v>
      </c>
      <c r="J55" s="57">
        <v>0</v>
      </c>
      <c r="K55" s="57">
        <v>45499.229498080982</v>
      </c>
      <c r="L55" s="57">
        <v>0</v>
      </c>
      <c r="M55" s="57">
        <v>0</v>
      </c>
      <c r="N55" s="57">
        <v>0</v>
      </c>
      <c r="O55" s="57">
        <v>0</v>
      </c>
      <c r="P55" s="57">
        <v>115514.22949808098</v>
      </c>
    </row>
    <row r="56" spans="1:16" hidden="1">
      <c r="A56">
        <v>1002</v>
      </c>
      <c r="B56">
        <v>103121</v>
      </c>
      <c r="C56" t="s">
        <v>73</v>
      </c>
      <c r="D56" t="s">
        <v>74</v>
      </c>
      <c r="E56" t="s">
        <v>29</v>
      </c>
      <c r="F56" t="s">
        <v>912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</row>
    <row r="57" spans="1:16" hidden="1">
      <c r="A57">
        <v>2465</v>
      </c>
      <c r="B57">
        <v>103391</v>
      </c>
      <c r="C57" t="s">
        <v>79</v>
      </c>
      <c r="D57" t="s">
        <v>80</v>
      </c>
      <c r="E57" t="s">
        <v>32</v>
      </c>
      <c r="F57" t="s">
        <v>912</v>
      </c>
      <c r="G57" s="57">
        <v>226888.66764768012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-908.45333333333326</v>
      </c>
      <c r="N57" s="57">
        <v>-3836.0974999999999</v>
      </c>
      <c r="O57" s="57">
        <v>0</v>
      </c>
      <c r="P57" s="57">
        <v>222144.11681434678</v>
      </c>
    </row>
    <row r="58" spans="1:16" hidden="1">
      <c r="A58">
        <v>4801</v>
      </c>
      <c r="B58">
        <v>103539</v>
      </c>
      <c r="C58" t="s">
        <v>81</v>
      </c>
      <c r="D58" t="s">
        <v>82</v>
      </c>
      <c r="E58" t="s">
        <v>58</v>
      </c>
      <c r="F58" t="s">
        <v>912</v>
      </c>
      <c r="G58" s="57">
        <v>519255.28118677606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>
        <v>-1316.8374999999999</v>
      </c>
      <c r="N58" s="57">
        <v>-2058.1550000000002</v>
      </c>
      <c r="O58" s="57">
        <v>0</v>
      </c>
      <c r="P58" s="57">
        <v>515880.28868677601</v>
      </c>
    </row>
    <row r="59" spans="1:16" hidden="1">
      <c r="A59">
        <v>1048</v>
      </c>
      <c r="B59">
        <v>103144</v>
      </c>
      <c r="C59" t="s">
        <v>83</v>
      </c>
      <c r="D59" t="s">
        <v>84</v>
      </c>
      <c r="E59" t="s">
        <v>29</v>
      </c>
      <c r="F59" t="s">
        <v>912</v>
      </c>
      <c r="G59" s="57">
        <v>0</v>
      </c>
      <c r="H59" s="57">
        <v>0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</row>
    <row r="60" spans="1:16" hidden="1">
      <c r="A60">
        <v>2312</v>
      </c>
      <c r="B60">
        <v>103332</v>
      </c>
      <c r="C60" t="s">
        <v>85</v>
      </c>
      <c r="D60" t="s">
        <v>86</v>
      </c>
      <c r="E60" t="s">
        <v>32</v>
      </c>
      <c r="F60" t="s">
        <v>912</v>
      </c>
      <c r="G60" s="57">
        <v>180860.55892499999</v>
      </c>
      <c r="H60" s="57">
        <v>0</v>
      </c>
      <c r="I60" s="57">
        <v>0</v>
      </c>
      <c r="J60" s="57">
        <v>0</v>
      </c>
      <c r="K60" s="57">
        <v>0</v>
      </c>
      <c r="L60" s="57">
        <v>0</v>
      </c>
      <c r="M60" s="57">
        <v>-914.97333333333324</v>
      </c>
      <c r="N60" s="57">
        <v>-2517.4850000000001</v>
      </c>
      <c r="O60" s="57">
        <v>0</v>
      </c>
      <c r="P60" s="57">
        <v>177428.10059166668</v>
      </c>
    </row>
    <row r="61" spans="1:16" hidden="1">
      <c r="A61">
        <v>7051</v>
      </c>
      <c r="B61">
        <v>103626</v>
      </c>
      <c r="C61" t="s">
        <v>87</v>
      </c>
      <c r="D61" t="s">
        <v>88</v>
      </c>
      <c r="E61" t="s">
        <v>47</v>
      </c>
      <c r="F61" t="s">
        <v>912</v>
      </c>
      <c r="G61" s="57">
        <v>0</v>
      </c>
      <c r="H61" s="57">
        <v>102258.75</v>
      </c>
      <c r="I61" s="57">
        <v>0</v>
      </c>
      <c r="J61" s="57">
        <v>0</v>
      </c>
      <c r="K61" s="57">
        <v>85514.142729049374</v>
      </c>
      <c r="L61" s="57">
        <v>0</v>
      </c>
      <c r="M61" s="57">
        <v>0</v>
      </c>
      <c r="N61" s="57">
        <v>0</v>
      </c>
      <c r="O61" s="57">
        <v>0</v>
      </c>
      <c r="P61" s="57">
        <v>187772.89272904937</v>
      </c>
    </row>
    <row r="62" spans="1:16" hidden="1">
      <c r="A62">
        <v>2040</v>
      </c>
      <c r="B62">
        <v>103178</v>
      </c>
      <c r="C62" t="s">
        <v>89</v>
      </c>
      <c r="D62" t="s">
        <v>90</v>
      </c>
      <c r="E62" t="s">
        <v>32</v>
      </c>
      <c r="F62" t="s">
        <v>912</v>
      </c>
      <c r="G62" s="57">
        <v>195983.63540148296</v>
      </c>
      <c r="H62" s="57">
        <v>0</v>
      </c>
      <c r="I62" s="57">
        <v>8000</v>
      </c>
      <c r="J62" s="57">
        <v>0</v>
      </c>
      <c r="K62" s="57">
        <v>0</v>
      </c>
      <c r="L62" s="57">
        <v>24638.947500000002</v>
      </c>
      <c r="M62" s="57">
        <v>-923.66666666666663</v>
      </c>
      <c r="N62" s="57">
        <v>-2539.5683333333332</v>
      </c>
      <c r="O62" s="57">
        <v>0</v>
      </c>
      <c r="P62" s="57">
        <v>225159.34790148298</v>
      </c>
    </row>
    <row r="63" spans="1:16" hidden="1">
      <c r="A63">
        <v>2251</v>
      </c>
      <c r="B63">
        <v>103298</v>
      </c>
      <c r="C63" t="s">
        <v>91</v>
      </c>
      <c r="D63" t="s">
        <v>92</v>
      </c>
      <c r="E63" t="s">
        <v>32</v>
      </c>
      <c r="F63" t="s">
        <v>912</v>
      </c>
      <c r="G63" s="57">
        <v>174497.13583333333</v>
      </c>
      <c r="H63" s="57">
        <v>0</v>
      </c>
      <c r="I63" s="57">
        <v>0</v>
      </c>
      <c r="J63" s="57">
        <v>0</v>
      </c>
      <c r="K63" s="57">
        <v>0</v>
      </c>
      <c r="L63" s="57">
        <v>0</v>
      </c>
      <c r="M63" s="57">
        <v>-910.62666666666655</v>
      </c>
      <c r="N63" s="57">
        <v>-1485.0525</v>
      </c>
      <c r="O63" s="57">
        <v>0</v>
      </c>
      <c r="P63" s="57">
        <v>172101.45666666667</v>
      </c>
    </row>
    <row r="64" spans="1:16" hidden="1">
      <c r="A64">
        <v>3002</v>
      </c>
      <c r="B64">
        <v>103397</v>
      </c>
      <c r="C64" t="s">
        <v>93</v>
      </c>
      <c r="D64" t="s">
        <v>94</v>
      </c>
      <c r="E64" t="s">
        <v>32</v>
      </c>
      <c r="F64" t="s">
        <v>912</v>
      </c>
      <c r="G64" s="57">
        <v>110958.47222853037</v>
      </c>
      <c r="H64" s="57">
        <v>0</v>
      </c>
      <c r="I64" s="57">
        <v>0</v>
      </c>
      <c r="J64" s="57">
        <v>0</v>
      </c>
      <c r="K64" s="57">
        <v>0</v>
      </c>
      <c r="L64" s="57">
        <v>0</v>
      </c>
      <c r="M64" s="57">
        <v>-432.49333333333334</v>
      </c>
      <c r="N64" s="57">
        <v>-1667.9933333333331</v>
      </c>
      <c r="O64" s="57">
        <v>0</v>
      </c>
      <c r="P64" s="57">
        <v>108857.98556186371</v>
      </c>
    </row>
    <row r="65" spans="1:16" hidden="1">
      <c r="A65">
        <v>3319</v>
      </c>
      <c r="B65">
        <v>103423</v>
      </c>
      <c r="C65" t="s">
        <v>95</v>
      </c>
      <c r="D65" t="s">
        <v>96</v>
      </c>
      <c r="E65" t="s">
        <v>32</v>
      </c>
      <c r="F65" t="s">
        <v>912</v>
      </c>
      <c r="G65" s="57">
        <v>175586.93448027145</v>
      </c>
      <c r="H65" s="57">
        <v>0</v>
      </c>
      <c r="I65" s="57">
        <v>0</v>
      </c>
      <c r="J65" s="57">
        <v>0</v>
      </c>
      <c r="K65" s="57">
        <v>0</v>
      </c>
      <c r="L65" s="57">
        <v>0</v>
      </c>
      <c r="M65" s="57">
        <v>-786.74666666666656</v>
      </c>
      <c r="N65" s="57">
        <v>-439.45583333333337</v>
      </c>
      <c r="O65" s="57">
        <v>0</v>
      </c>
      <c r="P65" s="57">
        <v>174360.73198027143</v>
      </c>
    </row>
    <row r="66" spans="1:16" hidden="1">
      <c r="A66">
        <v>1100</v>
      </c>
      <c r="B66">
        <v>103146</v>
      </c>
      <c r="C66" t="s">
        <v>97</v>
      </c>
      <c r="D66" t="s">
        <v>98</v>
      </c>
      <c r="E66" t="s">
        <v>99</v>
      </c>
      <c r="F66" t="s">
        <v>912</v>
      </c>
      <c r="G66" s="57">
        <v>0</v>
      </c>
      <c r="H66" s="57">
        <v>550000</v>
      </c>
      <c r="I66" s="57">
        <v>0</v>
      </c>
      <c r="J66" s="57">
        <v>0</v>
      </c>
      <c r="K66" s="57">
        <v>486215.63999999996</v>
      </c>
      <c r="L66" s="57">
        <v>0</v>
      </c>
      <c r="M66" s="57">
        <v>0</v>
      </c>
      <c r="N66" s="57">
        <v>0</v>
      </c>
      <c r="O66" s="57">
        <v>0</v>
      </c>
      <c r="P66" s="57">
        <v>1036215.6399999999</v>
      </c>
    </row>
    <row r="67" spans="1:16" hidden="1">
      <c r="A67">
        <v>3432</v>
      </c>
      <c r="B67">
        <v>134840</v>
      </c>
      <c r="C67" t="s">
        <v>100</v>
      </c>
      <c r="D67" t="s">
        <v>101</v>
      </c>
      <c r="E67" t="s">
        <v>32</v>
      </c>
      <c r="F67" t="s">
        <v>912</v>
      </c>
      <c r="G67" s="57">
        <v>464893.11371790385</v>
      </c>
      <c r="H67" s="57">
        <v>0</v>
      </c>
      <c r="I67" s="57">
        <v>0</v>
      </c>
      <c r="J67" s="57">
        <v>0</v>
      </c>
      <c r="K67" s="57">
        <v>0</v>
      </c>
      <c r="L67" s="57">
        <v>0</v>
      </c>
      <c r="M67" s="57">
        <v>-1762.573333333333</v>
      </c>
      <c r="N67" s="57">
        <v>-2694.15</v>
      </c>
      <c r="O67" s="57">
        <v>0</v>
      </c>
      <c r="P67" s="57">
        <v>460436.39038457052</v>
      </c>
    </row>
    <row r="68" spans="1:16" hidden="1">
      <c r="A68">
        <v>2289</v>
      </c>
      <c r="B68">
        <v>103315</v>
      </c>
      <c r="C68" t="s">
        <v>102</v>
      </c>
      <c r="D68" t="s">
        <v>103</v>
      </c>
      <c r="E68" t="s">
        <v>32</v>
      </c>
      <c r="F68" t="s">
        <v>912</v>
      </c>
      <c r="G68" s="57">
        <v>187778.70523830093</v>
      </c>
      <c r="H68" s="57">
        <v>0</v>
      </c>
      <c r="I68" s="57">
        <v>0</v>
      </c>
      <c r="J68" s="57">
        <v>0</v>
      </c>
      <c r="K68" s="57">
        <v>0</v>
      </c>
      <c r="L68" s="57">
        <v>0</v>
      </c>
      <c r="M68" s="57">
        <v>-897.58666666666659</v>
      </c>
      <c r="N68" s="57">
        <v>-1581.9033333333334</v>
      </c>
      <c r="O68" s="57">
        <v>0</v>
      </c>
      <c r="P68" s="57">
        <v>185299.21523830094</v>
      </c>
    </row>
    <row r="69" spans="1:16" hidden="1">
      <c r="A69">
        <v>2185</v>
      </c>
      <c r="B69">
        <v>103263</v>
      </c>
      <c r="C69" t="s">
        <v>104</v>
      </c>
      <c r="D69" t="s">
        <v>105</v>
      </c>
      <c r="E69" t="s">
        <v>32</v>
      </c>
      <c r="F69" t="s">
        <v>912</v>
      </c>
      <c r="G69" s="57">
        <v>195734.42785472222</v>
      </c>
      <c r="H69" s="57">
        <v>0</v>
      </c>
      <c r="I69" s="57">
        <v>0</v>
      </c>
      <c r="J69" s="57">
        <v>0</v>
      </c>
      <c r="K69" s="57">
        <v>0</v>
      </c>
      <c r="L69" s="57">
        <v>0</v>
      </c>
      <c r="M69" s="57">
        <v>-917.14666666666653</v>
      </c>
      <c r="N69" s="57">
        <v>-1980.0691666666669</v>
      </c>
      <c r="O69" s="57">
        <v>0</v>
      </c>
      <c r="P69" s="57">
        <v>192837.2120213889</v>
      </c>
    </row>
    <row r="70" spans="1:16" hidden="1">
      <c r="A70">
        <v>5416</v>
      </c>
      <c r="B70">
        <v>103563</v>
      </c>
      <c r="C70" t="s">
        <v>106</v>
      </c>
      <c r="D70" t="s">
        <v>107</v>
      </c>
      <c r="E70" t="s">
        <v>58</v>
      </c>
      <c r="F70" t="s">
        <v>912</v>
      </c>
      <c r="G70" s="57">
        <v>767998.45123890892</v>
      </c>
      <c r="H70" s="57">
        <v>0</v>
      </c>
      <c r="I70" s="57">
        <v>0</v>
      </c>
      <c r="J70" s="57">
        <v>28396.166666666664</v>
      </c>
      <c r="K70" s="57">
        <v>0</v>
      </c>
      <c r="L70" s="57">
        <v>0</v>
      </c>
      <c r="M70" s="57">
        <v>-1934.1575</v>
      </c>
      <c r="N70" s="57">
        <v>-724.32833333333338</v>
      </c>
      <c r="O70" s="57">
        <v>0</v>
      </c>
      <c r="P70" s="57">
        <v>793736.13207224221</v>
      </c>
    </row>
    <row r="71" spans="1:16" hidden="1">
      <c r="A71">
        <v>2054</v>
      </c>
      <c r="B71">
        <v>103189</v>
      </c>
      <c r="C71" t="s">
        <v>108</v>
      </c>
      <c r="D71" t="s">
        <v>109</v>
      </c>
      <c r="E71" t="s">
        <v>32</v>
      </c>
      <c r="F71" t="s">
        <v>912</v>
      </c>
      <c r="G71" s="57">
        <v>157839.06983147634</v>
      </c>
      <c r="H71" s="57">
        <v>0</v>
      </c>
      <c r="I71" s="57">
        <v>0</v>
      </c>
      <c r="J71" s="57">
        <v>0</v>
      </c>
      <c r="K71" s="57">
        <v>0</v>
      </c>
      <c r="L71" s="57">
        <v>0</v>
      </c>
      <c r="M71" s="57">
        <v>-782.4</v>
      </c>
      <c r="N71" s="57">
        <v>-1186.0891666666666</v>
      </c>
      <c r="O71" s="57">
        <v>0</v>
      </c>
      <c r="P71" s="57">
        <v>155870.58066480968</v>
      </c>
    </row>
    <row r="72" spans="1:16" hidden="1">
      <c r="A72">
        <v>2053</v>
      </c>
      <c r="B72">
        <v>103188</v>
      </c>
      <c r="C72" t="s">
        <v>110</v>
      </c>
      <c r="D72" t="s">
        <v>111</v>
      </c>
      <c r="E72" t="s">
        <v>32</v>
      </c>
      <c r="F72" t="s">
        <v>912</v>
      </c>
      <c r="G72" s="57">
        <v>205003.82008999688</v>
      </c>
      <c r="H72" s="57">
        <v>0</v>
      </c>
      <c r="I72" s="57">
        <v>0</v>
      </c>
      <c r="J72" s="57">
        <v>0</v>
      </c>
      <c r="K72" s="57">
        <v>0</v>
      </c>
      <c r="L72" s="57">
        <v>0</v>
      </c>
      <c r="M72" s="57">
        <v>-1043.2</v>
      </c>
      <c r="N72" s="57">
        <v>-1706.8108333333332</v>
      </c>
      <c r="O72" s="57">
        <v>0</v>
      </c>
      <c r="P72" s="57">
        <v>202253.80925666355</v>
      </c>
    </row>
    <row r="73" spans="1:16" hidden="1">
      <c r="A73">
        <v>3320</v>
      </c>
      <c r="B73">
        <v>103424</v>
      </c>
      <c r="C73" t="s">
        <v>112</v>
      </c>
      <c r="D73" t="s">
        <v>113</v>
      </c>
      <c r="E73" t="s">
        <v>32</v>
      </c>
      <c r="F73" t="s">
        <v>912</v>
      </c>
      <c r="G73" s="57">
        <v>201694.05008951365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-873.68</v>
      </c>
      <c r="N73" s="57">
        <v>-322.41500000000002</v>
      </c>
      <c r="O73" s="57">
        <v>0</v>
      </c>
      <c r="P73" s="57">
        <v>200497.95508951365</v>
      </c>
    </row>
    <row r="74" spans="1:16" hidden="1">
      <c r="A74">
        <v>2055</v>
      </c>
      <c r="B74">
        <v>103190</v>
      </c>
      <c r="C74" t="s">
        <v>114</v>
      </c>
      <c r="D74" t="s">
        <v>115</v>
      </c>
      <c r="E74" t="s">
        <v>32</v>
      </c>
      <c r="F74" t="s">
        <v>912</v>
      </c>
      <c r="G74" s="57">
        <v>184627.03890210821</v>
      </c>
      <c r="H74" s="57">
        <v>0</v>
      </c>
      <c r="I74" s="57">
        <v>0</v>
      </c>
      <c r="J74" s="57">
        <v>0</v>
      </c>
      <c r="K74" s="57">
        <v>0</v>
      </c>
      <c r="L74" s="57">
        <v>0</v>
      </c>
      <c r="M74" s="57">
        <v>-899.75999999999988</v>
      </c>
      <c r="N74" s="57">
        <v>-2318.7358333333336</v>
      </c>
      <c r="O74" s="57">
        <v>0</v>
      </c>
      <c r="P74" s="57">
        <v>181408.54306877486</v>
      </c>
    </row>
    <row r="75" spans="1:16" hidden="1">
      <c r="A75">
        <v>2454</v>
      </c>
      <c r="B75">
        <v>103381</v>
      </c>
      <c r="C75" t="s">
        <v>116</v>
      </c>
      <c r="D75" t="s">
        <v>117</v>
      </c>
      <c r="E75" t="s">
        <v>32</v>
      </c>
      <c r="F75" t="s">
        <v>912</v>
      </c>
      <c r="G75" s="57">
        <v>198411.75385491803</v>
      </c>
      <c r="H75" s="57">
        <v>0</v>
      </c>
      <c r="I75" s="57">
        <v>0</v>
      </c>
      <c r="J75" s="57">
        <v>0</v>
      </c>
      <c r="K75" s="57">
        <v>0</v>
      </c>
      <c r="L75" s="57">
        <v>0</v>
      </c>
      <c r="M75" s="57">
        <v>-808.48</v>
      </c>
      <c r="N75" s="57">
        <v>-2539.6550000000002</v>
      </c>
      <c r="O75" s="57">
        <v>0</v>
      </c>
      <c r="P75" s="57">
        <v>195063.61885491802</v>
      </c>
    </row>
    <row r="76" spans="1:16" hidden="1">
      <c r="A76">
        <v>3321</v>
      </c>
      <c r="B76">
        <v>103425</v>
      </c>
      <c r="C76" t="s">
        <v>118</v>
      </c>
      <c r="D76" t="s">
        <v>119</v>
      </c>
      <c r="E76" t="s">
        <v>32</v>
      </c>
      <c r="F76" t="s">
        <v>912</v>
      </c>
      <c r="G76" s="57">
        <v>170375.04965177723</v>
      </c>
      <c r="H76" s="57">
        <v>0</v>
      </c>
      <c r="I76" s="57">
        <v>0</v>
      </c>
      <c r="J76" s="57">
        <v>0</v>
      </c>
      <c r="K76" s="57">
        <v>0</v>
      </c>
      <c r="L76" s="57">
        <v>0</v>
      </c>
      <c r="M76" s="57">
        <v>-756.32</v>
      </c>
      <c r="N76" s="57">
        <v>-317.9975</v>
      </c>
      <c r="O76" s="57">
        <v>0</v>
      </c>
      <c r="P76" s="57">
        <v>169300.73215177722</v>
      </c>
    </row>
    <row r="77" spans="1:16" hidden="1">
      <c r="A77">
        <v>1026</v>
      </c>
      <c r="B77">
        <v>103139</v>
      </c>
      <c r="C77" t="s">
        <v>120</v>
      </c>
      <c r="D77" t="s">
        <v>121</v>
      </c>
      <c r="E77" t="s">
        <v>29</v>
      </c>
      <c r="F77" t="s">
        <v>912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</row>
    <row r="78" spans="1:16" hidden="1">
      <c r="A78">
        <v>2294</v>
      </c>
      <c r="B78">
        <v>103318</v>
      </c>
      <c r="C78" t="s">
        <v>122</v>
      </c>
      <c r="D78" t="s">
        <v>123</v>
      </c>
      <c r="E78" t="s">
        <v>32</v>
      </c>
      <c r="F78" t="s">
        <v>912</v>
      </c>
      <c r="G78" s="57">
        <v>207787.0494166667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-912.79999999999984</v>
      </c>
      <c r="N78" s="57">
        <v>-2340.8191666666667</v>
      </c>
      <c r="O78" s="57">
        <v>0</v>
      </c>
      <c r="P78" s="57">
        <v>204533.43025000006</v>
      </c>
    </row>
    <row r="79" spans="1:16" hidden="1">
      <c r="A79">
        <v>2486</v>
      </c>
      <c r="B79">
        <v>133759</v>
      </c>
      <c r="C79" t="s">
        <v>124</v>
      </c>
      <c r="D79" t="s">
        <v>125</v>
      </c>
      <c r="E79" t="s">
        <v>32</v>
      </c>
      <c r="F79" t="s">
        <v>912</v>
      </c>
      <c r="G79" s="57">
        <v>111926.24999716581</v>
      </c>
      <c r="H79" s="57">
        <v>0</v>
      </c>
      <c r="I79" s="57">
        <v>0</v>
      </c>
      <c r="J79" s="57">
        <v>0</v>
      </c>
      <c r="K79" s="57">
        <v>0</v>
      </c>
      <c r="L79" s="57">
        <v>0</v>
      </c>
      <c r="M79" s="57">
        <v>-406.41333333333336</v>
      </c>
      <c r="N79" s="57">
        <v>-1248.3050000000001</v>
      </c>
      <c r="O79" s="57">
        <v>0</v>
      </c>
      <c r="P79" s="57">
        <v>110271.53166383249</v>
      </c>
    </row>
    <row r="80" spans="1:16" hidden="1">
      <c r="A80">
        <v>3435</v>
      </c>
      <c r="B80">
        <v>131920</v>
      </c>
      <c r="C80" t="s">
        <v>126</v>
      </c>
      <c r="D80" t="s">
        <v>127</v>
      </c>
      <c r="E80" t="s">
        <v>32</v>
      </c>
      <c r="F80" t="s">
        <v>912</v>
      </c>
      <c r="G80" s="57">
        <v>173857.83083333334</v>
      </c>
      <c r="H80" s="57">
        <v>0</v>
      </c>
      <c r="I80" s="57">
        <v>0</v>
      </c>
      <c r="J80" s="57">
        <v>0</v>
      </c>
      <c r="K80" s="57">
        <v>0</v>
      </c>
      <c r="L80" s="57">
        <v>0</v>
      </c>
      <c r="M80" s="57">
        <v>-912.79999999999984</v>
      </c>
      <c r="N80" s="57">
        <v>-432.83083333333337</v>
      </c>
      <c r="O80" s="57">
        <v>0</v>
      </c>
      <c r="P80" s="57">
        <v>172512.2</v>
      </c>
    </row>
    <row r="81" spans="1:16" hidden="1">
      <c r="A81">
        <v>7050</v>
      </c>
      <c r="B81">
        <v>103625</v>
      </c>
      <c r="C81" t="s">
        <v>128</v>
      </c>
      <c r="D81" t="s">
        <v>129</v>
      </c>
      <c r="E81" t="s">
        <v>47</v>
      </c>
      <c r="F81" t="s">
        <v>912</v>
      </c>
      <c r="G81" s="57">
        <v>0</v>
      </c>
      <c r="H81" s="57">
        <v>102258.75000000003</v>
      </c>
      <c r="I81" s="57">
        <v>0</v>
      </c>
      <c r="J81" s="57">
        <v>0</v>
      </c>
      <c r="K81" s="57">
        <v>97419.241111077848</v>
      </c>
      <c r="L81" s="57">
        <v>0</v>
      </c>
      <c r="M81" s="57">
        <v>0</v>
      </c>
      <c r="N81" s="57">
        <v>0</v>
      </c>
      <c r="O81" s="57">
        <v>0</v>
      </c>
      <c r="P81" s="57">
        <v>199677.99111107789</v>
      </c>
    </row>
    <row r="82" spans="1:16" hidden="1">
      <c r="A82">
        <v>1006</v>
      </c>
      <c r="B82">
        <v>103122</v>
      </c>
      <c r="C82" t="s">
        <v>130</v>
      </c>
      <c r="D82" t="s">
        <v>131</v>
      </c>
      <c r="E82" t="s">
        <v>29</v>
      </c>
      <c r="F82" t="s">
        <v>912</v>
      </c>
      <c r="G82" s="57">
        <v>0</v>
      </c>
      <c r="H82" s="57">
        <v>0</v>
      </c>
      <c r="I82" s="57">
        <v>3333.3333333333335</v>
      </c>
      <c r="J82" s="57">
        <v>0</v>
      </c>
      <c r="K82" s="57">
        <v>0</v>
      </c>
      <c r="L82" s="57">
        <v>6690.6016666666665</v>
      </c>
      <c r="M82" s="57">
        <v>0</v>
      </c>
      <c r="N82" s="57">
        <v>0</v>
      </c>
      <c r="O82" s="57">
        <v>0</v>
      </c>
      <c r="P82" s="57">
        <v>10023.934999999999</v>
      </c>
    </row>
    <row r="83" spans="1:16" hidden="1">
      <c r="A83">
        <v>2081</v>
      </c>
      <c r="B83">
        <v>103201</v>
      </c>
      <c r="C83" t="s">
        <v>132</v>
      </c>
      <c r="D83" t="s">
        <v>133</v>
      </c>
      <c r="E83" t="s">
        <v>32</v>
      </c>
      <c r="F83" t="s">
        <v>912</v>
      </c>
      <c r="G83" s="57">
        <v>183146.88286120619</v>
      </c>
      <c r="H83" s="57">
        <v>0</v>
      </c>
      <c r="I83" s="57">
        <v>0</v>
      </c>
      <c r="J83" s="57">
        <v>0</v>
      </c>
      <c r="K83" s="57">
        <v>0</v>
      </c>
      <c r="L83" s="57">
        <v>0</v>
      </c>
      <c r="M83" s="57">
        <v>-906.27999999999986</v>
      </c>
      <c r="N83" s="57">
        <v>-3444.9791666666665</v>
      </c>
      <c r="O83" s="57">
        <v>0</v>
      </c>
      <c r="P83" s="57">
        <v>178795.62369453954</v>
      </c>
    </row>
    <row r="84" spans="1:16" hidden="1">
      <c r="A84">
        <v>2296</v>
      </c>
      <c r="B84">
        <v>103320</v>
      </c>
      <c r="C84" t="s">
        <v>134</v>
      </c>
      <c r="D84" t="s">
        <v>135</v>
      </c>
      <c r="E84" t="s">
        <v>32</v>
      </c>
      <c r="F84" t="s">
        <v>922</v>
      </c>
      <c r="G84" s="57">
        <v>125253.68895100117</v>
      </c>
      <c r="H84" s="57">
        <v>0</v>
      </c>
      <c r="I84" s="57">
        <v>0</v>
      </c>
      <c r="J84" s="57">
        <v>0</v>
      </c>
      <c r="K84" s="57">
        <v>0</v>
      </c>
      <c r="L84" s="57">
        <v>0</v>
      </c>
      <c r="M84" s="57">
        <v>-562.89333333333332</v>
      </c>
      <c r="N84" s="57">
        <v>-2605.8175000000001</v>
      </c>
      <c r="O84" s="57">
        <v>0</v>
      </c>
      <c r="P84" s="57">
        <v>122084.97811766784</v>
      </c>
    </row>
    <row r="85" spans="1:16" hidden="1">
      <c r="A85">
        <v>1015</v>
      </c>
      <c r="B85">
        <v>103128</v>
      </c>
      <c r="C85" t="s">
        <v>136</v>
      </c>
      <c r="D85" t="s">
        <v>137</v>
      </c>
      <c r="E85" t="s">
        <v>29</v>
      </c>
      <c r="F85" t="s">
        <v>912</v>
      </c>
      <c r="G85" s="57">
        <v>0</v>
      </c>
      <c r="H85" s="57">
        <v>0</v>
      </c>
      <c r="I85" s="57">
        <v>0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</row>
    <row r="86" spans="1:16" hidden="1">
      <c r="A86">
        <v>1022</v>
      </c>
      <c r="B86">
        <v>103135</v>
      </c>
      <c r="C86" t="s">
        <v>138</v>
      </c>
      <c r="D86" t="s">
        <v>139</v>
      </c>
      <c r="E86" t="s">
        <v>29</v>
      </c>
      <c r="F86" t="s">
        <v>912</v>
      </c>
      <c r="G86" s="57">
        <v>0</v>
      </c>
      <c r="H86" s="57">
        <v>0</v>
      </c>
      <c r="I86" s="57">
        <v>0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</row>
    <row r="87" spans="1:16" hidden="1">
      <c r="A87">
        <v>2087</v>
      </c>
      <c r="B87">
        <v>103205</v>
      </c>
      <c r="C87" t="s">
        <v>140</v>
      </c>
      <c r="D87" t="s">
        <v>141</v>
      </c>
      <c r="E87" t="s">
        <v>32</v>
      </c>
      <c r="F87" t="s">
        <v>912</v>
      </c>
      <c r="G87" s="57">
        <v>176796.35403427979</v>
      </c>
      <c r="H87" s="57">
        <v>0</v>
      </c>
      <c r="I87" s="57">
        <v>0</v>
      </c>
      <c r="J87" s="57">
        <v>0</v>
      </c>
      <c r="K87" s="57">
        <v>0</v>
      </c>
      <c r="L87" s="57">
        <v>0</v>
      </c>
      <c r="M87" s="57">
        <v>-736.75999999999988</v>
      </c>
      <c r="N87" s="57">
        <v>-2152.249166666667</v>
      </c>
      <c r="O87" s="57">
        <v>0</v>
      </c>
      <c r="P87" s="57">
        <v>173907.34486761311</v>
      </c>
    </row>
    <row r="88" spans="1:16" hidden="1">
      <c r="A88">
        <v>2466</v>
      </c>
      <c r="B88">
        <v>103392</v>
      </c>
      <c r="C88" t="s">
        <v>142</v>
      </c>
      <c r="D88" t="s">
        <v>143</v>
      </c>
      <c r="E88" t="s">
        <v>32</v>
      </c>
      <c r="F88" t="s">
        <v>912</v>
      </c>
      <c r="G88" s="57">
        <v>305210.63441122224</v>
      </c>
      <c r="H88" s="57">
        <v>0</v>
      </c>
      <c r="I88" s="57">
        <v>0</v>
      </c>
      <c r="J88" s="57">
        <v>0</v>
      </c>
      <c r="K88" s="57">
        <v>0</v>
      </c>
      <c r="L88" s="57">
        <v>0</v>
      </c>
      <c r="M88" s="57">
        <v>-1312.6933333333334</v>
      </c>
      <c r="N88" s="57">
        <v>-2561.6508333333336</v>
      </c>
      <c r="O88" s="57">
        <v>0</v>
      </c>
      <c r="P88" s="57">
        <v>301336.29024455557</v>
      </c>
    </row>
    <row r="89" spans="1:16" hidden="1">
      <c r="A89">
        <v>2093</v>
      </c>
      <c r="B89">
        <v>103210</v>
      </c>
      <c r="C89" t="s">
        <v>144</v>
      </c>
      <c r="D89" t="s">
        <v>145</v>
      </c>
      <c r="E89" t="s">
        <v>32</v>
      </c>
      <c r="F89" t="s">
        <v>912</v>
      </c>
      <c r="G89" s="57">
        <v>161213.66351814711</v>
      </c>
      <c r="H89" s="57">
        <v>0</v>
      </c>
      <c r="I89" s="57">
        <v>0</v>
      </c>
      <c r="J89" s="57">
        <v>0</v>
      </c>
      <c r="K89" s="57">
        <v>0</v>
      </c>
      <c r="L89" s="57">
        <v>0</v>
      </c>
      <c r="M89" s="57">
        <v>-782.4</v>
      </c>
      <c r="N89" s="57">
        <v>-1657.2325000000001</v>
      </c>
      <c r="O89" s="57">
        <v>0</v>
      </c>
      <c r="P89" s="57">
        <v>158774.0310181471</v>
      </c>
    </row>
    <row r="90" spans="1:16" hidden="1">
      <c r="A90">
        <v>2092</v>
      </c>
      <c r="B90">
        <v>103209</v>
      </c>
      <c r="C90" t="s">
        <v>146</v>
      </c>
      <c r="D90" t="s">
        <v>147</v>
      </c>
      <c r="E90" t="s">
        <v>32</v>
      </c>
      <c r="F90" t="s">
        <v>912</v>
      </c>
      <c r="G90" s="57">
        <v>206547.19999451339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>
        <v>-1051.8933333333332</v>
      </c>
      <c r="N90" s="57">
        <v>-2312.8858333333333</v>
      </c>
      <c r="O90" s="57">
        <v>0</v>
      </c>
      <c r="P90" s="57">
        <v>203182.42082784671</v>
      </c>
    </row>
    <row r="91" spans="1:16" hidden="1">
      <c r="A91">
        <v>7006</v>
      </c>
      <c r="B91">
        <v>103600</v>
      </c>
      <c r="C91" t="s">
        <v>148</v>
      </c>
      <c r="D91" t="s">
        <v>149</v>
      </c>
      <c r="E91" t="s">
        <v>47</v>
      </c>
      <c r="F91" t="s">
        <v>912</v>
      </c>
      <c r="G91" s="57">
        <v>0</v>
      </c>
      <c r="H91" s="57">
        <v>183328.75</v>
      </c>
      <c r="I91" s="57">
        <v>0</v>
      </c>
      <c r="J91" s="57">
        <v>0</v>
      </c>
      <c r="K91" s="57">
        <v>213492.3826896346</v>
      </c>
      <c r="L91" s="57">
        <v>0</v>
      </c>
      <c r="M91" s="57">
        <v>0</v>
      </c>
      <c r="N91" s="57">
        <v>0</v>
      </c>
      <c r="O91" s="57">
        <v>0</v>
      </c>
      <c r="P91" s="57">
        <v>396821.13268963457</v>
      </c>
    </row>
    <row r="92" spans="1:16" hidden="1">
      <c r="A92">
        <v>2099</v>
      </c>
      <c r="B92">
        <v>103214</v>
      </c>
      <c r="C92" t="s">
        <v>150</v>
      </c>
      <c r="D92" t="s">
        <v>151</v>
      </c>
      <c r="E92" t="s">
        <v>32</v>
      </c>
      <c r="F92" t="s">
        <v>912</v>
      </c>
      <c r="G92" s="57">
        <v>118426.91642741015</v>
      </c>
      <c r="H92" s="57">
        <v>0</v>
      </c>
      <c r="I92" s="57">
        <v>5333.333333333333</v>
      </c>
      <c r="J92" s="57">
        <v>0</v>
      </c>
      <c r="K92" s="57">
        <v>0</v>
      </c>
      <c r="L92" s="57">
        <v>15772.381666666664</v>
      </c>
      <c r="M92" s="57">
        <v>-454.22666666666663</v>
      </c>
      <c r="N92" s="57">
        <v>-1323.6333333333334</v>
      </c>
      <c r="O92" s="57">
        <v>0</v>
      </c>
      <c r="P92" s="57">
        <v>137754.77142741016</v>
      </c>
    </row>
    <row r="93" spans="1:16" hidden="1">
      <c r="A93">
        <v>1010</v>
      </c>
      <c r="B93">
        <v>103125</v>
      </c>
      <c r="C93" t="s">
        <v>152</v>
      </c>
      <c r="D93" t="s">
        <v>153</v>
      </c>
      <c r="E93" t="s">
        <v>29</v>
      </c>
      <c r="F93" t="s">
        <v>912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</row>
    <row r="94" spans="1:16" hidden="1">
      <c r="A94">
        <v>1021</v>
      </c>
      <c r="B94">
        <v>103134</v>
      </c>
      <c r="C94" t="s">
        <v>154</v>
      </c>
      <c r="D94" t="s">
        <v>155</v>
      </c>
      <c r="E94" t="s">
        <v>29</v>
      </c>
      <c r="F94" t="s">
        <v>912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</row>
    <row r="95" spans="1:16" hidden="1">
      <c r="A95">
        <v>4201</v>
      </c>
      <c r="B95">
        <v>103503</v>
      </c>
      <c r="C95" t="s">
        <v>156</v>
      </c>
      <c r="D95" t="s">
        <v>157</v>
      </c>
      <c r="E95" t="s">
        <v>58</v>
      </c>
      <c r="F95" t="s">
        <v>912</v>
      </c>
      <c r="G95" s="57">
        <v>805280.44425538322</v>
      </c>
      <c r="H95" s="57">
        <v>0</v>
      </c>
      <c r="I95" s="57">
        <v>0</v>
      </c>
      <c r="J95" s="57">
        <v>0</v>
      </c>
      <c r="K95" s="57">
        <v>0</v>
      </c>
      <c r="L95" s="57">
        <v>0</v>
      </c>
      <c r="M95" s="57">
        <v>-2019.71</v>
      </c>
      <c r="N95" s="57">
        <v>-15669.894999999999</v>
      </c>
      <c r="O95" s="57">
        <v>0</v>
      </c>
      <c r="P95" s="57">
        <v>787590.83925538324</v>
      </c>
    </row>
    <row r="96" spans="1:16" hidden="1">
      <c r="A96">
        <v>4015</v>
      </c>
      <c r="B96">
        <v>103483</v>
      </c>
      <c r="C96" t="s">
        <v>158</v>
      </c>
      <c r="D96" t="s">
        <v>159</v>
      </c>
      <c r="E96" t="s">
        <v>58</v>
      </c>
      <c r="F96" t="s">
        <v>912</v>
      </c>
      <c r="G96" s="57">
        <v>492532.43308832427</v>
      </c>
      <c r="H96" s="57">
        <v>0</v>
      </c>
      <c r="I96" s="57">
        <v>0</v>
      </c>
      <c r="J96" s="57">
        <v>0</v>
      </c>
      <c r="K96" s="57">
        <v>0</v>
      </c>
      <c r="L96" s="57">
        <v>0</v>
      </c>
      <c r="M96" s="57">
        <v>-1263.1575</v>
      </c>
      <c r="N96" s="57">
        <v>-6507.6741666666667</v>
      </c>
      <c r="O96" s="57">
        <v>0</v>
      </c>
      <c r="P96" s="57">
        <v>484761.6014216576</v>
      </c>
    </row>
    <row r="97" spans="1:16" hidden="1">
      <c r="A97">
        <v>3411</v>
      </c>
      <c r="B97">
        <v>103479</v>
      </c>
      <c r="C97" t="s">
        <v>160</v>
      </c>
      <c r="D97" t="s">
        <v>161</v>
      </c>
      <c r="E97" t="s">
        <v>32</v>
      </c>
      <c r="F97" t="s">
        <v>912</v>
      </c>
      <c r="G97" s="57">
        <v>88921.046441176484</v>
      </c>
      <c r="H97" s="57">
        <v>0</v>
      </c>
      <c r="I97" s="57">
        <v>0</v>
      </c>
      <c r="J97" s="57">
        <v>0</v>
      </c>
      <c r="K97" s="57">
        <v>0</v>
      </c>
      <c r="L97" s="57">
        <v>0</v>
      </c>
      <c r="M97" s="57">
        <v>-308.61333333333329</v>
      </c>
      <c r="N97" s="57">
        <v>-2804.5666666666671</v>
      </c>
      <c r="O97" s="57">
        <v>0</v>
      </c>
      <c r="P97" s="57">
        <v>85807.866441176491</v>
      </c>
    </row>
    <row r="98" spans="1:16" hidden="1">
      <c r="A98">
        <v>4223</v>
      </c>
      <c r="B98">
        <v>103509</v>
      </c>
      <c r="C98" t="s">
        <v>162</v>
      </c>
      <c r="D98" t="s">
        <v>163</v>
      </c>
      <c r="E98" t="s">
        <v>58</v>
      </c>
      <c r="F98" t="s">
        <v>912</v>
      </c>
      <c r="G98" s="57">
        <v>704997.52521904919</v>
      </c>
      <c r="H98" s="57">
        <v>0</v>
      </c>
      <c r="I98" s="57">
        <v>0</v>
      </c>
      <c r="J98" s="57">
        <v>105956.08333333334</v>
      </c>
      <c r="K98" s="57">
        <v>0</v>
      </c>
      <c r="L98" s="57">
        <v>0</v>
      </c>
      <c r="M98" s="57">
        <v>-1672.4675</v>
      </c>
      <c r="N98" s="57">
        <v>-15542.685833333335</v>
      </c>
      <c r="O98" s="57">
        <v>0</v>
      </c>
      <c r="P98" s="57">
        <v>793738.45521904924</v>
      </c>
    </row>
    <row r="99" spans="1:16" hidden="1">
      <c r="A99">
        <v>3317</v>
      </c>
      <c r="B99">
        <v>103421</v>
      </c>
      <c r="C99" t="s">
        <v>164</v>
      </c>
      <c r="D99" t="s">
        <v>165</v>
      </c>
      <c r="E99" t="s">
        <v>32</v>
      </c>
      <c r="F99" t="s">
        <v>912</v>
      </c>
      <c r="G99" s="57">
        <v>112161.39957188589</v>
      </c>
      <c r="H99" s="57">
        <v>0</v>
      </c>
      <c r="I99" s="57">
        <v>0</v>
      </c>
      <c r="J99" s="57">
        <v>0</v>
      </c>
      <c r="K99" s="57">
        <v>0</v>
      </c>
      <c r="L99" s="57">
        <v>0</v>
      </c>
      <c r="M99" s="57">
        <v>-449.87999999999994</v>
      </c>
      <c r="N99" s="57">
        <v>-437.24666666666667</v>
      </c>
      <c r="O99" s="57">
        <v>0</v>
      </c>
      <c r="P99" s="57">
        <v>111274.27290521922</v>
      </c>
    </row>
    <row r="100" spans="1:16" hidden="1">
      <c r="A100">
        <v>1023</v>
      </c>
      <c r="B100">
        <v>103136</v>
      </c>
      <c r="C100" t="s">
        <v>166</v>
      </c>
      <c r="D100" t="s">
        <v>167</v>
      </c>
      <c r="E100" t="s">
        <v>29</v>
      </c>
      <c r="F100" t="s">
        <v>912</v>
      </c>
      <c r="G100" s="57">
        <v>0</v>
      </c>
      <c r="H100" s="57">
        <v>0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</row>
    <row r="101" spans="1:16" hidden="1">
      <c r="A101">
        <v>2015</v>
      </c>
      <c r="B101">
        <v>134102</v>
      </c>
      <c r="C101" t="s">
        <v>168</v>
      </c>
      <c r="D101" t="s">
        <v>169</v>
      </c>
      <c r="E101" t="s">
        <v>32</v>
      </c>
      <c r="F101" t="s">
        <v>912</v>
      </c>
      <c r="G101" s="57">
        <v>207102.55030048778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>
        <v>-851.9466666666666</v>
      </c>
      <c r="N101" s="57">
        <v>-3444.3416666666667</v>
      </c>
      <c r="O101" s="57">
        <v>0</v>
      </c>
      <c r="P101" s="57">
        <v>202806.26196715445</v>
      </c>
    </row>
    <row r="102" spans="1:16" hidden="1">
      <c r="A102">
        <v>4063</v>
      </c>
      <c r="B102">
        <v>103486</v>
      </c>
      <c r="C102" t="s">
        <v>170</v>
      </c>
      <c r="D102" t="s">
        <v>171</v>
      </c>
      <c r="E102" t="s">
        <v>58</v>
      </c>
      <c r="F102" t="s">
        <v>912</v>
      </c>
      <c r="G102" s="57">
        <v>557806.13681036769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-1320.1924999999999</v>
      </c>
      <c r="N102" s="57">
        <v>-10079.196666666667</v>
      </c>
      <c r="O102" s="57">
        <v>0</v>
      </c>
      <c r="P102" s="57">
        <v>546406.74764370103</v>
      </c>
    </row>
    <row r="103" spans="1:16" hidden="1">
      <c r="A103">
        <v>1016</v>
      </c>
      <c r="B103">
        <v>103129</v>
      </c>
      <c r="C103" t="s">
        <v>172</v>
      </c>
      <c r="D103" t="s">
        <v>173</v>
      </c>
      <c r="E103" t="s">
        <v>29</v>
      </c>
      <c r="F103" t="s">
        <v>912</v>
      </c>
      <c r="G103" s="57">
        <v>0</v>
      </c>
      <c r="H103" s="57">
        <v>0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</row>
    <row r="104" spans="1:16" hidden="1">
      <c r="A104">
        <v>2115</v>
      </c>
      <c r="B104">
        <v>103221</v>
      </c>
      <c r="C104" t="s">
        <v>174</v>
      </c>
      <c r="D104" t="s">
        <v>175</v>
      </c>
      <c r="E104" t="s">
        <v>32</v>
      </c>
      <c r="F104" t="s">
        <v>912</v>
      </c>
      <c r="G104" s="57">
        <v>141501.59487211352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>
        <v>-606.36</v>
      </c>
      <c r="N104" s="57">
        <v>-3489.1458333333335</v>
      </c>
      <c r="O104" s="57">
        <v>0</v>
      </c>
      <c r="P104" s="57">
        <v>137406.08903878019</v>
      </c>
    </row>
    <row r="105" spans="1:16" hidden="1">
      <c r="A105">
        <v>2441</v>
      </c>
      <c r="B105">
        <v>103368</v>
      </c>
      <c r="C105" t="s">
        <v>176</v>
      </c>
      <c r="D105" t="s">
        <v>177</v>
      </c>
      <c r="E105" t="s">
        <v>32</v>
      </c>
      <c r="F105" t="s">
        <v>912</v>
      </c>
      <c r="G105" s="57">
        <v>179718.18395777454</v>
      </c>
      <c r="H105" s="57">
        <v>0</v>
      </c>
      <c r="I105" s="57">
        <v>0</v>
      </c>
      <c r="J105" s="57">
        <v>0</v>
      </c>
      <c r="K105" s="57">
        <v>0</v>
      </c>
      <c r="L105" s="57">
        <v>0</v>
      </c>
      <c r="M105" s="57">
        <v>-743.27999999999986</v>
      </c>
      <c r="N105" s="57">
        <v>-1194.4983333333332</v>
      </c>
      <c r="O105" s="57">
        <v>0</v>
      </c>
      <c r="P105" s="57">
        <v>177780.40562444122</v>
      </c>
    </row>
    <row r="106" spans="1:16" hidden="1">
      <c r="A106">
        <v>2321</v>
      </c>
      <c r="B106">
        <v>103339</v>
      </c>
      <c r="C106" t="s">
        <v>178</v>
      </c>
      <c r="D106" t="s">
        <v>179</v>
      </c>
      <c r="E106" t="s">
        <v>32</v>
      </c>
      <c r="F106" t="s">
        <v>912</v>
      </c>
      <c r="G106" s="57">
        <v>101701.63364909157</v>
      </c>
      <c r="H106" s="57">
        <v>0</v>
      </c>
      <c r="I106" s="57">
        <v>0</v>
      </c>
      <c r="J106" s="57">
        <v>0</v>
      </c>
      <c r="K106" s="57">
        <v>0</v>
      </c>
      <c r="L106" s="57">
        <v>0</v>
      </c>
      <c r="M106" s="57">
        <v>-389.02666666666664</v>
      </c>
      <c r="N106" s="57">
        <v>-1312.8724999999999</v>
      </c>
      <c r="O106" s="57">
        <v>0</v>
      </c>
      <c r="P106" s="57">
        <v>99999.734482424901</v>
      </c>
    </row>
    <row r="107" spans="1:16" hidden="1">
      <c r="A107">
        <v>7062</v>
      </c>
      <c r="B107">
        <v>103632</v>
      </c>
      <c r="C107" t="s">
        <v>180</v>
      </c>
      <c r="D107" t="s">
        <v>181</v>
      </c>
      <c r="E107" t="s">
        <v>47</v>
      </c>
      <c r="F107" t="s">
        <v>912</v>
      </c>
      <c r="G107" s="57">
        <v>0</v>
      </c>
      <c r="H107" s="57">
        <v>130817.49999999997</v>
      </c>
      <c r="I107" s="57">
        <v>0</v>
      </c>
      <c r="J107" s="57">
        <v>0</v>
      </c>
      <c r="K107" s="57">
        <v>213283.7598226004</v>
      </c>
      <c r="L107" s="57">
        <v>0</v>
      </c>
      <c r="M107" s="57">
        <v>0</v>
      </c>
      <c r="N107" s="57">
        <v>0</v>
      </c>
      <c r="O107" s="57">
        <v>0</v>
      </c>
      <c r="P107" s="57">
        <v>344101.2598226004</v>
      </c>
    </row>
    <row r="108" spans="1:16" hidden="1">
      <c r="A108">
        <v>2462</v>
      </c>
      <c r="B108">
        <v>103388</v>
      </c>
      <c r="C108" t="s">
        <v>182</v>
      </c>
      <c r="D108" t="s">
        <v>183</v>
      </c>
      <c r="E108" t="s">
        <v>32</v>
      </c>
      <c r="F108" t="s">
        <v>912</v>
      </c>
      <c r="G108" s="57">
        <v>179102.035</v>
      </c>
      <c r="H108" s="57">
        <v>0</v>
      </c>
      <c r="I108" s="57">
        <v>0</v>
      </c>
      <c r="J108" s="57">
        <v>0</v>
      </c>
      <c r="K108" s="57">
        <v>0</v>
      </c>
      <c r="L108" s="57">
        <v>0</v>
      </c>
      <c r="M108" s="57">
        <v>-917.14666666666653</v>
      </c>
      <c r="N108" s="57">
        <v>-4851.2016666666668</v>
      </c>
      <c r="O108" s="57">
        <v>0</v>
      </c>
      <c r="P108" s="57">
        <v>173333.68666666668</v>
      </c>
    </row>
    <row r="109" spans="1:16" hidden="1">
      <c r="A109">
        <v>7012</v>
      </c>
      <c r="B109">
        <v>103603</v>
      </c>
      <c r="C109" t="s">
        <v>184</v>
      </c>
      <c r="D109" t="s">
        <v>185</v>
      </c>
      <c r="E109" t="s">
        <v>47</v>
      </c>
      <c r="F109" t="s">
        <v>912</v>
      </c>
      <c r="G109" s="57">
        <v>0</v>
      </c>
      <c r="H109" s="57">
        <v>59881.25</v>
      </c>
      <c r="I109" s="57">
        <v>0</v>
      </c>
      <c r="J109" s="57">
        <v>0</v>
      </c>
      <c r="K109" s="57">
        <v>14656.003322436092</v>
      </c>
      <c r="L109" s="57">
        <v>0</v>
      </c>
      <c r="M109" s="57">
        <v>0</v>
      </c>
      <c r="N109" s="57">
        <v>0</v>
      </c>
      <c r="O109" s="57">
        <v>0</v>
      </c>
      <c r="P109" s="57">
        <v>74537.253322436096</v>
      </c>
    </row>
    <row r="110" spans="1:16" hidden="1">
      <c r="A110">
        <v>2127</v>
      </c>
      <c r="B110">
        <v>103227</v>
      </c>
      <c r="C110" t="s">
        <v>186</v>
      </c>
      <c r="D110" t="s">
        <v>187</v>
      </c>
      <c r="E110" t="s">
        <v>32</v>
      </c>
      <c r="F110" t="s">
        <v>912</v>
      </c>
      <c r="G110" s="57">
        <v>221074.48282842504</v>
      </c>
      <c r="H110" s="57">
        <v>0</v>
      </c>
      <c r="I110" s="57">
        <v>0</v>
      </c>
      <c r="J110" s="57">
        <v>0</v>
      </c>
      <c r="K110" s="57">
        <v>0</v>
      </c>
      <c r="L110" s="57">
        <v>0</v>
      </c>
      <c r="M110" s="57">
        <v>-912.79999999999984</v>
      </c>
      <c r="N110" s="57">
        <v>-5180.8949999999995</v>
      </c>
      <c r="O110" s="57">
        <v>0</v>
      </c>
      <c r="P110" s="57">
        <v>214980.78782842506</v>
      </c>
    </row>
    <row r="111" spans="1:16" hidden="1">
      <c r="A111">
        <v>2129</v>
      </c>
      <c r="B111">
        <v>103229</v>
      </c>
      <c r="C111" t="s">
        <v>188</v>
      </c>
      <c r="D111" t="s">
        <v>189</v>
      </c>
      <c r="E111" t="s">
        <v>32</v>
      </c>
      <c r="F111" t="s">
        <v>912</v>
      </c>
      <c r="G111" s="57">
        <v>120440.98821474276</v>
      </c>
      <c r="H111" s="57">
        <v>0</v>
      </c>
      <c r="I111" s="57">
        <v>6000</v>
      </c>
      <c r="J111" s="57">
        <v>0</v>
      </c>
      <c r="K111" s="57">
        <v>0</v>
      </c>
      <c r="L111" s="57">
        <v>13424.404999999999</v>
      </c>
      <c r="M111" s="57">
        <v>-573.76</v>
      </c>
      <c r="N111" s="57">
        <v>-1462.7916666666667</v>
      </c>
      <c r="O111" s="57">
        <v>0</v>
      </c>
      <c r="P111" s="57">
        <v>137828.8415480761</v>
      </c>
    </row>
    <row r="112" spans="1:16" hidden="1">
      <c r="A112">
        <v>2128</v>
      </c>
      <c r="B112">
        <v>103228</v>
      </c>
      <c r="C112" t="s">
        <v>190</v>
      </c>
      <c r="D112" t="s">
        <v>191</v>
      </c>
      <c r="E112" t="s">
        <v>32</v>
      </c>
      <c r="F112" t="s">
        <v>912</v>
      </c>
      <c r="G112" s="57">
        <v>166742.18271349205</v>
      </c>
      <c r="H112" s="57">
        <v>0</v>
      </c>
      <c r="I112" s="57">
        <v>6000</v>
      </c>
      <c r="J112" s="57">
        <v>0</v>
      </c>
      <c r="K112" s="57">
        <v>0</v>
      </c>
      <c r="L112" s="57">
        <v>-2023.2958333333336</v>
      </c>
      <c r="M112" s="57">
        <v>-801.95999999999992</v>
      </c>
      <c r="N112" s="57">
        <v>-1584.6899999999998</v>
      </c>
      <c r="O112" s="57">
        <v>0</v>
      </c>
      <c r="P112" s="57">
        <v>168332.23688015871</v>
      </c>
    </row>
    <row r="113" spans="1:16" hidden="1">
      <c r="A113">
        <v>2420</v>
      </c>
      <c r="B113">
        <v>103353</v>
      </c>
      <c r="C113" t="s">
        <v>192</v>
      </c>
      <c r="D113" t="s">
        <v>193</v>
      </c>
      <c r="E113" t="s">
        <v>32</v>
      </c>
      <c r="F113" t="s">
        <v>912</v>
      </c>
      <c r="G113" s="57">
        <v>176295.47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>
        <v>-917.14666666666653</v>
      </c>
      <c r="N113" s="57">
        <v>-2044.6366666666665</v>
      </c>
      <c r="O113" s="57">
        <v>0</v>
      </c>
      <c r="P113" s="57">
        <v>173333.68666666668</v>
      </c>
    </row>
    <row r="114" spans="1:16" hidden="1">
      <c r="A114">
        <v>1012</v>
      </c>
      <c r="B114">
        <v>103126</v>
      </c>
      <c r="C114" t="s">
        <v>194</v>
      </c>
      <c r="D114" t="s">
        <v>195</v>
      </c>
      <c r="E114" t="s">
        <v>29</v>
      </c>
      <c r="F114" t="s">
        <v>912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>
        <v>0</v>
      </c>
      <c r="N114" s="57">
        <v>0</v>
      </c>
      <c r="O114" s="57">
        <v>0</v>
      </c>
      <c r="P114" s="57">
        <v>0</v>
      </c>
    </row>
    <row r="115" spans="1:16" hidden="1">
      <c r="A115">
        <v>2133</v>
      </c>
      <c r="B115">
        <v>103233</v>
      </c>
      <c r="C115" t="s">
        <v>196</v>
      </c>
      <c r="D115" t="s">
        <v>197</v>
      </c>
      <c r="E115" t="s">
        <v>32</v>
      </c>
      <c r="F115" t="s">
        <v>912</v>
      </c>
      <c r="G115" s="57">
        <v>227005.63401081041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>
        <v>-910.62666666666655</v>
      </c>
      <c r="N115" s="57">
        <v>-3864.56</v>
      </c>
      <c r="O115" s="57">
        <v>0</v>
      </c>
      <c r="P115" s="57">
        <v>222230.44734414373</v>
      </c>
    </row>
    <row r="116" spans="1:16" hidden="1">
      <c r="A116">
        <v>2406</v>
      </c>
      <c r="B116">
        <v>103345</v>
      </c>
      <c r="C116" t="s">
        <v>200</v>
      </c>
      <c r="D116" t="s">
        <v>201</v>
      </c>
      <c r="E116" t="s">
        <v>32</v>
      </c>
      <c r="F116" t="s">
        <v>912</v>
      </c>
      <c r="G116" s="57">
        <v>105642.93893333334</v>
      </c>
      <c r="H116" s="57">
        <v>0</v>
      </c>
      <c r="I116" s="57">
        <v>0</v>
      </c>
      <c r="J116" s="57">
        <v>0</v>
      </c>
      <c r="K116" s="57">
        <v>0</v>
      </c>
      <c r="L116" s="57">
        <v>0</v>
      </c>
      <c r="M116" s="57">
        <v>-439.01333333333332</v>
      </c>
      <c r="N116" s="57">
        <v>-1029.9541666666667</v>
      </c>
      <c r="O116" s="57">
        <v>0</v>
      </c>
      <c r="P116" s="57">
        <v>104173.97143333334</v>
      </c>
    </row>
    <row r="117" spans="1:16" hidden="1">
      <c r="A117">
        <v>2416</v>
      </c>
      <c r="B117">
        <v>103351</v>
      </c>
      <c r="C117" t="s">
        <v>202</v>
      </c>
      <c r="D117" t="s">
        <v>203</v>
      </c>
      <c r="E117" t="s">
        <v>32</v>
      </c>
      <c r="F117" t="s">
        <v>912</v>
      </c>
      <c r="G117" s="57">
        <v>177792.9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>
        <v>-921.49333333333334</v>
      </c>
      <c r="N117" s="57">
        <v>-2716.2333333333331</v>
      </c>
      <c r="O117" s="57">
        <v>0</v>
      </c>
      <c r="P117" s="57">
        <v>174155.17333333331</v>
      </c>
    </row>
    <row r="118" spans="1:16" hidden="1">
      <c r="A118">
        <v>3003</v>
      </c>
      <c r="B118">
        <v>103398</v>
      </c>
      <c r="C118" t="s">
        <v>204</v>
      </c>
      <c r="D118" t="s">
        <v>205</v>
      </c>
      <c r="E118" t="s">
        <v>32</v>
      </c>
      <c r="F118" t="s">
        <v>912</v>
      </c>
      <c r="G118" s="57">
        <v>93639.917706539083</v>
      </c>
      <c r="H118" s="57">
        <v>0</v>
      </c>
      <c r="I118" s="57">
        <v>0</v>
      </c>
      <c r="J118" s="57">
        <v>0</v>
      </c>
      <c r="K118" s="57">
        <v>0</v>
      </c>
      <c r="L118" s="57">
        <v>0</v>
      </c>
      <c r="M118" s="57">
        <v>-456.39999999999992</v>
      </c>
      <c r="N118" s="57">
        <v>-4107.4749999999995</v>
      </c>
      <c r="O118" s="57">
        <v>0</v>
      </c>
      <c r="P118" s="57">
        <v>89076.042706539083</v>
      </c>
    </row>
    <row r="119" spans="1:16" hidden="1">
      <c r="A119">
        <v>4245</v>
      </c>
      <c r="B119">
        <v>103519</v>
      </c>
      <c r="C119" t="s">
        <v>206</v>
      </c>
      <c r="D119" t="s">
        <v>207</v>
      </c>
      <c r="E119" t="s">
        <v>58</v>
      </c>
      <c r="F119" t="s">
        <v>912</v>
      </c>
      <c r="G119" s="57">
        <v>867811.99049153959</v>
      </c>
      <c r="H119" s="57">
        <v>0</v>
      </c>
      <c r="I119" s="57">
        <v>0</v>
      </c>
      <c r="J119" s="57">
        <v>117252.25</v>
      </c>
      <c r="K119" s="57">
        <v>0</v>
      </c>
      <c r="L119" s="57">
        <v>0</v>
      </c>
      <c r="M119" s="57">
        <v>-2122.0374999999999</v>
      </c>
      <c r="N119" s="57">
        <v>-1907.9883333333335</v>
      </c>
      <c r="O119" s="57">
        <v>0</v>
      </c>
      <c r="P119" s="57">
        <v>981034.21465820633</v>
      </c>
    </row>
    <row r="120" spans="1:16" hidden="1">
      <c r="A120">
        <v>2457</v>
      </c>
      <c r="B120">
        <v>103384</v>
      </c>
      <c r="C120" t="s">
        <v>208</v>
      </c>
      <c r="D120" t="s">
        <v>209</v>
      </c>
      <c r="E120" t="s">
        <v>32</v>
      </c>
      <c r="F120" t="s">
        <v>912</v>
      </c>
      <c r="G120" s="57">
        <v>209840.99375245965</v>
      </c>
      <c r="H120" s="57">
        <v>0</v>
      </c>
      <c r="I120" s="57">
        <v>486.11111111111114</v>
      </c>
      <c r="J120" s="57">
        <v>0</v>
      </c>
      <c r="K120" s="57">
        <v>0</v>
      </c>
      <c r="L120" s="57">
        <v>-3970.375</v>
      </c>
      <c r="M120" s="57">
        <v>-904.10666666666657</v>
      </c>
      <c r="N120" s="57">
        <v>-2649.9841666666666</v>
      </c>
      <c r="O120" s="57">
        <v>0</v>
      </c>
      <c r="P120" s="57">
        <v>202802.63903023745</v>
      </c>
    </row>
    <row r="121" spans="1:16" hidden="1">
      <c r="A121">
        <v>2142</v>
      </c>
      <c r="B121">
        <v>103237</v>
      </c>
      <c r="C121" t="s">
        <v>210</v>
      </c>
      <c r="D121" t="s">
        <v>211</v>
      </c>
      <c r="E121" t="s">
        <v>32</v>
      </c>
      <c r="F121" t="s">
        <v>912</v>
      </c>
      <c r="G121" s="57">
        <v>221130.64092242206</v>
      </c>
      <c r="H121" s="57">
        <v>0</v>
      </c>
      <c r="I121" s="57">
        <v>0</v>
      </c>
      <c r="J121" s="57">
        <v>0</v>
      </c>
      <c r="K121" s="57">
        <v>0</v>
      </c>
      <c r="L121" s="57">
        <v>0</v>
      </c>
      <c r="M121" s="57">
        <v>-899.75999999999988</v>
      </c>
      <c r="N121" s="57">
        <v>-1926.2633333333333</v>
      </c>
      <c r="O121" s="57">
        <v>0</v>
      </c>
      <c r="P121" s="57">
        <v>218304.61758908871</v>
      </c>
    </row>
    <row r="122" spans="1:16" hidden="1">
      <c r="A122">
        <v>2469</v>
      </c>
      <c r="B122">
        <v>103395</v>
      </c>
      <c r="C122" t="s">
        <v>212</v>
      </c>
      <c r="D122" t="s">
        <v>213</v>
      </c>
      <c r="E122" t="s">
        <v>32</v>
      </c>
      <c r="F122" t="s">
        <v>912</v>
      </c>
      <c r="G122" s="57">
        <v>155733.99456925088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>
        <v>-688.9466666666666</v>
      </c>
      <c r="N122" s="57">
        <v>-2087.6824999999999</v>
      </c>
      <c r="O122" s="57">
        <v>0</v>
      </c>
      <c r="P122" s="57">
        <v>152957.36540258423</v>
      </c>
    </row>
    <row r="123" spans="1:16" hidden="1">
      <c r="A123">
        <v>1049</v>
      </c>
      <c r="B123">
        <v>103145</v>
      </c>
      <c r="C123" t="s">
        <v>214</v>
      </c>
      <c r="D123" t="s">
        <v>215</v>
      </c>
      <c r="E123" t="s">
        <v>29</v>
      </c>
      <c r="F123" t="s">
        <v>912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>
        <v>0</v>
      </c>
      <c r="N123" s="57">
        <v>0</v>
      </c>
      <c r="O123" s="57">
        <v>0</v>
      </c>
      <c r="P123" s="57">
        <v>0</v>
      </c>
    </row>
    <row r="124" spans="1:16" hidden="1">
      <c r="A124">
        <v>3351</v>
      </c>
      <c r="B124">
        <v>103443</v>
      </c>
      <c r="C124" t="s">
        <v>218</v>
      </c>
      <c r="D124" t="s">
        <v>219</v>
      </c>
      <c r="E124" t="s">
        <v>32</v>
      </c>
      <c r="F124" t="s">
        <v>912</v>
      </c>
      <c r="G124" s="57">
        <v>109810.31332559243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>
        <v>-452.05333333333328</v>
      </c>
      <c r="N124" s="57">
        <v>-1800.9108333333334</v>
      </c>
      <c r="O124" s="57">
        <v>0</v>
      </c>
      <c r="P124" s="57">
        <v>107557.34915892578</v>
      </c>
    </row>
    <row r="125" spans="1:16" hidden="1">
      <c r="A125">
        <v>3328</v>
      </c>
      <c r="B125">
        <v>103430</v>
      </c>
      <c r="C125" t="s">
        <v>220</v>
      </c>
      <c r="D125" t="s">
        <v>221</v>
      </c>
      <c r="E125" t="s">
        <v>32</v>
      </c>
      <c r="F125" t="s">
        <v>912</v>
      </c>
      <c r="G125" s="57">
        <v>98763.24098850158</v>
      </c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57">
        <v>-454.22666666666663</v>
      </c>
      <c r="N125" s="57">
        <v>-289.29000000000002</v>
      </c>
      <c r="O125" s="57">
        <v>0</v>
      </c>
      <c r="P125" s="57">
        <v>98019.724321834918</v>
      </c>
    </row>
    <row r="126" spans="1:16" hidden="1">
      <c r="A126">
        <v>1008</v>
      </c>
      <c r="B126">
        <v>103123</v>
      </c>
      <c r="C126" t="s">
        <v>222</v>
      </c>
      <c r="D126" t="s">
        <v>223</v>
      </c>
      <c r="E126" t="s">
        <v>29</v>
      </c>
      <c r="F126" t="s">
        <v>912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</row>
    <row r="127" spans="1:16" hidden="1">
      <c r="A127">
        <v>4173</v>
      </c>
      <c r="B127">
        <v>103497</v>
      </c>
      <c r="C127" t="s">
        <v>224</v>
      </c>
      <c r="D127" t="s">
        <v>225</v>
      </c>
      <c r="E127" t="s">
        <v>58</v>
      </c>
      <c r="F127" t="s">
        <v>912</v>
      </c>
      <c r="G127" s="57">
        <v>576674.70757043536</v>
      </c>
      <c r="H127" s="57">
        <v>0</v>
      </c>
      <c r="I127" s="57">
        <v>0</v>
      </c>
      <c r="J127" s="57">
        <v>0</v>
      </c>
      <c r="K127" s="57">
        <v>0</v>
      </c>
      <c r="L127" s="57">
        <v>0</v>
      </c>
      <c r="M127" s="57">
        <v>-1523.17</v>
      </c>
      <c r="N127" s="57">
        <v>-6782.2633333333333</v>
      </c>
      <c r="O127" s="57">
        <v>0</v>
      </c>
      <c r="P127" s="57">
        <v>568369.27423710201</v>
      </c>
    </row>
    <row r="128" spans="1:16" hidden="1">
      <c r="A128">
        <v>2159</v>
      </c>
      <c r="B128">
        <v>103247</v>
      </c>
      <c r="C128" t="s">
        <v>226</v>
      </c>
      <c r="D128" t="s">
        <v>227</v>
      </c>
      <c r="E128" t="s">
        <v>32</v>
      </c>
      <c r="F128" t="s">
        <v>912</v>
      </c>
      <c r="G128" s="57">
        <v>111933.20718056239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-452.05333333333328</v>
      </c>
      <c r="N128" s="57">
        <v>-1388.2008333333333</v>
      </c>
      <c r="O128" s="57">
        <v>0</v>
      </c>
      <c r="P128" s="57">
        <v>110092.95301389572</v>
      </c>
    </row>
    <row r="129" spans="1:16" hidden="1">
      <c r="A129">
        <v>2161</v>
      </c>
      <c r="B129">
        <v>103249</v>
      </c>
      <c r="C129" t="s">
        <v>228</v>
      </c>
      <c r="D129" t="s">
        <v>229</v>
      </c>
      <c r="E129" t="s">
        <v>32</v>
      </c>
      <c r="F129" t="s">
        <v>912</v>
      </c>
      <c r="G129" s="57">
        <v>120643.22114117646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-521.6</v>
      </c>
      <c r="N129" s="57">
        <v>-1182.5550000000001</v>
      </c>
      <c r="O129" s="57">
        <v>0</v>
      </c>
      <c r="P129" s="57">
        <v>118939.06614117646</v>
      </c>
    </row>
    <row r="130" spans="1:16" hidden="1">
      <c r="A130">
        <v>2160</v>
      </c>
      <c r="B130">
        <v>103248</v>
      </c>
      <c r="C130" t="s">
        <v>230</v>
      </c>
      <c r="D130" t="s">
        <v>231</v>
      </c>
      <c r="E130" t="s">
        <v>32</v>
      </c>
      <c r="F130" t="s">
        <v>912</v>
      </c>
      <c r="G130" s="57">
        <v>169918.09528819649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-745.45333333333326</v>
      </c>
      <c r="N130" s="57">
        <v>-2196.1749999999997</v>
      </c>
      <c r="O130" s="57">
        <v>0</v>
      </c>
      <c r="P130" s="57">
        <v>166976.46695486316</v>
      </c>
    </row>
    <row r="131" spans="1:16" hidden="1">
      <c r="A131">
        <v>2063</v>
      </c>
      <c r="B131">
        <v>103193</v>
      </c>
      <c r="C131" t="s">
        <v>232</v>
      </c>
      <c r="D131" t="s">
        <v>233</v>
      </c>
      <c r="E131" t="s">
        <v>32</v>
      </c>
      <c r="F131" t="s">
        <v>912</v>
      </c>
      <c r="G131" s="57">
        <v>206415.28848924456</v>
      </c>
      <c r="H131" s="57">
        <v>0</v>
      </c>
      <c r="I131" s="57">
        <v>0</v>
      </c>
      <c r="J131" s="57">
        <v>0</v>
      </c>
      <c r="K131" s="57">
        <v>0</v>
      </c>
      <c r="L131" s="57">
        <v>0</v>
      </c>
      <c r="M131" s="57">
        <v>-823.69333333333327</v>
      </c>
      <c r="N131" s="57">
        <v>-5039.5983333333334</v>
      </c>
      <c r="O131" s="57">
        <v>0</v>
      </c>
      <c r="P131" s="57">
        <v>200551.9968225779</v>
      </c>
    </row>
    <row r="132" spans="1:16" hidden="1">
      <c r="A132">
        <v>1018</v>
      </c>
      <c r="B132">
        <v>103131</v>
      </c>
      <c r="C132" t="s">
        <v>234</v>
      </c>
      <c r="D132" t="s">
        <v>235</v>
      </c>
      <c r="E132" t="s">
        <v>29</v>
      </c>
      <c r="F132" t="s">
        <v>912</v>
      </c>
      <c r="G132" s="57">
        <v>0</v>
      </c>
      <c r="H132" s="57">
        <v>0</v>
      </c>
      <c r="I132" s="57">
        <v>0</v>
      </c>
      <c r="J132" s="57">
        <v>0</v>
      </c>
      <c r="K132" s="57">
        <v>0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</row>
    <row r="133" spans="1:16" hidden="1">
      <c r="A133">
        <v>7033</v>
      </c>
      <c r="B133">
        <v>103613</v>
      </c>
      <c r="C133" t="s">
        <v>236</v>
      </c>
      <c r="D133" t="s">
        <v>237</v>
      </c>
      <c r="E133" t="s">
        <v>47</v>
      </c>
      <c r="F133" t="s">
        <v>912</v>
      </c>
      <c r="G133" s="57">
        <v>0</v>
      </c>
      <c r="H133" s="57">
        <v>363893.75</v>
      </c>
      <c r="I133" s="57">
        <v>0</v>
      </c>
      <c r="J133" s="57">
        <v>0</v>
      </c>
      <c r="K133" s="57">
        <v>225704.02897913684</v>
      </c>
      <c r="L133" s="57">
        <v>0</v>
      </c>
      <c r="M133" s="57">
        <v>0</v>
      </c>
      <c r="N133" s="57">
        <v>0</v>
      </c>
      <c r="O133" s="57">
        <v>0</v>
      </c>
      <c r="P133" s="57">
        <v>589597.77897913684</v>
      </c>
    </row>
    <row r="134" spans="1:16" hidden="1">
      <c r="A134">
        <v>4177</v>
      </c>
      <c r="B134">
        <v>103498</v>
      </c>
      <c r="C134" t="s">
        <v>238</v>
      </c>
      <c r="D134" t="s">
        <v>239</v>
      </c>
      <c r="E134" t="s">
        <v>58</v>
      </c>
      <c r="F134" t="s">
        <v>912</v>
      </c>
      <c r="G134" s="57">
        <v>558895.44298088772</v>
      </c>
      <c r="H134" s="57">
        <v>0</v>
      </c>
      <c r="I134" s="57">
        <v>0</v>
      </c>
      <c r="J134" s="57">
        <v>0</v>
      </c>
      <c r="K134" s="57">
        <v>0</v>
      </c>
      <c r="L134" s="57">
        <v>0</v>
      </c>
      <c r="M134" s="57">
        <v>-1383.9375</v>
      </c>
      <c r="N134" s="57">
        <v>-9325.6116666666658</v>
      </c>
      <c r="O134" s="57">
        <v>0</v>
      </c>
      <c r="P134" s="57">
        <v>548185.89381422102</v>
      </c>
    </row>
    <row r="135" spans="1:16" hidden="1">
      <c r="A135">
        <v>2169</v>
      </c>
      <c r="B135">
        <v>103252</v>
      </c>
      <c r="C135" t="s">
        <v>240</v>
      </c>
      <c r="D135" t="s">
        <v>241</v>
      </c>
      <c r="E135" t="s">
        <v>32</v>
      </c>
      <c r="F135" t="s">
        <v>912</v>
      </c>
      <c r="G135" s="57">
        <v>195478.76442353948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-791.09333333333325</v>
      </c>
      <c r="N135" s="57">
        <v>-2473.3183333333332</v>
      </c>
      <c r="O135" s="57">
        <v>0</v>
      </c>
      <c r="P135" s="57">
        <v>192214.35275687283</v>
      </c>
    </row>
    <row r="136" spans="1:16" hidden="1">
      <c r="A136">
        <v>2008</v>
      </c>
      <c r="B136">
        <v>103157</v>
      </c>
      <c r="C136" t="s">
        <v>242</v>
      </c>
      <c r="D136" t="s">
        <v>243</v>
      </c>
      <c r="E136" t="s">
        <v>32</v>
      </c>
      <c r="F136" t="s">
        <v>912</v>
      </c>
      <c r="G136" s="57">
        <v>211254.96402570754</v>
      </c>
      <c r="H136" s="57">
        <v>0</v>
      </c>
      <c r="I136" s="57">
        <v>0</v>
      </c>
      <c r="J136" s="57">
        <v>0</v>
      </c>
      <c r="K136" s="57">
        <v>0</v>
      </c>
      <c r="L136" s="57">
        <v>0</v>
      </c>
      <c r="M136" s="57">
        <v>-925.84</v>
      </c>
      <c r="N136" s="57">
        <v>-2407.0691666666667</v>
      </c>
      <c r="O136" s="57">
        <v>0</v>
      </c>
      <c r="P136" s="57">
        <v>207922.05485904089</v>
      </c>
    </row>
    <row r="137" spans="1:16" hidden="1">
      <c r="A137">
        <v>1038</v>
      </c>
      <c r="B137">
        <v>103142</v>
      </c>
      <c r="C137" t="s">
        <v>244</v>
      </c>
      <c r="D137" t="s">
        <v>245</v>
      </c>
      <c r="E137" t="s">
        <v>29</v>
      </c>
      <c r="F137" t="s">
        <v>912</v>
      </c>
      <c r="G137" s="57">
        <v>0</v>
      </c>
      <c r="H137" s="57">
        <v>0</v>
      </c>
      <c r="I137" s="57">
        <v>0</v>
      </c>
      <c r="J137" s="57">
        <v>0</v>
      </c>
      <c r="K137" s="57">
        <v>0</v>
      </c>
      <c r="L137" s="57">
        <v>0</v>
      </c>
      <c r="M137" s="57">
        <v>0</v>
      </c>
      <c r="N137" s="57">
        <v>0</v>
      </c>
      <c r="O137" s="57">
        <v>0</v>
      </c>
      <c r="P137" s="57">
        <v>0</v>
      </c>
    </row>
    <row r="138" spans="1:16" hidden="1">
      <c r="A138">
        <v>2174</v>
      </c>
      <c r="B138">
        <v>103255</v>
      </c>
      <c r="C138" t="s">
        <v>246</v>
      </c>
      <c r="D138" t="s">
        <v>247</v>
      </c>
      <c r="E138" t="s">
        <v>32</v>
      </c>
      <c r="F138" t="s">
        <v>912</v>
      </c>
      <c r="G138" s="57">
        <v>148907.44275853413</v>
      </c>
      <c r="H138" s="57">
        <v>0</v>
      </c>
      <c r="I138" s="57">
        <v>0</v>
      </c>
      <c r="J138" s="57">
        <v>0</v>
      </c>
      <c r="K138" s="57">
        <v>0</v>
      </c>
      <c r="L138" s="57">
        <v>0</v>
      </c>
      <c r="M138" s="57">
        <v>-651.99999999999989</v>
      </c>
      <c r="N138" s="57">
        <v>-1711.0383333333332</v>
      </c>
      <c r="O138" s="57">
        <v>0</v>
      </c>
      <c r="P138" s="57">
        <v>146544.4044252008</v>
      </c>
    </row>
    <row r="139" spans="1:16" hidden="1">
      <c r="A139">
        <v>2176</v>
      </c>
      <c r="B139">
        <v>103256</v>
      </c>
      <c r="C139" t="s">
        <v>248</v>
      </c>
      <c r="D139" t="s">
        <v>249</v>
      </c>
      <c r="E139" t="s">
        <v>32</v>
      </c>
      <c r="F139" t="s">
        <v>912</v>
      </c>
      <c r="G139" s="57">
        <v>330700.92181069055</v>
      </c>
      <c r="H139" s="57">
        <v>0</v>
      </c>
      <c r="I139" s="57">
        <v>0</v>
      </c>
      <c r="J139" s="57">
        <v>0</v>
      </c>
      <c r="K139" s="57">
        <v>0</v>
      </c>
      <c r="L139" s="57">
        <v>0</v>
      </c>
      <c r="M139" s="57">
        <v>-1412.6666666666667</v>
      </c>
      <c r="N139" s="57">
        <v>-5510.5883333333331</v>
      </c>
      <c r="O139" s="57">
        <v>0</v>
      </c>
      <c r="P139" s="57">
        <v>323777.66681069054</v>
      </c>
    </row>
    <row r="140" spans="1:16" hidden="1">
      <c r="A140">
        <v>7047</v>
      </c>
      <c r="B140">
        <v>103623</v>
      </c>
      <c r="C140" t="s">
        <v>250</v>
      </c>
      <c r="D140" t="s">
        <v>251</v>
      </c>
      <c r="E140" t="s">
        <v>47</v>
      </c>
      <c r="F140" t="s">
        <v>912</v>
      </c>
      <c r="G140" s="57">
        <v>0</v>
      </c>
      <c r="H140" s="57">
        <v>105943.75</v>
      </c>
      <c r="I140" s="57">
        <v>0</v>
      </c>
      <c r="J140" s="57">
        <v>0</v>
      </c>
      <c r="K140" s="57">
        <v>128475.60797799386</v>
      </c>
      <c r="L140" s="57">
        <v>0</v>
      </c>
      <c r="M140" s="57">
        <v>0</v>
      </c>
      <c r="N140" s="57">
        <v>0</v>
      </c>
      <c r="O140" s="57">
        <v>0</v>
      </c>
      <c r="P140" s="57">
        <v>234419.35797799384</v>
      </c>
    </row>
    <row r="141" spans="1:16" hidden="1">
      <c r="A141">
        <v>3410</v>
      </c>
      <c r="B141">
        <v>103478</v>
      </c>
      <c r="C141" t="s">
        <v>252</v>
      </c>
      <c r="D141" t="s">
        <v>253</v>
      </c>
      <c r="E141" t="s">
        <v>32</v>
      </c>
      <c r="F141" t="s">
        <v>912</v>
      </c>
      <c r="G141" s="57">
        <v>102174.13112361789</v>
      </c>
      <c r="H141" s="57">
        <v>0</v>
      </c>
      <c r="I141" s="57">
        <v>0</v>
      </c>
      <c r="J141" s="57">
        <v>0</v>
      </c>
      <c r="K141" s="57">
        <v>0</v>
      </c>
      <c r="L141" s="57">
        <v>0</v>
      </c>
      <c r="M141" s="57">
        <v>-449.87999999999994</v>
      </c>
      <c r="N141" s="57">
        <v>-326.83083333333332</v>
      </c>
      <c r="O141" s="57">
        <v>0</v>
      </c>
      <c r="P141" s="57">
        <v>101397.42029028456</v>
      </c>
    </row>
    <row r="142" spans="1:16" hidden="1">
      <c r="A142">
        <v>3381</v>
      </c>
      <c r="B142">
        <v>103466</v>
      </c>
      <c r="C142" t="s">
        <v>254</v>
      </c>
      <c r="D142" t="s">
        <v>255</v>
      </c>
      <c r="E142" t="s">
        <v>32</v>
      </c>
      <c r="F142" t="s">
        <v>912</v>
      </c>
      <c r="G142" s="57">
        <v>97776.446306832542</v>
      </c>
      <c r="H142" s="57">
        <v>0</v>
      </c>
      <c r="I142" s="57">
        <v>0</v>
      </c>
      <c r="J142" s="57">
        <v>0</v>
      </c>
      <c r="K142" s="57">
        <v>0</v>
      </c>
      <c r="L142" s="57">
        <v>0</v>
      </c>
      <c r="M142" s="57">
        <v>-449.87999999999994</v>
      </c>
      <c r="N142" s="57">
        <v>-331.24833333333333</v>
      </c>
      <c r="O142" s="57">
        <v>0</v>
      </c>
      <c r="P142" s="57">
        <v>96995.317973499201</v>
      </c>
    </row>
    <row r="143" spans="1:16" hidden="1">
      <c r="A143">
        <v>3335</v>
      </c>
      <c r="B143">
        <v>103434</v>
      </c>
      <c r="C143" t="s">
        <v>256</v>
      </c>
      <c r="D143" t="s">
        <v>257</v>
      </c>
      <c r="E143" t="s">
        <v>32</v>
      </c>
      <c r="F143" t="s">
        <v>912</v>
      </c>
      <c r="G143" s="57">
        <v>114490.23761317074</v>
      </c>
      <c r="H143" s="57">
        <v>0</v>
      </c>
      <c r="I143" s="57">
        <v>0</v>
      </c>
      <c r="J143" s="57">
        <v>0</v>
      </c>
      <c r="K143" s="57">
        <v>0</v>
      </c>
      <c r="L143" s="57">
        <v>0</v>
      </c>
      <c r="M143" s="57">
        <v>-443.35999999999996</v>
      </c>
      <c r="N143" s="57">
        <v>-437.24666666666667</v>
      </c>
      <c r="O143" s="57">
        <v>0</v>
      </c>
      <c r="P143" s="57">
        <v>113609.63094650407</v>
      </c>
    </row>
    <row r="144" spans="1:16" hidden="1">
      <c r="A144">
        <v>2183</v>
      </c>
      <c r="B144">
        <v>103261</v>
      </c>
      <c r="C144" t="s">
        <v>258</v>
      </c>
      <c r="D144" t="s">
        <v>259</v>
      </c>
      <c r="E144" t="s">
        <v>32</v>
      </c>
      <c r="F144" t="s">
        <v>912</v>
      </c>
      <c r="G144" s="57">
        <v>185305.4480464606</v>
      </c>
      <c r="H144" s="57">
        <v>0</v>
      </c>
      <c r="I144" s="57">
        <v>14666.666666666666</v>
      </c>
      <c r="J144" s="57">
        <v>0</v>
      </c>
      <c r="K144" s="57">
        <v>0</v>
      </c>
      <c r="L144" s="57">
        <v>37206.120833333334</v>
      </c>
      <c r="M144" s="57">
        <v>-743.27999999999986</v>
      </c>
      <c r="N144" s="57">
        <v>-3116.1725000000001</v>
      </c>
      <c r="O144" s="57">
        <v>0</v>
      </c>
      <c r="P144" s="57">
        <v>233318.78304646062</v>
      </c>
    </row>
    <row r="145" spans="1:16" hidden="1">
      <c r="A145">
        <v>3372</v>
      </c>
      <c r="B145">
        <v>103460</v>
      </c>
      <c r="C145" t="s">
        <v>260</v>
      </c>
      <c r="D145" t="s">
        <v>261</v>
      </c>
      <c r="E145" t="s">
        <v>32</v>
      </c>
      <c r="F145" t="s">
        <v>912</v>
      </c>
      <c r="G145" s="57">
        <v>260411.62739799288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>
        <v>-1180.1199999999999</v>
      </c>
      <c r="N145" s="57">
        <v>-481.41333333333336</v>
      </c>
      <c r="O145" s="57">
        <v>0</v>
      </c>
      <c r="P145" s="57">
        <v>258750.09406465956</v>
      </c>
    </row>
    <row r="146" spans="1:16" hidden="1">
      <c r="A146">
        <v>3375</v>
      </c>
      <c r="B146">
        <v>103462</v>
      </c>
      <c r="C146" t="s">
        <v>262</v>
      </c>
      <c r="D146" t="s">
        <v>263</v>
      </c>
      <c r="E146" t="s">
        <v>32</v>
      </c>
      <c r="F146" t="s">
        <v>912</v>
      </c>
      <c r="G146" s="57">
        <v>188126.02876249808</v>
      </c>
      <c r="H146" s="57">
        <v>0</v>
      </c>
      <c r="I146" s="57">
        <v>0</v>
      </c>
      <c r="J146" s="57">
        <v>0</v>
      </c>
      <c r="K146" s="57">
        <v>0</v>
      </c>
      <c r="L146" s="57">
        <v>0</v>
      </c>
      <c r="M146" s="57">
        <v>-888.89333333333332</v>
      </c>
      <c r="N146" s="57">
        <v>-315.78916666666663</v>
      </c>
      <c r="O146" s="57">
        <v>0</v>
      </c>
      <c r="P146" s="57">
        <v>186921.34626249809</v>
      </c>
    </row>
    <row r="147" spans="1:16" hidden="1">
      <c r="A147">
        <v>3331</v>
      </c>
      <c r="B147">
        <v>103433</v>
      </c>
      <c r="C147" t="s">
        <v>264</v>
      </c>
      <c r="D147" t="s">
        <v>265</v>
      </c>
      <c r="E147" t="s">
        <v>32</v>
      </c>
      <c r="F147" t="s">
        <v>912</v>
      </c>
      <c r="G147" s="57">
        <v>109565.63502102987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>
        <v>-458.57333333333327</v>
      </c>
      <c r="N147" s="57">
        <v>-684.46333333333325</v>
      </c>
      <c r="O147" s="57">
        <v>0</v>
      </c>
      <c r="P147" s="57">
        <v>108422.5983543632</v>
      </c>
    </row>
    <row r="148" spans="1:16" hidden="1">
      <c r="A148">
        <v>3386</v>
      </c>
      <c r="B148">
        <v>103470</v>
      </c>
      <c r="C148" t="s">
        <v>266</v>
      </c>
      <c r="D148" t="s">
        <v>267</v>
      </c>
      <c r="E148" t="s">
        <v>32</v>
      </c>
      <c r="F148" t="s">
        <v>912</v>
      </c>
      <c r="G148" s="57">
        <v>116200.14712701859</v>
      </c>
      <c r="H148" s="57">
        <v>0</v>
      </c>
      <c r="I148" s="57">
        <v>0</v>
      </c>
      <c r="J148" s="57">
        <v>0</v>
      </c>
      <c r="K148" s="57">
        <v>0</v>
      </c>
      <c r="L148" s="57">
        <v>0</v>
      </c>
      <c r="M148" s="57">
        <v>-460.74666666666667</v>
      </c>
      <c r="N148" s="57">
        <v>-459.33</v>
      </c>
      <c r="O148" s="57">
        <v>0</v>
      </c>
      <c r="P148" s="57">
        <v>115280.07046035191</v>
      </c>
    </row>
    <row r="149" spans="1:16" hidden="1">
      <c r="A149">
        <v>3363</v>
      </c>
      <c r="B149">
        <v>103455</v>
      </c>
      <c r="C149" t="s">
        <v>268</v>
      </c>
      <c r="D149" t="s">
        <v>269</v>
      </c>
      <c r="E149" t="s">
        <v>32</v>
      </c>
      <c r="F149" t="s">
        <v>912</v>
      </c>
      <c r="G149" s="57">
        <v>134087.48559622155</v>
      </c>
      <c r="H149" s="57">
        <v>0</v>
      </c>
      <c r="I149" s="57">
        <v>0</v>
      </c>
      <c r="J149" s="57">
        <v>0</v>
      </c>
      <c r="K149" s="57">
        <v>0</v>
      </c>
      <c r="L149" s="57">
        <v>0</v>
      </c>
      <c r="M149" s="57">
        <v>-632.43999999999994</v>
      </c>
      <c r="N149" s="57">
        <v>-256.16500000000002</v>
      </c>
      <c r="O149" s="57">
        <v>0</v>
      </c>
      <c r="P149" s="57">
        <v>133198.88059622154</v>
      </c>
    </row>
    <row r="150" spans="1:16" hidden="1">
      <c r="A150">
        <v>3355</v>
      </c>
      <c r="B150">
        <v>103447</v>
      </c>
      <c r="C150" t="s">
        <v>270</v>
      </c>
      <c r="D150" t="s">
        <v>271</v>
      </c>
      <c r="E150" t="s">
        <v>32</v>
      </c>
      <c r="F150" t="s">
        <v>912</v>
      </c>
      <c r="G150" s="57">
        <v>173091.22167560973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>
        <v>-847.59999999999991</v>
      </c>
      <c r="N150" s="57">
        <v>-516.74666666666667</v>
      </c>
      <c r="O150" s="57">
        <v>0</v>
      </c>
      <c r="P150" s="57">
        <v>171726.87500894305</v>
      </c>
    </row>
    <row r="151" spans="1:16" hidden="1">
      <c r="A151">
        <v>3367</v>
      </c>
      <c r="B151">
        <v>103458</v>
      </c>
      <c r="C151" t="s">
        <v>272</v>
      </c>
      <c r="D151" t="s">
        <v>273</v>
      </c>
      <c r="E151" t="s">
        <v>32</v>
      </c>
      <c r="F151" t="s">
        <v>912</v>
      </c>
      <c r="G151" s="57">
        <v>104333.57142815646</v>
      </c>
      <c r="H151" s="57">
        <v>0</v>
      </c>
      <c r="I151" s="57">
        <v>0</v>
      </c>
      <c r="J151" s="57">
        <v>0</v>
      </c>
      <c r="K151" s="57">
        <v>0</v>
      </c>
      <c r="L151" s="57">
        <v>0</v>
      </c>
      <c r="M151" s="57">
        <v>-449.87999999999994</v>
      </c>
      <c r="N151" s="57">
        <v>-261.81833333333333</v>
      </c>
      <c r="O151" s="57">
        <v>0</v>
      </c>
      <c r="P151" s="57">
        <v>103621.87309482312</v>
      </c>
    </row>
    <row r="152" spans="1:16" hidden="1">
      <c r="A152">
        <v>3010</v>
      </c>
      <c r="B152">
        <v>103401</v>
      </c>
      <c r="C152" t="s">
        <v>274</v>
      </c>
      <c r="D152" t="s">
        <v>275</v>
      </c>
      <c r="E152" t="s">
        <v>32</v>
      </c>
      <c r="F152" t="s">
        <v>912</v>
      </c>
      <c r="G152" s="57">
        <v>215440.08588623707</v>
      </c>
      <c r="H152" s="57">
        <v>0</v>
      </c>
      <c r="I152" s="57">
        <v>0</v>
      </c>
      <c r="J152" s="57">
        <v>0</v>
      </c>
      <c r="K152" s="57">
        <v>0</v>
      </c>
      <c r="L152" s="57">
        <v>0</v>
      </c>
      <c r="M152" s="57">
        <v>-912.79999999999984</v>
      </c>
      <c r="N152" s="57">
        <v>-1280.5883333333334</v>
      </c>
      <c r="O152" s="57">
        <v>0</v>
      </c>
      <c r="P152" s="57">
        <v>213246.69755290373</v>
      </c>
    </row>
    <row r="153" spans="1:16" hidden="1">
      <c r="A153">
        <v>4625</v>
      </c>
      <c r="B153">
        <v>103534</v>
      </c>
      <c r="C153" t="s">
        <v>276</v>
      </c>
      <c r="D153" t="s">
        <v>277</v>
      </c>
      <c r="E153" t="s">
        <v>58</v>
      </c>
      <c r="F153" t="s">
        <v>912</v>
      </c>
      <c r="G153" s="57">
        <v>434502.23169069208</v>
      </c>
      <c r="H153" s="57">
        <v>0</v>
      </c>
      <c r="I153" s="57">
        <v>0</v>
      </c>
      <c r="J153" s="57">
        <v>0</v>
      </c>
      <c r="K153" s="57">
        <v>0</v>
      </c>
      <c r="L153" s="57">
        <v>0</v>
      </c>
      <c r="M153" s="57">
        <v>-1050.115</v>
      </c>
      <c r="N153" s="57">
        <v>-1157.1591666666666</v>
      </c>
      <c r="O153" s="57">
        <v>0</v>
      </c>
      <c r="P153" s="57">
        <v>432294.95752402541</v>
      </c>
    </row>
    <row r="154" spans="1:16" hidden="1">
      <c r="A154">
        <v>3377</v>
      </c>
      <c r="B154">
        <v>103463</v>
      </c>
      <c r="C154" t="s">
        <v>278</v>
      </c>
      <c r="D154" t="s">
        <v>279</v>
      </c>
      <c r="E154" t="s">
        <v>32</v>
      </c>
      <c r="F154" t="s">
        <v>912</v>
      </c>
      <c r="G154" s="57">
        <v>108861.07280471781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>
        <v>-428.14666666666659</v>
      </c>
      <c r="N154" s="57">
        <v>-340.08083333333332</v>
      </c>
      <c r="O154" s="57">
        <v>0</v>
      </c>
      <c r="P154" s="57">
        <v>108092.84530471782</v>
      </c>
    </row>
    <row r="155" spans="1:16" hidden="1">
      <c r="A155">
        <v>3371</v>
      </c>
      <c r="B155">
        <v>103459</v>
      </c>
      <c r="C155" t="s">
        <v>280</v>
      </c>
      <c r="D155" t="s">
        <v>281</v>
      </c>
      <c r="E155" t="s">
        <v>32</v>
      </c>
      <c r="F155" t="s">
        <v>912</v>
      </c>
      <c r="G155" s="57">
        <v>124839.01862301887</v>
      </c>
      <c r="H155" s="57">
        <v>0</v>
      </c>
      <c r="I155" s="57">
        <v>0</v>
      </c>
      <c r="J155" s="57">
        <v>0</v>
      </c>
      <c r="K155" s="57">
        <v>0</v>
      </c>
      <c r="L155" s="57">
        <v>0</v>
      </c>
      <c r="M155" s="57">
        <v>-582.45333333333326</v>
      </c>
      <c r="N155" s="57">
        <v>-1563.49</v>
      </c>
      <c r="O155" s="57">
        <v>0</v>
      </c>
      <c r="P155" s="57">
        <v>122693.07528968553</v>
      </c>
    </row>
    <row r="156" spans="1:16" hidden="1">
      <c r="A156">
        <v>3307</v>
      </c>
      <c r="B156">
        <v>103416</v>
      </c>
      <c r="C156" t="s">
        <v>282</v>
      </c>
      <c r="D156" t="s">
        <v>283</v>
      </c>
      <c r="E156" t="s">
        <v>32</v>
      </c>
      <c r="F156" t="s">
        <v>912</v>
      </c>
      <c r="G156" s="57">
        <v>156826.14104027508</v>
      </c>
      <c r="H156" s="57">
        <v>0</v>
      </c>
      <c r="I156" s="57">
        <v>0</v>
      </c>
      <c r="J156" s="57">
        <v>0</v>
      </c>
      <c r="K156" s="57">
        <v>0</v>
      </c>
      <c r="L156" s="57">
        <v>0</v>
      </c>
      <c r="M156" s="57">
        <v>-778.05333333333328</v>
      </c>
      <c r="N156" s="57">
        <v>-366.58166666666665</v>
      </c>
      <c r="O156" s="57">
        <v>0</v>
      </c>
      <c r="P156" s="57">
        <v>155681.50604027507</v>
      </c>
    </row>
    <row r="157" spans="1:16" hidden="1">
      <c r="A157">
        <v>3361</v>
      </c>
      <c r="B157">
        <v>103453</v>
      </c>
      <c r="C157" t="s">
        <v>284</v>
      </c>
      <c r="D157" t="s">
        <v>285</v>
      </c>
      <c r="E157" t="s">
        <v>32</v>
      </c>
      <c r="F157" t="s">
        <v>912</v>
      </c>
      <c r="G157" s="57">
        <v>160124.49475807211</v>
      </c>
      <c r="H157" s="57">
        <v>0</v>
      </c>
      <c r="I157" s="57">
        <v>0</v>
      </c>
      <c r="J157" s="57">
        <v>0</v>
      </c>
      <c r="K157" s="57">
        <v>0</v>
      </c>
      <c r="L157" s="57">
        <v>0</v>
      </c>
      <c r="M157" s="57">
        <v>-715.02666666666664</v>
      </c>
      <c r="N157" s="57">
        <v>-578.58000000000004</v>
      </c>
      <c r="O157" s="57">
        <v>0</v>
      </c>
      <c r="P157" s="57">
        <v>158830.88809140545</v>
      </c>
    </row>
    <row r="158" spans="1:16" hidden="1">
      <c r="A158">
        <v>3344</v>
      </c>
      <c r="B158">
        <v>103438</v>
      </c>
      <c r="C158" t="s">
        <v>286</v>
      </c>
      <c r="D158" t="s">
        <v>287</v>
      </c>
      <c r="E158" t="s">
        <v>32</v>
      </c>
      <c r="F158" t="s">
        <v>912</v>
      </c>
      <c r="G158" s="57">
        <v>179318.41108022342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7">
        <v>-912.79999999999984</v>
      </c>
      <c r="N158" s="57">
        <v>-253.95666666666668</v>
      </c>
      <c r="O158" s="57">
        <v>0</v>
      </c>
      <c r="P158" s="57">
        <v>178151.65441355677</v>
      </c>
    </row>
    <row r="159" spans="1:16" hidden="1">
      <c r="A159">
        <v>3025</v>
      </c>
      <c r="B159">
        <v>103410</v>
      </c>
      <c r="C159" t="s">
        <v>288</v>
      </c>
      <c r="D159" t="s">
        <v>289</v>
      </c>
      <c r="E159" t="s">
        <v>32</v>
      </c>
      <c r="F159" t="s">
        <v>912</v>
      </c>
      <c r="G159" s="57">
        <v>184482.90249827644</v>
      </c>
      <c r="H159" s="57">
        <v>0</v>
      </c>
      <c r="I159" s="57">
        <v>0</v>
      </c>
      <c r="J159" s="57">
        <v>0</v>
      </c>
      <c r="K159" s="57">
        <v>0</v>
      </c>
      <c r="L159" s="57">
        <v>0</v>
      </c>
      <c r="M159" s="57">
        <v>-893.2399999999999</v>
      </c>
      <c r="N159" s="57">
        <v>-427.17666666666668</v>
      </c>
      <c r="O159" s="57">
        <v>0</v>
      </c>
      <c r="P159" s="57">
        <v>183162.48583160978</v>
      </c>
    </row>
    <row r="160" spans="1:16" hidden="1">
      <c r="A160">
        <v>3016</v>
      </c>
      <c r="B160">
        <v>103404</v>
      </c>
      <c r="C160" t="s">
        <v>290</v>
      </c>
      <c r="D160" t="s">
        <v>291</v>
      </c>
      <c r="E160" t="s">
        <v>32</v>
      </c>
      <c r="F160" t="s">
        <v>912</v>
      </c>
      <c r="G160" s="57">
        <v>119821.98354523809</v>
      </c>
      <c r="H160" s="57">
        <v>0</v>
      </c>
      <c r="I160" s="57">
        <v>0</v>
      </c>
      <c r="J160" s="57">
        <v>0</v>
      </c>
      <c r="K160" s="57">
        <v>0</v>
      </c>
      <c r="L160" s="57">
        <v>0</v>
      </c>
      <c r="M160" s="57">
        <v>-443.35999999999996</v>
      </c>
      <c r="N160" s="57">
        <v>-1302.1108333333334</v>
      </c>
      <c r="O160" s="57">
        <v>0</v>
      </c>
      <c r="P160" s="57">
        <v>118076.51271190475</v>
      </c>
    </row>
    <row r="161" spans="1:16" hidden="1">
      <c r="A161">
        <v>4606</v>
      </c>
      <c r="B161">
        <v>103531</v>
      </c>
      <c r="C161" t="s">
        <v>292</v>
      </c>
      <c r="D161" t="s">
        <v>293</v>
      </c>
      <c r="E161" t="s">
        <v>58</v>
      </c>
      <c r="F161" t="s">
        <v>912</v>
      </c>
      <c r="G161" s="57">
        <v>507535.86006059707</v>
      </c>
      <c r="H161" s="57">
        <v>0</v>
      </c>
      <c r="I161" s="57">
        <v>0</v>
      </c>
      <c r="J161" s="57">
        <v>106607.83333333334</v>
      </c>
      <c r="K161" s="57">
        <v>0</v>
      </c>
      <c r="L161" s="57">
        <v>0</v>
      </c>
      <c r="M161" s="57">
        <v>-1419.165</v>
      </c>
      <c r="N161" s="57">
        <v>-1245.4925000000001</v>
      </c>
      <c r="O161" s="57">
        <v>0</v>
      </c>
      <c r="P161" s="57">
        <v>611479.03589393036</v>
      </c>
    </row>
    <row r="162" spans="1:16" hidden="1">
      <c r="A162">
        <v>3428</v>
      </c>
      <c r="B162">
        <v>134476</v>
      </c>
      <c r="C162" t="s">
        <v>294</v>
      </c>
      <c r="D162" t="s">
        <v>295</v>
      </c>
      <c r="E162" t="s">
        <v>32</v>
      </c>
      <c r="F162" t="s">
        <v>912</v>
      </c>
      <c r="G162" s="57">
        <v>184698.48630326742</v>
      </c>
      <c r="H162" s="57">
        <v>0</v>
      </c>
      <c r="I162" s="57">
        <v>0</v>
      </c>
      <c r="J162" s="57">
        <v>0</v>
      </c>
      <c r="K162" s="57">
        <v>0</v>
      </c>
      <c r="L162" s="57">
        <v>0</v>
      </c>
      <c r="M162" s="57">
        <v>-895.4133333333333</v>
      </c>
      <c r="N162" s="57">
        <v>-3732.0608333333334</v>
      </c>
      <c r="O162" s="57">
        <v>0</v>
      </c>
      <c r="P162" s="57">
        <v>180071.01213660077</v>
      </c>
    </row>
    <row r="163" spans="1:16" hidden="1">
      <c r="A163">
        <v>3019</v>
      </c>
      <c r="B163">
        <v>103406</v>
      </c>
      <c r="C163" t="s">
        <v>296</v>
      </c>
      <c r="D163" t="s">
        <v>297</v>
      </c>
      <c r="E163" t="s">
        <v>32</v>
      </c>
      <c r="F163" t="s">
        <v>912</v>
      </c>
      <c r="G163" s="57">
        <v>209969.45721645703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57">
        <v>-884.54666666666662</v>
      </c>
      <c r="N163" s="57">
        <v>-2318.7358333333336</v>
      </c>
      <c r="O163" s="57">
        <v>0</v>
      </c>
      <c r="P163" s="57">
        <v>206766.17471645703</v>
      </c>
    </row>
    <row r="164" spans="1:16" hidden="1">
      <c r="A164">
        <v>2178</v>
      </c>
      <c r="B164">
        <v>103257</v>
      </c>
      <c r="C164" t="s">
        <v>298</v>
      </c>
      <c r="D164" t="s">
        <v>299</v>
      </c>
      <c r="E164" t="s">
        <v>32</v>
      </c>
      <c r="F164" t="s">
        <v>912</v>
      </c>
      <c r="G164" s="57">
        <v>111206.30901642743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57">
        <v>-447.70666666666665</v>
      </c>
      <c r="N164" s="57">
        <v>-1366.6783333333333</v>
      </c>
      <c r="O164" s="57">
        <v>0</v>
      </c>
      <c r="P164" s="57">
        <v>109391.92401642744</v>
      </c>
    </row>
    <row r="165" spans="1:16" hidden="1">
      <c r="A165">
        <v>2184</v>
      </c>
      <c r="B165">
        <v>103262</v>
      </c>
      <c r="C165" t="s">
        <v>300</v>
      </c>
      <c r="D165" t="s">
        <v>301</v>
      </c>
      <c r="E165" t="s">
        <v>32</v>
      </c>
      <c r="F165" t="s">
        <v>912</v>
      </c>
      <c r="G165" s="57">
        <v>199834.64029712215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57">
        <v>-899.75999999999988</v>
      </c>
      <c r="N165" s="57">
        <v>-2561.6508333333336</v>
      </c>
      <c r="O165" s="57">
        <v>0</v>
      </c>
      <c r="P165" s="57">
        <v>196373.2294637888</v>
      </c>
    </row>
    <row r="166" spans="1:16" hidden="1">
      <c r="A166">
        <v>2190</v>
      </c>
      <c r="B166">
        <v>103266</v>
      </c>
      <c r="C166" t="s">
        <v>302</v>
      </c>
      <c r="D166" t="s">
        <v>303</v>
      </c>
      <c r="E166" t="s">
        <v>32</v>
      </c>
      <c r="F166" t="s">
        <v>912</v>
      </c>
      <c r="G166" s="57">
        <v>86195.145566228079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7">
        <v>-339.03999999999996</v>
      </c>
      <c r="N166" s="57">
        <v>-1807.8891666666666</v>
      </c>
      <c r="O166" s="57">
        <v>0</v>
      </c>
      <c r="P166" s="57">
        <v>84048.216399561425</v>
      </c>
    </row>
    <row r="167" spans="1:16" hidden="1">
      <c r="A167">
        <v>7035</v>
      </c>
      <c r="B167">
        <v>103615</v>
      </c>
      <c r="C167" t="s">
        <v>304</v>
      </c>
      <c r="D167" t="s">
        <v>305</v>
      </c>
      <c r="E167" t="s">
        <v>47</v>
      </c>
      <c r="F167" t="s">
        <v>912</v>
      </c>
      <c r="G167" s="57">
        <v>0</v>
      </c>
      <c r="H167" s="57">
        <v>138187.5</v>
      </c>
      <c r="I167" s="57">
        <v>0</v>
      </c>
      <c r="J167" s="57">
        <v>0</v>
      </c>
      <c r="K167" s="57">
        <v>181321.02791089873</v>
      </c>
      <c r="L167" s="57">
        <v>0</v>
      </c>
      <c r="M167" s="57">
        <v>0</v>
      </c>
      <c r="N167" s="57">
        <v>0</v>
      </c>
      <c r="O167" s="57">
        <v>0</v>
      </c>
      <c r="P167" s="57">
        <v>319508.52791089873</v>
      </c>
    </row>
    <row r="168" spans="1:16" hidden="1">
      <c r="A168">
        <v>7045</v>
      </c>
      <c r="B168">
        <v>103622</v>
      </c>
      <c r="C168" t="s">
        <v>308</v>
      </c>
      <c r="D168" t="s">
        <v>309</v>
      </c>
      <c r="E168" t="s">
        <v>47</v>
      </c>
      <c r="F168" t="s">
        <v>912</v>
      </c>
      <c r="G168" s="57">
        <v>0</v>
      </c>
      <c r="H168" s="57">
        <v>248737.5</v>
      </c>
      <c r="I168" s="57">
        <v>0</v>
      </c>
      <c r="J168" s="57">
        <v>0</v>
      </c>
      <c r="K168" s="57">
        <v>309917.90595781128</v>
      </c>
      <c r="L168" s="57">
        <v>0</v>
      </c>
      <c r="M168" s="57">
        <v>0</v>
      </c>
      <c r="N168" s="57">
        <v>0</v>
      </c>
      <c r="O168" s="57">
        <v>0</v>
      </c>
      <c r="P168" s="57">
        <v>558655.40595781128</v>
      </c>
    </row>
    <row r="169" spans="1:16" hidden="1">
      <c r="A169">
        <v>2192</v>
      </c>
      <c r="B169">
        <v>103268</v>
      </c>
      <c r="C169" t="s">
        <v>310</v>
      </c>
      <c r="D169" t="s">
        <v>311</v>
      </c>
      <c r="E169" t="s">
        <v>32</v>
      </c>
      <c r="F169" t="s">
        <v>912</v>
      </c>
      <c r="G169" s="57">
        <v>234163.32243650718</v>
      </c>
      <c r="H169" s="57">
        <v>0</v>
      </c>
      <c r="I169" s="57">
        <v>0</v>
      </c>
      <c r="J169" s="57">
        <v>0</v>
      </c>
      <c r="K169" s="57">
        <v>0</v>
      </c>
      <c r="L169" s="57">
        <v>0</v>
      </c>
      <c r="M169" s="57">
        <v>-1043.2</v>
      </c>
      <c r="N169" s="57">
        <v>-2804.5666666666671</v>
      </c>
      <c r="O169" s="57">
        <v>0</v>
      </c>
      <c r="P169" s="57">
        <v>230315.55576984049</v>
      </c>
    </row>
    <row r="170" spans="1:16" hidden="1">
      <c r="A170">
        <v>7014</v>
      </c>
      <c r="B170">
        <v>103605</v>
      </c>
      <c r="C170" t="s">
        <v>312</v>
      </c>
      <c r="D170" t="s">
        <v>313</v>
      </c>
      <c r="E170" t="s">
        <v>47</v>
      </c>
      <c r="F170" t="s">
        <v>912</v>
      </c>
      <c r="G170" s="57">
        <v>0</v>
      </c>
      <c r="H170" s="57">
        <v>267162.5</v>
      </c>
      <c r="I170" s="57">
        <v>0</v>
      </c>
      <c r="J170" s="57">
        <v>0</v>
      </c>
      <c r="K170" s="57">
        <v>354079.36264428654</v>
      </c>
      <c r="L170" s="57">
        <v>0</v>
      </c>
      <c r="M170" s="57">
        <v>0</v>
      </c>
      <c r="N170" s="57">
        <v>0</v>
      </c>
      <c r="O170" s="57">
        <v>0</v>
      </c>
      <c r="P170" s="57">
        <v>621241.86264428659</v>
      </c>
    </row>
    <row r="171" spans="1:16" hidden="1">
      <c r="A171">
        <v>7009</v>
      </c>
      <c r="B171">
        <v>103601</v>
      </c>
      <c r="C171" t="s">
        <v>314</v>
      </c>
      <c r="D171" t="s">
        <v>315</v>
      </c>
      <c r="E171" t="s">
        <v>47</v>
      </c>
      <c r="F171" t="s">
        <v>912</v>
      </c>
      <c r="G171" s="57">
        <v>0</v>
      </c>
      <c r="H171" s="57">
        <v>210045</v>
      </c>
      <c r="I171" s="57">
        <v>0</v>
      </c>
      <c r="J171" s="57">
        <v>0</v>
      </c>
      <c r="K171" s="57">
        <v>167466.35021710375</v>
      </c>
      <c r="L171" s="57">
        <v>0</v>
      </c>
      <c r="M171" s="57">
        <v>0</v>
      </c>
      <c r="N171" s="57">
        <v>0</v>
      </c>
      <c r="O171" s="57">
        <v>0</v>
      </c>
      <c r="P171" s="57">
        <v>377511.35021710373</v>
      </c>
    </row>
    <row r="172" spans="1:16" hidden="1">
      <c r="A172">
        <v>5203</v>
      </c>
      <c r="B172">
        <v>103544</v>
      </c>
      <c r="C172" t="s">
        <v>316</v>
      </c>
      <c r="D172" t="s">
        <v>317</v>
      </c>
      <c r="E172" t="s">
        <v>32</v>
      </c>
      <c r="F172" t="s">
        <v>912</v>
      </c>
      <c r="G172" s="57">
        <v>111904.82059710675</v>
      </c>
      <c r="H172" s="57">
        <v>0</v>
      </c>
      <c r="I172" s="57">
        <v>0</v>
      </c>
      <c r="J172" s="57">
        <v>0</v>
      </c>
      <c r="K172" s="57">
        <v>0</v>
      </c>
      <c r="L172" s="57">
        <v>0</v>
      </c>
      <c r="M172" s="57">
        <v>-573.76</v>
      </c>
      <c r="N172" s="57">
        <v>-522.59749999999997</v>
      </c>
      <c r="O172" s="57">
        <v>0</v>
      </c>
      <c r="P172" s="57">
        <v>110808.46309710675</v>
      </c>
    </row>
    <row r="173" spans="1:16" hidden="1">
      <c r="A173">
        <v>5202</v>
      </c>
      <c r="B173">
        <v>103543</v>
      </c>
      <c r="C173" t="s">
        <v>318</v>
      </c>
      <c r="D173" t="s">
        <v>319</v>
      </c>
      <c r="E173" t="s">
        <v>32</v>
      </c>
      <c r="F173" t="s">
        <v>912</v>
      </c>
      <c r="G173" s="57">
        <v>149001.1225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>
        <v>-782.4</v>
      </c>
      <c r="N173" s="57">
        <v>-351.1225</v>
      </c>
      <c r="O173" s="57">
        <v>0</v>
      </c>
      <c r="P173" s="57">
        <v>147867.6</v>
      </c>
    </row>
    <row r="174" spans="1:16" hidden="1">
      <c r="A174">
        <v>2108</v>
      </c>
      <c r="B174">
        <v>103217</v>
      </c>
      <c r="C174" t="s">
        <v>320</v>
      </c>
      <c r="D174" t="s">
        <v>321</v>
      </c>
      <c r="E174" t="s">
        <v>32</v>
      </c>
      <c r="F174" t="s">
        <v>912</v>
      </c>
      <c r="G174" s="57">
        <v>402818.52180575248</v>
      </c>
      <c r="H174" s="57">
        <v>0</v>
      </c>
      <c r="I174" s="57">
        <v>9000</v>
      </c>
      <c r="J174" s="57">
        <v>0</v>
      </c>
      <c r="K174" s="57">
        <v>0</v>
      </c>
      <c r="L174" s="57">
        <v>12585.225833333334</v>
      </c>
      <c r="M174" s="57">
        <v>-1816.9066666666665</v>
      </c>
      <c r="N174" s="57">
        <v>-6264.1733333333332</v>
      </c>
      <c r="O174" s="57">
        <v>0</v>
      </c>
      <c r="P174" s="57">
        <v>416322.66763908579</v>
      </c>
    </row>
    <row r="175" spans="1:16" hidden="1">
      <c r="A175">
        <v>2306</v>
      </c>
      <c r="B175">
        <v>103326</v>
      </c>
      <c r="C175" t="s">
        <v>322</v>
      </c>
      <c r="D175" t="s">
        <v>323</v>
      </c>
      <c r="E175" t="s">
        <v>32</v>
      </c>
      <c r="F175" t="s">
        <v>912</v>
      </c>
      <c r="G175" s="57">
        <v>109012.3701523752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>
        <v>-458.57333333333327</v>
      </c>
      <c r="N175" s="57">
        <v>-1657.2325000000001</v>
      </c>
      <c r="O175" s="57">
        <v>0</v>
      </c>
      <c r="P175" s="57">
        <v>106896.56431904186</v>
      </c>
    </row>
    <row r="176" spans="1:16" hidden="1">
      <c r="A176">
        <v>2308</v>
      </c>
      <c r="B176">
        <v>103328</v>
      </c>
      <c r="C176" t="s">
        <v>324</v>
      </c>
      <c r="D176" t="s">
        <v>325</v>
      </c>
      <c r="E176" t="s">
        <v>32</v>
      </c>
      <c r="F176" t="s">
        <v>912</v>
      </c>
      <c r="G176" s="57">
        <v>209081.37805270834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>
        <v>-847.59999999999991</v>
      </c>
      <c r="N176" s="57">
        <v>-3003.3150000000001</v>
      </c>
      <c r="O176" s="57">
        <v>0</v>
      </c>
      <c r="P176" s="57">
        <v>205230.46305270834</v>
      </c>
    </row>
    <row r="177" spans="1:16" hidden="1">
      <c r="A177">
        <v>2245</v>
      </c>
      <c r="B177">
        <v>103295</v>
      </c>
      <c r="C177" t="s">
        <v>326</v>
      </c>
      <c r="D177" t="s">
        <v>327</v>
      </c>
      <c r="E177" t="s">
        <v>32</v>
      </c>
      <c r="F177" t="s">
        <v>912</v>
      </c>
      <c r="G177" s="57">
        <v>127425.41398333333</v>
      </c>
      <c r="H177" s="57">
        <v>0</v>
      </c>
      <c r="I177" s="57">
        <v>6000</v>
      </c>
      <c r="J177" s="57">
        <v>0</v>
      </c>
      <c r="K177" s="57">
        <v>0</v>
      </c>
      <c r="L177" s="57">
        <v>565.84333333333052</v>
      </c>
      <c r="M177" s="57">
        <v>-458.57333333333327</v>
      </c>
      <c r="N177" s="57">
        <v>-1549.6191666666666</v>
      </c>
      <c r="O177" s="57">
        <v>0</v>
      </c>
      <c r="P177" s="57">
        <v>131983.06481666665</v>
      </c>
    </row>
    <row r="178" spans="1:16" hidden="1">
      <c r="A178">
        <v>1014</v>
      </c>
      <c r="B178">
        <v>103127</v>
      </c>
      <c r="C178" t="s">
        <v>328</v>
      </c>
      <c r="D178" t="s">
        <v>329</v>
      </c>
      <c r="E178" t="s">
        <v>29</v>
      </c>
      <c r="F178" t="s">
        <v>912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>
        <v>0</v>
      </c>
      <c r="N178" s="57">
        <v>0</v>
      </c>
      <c r="O178" s="57">
        <v>0</v>
      </c>
      <c r="P178" s="57">
        <v>0</v>
      </c>
    </row>
    <row r="179" spans="1:16" hidden="1">
      <c r="A179">
        <v>2011</v>
      </c>
      <c r="B179">
        <v>134099</v>
      </c>
      <c r="C179" t="s">
        <v>330</v>
      </c>
      <c r="D179" t="s">
        <v>331</v>
      </c>
      <c r="E179" t="s">
        <v>32</v>
      </c>
      <c r="F179" t="s">
        <v>912</v>
      </c>
      <c r="G179" s="57">
        <v>283292.82346017752</v>
      </c>
      <c r="H179" s="57">
        <v>0</v>
      </c>
      <c r="I179" s="57">
        <v>0</v>
      </c>
      <c r="J179" s="57">
        <v>0</v>
      </c>
      <c r="K179" s="57">
        <v>0</v>
      </c>
      <c r="L179" s="57">
        <v>0</v>
      </c>
      <c r="M179" s="57">
        <v>-1325.7333333333333</v>
      </c>
      <c r="N179" s="57">
        <v>-7754.1725000000006</v>
      </c>
      <c r="O179" s="57">
        <v>0</v>
      </c>
      <c r="P179" s="57">
        <v>274212.9176268442</v>
      </c>
    </row>
    <row r="180" spans="1:16" hidden="1">
      <c r="A180">
        <v>4193</v>
      </c>
      <c r="B180">
        <v>103501</v>
      </c>
      <c r="C180" t="s">
        <v>332</v>
      </c>
      <c r="D180" t="s">
        <v>333</v>
      </c>
      <c r="E180" t="s">
        <v>58</v>
      </c>
      <c r="F180" t="s">
        <v>912</v>
      </c>
      <c r="G180" s="57">
        <v>434180.79455509712</v>
      </c>
      <c r="H180" s="57">
        <v>0</v>
      </c>
      <c r="I180" s="57">
        <v>0</v>
      </c>
      <c r="J180" s="57">
        <v>0</v>
      </c>
      <c r="K180" s="57">
        <v>0</v>
      </c>
      <c r="L180" s="57">
        <v>0</v>
      </c>
      <c r="M180" s="57">
        <v>-1132.3125</v>
      </c>
      <c r="N180" s="57">
        <v>-10503.088333333333</v>
      </c>
      <c r="O180" s="57">
        <v>0</v>
      </c>
      <c r="P180" s="57">
        <v>422545.3937217638</v>
      </c>
    </row>
    <row r="181" spans="1:16" hidden="1">
      <c r="A181">
        <v>2478</v>
      </c>
      <c r="B181">
        <v>132007</v>
      </c>
      <c r="C181" t="s">
        <v>334</v>
      </c>
      <c r="D181" t="s">
        <v>335</v>
      </c>
      <c r="E181" t="s">
        <v>32</v>
      </c>
      <c r="F181" t="s">
        <v>912</v>
      </c>
      <c r="G181" s="57">
        <v>179001.63166666668</v>
      </c>
      <c r="H181" s="57">
        <v>0</v>
      </c>
      <c r="I181" s="57">
        <v>0</v>
      </c>
      <c r="J181" s="57">
        <v>0</v>
      </c>
      <c r="K181" s="57">
        <v>0</v>
      </c>
      <c r="L181" s="57">
        <v>0</v>
      </c>
      <c r="M181" s="57">
        <v>-921.49333333333334</v>
      </c>
      <c r="N181" s="57">
        <v>-3924.9650000000001</v>
      </c>
      <c r="O181" s="57">
        <v>0</v>
      </c>
      <c r="P181" s="57">
        <v>174155.17333333334</v>
      </c>
    </row>
    <row r="182" spans="1:16" hidden="1">
      <c r="A182">
        <v>2293</v>
      </c>
      <c r="B182">
        <v>103317</v>
      </c>
      <c r="C182" t="s">
        <v>336</v>
      </c>
      <c r="D182" t="s">
        <v>337</v>
      </c>
      <c r="E182" t="s">
        <v>32</v>
      </c>
      <c r="F182" t="s">
        <v>912</v>
      </c>
      <c r="G182" s="57">
        <v>280337.50123075425</v>
      </c>
      <c r="H182" s="57">
        <v>0</v>
      </c>
      <c r="I182" s="57">
        <v>0</v>
      </c>
      <c r="J182" s="57">
        <v>0</v>
      </c>
      <c r="K182" s="57">
        <v>0</v>
      </c>
      <c r="L182" s="57">
        <v>0</v>
      </c>
      <c r="M182" s="57">
        <v>-1243.1466666666665</v>
      </c>
      <c r="N182" s="57">
        <v>-3422.8958333333335</v>
      </c>
      <c r="O182" s="57">
        <v>0</v>
      </c>
      <c r="P182" s="57">
        <v>275671.45873075427</v>
      </c>
    </row>
    <row r="183" spans="1:16" hidden="1">
      <c r="A183">
        <v>2278</v>
      </c>
      <c r="B183">
        <v>103310</v>
      </c>
      <c r="C183" t="s">
        <v>338</v>
      </c>
      <c r="D183" t="s">
        <v>339</v>
      </c>
      <c r="E183" t="s">
        <v>32</v>
      </c>
      <c r="F183" t="s">
        <v>912</v>
      </c>
      <c r="G183" s="57">
        <v>207812.10193569949</v>
      </c>
      <c r="H183" s="57">
        <v>0</v>
      </c>
      <c r="I183" s="57">
        <v>0</v>
      </c>
      <c r="J183" s="57">
        <v>0</v>
      </c>
      <c r="K183" s="57">
        <v>0</v>
      </c>
      <c r="L183" s="57">
        <v>0</v>
      </c>
      <c r="M183" s="57">
        <v>-871.50666666666666</v>
      </c>
      <c r="N183" s="57">
        <v>-2044.6366666666665</v>
      </c>
      <c r="O183" s="57">
        <v>0</v>
      </c>
      <c r="P183" s="57">
        <v>204895.95860236618</v>
      </c>
    </row>
    <row r="184" spans="1:16" hidden="1">
      <c r="A184">
        <v>2317</v>
      </c>
      <c r="B184">
        <v>103337</v>
      </c>
      <c r="C184" t="s">
        <v>342</v>
      </c>
      <c r="D184" t="s">
        <v>343</v>
      </c>
      <c r="E184" t="s">
        <v>32</v>
      </c>
      <c r="F184" t="s">
        <v>912</v>
      </c>
      <c r="G184" s="57">
        <v>127259.80075558827</v>
      </c>
      <c r="H184" s="57">
        <v>0</v>
      </c>
      <c r="I184" s="57">
        <v>1833.3333333333333</v>
      </c>
      <c r="J184" s="57">
        <v>0</v>
      </c>
      <c r="K184" s="57">
        <v>0</v>
      </c>
      <c r="L184" s="57">
        <v>2650.07</v>
      </c>
      <c r="M184" s="57">
        <v>-545.50666666666666</v>
      </c>
      <c r="N184" s="57">
        <v>-1281.9291666666666</v>
      </c>
      <c r="O184" s="57">
        <v>0</v>
      </c>
      <c r="P184" s="57">
        <v>129915.76825558828</v>
      </c>
    </row>
    <row r="185" spans="1:16" hidden="1">
      <c r="A185">
        <v>2225</v>
      </c>
      <c r="B185">
        <v>103279</v>
      </c>
      <c r="C185" t="s">
        <v>344</v>
      </c>
      <c r="D185" t="s">
        <v>345</v>
      </c>
      <c r="E185" t="s">
        <v>32</v>
      </c>
      <c r="F185" t="s">
        <v>912</v>
      </c>
      <c r="G185" s="57">
        <v>181021.37439856867</v>
      </c>
      <c r="H185" s="57">
        <v>0</v>
      </c>
      <c r="I185" s="57">
        <v>4000</v>
      </c>
      <c r="J185" s="57">
        <v>0</v>
      </c>
      <c r="K185" s="57">
        <v>0</v>
      </c>
      <c r="L185" s="57">
        <v>736.53333333333467</v>
      </c>
      <c r="M185" s="57">
        <v>-784.57333333333327</v>
      </c>
      <c r="N185" s="57">
        <v>-1699.3025</v>
      </c>
      <c r="O185" s="57">
        <v>0</v>
      </c>
      <c r="P185" s="57">
        <v>183274.03189856868</v>
      </c>
    </row>
    <row r="186" spans="1:16" hidden="1">
      <c r="A186">
        <v>2412</v>
      </c>
      <c r="B186">
        <v>103349</v>
      </c>
      <c r="C186" t="s">
        <v>346</v>
      </c>
      <c r="D186" t="s">
        <v>347</v>
      </c>
      <c r="E186" t="s">
        <v>32</v>
      </c>
      <c r="F186" t="s">
        <v>912</v>
      </c>
      <c r="G186" s="57">
        <v>179346.94703330073</v>
      </c>
      <c r="H186" s="57">
        <v>0</v>
      </c>
      <c r="I186" s="57">
        <v>0</v>
      </c>
      <c r="J186" s="57">
        <v>0</v>
      </c>
      <c r="K186" s="57">
        <v>0</v>
      </c>
      <c r="L186" s="57">
        <v>0</v>
      </c>
      <c r="M186" s="57">
        <v>-891.06666666666661</v>
      </c>
      <c r="N186" s="57">
        <v>-2672.0675000000001</v>
      </c>
      <c r="O186" s="57">
        <v>0</v>
      </c>
      <c r="P186" s="57">
        <v>175783.81286663405</v>
      </c>
    </row>
    <row r="187" spans="1:16" hidden="1">
      <c r="A187">
        <v>3421</v>
      </c>
      <c r="B187">
        <v>133996</v>
      </c>
      <c r="C187" t="s">
        <v>348</v>
      </c>
      <c r="D187" t="s">
        <v>349</v>
      </c>
      <c r="E187" t="s">
        <v>32</v>
      </c>
      <c r="F187" t="s">
        <v>912</v>
      </c>
      <c r="G187" s="57">
        <v>368904.04081865092</v>
      </c>
      <c r="H187" s="57">
        <v>0</v>
      </c>
      <c r="I187" s="57">
        <v>0</v>
      </c>
      <c r="J187" s="57">
        <v>0</v>
      </c>
      <c r="K187" s="57">
        <v>0</v>
      </c>
      <c r="L187" s="57">
        <v>0</v>
      </c>
      <c r="M187" s="57">
        <v>-1819.08</v>
      </c>
      <c r="N187" s="57">
        <v>-2711.835</v>
      </c>
      <c r="O187" s="57">
        <v>0</v>
      </c>
      <c r="P187" s="57">
        <v>364373.12581865088</v>
      </c>
    </row>
    <row r="188" spans="1:16" hidden="1">
      <c r="A188">
        <v>2227</v>
      </c>
      <c r="B188">
        <v>103281</v>
      </c>
      <c r="C188" t="s">
        <v>350</v>
      </c>
      <c r="D188" t="s">
        <v>351</v>
      </c>
      <c r="E188" t="s">
        <v>32</v>
      </c>
      <c r="F188" t="s">
        <v>912</v>
      </c>
      <c r="G188" s="57">
        <v>216480.87903687943</v>
      </c>
      <c r="H188" s="57">
        <v>0</v>
      </c>
      <c r="I188" s="57">
        <v>0</v>
      </c>
      <c r="J188" s="57">
        <v>0</v>
      </c>
      <c r="K188" s="57">
        <v>0</v>
      </c>
      <c r="L188" s="57">
        <v>0</v>
      </c>
      <c r="M188" s="57">
        <v>-882.37333333333333</v>
      </c>
      <c r="N188" s="57">
        <v>-1743.3225</v>
      </c>
      <c r="O188" s="57">
        <v>0</v>
      </c>
      <c r="P188" s="57">
        <v>213855.1832035461</v>
      </c>
    </row>
    <row r="189" spans="1:16" hidden="1">
      <c r="A189">
        <v>2231</v>
      </c>
      <c r="B189">
        <v>103284</v>
      </c>
      <c r="C189" t="s">
        <v>352</v>
      </c>
      <c r="D189" t="s">
        <v>353</v>
      </c>
      <c r="E189" t="s">
        <v>32</v>
      </c>
      <c r="F189" t="s">
        <v>912</v>
      </c>
      <c r="G189" s="57">
        <v>206050.91922991283</v>
      </c>
      <c r="H189" s="57">
        <v>0</v>
      </c>
      <c r="I189" s="57">
        <v>0</v>
      </c>
      <c r="J189" s="57">
        <v>0</v>
      </c>
      <c r="K189" s="57">
        <v>0</v>
      </c>
      <c r="L189" s="57">
        <v>0</v>
      </c>
      <c r="M189" s="57">
        <v>-932.36</v>
      </c>
      <c r="N189" s="57">
        <v>-2141.4883333333332</v>
      </c>
      <c r="O189" s="57">
        <v>0</v>
      </c>
      <c r="P189" s="57">
        <v>202977.07089657951</v>
      </c>
    </row>
    <row r="190" spans="1:16" hidden="1">
      <c r="A190">
        <v>2014</v>
      </c>
      <c r="B190">
        <v>103162</v>
      </c>
      <c r="C190" t="s">
        <v>368</v>
      </c>
      <c r="D190" t="s">
        <v>369</v>
      </c>
      <c r="E190" t="s">
        <v>32</v>
      </c>
      <c r="F190" t="s">
        <v>912</v>
      </c>
      <c r="G190" s="57">
        <v>195444.71590678542</v>
      </c>
      <c r="H190" s="57">
        <v>0</v>
      </c>
      <c r="I190" s="57">
        <v>0</v>
      </c>
      <c r="J190" s="57">
        <v>0</v>
      </c>
      <c r="K190" s="57">
        <v>0</v>
      </c>
      <c r="L190" s="57">
        <v>0</v>
      </c>
      <c r="M190" s="57">
        <v>-851.9466666666666</v>
      </c>
      <c r="N190" s="57">
        <v>-2848.7325000000001</v>
      </c>
      <c r="O190" s="57">
        <v>0</v>
      </c>
      <c r="P190" s="57">
        <v>191744.03674011875</v>
      </c>
    </row>
    <row r="191" spans="1:16" hidden="1">
      <c r="A191">
        <v>2456</v>
      </c>
      <c r="B191">
        <v>103383</v>
      </c>
      <c r="C191" t="s">
        <v>372</v>
      </c>
      <c r="D191" t="s">
        <v>373</v>
      </c>
      <c r="E191" t="s">
        <v>32</v>
      </c>
      <c r="F191" t="s">
        <v>912</v>
      </c>
      <c r="G191" s="57">
        <v>111643.72535166668</v>
      </c>
      <c r="H191" s="57">
        <v>0</v>
      </c>
      <c r="I191" s="57">
        <v>0</v>
      </c>
      <c r="J191" s="57">
        <v>0</v>
      </c>
      <c r="K191" s="57">
        <v>0</v>
      </c>
      <c r="L191" s="57">
        <v>0</v>
      </c>
      <c r="M191" s="57">
        <v>-436.84</v>
      </c>
      <c r="N191" s="57">
        <v>-3643.728333333333</v>
      </c>
      <c r="O191" s="57">
        <v>0</v>
      </c>
      <c r="P191" s="57">
        <v>107563.15701833335</v>
      </c>
    </row>
    <row r="192" spans="1:16" hidden="1">
      <c r="A192">
        <v>2254</v>
      </c>
      <c r="B192">
        <v>103300</v>
      </c>
      <c r="C192" t="s">
        <v>374</v>
      </c>
      <c r="D192" t="s">
        <v>375</v>
      </c>
      <c r="E192" t="s">
        <v>32</v>
      </c>
      <c r="F192" t="s">
        <v>912</v>
      </c>
      <c r="G192" s="57">
        <v>270380.63894008211</v>
      </c>
      <c r="H192" s="57">
        <v>0</v>
      </c>
      <c r="I192" s="57">
        <v>7500</v>
      </c>
      <c r="J192" s="57">
        <v>0</v>
      </c>
      <c r="K192" s="57">
        <v>0</v>
      </c>
      <c r="L192" s="57">
        <v>2690.0158333333311</v>
      </c>
      <c r="M192" s="57">
        <v>-1134.4799999999998</v>
      </c>
      <c r="N192" s="57">
        <v>-6452.57</v>
      </c>
      <c r="O192" s="57">
        <v>0</v>
      </c>
      <c r="P192" s="57">
        <v>272983.60477341543</v>
      </c>
    </row>
    <row r="193" spans="1:16" hidden="1">
      <c r="A193">
        <v>1001</v>
      </c>
      <c r="B193">
        <v>103120</v>
      </c>
      <c r="C193" t="s">
        <v>354</v>
      </c>
      <c r="D193" t="s">
        <v>355</v>
      </c>
      <c r="E193" t="s">
        <v>29</v>
      </c>
      <c r="F193" t="s">
        <v>912</v>
      </c>
      <c r="G193" s="57">
        <v>0</v>
      </c>
      <c r="H193" s="57">
        <v>0</v>
      </c>
      <c r="I193" s="57">
        <v>0</v>
      </c>
      <c r="J193" s="57">
        <v>0</v>
      </c>
      <c r="K193" s="57">
        <v>0</v>
      </c>
      <c r="L193" s="57">
        <v>0</v>
      </c>
      <c r="M193" s="57">
        <v>0</v>
      </c>
      <c r="N193" s="57">
        <v>0</v>
      </c>
      <c r="O193" s="57">
        <v>0</v>
      </c>
      <c r="P193" s="57">
        <v>0</v>
      </c>
    </row>
    <row r="194" spans="1:16" hidden="1">
      <c r="A194">
        <v>2464</v>
      </c>
      <c r="B194">
        <v>103390</v>
      </c>
      <c r="C194" t="s">
        <v>356</v>
      </c>
      <c r="D194" t="s">
        <v>357</v>
      </c>
      <c r="E194" t="s">
        <v>32</v>
      </c>
      <c r="F194" t="s">
        <v>912</v>
      </c>
      <c r="G194" s="57">
        <v>172380.8175</v>
      </c>
      <c r="H194" s="57">
        <v>0</v>
      </c>
      <c r="I194" s="57">
        <v>0</v>
      </c>
      <c r="J194" s="57">
        <v>0</v>
      </c>
      <c r="K194" s="57">
        <v>0</v>
      </c>
      <c r="L194" s="57">
        <v>0</v>
      </c>
      <c r="M194" s="57">
        <v>-893.2399999999999</v>
      </c>
      <c r="N194" s="57">
        <v>-2672.0675000000001</v>
      </c>
      <c r="O194" s="57">
        <v>0</v>
      </c>
      <c r="P194" s="57">
        <v>168815.51</v>
      </c>
    </row>
    <row r="195" spans="1:16" hidden="1">
      <c r="A195">
        <v>1802</v>
      </c>
      <c r="B195">
        <v>103150</v>
      </c>
      <c r="C195" t="s">
        <v>376</v>
      </c>
      <c r="D195" t="s">
        <v>377</v>
      </c>
      <c r="E195" t="s">
        <v>29</v>
      </c>
      <c r="F195" t="s">
        <v>912</v>
      </c>
      <c r="G195" s="57">
        <v>0</v>
      </c>
      <c r="H195" s="57">
        <v>0</v>
      </c>
      <c r="I195" s="57">
        <v>0</v>
      </c>
      <c r="J195" s="57">
        <v>0</v>
      </c>
      <c r="K195" s="57">
        <v>0</v>
      </c>
      <c r="L195" s="57">
        <v>0</v>
      </c>
      <c r="M195" s="57">
        <v>0</v>
      </c>
      <c r="N195" s="57">
        <v>0</v>
      </c>
      <c r="O195" s="57">
        <v>0</v>
      </c>
      <c r="P195" s="57">
        <v>0</v>
      </c>
    </row>
    <row r="196" spans="1:16" hidden="1">
      <c r="A196">
        <v>2091</v>
      </c>
      <c r="B196">
        <v>103208</v>
      </c>
      <c r="C196" t="s">
        <v>380</v>
      </c>
      <c r="D196" t="s">
        <v>381</v>
      </c>
      <c r="E196" t="s">
        <v>32</v>
      </c>
      <c r="F196" t="s">
        <v>912</v>
      </c>
      <c r="G196" s="57">
        <v>99890.018714409074</v>
      </c>
      <c r="H196" s="57">
        <v>0</v>
      </c>
      <c r="I196" s="57">
        <v>0</v>
      </c>
      <c r="J196" s="57">
        <v>0</v>
      </c>
      <c r="K196" s="57">
        <v>0</v>
      </c>
      <c r="L196" s="57">
        <v>0</v>
      </c>
      <c r="M196" s="57">
        <v>-404.24</v>
      </c>
      <c r="N196" s="57">
        <v>-1409.7233333333334</v>
      </c>
      <c r="O196" s="57">
        <v>0</v>
      </c>
      <c r="P196" s="57">
        <v>98076.055381075741</v>
      </c>
    </row>
    <row r="197" spans="1:16" hidden="1">
      <c r="A197">
        <v>2477</v>
      </c>
      <c r="B197">
        <v>132261</v>
      </c>
      <c r="C197" t="s">
        <v>382</v>
      </c>
      <c r="D197" t="s">
        <v>383</v>
      </c>
      <c r="E197" t="s">
        <v>32</v>
      </c>
      <c r="F197" t="s">
        <v>912</v>
      </c>
      <c r="G197" s="57">
        <v>353346.48249999998</v>
      </c>
      <c r="H197" s="57">
        <v>0</v>
      </c>
      <c r="I197" s="57">
        <v>0</v>
      </c>
      <c r="J197" s="57">
        <v>0</v>
      </c>
      <c r="K197" s="57">
        <v>0</v>
      </c>
      <c r="L197" s="57">
        <v>0</v>
      </c>
      <c r="M197" s="57">
        <v>-1810.3866666666665</v>
      </c>
      <c r="N197" s="57">
        <v>-2782.4833333333336</v>
      </c>
      <c r="O197" s="57">
        <v>0</v>
      </c>
      <c r="P197" s="57">
        <v>348753.61249999999</v>
      </c>
    </row>
    <row r="198" spans="1:16" hidden="1">
      <c r="A198">
        <v>3436</v>
      </c>
      <c r="B198">
        <v>136440</v>
      </c>
      <c r="C198" t="s">
        <v>384</v>
      </c>
      <c r="D198" t="s">
        <v>385</v>
      </c>
      <c r="E198" t="s">
        <v>32</v>
      </c>
      <c r="F198" t="s">
        <v>912</v>
      </c>
      <c r="G198" s="57">
        <v>91146.908286837119</v>
      </c>
      <c r="H198" s="57">
        <v>0</v>
      </c>
      <c r="I198" s="57">
        <v>0</v>
      </c>
      <c r="J198" s="57">
        <v>0</v>
      </c>
      <c r="K198" s="57">
        <v>0</v>
      </c>
      <c r="L198" s="57">
        <v>0</v>
      </c>
      <c r="M198" s="57">
        <v>-367.29333333333329</v>
      </c>
      <c r="N198" s="57">
        <v>-556.49666666666667</v>
      </c>
      <c r="O198" s="57">
        <v>0</v>
      </c>
      <c r="P198" s="57">
        <v>90223.118286837111</v>
      </c>
    </row>
    <row r="199" spans="1:16" hidden="1">
      <c r="A199">
        <v>2474</v>
      </c>
      <c r="B199">
        <v>131672</v>
      </c>
      <c r="C199" t="s">
        <v>386</v>
      </c>
      <c r="D199" t="s">
        <v>387</v>
      </c>
      <c r="E199" t="s">
        <v>32</v>
      </c>
      <c r="F199" t="s">
        <v>912</v>
      </c>
      <c r="G199" s="57">
        <v>183454.00588020586</v>
      </c>
      <c r="H199" s="57">
        <v>0</v>
      </c>
      <c r="I199" s="57">
        <v>0</v>
      </c>
      <c r="J199" s="57">
        <v>0</v>
      </c>
      <c r="K199" s="57">
        <v>0</v>
      </c>
      <c r="L199" s="57">
        <v>0</v>
      </c>
      <c r="M199" s="57">
        <v>-897.58666666666659</v>
      </c>
      <c r="N199" s="57">
        <v>-2821.4583333333335</v>
      </c>
      <c r="O199" s="57">
        <v>0</v>
      </c>
      <c r="P199" s="57">
        <v>179734.96088020585</v>
      </c>
    </row>
    <row r="200" spans="1:16" hidden="1">
      <c r="A200">
        <v>3352</v>
      </c>
      <c r="B200">
        <v>103444</v>
      </c>
      <c r="C200" t="s">
        <v>388</v>
      </c>
      <c r="D200" t="s">
        <v>389</v>
      </c>
      <c r="E200" t="s">
        <v>32</v>
      </c>
      <c r="F200" t="s">
        <v>912</v>
      </c>
      <c r="G200" s="57">
        <v>76805.297614874551</v>
      </c>
      <c r="H200" s="57">
        <v>0</v>
      </c>
      <c r="I200" s="57">
        <v>0</v>
      </c>
      <c r="J200" s="57">
        <v>0</v>
      </c>
      <c r="K200" s="57">
        <v>0</v>
      </c>
      <c r="L200" s="57">
        <v>0</v>
      </c>
      <c r="M200" s="57">
        <v>-328.17333333333335</v>
      </c>
      <c r="N200" s="57">
        <v>-600.6633333333333</v>
      </c>
      <c r="O200" s="57">
        <v>0</v>
      </c>
      <c r="P200" s="57">
        <v>75876.460948207881</v>
      </c>
    </row>
    <row r="201" spans="1:16" hidden="1">
      <c r="A201">
        <v>2005</v>
      </c>
      <c r="B201">
        <v>134098</v>
      </c>
      <c r="C201" t="s">
        <v>390</v>
      </c>
      <c r="D201" t="s">
        <v>391</v>
      </c>
      <c r="E201" t="s">
        <v>32</v>
      </c>
      <c r="F201" t="s">
        <v>912</v>
      </c>
      <c r="G201" s="57">
        <v>263431.23333333334</v>
      </c>
      <c r="H201" s="57">
        <v>0</v>
      </c>
      <c r="I201" s="57">
        <v>500</v>
      </c>
      <c r="J201" s="57">
        <v>0</v>
      </c>
      <c r="K201" s="57">
        <v>0</v>
      </c>
      <c r="L201" s="57">
        <v>-2066.8825000000002</v>
      </c>
      <c r="M201" s="57">
        <v>-1360.5066666666664</v>
      </c>
      <c r="N201" s="57">
        <v>-4945.4000000000005</v>
      </c>
      <c r="O201" s="57">
        <v>0</v>
      </c>
      <c r="P201" s="57">
        <v>255558.44416666668</v>
      </c>
    </row>
    <row r="202" spans="1:16" hidden="1">
      <c r="A202">
        <v>2189</v>
      </c>
      <c r="B202">
        <v>103265</v>
      </c>
      <c r="C202" t="s">
        <v>358</v>
      </c>
      <c r="D202" t="s">
        <v>359</v>
      </c>
      <c r="E202" t="s">
        <v>32</v>
      </c>
      <c r="F202" t="s">
        <v>912</v>
      </c>
      <c r="G202" s="57">
        <v>121979.45641379313</v>
      </c>
      <c r="H202" s="57">
        <v>0</v>
      </c>
      <c r="I202" s="57">
        <v>0</v>
      </c>
      <c r="J202" s="57">
        <v>0</v>
      </c>
      <c r="K202" s="57">
        <v>0</v>
      </c>
      <c r="L202" s="57">
        <v>0</v>
      </c>
      <c r="M202" s="57">
        <v>-478.13333333333327</v>
      </c>
      <c r="N202" s="57">
        <v>-2627.9008333333336</v>
      </c>
      <c r="O202" s="57">
        <v>0</v>
      </c>
      <c r="P202" s="57">
        <v>118873.42224712647</v>
      </c>
    </row>
    <row r="203" spans="1:16" hidden="1">
      <c r="A203">
        <v>7060</v>
      </c>
      <c r="B203">
        <v>103630</v>
      </c>
      <c r="C203" t="s">
        <v>360</v>
      </c>
      <c r="D203" t="s">
        <v>361</v>
      </c>
      <c r="E203" t="s">
        <v>47</v>
      </c>
      <c r="F203" t="s">
        <v>912</v>
      </c>
      <c r="G203" s="57">
        <v>0</v>
      </c>
      <c r="H203" s="57">
        <v>115156.25</v>
      </c>
      <c r="I203" s="57">
        <v>0</v>
      </c>
      <c r="J203" s="57">
        <v>0</v>
      </c>
      <c r="K203" s="57">
        <v>138852.09162604512</v>
      </c>
      <c r="L203" s="57">
        <v>0</v>
      </c>
      <c r="M203" s="57">
        <v>0</v>
      </c>
      <c r="N203" s="57">
        <v>0</v>
      </c>
      <c r="O203" s="57">
        <v>0</v>
      </c>
      <c r="P203" s="57">
        <v>254008.34162604512</v>
      </c>
    </row>
    <row r="204" spans="1:16" hidden="1">
      <c r="A204">
        <v>1024</v>
      </c>
      <c r="B204">
        <v>103137</v>
      </c>
      <c r="C204" t="s">
        <v>392</v>
      </c>
      <c r="D204" t="s">
        <v>393</v>
      </c>
      <c r="E204" t="s">
        <v>29</v>
      </c>
      <c r="F204" t="s">
        <v>912</v>
      </c>
      <c r="G204" s="57">
        <v>0</v>
      </c>
      <c r="H204" s="57">
        <v>0</v>
      </c>
      <c r="I204" s="57">
        <v>0</v>
      </c>
      <c r="J204" s="57">
        <v>0</v>
      </c>
      <c r="K204" s="57">
        <v>0</v>
      </c>
      <c r="L204" s="57">
        <v>0</v>
      </c>
      <c r="M204" s="57">
        <v>0</v>
      </c>
      <c r="N204" s="57">
        <v>0</v>
      </c>
      <c r="O204" s="57">
        <v>3150.8</v>
      </c>
      <c r="P204" s="57">
        <v>3150.8</v>
      </c>
    </row>
    <row r="205" spans="1:16" hidden="1">
      <c r="A205">
        <v>2004</v>
      </c>
      <c r="B205">
        <v>134094</v>
      </c>
      <c r="C205" t="s">
        <v>394</v>
      </c>
      <c r="D205" t="s">
        <v>395</v>
      </c>
      <c r="E205" t="s">
        <v>32</v>
      </c>
      <c r="F205" t="s">
        <v>912</v>
      </c>
      <c r="G205" s="57">
        <v>145439.36751215276</v>
      </c>
      <c r="H205" s="57">
        <v>0</v>
      </c>
      <c r="I205" s="57">
        <v>0</v>
      </c>
      <c r="J205" s="57">
        <v>0</v>
      </c>
      <c r="K205" s="57">
        <v>0</v>
      </c>
      <c r="L205" s="57">
        <v>0</v>
      </c>
      <c r="M205" s="57">
        <v>-649.8266666666666</v>
      </c>
      <c r="N205" s="57">
        <v>-1969.3083333333334</v>
      </c>
      <c r="O205" s="57">
        <v>0</v>
      </c>
      <c r="P205" s="57">
        <v>142820.23251215278</v>
      </c>
    </row>
    <row r="206" spans="1:16" hidden="1">
      <c r="A206">
        <v>1028</v>
      </c>
      <c r="B206">
        <v>103141</v>
      </c>
      <c r="C206" t="s">
        <v>398</v>
      </c>
      <c r="D206" t="s">
        <v>399</v>
      </c>
      <c r="E206" t="s">
        <v>29</v>
      </c>
      <c r="F206" t="s">
        <v>912</v>
      </c>
      <c r="G206" s="57">
        <v>0</v>
      </c>
      <c r="H206" s="57">
        <v>0</v>
      </c>
      <c r="I206" s="57">
        <v>0</v>
      </c>
      <c r="J206" s="57">
        <v>0</v>
      </c>
      <c r="K206" s="57">
        <v>0</v>
      </c>
      <c r="L206" s="57">
        <v>0</v>
      </c>
      <c r="M206" s="57">
        <v>0</v>
      </c>
      <c r="N206" s="57">
        <v>0</v>
      </c>
      <c r="O206" s="57">
        <v>0</v>
      </c>
      <c r="P206" s="57">
        <v>0</v>
      </c>
    </row>
    <row r="207" spans="1:16" hidden="1">
      <c r="A207">
        <v>2150</v>
      </c>
      <c r="B207">
        <v>103241</v>
      </c>
      <c r="C207" t="s">
        <v>400</v>
      </c>
      <c r="D207" t="s">
        <v>401</v>
      </c>
      <c r="E207" t="s">
        <v>32</v>
      </c>
      <c r="F207" t="s">
        <v>912</v>
      </c>
      <c r="G207" s="57">
        <v>131594.02875637254</v>
      </c>
      <c r="H207" s="57">
        <v>0</v>
      </c>
      <c r="I207" s="57">
        <v>0</v>
      </c>
      <c r="J207" s="57">
        <v>0</v>
      </c>
      <c r="K207" s="57">
        <v>0</v>
      </c>
      <c r="L207" s="57">
        <v>0</v>
      </c>
      <c r="M207" s="57">
        <v>-560.71999999999991</v>
      </c>
      <c r="N207" s="57">
        <v>-2937.0658333333336</v>
      </c>
      <c r="O207" s="57">
        <v>0</v>
      </c>
      <c r="P207" s="57">
        <v>128096.24292303922</v>
      </c>
    </row>
    <row r="208" spans="1:16" hidden="1">
      <c r="A208">
        <v>2425</v>
      </c>
      <c r="B208">
        <v>103356</v>
      </c>
      <c r="C208" t="s">
        <v>402</v>
      </c>
      <c r="D208" t="s">
        <v>403</v>
      </c>
      <c r="E208" t="s">
        <v>32</v>
      </c>
      <c r="F208" t="s">
        <v>912</v>
      </c>
      <c r="G208" s="57">
        <v>92425.095737717216</v>
      </c>
      <c r="H208" s="57">
        <v>0</v>
      </c>
      <c r="I208" s="57">
        <v>0</v>
      </c>
      <c r="J208" s="57">
        <v>0</v>
      </c>
      <c r="K208" s="57">
        <v>0</v>
      </c>
      <c r="L208" s="57">
        <v>0</v>
      </c>
      <c r="M208" s="57">
        <v>-454.22666666666663</v>
      </c>
      <c r="N208" s="57">
        <v>-1302.1108333333334</v>
      </c>
      <c r="O208" s="57">
        <v>0</v>
      </c>
      <c r="P208" s="57">
        <v>90668.758237717208</v>
      </c>
    </row>
    <row r="209" spans="1:16" hidden="1">
      <c r="A209">
        <v>7034</v>
      </c>
      <c r="B209">
        <v>103614</v>
      </c>
      <c r="C209" t="s">
        <v>404</v>
      </c>
      <c r="D209" t="s">
        <v>405</v>
      </c>
      <c r="E209" t="s">
        <v>47</v>
      </c>
      <c r="F209" t="s">
        <v>912</v>
      </c>
      <c r="G209" s="57">
        <v>0</v>
      </c>
      <c r="H209" s="57">
        <v>82912.5</v>
      </c>
      <c r="I209" s="57">
        <v>0</v>
      </c>
      <c r="J209" s="57">
        <v>0</v>
      </c>
      <c r="K209" s="57">
        <v>19429.592106613258</v>
      </c>
      <c r="L209" s="57">
        <v>0</v>
      </c>
      <c r="M209" s="57">
        <v>0</v>
      </c>
      <c r="N209" s="57">
        <v>0</v>
      </c>
      <c r="O209" s="57">
        <v>0</v>
      </c>
      <c r="P209" s="57">
        <v>102342.09210661326</v>
      </c>
    </row>
    <row r="210" spans="1:16" hidden="1">
      <c r="A210">
        <v>1000</v>
      </c>
      <c r="B210">
        <v>137796</v>
      </c>
      <c r="C210" t="s">
        <v>408</v>
      </c>
      <c r="D210" t="s">
        <v>409</v>
      </c>
      <c r="E210" t="s">
        <v>29</v>
      </c>
      <c r="F210" t="s">
        <v>912</v>
      </c>
      <c r="G210" s="57">
        <v>0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</row>
    <row r="211" spans="1:16" hidden="1">
      <c r="A211">
        <v>3382</v>
      </c>
      <c r="B211">
        <v>103467</v>
      </c>
      <c r="C211" t="s">
        <v>416</v>
      </c>
      <c r="D211" t="s">
        <v>417</v>
      </c>
      <c r="E211" t="s">
        <v>32</v>
      </c>
      <c r="F211" t="s">
        <v>912</v>
      </c>
      <c r="G211" s="57">
        <v>103984.99057956651</v>
      </c>
      <c r="H211" s="57">
        <v>0</v>
      </c>
      <c r="I211" s="57">
        <v>0</v>
      </c>
      <c r="J211" s="57">
        <v>0</v>
      </c>
      <c r="K211" s="57">
        <v>0</v>
      </c>
      <c r="L211" s="57">
        <v>0</v>
      </c>
      <c r="M211" s="57">
        <v>-456.39999999999992</v>
      </c>
      <c r="N211" s="57">
        <v>-379.83166666666665</v>
      </c>
      <c r="O211" s="57">
        <v>0</v>
      </c>
      <c r="P211" s="57">
        <v>103148.75891289985</v>
      </c>
    </row>
    <row r="212" spans="1:16" hidden="1">
      <c r="A212">
        <v>3346</v>
      </c>
      <c r="B212">
        <v>103439</v>
      </c>
      <c r="C212" t="s">
        <v>418</v>
      </c>
      <c r="D212" t="s">
        <v>419</v>
      </c>
      <c r="E212" t="s">
        <v>32</v>
      </c>
      <c r="F212" t="s">
        <v>912</v>
      </c>
      <c r="G212" s="57">
        <v>192477.81855907085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-773.70666666666659</v>
      </c>
      <c r="N212" s="57">
        <v>-594.03750000000002</v>
      </c>
      <c r="O212" s="57">
        <v>0</v>
      </c>
      <c r="P212" s="57">
        <v>191110.07439240417</v>
      </c>
    </row>
    <row r="213" spans="1:16" hidden="1">
      <c r="A213">
        <v>1009</v>
      </c>
      <c r="B213">
        <v>103124</v>
      </c>
      <c r="C213" t="s">
        <v>422</v>
      </c>
      <c r="D213" t="s">
        <v>423</v>
      </c>
      <c r="E213" t="s">
        <v>29</v>
      </c>
      <c r="F213" t="s">
        <v>912</v>
      </c>
      <c r="G213" s="57">
        <v>0</v>
      </c>
      <c r="H213" s="57">
        <v>0</v>
      </c>
      <c r="I213" s="57">
        <v>0</v>
      </c>
      <c r="J213" s="57">
        <v>0</v>
      </c>
      <c r="K213" s="57">
        <v>0</v>
      </c>
      <c r="L213" s="57">
        <v>0</v>
      </c>
      <c r="M213" s="57">
        <v>0</v>
      </c>
      <c r="N213" s="57">
        <v>0</v>
      </c>
      <c r="O213" s="57">
        <v>0</v>
      </c>
      <c r="P213" s="57">
        <v>0</v>
      </c>
    </row>
    <row r="214" spans="1:16" hidden="1">
      <c r="A214">
        <v>1019</v>
      </c>
      <c r="B214">
        <v>103132</v>
      </c>
      <c r="C214" t="s">
        <v>364</v>
      </c>
      <c r="D214" t="s">
        <v>365</v>
      </c>
      <c r="E214" t="s">
        <v>29</v>
      </c>
      <c r="F214" t="s">
        <v>912</v>
      </c>
      <c r="G214" s="57">
        <v>0</v>
      </c>
      <c r="H214" s="57">
        <v>0</v>
      </c>
      <c r="I214" s="57">
        <v>0</v>
      </c>
      <c r="J214" s="57">
        <v>0</v>
      </c>
      <c r="K214" s="57">
        <v>0</v>
      </c>
      <c r="L214" s="57">
        <v>0</v>
      </c>
      <c r="M214" s="57">
        <v>0</v>
      </c>
      <c r="N214" s="57">
        <v>0</v>
      </c>
      <c r="O214" s="57">
        <v>0</v>
      </c>
      <c r="P214" s="57">
        <v>0</v>
      </c>
    </row>
    <row r="215" spans="1:16" hidden="1">
      <c r="A215">
        <v>1020</v>
      </c>
      <c r="B215">
        <v>103133</v>
      </c>
      <c r="C215" t="s">
        <v>428</v>
      </c>
      <c r="D215" t="s">
        <v>429</v>
      </c>
      <c r="E215" t="s">
        <v>29</v>
      </c>
      <c r="F215" t="s">
        <v>912</v>
      </c>
      <c r="G215" s="57">
        <v>0</v>
      </c>
      <c r="H215" s="57">
        <v>0</v>
      </c>
      <c r="I215" s="57">
        <v>0</v>
      </c>
      <c r="J215" s="57">
        <v>0</v>
      </c>
      <c r="K215" s="57">
        <v>0</v>
      </c>
      <c r="L215" s="57">
        <v>0</v>
      </c>
      <c r="M215" s="57">
        <v>0</v>
      </c>
      <c r="N215" s="57">
        <v>0</v>
      </c>
      <c r="O215" s="57">
        <v>0</v>
      </c>
      <c r="P215" s="57">
        <v>0</v>
      </c>
    </row>
    <row r="216" spans="1:16" hidden="1">
      <c r="A216">
        <v>2019</v>
      </c>
      <c r="B216">
        <v>134279</v>
      </c>
      <c r="C216" t="s">
        <v>430</v>
      </c>
      <c r="D216" t="s">
        <v>431</v>
      </c>
      <c r="E216" t="s">
        <v>32</v>
      </c>
      <c r="F216" t="s">
        <v>912</v>
      </c>
      <c r="G216" s="57">
        <v>198358.81435833327</v>
      </c>
      <c r="H216" s="57">
        <v>0</v>
      </c>
      <c r="I216" s="57">
        <v>0</v>
      </c>
      <c r="J216" s="57">
        <v>0</v>
      </c>
      <c r="K216" s="57">
        <v>0</v>
      </c>
      <c r="L216" s="57">
        <v>0</v>
      </c>
      <c r="M216" s="57">
        <v>-880.19999999999993</v>
      </c>
      <c r="N216" s="57">
        <v>-5117.1883333333335</v>
      </c>
      <c r="O216" s="57">
        <v>0</v>
      </c>
      <c r="P216" s="57">
        <v>192361.42602499994</v>
      </c>
    </row>
    <row r="217" spans="1:16" hidden="1">
      <c r="A217">
        <v>2445</v>
      </c>
      <c r="B217">
        <v>103372</v>
      </c>
      <c r="C217" t="s">
        <v>366</v>
      </c>
      <c r="D217" t="s">
        <v>367</v>
      </c>
      <c r="E217" t="s">
        <v>32</v>
      </c>
      <c r="F217" t="s">
        <v>912</v>
      </c>
      <c r="G217" s="57">
        <v>116794.462059799</v>
      </c>
      <c r="H217" s="57">
        <v>0</v>
      </c>
      <c r="I217" s="57">
        <v>0</v>
      </c>
      <c r="J217" s="57">
        <v>0</v>
      </c>
      <c r="K217" s="57">
        <v>0</v>
      </c>
      <c r="L217" s="57">
        <v>0</v>
      </c>
      <c r="M217" s="57">
        <v>-443.35999999999996</v>
      </c>
      <c r="N217" s="57">
        <v>-2044.6366666666665</v>
      </c>
      <c r="O217" s="57">
        <v>0</v>
      </c>
      <c r="P217" s="57">
        <v>114306.46539313233</v>
      </c>
    </row>
    <row r="218" spans="1:16" hidden="1">
      <c r="A218">
        <v>7052</v>
      </c>
      <c r="B218">
        <v>103627</v>
      </c>
      <c r="C218" t="s">
        <v>370</v>
      </c>
      <c r="D218" t="s">
        <v>371</v>
      </c>
      <c r="E218" t="s">
        <v>47</v>
      </c>
      <c r="F218" t="s">
        <v>912</v>
      </c>
      <c r="G218" s="57">
        <v>0</v>
      </c>
      <c r="H218" s="57">
        <v>86597.5</v>
      </c>
      <c r="I218" s="57">
        <v>0</v>
      </c>
      <c r="J218" s="57">
        <v>0</v>
      </c>
      <c r="K218" s="57">
        <v>121208.4916932779</v>
      </c>
      <c r="L218" s="57">
        <v>0</v>
      </c>
      <c r="M218" s="57">
        <v>0</v>
      </c>
      <c r="N218" s="57">
        <v>0</v>
      </c>
      <c r="O218" s="57">
        <v>0</v>
      </c>
      <c r="P218" s="57">
        <v>207805.9916932779</v>
      </c>
    </row>
    <row r="219" spans="1:16" hidden="1">
      <c r="A219">
        <v>2079</v>
      </c>
      <c r="B219">
        <v>103200</v>
      </c>
      <c r="C219" t="s">
        <v>378</v>
      </c>
      <c r="D219" t="s">
        <v>379</v>
      </c>
      <c r="E219" t="s">
        <v>32</v>
      </c>
      <c r="F219" t="s">
        <v>912</v>
      </c>
      <c r="G219" s="57">
        <v>162404.90503088661</v>
      </c>
      <c r="H219" s="57">
        <v>0</v>
      </c>
      <c r="I219" s="57">
        <v>0</v>
      </c>
      <c r="J219" s="57">
        <v>0</v>
      </c>
      <c r="K219" s="57">
        <v>0</v>
      </c>
      <c r="L219" s="57">
        <v>0</v>
      </c>
      <c r="M219" s="57">
        <v>-706.33333333333337</v>
      </c>
      <c r="N219" s="57">
        <v>-1926.2633333333333</v>
      </c>
      <c r="O219" s="57">
        <v>0</v>
      </c>
      <c r="P219" s="57">
        <v>159772.30836421993</v>
      </c>
    </row>
    <row r="220" spans="1:16" hidden="1">
      <c r="A220">
        <v>2157</v>
      </c>
      <c r="B220">
        <v>103246</v>
      </c>
      <c r="C220" t="s">
        <v>406</v>
      </c>
      <c r="D220" t="s">
        <v>407</v>
      </c>
      <c r="E220" t="s">
        <v>32</v>
      </c>
      <c r="F220" t="s">
        <v>912</v>
      </c>
      <c r="G220" s="57">
        <v>168520.44138995119</v>
      </c>
      <c r="H220" s="57">
        <v>0</v>
      </c>
      <c r="I220" s="57">
        <v>0</v>
      </c>
      <c r="J220" s="57">
        <v>0</v>
      </c>
      <c r="K220" s="57">
        <v>0</v>
      </c>
      <c r="L220" s="57">
        <v>0</v>
      </c>
      <c r="M220" s="57">
        <v>-836.73333333333323</v>
      </c>
      <c r="N220" s="57">
        <v>-2296.6525000000001</v>
      </c>
      <c r="O220" s="57">
        <v>0</v>
      </c>
      <c r="P220" s="57">
        <v>165387.05555661785</v>
      </c>
    </row>
    <row r="221" spans="1:16" hidden="1"/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D282-2F67-46F3-B3A6-C122B4992373}">
  <sheetPr codeName="Sheet4"/>
  <dimension ref="A1:GW210"/>
  <sheetViews>
    <sheetView zoomScale="80" zoomScaleNormal="80" workbookViewId="0">
      <pane xSplit="6" ySplit="7" topLeftCell="GF26" activePane="bottomRight" state="frozen"/>
      <selection pane="topRight" activeCell="G1" sqref="G1"/>
      <selection pane="bottomLeft" activeCell="A8" sqref="A8"/>
      <selection pane="bottomRight" activeCell="FP201" sqref="FP201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2.26953125" style="280" customWidth="1"/>
    <col min="8" max="8" width="17.26953125" customWidth="1"/>
    <col min="9" max="10" width="15.26953125" customWidth="1"/>
    <col min="11" max="11" width="17.26953125" customWidth="1"/>
    <col min="12" max="12" width="9.1796875" customWidth="1"/>
    <col min="13" max="13" width="16" style="275" customWidth="1"/>
    <col min="14" max="14" width="14.26953125" style="275" customWidth="1"/>
    <col min="15" max="15" width="16.54296875" style="275" customWidth="1"/>
    <col min="16" max="21" width="23.54296875" style="275" customWidth="1"/>
    <col min="22" max="22" width="15.54296875" style="275" customWidth="1"/>
    <col min="23" max="23" width="13.54296875" style="275" customWidth="1"/>
    <col min="24" max="24" width="16" style="275" customWidth="1"/>
    <col min="25" max="25" width="24.453125" style="275" customWidth="1"/>
    <col min="26" max="26" width="22.26953125" style="275" customWidth="1"/>
    <col min="27" max="27" width="16" style="310" customWidth="1"/>
    <col min="28" max="28" width="14.26953125" style="310" customWidth="1"/>
    <col min="29" max="29" width="16.54296875" style="310" customWidth="1"/>
    <col min="30" max="35" width="23.54296875" style="310" customWidth="1"/>
    <col min="36" max="36" width="15.54296875" style="310" customWidth="1"/>
    <col min="37" max="37" width="12.1796875" style="310" customWidth="1"/>
    <col min="38" max="38" width="16" style="310" customWidth="1"/>
    <col min="39" max="39" width="24.453125" style="310" customWidth="1"/>
    <col min="40" max="40" width="22.26953125" style="310" customWidth="1"/>
    <col min="41" max="41" width="16" style="303" customWidth="1"/>
    <col min="42" max="42" width="14.26953125" style="303" customWidth="1"/>
    <col min="43" max="43" width="16.54296875" style="303" customWidth="1"/>
    <col min="44" max="49" width="23.54296875" style="303" customWidth="1"/>
    <col min="50" max="50" width="15.54296875" style="303" customWidth="1"/>
    <col min="51" max="51" width="12.1796875" style="303" customWidth="1"/>
    <col min="52" max="52" width="16" style="303" customWidth="1"/>
    <col min="53" max="53" width="24.453125" style="303" customWidth="1"/>
    <col min="54" max="54" width="22.26953125" style="303" customWidth="1"/>
    <col min="55" max="55" width="16" style="325" customWidth="1"/>
    <col min="56" max="56" width="14.26953125" style="325" customWidth="1"/>
    <col min="57" max="57" width="16.54296875" style="325" customWidth="1"/>
    <col min="58" max="63" width="23.54296875" style="325" customWidth="1"/>
    <col min="64" max="64" width="15.54296875" style="325" customWidth="1"/>
    <col min="65" max="65" width="12.1796875" style="325" customWidth="1"/>
    <col min="66" max="66" width="16" style="325" customWidth="1"/>
    <col min="67" max="67" width="24.453125" style="325" customWidth="1"/>
    <col min="68" max="68" width="22.26953125" style="325" customWidth="1"/>
    <col min="69" max="69" width="16" style="317" customWidth="1"/>
    <col min="70" max="70" width="14.26953125" style="317" customWidth="1"/>
    <col min="71" max="71" width="16.54296875" style="317" customWidth="1"/>
    <col min="72" max="77" width="23.54296875" style="317" customWidth="1"/>
    <col min="78" max="78" width="15.54296875" style="317" customWidth="1"/>
    <col min="79" max="79" width="12.1796875" style="317" customWidth="1"/>
    <col min="80" max="80" width="16" style="317" customWidth="1"/>
    <col min="81" max="81" width="24.453125" style="317" customWidth="1"/>
    <col min="82" max="82" width="22.26953125" style="317" customWidth="1"/>
    <col min="83" max="83" width="16" style="352" customWidth="1"/>
    <col min="84" max="84" width="14.26953125" style="352" customWidth="1"/>
    <col min="85" max="85" width="16.54296875" style="352" customWidth="1"/>
    <col min="86" max="91" width="23.54296875" style="352" customWidth="1"/>
    <col min="92" max="92" width="15.54296875" style="352" customWidth="1"/>
    <col min="93" max="93" width="12.1796875" style="352" customWidth="1"/>
    <col min="94" max="94" width="16" style="352" customWidth="1"/>
    <col min="95" max="96" width="24.453125" style="352" customWidth="1"/>
    <col min="97" max="97" width="22.26953125" style="352" customWidth="1"/>
    <col min="98" max="98" width="16" style="332" customWidth="1"/>
    <col min="99" max="99" width="14.26953125" style="332" bestFit="1" customWidth="1"/>
    <col min="100" max="100" width="16.54296875" style="332" customWidth="1"/>
    <col min="101" max="106" width="23.54296875" style="332" customWidth="1"/>
    <col min="107" max="107" width="15.54296875" style="332" customWidth="1"/>
    <col min="108" max="108" width="12.1796875" style="332" customWidth="1"/>
    <col min="109" max="109" width="16" style="332" customWidth="1"/>
    <col min="110" max="111" width="24.453125" style="332" customWidth="1"/>
    <col min="112" max="112" width="22.26953125" style="332" customWidth="1"/>
    <col min="113" max="113" width="16" style="325" customWidth="1"/>
    <col min="114" max="114" width="14.26953125" style="325" bestFit="1" customWidth="1"/>
    <col min="115" max="115" width="16.54296875" style="325" customWidth="1"/>
    <col min="116" max="121" width="23.54296875" style="325" customWidth="1"/>
    <col min="122" max="122" width="15.54296875" style="325" customWidth="1"/>
    <col min="123" max="123" width="12.1796875" style="325" customWidth="1"/>
    <col min="124" max="124" width="16" style="325" customWidth="1"/>
    <col min="125" max="126" width="24.453125" style="325" customWidth="1"/>
    <col min="127" max="127" width="22.26953125" style="325" customWidth="1"/>
    <col min="128" max="128" width="16" style="339" customWidth="1"/>
    <col min="129" max="129" width="14.26953125" style="339" bestFit="1" customWidth="1"/>
    <col min="130" max="130" width="16.54296875" style="339" customWidth="1"/>
    <col min="131" max="136" width="23.54296875" style="339" customWidth="1"/>
    <col min="137" max="137" width="15.54296875" style="339" customWidth="1"/>
    <col min="138" max="138" width="12.1796875" style="339" customWidth="1"/>
    <col min="139" max="139" width="16" style="339" customWidth="1"/>
    <col min="140" max="141" width="24.453125" style="339" customWidth="1"/>
    <col min="142" max="142" width="22.26953125" style="339" customWidth="1"/>
    <col min="143" max="143" width="16" style="303" customWidth="1"/>
    <col min="144" max="144" width="14.26953125" style="303" bestFit="1" customWidth="1"/>
    <col min="145" max="145" width="16.54296875" style="303" customWidth="1"/>
    <col min="146" max="151" width="23.54296875" style="303" customWidth="1"/>
    <col min="152" max="152" width="15.54296875" style="303" customWidth="1"/>
    <col min="153" max="153" width="12.1796875" style="303" customWidth="1"/>
    <col min="154" max="154" width="16" style="303" customWidth="1"/>
    <col min="155" max="156" width="24.453125" style="303" customWidth="1"/>
    <col min="157" max="157" width="22.26953125" style="303" customWidth="1"/>
    <col min="158" max="158" width="16" style="310" customWidth="1"/>
    <col min="159" max="159" width="14.26953125" style="310" bestFit="1" customWidth="1"/>
    <col min="160" max="160" width="16.54296875" style="310" customWidth="1"/>
    <col min="161" max="166" width="23.54296875" style="310" customWidth="1"/>
    <col min="167" max="167" width="15.54296875" style="310" customWidth="1"/>
    <col min="168" max="168" width="12.1796875" style="310" customWidth="1"/>
    <col min="169" max="169" width="16" style="310" customWidth="1"/>
    <col min="170" max="171" width="24.453125" style="310" customWidth="1"/>
    <col min="172" max="172" width="22.26953125" style="310" customWidth="1"/>
    <col min="173" max="173" width="16" style="317" customWidth="1"/>
    <col min="174" max="174" width="14.26953125" style="317" bestFit="1" customWidth="1"/>
    <col min="175" max="175" width="16.54296875" style="317" customWidth="1"/>
    <col min="176" max="181" width="23.54296875" style="317" customWidth="1"/>
    <col min="182" max="182" width="15.54296875" style="317" customWidth="1"/>
    <col min="183" max="183" width="12.1796875" style="317" customWidth="1"/>
    <col min="184" max="184" width="16" style="317" customWidth="1"/>
    <col min="185" max="186" width="24.453125" style="317" customWidth="1"/>
    <col min="187" max="187" width="22.26953125" style="317" customWidth="1"/>
    <col min="189" max="189" width="14.54296875" bestFit="1" customWidth="1"/>
    <col min="190" max="191" width="14.26953125" bestFit="1" customWidth="1"/>
    <col min="192" max="194" width="13.81640625" bestFit="1" customWidth="1"/>
    <col min="196" max="196" width="14.81640625" bestFit="1" customWidth="1"/>
    <col min="197" max="197" width="12.453125" bestFit="1" customWidth="1"/>
    <col min="198" max="198" width="13.54296875" bestFit="1" customWidth="1"/>
    <col min="199" max="199" width="12.26953125" bestFit="1" customWidth="1"/>
    <col min="200" max="201" width="13.81640625" bestFit="1" customWidth="1"/>
    <col min="203" max="203" width="12.453125" bestFit="1" customWidth="1"/>
    <col min="204" max="204" width="23.54296875" bestFit="1" customWidth="1"/>
  </cols>
  <sheetData>
    <row r="1" spans="1:205">
      <c r="A1" s="1" t="s">
        <v>923</v>
      </c>
      <c r="B1" s="1"/>
      <c r="G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0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</row>
    <row r="3" spans="1:205">
      <c r="D3" s="66"/>
    </row>
    <row r="4" spans="1:205">
      <c r="A4" s="378" t="s">
        <v>924</v>
      </c>
      <c r="B4" s="378"/>
      <c r="C4" s="378"/>
      <c r="D4" s="66"/>
      <c r="M4" s="275" t="s">
        <v>925</v>
      </c>
      <c r="N4" s="275" t="s">
        <v>925</v>
      </c>
      <c r="O4" s="275" t="s">
        <v>925</v>
      </c>
      <c r="P4" s="275" t="s">
        <v>925</v>
      </c>
      <c r="Q4" s="275" t="s">
        <v>925</v>
      </c>
      <c r="R4" s="275" t="s">
        <v>925</v>
      </c>
      <c r="S4" s="275" t="s">
        <v>925</v>
      </c>
      <c r="T4" s="275" t="s">
        <v>925</v>
      </c>
      <c r="U4" s="275" t="s">
        <v>925</v>
      </c>
      <c r="V4" s="275" t="s">
        <v>925</v>
      </c>
      <c r="W4" s="275" t="s">
        <v>925</v>
      </c>
      <c r="X4" s="275" t="s">
        <v>925</v>
      </c>
      <c r="Y4" s="275" t="s">
        <v>925</v>
      </c>
      <c r="Z4" s="275" t="s">
        <v>925</v>
      </c>
      <c r="AA4" s="310" t="s">
        <v>925</v>
      </c>
      <c r="AB4" s="310" t="s">
        <v>925</v>
      </c>
      <c r="AC4" s="310" t="s">
        <v>925</v>
      </c>
      <c r="AD4" s="310" t="s">
        <v>925</v>
      </c>
      <c r="AE4" s="310" t="s">
        <v>925</v>
      </c>
      <c r="AF4" s="310" t="s">
        <v>925</v>
      </c>
      <c r="AG4" s="310" t="s">
        <v>925</v>
      </c>
      <c r="AH4" s="310" t="s">
        <v>925</v>
      </c>
      <c r="AI4" s="310" t="s">
        <v>925</v>
      </c>
      <c r="AJ4" s="310" t="s">
        <v>925</v>
      </c>
      <c r="AK4" s="310" t="s">
        <v>925</v>
      </c>
      <c r="AL4" s="310" t="s">
        <v>925</v>
      </c>
      <c r="AM4" s="310" t="s">
        <v>925</v>
      </c>
      <c r="AN4" s="310" t="s">
        <v>925</v>
      </c>
      <c r="AO4" s="303" t="s">
        <v>925</v>
      </c>
      <c r="AP4" s="303" t="s">
        <v>925</v>
      </c>
      <c r="AQ4" s="303" t="s">
        <v>925</v>
      </c>
      <c r="AR4" s="303" t="s">
        <v>925</v>
      </c>
      <c r="AS4" s="303" t="s">
        <v>925</v>
      </c>
      <c r="AT4" s="303" t="s">
        <v>925</v>
      </c>
      <c r="AU4" s="303" t="s">
        <v>925</v>
      </c>
      <c r="AV4" s="303" t="s">
        <v>925</v>
      </c>
      <c r="AW4" s="303" t="s">
        <v>925</v>
      </c>
      <c r="AX4" s="303" t="s">
        <v>925</v>
      </c>
      <c r="AY4" s="303" t="s">
        <v>925</v>
      </c>
      <c r="AZ4" s="303" t="s">
        <v>925</v>
      </c>
      <c r="BA4" s="303" t="s">
        <v>925</v>
      </c>
      <c r="BB4" s="303" t="s">
        <v>925</v>
      </c>
      <c r="BC4" s="325" t="s">
        <v>925</v>
      </c>
      <c r="BD4" s="325" t="s">
        <v>925</v>
      </c>
      <c r="BE4" s="325" t="s">
        <v>925</v>
      </c>
      <c r="BF4" s="325" t="s">
        <v>925</v>
      </c>
      <c r="BG4" s="325" t="s">
        <v>925</v>
      </c>
      <c r="BH4" s="325" t="s">
        <v>925</v>
      </c>
      <c r="BI4" s="325" t="s">
        <v>925</v>
      </c>
      <c r="BJ4" s="325" t="s">
        <v>925</v>
      </c>
      <c r="BK4" s="325" t="s">
        <v>925</v>
      </c>
      <c r="BL4" s="325" t="s">
        <v>925</v>
      </c>
      <c r="BM4" s="325" t="s">
        <v>925</v>
      </c>
      <c r="BN4" s="325" t="s">
        <v>925</v>
      </c>
      <c r="BO4" s="325" t="s">
        <v>925</v>
      </c>
      <c r="BP4" s="325" t="s">
        <v>925</v>
      </c>
      <c r="BQ4" s="317" t="s">
        <v>925</v>
      </c>
      <c r="BR4" s="317" t="s">
        <v>925</v>
      </c>
      <c r="BS4" s="317" t="s">
        <v>925</v>
      </c>
      <c r="BT4" s="317" t="s">
        <v>925</v>
      </c>
      <c r="BU4" s="317" t="s">
        <v>925</v>
      </c>
      <c r="BV4" s="317" t="s">
        <v>925</v>
      </c>
      <c r="BW4" s="317" t="s">
        <v>925</v>
      </c>
      <c r="BX4" s="317" t="s">
        <v>925</v>
      </c>
      <c r="BY4" s="317" t="s">
        <v>925</v>
      </c>
      <c r="BZ4" s="317" t="s">
        <v>925</v>
      </c>
      <c r="CA4" s="317" t="s">
        <v>925</v>
      </c>
      <c r="CB4" s="317" t="s">
        <v>925</v>
      </c>
      <c r="CC4" s="317" t="s">
        <v>925</v>
      </c>
      <c r="CD4" s="317" t="s">
        <v>925</v>
      </c>
      <c r="CE4" s="352" t="s">
        <v>925</v>
      </c>
      <c r="CF4" s="352" t="s">
        <v>925</v>
      </c>
      <c r="CG4" s="352" t="s">
        <v>925</v>
      </c>
      <c r="CH4" s="352" t="s">
        <v>925</v>
      </c>
      <c r="CI4" s="352" t="s">
        <v>925</v>
      </c>
      <c r="CJ4" s="352" t="s">
        <v>925</v>
      </c>
      <c r="CK4" s="352" t="s">
        <v>925</v>
      </c>
      <c r="CL4" s="352" t="s">
        <v>925</v>
      </c>
      <c r="CM4" s="352" t="s">
        <v>925</v>
      </c>
      <c r="CN4" s="352" t="s">
        <v>925</v>
      </c>
      <c r="CO4" s="352" t="s">
        <v>925</v>
      </c>
      <c r="CP4" s="352" t="s">
        <v>925</v>
      </c>
      <c r="CQ4" s="352" t="s">
        <v>925</v>
      </c>
      <c r="CR4" s="352" t="s">
        <v>925</v>
      </c>
      <c r="CS4" s="352" t="s">
        <v>925</v>
      </c>
      <c r="CT4" s="332" t="s">
        <v>925</v>
      </c>
      <c r="CU4" s="332" t="s">
        <v>925</v>
      </c>
      <c r="CV4" s="332" t="s">
        <v>925</v>
      </c>
      <c r="CW4" s="332" t="s">
        <v>925</v>
      </c>
      <c r="CX4" s="332" t="s">
        <v>925</v>
      </c>
      <c r="CY4" s="332" t="s">
        <v>925</v>
      </c>
      <c r="CZ4" s="332" t="s">
        <v>925</v>
      </c>
      <c r="DA4" s="332" t="s">
        <v>925</v>
      </c>
      <c r="DB4" s="332" t="s">
        <v>925</v>
      </c>
      <c r="DC4" s="332" t="s">
        <v>925</v>
      </c>
      <c r="DD4" s="332" t="s">
        <v>925</v>
      </c>
      <c r="DE4" s="332" t="s">
        <v>925</v>
      </c>
      <c r="DF4" s="332" t="s">
        <v>925</v>
      </c>
      <c r="DG4" s="332" t="s">
        <v>925</v>
      </c>
      <c r="DH4" s="332" t="s">
        <v>925</v>
      </c>
      <c r="DI4" s="325" t="s">
        <v>925</v>
      </c>
      <c r="DJ4" s="325" t="s">
        <v>925</v>
      </c>
      <c r="DK4" s="325" t="s">
        <v>925</v>
      </c>
      <c r="DL4" s="325" t="s">
        <v>925</v>
      </c>
      <c r="DM4" s="325" t="s">
        <v>925</v>
      </c>
      <c r="DN4" s="325" t="s">
        <v>925</v>
      </c>
      <c r="DO4" s="325" t="s">
        <v>925</v>
      </c>
      <c r="DP4" s="325" t="s">
        <v>925</v>
      </c>
      <c r="DQ4" s="325" t="s">
        <v>925</v>
      </c>
      <c r="DR4" s="325" t="s">
        <v>925</v>
      </c>
      <c r="DS4" s="325" t="s">
        <v>925</v>
      </c>
      <c r="DT4" s="325" t="s">
        <v>925</v>
      </c>
      <c r="DU4" s="325" t="s">
        <v>925</v>
      </c>
      <c r="DV4" s="325" t="s">
        <v>925</v>
      </c>
      <c r="DW4" s="325" t="s">
        <v>925</v>
      </c>
      <c r="DX4" s="339" t="s">
        <v>925</v>
      </c>
      <c r="DY4" s="339" t="s">
        <v>925</v>
      </c>
      <c r="DZ4" s="339" t="s">
        <v>925</v>
      </c>
      <c r="EA4" s="339" t="s">
        <v>925</v>
      </c>
      <c r="EB4" s="339" t="s">
        <v>925</v>
      </c>
      <c r="EC4" s="339" t="s">
        <v>925</v>
      </c>
      <c r="ED4" s="339" t="s">
        <v>925</v>
      </c>
      <c r="EE4" s="339" t="s">
        <v>925</v>
      </c>
      <c r="EF4" s="339" t="s">
        <v>925</v>
      </c>
      <c r="EG4" s="339" t="s">
        <v>925</v>
      </c>
      <c r="EH4" s="339" t="s">
        <v>925</v>
      </c>
      <c r="EI4" s="339" t="s">
        <v>925</v>
      </c>
      <c r="EJ4" s="339" t="s">
        <v>925</v>
      </c>
      <c r="EK4" s="339" t="s">
        <v>925</v>
      </c>
      <c r="EL4" s="339" t="s">
        <v>925</v>
      </c>
      <c r="EM4" s="303" t="s">
        <v>925</v>
      </c>
      <c r="EN4" s="303" t="s">
        <v>925</v>
      </c>
      <c r="EO4" s="303" t="s">
        <v>925</v>
      </c>
      <c r="EP4" s="303" t="s">
        <v>925</v>
      </c>
      <c r="EQ4" s="303" t="s">
        <v>925</v>
      </c>
      <c r="ER4" s="303" t="s">
        <v>925</v>
      </c>
      <c r="ES4" s="303" t="s">
        <v>925</v>
      </c>
      <c r="ET4" s="303" t="s">
        <v>925</v>
      </c>
      <c r="EU4" s="303" t="s">
        <v>925</v>
      </c>
      <c r="EV4" s="303" t="s">
        <v>925</v>
      </c>
      <c r="EW4" s="303" t="s">
        <v>925</v>
      </c>
      <c r="EX4" s="303" t="s">
        <v>925</v>
      </c>
      <c r="EY4" s="303" t="s">
        <v>925</v>
      </c>
      <c r="EZ4" s="303" t="s">
        <v>925</v>
      </c>
      <c r="FA4" s="303" t="s">
        <v>925</v>
      </c>
      <c r="FB4" s="310" t="s">
        <v>925</v>
      </c>
      <c r="FC4" s="310" t="s">
        <v>925</v>
      </c>
      <c r="FD4" s="310" t="s">
        <v>925</v>
      </c>
      <c r="FE4" s="310" t="s">
        <v>925</v>
      </c>
      <c r="FF4" s="310" t="s">
        <v>925</v>
      </c>
      <c r="FG4" s="310" t="s">
        <v>925</v>
      </c>
      <c r="FH4" s="310" t="s">
        <v>925</v>
      </c>
      <c r="FI4" s="310" t="s">
        <v>925</v>
      </c>
      <c r="FJ4" s="310" t="s">
        <v>925</v>
      </c>
      <c r="FK4" s="310" t="s">
        <v>925</v>
      </c>
      <c r="FL4" s="310" t="s">
        <v>925</v>
      </c>
      <c r="FM4" s="310" t="s">
        <v>925</v>
      </c>
      <c r="FN4" s="310" t="s">
        <v>925</v>
      </c>
      <c r="FO4" s="310" t="s">
        <v>925</v>
      </c>
      <c r="FP4" s="310" t="s">
        <v>925</v>
      </c>
      <c r="FQ4" s="317" t="s">
        <v>925</v>
      </c>
      <c r="FR4" s="317" t="s">
        <v>925</v>
      </c>
      <c r="FS4" s="317" t="s">
        <v>925</v>
      </c>
      <c r="FT4" s="317" t="s">
        <v>925</v>
      </c>
      <c r="FU4" s="317" t="s">
        <v>925</v>
      </c>
      <c r="FV4" s="317" t="s">
        <v>925</v>
      </c>
      <c r="FW4" s="317" t="s">
        <v>925</v>
      </c>
      <c r="FX4" s="317" t="s">
        <v>925</v>
      </c>
      <c r="FY4" s="317" t="s">
        <v>925</v>
      </c>
      <c r="FZ4" s="317" t="s">
        <v>925</v>
      </c>
      <c r="GA4" s="317" t="s">
        <v>925</v>
      </c>
      <c r="GB4" s="317" t="s">
        <v>925</v>
      </c>
      <c r="GC4" s="317" t="s">
        <v>925</v>
      </c>
      <c r="GD4" s="317" t="s">
        <v>925</v>
      </c>
      <c r="GE4" s="317" t="s">
        <v>925</v>
      </c>
    </row>
    <row r="5" spans="1:205" ht="15" thickBot="1">
      <c r="D5" s="66"/>
      <c r="M5" s="272" t="s">
        <v>926</v>
      </c>
      <c r="N5" s="273"/>
      <c r="O5" s="273"/>
      <c r="P5" s="273"/>
      <c r="Q5" s="273"/>
      <c r="R5" s="273"/>
      <c r="S5" s="273"/>
      <c r="T5" s="273"/>
      <c r="U5" s="273"/>
      <c r="V5" s="273"/>
      <c r="AA5" s="311" t="s">
        <v>927</v>
      </c>
      <c r="AB5" s="312"/>
      <c r="AC5" s="312"/>
      <c r="AD5" s="312"/>
      <c r="AE5" s="312"/>
      <c r="AF5" s="312"/>
      <c r="AG5" s="312"/>
      <c r="AH5" s="312"/>
      <c r="AI5" s="312"/>
      <c r="AJ5" s="312"/>
      <c r="AO5" s="304" t="s">
        <v>928</v>
      </c>
      <c r="AP5" s="305"/>
      <c r="AQ5" s="305"/>
      <c r="AR5" s="305"/>
      <c r="AS5" s="305"/>
      <c r="AT5" s="305"/>
      <c r="AU5" s="305"/>
      <c r="AV5" s="305"/>
      <c r="AW5" s="305"/>
      <c r="AX5" s="305"/>
      <c r="BC5" s="326" t="s">
        <v>929</v>
      </c>
      <c r="BD5" s="327"/>
      <c r="BE5" s="327"/>
      <c r="BF5" s="327"/>
      <c r="BG5" s="327"/>
      <c r="BH5" s="327"/>
      <c r="BI5" s="327"/>
      <c r="BJ5" s="327"/>
      <c r="BK5" s="327"/>
      <c r="BL5" s="327"/>
      <c r="BQ5" s="318" t="s">
        <v>930</v>
      </c>
      <c r="BR5" s="319"/>
      <c r="BS5" s="319"/>
      <c r="BT5" s="319"/>
      <c r="BU5" s="319"/>
      <c r="BV5" s="319"/>
      <c r="BW5" s="319"/>
      <c r="BX5" s="319"/>
      <c r="BY5" s="319"/>
      <c r="BZ5" s="319"/>
      <c r="CE5" s="353" t="s">
        <v>931</v>
      </c>
      <c r="CF5" s="354"/>
      <c r="CG5" s="354"/>
      <c r="CH5" s="354"/>
      <c r="CI5" s="354"/>
      <c r="CJ5" s="354"/>
      <c r="CK5" s="354"/>
      <c r="CL5" s="354"/>
      <c r="CM5" s="354"/>
      <c r="CN5" s="354"/>
      <c r="CT5" s="333" t="s">
        <v>932</v>
      </c>
      <c r="CU5" s="334"/>
      <c r="CV5" s="334"/>
      <c r="CW5" s="334"/>
      <c r="CX5" s="334"/>
      <c r="CY5" s="334"/>
      <c r="CZ5" s="334"/>
      <c r="DA5" s="334"/>
      <c r="DB5" s="334"/>
      <c r="DC5" s="334"/>
      <c r="DI5" s="326" t="s">
        <v>933</v>
      </c>
      <c r="DJ5" s="327"/>
      <c r="DK5" s="327"/>
      <c r="DL5" s="327"/>
      <c r="DM5" s="327"/>
      <c r="DN5" s="327"/>
      <c r="DO5" s="327"/>
      <c r="DP5" s="327"/>
      <c r="DQ5" s="327"/>
      <c r="DR5" s="327"/>
      <c r="DX5" s="340" t="s">
        <v>934</v>
      </c>
      <c r="DY5" s="341"/>
      <c r="DZ5" s="341"/>
      <c r="EA5" s="341"/>
      <c r="EB5" s="341"/>
      <c r="EC5" s="341"/>
      <c r="ED5" s="341"/>
      <c r="EE5" s="341"/>
      <c r="EF5" s="341"/>
      <c r="EG5" s="341"/>
      <c r="EM5" s="304" t="s">
        <v>935</v>
      </c>
      <c r="EN5" s="305"/>
      <c r="EO5" s="305"/>
      <c r="EP5" s="305"/>
      <c r="EQ5" s="305"/>
      <c r="ER5" s="305"/>
      <c r="ES5" s="305"/>
      <c r="ET5" s="305"/>
      <c r="EU5" s="305"/>
      <c r="EV5" s="305"/>
      <c r="FB5" s="311" t="s">
        <v>936</v>
      </c>
      <c r="FC5" s="312"/>
      <c r="FD5" s="312"/>
      <c r="FE5" s="312"/>
      <c r="FF5" s="312"/>
      <c r="FG5" s="312"/>
      <c r="FH5" s="312"/>
      <c r="FI5" s="312"/>
      <c r="FJ5" s="312"/>
      <c r="FK5" s="312"/>
      <c r="FQ5" s="318" t="s">
        <v>937</v>
      </c>
      <c r="FR5" s="319"/>
      <c r="FS5" s="319"/>
      <c r="FT5" s="319"/>
      <c r="FU5" s="319"/>
      <c r="FV5" s="319"/>
      <c r="FW5" s="319"/>
      <c r="FX5" s="319"/>
      <c r="FY5" s="319"/>
      <c r="FZ5" s="319"/>
      <c r="GG5" s="300"/>
    </row>
    <row r="6" spans="1:205" ht="96" thickBot="1">
      <c r="H6" s="277" t="s">
        <v>938</v>
      </c>
      <c r="I6" s="278" t="s">
        <v>455</v>
      </c>
      <c r="J6" s="278" t="s">
        <v>10</v>
      </c>
      <c r="K6" s="278" t="s">
        <v>456</v>
      </c>
      <c r="M6" s="274" t="s">
        <v>914</v>
      </c>
      <c r="N6" s="274" t="s">
        <v>939</v>
      </c>
      <c r="O6" s="274" t="s">
        <v>940</v>
      </c>
      <c r="P6" s="274" t="s">
        <v>457</v>
      </c>
      <c r="Q6" s="274" t="s">
        <v>916</v>
      </c>
      <c r="R6" s="274" t="s">
        <v>13</v>
      </c>
      <c r="S6" s="274" t="s">
        <v>941</v>
      </c>
      <c r="T6" s="274" t="s">
        <v>918</v>
      </c>
      <c r="U6" s="274" t="s">
        <v>919</v>
      </c>
      <c r="V6" s="274" t="s">
        <v>9</v>
      </c>
      <c r="W6" s="274" t="s">
        <v>10</v>
      </c>
      <c r="X6" s="274" t="s">
        <v>14</v>
      </c>
      <c r="Y6" s="274" t="s">
        <v>488</v>
      </c>
      <c r="Z6" s="274" t="s">
        <v>942</v>
      </c>
      <c r="AA6" s="313" t="s">
        <v>914</v>
      </c>
      <c r="AB6" s="313"/>
      <c r="AC6" s="313" t="s">
        <v>940</v>
      </c>
      <c r="AD6" s="313" t="s">
        <v>457</v>
      </c>
      <c r="AE6" s="313" t="s">
        <v>916</v>
      </c>
      <c r="AF6" s="313" t="s">
        <v>13</v>
      </c>
      <c r="AG6" s="313"/>
      <c r="AH6" s="313" t="s">
        <v>918</v>
      </c>
      <c r="AI6" s="313" t="s">
        <v>919</v>
      </c>
      <c r="AJ6" s="313" t="s">
        <v>9</v>
      </c>
      <c r="AK6" s="313" t="s">
        <v>10</v>
      </c>
      <c r="AL6" s="313" t="s">
        <v>14</v>
      </c>
      <c r="AM6" s="313" t="s">
        <v>488</v>
      </c>
      <c r="AN6" s="313" t="s">
        <v>943</v>
      </c>
      <c r="AO6" s="306" t="s">
        <v>914</v>
      </c>
      <c r="AP6" s="306"/>
      <c r="AQ6" s="306" t="s">
        <v>940</v>
      </c>
      <c r="AR6" s="306" t="s">
        <v>457</v>
      </c>
      <c r="AS6" s="306" t="s">
        <v>916</v>
      </c>
      <c r="AT6" s="306" t="s">
        <v>13</v>
      </c>
      <c r="AU6" s="306"/>
      <c r="AV6" s="306" t="s">
        <v>918</v>
      </c>
      <c r="AW6" s="306" t="s">
        <v>919</v>
      </c>
      <c r="AX6" s="306" t="s">
        <v>9</v>
      </c>
      <c r="AY6" s="306" t="s">
        <v>10</v>
      </c>
      <c r="AZ6" s="306" t="s">
        <v>14</v>
      </c>
      <c r="BA6" s="306" t="s">
        <v>488</v>
      </c>
      <c r="BB6" s="306" t="s">
        <v>944</v>
      </c>
      <c r="BC6" s="328" t="s">
        <v>914</v>
      </c>
      <c r="BD6" s="328"/>
      <c r="BE6" s="328" t="s">
        <v>940</v>
      </c>
      <c r="BF6" s="328" t="s">
        <v>457</v>
      </c>
      <c r="BG6" s="328" t="s">
        <v>916</v>
      </c>
      <c r="BH6" s="328" t="s">
        <v>13</v>
      </c>
      <c r="BI6" s="328"/>
      <c r="BJ6" s="328" t="s">
        <v>918</v>
      </c>
      <c r="BK6" s="328" t="s">
        <v>919</v>
      </c>
      <c r="BL6" s="328" t="s">
        <v>9</v>
      </c>
      <c r="BM6" s="328" t="s">
        <v>10</v>
      </c>
      <c r="BN6" s="328" t="s">
        <v>14</v>
      </c>
      <c r="BO6" s="328" t="s">
        <v>488</v>
      </c>
      <c r="BP6" s="328" t="s">
        <v>945</v>
      </c>
      <c r="BQ6" s="320" t="s">
        <v>914</v>
      </c>
      <c r="BR6" s="320"/>
      <c r="BS6" s="320" t="s">
        <v>940</v>
      </c>
      <c r="BT6" s="320" t="s">
        <v>457</v>
      </c>
      <c r="BU6" s="320" t="s">
        <v>916</v>
      </c>
      <c r="BV6" s="320" t="s">
        <v>13</v>
      </c>
      <c r="BW6" s="320"/>
      <c r="BX6" s="320" t="s">
        <v>918</v>
      </c>
      <c r="BY6" s="320" t="s">
        <v>919</v>
      </c>
      <c r="BZ6" s="320" t="s">
        <v>9</v>
      </c>
      <c r="CA6" s="320" t="s">
        <v>10</v>
      </c>
      <c r="CB6" s="320" t="s">
        <v>14</v>
      </c>
      <c r="CC6" s="320" t="s">
        <v>946</v>
      </c>
      <c r="CD6" s="320" t="s">
        <v>947</v>
      </c>
      <c r="CE6" s="355" t="s">
        <v>914</v>
      </c>
      <c r="CF6" s="355" t="s">
        <v>915</v>
      </c>
      <c r="CG6" s="355" t="s">
        <v>940</v>
      </c>
      <c r="CH6" s="355" t="s">
        <v>457</v>
      </c>
      <c r="CI6" s="355" t="s">
        <v>916</v>
      </c>
      <c r="CJ6" s="355" t="s">
        <v>13</v>
      </c>
      <c r="CK6" s="355" t="s">
        <v>917</v>
      </c>
      <c r="CL6" s="355" t="s">
        <v>918</v>
      </c>
      <c r="CM6" s="355" t="s">
        <v>919</v>
      </c>
      <c r="CN6" s="355" t="s">
        <v>9</v>
      </c>
      <c r="CO6" s="355" t="s">
        <v>10</v>
      </c>
      <c r="CP6" s="355" t="s">
        <v>14</v>
      </c>
      <c r="CQ6" s="355" t="s">
        <v>920</v>
      </c>
      <c r="CR6" s="355" t="s">
        <v>489</v>
      </c>
      <c r="CS6" s="355" t="s">
        <v>921</v>
      </c>
      <c r="CT6" s="335" t="s">
        <v>914</v>
      </c>
      <c r="CU6" s="335"/>
      <c r="CV6" s="335" t="s">
        <v>940</v>
      </c>
      <c r="CW6" s="335" t="s">
        <v>457</v>
      </c>
      <c r="CX6" s="335" t="s">
        <v>916</v>
      </c>
      <c r="CY6" s="335" t="s">
        <v>13</v>
      </c>
      <c r="CZ6" s="335"/>
      <c r="DA6" s="335" t="s">
        <v>918</v>
      </c>
      <c r="DB6" s="335" t="s">
        <v>919</v>
      </c>
      <c r="DC6" s="335" t="s">
        <v>9</v>
      </c>
      <c r="DD6" s="335" t="s">
        <v>10</v>
      </c>
      <c r="DE6" s="335" t="s">
        <v>14</v>
      </c>
      <c r="DF6" s="335" t="s">
        <v>920</v>
      </c>
      <c r="DG6" s="335" t="s">
        <v>489</v>
      </c>
      <c r="DH6" s="335" t="s">
        <v>948</v>
      </c>
      <c r="DI6" s="328" t="s">
        <v>914</v>
      </c>
      <c r="DJ6" s="328"/>
      <c r="DK6" s="328" t="s">
        <v>940</v>
      </c>
      <c r="DL6" s="328" t="s">
        <v>457</v>
      </c>
      <c r="DM6" s="328" t="s">
        <v>916</v>
      </c>
      <c r="DN6" s="328" t="s">
        <v>13</v>
      </c>
      <c r="DO6" s="328"/>
      <c r="DP6" s="328" t="s">
        <v>918</v>
      </c>
      <c r="DQ6" s="328" t="s">
        <v>919</v>
      </c>
      <c r="DR6" s="328" t="s">
        <v>9</v>
      </c>
      <c r="DS6" s="328" t="s">
        <v>10</v>
      </c>
      <c r="DT6" s="328" t="s">
        <v>14</v>
      </c>
      <c r="DU6" s="328" t="s">
        <v>920</v>
      </c>
      <c r="DV6" s="328" t="s">
        <v>489</v>
      </c>
      <c r="DW6" s="328" t="s">
        <v>949</v>
      </c>
      <c r="DX6" s="342" t="s">
        <v>914</v>
      </c>
      <c r="DY6" s="342"/>
      <c r="DZ6" s="342" t="s">
        <v>940</v>
      </c>
      <c r="EA6" s="342" t="s">
        <v>457</v>
      </c>
      <c r="EB6" s="342" t="s">
        <v>916</v>
      </c>
      <c r="EC6" s="342" t="s">
        <v>13</v>
      </c>
      <c r="ED6" s="342"/>
      <c r="EE6" s="342" t="s">
        <v>918</v>
      </c>
      <c r="EF6" s="342" t="s">
        <v>919</v>
      </c>
      <c r="EG6" s="342" t="s">
        <v>9</v>
      </c>
      <c r="EH6" s="342" t="s">
        <v>10</v>
      </c>
      <c r="EI6" s="342" t="s">
        <v>14</v>
      </c>
      <c r="EJ6" s="342" t="s">
        <v>920</v>
      </c>
      <c r="EK6" s="342" t="s">
        <v>489</v>
      </c>
      <c r="EL6" s="342" t="s">
        <v>950</v>
      </c>
      <c r="EM6" s="306" t="s">
        <v>914</v>
      </c>
      <c r="EN6" s="306" t="s">
        <v>951</v>
      </c>
      <c r="EO6" s="306" t="s">
        <v>940</v>
      </c>
      <c r="EP6" s="306" t="s">
        <v>457</v>
      </c>
      <c r="EQ6" s="306" t="s">
        <v>916</v>
      </c>
      <c r="ER6" s="306" t="s">
        <v>13</v>
      </c>
      <c r="ES6" s="306" t="s">
        <v>952</v>
      </c>
      <c r="ET6" s="306" t="s">
        <v>918</v>
      </c>
      <c r="EU6" s="306" t="s">
        <v>919</v>
      </c>
      <c r="EV6" s="306" t="s">
        <v>9</v>
      </c>
      <c r="EW6" s="306" t="s">
        <v>10</v>
      </c>
      <c r="EX6" s="306" t="s">
        <v>14</v>
      </c>
      <c r="EY6" s="306" t="s">
        <v>920</v>
      </c>
      <c r="EZ6" s="306" t="s">
        <v>489</v>
      </c>
      <c r="FA6" s="306" t="s">
        <v>953</v>
      </c>
      <c r="FB6" s="313" t="s">
        <v>914</v>
      </c>
      <c r="FC6" s="313"/>
      <c r="FD6" s="313" t="s">
        <v>940</v>
      </c>
      <c r="FE6" s="313" t="s">
        <v>457</v>
      </c>
      <c r="FF6" s="313" t="s">
        <v>916</v>
      </c>
      <c r="FG6" s="313" t="s">
        <v>13</v>
      </c>
      <c r="FH6" s="313"/>
      <c r="FI6" s="313" t="s">
        <v>918</v>
      </c>
      <c r="FJ6" s="313" t="s">
        <v>919</v>
      </c>
      <c r="FK6" s="313" t="s">
        <v>9</v>
      </c>
      <c r="FL6" s="313" t="s">
        <v>10</v>
      </c>
      <c r="FM6" s="313" t="s">
        <v>14</v>
      </c>
      <c r="FN6" s="313" t="s">
        <v>920</v>
      </c>
      <c r="FO6" s="313" t="s">
        <v>489</v>
      </c>
      <c r="FP6" s="313" t="s">
        <v>954</v>
      </c>
      <c r="FQ6" s="320" t="s">
        <v>914</v>
      </c>
      <c r="FR6" s="320"/>
      <c r="FS6" s="320" t="s">
        <v>940</v>
      </c>
      <c r="FT6" s="320" t="s">
        <v>457</v>
      </c>
      <c r="FU6" s="320" t="s">
        <v>916</v>
      </c>
      <c r="FV6" s="320" t="s">
        <v>13</v>
      </c>
      <c r="FW6" s="320"/>
      <c r="FX6" s="320" t="s">
        <v>918</v>
      </c>
      <c r="FY6" s="320" t="s">
        <v>919</v>
      </c>
      <c r="FZ6" s="320" t="s">
        <v>9</v>
      </c>
      <c r="GA6" s="320" t="s">
        <v>10</v>
      </c>
      <c r="GB6" s="320" t="s">
        <v>14</v>
      </c>
      <c r="GC6" s="320" t="s">
        <v>920</v>
      </c>
      <c r="GD6" s="320" t="s">
        <v>489</v>
      </c>
      <c r="GE6" s="320" t="s">
        <v>955</v>
      </c>
      <c r="GG6" s="436" t="s">
        <v>956</v>
      </c>
      <c r="GH6" s="437"/>
      <c r="GI6" s="437"/>
      <c r="GJ6" s="437"/>
      <c r="GK6" s="437"/>
      <c r="GL6" s="438"/>
      <c r="GN6" s="439" t="s">
        <v>925</v>
      </c>
      <c r="GO6" s="413"/>
      <c r="GP6" s="413"/>
      <c r="GQ6" s="413"/>
      <c r="GR6" s="413"/>
      <c r="GS6" s="414"/>
    </row>
    <row r="7" spans="1:205" ht="34.5" customHeight="1" thickBot="1">
      <c r="A7" s="363" t="s">
        <v>15</v>
      </c>
      <c r="B7" s="364" t="s">
        <v>16</v>
      </c>
      <c r="C7" s="365" t="s">
        <v>17</v>
      </c>
      <c r="D7" s="366" t="s">
        <v>18</v>
      </c>
      <c r="E7" s="365" t="s">
        <v>19</v>
      </c>
      <c r="F7" s="366" t="s">
        <v>20</v>
      </c>
      <c r="M7" s="274" t="s">
        <v>21</v>
      </c>
      <c r="N7" s="274" t="s">
        <v>21</v>
      </c>
      <c r="O7" s="274" t="s">
        <v>21</v>
      </c>
      <c r="P7" s="274" t="s">
        <v>21</v>
      </c>
      <c r="Q7" s="274" t="s">
        <v>21</v>
      </c>
      <c r="R7" s="274" t="s">
        <v>25</v>
      </c>
      <c r="S7" s="274" t="s">
        <v>24</v>
      </c>
      <c r="T7" s="274" t="s">
        <v>24</v>
      </c>
      <c r="U7" s="274" t="s">
        <v>24</v>
      </c>
      <c r="V7" s="274" t="s">
        <v>22</v>
      </c>
      <c r="W7" s="274" t="s">
        <v>23</v>
      </c>
      <c r="X7" s="274" t="s">
        <v>26</v>
      </c>
      <c r="Y7" s="276"/>
      <c r="Z7" s="276"/>
      <c r="AA7" s="313" t="s">
        <v>21</v>
      </c>
      <c r="AB7" s="313" t="s">
        <v>21</v>
      </c>
      <c r="AC7" s="313" t="s">
        <v>21</v>
      </c>
      <c r="AD7" s="313" t="s">
        <v>21</v>
      </c>
      <c r="AE7" s="313" t="s">
        <v>21</v>
      </c>
      <c r="AF7" s="313" t="s">
        <v>25</v>
      </c>
      <c r="AG7" s="313" t="s">
        <v>24</v>
      </c>
      <c r="AH7" s="313" t="s">
        <v>24</v>
      </c>
      <c r="AI7" s="313" t="s">
        <v>24</v>
      </c>
      <c r="AJ7" s="313" t="s">
        <v>22</v>
      </c>
      <c r="AK7" s="313" t="s">
        <v>23</v>
      </c>
      <c r="AL7" s="313" t="s">
        <v>26</v>
      </c>
      <c r="AM7" s="314"/>
      <c r="AN7" s="314"/>
      <c r="AO7" s="306" t="s">
        <v>21</v>
      </c>
      <c r="AP7" s="306" t="s">
        <v>21</v>
      </c>
      <c r="AQ7" s="306" t="s">
        <v>21</v>
      </c>
      <c r="AR7" s="306" t="s">
        <v>21</v>
      </c>
      <c r="AS7" s="306" t="s">
        <v>21</v>
      </c>
      <c r="AT7" s="306" t="s">
        <v>25</v>
      </c>
      <c r="AU7" s="306" t="s">
        <v>24</v>
      </c>
      <c r="AV7" s="306" t="s">
        <v>24</v>
      </c>
      <c r="AW7" s="306" t="s">
        <v>24</v>
      </c>
      <c r="AX7" s="306" t="s">
        <v>22</v>
      </c>
      <c r="AY7" s="306" t="s">
        <v>23</v>
      </c>
      <c r="AZ7" s="306" t="s">
        <v>26</v>
      </c>
      <c r="BA7" s="307"/>
      <c r="BB7" s="307"/>
      <c r="BC7" s="328" t="s">
        <v>21</v>
      </c>
      <c r="BD7" s="328" t="s">
        <v>21</v>
      </c>
      <c r="BE7" s="328" t="s">
        <v>21</v>
      </c>
      <c r="BF7" s="328" t="s">
        <v>21</v>
      </c>
      <c r="BG7" s="328" t="s">
        <v>21</v>
      </c>
      <c r="BH7" s="328" t="s">
        <v>25</v>
      </c>
      <c r="BI7" s="328" t="s">
        <v>24</v>
      </c>
      <c r="BJ7" s="328" t="s">
        <v>24</v>
      </c>
      <c r="BK7" s="328" t="s">
        <v>24</v>
      </c>
      <c r="BL7" s="328" t="s">
        <v>22</v>
      </c>
      <c r="BM7" s="328" t="s">
        <v>23</v>
      </c>
      <c r="BN7" s="328" t="s">
        <v>26</v>
      </c>
      <c r="BO7" s="329"/>
      <c r="BP7" s="329"/>
      <c r="BQ7" s="320" t="s">
        <v>21</v>
      </c>
      <c r="BR7" s="320" t="s">
        <v>21</v>
      </c>
      <c r="BS7" s="320" t="s">
        <v>21</v>
      </c>
      <c r="BT7" s="320" t="s">
        <v>21</v>
      </c>
      <c r="BU7" s="320" t="s">
        <v>21</v>
      </c>
      <c r="BV7" s="320" t="s">
        <v>25</v>
      </c>
      <c r="BW7" s="320" t="s">
        <v>24</v>
      </c>
      <c r="BX7" s="320" t="s">
        <v>24</v>
      </c>
      <c r="BY7" s="320" t="s">
        <v>24</v>
      </c>
      <c r="BZ7" s="320" t="s">
        <v>22</v>
      </c>
      <c r="CA7" s="320" t="s">
        <v>23</v>
      </c>
      <c r="CB7" s="320" t="s">
        <v>26</v>
      </c>
      <c r="CC7" s="321"/>
      <c r="CD7" s="321"/>
      <c r="CE7" s="355" t="s">
        <v>21</v>
      </c>
      <c r="CF7" s="355" t="s">
        <v>21</v>
      </c>
      <c r="CG7" s="355" t="s">
        <v>21</v>
      </c>
      <c r="CH7" s="355" t="s">
        <v>21</v>
      </c>
      <c r="CI7" s="355" t="s">
        <v>21</v>
      </c>
      <c r="CJ7" s="355" t="s">
        <v>25</v>
      </c>
      <c r="CK7" s="355" t="s">
        <v>24</v>
      </c>
      <c r="CL7" s="355" t="s">
        <v>24</v>
      </c>
      <c r="CM7" s="355" t="s">
        <v>24</v>
      </c>
      <c r="CN7" s="355" t="s">
        <v>22</v>
      </c>
      <c r="CO7" s="355" t="s">
        <v>23</v>
      </c>
      <c r="CP7" s="355" t="s">
        <v>26</v>
      </c>
      <c r="CQ7" s="356"/>
      <c r="CR7" s="356"/>
      <c r="CS7" s="356"/>
      <c r="CT7" s="335" t="s">
        <v>21</v>
      </c>
      <c r="CU7" s="335" t="s">
        <v>21</v>
      </c>
      <c r="CV7" s="335" t="s">
        <v>21</v>
      </c>
      <c r="CW7" s="335" t="s">
        <v>21</v>
      </c>
      <c r="CX7" s="335" t="s">
        <v>21</v>
      </c>
      <c r="CY7" s="335" t="s">
        <v>25</v>
      </c>
      <c r="CZ7" s="335" t="s">
        <v>24</v>
      </c>
      <c r="DA7" s="335" t="s">
        <v>24</v>
      </c>
      <c r="DB7" s="335" t="s">
        <v>24</v>
      </c>
      <c r="DC7" s="335" t="s">
        <v>22</v>
      </c>
      <c r="DD7" s="335" t="s">
        <v>23</v>
      </c>
      <c r="DE7" s="335" t="s">
        <v>26</v>
      </c>
      <c r="DF7" s="336"/>
      <c r="DG7" s="336"/>
      <c r="DH7" s="336"/>
      <c r="DI7" s="328" t="s">
        <v>21</v>
      </c>
      <c r="DJ7" s="328" t="s">
        <v>21</v>
      </c>
      <c r="DK7" s="328" t="s">
        <v>21</v>
      </c>
      <c r="DL7" s="328" t="s">
        <v>21</v>
      </c>
      <c r="DM7" s="328" t="s">
        <v>21</v>
      </c>
      <c r="DN7" s="328" t="s">
        <v>25</v>
      </c>
      <c r="DO7" s="328" t="s">
        <v>24</v>
      </c>
      <c r="DP7" s="328" t="s">
        <v>24</v>
      </c>
      <c r="DQ7" s="328" t="s">
        <v>24</v>
      </c>
      <c r="DR7" s="328" t="s">
        <v>22</v>
      </c>
      <c r="DS7" s="328" t="s">
        <v>23</v>
      </c>
      <c r="DT7" s="328" t="s">
        <v>26</v>
      </c>
      <c r="DU7" s="329"/>
      <c r="DV7" s="329"/>
      <c r="DW7" s="329"/>
      <c r="DX7" s="342" t="s">
        <v>21</v>
      </c>
      <c r="DY7" s="342" t="s">
        <v>21</v>
      </c>
      <c r="DZ7" s="342" t="s">
        <v>21</v>
      </c>
      <c r="EA7" s="342" t="s">
        <v>21</v>
      </c>
      <c r="EB7" s="342" t="s">
        <v>21</v>
      </c>
      <c r="EC7" s="342" t="s">
        <v>25</v>
      </c>
      <c r="ED7" s="342" t="s">
        <v>24</v>
      </c>
      <c r="EE7" s="342" t="s">
        <v>24</v>
      </c>
      <c r="EF7" s="342" t="s">
        <v>24</v>
      </c>
      <c r="EG7" s="342" t="s">
        <v>22</v>
      </c>
      <c r="EH7" s="342" t="s">
        <v>23</v>
      </c>
      <c r="EI7" s="342" t="s">
        <v>26</v>
      </c>
      <c r="EJ7" s="343"/>
      <c r="EK7" s="343"/>
      <c r="EL7" s="343"/>
      <c r="EM7" s="306" t="s">
        <v>21</v>
      </c>
      <c r="EN7" s="306" t="s">
        <v>21</v>
      </c>
      <c r="EO7" s="306" t="s">
        <v>21</v>
      </c>
      <c r="EP7" s="306" t="s">
        <v>21</v>
      </c>
      <c r="EQ7" s="306" t="s">
        <v>21</v>
      </c>
      <c r="ER7" s="306" t="s">
        <v>25</v>
      </c>
      <c r="ES7" s="306" t="s">
        <v>24</v>
      </c>
      <c r="ET7" s="306" t="s">
        <v>24</v>
      </c>
      <c r="EU7" s="306" t="s">
        <v>24</v>
      </c>
      <c r="EV7" s="306" t="s">
        <v>22</v>
      </c>
      <c r="EW7" s="306" t="s">
        <v>23</v>
      </c>
      <c r="EX7" s="306" t="s">
        <v>26</v>
      </c>
      <c r="EY7" s="307"/>
      <c r="EZ7" s="307"/>
      <c r="FA7" s="307"/>
      <c r="FB7" s="313" t="s">
        <v>21</v>
      </c>
      <c r="FC7" s="313" t="s">
        <v>21</v>
      </c>
      <c r="FD7" s="313" t="s">
        <v>21</v>
      </c>
      <c r="FE7" s="313" t="s">
        <v>21</v>
      </c>
      <c r="FF7" s="313" t="s">
        <v>21</v>
      </c>
      <c r="FG7" s="313" t="s">
        <v>25</v>
      </c>
      <c r="FH7" s="313" t="s">
        <v>24</v>
      </c>
      <c r="FI7" s="313" t="s">
        <v>24</v>
      </c>
      <c r="FJ7" s="313" t="s">
        <v>24</v>
      </c>
      <c r="FK7" s="313" t="s">
        <v>22</v>
      </c>
      <c r="FL7" s="313" t="s">
        <v>23</v>
      </c>
      <c r="FM7" s="313" t="s">
        <v>26</v>
      </c>
      <c r="FN7" s="314"/>
      <c r="FO7" s="314"/>
      <c r="FP7" s="314"/>
      <c r="FQ7" s="320" t="s">
        <v>21</v>
      </c>
      <c r="FR7" s="320" t="s">
        <v>21</v>
      </c>
      <c r="FS7" s="320" t="s">
        <v>21</v>
      </c>
      <c r="FT7" s="320" t="s">
        <v>21</v>
      </c>
      <c r="FU7" s="320" t="s">
        <v>21</v>
      </c>
      <c r="FV7" s="320" t="s">
        <v>25</v>
      </c>
      <c r="FW7" s="320" t="s">
        <v>24</v>
      </c>
      <c r="FX7" s="320" t="s">
        <v>24</v>
      </c>
      <c r="FY7" s="320" t="s">
        <v>24</v>
      </c>
      <c r="FZ7" s="320" t="s">
        <v>22</v>
      </c>
      <c r="GA7" s="320" t="s">
        <v>23</v>
      </c>
      <c r="GB7" s="320" t="s">
        <v>26</v>
      </c>
      <c r="GC7" s="321"/>
      <c r="GD7" s="321"/>
      <c r="GE7" s="321"/>
      <c r="GG7" t="s">
        <v>21</v>
      </c>
      <c r="GH7" t="s">
        <v>25</v>
      </c>
      <c r="GI7" t="s">
        <v>24</v>
      </c>
      <c r="GJ7" t="s">
        <v>22</v>
      </c>
      <c r="GK7" t="s">
        <v>23</v>
      </c>
      <c r="GL7" t="s">
        <v>26</v>
      </c>
      <c r="GN7" t="s">
        <v>21</v>
      </c>
      <c r="GO7" t="s">
        <v>25</v>
      </c>
      <c r="GP7" t="s">
        <v>24</v>
      </c>
      <c r="GQ7" t="s">
        <v>22</v>
      </c>
      <c r="GR7" t="s">
        <v>23</v>
      </c>
      <c r="GS7" t="s">
        <v>26</v>
      </c>
    </row>
    <row r="8" spans="1:205">
      <c r="A8" s="185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191" t="s">
        <v>912</v>
      </c>
      <c r="H8" s="279">
        <f>_xlfn.IFNA(VLOOKUP($A8,ISB!$A$4:$BY$454,67,FALSE),0)</f>
        <v>0</v>
      </c>
      <c r="I8" s="279">
        <f>_xlfn.IFNA(VLOOKUP($A8,ISB!$A$4:$BY$454,72,FALSE),0)</f>
        <v>0</v>
      </c>
      <c r="J8" s="279">
        <f>-_xlfn.IFNA(VLOOKUP($A8,ISB!$A$4:$BY$454,76,FALSE),0)</f>
        <v>0</v>
      </c>
      <c r="K8" s="279">
        <f>_xlfn.IFNA(VLOOKUP($A8,ISB!$A$4:$BY$454,77,FALSE),0)</f>
        <v>0</v>
      </c>
      <c r="M8" s="301">
        <f>$H8/12</f>
        <v>0</v>
      </c>
      <c r="N8" s="301">
        <f>VLOOKUP($A8,EY!$A:$H,8,FALSE)+(VLOOKUP($A8,EY!$A:$BS,17,FALSE)-S8)+VLOOKUP($A8,EY!$A:$BS,41,FALSE)</f>
        <v>398412.33003642806</v>
      </c>
      <c r="O8" s="302"/>
      <c r="P8" s="302">
        <f>_xlfn.IFNA((VLOOKUP($A8,HN!$A:$K,8,FALSE)/12),0)</f>
        <v>0</v>
      </c>
      <c r="Q8" s="302">
        <f>_xlfn.IFNA((VLOOKUP($A8,HN!$A:$BS,14,FALSE)/12),0)</f>
        <v>0</v>
      </c>
      <c r="R8" s="302">
        <f>_xlfn.IFNA(VLOOKUP($A8,'Post 16'!$A:$V,21,FALSE),0)/4</f>
        <v>0</v>
      </c>
      <c r="S8" s="302">
        <f>VLOOKUP($A8,EY!A:Q,15,FALSE)*80%</f>
        <v>1540.2947368421055</v>
      </c>
      <c r="T8" s="302">
        <f>_xlfn.IFNA((VLOOKUP($A8,HN!$A:$K,9,FALSE)/12),0)+_xlfn.IFNA((VLOOKUP($A8,HN!$A:$K,10,FALSE)/12),0)</f>
        <v>0</v>
      </c>
      <c r="U8" s="302">
        <f>_xlfn.IFNA((VLOOKUP($A8,HN!$A:$BS,15,FALSE)/12),0)</f>
        <v>0</v>
      </c>
      <c r="V8" s="301">
        <f>$I8/12</f>
        <v>0</v>
      </c>
      <c r="W8" s="301">
        <f>$J8/12</f>
        <v>0</v>
      </c>
      <c r="X8" s="302"/>
      <c r="Y8" s="302">
        <f>_xlfn.IFNA(VLOOKUP($A8,'Cash Advances'!$A:$S,8,FALSE),0)</f>
        <v>0</v>
      </c>
      <c r="Z8" s="301">
        <f t="shared" ref="Z8:Z37" si="0">SUM(M8:Y8)</f>
        <v>399952.62477327016</v>
      </c>
      <c r="AA8" s="315">
        <f>$H8/12</f>
        <v>0</v>
      </c>
      <c r="AB8" s="315"/>
      <c r="AC8" s="316"/>
      <c r="AD8" s="316">
        <f>_xlfn.IFNA((VLOOKUP($A8,HN!$A:$K,8,FALSE)/12),0)</f>
        <v>0</v>
      </c>
      <c r="AE8" s="316">
        <f>_xlfn.IFNA((VLOOKUP($A8,HN!$A:$BS,14,FALSE)/12),0)</f>
        <v>0</v>
      </c>
      <c r="AF8" s="316">
        <f>_xlfn.IFNA(VLOOKUP($A8,'Post 16'!$A:$V,21,FALSE),0)/4</f>
        <v>0</v>
      </c>
      <c r="AG8" s="316"/>
      <c r="AH8" s="316">
        <f>_xlfn.IFNA((VLOOKUP($A8,HN!$A:$K,9,FALSE)/12),0)+_xlfn.IFNA((VLOOKUP($A8,HN!$A:$K,10,FALSE)/12),0)</f>
        <v>0</v>
      </c>
      <c r="AI8" s="316">
        <f>_xlfn.IFNA((VLOOKUP($A8,HN!$A:$BS,15,FALSE)/12),0)</f>
        <v>0</v>
      </c>
      <c r="AJ8" s="315">
        <f>$I8/12</f>
        <v>0</v>
      </c>
      <c r="AK8" s="315">
        <f>$J8/12</f>
        <v>0</v>
      </c>
      <c r="AL8" s="316"/>
      <c r="AM8" s="316">
        <f>_xlfn.IFNA(VLOOKUP($A8,'Cash Advances'!$A:$S,9,FALSE),0)</f>
        <v>0</v>
      </c>
      <c r="AN8" s="315">
        <f t="shared" ref="AN8:AN37" si="1">SUM(AA8:AM8)</f>
        <v>0</v>
      </c>
      <c r="AO8" s="308">
        <f>$H8/12</f>
        <v>0</v>
      </c>
      <c r="AP8" s="308"/>
      <c r="AQ8" s="309"/>
      <c r="AR8" s="309">
        <f>_xlfn.IFNA((VLOOKUP($A8,HN!$A:$K,8,FALSE)/12),0)</f>
        <v>0</v>
      </c>
      <c r="AS8" s="309">
        <f>_xlfn.IFNA((VLOOKUP($A8,HN!$A:$BS,14,FALSE)/12),0)</f>
        <v>0</v>
      </c>
      <c r="AT8" s="309">
        <f>_xlfn.IFNA(VLOOKUP($A8,'Post 16'!$A:$V,21,FALSE),0)/4</f>
        <v>0</v>
      </c>
      <c r="AU8" s="309"/>
      <c r="AV8" s="309">
        <f>_xlfn.IFNA((VLOOKUP($A8,HN!$A:$K,9,FALSE)/12),0)+_xlfn.IFNA((VLOOKUP($A8,HN!$A:$K,10,FALSE)/12),0)+_xlfn.IFNA(VLOOKUP(A8,HN!A:V,19,FALSE),0)+_xlfn.IFNA(VLOOKUP(A8,HN!A:V,20,FALSE),0)+_xlfn.IFNA(VLOOKUP(A8,HN!A:V,21,FALSE),0)</f>
        <v>0</v>
      </c>
      <c r="AW8" s="309">
        <f>_xlfn.IFNA((VLOOKUP($A8,HN!$A:$BS,15,FALSE)/12),0)</f>
        <v>0</v>
      </c>
      <c r="AX8" s="308">
        <f>$I8/12</f>
        <v>0</v>
      </c>
      <c r="AY8" s="308">
        <f>$J8/12</f>
        <v>0</v>
      </c>
      <c r="AZ8" s="309"/>
      <c r="BA8" s="309">
        <f>_xlfn.IFNA(VLOOKUP($A8,'Cash Advances'!$A:$S,10,FALSE),0)</f>
        <v>0</v>
      </c>
      <c r="BB8" s="308">
        <f t="shared" ref="BB8:BB37" si="2">SUM(AO8:BA8)</f>
        <v>0</v>
      </c>
      <c r="BC8" s="330">
        <f>$H8/12</f>
        <v>0</v>
      </c>
      <c r="BD8" s="330"/>
      <c r="BE8" s="331"/>
      <c r="BF8" s="331">
        <f>_xlfn.IFNA((VLOOKUP($A8,HN!$A:$K,8,FALSE)/12),0)</f>
        <v>0</v>
      </c>
      <c r="BG8" s="331">
        <f>_xlfn.IFNA((VLOOKUP($A8,HN!$A:$BS,14,FALSE)/12),0)</f>
        <v>0</v>
      </c>
      <c r="BH8" s="331">
        <f>_xlfn.IFNA(VLOOKUP($A8,'Post 16'!$A:$V,21,FALSE),0)/4</f>
        <v>0</v>
      </c>
      <c r="BI8" s="331"/>
      <c r="BJ8" s="331">
        <f>_xlfn.IFNA((VLOOKUP($A8,HN!$A:$K,9,FALSE)/12),0)+_xlfn.IFNA((VLOOKUP($A8,HN!$A:$K,10,FALSE)/12),0)</f>
        <v>0</v>
      </c>
      <c r="BK8" s="331">
        <f>_xlfn.IFNA((VLOOKUP($A8,HN!$A:$BS,15,FALSE)/12),0)</f>
        <v>0</v>
      </c>
      <c r="BL8" s="330">
        <f>$I8/12</f>
        <v>0</v>
      </c>
      <c r="BM8" s="330">
        <f>$J8/12</f>
        <v>0</v>
      </c>
      <c r="BN8" s="331"/>
      <c r="BO8" s="331">
        <f>_xlfn.IFNA(VLOOKUP(A8,'Cash Advances'!A:K,11,FALSE),0)</f>
        <v>0</v>
      </c>
      <c r="BP8" s="330">
        <f t="shared" ref="BP8:BP37" si="3">SUM(BC8:BO8)</f>
        <v>0</v>
      </c>
      <c r="BQ8" s="322">
        <f>$H8/12</f>
        <v>0</v>
      </c>
      <c r="BR8" s="322"/>
      <c r="BS8" s="323"/>
      <c r="BT8" s="323">
        <f>_xlfn.IFNA((VLOOKUP($A8,HN!$A:$K,8,FALSE)/12),0)</f>
        <v>0</v>
      </c>
      <c r="BU8" s="323">
        <f>_xlfn.IFNA((VLOOKUP($A8,HN!$A:$BS,14,FALSE)/12),0)</f>
        <v>0</v>
      </c>
      <c r="BV8" s="323">
        <f>(_xlfn.IFNA(VLOOKUP($A8,'Post 16'!$A:$AV,32,FALSE),0)/8)+_xlfn.IFNA(VLOOKUP($A8,'Post 16'!$A:$AR,40,FALSE),0)</f>
        <v>0</v>
      </c>
      <c r="BW8" s="323"/>
      <c r="BX8" s="323">
        <f>_xlfn.IFNA((VLOOKUP($A8,HN!$A:$K,9,FALSE)/12),0)+_xlfn.IFNA((VLOOKUP($A8,HN!$A:$K,10,FALSE)/12),0)</f>
        <v>0</v>
      </c>
      <c r="BY8" s="323">
        <f>_xlfn.IFNA((VLOOKUP($A8,HN!$A:$BS,15,FALSE)/12),0)</f>
        <v>0</v>
      </c>
      <c r="BZ8" s="322">
        <f>$I8/12</f>
        <v>0</v>
      </c>
      <c r="CA8" s="322">
        <f>$J8/12</f>
        <v>0</v>
      </c>
      <c r="CB8" s="323"/>
      <c r="CC8" s="323"/>
      <c r="CD8" s="322">
        <f t="shared" ref="CD8:CD37" si="4">SUM(BQ8:CC8)</f>
        <v>0</v>
      </c>
      <c r="CE8" s="357">
        <f>$H8/12</f>
        <v>0</v>
      </c>
      <c r="CF8" s="357">
        <f>(VLOOKUP($A8,EY!$A:$BS,26,FALSE)-(VLOOKUP($A8,EY!A:CR,24,FALSE)*80%))+VLOOKUP($A8,EY!$A:$BS,42,FALSE)+(VLOOKUP($A8,EY!A:CC,74,FALSE)-VLOOKUP($A8,EY!A:CC,72,FALSE))</f>
        <v>103240.42934112507</v>
      </c>
      <c r="CG8" s="358"/>
      <c r="CH8" s="358">
        <f>_xlfn.IFNA((VLOOKUP($A8,HN!$A:$K,8,FALSE)/12),0)</f>
        <v>0</v>
      </c>
      <c r="CI8" s="358">
        <f>_xlfn.IFNA((VLOOKUP($A8,HN!$A:$BS,14,FALSE)/12),0)</f>
        <v>0</v>
      </c>
      <c r="CJ8" s="358">
        <f>(_xlfn.IFNA(VLOOKUP($A8,'Post 16'!$A:$AV,32,FALSE),0)/8)</f>
        <v>0</v>
      </c>
      <c r="CK8" s="358">
        <f>(VLOOKUP($A8,EY!A:CR,24,FALSE)*80%)+VLOOKUP($A8,EY!A:CC,72,FALSE)</f>
        <v>1861.1468421052627</v>
      </c>
      <c r="CL8" s="358">
        <f>_xlfn.IFNA((VLOOKUP($A8,HN!$A:$K,9,FALSE)/12),0)+_xlfn.IFNA((VLOOKUP($A8,HN!$A:$K,10,FALSE)/12),0)</f>
        <v>0</v>
      </c>
      <c r="CM8" s="358">
        <f>_xlfn.IFNA((VLOOKUP($A8,HN!$A:$BS,15,FALSE)/12),0)</f>
        <v>0</v>
      </c>
      <c r="CN8" s="357">
        <f>$I8/12</f>
        <v>0</v>
      </c>
      <c r="CO8" s="357">
        <f>$J8/12</f>
        <v>0</v>
      </c>
      <c r="CP8" s="358">
        <f>_xlfn.IFNA(VLOOKUP(A8,'LA Deductions'!A:W,23,FALSE),0)</f>
        <v>-3291.75</v>
      </c>
      <c r="CQ8" s="358">
        <f>_xlfn.IFNA(VLOOKUP($A8,'Cash Advances'!$A:$S,13,FALSE),0)</f>
        <v>0</v>
      </c>
      <c r="CR8" s="358">
        <f>_xlfn.IFNA(VLOOKUP(A8,'LA Deductions'!A:AZ,25,FALSE),0)/9*3</f>
        <v>0</v>
      </c>
      <c r="CS8" s="357">
        <f>SUM(CE8:CR8)</f>
        <v>101809.82618323033</v>
      </c>
      <c r="CT8" s="337">
        <f>$H8/12</f>
        <v>0</v>
      </c>
      <c r="CU8" s="337"/>
      <c r="CV8" s="338">
        <f>_xlfn.IFNA(VLOOKUP(A8,'LA Deductions'!$A$6:$AN$207,34,FALSE),0)</f>
        <v>0</v>
      </c>
      <c r="CW8" s="338">
        <f>_xlfn.IFNA((VLOOKUP($A8,HN!$A:$K,8,FALSE)/12),0)</f>
        <v>0</v>
      </c>
      <c r="CX8" s="338">
        <f>_xlfn.IFNA((VLOOKUP($A8,HN!$A:$BS,14,FALSE)/12),0)</f>
        <v>0</v>
      </c>
      <c r="CY8" s="338">
        <f>_xlfn.IFNA(VLOOKUP($A8,'Post 16'!$A:$AV,32,FALSE),0)/8</f>
        <v>0</v>
      </c>
      <c r="CZ8" s="338"/>
      <c r="DA8" s="338">
        <f>_xlfn.IFNA((VLOOKUP($A8,HN!$A:$K,9,FALSE)/12),0)+_xlfn.IFNA((VLOOKUP($A8,HN!$A:$K,10,FALSE)/12),0)</f>
        <v>0</v>
      </c>
      <c r="DB8" s="338">
        <f>_xlfn.IFNA((VLOOKUP($A8,HN!$A:$BS,15,FALSE)/12),0)</f>
        <v>0</v>
      </c>
      <c r="DC8" s="337">
        <f>$I8/12</f>
        <v>0</v>
      </c>
      <c r="DD8" s="337">
        <f>$J8/12</f>
        <v>0</v>
      </c>
      <c r="DE8" s="338"/>
      <c r="DF8" s="338">
        <f>_xlfn.IFNA(VLOOKUP($A8,'Cash Advances'!$A:$S,14,FALSE),0)</f>
        <v>0</v>
      </c>
      <c r="DG8" s="338">
        <f>(_xlfn.IFNA(VLOOKUP(A8,'LA Deductions'!A:AZ,25,FALSE),0)/9)+(_xlfn.IFNA(VLOOKUP(A8,'LA Deductions'!A:AZ,26,FALSE),0))</f>
        <v>0</v>
      </c>
      <c r="DH8" s="337">
        <f>SUM(CT8:DG8)</f>
        <v>0</v>
      </c>
      <c r="DI8" s="330">
        <f>$H8/12</f>
        <v>0</v>
      </c>
      <c r="DJ8" s="330"/>
      <c r="DK8" s="331"/>
      <c r="DL8" s="331">
        <f>_xlfn.IFNA((VLOOKUP($A8,HN!$A:$K,8,FALSE)/12),0)+_xlfn.IFNA((VLOOKUP($A8,HN!$A:$AF,32,FALSE)*8/12),0)</f>
        <v>0</v>
      </c>
      <c r="DM8" s="331">
        <f>_xlfn.IFNA((VLOOKUP($A8,HN!$A:$BS,14,FALSE)/12),0)+_xlfn.IFNA(VLOOKUP($A8,HN!$A:$BS,31,FALSE),0)</f>
        <v>0</v>
      </c>
      <c r="DN8" s="331">
        <f>_xlfn.IFNA(VLOOKUP($A8,'Post 16'!$A:$AV,32,FALSE),0)/8</f>
        <v>0</v>
      </c>
      <c r="DO8" s="331"/>
      <c r="DP8" s="331">
        <f>_xlfn.IFNA((VLOOKUP($A8,HN!$A:$K,9,FALSE)/12),0)+_xlfn.IFNA((VLOOKUP($A8,HN!$A:$K,10,FALSE)/12),0)+_xlfn.IFNA((VLOOKUP($A8,HN!$A:$BZ,33,FALSE)*8/12),0)</f>
        <v>0</v>
      </c>
      <c r="DQ8" s="331">
        <f>_xlfn.IFNA((VLOOKUP($A8,HN!$A:$BS,15,FALSE)/12),0)</f>
        <v>0</v>
      </c>
      <c r="DR8" s="330">
        <f>$I8/12</f>
        <v>0</v>
      </c>
      <c r="DS8" s="330">
        <f>$J8/12</f>
        <v>0</v>
      </c>
      <c r="DT8" s="331"/>
      <c r="DU8" s="331"/>
      <c r="DV8" s="331">
        <f>(_xlfn.IFNA(VLOOKUP(A8,'LA Deductions'!A:AZ,25,FALSE),0)/9)+_xlfn.IFNA(VLOOKUP(A8,'LA Deductions'!A:AZ,27,FALSE),0)</f>
        <v>0</v>
      </c>
      <c r="DW8" s="330">
        <f>SUM(DI8:DV8)</f>
        <v>0</v>
      </c>
      <c r="DX8" s="344">
        <f>$H8/12</f>
        <v>0</v>
      </c>
      <c r="DY8" s="344"/>
      <c r="DZ8" s="345"/>
      <c r="EA8" s="345">
        <f>_xlfn.IFNA((VLOOKUP($A8,HN!$A:$K,8,FALSE)/12),0)+_xlfn.IFNA((VLOOKUP($A8,HN!$A:$AF,32,FALSE)*1/12),0)</f>
        <v>0</v>
      </c>
      <c r="EB8" s="345">
        <f>_xlfn.IFNA((VLOOKUP($A8,HN!$A:$BS,14,FALSE)/12),0)</f>
        <v>0</v>
      </c>
      <c r="EC8" s="345">
        <f>_xlfn.IFNA(VLOOKUP($A8,'Post 16'!$A:$AV,32,FALSE),0)/8</f>
        <v>0</v>
      </c>
      <c r="ED8" s="345"/>
      <c r="EE8" s="345">
        <f>_xlfn.IFNA((VLOOKUP($A8,HN!$A:$K,9,FALSE)/12),0)+_xlfn.IFNA((VLOOKUP($A8,HN!$A:$K,10,FALSE)/12),0)+_xlfn.IFNA((VLOOKUP($A8,HN!$A:$BZ,33,FALSE)/12),0)</f>
        <v>0</v>
      </c>
      <c r="EF8" s="345">
        <f>_xlfn.IFNA((VLOOKUP($A8,HN!$A:$BS,15,FALSE)/12),0)</f>
        <v>0</v>
      </c>
      <c r="EG8" s="344">
        <f>$I8/12</f>
        <v>0</v>
      </c>
      <c r="EH8" s="344">
        <f>$J8/12</f>
        <v>0</v>
      </c>
      <c r="EI8" s="345"/>
      <c r="EJ8" s="345">
        <f>_xlfn.IFNA(VLOOKUP(A8,'Cash Advances'!A:P,16,FALSE),0)</f>
        <v>0</v>
      </c>
      <c r="EK8" s="345">
        <f>_xlfn.IFNA(VLOOKUP(A8,'LA Deductions'!A:AZ,25,FALSE),0)/9</f>
        <v>0</v>
      </c>
      <c r="EL8" s="344">
        <f>SUM(DX8:EK8)</f>
        <v>0</v>
      </c>
      <c r="EM8" s="308">
        <f>$H8/12</f>
        <v>0</v>
      </c>
      <c r="EN8" s="308">
        <f>((VLOOKUP($A8,EY!$A:$BS,35,FALSE)-(VLOOKUP($A8,EY!$A:$BS,33,FALSE)*80%))+VLOOKUP($A8,EY!$A:$BS,43,FALSE))+(VLOOKUP(A8,EY!A:DF,110,FALSE)-VLOOKUP(A8,EY!A:DD,108,FALSE))+(VLOOKUP(A8,EY!A:CE,83,FALSE)-VLOOKUP(A8,EY!A:CC,81,FALSE))</f>
        <v>152814.07187257617</v>
      </c>
      <c r="EO8" s="309"/>
      <c r="EP8" s="309">
        <f>_xlfn.IFNA((VLOOKUP($A8,HN!$A:$K,8,FALSE)/12),0)+_xlfn.IFNA((VLOOKUP($A8,HN!$A:$AF,32,FALSE)*1/12),0)</f>
        <v>0</v>
      </c>
      <c r="EQ8" s="309">
        <f>_xlfn.IFNA((VLOOKUP($A8,HN!$A:$BS,14,FALSE)/12),0)+_xlfn.IFNA((VLOOKUP($A8,HN!$A:$BS,34,FALSE)/3),0)</f>
        <v>0</v>
      </c>
      <c r="ER8" s="309">
        <f>_xlfn.IFNA(VLOOKUP($A8,'Post 16'!$A:$AV,32,FALSE),0)/8</f>
        <v>0</v>
      </c>
      <c r="ES8" s="309">
        <f>((VLOOKUP($A8,EY!A:EV,33,FALSE)*80%))+VLOOKUP(A8,EY!A:DD,108,FALSE)+VLOOKUP(A8,EY!A:CC,81,FALSE)</f>
        <v>8528.0476177285309</v>
      </c>
      <c r="ET8" s="309">
        <f>_xlfn.IFNA((VLOOKUP($A8,HN!$A:$K,9,FALSE)/12),0)+_xlfn.IFNA((VLOOKUP($A8,HN!$A:$K,10,FALSE)/12),0)+_xlfn.IFNA((VLOOKUP($A8,HN!$A:$BZ,33,FALSE)/12),0)</f>
        <v>0</v>
      </c>
      <c r="EU8" s="309">
        <f>_xlfn.IFNA((VLOOKUP($A8,HN!$A:$BS,15,FALSE)/12),0)</f>
        <v>0</v>
      </c>
      <c r="EV8" s="308">
        <f>$I8/12</f>
        <v>0</v>
      </c>
      <c r="EW8" s="308">
        <f>$J8/12</f>
        <v>0</v>
      </c>
      <c r="EX8" s="309"/>
      <c r="EY8" s="309">
        <f>_xlfn.IFNA(VLOOKUP($A8,'Cash Advances'!$A:$S,17,FALSE),0)</f>
        <v>0</v>
      </c>
      <c r="EZ8" s="309">
        <f>_xlfn.IFNA(VLOOKUP(A8,'LA Deductions'!A:AZ,25,FALSE),0)/9</f>
        <v>0</v>
      </c>
      <c r="FA8" s="308">
        <f>SUM(EM8:EZ8)</f>
        <v>161342.1194903047</v>
      </c>
      <c r="FB8" s="315">
        <f>$H8/12</f>
        <v>0</v>
      </c>
      <c r="FC8" s="315"/>
      <c r="FD8" s="316"/>
      <c r="FE8" s="316">
        <f>_xlfn.IFNA((VLOOKUP($A8,HN!$A:$K,8,FALSE)/12),0)+_xlfn.IFNA((VLOOKUP($A8,HN!$A:$AF,32,FALSE)*1/12),0)</f>
        <v>0</v>
      </c>
      <c r="FF8" s="316">
        <f>_xlfn.IFNA((VLOOKUP($A8,HN!$A:$BS,14,FALSE)/12),0)+_xlfn.IFNA((VLOOKUP($A8,HN!$A:$BS,34,FALSE)/3),0)</f>
        <v>0</v>
      </c>
      <c r="FG8" s="316">
        <f>_xlfn.IFNA(VLOOKUP($A8,'Post 16'!$A:$AV,32,FALSE),0)/8</f>
        <v>0</v>
      </c>
      <c r="FH8" s="316"/>
      <c r="FI8" s="316">
        <f>_xlfn.IFNA((VLOOKUP($A8,HN!$A:$K,9,FALSE)/12),0)+_xlfn.IFNA((VLOOKUP($A8,HN!$A:$K,10,FALSE)/12),0)+_xlfn.IFNA((VLOOKUP($A8,HN!$A:$BZ,33,FALSE)/12),0)+_xlfn.IFNA((VLOOKUP($A8,HN!$A:$BZ,35,FALSE)/2),0)</f>
        <v>0</v>
      </c>
      <c r="FJ8" s="316">
        <f>_xlfn.IFNA((VLOOKUP($A8,HN!$A:$BS,15,FALSE)/12),0)+_xlfn.IFNA((VLOOKUP($A8,HN!$A:$CZ,36,FALSE)/2),0)</f>
        <v>0</v>
      </c>
      <c r="FK8" s="315">
        <f>$I8/12</f>
        <v>0</v>
      </c>
      <c r="FL8" s="315">
        <f>$J8/12</f>
        <v>0</v>
      </c>
      <c r="FM8" s="316"/>
      <c r="FN8" s="316">
        <f>_xlfn.IFNA(VLOOKUP($A8,'Cash Advances'!$A:$S,18,FALSE),0)</f>
        <v>0</v>
      </c>
      <c r="FO8" s="316">
        <f>_xlfn.IFNA(VLOOKUP(A8,'LA Deductions'!A:AZ,25,FALSE),0)/9</f>
        <v>0</v>
      </c>
      <c r="FP8" s="315">
        <f>SUM(FB8:FO8)</f>
        <v>0</v>
      </c>
      <c r="FQ8" s="322">
        <f>$H8/12</f>
        <v>0</v>
      </c>
      <c r="FR8" s="322"/>
      <c r="FS8" s="323"/>
      <c r="FT8" s="323">
        <f>_xlfn.IFNA((VLOOKUP($A8,HN!$A:$K,8,FALSE)/12),0)+_xlfn.IFNA((VLOOKUP($A8,HN!$A:$AF,32,FALSE)*1/12),0)</f>
        <v>0</v>
      </c>
      <c r="FU8" s="323">
        <f>_xlfn.IFNA((VLOOKUP($A8,HN!$A:$BS,14,FALSE)/12),0)+_xlfn.IFNA((VLOOKUP($A8,HN!$A:$BS,34,FALSE)/3),0)</f>
        <v>0</v>
      </c>
      <c r="FV8" s="323">
        <f>_xlfn.IFNA(VLOOKUP($A8,'Post 16'!$A:$AV,32,FALSE),0)/8</f>
        <v>0</v>
      </c>
      <c r="FW8" s="323"/>
      <c r="FX8" s="323">
        <f>_xlfn.IFNA((VLOOKUP($A8,HN!$A:$K,9,FALSE)/12),0)+_xlfn.IFNA((VLOOKUP($A8,HN!$A:$K,10,FALSE)/12),0)+_xlfn.IFNA((VLOOKUP($A8,HN!$A:$BZ,33,FALSE)/12),0)+_xlfn.IFNA((VLOOKUP($A8,HN!$A:$BZ,35,FALSE)/2),0)</f>
        <v>0</v>
      </c>
      <c r="FY8" s="323">
        <f>_xlfn.IFNA((VLOOKUP($A8,HN!$A:$BS,15,FALSE)/12),0)+_xlfn.IFNA((VLOOKUP($A8,HN!$A:$CZ,36,FALSE)/2),0)</f>
        <v>0</v>
      </c>
      <c r="FZ8" s="322">
        <f>$I8/12</f>
        <v>0</v>
      </c>
      <c r="GA8" s="322">
        <f>$J8/12</f>
        <v>0</v>
      </c>
      <c r="GB8" s="323"/>
      <c r="GC8" s="323"/>
      <c r="GD8" s="323">
        <f>_xlfn.IFNA(VLOOKUP(A8,'LA Deductions'!A:AZ,25,FALSE),0)/9</f>
        <v>0</v>
      </c>
      <c r="GE8" s="322">
        <f>SUM(FQ8:GD8)</f>
        <v>0</v>
      </c>
      <c r="GG8" s="146">
        <f t="shared" ref="GG8:GL17" si="5">SUMIFS($M8:$GE8,$M$7:$GE$7,GG$7)</f>
        <v>654466.83125012927</v>
      </c>
      <c r="GH8" s="146">
        <f t="shared" si="5"/>
        <v>0</v>
      </c>
      <c r="GI8" s="146">
        <f t="shared" si="5"/>
        <v>11929.489196675899</v>
      </c>
      <c r="GJ8" s="146">
        <f t="shared" si="5"/>
        <v>0</v>
      </c>
      <c r="GK8" s="146">
        <f t="shared" si="5"/>
        <v>0</v>
      </c>
      <c r="GL8" s="146">
        <f t="shared" si="5"/>
        <v>-3291.75</v>
      </c>
      <c r="GN8" s="146">
        <f t="shared" ref="GN8:GS17" si="6">SUMIFS($M8:$GE8,$M$7:$GE$7,GN$7,$M$4:$GE$4,$GN$6)</f>
        <v>654466.83125012927</v>
      </c>
      <c r="GO8" s="146">
        <f t="shared" si="6"/>
        <v>0</v>
      </c>
      <c r="GP8" s="146">
        <f t="shared" si="6"/>
        <v>11929.489196675899</v>
      </c>
      <c r="GQ8" s="146">
        <f t="shared" si="6"/>
        <v>0</v>
      </c>
      <c r="GR8" s="146">
        <f t="shared" si="6"/>
        <v>0</v>
      </c>
      <c r="GS8" s="146">
        <f t="shared" si="6"/>
        <v>-3291.75</v>
      </c>
      <c r="GU8" s="146"/>
      <c r="GV8" s="57"/>
    </row>
    <row r="9" spans="1:205">
      <c r="A9" s="185">
        <v>2010</v>
      </c>
      <c r="B9" s="185">
        <v>103159</v>
      </c>
      <c r="C9" s="185" t="s">
        <v>30</v>
      </c>
      <c r="D9" s="2" t="s">
        <v>31</v>
      </c>
      <c r="E9" s="191" t="s">
        <v>32</v>
      </c>
      <c r="F9" s="191" t="s">
        <v>912</v>
      </c>
      <c r="H9" s="279">
        <f>_xlfn.IFNA(VLOOKUP($A9,ISB!$A$4:$BY$454,67,FALSE),0)</f>
        <v>2634976.2728075944</v>
      </c>
      <c r="I9" s="279">
        <f>_xlfn.IFNA(VLOOKUP($A9,ISB!$A$4:$BY$454,72,FALSE),0)</f>
        <v>-10927.519999999999</v>
      </c>
      <c r="J9" s="279">
        <f>-_xlfn.IFNA(VLOOKUP($A9,ISB!$A$4:$BY$454,76,FALSE),0)</f>
        <v>-47169.72</v>
      </c>
      <c r="K9" s="279">
        <f>_xlfn.IFNA(VLOOKUP($A9,ISB!$A$4:$BY$454,77,FALSE),0)</f>
        <v>2576879.0328075942</v>
      </c>
      <c r="M9" s="301">
        <f t="shared" ref="M9:M70" si="7">$H9/12</f>
        <v>219581.35606729952</v>
      </c>
      <c r="N9" s="301">
        <f>VLOOKUP($A9,EY!$A:$H,8,FALSE)+(VLOOKUP($A9,EY!$A:$BS,17,FALSE)-S9)+VLOOKUP($A9,EY!$A:$BS,41,FALSE)</f>
        <v>0</v>
      </c>
      <c r="O9" s="302"/>
      <c r="P9" s="302">
        <f>_xlfn.IFNA((VLOOKUP($A9,HN!$A:$K,8,FALSE)/12),0)</f>
        <v>0</v>
      </c>
      <c r="Q9" s="302">
        <f>_xlfn.IFNA((VLOOKUP($A9,HN!$A:$BS,14,FALSE)/12),0)</f>
        <v>0</v>
      </c>
      <c r="R9" s="302">
        <f>_xlfn.IFNA(VLOOKUP($A9,'Post 16'!$A:$V,21,FALSE),0)/4</f>
        <v>0</v>
      </c>
      <c r="S9" s="302">
        <f>VLOOKUP($A9,EY!A:Q,15,FALSE)*80%</f>
        <v>0</v>
      </c>
      <c r="T9" s="302">
        <f>_xlfn.IFNA((VLOOKUP($A9,HN!$A:$K,9,FALSE)/12),0)+_xlfn.IFNA((VLOOKUP($A9,HN!$A:$K,10,FALSE)/12),0)</f>
        <v>0</v>
      </c>
      <c r="U9" s="302">
        <f>_xlfn.IFNA((VLOOKUP($A9,HN!$A:$BS,15,FALSE)/12),0)</f>
        <v>0</v>
      </c>
      <c r="V9" s="301">
        <f t="shared" ref="V9:V70" si="8">$I9/12</f>
        <v>-910.62666666666655</v>
      </c>
      <c r="W9" s="301">
        <f t="shared" ref="W9:W70" si="9">$J9/12</f>
        <v>-3930.81</v>
      </c>
      <c r="X9" s="302"/>
      <c r="Y9" s="302">
        <f>_xlfn.IFNA(VLOOKUP($A9,'Cash Advances'!$A:$S,8,FALSE),0)</f>
        <v>0</v>
      </c>
      <c r="Z9" s="301">
        <f t="shared" si="0"/>
        <v>214739.91940063285</v>
      </c>
      <c r="AA9" s="315">
        <f t="shared" ref="AA9:AA70" si="10">$H9/12</f>
        <v>219581.35606729952</v>
      </c>
      <c r="AB9" s="315"/>
      <c r="AC9" s="316"/>
      <c r="AD9" s="316">
        <f>_xlfn.IFNA((VLOOKUP($A9,HN!$A:$K,8,FALSE)/12),0)</f>
        <v>0</v>
      </c>
      <c r="AE9" s="316">
        <f>_xlfn.IFNA((VLOOKUP($A9,HN!$A:$BS,14,FALSE)/12),0)</f>
        <v>0</v>
      </c>
      <c r="AF9" s="316">
        <f>_xlfn.IFNA(VLOOKUP($A9,'Post 16'!$A:$V,21,FALSE),0)/4</f>
        <v>0</v>
      </c>
      <c r="AG9" s="316"/>
      <c r="AH9" s="316">
        <f>_xlfn.IFNA((VLOOKUP($A9,HN!$A:$K,9,FALSE)/12),0)+_xlfn.IFNA((VLOOKUP($A9,HN!$A:$K,10,FALSE)/12),0)</f>
        <v>0</v>
      </c>
      <c r="AI9" s="316">
        <f>_xlfn.IFNA((VLOOKUP($A9,HN!$A:$BS,15,FALSE)/12),0)</f>
        <v>0</v>
      </c>
      <c r="AJ9" s="315">
        <f t="shared" ref="AJ9:AJ70" si="11">$I9/12</f>
        <v>-910.62666666666655</v>
      </c>
      <c r="AK9" s="315">
        <f t="shared" ref="AK9:AK70" si="12">$J9/12</f>
        <v>-3930.81</v>
      </c>
      <c r="AL9" s="316"/>
      <c r="AM9" s="316">
        <f>_xlfn.IFNA(VLOOKUP($A9,'Cash Advances'!$A:$S,9,FALSE),0)</f>
        <v>0</v>
      </c>
      <c r="AN9" s="315">
        <f t="shared" si="1"/>
        <v>214739.91940063285</v>
      </c>
      <c r="AO9" s="308">
        <f t="shared" ref="AO9:AO70" si="13">$H9/12</f>
        <v>219581.35606729952</v>
      </c>
      <c r="AP9" s="308"/>
      <c r="AQ9" s="309"/>
      <c r="AR9" s="309">
        <f>_xlfn.IFNA((VLOOKUP($A9,HN!$A:$K,8,FALSE)/12),0)</f>
        <v>0</v>
      </c>
      <c r="AS9" s="309">
        <f>_xlfn.IFNA((VLOOKUP($A9,HN!$A:$BS,14,FALSE)/12),0)</f>
        <v>0</v>
      </c>
      <c r="AT9" s="309">
        <f>_xlfn.IFNA(VLOOKUP($A9,'Post 16'!$A:$V,21,FALSE),0)/4</f>
        <v>0</v>
      </c>
      <c r="AU9" s="309"/>
      <c r="AV9" s="309">
        <f>_xlfn.IFNA((VLOOKUP($A9,HN!$A:$K,9,FALSE)/12),0)+_xlfn.IFNA((VLOOKUP($A9,HN!$A:$K,10,FALSE)/12),0)+_xlfn.IFNA(VLOOKUP(A9,HN!A:V,19,FALSE),0)+_xlfn.IFNA(VLOOKUP(A9,HN!A:V,20,FALSE),0)+_xlfn.IFNA(VLOOKUP(A9,HN!A:V,21,FALSE),0)</f>
        <v>0</v>
      </c>
      <c r="AW9" s="309">
        <f>_xlfn.IFNA((VLOOKUP($A9,HN!$A:$BS,15,FALSE)/12),0)</f>
        <v>0</v>
      </c>
      <c r="AX9" s="308">
        <f t="shared" ref="AX9:AX70" si="14">$I9/12</f>
        <v>-910.62666666666655</v>
      </c>
      <c r="AY9" s="308">
        <f t="shared" ref="AY9:AY70" si="15">$J9/12</f>
        <v>-3930.81</v>
      </c>
      <c r="AZ9" s="309"/>
      <c r="BA9" s="309">
        <f>_xlfn.IFNA(VLOOKUP($A9,'Cash Advances'!$A:$S,10,FALSE),0)</f>
        <v>0</v>
      </c>
      <c r="BB9" s="308">
        <f t="shared" si="2"/>
        <v>214739.91940063285</v>
      </c>
      <c r="BC9" s="330">
        <f t="shared" ref="BC9:BC70" si="16">$H9/12</f>
        <v>219581.35606729952</v>
      </c>
      <c r="BD9" s="330"/>
      <c r="BE9" s="331"/>
      <c r="BF9" s="331">
        <f>_xlfn.IFNA((VLOOKUP($A9,HN!$A:$K,8,FALSE)/12),0)</f>
        <v>0</v>
      </c>
      <c r="BG9" s="331">
        <f>_xlfn.IFNA((VLOOKUP($A9,HN!$A:$BS,14,FALSE)/12),0)</f>
        <v>0</v>
      </c>
      <c r="BH9" s="331">
        <f>_xlfn.IFNA(VLOOKUP($A9,'Post 16'!$A:$V,21,FALSE),0)/4</f>
        <v>0</v>
      </c>
      <c r="BI9" s="331"/>
      <c r="BJ9" s="331">
        <f>_xlfn.IFNA((VLOOKUP($A9,HN!$A:$K,9,FALSE)/12),0)+_xlfn.IFNA((VLOOKUP($A9,HN!$A:$K,10,FALSE)/12),0)</f>
        <v>0</v>
      </c>
      <c r="BK9" s="331">
        <f>_xlfn.IFNA((VLOOKUP($A9,HN!$A:$BS,15,FALSE)/12),0)</f>
        <v>0</v>
      </c>
      <c r="BL9" s="330">
        <f t="shared" ref="BL9:BL70" si="17">$I9/12</f>
        <v>-910.62666666666655</v>
      </c>
      <c r="BM9" s="330">
        <f t="shared" ref="BM9:BM70" si="18">$J9/12</f>
        <v>-3930.81</v>
      </c>
      <c r="BN9" s="331"/>
      <c r="BO9" s="331">
        <f>_xlfn.IFNA(VLOOKUP(A9,'Cash Advances'!A:K,11,FALSE),0)</f>
        <v>0</v>
      </c>
      <c r="BP9" s="330">
        <f t="shared" si="3"/>
        <v>214739.91940063285</v>
      </c>
      <c r="BQ9" s="322">
        <f t="shared" ref="BQ9:BQ70" si="19">$H9/12</f>
        <v>219581.35606729952</v>
      </c>
      <c r="BR9" s="322"/>
      <c r="BS9" s="323"/>
      <c r="BT9" s="323">
        <f>_xlfn.IFNA((VLOOKUP($A9,HN!$A:$K,8,FALSE)/12),0)</f>
        <v>0</v>
      </c>
      <c r="BU9" s="323">
        <f>_xlfn.IFNA((VLOOKUP($A9,HN!$A:$BS,14,FALSE)/12),0)</f>
        <v>0</v>
      </c>
      <c r="BV9" s="323">
        <f>(_xlfn.IFNA(VLOOKUP($A9,'Post 16'!$A:$AV,32,FALSE),0)/8)+_xlfn.IFNA(VLOOKUP($A9,'Post 16'!$A:$AR,40,FALSE),0)</f>
        <v>0</v>
      </c>
      <c r="BW9" s="323"/>
      <c r="BX9" s="323">
        <f>_xlfn.IFNA((VLOOKUP($A9,HN!$A:$K,9,FALSE)/12),0)+_xlfn.IFNA((VLOOKUP($A9,HN!$A:$K,10,FALSE)/12),0)</f>
        <v>0</v>
      </c>
      <c r="BY9" s="323">
        <f>_xlfn.IFNA((VLOOKUP($A9,HN!$A:$BS,15,FALSE)/12),0)</f>
        <v>0</v>
      </c>
      <c r="BZ9" s="322">
        <f t="shared" ref="BZ9:BZ70" si="20">$I9/12</f>
        <v>-910.62666666666655</v>
      </c>
      <c r="CA9" s="322">
        <f t="shared" ref="CA9:CA70" si="21">$J9/12</f>
        <v>-3930.81</v>
      </c>
      <c r="CB9" s="323"/>
      <c r="CC9" s="323"/>
      <c r="CD9" s="322">
        <f t="shared" si="4"/>
        <v>214739.91940063285</v>
      </c>
      <c r="CE9" s="357">
        <f t="shared" ref="CE9:CE70" si="22">$H9/12</f>
        <v>219581.35606729952</v>
      </c>
      <c r="CF9" s="357">
        <f>(VLOOKUP($A9,EY!$A:$BS,26,FALSE)-(VLOOKUP($A9,EY!A:CR,24,FALSE)*80%))+VLOOKUP($A9,EY!$A:$BS,42,FALSE)+(VLOOKUP($A9,EY!A:CC,74,FALSE)-VLOOKUP($A9,EY!A:CC,72,FALSE))</f>
        <v>0</v>
      </c>
      <c r="CG9" s="358"/>
      <c r="CH9" s="358">
        <f>_xlfn.IFNA((VLOOKUP($A9,HN!$A:$K,8,FALSE)/12),0)</f>
        <v>0</v>
      </c>
      <c r="CI9" s="358">
        <f>_xlfn.IFNA((VLOOKUP($A9,HN!$A:$BS,14,FALSE)/12),0)</f>
        <v>0</v>
      </c>
      <c r="CJ9" s="358">
        <f>(_xlfn.IFNA(VLOOKUP($A9,'Post 16'!$A:$AV,32,FALSE),0)/8)</f>
        <v>0</v>
      </c>
      <c r="CK9" s="358">
        <f>(VLOOKUP($A9,EY!A:CR,24,FALSE)*80%)+VLOOKUP($A9,EY!A:CC,72,FALSE)</f>
        <v>0</v>
      </c>
      <c r="CL9" s="358">
        <f>_xlfn.IFNA((VLOOKUP($A9,HN!$A:$K,9,FALSE)/12),0)+_xlfn.IFNA((VLOOKUP($A9,HN!$A:$K,10,FALSE)/12),0)</f>
        <v>0</v>
      </c>
      <c r="CM9" s="358">
        <f>_xlfn.IFNA((VLOOKUP($A9,HN!$A:$BS,15,FALSE)/12),0)</f>
        <v>0</v>
      </c>
      <c r="CN9" s="357">
        <f t="shared" ref="CN9:CN70" si="23">$I9/12</f>
        <v>-910.62666666666655</v>
      </c>
      <c r="CO9" s="357">
        <f t="shared" ref="CO9:CO70" si="24">$J9/12</f>
        <v>-3930.81</v>
      </c>
      <c r="CP9" s="358">
        <f>_xlfn.IFNA(VLOOKUP(A9,'LA Deductions'!A:W,23,FALSE),0)</f>
        <v>-11313</v>
      </c>
      <c r="CQ9" s="358">
        <f>_xlfn.IFNA(VLOOKUP($A9,'Cash Advances'!$A:$S,13,FALSE),0)</f>
        <v>0</v>
      </c>
      <c r="CR9" s="358">
        <f>_xlfn.IFNA(VLOOKUP(A9,'LA Deductions'!A:AZ,25,FALSE),0)/9*3</f>
        <v>0</v>
      </c>
      <c r="CS9" s="357">
        <f t="shared" ref="CS9:CS72" si="25">SUM(CE9:CR9)</f>
        <v>203426.91940063285</v>
      </c>
      <c r="CT9" s="337">
        <f t="shared" ref="CT9:CT70" si="26">$H9/12</f>
        <v>219581.35606729952</v>
      </c>
      <c r="CU9" s="337"/>
      <c r="CV9" s="338">
        <f>_xlfn.IFNA(VLOOKUP(A9,'LA Deductions'!$A$6:$AN$207,34,FALSE),0)</f>
        <v>0</v>
      </c>
      <c r="CW9" s="338">
        <f>_xlfn.IFNA((VLOOKUP($A9,HN!$A:$K,8,FALSE)/12),0)</f>
        <v>0</v>
      </c>
      <c r="CX9" s="338">
        <f>_xlfn.IFNA((VLOOKUP($A9,HN!$A:$BS,14,FALSE)/12),0)</f>
        <v>0</v>
      </c>
      <c r="CY9" s="338">
        <f>_xlfn.IFNA(VLOOKUP($A9,'Post 16'!$A:$AV,32,FALSE),0)/8</f>
        <v>0</v>
      </c>
      <c r="CZ9" s="338"/>
      <c r="DA9" s="338">
        <f>_xlfn.IFNA((VLOOKUP($A9,HN!$A:$K,9,FALSE)/12),0)+_xlfn.IFNA((VLOOKUP($A9,HN!$A:$K,10,FALSE)/12),0)</f>
        <v>0</v>
      </c>
      <c r="DB9" s="338">
        <f>_xlfn.IFNA((VLOOKUP($A9,HN!$A:$BS,15,FALSE)/12),0)</f>
        <v>0</v>
      </c>
      <c r="DC9" s="337">
        <f t="shared" ref="DC9:DC70" si="27">$I9/12</f>
        <v>-910.62666666666655</v>
      </c>
      <c r="DD9" s="337">
        <f t="shared" ref="DD9:DD70" si="28">$J9/12</f>
        <v>-3930.81</v>
      </c>
      <c r="DE9" s="338"/>
      <c r="DF9" s="338">
        <f>_xlfn.IFNA(VLOOKUP($A9,'Cash Advances'!$A:$S,14,FALSE),0)</f>
        <v>0</v>
      </c>
      <c r="DG9" s="338">
        <f>(_xlfn.IFNA(VLOOKUP(A9,'LA Deductions'!A:AZ,25,FALSE),0)/9)+(_xlfn.IFNA(VLOOKUP(A9,'LA Deductions'!A:AZ,26,FALSE),0))</f>
        <v>0</v>
      </c>
      <c r="DH9" s="337">
        <f t="shared" ref="DH9:DH72" si="29">SUM(CT9:DG9)</f>
        <v>214739.91940063285</v>
      </c>
      <c r="DI9" s="330">
        <f t="shared" ref="DI9:DI70" si="30">$H9/12</f>
        <v>219581.35606729952</v>
      </c>
      <c r="DJ9" s="330"/>
      <c r="DK9" s="331"/>
      <c r="DL9" s="331">
        <f>_xlfn.IFNA((VLOOKUP($A9,HN!$A:$K,8,FALSE)/12),0)+_xlfn.IFNA((VLOOKUP($A9,HN!$A:$AF,32,FALSE)*8/12),0)</f>
        <v>0</v>
      </c>
      <c r="DM9" s="331">
        <f>_xlfn.IFNA((VLOOKUP($A9,HN!$A:$BS,14,FALSE)/12),0)+_xlfn.IFNA(VLOOKUP($A9,HN!$A:$BS,31,FALSE),0)</f>
        <v>0</v>
      </c>
      <c r="DN9" s="331">
        <f>_xlfn.IFNA(VLOOKUP($A9,'Post 16'!$A:$AV,32,FALSE),0)/8</f>
        <v>0</v>
      </c>
      <c r="DO9" s="331"/>
      <c r="DP9" s="331">
        <f>_xlfn.IFNA((VLOOKUP($A9,HN!$A:$K,9,FALSE)/12),0)+_xlfn.IFNA((VLOOKUP($A9,HN!$A:$K,10,FALSE)/12),0)+_xlfn.IFNA((VLOOKUP($A9,HN!$A:$BZ,33,FALSE)*8/12),0)</f>
        <v>0</v>
      </c>
      <c r="DQ9" s="331">
        <f>_xlfn.IFNA((VLOOKUP($A9,HN!$A:$BS,15,FALSE)/12),0)</f>
        <v>0</v>
      </c>
      <c r="DR9" s="330">
        <f t="shared" ref="DR9:DR70" si="31">$I9/12</f>
        <v>-910.62666666666655</v>
      </c>
      <c r="DS9" s="330">
        <f t="shared" ref="DS9:DS70" si="32">$J9/12</f>
        <v>-3930.81</v>
      </c>
      <c r="DT9" s="331"/>
      <c r="DU9" s="331"/>
      <c r="DV9" s="331">
        <f>(_xlfn.IFNA(VLOOKUP(A9,'LA Deductions'!A:AZ,25,FALSE),0)/9)+_xlfn.IFNA(VLOOKUP(A9,'LA Deductions'!A:AZ,27,FALSE),0)</f>
        <v>0</v>
      </c>
      <c r="DW9" s="330">
        <f t="shared" ref="DW9:DW72" si="33">SUM(DI9:DV9)</f>
        <v>214739.91940063285</v>
      </c>
      <c r="DX9" s="344">
        <f t="shared" ref="DX9:DX70" si="34">$H9/12</f>
        <v>219581.35606729952</v>
      </c>
      <c r="DY9" s="344"/>
      <c r="DZ9" s="345"/>
      <c r="EA9" s="345">
        <f>_xlfn.IFNA((VLOOKUP($A9,HN!$A:$K,8,FALSE)/12),0)+_xlfn.IFNA((VLOOKUP($A9,HN!$A:$AF,32,FALSE)*1/12),0)</f>
        <v>0</v>
      </c>
      <c r="EB9" s="345">
        <f>_xlfn.IFNA((VLOOKUP($A9,HN!$A:$BS,14,FALSE)/12),0)</f>
        <v>0</v>
      </c>
      <c r="EC9" s="345">
        <f>_xlfn.IFNA(VLOOKUP($A9,'Post 16'!$A:$AV,32,FALSE),0)/8</f>
        <v>0</v>
      </c>
      <c r="ED9" s="345"/>
      <c r="EE9" s="345">
        <f>_xlfn.IFNA((VLOOKUP($A9,HN!$A:$K,9,FALSE)/12),0)+_xlfn.IFNA((VLOOKUP($A9,HN!$A:$K,10,FALSE)/12),0)+_xlfn.IFNA((VLOOKUP($A9,HN!$A:$BZ,33,FALSE)/12),0)</f>
        <v>0</v>
      </c>
      <c r="EF9" s="345">
        <f>_xlfn.IFNA((VLOOKUP($A9,HN!$A:$BS,15,FALSE)/12),0)</f>
        <v>0</v>
      </c>
      <c r="EG9" s="344">
        <f t="shared" ref="EG9:EG70" si="35">$I9/12</f>
        <v>-910.62666666666655</v>
      </c>
      <c r="EH9" s="344">
        <f t="shared" ref="EH9:EH70" si="36">$J9/12</f>
        <v>-3930.81</v>
      </c>
      <c r="EI9" s="345"/>
      <c r="EJ9" s="345">
        <f>_xlfn.IFNA(VLOOKUP(A9,'Cash Advances'!A:P,16,FALSE),0)</f>
        <v>0</v>
      </c>
      <c r="EK9" s="345">
        <f>_xlfn.IFNA(VLOOKUP(A9,'LA Deductions'!A:AZ,25,FALSE),0)/9</f>
        <v>0</v>
      </c>
      <c r="EL9" s="344">
        <f t="shared" ref="EL9:EL72" si="37">SUM(DX9:EK9)</f>
        <v>214739.91940063285</v>
      </c>
      <c r="EM9" s="308">
        <f t="shared" ref="EM9:EM70" si="38">$H9/12</f>
        <v>219581.35606729952</v>
      </c>
      <c r="EN9" s="308">
        <f>((VLOOKUP($A9,EY!$A:$BS,35,FALSE)-(VLOOKUP($A9,EY!$A:$BS,33,FALSE)*80%))+VLOOKUP($A9,EY!$A:$BS,43,FALSE))+(VLOOKUP(A9,EY!A:DF,110,FALSE)-VLOOKUP(A9,EY!A:DD,108,FALSE))+(VLOOKUP(A9,EY!A:CE,83,FALSE)-VLOOKUP(A9,EY!A:CC,81,FALSE))</f>
        <v>0</v>
      </c>
      <c r="EO9" s="309"/>
      <c r="EP9" s="309">
        <f>_xlfn.IFNA((VLOOKUP($A9,HN!$A:$K,8,FALSE)/12),0)+_xlfn.IFNA((VLOOKUP($A9,HN!$A:$AF,32,FALSE)*1/12),0)</f>
        <v>0</v>
      </c>
      <c r="EQ9" s="309">
        <f>_xlfn.IFNA((VLOOKUP($A9,HN!$A:$BS,14,FALSE)/12),0)+_xlfn.IFNA((VLOOKUP($A9,HN!$A:$BS,34,FALSE)/3),0)</f>
        <v>0</v>
      </c>
      <c r="ER9" s="309">
        <f>_xlfn.IFNA(VLOOKUP($A9,'Post 16'!$A:$AV,32,FALSE),0)/8</f>
        <v>0</v>
      </c>
      <c r="ES9" s="309">
        <f>((VLOOKUP($A9,EY!A:EV,33,FALSE)*80%))+VLOOKUP(A9,EY!A:DD,108,FALSE)+VLOOKUP(A9,EY!A:CC,81,FALSE)</f>
        <v>0</v>
      </c>
      <c r="ET9" s="309">
        <f>_xlfn.IFNA((VLOOKUP($A9,HN!$A:$K,9,FALSE)/12),0)+_xlfn.IFNA((VLOOKUP($A9,HN!$A:$K,10,FALSE)/12),0)+_xlfn.IFNA((VLOOKUP($A9,HN!$A:$BZ,33,FALSE)/12),0)</f>
        <v>0</v>
      </c>
      <c r="EU9" s="309">
        <f>_xlfn.IFNA((VLOOKUP($A9,HN!$A:$BS,15,FALSE)/12),0)</f>
        <v>0</v>
      </c>
      <c r="EV9" s="308">
        <f t="shared" ref="EV9:EV70" si="39">$I9/12</f>
        <v>-910.62666666666655</v>
      </c>
      <c r="EW9" s="308">
        <f t="shared" ref="EW9:EW70" si="40">$J9/12</f>
        <v>-3930.81</v>
      </c>
      <c r="EX9" s="309"/>
      <c r="EY9" s="309">
        <f>_xlfn.IFNA(VLOOKUP($A9,'Cash Advances'!$A:$S,17,FALSE),0)</f>
        <v>0</v>
      </c>
      <c r="EZ9" s="309">
        <f>_xlfn.IFNA(VLOOKUP(A9,'LA Deductions'!A:AZ,25,FALSE),0)/9</f>
        <v>0</v>
      </c>
      <c r="FA9" s="308">
        <f t="shared" ref="FA9:FA72" si="41">SUM(EM9:EZ9)</f>
        <v>214739.91940063285</v>
      </c>
      <c r="FB9" s="315">
        <f t="shared" ref="FB9:FB70" si="42">$H9/12</f>
        <v>219581.35606729952</v>
      </c>
      <c r="FC9" s="315"/>
      <c r="FD9" s="316"/>
      <c r="FE9" s="316">
        <f>_xlfn.IFNA((VLOOKUP($A9,HN!$A:$K,8,FALSE)/12),0)+_xlfn.IFNA((VLOOKUP($A9,HN!$A:$AF,32,FALSE)*1/12),0)</f>
        <v>0</v>
      </c>
      <c r="FF9" s="316">
        <f>_xlfn.IFNA((VLOOKUP($A9,HN!$A:$BS,14,FALSE)/12),0)+_xlfn.IFNA((VLOOKUP($A9,HN!$A:$BS,34,FALSE)/3),0)</f>
        <v>0</v>
      </c>
      <c r="FG9" s="316">
        <f>_xlfn.IFNA(VLOOKUP($A9,'Post 16'!$A:$AV,32,FALSE),0)/8</f>
        <v>0</v>
      </c>
      <c r="FH9" s="316"/>
      <c r="FI9" s="316">
        <f>_xlfn.IFNA((VLOOKUP($A9,HN!$A:$K,9,FALSE)/12),0)+_xlfn.IFNA((VLOOKUP($A9,HN!$A:$K,10,FALSE)/12),0)+_xlfn.IFNA((VLOOKUP($A9,HN!$A:$BZ,33,FALSE)/12),0)+_xlfn.IFNA((VLOOKUP($A9,HN!$A:$BZ,35,FALSE)/2),0)</f>
        <v>0</v>
      </c>
      <c r="FJ9" s="316">
        <f>_xlfn.IFNA((VLOOKUP($A9,HN!$A:$BS,15,FALSE)/12),0)+_xlfn.IFNA((VLOOKUP($A9,HN!$A:$CZ,36,FALSE)/2),0)</f>
        <v>0</v>
      </c>
      <c r="FK9" s="315">
        <f t="shared" ref="FK9:FK70" si="43">$I9/12</f>
        <v>-910.62666666666655</v>
      </c>
      <c r="FL9" s="315">
        <f t="shared" ref="FL9:FL70" si="44">$J9/12</f>
        <v>-3930.81</v>
      </c>
      <c r="FM9" s="316"/>
      <c r="FN9" s="316">
        <f>_xlfn.IFNA(VLOOKUP($A9,'Cash Advances'!$A:$S,18,FALSE),0)</f>
        <v>0</v>
      </c>
      <c r="FO9" s="316">
        <f>_xlfn.IFNA(VLOOKUP(A9,'LA Deductions'!A:AZ,25,FALSE),0)/9</f>
        <v>0</v>
      </c>
      <c r="FP9" s="315">
        <f t="shared" ref="FP9:FP72" si="45">SUM(FB9:FO9)</f>
        <v>214739.91940063285</v>
      </c>
      <c r="FQ9" s="322">
        <f t="shared" ref="FQ9:FQ70" si="46">$H9/12</f>
        <v>219581.35606729952</v>
      </c>
      <c r="FR9" s="322"/>
      <c r="FS9" s="323"/>
      <c r="FT9" s="323">
        <f>_xlfn.IFNA((VLOOKUP($A9,HN!$A:$K,8,FALSE)/12),0)+_xlfn.IFNA((VLOOKUP($A9,HN!$A:$AF,32,FALSE)*1/12),0)</f>
        <v>0</v>
      </c>
      <c r="FU9" s="323">
        <f>_xlfn.IFNA((VLOOKUP($A9,HN!$A:$BS,14,FALSE)/12),0)+_xlfn.IFNA((VLOOKUP($A9,HN!$A:$BS,34,FALSE)/3),0)</f>
        <v>0</v>
      </c>
      <c r="FV9" s="323">
        <f>_xlfn.IFNA(VLOOKUP($A9,'Post 16'!$A:$AV,32,FALSE),0)/8</f>
        <v>0</v>
      </c>
      <c r="FW9" s="323"/>
      <c r="FX9" s="323">
        <f>_xlfn.IFNA((VLOOKUP($A9,HN!$A:$K,9,FALSE)/12),0)+_xlfn.IFNA((VLOOKUP($A9,HN!$A:$K,10,FALSE)/12),0)+_xlfn.IFNA((VLOOKUP($A9,HN!$A:$BZ,33,FALSE)/12),0)+_xlfn.IFNA((VLOOKUP($A9,HN!$A:$BZ,35,FALSE)/2),0)</f>
        <v>0</v>
      </c>
      <c r="FY9" s="323">
        <f>_xlfn.IFNA((VLOOKUP($A9,HN!$A:$BS,15,FALSE)/12),0)+_xlfn.IFNA((VLOOKUP($A9,HN!$A:$CZ,36,FALSE)/2),0)</f>
        <v>0</v>
      </c>
      <c r="FZ9" s="322">
        <f t="shared" ref="FZ9:FZ70" si="47">$I9/12</f>
        <v>-910.62666666666655</v>
      </c>
      <c r="GA9" s="322">
        <f t="shared" ref="GA9:GA70" si="48">$J9/12</f>
        <v>-3930.81</v>
      </c>
      <c r="GB9" s="323"/>
      <c r="GC9" s="323"/>
      <c r="GD9" s="323">
        <f>_xlfn.IFNA(VLOOKUP(A9,'LA Deductions'!A:AZ,25,FALSE),0)/9</f>
        <v>0</v>
      </c>
      <c r="GE9" s="322">
        <f t="shared" ref="GE9:GE72" si="49">SUM(FQ9:GD9)</f>
        <v>214739.91940063285</v>
      </c>
      <c r="GG9" s="146">
        <f t="shared" si="5"/>
        <v>2634976.2728075944</v>
      </c>
      <c r="GH9" s="146">
        <f t="shared" si="5"/>
        <v>0</v>
      </c>
      <c r="GI9" s="146">
        <f t="shared" si="5"/>
        <v>0</v>
      </c>
      <c r="GJ9" s="146">
        <f t="shared" si="5"/>
        <v>-10927.520000000002</v>
      </c>
      <c r="GK9" s="146">
        <f t="shared" si="5"/>
        <v>-47169.719999999994</v>
      </c>
      <c r="GL9" s="146">
        <f t="shared" si="5"/>
        <v>-11313</v>
      </c>
      <c r="GN9" s="146">
        <f t="shared" si="6"/>
        <v>2634976.2728075944</v>
      </c>
      <c r="GO9" s="146">
        <f t="shared" si="6"/>
        <v>0</v>
      </c>
      <c r="GP9" s="146">
        <f t="shared" si="6"/>
        <v>0</v>
      </c>
      <c r="GQ9" s="146">
        <f t="shared" si="6"/>
        <v>-10927.520000000002</v>
      </c>
      <c r="GR9" s="146">
        <f t="shared" si="6"/>
        <v>-47169.719999999994</v>
      </c>
      <c r="GS9" s="146">
        <f t="shared" si="6"/>
        <v>-11313</v>
      </c>
      <c r="GU9" s="146"/>
      <c r="GV9" s="57"/>
    </row>
    <row r="10" spans="1:205">
      <c r="A10" s="185">
        <v>5949</v>
      </c>
      <c r="B10" s="185">
        <v>131465</v>
      </c>
      <c r="C10" s="185" t="s">
        <v>33</v>
      </c>
      <c r="D10" s="2" t="s">
        <v>34</v>
      </c>
      <c r="E10" s="191" t="s">
        <v>32</v>
      </c>
      <c r="F10" s="191" t="s">
        <v>912</v>
      </c>
      <c r="H10" s="279">
        <f>_xlfn.IFNA(VLOOKUP($A10,ISB!$A$4:$BY$454,67,FALSE),0)</f>
        <v>3636303.2292505438</v>
      </c>
      <c r="I10" s="279">
        <f>_xlfn.IFNA(VLOOKUP($A10,ISB!$A$4:$BY$454,72,FALSE),0)</f>
        <v>-16456.48</v>
      </c>
      <c r="J10" s="279">
        <f>-_xlfn.IFNA(VLOOKUP($A10,ISB!$A$4:$BY$454,76,FALSE),0)</f>
        <v>-73840.41</v>
      </c>
      <c r="K10" s="279">
        <f>_xlfn.IFNA(VLOOKUP($A10,ISB!$A$4:$BY$454,77,FALSE),0)</f>
        <v>3546006.3392505436</v>
      </c>
      <c r="M10" s="301">
        <f t="shared" si="7"/>
        <v>303025.269104212</v>
      </c>
      <c r="N10" s="301">
        <f>VLOOKUP($A10,EY!$A:$H,8,FALSE)+(VLOOKUP($A10,EY!$A:$BS,17,FALSE)-S10)+VLOOKUP($A10,EY!$A:$BS,41,FALSE)</f>
        <v>0</v>
      </c>
      <c r="O10" s="302"/>
      <c r="P10" s="302">
        <f>_xlfn.IFNA((VLOOKUP($A10,HN!$A:$K,8,FALSE)/12),0)</f>
        <v>0</v>
      </c>
      <c r="Q10" s="302">
        <f>_xlfn.IFNA((VLOOKUP($A10,HN!$A:$BS,14,FALSE)/12),0)</f>
        <v>0</v>
      </c>
      <c r="R10" s="302">
        <f>_xlfn.IFNA(VLOOKUP($A10,'Post 16'!$A:$V,21,FALSE),0)/4</f>
        <v>0</v>
      </c>
      <c r="S10" s="302">
        <f>VLOOKUP($A10,EY!A:Q,15,FALSE)*80%</f>
        <v>0</v>
      </c>
      <c r="T10" s="302">
        <f>_xlfn.IFNA((VLOOKUP($A10,HN!$A:$K,9,FALSE)/12),0)+_xlfn.IFNA((VLOOKUP($A10,HN!$A:$K,10,FALSE)/12),0)</f>
        <v>0</v>
      </c>
      <c r="U10" s="302">
        <f>_xlfn.IFNA((VLOOKUP($A10,HN!$A:$BS,15,FALSE)/12),0)</f>
        <v>0</v>
      </c>
      <c r="V10" s="301">
        <f t="shared" si="8"/>
        <v>-1371.3733333333332</v>
      </c>
      <c r="W10" s="301">
        <f t="shared" si="9"/>
        <v>-6153.3675000000003</v>
      </c>
      <c r="X10" s="302"/>
      <c r="Y10" s="302">
        <f>_xlfn.IFNA(VLOOKUP($A10,'Cash Advances'!$A:$S,8,FALSE),0)</f>
        <v>0</v>
      </c>
      <c r="Z10" s="301">
        <f t="shared" si="0"/>
        <v>295500.52827087865</v>
      </c>
      <c r="AA10" s="315">
        <f t="shared" si="10"/>
        <v>303025.269104212</v>
      </c>
      <c r="AB10" s="315"/>
      <c r="AC10" s="316"/>
      <c r="AD10" s="316">
        <f>_xlfn.IFNA((VLOOKUP($A10,HN!$A:$K,8,FALSE)/12),0)</f>
        <v>0</v>
      </c>
      <c r="AE10" s="316">
        <f>_xlfn.IFNA((VLOOKUP($A10,HN!$A:$BS,14,FALSE)/12),0)</f>
        <v>0</v>
      </c>
      <c r="AF10" s="316">
        <f>_xlfn.IFNA(VLOOKUP($A10,'Post 16'!$A:$V,21,FALSE),0)/4</f>
        <v>0</v>
      </c>
      <c r="AG10" s="316"/>
      <c r="AH10" s="316">
        <f>_xlfn.IFNA((VLOOKUP($A10,HN!$A:$K,9,FALSE)/12),0)+_xlfn.IFNA((VLOOKUP($A10,HN!$A:$K,10,FALSE)/12),0)</f>
        <v>0</v>
      </c>
      <c r="AI10" s="316">
        <f>_xlfn.IFNA((VLOOKUP($A10,HN!$A:$BS,15,FALSE)/12),0)</f>
        <v>0</v>
      </c>
      <c r="AJ10" s="315">
        <f t="shared" si="11"/>
        <v>-1371.3733333333332</v>
      </c>
      <c r="AK10" s="315">
        <f t="shared" si="12"/>
        <v>-6153.3675000000003</v>
      </c>
      <c r="AL10" s="316"/>
      <c r="AM10" s="316">
        <f>_xlfn.IFNA(VLOOKUP($A10,'Cash Advances'!$A:$S,9,FALSE),0)</f>
        <v>0</v>
      </c>
      <c r="AN10" s="315">
        <f t="shared" si="1"/>
        <v>295500.52827087865</v>
      </c>
      <c r="AO10" s="308">
        <f t="shared" si="13"/>
        <v>303025.269104212</v>
      </c>
      <c r="AP10" s="308"/>
      <c r="AQ10" s="309"/>
      <c r="AR10" s="309">
        <f>_xlfn.IFNA((VLOOKUP($A10,HN!$A:$K,8,FALSE)/12),0)</f>
        <v>0</v>
      </c>
      <c r="AS10" s="309">
        <f>_xlfn.IFNA((VLOOKUP($A10,HN!$A:$BS,14,FALSE)/12),0)</f>
        <v>0</v>
      </c>
      <c r="AT10" s="309">
        <f>_xlfn.IFNA(VLOOKUP($A10,'Post 16'!$A:$V,21,FALSE),0)/4</f>
        <v>0</v>
      </c>
      <c r="AU10" s="309"/>
      <c r="AV10" s="309">
        <f>_xlfn.IFNA((VLOOKUP($A10,HN!$A:$K,9,FALSE)/12),0)+_xlfn.IFNA((VLOOKUP($A10,HN!$A:$K,10,FALSE)/12),0)+_xlfn.IFNA(VLOOKUP(A10,HN!A:V,19,FALSE),0)+_xlfn.IFNA(VLOOKUP(A10,HN!A:V,20,FALSE),0)+_xlfn.IFNA(VLOOKUP(A10,HN!A:V,21,FALSE),0)</f>
        <v>0</v>
      </c>
      <c r="AW10" s="309">
        <f>_xlfn.IFNA((VLOOKUP($A10,HN!$A:$BS,15,FALSE)/12),0)</f>
        <v>0</v>
      </c>
      <c r="AX10" s="308">
        <f t="shared" si="14"/>
        <v>-1371.3733333333332</v>
      </c>
      <c r="AY10" s="308">
        <f t="shared" si="15"/>
        <v>-6153.3675000000003</v>
      </c>
      <c r="AZ10" s="309"/>
      <c r="BA10" s="309">
        <f>_xlfn.IFNA(VLOOKUP($A10,'Cash Advances'!$A:$S,10,FALSE),0)</f>
        <v>0</v>
      </c>
      <c r="BB10" s="308">
        <f t="shared" si="2"/>
        <v>295500.52827087865</v>
      </c>
      <c r="BC10" s="330">
        <f t="shared" si="16"/>
        <v>303025.269104212</v>
      </c>
      <c r="BD10" s="330"/>
      <c r="BE10" s="331"/>
      <c r="BF10" s="331">
        <f>_xlfn.IFNA((VLOOKUP($A10,HN!$A:$K,8,FALSE)/12),0)</f>
        <v>0</v>
      </c>
      <c r="BG10" s="331">
        <f>_xlfn.IFNA((VLOOKUP($A10,HN!$A:$BS,14,FALSE)/12),0)</f>
        <v>0</v>
      </c>
      <c r="BH10" s="331">
        <f>_xlfn.IFNA(VLOOKUP($A10,'Post 16'!$A:$V,21,FALSE),0)/4</f>
        <v>0</v>
      </c>
      <c r="BI10" s="331"/>
      <c r="BJ10" s="331">
        <f>_xlfn.IFNA((VLOOKUP($A10,HN!$A:$K,9,FALSE)/12),0)+_xlfn.IFNA((VLOOKUP($A10,HN!$A:$K,10,FALSE)/12),0)</f>
        <v>0</v>
      </c>
      <c r="BK10" s="331">
        <f>_xlfn.IFNA((VLOOKUP($A10,HN!$A:$BS,15,FALSE)/12),0)</f>
        <v>0</v>
      </c>
      <c r="BL10" s="330">
        <f t="shared" si="17"/>
        <v>-1371.3733333333332</v>
      </c>
      <c r="BM10" s="330">
        <f t="shared" si="18"/>
        <v>-6153.3675000000003</v>
      </c>
      <c r="BN10" s="331"/>
      <c r="BO10" s="331">
        <f>_xlfn.IFNA(VLOOKUP(A10,'Cash Advances'!A:K,11,FALSE),0)</f>
        <v>0</v>
      </c>
      <c r="BP10" s="330">
        <f t="shared" si="3"/>
        <v>295500.52827087865</v>
      </c>
      <c r="BQ10" s="322">
        <f t="shared" si="19"/>
        <v>303025.269104212</v>
      </c>
      <c r="BR10" s="322"/>
      <c r="BS10" s="323"/>
      <c r="BT10" s="323">
        <f>_xlfn.IFNA((VLOOKUP($A10,HN!$A:$K,8,FALSE)/12),0)</f>
        <v>0</v>
      </c>
      <c r="BU10" s="323">
        <f>_xlfn.IFNA((VLOOKUP($A10,HN!$A:$BS,14,FALSE)/12),0)</f>
        <v>0</v>
      </c>
      <c r="BV10" s="323">
        <f>(_xlfn.IFNA(VLOOKUP($A10,'Post 16'!$A:$AV,32,FALSE),0)/8)+_xlfn.IFNA(VLOOKUP($A10,'Post 16'!$A:$AR,40,FALSE),0)</f>
        <v>0</v>
      </c>
      <c r="BW10" s="323"/>
      <c r="BX10" s="323">
        <f>_xlfn.IFNA((VLOOKUP($A10,HN!$A:$K,9,FALSE)/12),0)+_xlfn.IFNA((VLOOKUP($A10,HN!$A:$K,10,FALSE)/12),0)</f>
        <v>0</v>
      </c>
      <c r="BY10" s="323">
        <f>_xlfn.IFNA((VLOOKUP($A10,HN!$A:$BS,15,FALSE)/12),0)</f>
        <v>0</v>
      </c>
      <c r="BZ10" s="322">
        <f t="shared" si="20"/>
        <v>-1371.3733333333332</v>
      </c>
      <c r="CA10" s="322">
        <f t="shared" si="21"/>
        <v>-6153.3675000000003</v>
      </c>
      <c r="CB10" s="323"/>
      <c r="CC10" s="323"/>
      <c r="CD10" s="322">
        <f t="shared" si="4"/>
        <v>295500.52827087865</v>
      </c>
      <c r="CE10" s="357">
        <f t="shared" si="22"/>
        <v>303025.269104212</v>
      </c>
      <c r="CF10" s="357">
        <f>(VLOOKUP($A10,EY!$A:$BS,26,FALSE)-(VLOOKUP($A10,EY!A:CR,24,FALSE)*80%))+VLOOKUP($A10,EY!$A:$BS,42,FALSE)+(VLOOKUP($A10,EY!A:CC,74,FALSE)-VLOOKUP($A10,EY!A:CC,72,FALSE))</f>
        <v>0</v>
      </c>
      <c r="CG10" s="358"/>
      <c r="CH10" s="358">
        <f>_xlfn.IFNA((VLOOKUP($A10,HN!$A:$K,8,FALSE)/12),0)</f>
        <v>0</v>
      </c>
      <c r="CI10" s="358">
        <f>_xlfn.IFNA((VLOOKUP($A10,HN!$A:$BS,14,FALSE)/12),0)</f>
        <v>0</v>
      </c>
      <c r="CJ10" s="358">
        <f>(_xlfn.IFNA(VLOOKUP($A10,'Post 16'!$A:$AV,32,FALSE),0)/8)</f>
        <v>0</v>
      </c>
      <c r="CK10" s="358">
        <f>(VLOOKUP($A10,EY!A:CR,24,FALSE)*80%)+VLOOKUP($A10,EY!A:CC,72,FALSE)</f>
        <v>0</v>
      </c>
      <c r="CL10" s="358">
        <f>_xlfn.IFNA((VLOOKUP($A10,HN!$A:$K,9,FALSE)/12),0)+_xlfn.IFNA((VLOOKUP($A10,HN!$A:$K,10,FALSE)/12),0)</f>
        <v>0</v>
      </c>
      <c r="CM10" s="358">
        <f>_xlfn.IFNA((VLOOKUP($A10,HN!$A:$BS,15,FALSE)/12),0)</f>
        <v>0</v>
      </c>
      <c r="CN10" s="357">
        <f t="shared" si="23"/>
        <v>-1371.3733333333332</v>
      </c>
      <c r="CO10" s="357">
        <f t="shared" si="24"/>
        <v>-6153.3675000000003</v>
      </c>
      <c r="CP10" s="358">
        <f>_xlfn.IFNA(VLOOKUP(A10,'LA Deductions'!A:W,23,FALSE),0)</f>
        <v>-18745.650000000001</v>
      </c>
      <c r="CQ10" s="358">
        <f>_xlfn.IFNA(VLOOKUP($A10,'Cash Advances'!$A:$S,13,FALSE),0)</f>
        <v>0</v>
      </c>
      <c r="CR10" s="358">
        <f>_xlfn.IFNA(VLOOKUP(A10,'LA Deductions'!A:AZ,25,FALSE),0)/9*3</f>
        <v>0</v>
      </c>
      <c r="CS10" s="357">
        <f t="shared" si="25"/>
        <v>276754.87827087863</v>
      </c>
      <c r="CT10" s="337">
        <f t="shared" si="26"/>
        <v>303025.269104212</v>
      </c>
      <c r="CU10" s="337"/>
      <c r="CV10" s="338">
        <f>_xlfn.IFNA(VLOOKUP(A10,'LA Deductions'!$A$6:$AN$207,34,FALSE),0)</f>
        <v>0</v>
      </c>
      <c r="CW10" s="338">
        <f>_xlfn.IFNA((VLOOKUP($A10,HN!$A:$K,8,FALSE)/12),0)</f>
        <v>0</v>
      </c>
      <c r="CX10" s="338">
        <f>_xlfn.IFNA((VLOOKUP($A10,HN!$A:$BS,14,FALSE)/12),0)</f>
        <v>0</v>
      </c>
      <c r="CY10" s="338">
        <f>_xlfn.IFNA(VLOOKUP($A10,'Post 16'!$A:$AV,32,FALSE),0)/8</f>
        <v>0</v>
      </c>
      <c r="CZ10" s="338"/>
      <c r="DA10" s="338">
        <f>_xlfn.IFNA((VLOOKUP($A10,HN!$A:$K,9,FALSE)/12),0)+_xlfn.IFNA((VLOOKUP($A10,HN!$A:$K,10,FALSE)/12),0)</f>
        <v>0</v>
      </c>
      <c r="DB10" s="338">
        <f>_xlfn.IFNA((VLOOKUP($A10,HN!$A:$BS,15,FALSE)/12),0)</f>
        <v>0</v>
      </c>
      <c r="DC10" s="337">
        <f t="shared" si="27"/>
        <v>-1371.3733333333332</v>
      </c>
      <c r="DD10" s="337">
        <f t="shared" si="28"/>
        <v>-6153.3675000000003</v>
      </c>
      <c r="DE10" s="338"/>
      <c r="DF10" s="338">
        <f>_xlfn.IFNA(VLOOKUP($A10,'Cash Advances'!$A:$S,14,FALSE),0)</f>
        <v>0</v>
      </c>
      <c r="DG10" s="338">
        <f>(_xlfn.IFNA(VLOOKUP(A10,'LA Deductions'!A:AZ,25,FALSE),0)/9)+(_xlfn.IFNA(VLOOKUP(A10,'LA Deductions'!A:AZ,26,FALSE),0))</f>
        <v>0</v>
      </c>
      <c r="DH10" s="337">
        <f t="shared" si="29"/>
        <v>295500.52827087865</v>
      </c>
      <c r="DI10" s="330">
        <f t="shared" si="30"/>
        <v>303025.269104212</v>
      </c>
      <c r="DJ10" s="330"/>
      <c r="DK10" s="331"/>
      <c r="DL10" s="331">
        <f>_xlfn.IFNA((VLOOKUP($A10,HN!$A:$K,8,FALSE)/12),0)+_xlfn.IFNA((VLOOKUP($A10,HN!$A:$AF,32,FALSE)*8/12),0)</f>
        <v>0</v>
      </c>
      <c r="DM10" s="331">
        <f>_xlfn.IFNA((VLOOKUP($A10,HN!$A:$BS,14,FALSE)/12),0)+_xlfn.IFNA(VLOOKUP($A10,HN!$A:$BS,31,FALSE),0)</f>
        <v>0</v>
      </c>
      <c r="DN10" s="331">
        <f>_xlfn.IFNA(VLOOKUP($A10,'Post 16'!$A:$AV,32,FALSE),0)/8</f>
        <v>0</v>
      </c>
      <c r="DO10" s="331"/>
      <c r="DP10" s="331">
        <f>_xlfn.IFNA((VLOOKUP($A10,HN!$A:$K,9,FALSE)/12),0)+_xlfn.IFNA((VLOOKUP($A10,HN!$A:$K,10,FALSE)/12),0)+_xlfn.IFNA((VLOOKUP($A10,HN!$A:$BZ,33,FALSE)*8/12),0)</f>
        <v>0</v>
      </c>
      <c r="DQ10" s="331">
        <f>_xlfn.IFNA((VLOOKUP($A10,HN!$A:$BS,15,FALSE)/12),0)</f>
        <v>0</v>
      </c>
      <c r="DR10" s="330">
        <f t="shared" si="31"/>
        <v>-1371.3733333333332</v>
      </c>
      <c r="DS10" s="330">
        <f t="shared" si="32"/>
        <v>-6153.3675000000003</v>
      </c>
      <c r="DT10" s="331"/>
      <c r="DU10" s="331"/>
      <c r="DV10" s="331">
        <f>(_xlfn.IFNA(VLOOKUP(A10,'LA Deductions'!A:AZ,25,FALSE),0)/9)+_xlfn.IFNA(VLOOKUP(A10,'LA Deductions'!A:AZ,27,FALSE),0)</f>
        <v>0</v>
      </c>
      <c r="DW10" s="330">
        <f t="shared" si="33"/>
        <v>295500.52827087865</v>
      </c>
      <c r="DX10" s="344">
        <f t="shared" si="34"/>
        <v>303025.269104212</v>
      </c>
      <c r="DY10" s="344"/>
      <c r="DZ10" s="345"/>
      <c r="EA10" s="345">
        <f>_xlfn.IFNA((VLOOKUP($A10,HN!$A:$K,8,FALSE)/12),0)+_xlfn.IFNA((VLOOKUP($A10,HN!$A:$AF,32,FALSE)*1/12),0)</f>
        <v>0</v>
      </c>
      <c r="EB10" s="345">
        <f>_xlfn.IFNA((VLOOKUP($A10,HN!$A:$BS,14,FALSE)/12),0)</f>
        <v>0</v>
      </c>
      <c r="EC10" s="345">
        <f>_xlfn.IFNA(VLOOKUP($A10,'Post 16'!$A:$AV,32,FALSE),0)/8</f>
        <v>0</v>
      </c>
      <c r="ED10" s="345"/>
      <c r="EE10" s="345">
        <f>_xlfn.IFNA((VLOOKUP($A10,HN!$A:$K,9,FALSE)/12),0)+_xlfn.IFNA((VLOOKUP($A10,HN!$A:$K,10,FALSE)/12),0)+_xlfn.IFNA((VLOOKUP($A10,HN!$A:$BZ,33,FALSE)/12),0)</f>
        <v>0</v>
      </c>
      <c r="EF10" s="345">
        <f>_xlfn.IFNA((VLOOKUP($A10,HN!$A:$BS,15,FALSE)/12),0)</f>
        <v>0</v>
      </c>
      <c r="EG10" s="344">
        <f t="shared" si="35"/>
        <v>-1371.3733333333332</v>
      </c>
      <c r="EH10" s="344">
        <f t="shared" si="36"/>
        <v>-6153.3675000000003</v>
      </c>
      <c r="EI10" s="345"/>
      <c r="EJ10" s="345">
        <f>_xlfn.IFNA(VLOOKUP(A10,'Cash Advances'!A:P,16,FALSE),0)</f>
        <v>0</v>
      </c>
      <c r="EK10" s="345">
        <f>_xlfn.IFNA(VLOOKUP(A10,'LA Deductions'!A:AZ,25,FALSE),0)/9</f>
        <v>0</v>
      </c>
      <c r="EL10" s="344">
        <f t="shared" si="37"/>
        <v>295500.52827087865</v>
      </c>
      <c r="EM10" s="308">
        <f t="shared" si="38"/>
        <v>303025.269104212</v>
      </c>
      <c r="EN10" s="308">
        <f>((VLOOKUP($A10,EY!$A:$BS,35,FALSE)-(VLOOKUP($A10,EY!$A:$BS,33,FALSE)*80%))+VLOOKUP($A10,EY!$A:$BS,43,FALSE))+(VLOOKUP(A10,EY!A:DF,110,FALSE)-VLOOKUP(A10,EY!A:DD,108,FALSE))+(VLOOKUP(A10,EY!A:CE,83,FALSE)-VLOOKUP(A10,EY!A:CC,81,FALSE))</f>
        <v>0</v>
      </c>
      <c r="EO10" s="309"/>
      <c r="EP10" s="309">
        <f>_xlfn.IFNA((VLOOKUP($A10,HN!$A:$K,8,FALSE)/12),0)+_xlfn.IFNA((VLOOKUP($A10,HN!$A:$AF,32,FALSE)*1/12),0)</f>
        <v>0</v>
      </c>
      <c r="EQ10" s="309">
        <f>_xlfn.IFNA((VLOOKUP($A10,HN!$A:$BS,14,FALSE)/12),0)+_xlfn.IFNA((VLOOKUP($A10,HN!$A:$BS,34,FALSE)/3),0)</f>
        <v>0</v>
      </c>
      <c r="ER10" s="309">
        <f>_xlfn.IFNA(VLOOKUP($A10,'Post 16'!$A:$AV,32,FALSE),0)/8</f>
        <v>0</v>
      </c>
      <c r="ES10" s="309">
        <f>((VLOOKUP($A10,EY!A:EV,33,FALSE)*80%))+VLOOKUP(A10,EY!A:DD,108,FALSE)+VLOOKUP(A10,EY!A:CC,81,FALSE)</f>
        <v>0</v>
      </c>
      <c r="ET10" s="309">
        <f>_xlfn.IFNA((VLOOKUP($A10,HN!$A:$K,9,FALSE)/12),0)+_xlfn.IFNA((VLOOKUP($A10,HN!$A:$K,10,FALSE)/12),0)+_xlfn.IFNA((VLOOKUP($A10,HN!$A:$BZ,33,FALSE)/12),0)</f>
        <v>0</v>
      </c>
      <c r="EU10" s="309">
        <f>_xlfn.IFNA((VLOOKUP($A10,HN!$A:$BS,15,FALSE)/12),0)</f>
        <v>0</v>
      </c>
      <c r="EV10" s="308">
        <f t="shared" si="39"/>
        <v>-1371.3733333333332</v>
      </c>
      <c r="EW10" s="308">
        <f t="shared" si="40"/>
        <v>-6153.3675000000003</v>
      </c>
      <c r="EX10" s="309"/>
      <c r="EY10" s="309">
        <f>_xlfn.IFNA(VLOOKUP($A10,'Cash Advances'!$A:$S,17,FALSE),0)</f>
        <v>0</v>
      </c>
      <c r="EZ10" s="309">
        <f>_xlfn.IFNA(VLOOKUP(A10,'LA Deductions'!A:AZ,25,FALSE),0)/9</f>
        <v>0</v>
      </c>
      <c r="FA10" s="308">
        <f t="shared" si="41"/>
        <v>295500.52827087865</v>
      </c>
      <c r="FB10" s="315">
        <f t="shared" si="42"/>
        <v>303025.269104212</v>
      </c>
      <c r="FC10" s="315"/>
      <c r="FD10" s="316"/>
      <c r="FE10" s="316">
        <f>_xlfn.IFNA((VLOOKUP($A10,HN!$A:$K,8,FALSE)/12),0)+_xlfn.IFNA((VLOOKUP($A10,HN!$A:$AF,32,FALSE)*1/12),0)</f>
        <v>0</v>
      </c>
      <c r="FF10" s="316">
        <f>_xlfn.IFNA((VLOOKUP($A10,HN!$A:$BS,14,FALSE)/12),0)+_xlfn.IFNA((VLOOKUP($A10,HN!$A:$BS,34,FALSE)/3),0)</f>
        <v>0</v>
      </c>
      <c r="FG10" s="316">
        <f>_xlfn.IFNA(VLOOKUP($A10,'Post 16'!$A:$AV,32,FALSE),0)/8</f>
        <v>0</v>
      </c>
      <c r="FH10" s="316"/>
      <c r="FI10" s="316">
        <f>_xlfn.IFNA((VLOOKUP($A10,HN!$A:$K,9,FALSE)/12),0)+_xlfn.IFNA((VLOOKUP($A10,HN!$A:$K,10,FALSE)/12),0)+_xlfn.IFNA((VLOOKUP($A10,HN!$A:$BZ,33,FALSE)/12),0)+_xlfn.IFNA((VLOOKUP($A10,HN!$A:$BZ,35,FALSE)/2),0)</f>
        <v>0</v>
      </c>
      <c r="FJ10" s="316">
        <f>_xlfn.IFNA((VLOOKUP($A10,HN!$A:$BS,15,FALSE)/12),0)+_xlfn.IFNA((VLOOKUP($A10,HN!$A:$CZ,36,FALSE)/2),0)</f>
        <v>0</v>
      </c>
      <c r="FK10" s="315">
        <f t="shared" si="43"/>
        <v>-1371.3733333333332</v>
      </c>
      <c r="FL10" s="315">
        <f t="shared" si="44"/>
        <v>-6153.3675000000003</v>
      </c>
      <c r="FM10" s="316"/>
      <c r="FN10" s="316">
        <f>_xlfn.IFNA(VLOOKUP($A10,'Cash Advances'!$A:$S,18,FALSE),0)</f>
        <v>0</v>
      </c>
      <c r="FO10" s="316">
        <f>_xlfn.IFNA(VLOOKUP(A10,'LA Deductions'!A:AZ,25,FALSE),0)/9</f>
        <v>0</v>
      </c>
      <c r="FP10" s="315">
        <f t="shared" si="45"/>
        <v>295500.52827087865</v>
      </c>
      <c r="FQ10" s="322">
        <f t="shared" si="46"/>
        <v>303025.269104212</v>
      </c>
      <c r="FR10" s="322"/>
      <c r="FS10" s="323"/>
      <c r="FT10" s="323">
        <f>_xlfn.IFNA((VLOOKUP($A10,HN!$A:$K,8,FALSE)/12),0)+_xlfn.IFNA((VLOOKUP($A10,HN!$A:$AF,32,FALSE)*1/12),0)</f>
        <v>0</v>
      </c>
      <c r="FU10" s="323">
        <f>_xlfn.IFNA((VLOOKUP($A10,HN!$A:$BS,14,FALSE)/12),0)+_xlfn.IFNA((VLOOKUP($A10,HN!$A:$BS,34,FALSE)/3),0)</f>
        <v>0</v>
      </c>
      <c r="FV10" s="323">
        <f>_xlfn.IFNA(VLOOKUP($A10,'Post 16'!$A:$AV,32,FALSE),0)/8</f>
        <v>0</v>
      </c>
      <c r="FW10" s="323"/>
      <c r="FX10" s="323">
        <f>_xlfn.IFNA((VLOOKUP($A10,HN!$A:$K,9,FALSE)/12),0)+_xlfn.IFNA((VLOOKUP($A10,HN!$A:$K,10,FALSE)/12),0)+_xlfn.IFNA((VLOOKUP($A10,HN!$A:$BZ,33,FALSE)/12),0)+_xlfn.IFNA((VLOOKUP($A10,HN!$A:$BZ,35,FALSE)/2),0)</f>
        <v>0</v>
      </c>
      <c r="FY10" s="323">
        <f>_xlfn.IFNA((VLOOKUP($A10,HN!$A:$BS,15,FALSE)/12),0)+_xlfn.IFNA((VLOOKUP($A10,HN!$A:$CZ,36,FALSE)/2),0)</f>
        <v>0</v>
      </c>
      <c r="FZ10" s="322">
        <f t="shared" si="47"/>
        <v>-1371.3733333333332</v>
      </c>
      <c r="GA10" s="322">
        <f t="shared" si="48"/>
        <v>-6153.3675000000003</v>
      </c>
      <c r="GB10" s="323"/>
      <c r="GC10" s="323"/>
      <c r="GD10" s="323">
        <f>_xlfn.IFNA(VLOOKUP(A10,'LA Deductions'!A:AZ,25,FALSE),0)/9</f>
        <v>0</v>
      </c>
      <c r="GE10" s="322">
        <f t="shared" si="49"/>
        <v>295500.52827087865</v>
      </c>
      <c r="GG10" s="146">
        <f t="shared" si="5"/>
        <v>3636303.2292505442</v>
      </c>
      <c r="GH10" s="146">
        <f t="shared" si="5"/>
        <v>0</v>
      </c>
      <c r="GI10" s="146">
        <f t="shared" si="5"/>
        <v>0</v>
      </c>
      <c r="GJ10" s="146">
        <f t="shared" si="5"/>
        <v>-16456.48</v>
      </c>
      <c r="GK10" s="146">
        <f t="shared" si="5"/>
        <v>-73840.41</v>
      </c>
      <c r="GL10" s="146">
        <f t="shared" si="5"/>
        <v>-18745.650000000001</v>
      </c>
      <c r="GN10" s="146">
        <f t="shared" si="6"/>
        <v>3636303.2292505442</v>
      </c>
      <c r="GO10" s="146">
        <f t="shared" si="6"/>
        <v>0</v>
      </c>
      <c r="GP10" s="146">
        <f t="shared" si="6"/>
        <v>0</v>
      </c>
      <c r="GQ10" s="146">
        <f t="shared" si="6"/>
        <v>-16456.48</v>
      </c>
      <c r="GR10" s="146">
        <f t="shared" si="6"/>
        <v>-73840.41</v>
      </c>
      <c r="GS10" s="146">
        <f t="shared" si="6"/>
        <v>-18745.650000000001</v>
      </c>
      <c r="GU10" s="146"/>
      <c r="GV10" s="57"/>
    </row>
    <row r="11" spans="1:205">
      <c r="A11" s="185">
        <v>1017</v>
      </c>
      <c r="B11" s="185">
        <v>103130</v>
      </c>
      <c r="C11" s="185" t="s">
        <v>35</v>
      </c>
      <c r="D11" s="2" t="s">
        <v>36</v>
      </c>
      <c r="E11" s="191" t="s">
        <v>29</v>
      </c>
      <c r="F11" s="191" t="s">
        <v>912</v>
      </c>
      <c r="H11" s="279">
        <f>_xlfn.IFNA(VLOOKUP($A11,ISB!$A$4:$BY$454,67,FALSE),0)</f>
        <v>0</v>
      </c>
      <c r="I11" s="279">
        <f>_xlfn.IFNA(VLOOKUP($A11,ISB!$A$4:$BY$454,72,FALSE),0)</f>
        <v>0</v>
      </c>
      <c r="J11" s="279">
        <f>-_xlfn.IFNA(VLOOKUP($A11,ISB!$A$4:$BY$454,76,FALSE),0)</f>
        <v>0</v>
      </c>
      <c r="K11" s="279">
        <f>_xlfn.IFNA(VLOOKUP($A11,ISB!$A$4:$BY$454,77,FALSE),0)</f>
        <v>0</v>
      </c>
      <c r="M11" s="301">
        <f t="shared" si="7"/>
        <v>0</v>
      </c>
      <c r="N11" s="301">
        <f>VLOOKUP($A11,EY!$A:$H,8,FALSE)+(VLOOKUP($A11,EY!$A:$BS,17,FALSE)-S11)+VLOOKUP($A11,EY!$A:$BS,41,FALSE)</f>
        <v>545990.37598571938</v>
      </c>
      <c r="O11" s="302"/>
      <c r="P11" s="302">
        <f>_xlfn.IFNA((VLOOKUP($A11,HN!$A:$K,8,FALSE)/12),0)</f>
        <v>0</v>
      </c>
      <c r="Q11" s="302">
        <f>_xlfn.IFNA((VLOOKUP($A11,HN!$A:$BS,14,FALSE)/12),0)</f>
        <v>4000</v>
      </c>
      <c r="R11" s="302">
        <f>_xlfn.IFNA(VLOOKUP($A11,'Post 16'!$A:$V,21,FALSE),0)/4</f>
        <v>0</v>
      </c>
      <c r="S11" s="302">
        <f>VLOOKUP($A11,EY!A:Q,15,FALSE)*80%</f>
        <v>1283.578947368421</v>
      </c>
      <c r="T11" s="302">
        <f>_xlfn.IFNA((VLOOKUP($A11,HN!$A:$K,9,FALSE)/12),0)+_xlfn.IFNA((VLOOKUP($A11,HN!$A:$K,10,FALSE)/12),0)</f>
        <v>0</v>
      </c>
      <c r="U11" s="302">
        <f>_xlfn.IFNA((VLOOKUP($A11,HN!$A:$BS,15,FALSE)/12),0)</f>
        <v>2310.6666666666665</v>
      </c>
      <c r="V11" s="301">
        <f t="shared" si="8"/>
        <v>0</v>
      </c>
      <c r="W11" s="301">
        <f t="shared" si="9"/>
        <v>0</v>
      </c>
      <c r="X11" s="302"/>
      <c r="Y11" s="302">
        <f>_xlfn.IFNA(VLOOKUP($A11,'Cash Advances'!$A:$S,8,FALSE),0)</f>
        <v>0</v>
      </c>
      <c r="Z11" s="301">
        <f t="shared" si="0"/>
        <v>553584.62159975444</v>
      </c>
      <c r="AA11" s="315">
        <f t="shared" si="10"/>
        <v>0</v>
      </c>
      <c r="AB11" s="315"/>
      <c r="AC11" s="316"/>
      <c r="AD11" s="316">
        <f>_xlfn.IFNA((VLOOKUP($A11,HN!$A:$K,8,FALSE)/12),0)</f>
        <v>0</v>
      </c>
      <c r="AE11" s="316">
        <f>_xlfn.IFNA((VLOOKUP($A11,HN!$A:$BS,14,FALSE)/12),0)</f>
        <v>4000</v>
      </c>
      <c r="AF11" s="316">
        <f>_xlfn.IFNA(VLOOKUP($A11,'Post 16'!$A:$V,21,FALSE),0)/4</f>
        <v>0</v>
      </c>
      <c r="AG11" s="316"/>
      <c r="AH11" s="316">
        <f>_xlfn.IFNA((VLOOKUP($A11,HN!$A:$K,9,FALSE)/12),0)+_xlfn.IFNA((VLOOKUP($A11,HN!$A:$K,10,FALSE)/12),0)</f>
        <v>0</v>
      </c>
      <c r="AI11" s="316">
        <f>_xlfn.IFNA((VLOOKUP($A11,HN!$A:$BS,15,FALSE)/12),0)</f>
        <v>2310.6666666666665</v>
      </c>
      <c r="AJ11" s="315">
        <f t="shared" si="11"/>
        <v>0</v>
      </c>
      <c r="AK11" s="315">
        <f t="shared" si="12"/>
        <v>0</v>
      </c>
      <c r="AL11" s="316"/>
      <c r="AM11" s="316">
        <f>_xlfn.IFNA(VLOOKUP($A11,'Cash Advances'!$A:$S,9,FALSE),0)</f>
        <v>0</v>
      </c>
      <c r="AN11" s="315">
        <f t="shared" si="1"/>
        <v>6310.6666666666661</v>
      </c>
      <c r="AO11" s="308">
        <f t="shared" si="13"/>
        <v>0</v>
      </c>
      <c r="AP11" s="308"/>
      <c r="AQ11" s="309"/>
      <c r="AR11" s="309">
        <f>_xlfn.IFNA((VLOOKUP($A11,HN!$A:$K,8,FALSE)/12),0)</f>
        <v>0</v>
      </c>
      <c r="AS11" s="309">
        <f>_xlfn.IFNA((VLOOKUP($A11,HN!$A:$BS,14,FALSE)/12),0)</f>
        <v>4000</v>
      </c>
      <c r="AT11" s="309">
        <f>_xlfn.IFNA(VLOOKUP($A11,'Post 16'!$A:$V,21,FALSE),0)/4</f>
        <v>0</v>
      </c>
      <c r="AU11" s="309"/>
      <c r="AV11" s="309">
        <f>_xlfn.IFNA((VLOOKUP($A11,HN!$A:$K,9,FALSE)/12),0)+_xlfn.IFNA((VLOOKUP($A11,HN!$A:$K,10,FALSE)/12),0)+_xlfn.IFNA(VLOOKUP(A11,HN!A:V,19,FALSE),0)+_xlfn.IFNA(VLOOKUP(A11,HN!A:V,20,FALSE),0)+_xlfn.IFNA(VLOOKUP(A11,HN!A:V,21,FALSE),0)</f>
        <v>0</v>
      </c>
      <c r="AW11" s="309">
        <f>_xlfn.IFNA((VLOOKUP($A11,HN!$A:$BS,15,FALSE)/12),0)</f>
        <v>2310.6666666666665</v>
      </c>
      <c r="AX11" s="308">
        <f t="shared" si="14"/>
        <v>0</v>
      </c>
      <c r="AY11" s="308">
        <f t="shared" si="15"/>
        <v>0</v>
      </c>
      <c r="AZ11" s="309"/>
      <c r="BA11" s="309">
        <f>_xlfn.IFNA(VLOOKUP($A11,'Cash Advances'!$A:$S,10,FALSE),0)</f>
        <v>0</v>
      </c>
      <c r="BB11" s="308">
        <f t="shared" si="2"/>
        <v>6310.6666666666661</v>
      </c>
      <c r="BC11" s="330">
        <f t="shared" si="16"/>
        <v>0</v>
      </c>
      <c r="BD11" s="330"/>
      <c r="BE11" s="331"/>
      <c r="BF11" s="331">
        <f>_xlfn.IFNA((VLOOKUP($A11,HN!$A:$K,8,FALSE)/12),0)</f>
        <v>0</v>
      </c>
      <c r="BG11" s="331">
        <f>_xlfn.IFNA((VLOOKUP($A11,HN!$A:$BS,14,FALSE)/12),0)</f>
        <v>4000</v>
      </c>
      <c r="BH11" s="331">
        <f>_xlfn.IFNA(VLOOKUP($A11,'Post 16'!$A:$V,21,FALSE),0)/4</f>
        <v>0</v>
      </c>
      <c r="BI11" s="331"/>
      <c r="BJ11" s="331">
        <f>_xlfn.IFNA((VLOOKUP($A11,HN!$A:$K,9,FALSE)/12),0)+_xlfn.IFNA((VLOOKUP($A11,HN!$A:$K,10,FALSE)/12),0)</f>
        <v>0</v>
      </c>
      <c r="BK11" s="331">
        <f>_xlfn.IFNA((VLOOKUP($A11,HN!$A:$BS,15,FALSE)/12),0)</f>
        <v>2310.6666666666665</v>
      </c>
      <c r="BL11" s="330">
        <f t="shared" si="17"/>
        <v>0</v>
      </c>
      <c r="BM11" s="330">
        <f t="shared" si="18"/>
        <v>0</v>
      </c>
      <c r="BN11" s="331"/>
      <c r="BO11" s="331">
        <f>_xlfn.IFNA(VLOOKUP(A11,'Cash Advances'!A:K,11,FALSE),0)</f>
        <v>0</v>
      </c>
      <c r="BP11" s="330">
        <f t="shared" si="3"/>
        <v>6310.6666666666661</v>
      </c>
      <c r="BQ11" s="322">
        <f t="shared" si="19"/>
        <v>0</v>
      </c>
      <c r="BR11" s="322"/>
      <c r="BS11" s="323"/>
      <c r="BT11" s="323">
        <f>_xlfn.IFNA((VLOOKUP($A11,HN!$A:$K,8,FALSE)/12),0)</f>
        <v>0</v>
      </c>
      <c r="BU11" s="323">
        <f>_xlfn.IFNA((VLOOKUP($A11,HN!$A:$BS,14,FALSE)/12),0)</f>
        <v>4000</v>
      </c>
      <c r="BV11" s="323">
        <f>(_xlfn.IFNA(VLOOKUP($A11,'Post 16'!$A:$AV,32,FALSE),0)/8)+_xlfn.IFNA(VLOOKUP($A11,'Post 16'!$A:$AR,40,FALSE),0)</f>
        <v>0</v>
      </c>
      <c r="BW11" s="323"/>
      <c r="BX11" s="323">
        <f>_xlfn.IFNA((VLOOKUP($A11,HN!$A:$K,9,FALSE)/12),0)+_xlfn.IFNA((VLOOKUP($A11,HN!$A:$K,10,FALSE)/12),0)</f>
        <v>0</v>
      </c>
      <c r="BY11" s="323">
        <f>_xlfn.IFNA((VLOOKUP($A11,HN!$A:$BS,15,FALSE)/12),0)</f>
        <v>2310.6666666666665</v>
      </c>
      <c r="BZ11" s="322">
        <f t="shared" si="20"/>
        <v>0</v>
      </c>
      <c r="CA11" s="322">
        <f t="shared" si="21"/>
        <v>0</v>
      </c>
      <c r="CB11" s="323"/>
      <c r="CC11" s="323"/>
      <c r="CD11" s="322">
        <f t="shared" si="4"/>
        <v>6310.6666666666661</v>
      </c>
      <c r="CE11" s="357">
        <f t="shared" si="22"/>
        <v>0</v>
      </c>
      <c r="CF11" s="357">
        <f>(VLOOKUP($A11,EY!$A:$BS,26,FALSE)-(VLOOKUP($A11,EY!A:CR,24,FALSE)*80%))+VLOOKUP($A11,EY!$A:$BS,42,FALSE)+(VLOOKUP($A11,EY!A:CC,74,FALSE)-VLOOKUP($A11,EY!A:CC,72,FALSE))</f>
        <v>226127.43358756221</v>
      </c>
      <c r="CG11" s="358"/>
      <c r="CH11" s="358">
        <f>_xlfn.IFNA((VLOOKUP($A11,HN!$A:$K,8,FALSE)/12),0)</f>
        <v>0</v>
      </c>
      <c r="CI11" s="358">
        <f>_xlfn.IFNA((VLOOKUP($A11,HN!$A:$BS,14,FALSE)/12),0)</f>
        <v>4000</v>
      </c>
      <c r="CJ11" s="358">
        <f>(_xlfn.IFNA(VLOOKUP($A11,'Post 16'!$A:$AV,32,FALSE),0)/8)</f>
        <v>0</v>
      </c>
      <c r="CK11" s="358">
        <f>(VLOOKUP($A11,EY!A:CR,24,FALSE)*80%)+VLOOKUP($A11,EY!A:CC,72,FALSE)</f>
        <v>5390.9747368421049</v>
      </c>
      <c r="CL11" s="358">
        <f>_xlfn.IFNA((VLOOKUP($A11,HN!$A:$K,9,FALSE)/12),0)+_xlfn.IFNA((VLOOKUP($A11,HN!$A:$K,10,FALSE)/12),0)</f>
        <v>0</v>
      </c>
      <c r="CM11" s="358">
        <f>_xlfn.IFNA((VLOOKUP($A11,HN!$A:$BS,15,FALSE)/12),0)</f>
        <v>2310.6666666666665</v>
      </c>
      <c r="CN11" s="357">
        <f t="shared" si="23"/>
        <v>0</v>
      </c>
      <c r="CO11" s="357">
        <f t="shared" si="24"/>
        <v>0</v>
      </c>
      <c r="CP11" s="358">
        <f>_xlfn.IFNA(VLOOKUP(A11,'LA Deductions'!A:W,23,FALSE),0)</f>
        <v>-3291.75</v>
      </c>
      <c r="CQ11" s="358">
        <f>_xlfn.IFNA(VLOOKUP($A11,'Cash Advances'!$A:$S,13,FALSE),0)</f>
        <v>0</v>
      </c>
      <c r="CR11" s="358">
        <f>_xlfn.IFNA(VLOOKUP(A11,'LA Deductions'!A:AZ,25,FALSE),0)/9*3</f>
        <v>0</v>
      </c>
      <c r="CS11" s="357">
        <f t="shared" si="25"/>
        <v>234537.32499107096</v>
      </c>
      <c r="CT11" s="337">
        <f t="shared" si="26"/>
        <v>0</v>
      </c>
      <c r="CU11" s="337"/>
      <c r="CV11" s="338">
        <f>_xlfn.IFNA(VLOOKUP(A11,'LA Deductions'!$A$6:$AN$207,34,FALSE),0)</f>
        <v>0</v>
      </c>
      <c r="CW11" s="338">
        <f>_xlfn.IFNA((VLOOKUP($A11,HN!$A:$K,8,FALSE)/12),0)</f>
        <v>0</v>
      </c>
      <c r="CX11" s="338">
        <f>_xlfn.IFNA((VLOOKUP($A11,HN!$A:$BS,14,FALSE)/12),0)</f>
        <v>4000</v>
      </c>
      <c r="CY11" s="338">
        <f>_xlfn.IFNA(VLOOKUP($A11,'Post 16'!$A:$AV,32,FALSE),0)/8</f>
        <v>0</v>
      </c>
      <c r="CZ11" s="338"/>
      <c r="DA11" s="338">
        <f>_xlfn.IFNA((VLOOKUP($A11,HN!$A:$K,9,FALSE)/12),0)+_xlfn.IFNA((VLOOKUP($A11,HN!$A:$K,10,FALSE)/12),0)</f>
        <v>0</v>
      </c>
      <c r="DB11" s="338">
        <f>_xlfn.IFNA((VLOOKUP($A11,HN!$A:$BS,15,FALSE)/12),0)</f>
        <v>2310.6666666666665</v>
      </c>
      <c r="DC11" s="337">
        <f t="shared" si="27"/>
        <v>0</v>
      </c>
      <c r="DD11" s="337">
        <f t="shared" si="28"/>
        <v>0</v>
      </c>
      <c r="DE11" s="338"/>
      <c r="DF11" s="338">
        <f>_xlfn.IFNA(VLOOKUP($A11,'Cash Advances'!$A:$S,14,FALSE),0)</f>
        <v>0</v>
      </c>
      <c r="DG11" s="338">
        <f>(_xlfn.IFNA(VLOOKUP(A11,'LA Deductions'!A:AZ,25,FALSE),0)/9)+(_xlfn.IFNA(VLOOKUP(A11,'LA Deductions'!A:AZ,26,FALSE),0))</f>
        <v>0</v>
      </c>
      <c r="DH11" s="337">
        <f t="shared" si="29"/>
        <v>6310.6666666666661</v>
      </c>
      <c r="DI11" s="330">
        <f t="shared" si="30"/>
        <v>0</v>
      </c>
      <c r="DJ11" s="330"/>
      <c r="DK11" s="331"/>
      <c r="DL11" s="331">
        <f>_xlfn.IFNA((VLOOKUP($A11,HN!$A:$K,8,FALSE)/12),0)+_xlfn.IFNA((VLOOKUP($A11,HN!$A:$AF,32,FALSE)*8/12),0)</f>
        <v>0</v>
      </c>
      <c r="DM11" s="331">
        <f>_xlfn.IFNA((VLOOKUP($A11,HN!$A:$BS,14,FALSE)/12),0)+_xlfn.IFNA(VLOOKUP($A11,HN!$A:$BS,31,FALSE),0)</f>
        <v>4000</v>
      </c>
      <c r="DN11" s="331">
        <f>_xlfn.IFNA(VLOOKUP($A11,'Post 16'!$A:$AV,32,FALSE),0)/8</f>
        <v>0</v>
      </c>
      <c r="DO11" s="331"/>
      <c r="DP11" s="331">
        <f>_xlfn.IFNA((VLOOKUP($A11,HN!$A:$K,9,FALSE)/12),0)+_xlfn.IFNA((VLOOKUP($A11,HN!$A:$K,10,FALSE)/12),0)+_xlfn.IFNA((VLOOKUP($A11,HN!$A:$BZ,33,FALSE)*8/12),0)</f>
        <v>0</v>
      </c>
      <c r="DQ11" s="331">
        <f>_xlfn.IFNA((VLOOKUP($A11,HN!$A:$BS,15,FALSE)/12),0)</f>
        <v>2310.6666666666665</v>
      </c>
      <c r="DR11" s="330">
        <f t="shared" si="31"/>
        <v>0</v>
      </c>
      <c r="DS11" s="330">
        <f t="shared" si="32"/>
        <v>0</v>
      </c>
      <c r="DT11" s="331"/>
      <c r="DU11" s="331"/>
      <c r="DV11" s="331">
        <f>(_xlfn.IFNA(VLOOKUP(A11,'LA Deductions'!A:AZ,25,FALSE),0)/9)+_xlfn.IFNA(VLOOKUP(A11,'LA Deductions'!A:AZ,27,FALSE),0)</f>
        <v>0</v>
      </c>
      <c r="DW11" s="330">
        <f t="shared" si="33"/>
        <v>6310.6666666666661</v>
      </c>
      <c r="DX11" s="344">
        <f t="shared" si="34"/>
        <v>0</v>
      </c>
      <c r="DY11" s="344"/>
      <c r="DZ11" s="345"/>
      <c r="EA11" s="345">
        <f>_xlfn.IFNA((VLOOKUP($A11,HN!$A:$K,8,FALSE)/12),0)+_xlfn.IFNA((VLOOKUP($A11,HN!$A:$AF,32,FALSE)*1/12),0)</f>
        <v>0</v>
      </c>
      <c r="EB11" s="345">
        <f>_xlfn.IFNA((VLOOKUP($A11,HN!$A:$BS,14,FALSE)/12),0)</f>
        <v>4000</v>
      </c>
      <c r="EC11" s="345">
        <f>_xlfn.IFNA(VLOOKUP($A11,'Post 16'!$A:$AV,32,FALSE),0)/8</f>
        <v>0</v>
      </c>
      <c r="ED11" s="345"/>
      <c r="EE11" s="345">
        <f>_xlfn.IFNA((VLOOKUP($A11,HN!$A:$K,9,FALSE)/12),0)+_xlfn.IFNA((VLOOKUP($A11,HN!$A:$K,10,FALSE)/12),0)+_xlfn.IFNA((VLOOKUP($A11,HN!$A:$BZ,33,FALSE)/12),0)</f>
        <v>0</v>
      </c>
      <c r="EF11" s="345">
        <f>_xlfn.IFNA((VLOOKUP($A11,HN!$A:$BS,15,FALSE)/12),0)</f>
        <v>2310.6666666666665</v>
      </c>
      <c r="EG11" s="344">
        <f t="shared" si="35"/>
        <v>0</v>
      </c>
      <c r="EH11" s="344">
        <f t="shared" si="36"/>
        <v>0</v>
      </c>
      <c r="EI11" s="345"/>
      <c r="EJ11" s="345">
        <f>_xlfn.IFNA(VLOOKUP(A11,'Cash Advances'!A:P,16,FALSE),0)</f>
        <v>0</v>
      </c>
      <c r="EK11" s="345">
        <f>_xlfn.IFNA(VLOOKUP(A11,'LA Deductions'!A:AZ,25,FALSE),0)/9</f>
        <v>0</v>
      </c>
      <c r="EL11" s="344">
        <f t="shared" si="37"/>
        <v>6310.6666666666661</v>
      </c>
      <c r="EM11" s="308">
        <f t="shared" si="38"/>
        <v>0</v>
      </c>
      <c r="EN11" s="308">
        <f>((VLOOKUP($A11,EY!$A:$BS,35,FALSE)-(VLOOKUP($A11,EY!$A:$BS,33,FALSE)*80%))+VLOOKUP($A11,EY!$A:$BS,43,FALSE))+(VLOOKUP(A11,EY!A:DF,110,FALSE)-VLOOKUP(A11,EY!A:DD,108,FALSE))+(VLOOKUP(A11,EY!A:CE,83,FALSE)-VLOOKUP(A11,EY!A:CC,81,FALSE))</f>
        <v>193936.25157894738</v>
      </c>
      <c r="EO11" s="309"/>
      <c r="EP11" s="309">
        <f>_xlfn.IFNA((VLOOKUP($A11,HN!$A:$K,8,FALSE)/12),0)+_xlfn.IFNA((VLOOKUP($A11,HN!$A:$AF,32,FALSE)*1/12),0)</f>
        <v>0</v>
      </c>
      <c r="EQ11" s="309">
        <f>_xlfn.IFNA((VLOOKUP($A11,HN!$A:$BS,14,FALSE)/12),0)+_xlfn.IFNA((VLOOKUP($A11,HN!$A:$BS,34,FALSE)/3),0)</f>
        <v>4000</v>
      </c>
      <c r="ER11" s="309">
        <f>_xlfn.IFNA(VLOOKUP($A11,'Post 16'!$A:$AV,32,FALSE),0)/8</f>
        <v>0</v>
      </c>
      <c r="ES11" s="309">
        <f>((VLOOKUP($A11,EY!A:EV,33,FALSE)*80%))+VLOOKUP(A11,EY!A:DD,108,FALSE)+VLOOKUP(A11,EY!A:CC,81,FALSE)</f>
        <v>10768.088975069251</v>
      </c>
      <c r="ET11" s="309">
        <f>_xlfn.IFNA((VLOOKUP($A11,HN!$A:$K,9,FALSE)/12),0)+_xlfn.IFNA((VLOOKUP($A11,HN!$A:$K,10,FALSE)/12),0)+_xlfn.IFNA((VLOOKUP($A11,HN!$A:$BZ,33,FALSE)/12),0)</f>
        <v>0</v>
      </c>
      <c r="EU11" s="309">
        <f>_xlfn.IFNA((VLOOKUP($A11,HN!$A:$BS,15,FALSE)/12),0)</f>
        <v>2310.6666666666665</v>
      </c>
      <c r="EV11" s="308">
        <f t="shared" si="39"/>
        <v>0</v>
      </c>
      <c r="EW11" s="308">
        <f t="shared" si="40"/>
        <v>0</v>
      </c>
      <c r="EX11" s="309"/>
      <c r="EY11" s="309">
        <f>_xlfn.IFNA(VLOOKUP($A11,'Cash Advances'!$A:$S,17,FALSE),0)</f>
        <v>0</v>
      </c>
      <c r="EZ11" s="309">
        <f>_xlfn.IFNA(VLOOKUP(A11,'LA Deductions'!A:AZ,25,FALSE),0)/9</f>
        <v>0</v>
      </c>
      <c r="FA11" s="308">
        <f t="shared" si="41"/>
        <v>211015.0072206833</v>
      </c>
      <c r="FB11" s="315">
        <f t="shared" si="42"/>
        <v>0</v>
      </c>
      <c r="FC11" s="315"/>
      <c r="FD11" s="316"/>
      <c r="FE11" s="316">
        <f>_xlfn.IFNA((VLOOKUP($A11,HN!$A:$K,8,FALSE)/12),0)+_xlfn.IFNA((VLOOKUP($A11,HN!$A:$AF,32,FALSE)*1/12),0)</f>
        <v>0</v>
      </c>
      <c r="FF11" s="316">
        <f>_xlfn.IFNA((VLOOKUP($A11,HN!$A:$BS,14,FALSE)/12),0)+_xlfn.IFNA((VLOOKUP($A11,HN!$A:$BS,34,FALSE)/3),0)</f>
        <v>4000</v>
      </c>
      <c r="FG11" s="316">
        <f>_xlfn.IFNA(VLOOKUP($A11,'Post 16'!$A:$AV,32,FALSE),0)/8</f>
        <v>0</v>
      </c>
      <c r="FH11" s="316"/>
      <c r="FI11" s="316">
        <f>_xlfn.IFNA((VLOOKUP($A11,HN!$A:$K,9,FALSE)/12),0)+_xlfn.IFNA((VLOOKUP($A11,HN!$A:$K,10,FALSE)/12),0)+_xlfn.IFNA((VLOOKUP($A11,HN!$A:$BZ,33,FALSE)/12),0)+_xlfn.IFNA((VLOOKUP($A11,HN!$A:$BZ,35,FALSE)/2),0)</f>
        <v>0</v>
      </c>
      <c r="FJ11" s="316">
        <f>_xlfn.IFNA((VLOOKUP($A11,HN!$A:$BS,15,FALSE)/12),0)+_xlfn.IFNA((VLOOKUP($A11,HN!$A:$CZ,36,FALSE)/2),0)</f>
        <v>9462.0116666666672</v>
      </c>
      <c r="FK11" s="315">
        <f t="shared" si="43"/>
        <v>0</v>
      </c>
      <c r="FL11" s="315">
        <f t="shared" si="44"/>
        <v>0</v>
      </c>
      <c r="FM11" s="316"/>
      <c r="FN11" s="316">
        <f>_xlfn.IFNA(VLOOKUP($A11,'Cash Advances'!$A:$S,18,FALSE),0)</f>
        <v>0</v>
      </c>
      <c r="FO11" s="316">
        <f>_xlfn.IFNA(VLOOKUP(A11,'LA Deductions'!A:AZ,25,FALSE),0)/9</f>
        <v>0</v>
      </c>
      <c r="FP11" s="315">
        <f t="shared" si="45"/>
        <v>13462.011666666667</v>
      </c>
      <c r="FQ11" s="322">
        <f t="shared" si="46"/>
        <v>0</v>
      </c>
      <c r="FR11" s="322"/>
      <c r="FS11" s="323"/>
      <c r="FT11" s="323">
        <f>_xlfn.IFNA((VLOOKUP($A11,HN!$A:$K,8,FALSE)/12),0)+_xlfn.IFNA((VLOOKUP($A11,HN!$A:$AF,32,FALSE)*1/12),0)</f>
        <v>0</v>
      </c>
      <c r="FU11" s="323">
        <f>_xlfn.IFNA((VLOOKUP($A11,HN!$A:$BS,14,FALSE)/12),0)+_xlfn.IFNA((VLOOKUP($A11,HN!$A:$BS,34,FALSE)/3),0)</f>
        <v>4000</v>
      </c>
      <c r="FV11" s="323">
        <f>_xlfn.IFNA(VLOOKUP($A11,'Post 16'!$A:$AV,32,FALSE),0)/8</f>
        <v>0</v>
      </c>
      <c r="FW11" s="323"/>
      <c r="FX11" s="323">
        <f>_xlfn.IFNA((VLOOKUP($A11,HN!$A:$K,9,FALSE)/12),0)+_xlfn.IFNA((VLOOKUP($A11,HN!$A:$K,10,FALSE)/12),0)+_xlfn.IFNA((VLOOKUP($A11,HN!$A:$BZ,33,FALSE)/12),0)+_xlfn.IFNA((VLOOKUP($A11,HN!$A:$BZ,35,FALSE)/2),0)</f>
        <v>0</v>
      </c>
      <c r="FY11" s="323">
        <f>_xlfn.IFNA((VLOOKUP($A11,HN!$A:$BS,15,FALSE)/12),0)+_xlfn.IFNA((VLOOKUP($A11,HN!$A:$CZ,36,FALSE)/2),0)</f>
        <v>9462.0116666666672</v>
      </c>
      <c r="FZ11" s="322">
        <f t="shared" si="47"/>
        <v>0</v>
      </c>
      <c r="GA11" s="322">
        <f t="shared" si="48"/>
        <v>0</v>
      </c>
      <c r="GB11" s="323"/>
      <c r="GC11" s="323"/>
      <c r="GD11" s="323">
        <f>_xlfn.IFNA(VLOOKUP(A11,'LA Deductions'!A:AZ,25,FALSE),0)/9</f>
        <v>0</v>
      </c>
      <c r="GE11" s="322">
        <f t="shared" si="49"/>
        <v>13462.011666666667</v>
      </c>
      <c r="GG11" s="146">
        <f t="shared" si="5"/>
        <v>1014054.061152229</v>
      </c>
      <c r="GH11" s="146">
        <f t="shared" si="5"/>
        <v>0</v>
      </c>
      <c r="GI11" s="146">
        <f t="shared" si="5"/>
        <v>59473.332659279775</v>
      </c>
      <c r="GJ11" s="146">
        <f t="shared" si="5"/>
        <v>0</v>
      </c>
      <c r="GK11" s="146">
        <f t="shared" si="5"/>
        <v>0</v>
      </c>
      <c r="GL11" s="146">
        <f t="shared" si="5"/>
        <v>-3291.75</v>
      </c>
      <c r="GN11" s="146">
        <f t="shared" si="6"/>
        <v>1014054.061152229</v>
      </c>
      <c r="GO11" s="146">
        <f t="shared" si="6"/>
        <v>0</v>
      </c>
      <c r="GP11" s="146">
        <f t="shared" si="6"/>
        <v>59473.332659279775</v>
      </c>
      <c r="GQ11" s="146">
        <f t="shared" si="6"/>
        <v>0</v>
      </c>
      <c r="GR11" s="146">
        <f t="shared" si="6"/>
        <v>0</v>
      </c>
      <c r="GS11" s="146">
        <f t="shared" si="6"/>
        <v>-3291.75</v>
      </c>
      <c r="GU11" s="146"/>
      <c r="GV11" s="57"/>
    </row>
    <row r="12" spans="1:205">
      <c r="A12" s="185">
        <v>2153</v>
      </c>
      <c r="B12" s="185">
        <v>103243</v>
      </c>
      <c r="C12" s="185" t="s">
        <v>37</v>
      </c>
      <c r="D12" s="2" t="s">
        <v>38</v>
      </c>
      <c r="E12" s="191" t="s">
        <v>32</v>
      </c>
      <c r="F12" s="191" t="s">
        <v>912</v>
      </c>
      <c r="H12" s="279">
        <f>_xlfn.IFNA(VLOOKUP($A12,ISB!$A$4:$BY$454,67,FALSE),0)</f>
        <v>2483595.3023724863</v>
      </c>
      <c r="I12" s="279">
        <f>_xlfn.IFNA(VLOOKUP($A12,ISB!$A$4:$BY$454,72,FALSE),0)</f>
        <v>-10405.92</v>
      </c>
      <c r="J12" s="279">
        <f>-_xlfn.IFNA(VLOOKUP($A12,ISB!$A$4:$BY$454,76,FALSE),0)</f>
        <v>-24708.45</v>
      </c>
      <c r="K12" s="279">
        <f>_xlfn.IFNA(VLOOKUP($A12,ISB!$A$4:$BY$454,77,FALSE),0)</f>
        <v>2448480.9323724862</v>
      </c>
      <c r="M12" s="301">
        <f t="shared" si="7"/>
        <v>206966.2751977072</v>
      </c>
      <c r="N12" s="301">
        <f>VLOOKUP($A12,EY!$A:$H,8,FALSE)+(VLOOKUP($A12,EY!$A:$BS,17,FALSE)-S12)+VLOOKUP($A12,EY!$A:$BS,41,FALSE)</f>
        <v>0</v>
      </c>
      <c r="O12" s="302"/>
      <c r="P12" s="302">
        <f>_xlfn.IFNA((VLOOKUP($A12,HN!$A:$K,8,FALSE)/12),0)</f>
        <v>0</v>
      </c>
      <c r="Q12" s="302">
        <f>_xlfn.IFNA((VLOOKUP($A12,HN!$A:$BS,14,FALSE)/12),0)</f>
        <v>22666.666666666668</v>
      </c>
      <c r="R12" s="302">
        <f>_xlfn.IFNA(VLOOKUP($A12,'Post 16'!$A:$V,21,FALSE),0)/4</f>
        <v>0</v>
      </c>
      <c r="S12" s="302">
        <f>VLOOKUP($A12,EY!A:Q,15,FALSE)*80%</f>
        <v>0</v>
      </c>
      <c r="T12" s="302">
        <f>_xlfn.IFNA((VLOOKUP($A12,HN!$A:$K,9,FALSE)/12),0)+_xlfn.IFNA((VLOOKUP($A12,HN!$A:$K,10,FALSE)/12),0)</f>
        <v>0</v>
      </c>
      <c r="U12" s="302">
        <f>_xlfn.IFNA((VLOOKUP($A12,HN!$A:$BS,15,FALSE)/12),0)</f>
        <v>34442.94</v>
      </c>
      <c r="V12" s="301">
        <f t="shared" si="8"/>
        <v>-867.16</v>
      </c>
      <c r="W12" s="301">
        <f t="shared" si="9"/>
        <v>-2059.0374999999999</v>
      </c>
      <c r="X12" s="302"/>
      <c r="Y12" s="302">
        <f>_xlfn.IFNA(VLOOKUP($A12,'Cash Advances'!$A:$S,8,FALSE),0)</f>
        <v>0</v>
      </c>
      <c r="Z12" s="301">
        <f t="shared" si="0"/>
        <v>261149.68436437388</v>
      </c>
      <c r="AA12" s="315">
        <f t="shared" si="10"/>
        <v>206966.2751977072</v>
      </c>
      <c r="AB12" s="315"/>
      <c r="AC12" s="316"/>
      <c r="AD12" s="316">
        <f>_xlfn.IFNA((VLOOKUP($A12,HN!$A:$K,8,FALSE)/12),0)</f>
        <v>0</v>
      </c>
      <c r="AE12" s="316">
        <f>_xlfn.IFNA((VLOOKUP($A12,HN!$A:$BS,14,FALSE)/12),0)</f>
        <v>22666.666666666668</v>
      </c>
      <c r="AF12" s="316">
        <f>_xlfn.IFNA(VLOOKUP($A12,'Post 16'!$A:$V,21,FALSE),0)/4</f>
        <v>0</v>
      </c>
      <c r="AG12" s="316"/>
      <c r="AH12" s="316">
        <f>_xlfn.IFNA((VLOOKUP($A12,HN!$A:$K,9,FALSE)/12),0)+_xlfn.IFNA((VLOOKUP($A12,HN!$A:$K,10,FALSE)/12),0)</f>
        <v>0</v>
      </c>
      <c r="AI12" s="316">
        <f>_xlfn.IFNA((VLOOKUP($A12,HN!$A:$BS,15,FALSE)/12),0)</f>
        <v>34442.94</v>
      </c>
      <c r="AJ12" s="315">
        <f t="shared" si="11"/>
        <v>-867.16</v>
      </c>
      <c r="AK12" s="315">
        <f t="shared" si="12"/>
        <v>-2059.0374999999999</v>
      </c>
      <c r="AL12" s="316"/>
      <c r="AM12" s="316">
        <f>_xlfn.IFNA(VLOOKUP($A12,'Cash Advances'!$A:$S,9,FALSE),0)</f>
        <v>0</v>
      </c>
      <c r="AN12" s="315">
        <f t="shared" si="1"/>
        <v>261149.68436437388</v>
      </c>
      <c r="AO12" s="308">
        <f t="shared" si="13"/>
        <v>206966.2751977072</v>
      </c>
      <c r="AP12" s="308"/>
      <c r="AQ12" s="309"/>
      <c r="AR12" s="309">
        <f>_xlfn.IFNA((VLOOKUP($A12,HN!$A:$K,8,FALSE)/12),0)</f>
        <v>0</v>
      </c>
      <c r="AS12" s="309">
        <f>_xlfn.IFNA((VLOOKUP($A12,HN!$A:$BS,14,FALSE)/12),0)</f>
        <v>22666.666666666668</v>
      </c>
      <c r="AT12" s="309">
        <f>_xlfn.IFNA(VLOOKUP($A12,'Post 16'!$A:$V,21,FALSE),0)/4</f>
        <v>0</v>
      </c>
      <c r="AU12" s="309"/>
      <c r="AV12" s="309">
        <f>_xlfn.IFNA((VLOOKUP($A12,HN!$A:$K,9,FALSE)/12),0)+_xlfn.IFNA((VLOOKUP($A12,HN!$A:$K,10,FALSE)/12),0)+_xlfn.IFNA(VLOOKUP(A12,HN!A:V,19,FALSE),0)+_xlfn.IFNA(VLOOKUP(A12,HN!A:V,20,FALSE),0)+_xlfn.IFNA(VLOOKUP(A12,HN!A:V,21,FALSE),0)</f>
        <v>0</v>
      </c>
      <c r="AW12" s="309">
        <f>_xlfn.IFNA((VLOOKUP($A12,HN!$A:$BS,15,FALSE)/12),0)</f>
        <v>34442.94</v>
      </c>
      <c r="AX12" s="308">
        <f t="shared" si="14"/>
        <v>-867.16</v>
      </c>
      <c r="AY12" s="308">
        <f t="shared" si="15"/>
        <v>-2059.0374999999999</v>
      </c>
      <c r="AZ12" s="309"/>
      <c r="BA12" s="309">
        <f>_xlfn.IFNA(VLOOKUP($A12,'Cash Advances'!$A:$S,10,FALSE),0)</f>
        <v>0</v>
      </c>
      <c r="BB12" s="308">
        <f t="shared" si="2"/>
        <v>261149.68436437388</v>
      </c>
      <c r="BC12" s="330">
        <f t="shared" si="16"/>
        <v>206966.2751977072</v>
      </c>
      <c r="BD12" s="330"/>
      <c r="BE12" s="331"/>
      <c r="BF12" s="331">
        <f>_xlfn.IFNA((VLOOKUP($A12,HN!$A:$K,8,FALSE)/12),0)</f>
        <v>0</v>
      </c>
      <c r="BG12" s="331">
        <f>_xlfn.IFNA((VLOOKUP($A12,HN!$A:$BS,14,FALSE)/12),0)</f>
        <v>22666.666666666668</v>
      </c>
      <c r="BH12" s="331">
        <f>_xlfn.IFNA(VLOOKUP($A12,'Post 16'!$A:$V,21,FALSE),0)/4</f>
        <v>0</v>
      </c>
      <c r="BI12" s="331"/>
      <c r="BJ12" s="331">
        <f>_xlfn.IFNA((VLOOKUP($A12,HN!$A:$K,9,FALSE)/12),0)+_xlfn.IFNA((VLOOKUP($A12,HN!$A:$K,10,FALSE)/12),0)</f>
        <v>0</v>
      </c>
      <c r="BK12" s="331">
        <f>_xlfn.IFNA((VLOOKUP($A12,HN!$A:$BS,15,FALSE)/12),0)</f>
        <v>34442.94</v>
      </c>
      <c r="BL12" s="330">
        <f t="shared" si="17"/>
        <v>-867.16</v>
      </c>
      <c r="BM12" s="330">
        <f t="shared" si="18"/>
        <v>-2059.0374999999999</v>
      </c>
      <c r="BN12" s="331"/>
      <c r="BO12" s="331">
        <f>_xlfn.IFNA(VLOOKUP(A12,'Cash Advances'!A:K,11,FALSE),0)</f>
        <v>0</v>
      </c>
      <c r="BP12" s="330">
        <f t="shared" si="3"/>
        <v>261149.68436437388</v>
      </c>
      <c r="BQ12" s="322">
        <f t="shared" si="19"/>
        <v>206966.2751977072</v>
      </c>
      <c r="BR12" s="322"/>
      <c r="BS12" s="323"/>
      <c r="BT12" s="323">
        <f>_xlfn.IFNA((VLOOKUP($A12,HN!$A:$K,8,FALSE)/12),0)</f>
        <v>0</v>
      </c>
      <c r="BU12" s="323">
        <f>_xlfn.IFNA((VLOOKUP($A12,HN!$A:$BS,14,FALSE)/12),0)</f>
        <v>22666.666666666668</v>
      </c>
      <c r="BV12" s="323">
        <f>(_xlfn.IFNA(VLOOKUP($A12,'Post 16'!$A:$AV,32,FALSE),0)/8)+_xlfn.IFNA(VLOOKUP($A12,'Post 16'!$A:$AR,40,FALSE),0)</f>
        <v>0</v>
      </c>
      <c r="BW12" s="323"/>
      <c r="BX12" s="323">
        <f>_xlfn.IFNA((VLOOKUP($A12,HN!$A:$K,9,FALSE)/12),0)+_xlfn.IFNA((VLOOKUP($A12,HN!$A:$K,10,FALSE)/12),0)</f>
        <v>0</v>
      </c>
      <c r="BY12" s="323">
        <f>_xlfn.IFNA((VLOOKUP($A12,HN!$A:$BS,15,FALSE)/12),0)</f>
        <v>34442.94</v>
      </c>
      <c r="BZ12" s="322">
        <f t="shared" si="20"/>
        <v>-867.16</v>
      </c>
      <c r="CA12" s="322">
        <f t="shared" si="21"/>
        <v>-2059.0374999999999</v>
      </c>
      <c r="CB12" s="323"/>
      <c r="CC12" s="323"/>
      <c r="CD12" s="322">
        <f t="shared" si="4"/>
        <v>261149.68436437388</v>
      </c>
      <c r="CE12" s="357">
        <f t="shared" si="22"/>
        <v>206966.2751977072</v>
      </c>
      <c r="CF12" s="357">
        <f>(VLOOKUP($A12,EY!$A:$BS,26,FALSE)-(VLOOKUP($A12,EY!A:CR,24,FALSE)*80%))+VLOOKUP($A12,EY!$A:$BS,42,FALSE)+(VLOOKUP($A12,EY!A:CC,74,FALSE)-VLOOKUP($A12,EY!A:CC,72,FALSE))</f>
        <v>0</v>
      </c>
      <c r="CG12" s="358"/>
      <c r="CH12" s="358">
        <f>_xlfn.IFNA((VLOOKUP($A12,HN!$A:$K,8,FALSE)/12),0)</f>
        <v>0</v>
      </c>
      <c r="CI12" s="358">
        <f>_xlfn.IFNA((VLOOKUP($A12,HN!$A:$BS,14,FALSE)/12),0)</f>
        <v>22666.666666666668</v>
      </c>
      <c r="CJ12" s="358">
        <f>(_xlfn.IFNA(VLOOKUP($A12,'Post 16'!$A:$AV,32,FALSE),0)/8)</f>
        <v>0</v>
      </c>
      <c r="CK12" s="358">
        <f>(VLOOKUP($A12,EY!A:CR,24,FALSE)*80%)+VLOOKUP($A12,EY!A:CC,72,FALSE)</f>
        <v>0</v>
      </c>
      <c r="CL12" s="358">
        <f>_xlfn.IFNA((VLOOKUP($A12,HN!$A:$K,9,FALSE)/12),0)+_xlfn.IFNA((VLOOKUP($A12,HN!$A:$K,10,FALSE)/12),0)</f>
        <v>0</v>
      </c>
      <c r="CM12" s="358">
        <f>_xlfn.IFNA((VLOOKUP($A12,HN!$A:$BS,15,FALSE)/12),0)</f>
        <v>34442.94</v>
      </c>
      <c r="CN12" s="357">
        <f t="shared" si="23"/>
        <v>-867.16</v>
      </c>
      <c r="CO12" s="357">
        <f t="shared" si="24"/>
        <v>-2059.0374999999999</v>
      </c>
      <c r="CP12" s="358">
        <f>_xlfn.IFNA(VLOOKUP(A12,'LA Deductions'!A:W,23,FALSE),0)</f>
        <v>-9471</v>
      </c>
      <c r="CQ12" s="358">
        <f>_xlfn.IFNA(VLOOKUP($A12,'Cash Advances'!$A:$S,13,FALSE),0)</f>
        <v>0</v>
      </c>
      <c r="CR12" s="358">
        <f>_xlfn.IFNA(VLOOKUP(A12,'LA Deductions'!A:AZ,25,FALSE),0)/9*3</f>
        <v>0</v>
      </c>
      <c r="CS12" s="357">
        <f t="shared" si="25"/>
        <v>251678.68436437388</v>
      </c>
      <c r="CT12" s="337">
        <f t="shared" si="26"/>
        <v>206966.2751977072</v>
      </c>
      <c r="CU12" s="337"/>
      <c r="CV12" s="338">
        <f>_xlfn.IFNA(VLOOKUP(A12,'LA Deductions'!$A$6:$AN$207,34,FALSE),0)</f>
        <v>-3969.5414000000001</v>
      </c>
      <c r="CW12" s="338">
        <f>_xlfn.IFNA((VLOOKUP($A12,HN!$A:$K,8,FALSE)/12),0)</f>
        <v>0</v>
      </c>
      <c r="CX12" s="338">
        <f>_xlfn.IFNA((VLOOKUP($A12,HN!$A:$BS,14,FALSE)/12),0)</f>
        <v>22666.666666666668</v>
      </c>
      <c r="CY12" s="338">
        <f>_xlfn.IFNA(VLOOKUP($A12,'Post 16'!$A:$AV,32,FALSE),0)/8</f>
        <v>0</v>
      </c>
      <c r="CZ12" s="338"/>
      <c r="DA12" s="338">
        <f>_xlfn.IFNA((VLOOKUP($A12,HN!$A:$K,9,FALSE)/12),0)+_xlfn.IFNA((VLOOKUP($A12,HN!$A:$K,10,FALSE)/12),0)</f>
        <v>0</v>
      </c>
      <c r="DB12" s="338">
        <f>_xlfn.IFNA((VLOOKUP($A12,HN!$A:$BS,15,FALSE)/12),0)</f>
        <v>34442.94</v>
      </c>
      <c r="DC12" s="337">
        <f t="shared" si="27"/>
        <v>-867.16</v>
      </c>
      <c r="DD12" s="337">
        <f t="shared" si="28"/>
        <v>-2059.0374999999999</v>
      </c>
      <c r="DE12" s="338"/>
      <c r="DF12" s="338">
        <f>_xlfn.IFNA(VLOOKUP($A12,'Cash Advances'!$A:$S,14,FALSE),0)</f>
        <v>0</v>
      </c>
      <c r="DG12" s="338">
        <f>(_xlfn.IFNA(VLOOKUP(A12,'LA Deductions'!A:AZ,25,FALSE),0)/9)+(_xlfn.IFNA(VLOOKUP(A12,'LA Deductions'!A:AZ,26,FALSE),0))</f>
        <v>0</v>
      </c>
      <c r="DH12" s="337">
        <f t="shared" si="29"/>
        <v>257180.14296437387</v>
      </c>
      <c r="DI12" s="330">
        <f t="shared" si="30"/>
        <v>206966.2751977072</v>
      </c>
      <c r="DJ12" s="330"/>
      <c r="DK12" s="331"/>
      <c r="DL12" s="331">
        <f>_xlfn.IFNA((VLOOKUP($A12,HN!$A:$K,8,FALSE)/12),0)+_xlfn.IFNA((VLOOKUP($A12,HN!$A:$AF,32,FALSE)*8/12),0)</f>
        <v>0</v>
      </c>
      <c r="DM12" s="331">
        <f>_xlfn.IFNA((VLOOKUP($A12,HN!$A:$BS,14,FALSE)/12),0)+_xlfn.IFNA(VLOOKUP($A12,HN!$A:$BS,31,FALSE),0)</f>
        <v>22666.666666666668</v>
      </c>
      <c r="DN12" s="331">
        <f>_xlfn.IFNA(VLOOKUP($A12,'Post 16'!$A:$AV,32,FALSE),0)/8</f>
        <v>0</v>
      </c>
      <c r="DO12" s="331"/>
      <c r="DP12" s="331">
        <f>_xlfn.IFNA((VLOOKUP($A12,HN!$A:$K,9,FALSE)/12),0)+_xlfn.IFNA((VLOOKUP($A12,HN!$A:$K,10,FALSE)/12),0)+_xlfn.IFNA((VLOOKUP($A12,HN!$A:$BZ,33,FALSE)*8/12),0)</f>
        <v>0</v>
      </c>
      <c r="DQ12" s="331">
        <f>_xlfn.IFNA((VLOOKUP($A12,HN!$A:$BS,15,FALSE)/12),0)</f>
        <v>34442.94</v>
      </c>
      <c r="DR12" s="330">
        <f t="shared" si="31"/>
        <v>-867.16</v>
      </c>
      <c r="DS12" s="330">
        <f t="shared" si="32"/>
        <v>-2059.0374999999999</v>
      </c>
      <c r="DT12" s="331"/>
      <c r="DU12" s="331"/>
      <c r="DV12" s="331">
        <f>(_xlfn.IFNA(VLOOKUP(A12,'LA Deductions'!A:AZ,25,FALSE),0)/9)+_xlfn.IFNA(VLOOKUP(A12,'LA Deductions'!A:AZ,27,FALSE),0)</f>
        <v>0</v>
      </c>
      <c r="DW12" s="330">
        <f t="shared" si="33"/>
        <v>261149.68436437388</v>
      </c>
      <c r="DX12" s="344">
        <f t="shared" si="34"/>
        <v>206966.2751977072</v>
      </c>
      <c r="DY12" s="344"/>
      <c r="DZ12" s="345"/>
      <c r="EA12" s="345">
        <f>_xlfn.IFNA((VLOOKUP($A12,HN!$A:$K,8,FALSE)/12),0)+_xlfn.IFNA((VLOOKUP($A12,HN!$A:$AF,32,FALSE)*1/12),0)</f>
        <v>0</v>
      </c>
      <c r="EB12" s="345">
        <f>_xlfn.IFNA((VLOOKUP($A12,HN!$A:$BS,14,FALSE)/12),0)</f>
        <v>22666.666666666668</v>
      </c>
      <c r="EC12" s="345">
        <f>_xlfn.IFNA(VLOOKUP($A12,'Post 16'!$A:$AV,32,FALSE),0)/8</f>
        <v>0</v>
      </c>
      <c r="ED12" s="345"/>
      <c r="EE12" s="345">
        <f>_xlfn.IFNA((VLOOKUP($A12,HN!$A:$K,9,FALSE)/12),0)+_xlfn.IFNA((VLOOKUP($A12,HN!$A:$K,10,FALSE)/12),0)+_xlfn.IFNA((VLOOKUP($A12,HN!$A:$BZ,33,FALSE)/12),0)</f>
        <v>0</v>
      </c>
      <c r="EF12" s="345">
        <f>_xlfn.IFNA((VLOOKUP($A12,HN!$A:$BS,15,FALSE)/12),0)</f>
        <v>34442.94</v>
      </c>
      <c r="EG12" s="344">
        <f t="shared" si="35"/>
        <v>-867.16</v>
      </c>
      <c r="EH12" s="344">
        <f t="shared" si="36"/>
        <v>-2059.0374999999999</v>
      </c>
      <c r="EI12" s="345"/>
      <c r="EJ12" s="345">
        <f>_xlfn.IFNA(VLOOKUP(A12,'Cash Advances'!A:P,16,FALSE),0)</f>
        <v>0</v>
      </c>
      <c r="EK12" s="345">
        <f>_xlfn.IFNA(VLOOKUP(A12,'LA Deductions'!A:AZ,25,FALSE),0)/9</f>
        <v>0</v>
      </c>
      <c r="EL12" s="344">
        <f t="shared" si="37"/>
        <v>261149.68436437388</v>
      </c>
      <c r="EM12" s="308">
        <f t="shared" si="38"/>
        <v>206966.2751977072</v>
      </c>
      <c r="EN12" s="308">
        <f>((VLOOKUP($A12,EY!$A:$BS,35,FALSE)-(VLOOKUP($A12,EY!$A:$BS,33,FALSE)*80%))+VLOOKUP($A12,EY!$A:$BS,43,FALSE))+(VLOOKUP(A12,EY!A:DF,110,FALSE)-VLOOKUP(A12,EY!A:DD,108,FALSE))+(VLOOKUP(A12,EY!A:CE,83,FALSE)-VLOOKUP(A12,EY!A:CC,81,FALSE))</f>
        <v>0</v>
      </c>
      <c r="EO12" s="309"/>
      <c r="EP12" s="309">
        <f>_xlfn.IFNA((VLOOKUP($A12,HN!$A:$K,8,FALSE)/12),0)+_xlfn.IFNA((VLOOKUP($A12,HN!$A:$AF,32,FALSE)*1/12),0)</f>
        <v>0</v>
      </c>
      <c r="EQ12" s="309">
        <f>_xlfn.IFNA((VLOOKUP($A12,HN!$A:$BS,14,FALSE)/12),0)+_xlfn.IFNA((VLOOKUP($A12,HN!$A:$BS,34,FALSE)/3),0)</f>
        <v>22666.666666666668</v>
      </c>
      <c r="ER12" s="309">
        <f>_xlfn.IFNA(VLOOKUP($A12,'Post 16'!$A:$AV,32,FALSE),0)/8</f>
        <v>0</v>
      </c>
      <c r="ES12" s="309">
        <f>((VLOOKUP($A12,EY!A:EV,33,FALSE)*80%))+VLOOKUP(A12,EY!A:DD,108,FALSE)+VLOOKUP(A12,EY!A:CC,81,FALSE)</f>
        <v>0</v>
      </c>
      <c r="ET12" s="309">
        <f>_xlfn.IFNA((VLOOKUP($A12,HN!$A:$K,9,FALSE)/12),0)+_xlfn.IFNA((VLOOKUP($A12,HN!$A:$K,10,FALSE)/12),0)+_xlfn.IFNA((VLOOKUP($A12,HN!$A:$BZ,33,FALSE)/12),0)</f>
        <v>0</v>
      </c>
      <c r="EU12" s="309">
        <f>_xlfn.IFNA((VLOOKUP($A12,HN!$A:$BS,15,FALSE)/12),0)</f>
        <v>34442.94</v>
      </c>
      <c r="EV12" s="308">
        <f t="shared" si="39"/>
        <v>-867.16</v>
      </c>
      <c r="EW12" s="308">
        <f t="shared" si="40"/>
        <v>-2059.0374999999999</v>
      </c>
      <c r="EX12" s="309"/>
      <c r="EY12" s="309">
        <f>_xlfn.IFNA(VLOOKUP($A12,'Cash Advances'!$A:$S,17,FALSE),0)</f>
        <v>0</v>
      </c>
      <c r="EZ12" s="309">
        <f>_xlfn.IFNA(VLOOKUP(A12,'LA Deductions'!A:AZ,25,FALSE),0)/9</f>
        <v>0</v>
      </c>
      <c r="FA12" s="308">
        <f t="shared" si="41"/>
        <v>261149.68436437388</v>
      </c>
      <c r="FB12" s="315">
        <f t="shared" si="42"/>
        <v>206966.2751977072</v>
      </c>
      <c r="FC12" s="315"/>
      <c r="FD12" s="316"/>
      <c r="FE12" s="316">
        <f>_xlfn.IFNA((VLOOKUP($A12,HN!$A:$K,8,FALSE)/12),0)+_xlfn.IFNA((VLOOKUP($A12,HN!$A:$AF,32,FALSE)*1/12),0)</f>
        <v>0</v>
      </c>
      <c r="FF12" s="316">
        <f>_xlfn.IFNA((VLOOKUP($A12,HN!$A:$BS,14,FALSE)/12),0)+_xlfn.IFNA((VLOOKUP($A12,HN!$A:$BS,34,FALSE)/3),0)</f>
        <v>22666.666666666668</v>
      </c>
      <c r="FG12" s="316">
        <f>_xlfn.IFNA(VLOOKUP($A12,'Post 16'!$A:$AV,32,FALSE),0)/8</f>
        <v>0</v>
      </c>
      <c r="FH12" s="316"/>
      <c r="FI12" s="316">
        <f>_xlfn.IFNA((VLOOKUP($A12,HN!$A:$K,9,FALSE)/12),0)+_xlfn.IFNA((VLOOKUP($A12,HN!$A:$K,10,FALSE)/12),0)+_xlfn.IFNA((VLOOKUP($A12,HN!$A:$BZ,33,FALSE)/12),0)+_xlfn.IFNA((VLOOKUP($A12,HN!$A:$BZ,35,FALSE)/2),0)</f>
        <v>0</v>
      </c>
      <c r="FJ12" s="316">
        <f>_xlfn.IFNA((VLOOKUP($A12,HN!$A:$BS,15,FALSE)/12),0)+_xlfn.IFNA((VLOOKUP($A12,HN!$A:$CZ,36,FALSE)/2),0)</f>
        <v>15942.940000000002</v>
      </c>
      <c r="FK12" s="315">
        <f t="shared" si="43"/>
        <v>-867.16</v>
      </c>
      <c r="FL12" s="315">
        <f t="shared" si="44"/>
        <v>-2059.0374999999999</v>
      </c>
      <c r="FM12" s="316"/>
      <c r="FN12" s="316">
        <f>_xlfn.IFNA(VLOOKUP($A12,'Cash Advances'!$A:$S,18,FALSE),0)</f>
        <v>0</v>
      </c>
      <c r="FO12" s="316">
        <f>_xlfn.IFNA(VLOOKUP(A12,'LA Deductions'!A:AZ,25,FALSE),0)/9</f>
        <v>0</v>
      </c>
      <c r="FP12" s="315">
        <f t="shared" si="45"/>
        <v>242649.68436437385</v>
      </c>
      <c r="FQ12" s="322">
        <f t="shared" si="46"/>
        <v>206966.2751977072</v>
      </c>
      <c r="FR12" s="322"/>
      <c r="FS12" s="323"/>
      <c r="FT12" s="323">
        <f>_xlfn.IFNA((VLOOKUP($A12,HN!$A:$K,8,FALSE)/12),0)+_xlfn.IFNA((VLOOKUP($A12,HN!$A:$AF,32,FALSE)*1/12),0)</f>
        <v>0</v>
      </c>
      <c r="FU12" s="323">
        <f>_xlfn.IFNA((VLOOKUP($A12,HN!$A:$BS,14,FALSE)/12),0)+_xlfn.IFNA((VLOOKUP($A12,HN!$A:$BS,34,FALSE)/3),0)</f>
        <v>22666.666666666668</v>
      </c>
      <c r="FV12" s="323">
        <f>_xlfn.IFNA(VLOOKUP($A12,'Post 16'!$A:$AV,32,FALSE),0)/8</f>
        <v>0</v>
      </c>
      <c r="FW12" s="323"/>
      <c r="FX12" s="323">
        <f>_xlfn.IFNA((VLOOKUP($A12,HN!$A:$K,9,FALSE)/12),0)+_xlfn.IFNA((VLOOKUP($A12,HN!$A:$K,10,FALSE)/12),0)+_xlfn.IFNA((VLOOKUP($A12,HN!$A:$BZ,33,FALSE)/12),0)+_xlfn.IFNA((VLOOKUP($A12,HN!$A:$BZ,35,FALSE)/2),0)</f>
        <v>0</v>
      </c>
      <c r="FY12" s="323">
        <f>_xlfn.IFNA((VLOOKUP($A12,HN!$A:$BS,15,FALSE)/12),0)+_xlfn.IFNA((VLOOKUP($A12,HN!$A:$CZ,36,FALSE)/2),0)</f>
        <v>15942.940000000002</v>
      </c>
      <c r="FZ12" s="322">
        <f t="shared" si="47"/>
        <v>-867.16</v>
      </c>
      <c r="GA12" s="322">
        <f t="shared" si="48"/>
        <v>-2059.0374999999999</v>
      </c>
      <c r="GB12" s="323"/>
      <c r="GC12" s="323"/>
      <c r="GD12" s="323">
        <f>_xlfn.IFNA(VLOOKUP(A12,'LA Deductions'!A:AZ,25,FALSE),0)/9</f>
        <v>0</v>
      </c>
      <c r="GE12" s="322">
        <f t="shared" si="49"/>
        <v>242649.68436437385</v>
      </c>
      <c r="GG12" s="146">
        <f t="shared" si="5"/>
        <v>2751625.7609724859</v>
      </c>
      <c r="GH12" s="146">
        <f t="shared" si="5"/>
        <v>0</v>
      </c>
      <c r="GI12" s="146">
        <f t="shared" si="5"/>
        <v>376315.28</v>
      </c>
      <c r="GJ12" s="146">
        <f t="shared" si="5"/>
        <v>-10405.92</v>
      </c>
      <c r="GK12" s="146">
        <f t="shared" si="5"/>
        <v>-24708.449999999993</v>
      </c>
      <c r="GL12" s="146">
        <f t="shared" si="5"/>
        <v>-9471</v>
      </c>
      <c r="GN12" s="146">
        <f t="shared" si="6"/>
        <v>2751625.7609724859</v>
      </c>
      <c r="GO12" s="146">
        <f t="shared" si="6"/>
        <v>0</v>
      </c>
      <c r="GP12" s="146">
        <f t="shared" si="6"/>
        <v>376315.28</v>
      </c>
      <c r="GQ12" s="146">
        <f t="shared" si="6"/>
        <v>-10405.92</v>
      </c>
      <c r="GR12" s="146">
        <f t="shared" si="6"/>
        <v>-24708.449999999993</v>
      </c>
      <c r="GS12" s="146">
        <f t="shared" si="6"/>
        <v>-9471</v>
      </c>
      <c r="GU12" s="146"/>
      <c r="GV12" s="57"/>
    </row>
    <row r="13" spans="1:205">
      <c r="A13" s="185">
        <v>2062</v>
      </c>
      <c r="B13" s="185">
        <v>103192</v>
      </c>
      <c r="C13" s="185" t="s">
        <v>39</v>
      </c>
      <c r="D13" s="2" t="s">
        <v>40</v>
      </c>
      <c r="E13" s="191" t="s">
        <v>32</v>
      </c>
      <c r="F13" s="191" t="s">
        <v>912</v>
      </c>
      <c r="H13" s="279">
        <f>_xlfn.IFNA(VLOOKUP($A13,ISB!$A$4:$BY$454,67,FALSE),0)</f>
        <v>2523274.0191204995</v>
      </c>
      <c r="I13" s="279">
        <f>_xlfn.IFNA(VLOOKUP($A13,ISB!$A$4:$BY$454,72,FALSE),0)</f>
        <v>-10249.439999999999</v>
      </c>
      <c r="J13" s="279">
        <f>-_xlfn.IFNA(VLOOKUP($A13,ISB!$A$4:$BY$454,76,FALSE),0)</f>
        <v>-48655.93</v>
      </c>
      <c r="K13" s="279">
        <f>_xlfn.IFNA(VLOOKUP($A13,ISB!$A$4:$BY$454,77,FALSE),0)</f>
        <v>2464368.6491204994</v>
      </c>
      <c r="M13" s="301">
        <f t="shared" si="7"/>
        <v>210272.83492670828</v>
      </c>
      <c r="N13" s="301">
        <f>VLOOKUP($A13,EY!$A:$H,8,FALSE)+(VLOOKUP($A13,EY!$A:$BS,17,FALSE)-S13)+VLOOKUP($A13,EY!$A:$BS,41,FALSE)</f>
        <v>50884.08</v>
      </c>
      <c r="O13" s="302"/>
      <c r="P13" s="302">
        <f>_xlfn.IFNA((VLOOKUP($A13,HN!$A:$K,8,FALSE)/12),0)</f>
        <v>0</v>
      </c>
      <c r="Q13" s="302">
        <f>_xlfn.IFNA((VLOOKUP($A13,HN!$A:$BS,14,FALSE)/12),0)</f>
        <v>0</v>
      </c>
      <c r="R13" s="302">
        <f>_xlfn.IFNA(VLOOKUP($A13,'Post 16'!$A:$V,21,FALSE),0)/4</f>
        <v>0</v>
      </c>
      <c r="S13" s="302">
        <f>VLOOKUP($A13,EY!A:Q,15,FALSE)*80%</f>
        <v>0</v>
      </c>
      <c r="T13" s="302">
        <f>_xlfn.IFNA((VLOOKUP($A13,HN!$A:$K,9,FALSE)/12),0)+_xlfn.IFNA((VLOOKUP($A13,HN!$A:$K,10,FALSE)/12),0)</f>
        <v>0</v>
      </c>
      <c r="U13" s="302">
        <f>_xlfn.IFNA((VLOOKUP($A13,HN!$A:$BS,15,FALSE)/12),0)</f>
        <v>0</v>
      </c>
      <c r="V13" s="301">
        <f t="shared" si="8"/>
        <v>-854.11999999999989</v>
      </c>
      <c r="W13" s="301">
        <f t="shared" si="9"/>
        <v>-4054.6608333333334</v>
      </c>
      <c r="X13" s="302"/>
      <c r="Y13" s="302">
        <f>_xlfn.IFNA(VLOOKUP($A13,'Cash Advances'!$A:$S,8,FALSE),0)</f>
        <v>0</v>
      </c>
      <c r="Z13" s="301">
        <f t="shared" si="0"/>
        <v>256248.13409337495</v>
      </c>
      <c r="AA13" s="315">
        <f t="shared" si="10"/>
        <v>210272.83492670828</v>
      </c>
      <c r="AB13" s="315"/>
      <c r="AC13" s="316"/>
      <c r="AD13" s="316">
        <f>_xlfn.IFNA((VLOOKUP($A13,HN!$A:$K,8,FALSE)/12),0)</f>
        <v>0</v>
      </c>
      <c r="AE13" s="316">
        <f>_xlfn.IFNA((VLOOKUP($A13,HN!$A:$BS,14,FALSE)/12),0)</f>
        <v>0</v>
      </c>
      <c r="AF13" s="316">
        <f>_xlfn.IFNA(VLOOKUP($A13,'Post 16'!$A:$V,21,FALSE),0)/4</f>
        <v>0</v>
      </c>
      <c r="AG13" s="316"/>
      <c r="AH13" s="316">
        <f>_xlfn.IFNA((VLOOKUP($A13,HN!$A:$K,9,FALSE)/12),0)+_xlfn.IFNA((VLOOKUP($A13,HN!$A:$K,10,FALSE)/12),0)</f>
        <v>0</v>
      </c>
      <c r="AI13" s="316">
        <f>_xlfn.IFNA((VLOOKUP($A13,HN!$A:$BS,15,FALSE)/12),0)</f>
        <v>0</v>
      </c>
      <c r="AJ13" s="315">
        <f t="shared" si="11"/>
        <v>-854.11999999999989</v>
      </c>
      <c r="AK13" s="315">
        <f t="shared" si="12"/>
        <v>-4054.6608333333334</v>
      </c>
      <c r="AL13" s="316"/>
      <c r="AM13" s="316">
        <f>_xlfn.IFNA(VLOOKUP($A13,'Cash Advances'!$A:$S,9,FALSE),0)</f>
        <v>0</v>
      </c>
      <c r="AN13" s="315">
        <f t="shared" si="1"/>
        <v>205364.05409337496</v>
      </c>
      <c r="AO13" s="308">
        <f t="shared" si="13"/>
        <v>210272.83492670828</v>
      </c>
      <c r="AP13" s="308"/>
      <c r="AQ13" s="309"/>
      <c r="AR13" s="309">
        <f>_xlfn.IFNA((VLOOKUP($A13,HN!$A:$K,8,FALSE)/12),0)</f>
        <v>0</v>
      </c>
      <c r="AS13" s="309">
        <f>_xlfn.IFNA((VLOOKUP($A13,HN!$A:$BS,14,FALSE)/12),0)</f>
        <v>0</v>
      </c>
      <c r="AT13" s="309">
        <f>_xlfn.IFNA(VLOOKUP($A13,'Post 16'!$A:$V,21,FALSE),0)/4</f>
        <v>0</v>
      </c>
      <c r="AU13" s="309"/>
      <c r="AV13" s="309">
        <f>_xlfn.IFNA((VLOOKUP($A13,HN!$A:$K,9,FALSE)/12),0)+_xlfn.IFNA((VLOOKUP($A13,HN!$A:$K,10,FALSE)/12),0)+_xlfn.IFNA(VLOOKUP(A13,HN!A:V,19,FALSE),0)+_xlfn.IFNA(VLOOKUP(A13,HN!A:V,20,FALSE),0)+_xlfn.IFNA(VLOOKUP(A13,HN!A:V,21,FALSE),0)</f>
        <v>0</v>
      </c>
      <c r="AW13" s="309">
        <f>_xlfn.IFNA((VLOOKUP($A13,HN!$A:$BS,15,FALSE)/12),0)</f>
        <v>0</v>
      </c>
      <c r="AX13" s="308">
        <f t="shared" si="14"/>
        <v>-854.11999999999989</v>
      </c>
      <c r="AY13" s="308">
        <f t="shared" si="15"/>
        <v>-4054.6608333333334</v>
      </c>
      <c r="AZ13" s="309"/>
      <c r="BA13" s="309">
        <f>_xlfn.IFNA(VLOOKUP($A13,'Cash Advances'!$A:$S,10,FALSE),0)</f>
        <v>0</v>
      </c>
      <c r="BB13" s="308">
        <f t="shared" si="2"/>
        <v>205364.05409337496</v>
      </c>
      <c r="BC13" s="330">
        <f t="shared" si="16"/>
        <v>210272.83492670828</v>
      </c>
      <c r="BD13" s="330"/>
      <c r="BE13" s="331"/>
      <c r="BF13" s="331">
        <f>_xlfn.IFNA((VLOOKUP($A13,HN!$A:$K,8,FALSE)/12),0)</f>
        <v>0</v>
      </c>
      <c r="BG13" s="331">
        <f>_xlfn.IFNA((VLOOKUP($A13,HN!$A:$BS,14,FALSE)/12),0)</f>
        <v>0</v>
      </c>
      <c r="BH13" s="331">
        <f>_xlfn.IFNA(VLOOKUP($A13,'Post 16'!$A:$V,21,FALSE),0)/4</f>
        <v>0</v>
      </c>
      <c r="BI13" s="331"/>
      <c r="BJ13" s="331">
        <f>_xlfn.IFNA((VLOOKUP($A13,HN!$A:$K,9,FALSE)/12),0)+_xlfn.IFNA((VLOOKUP($A13,HN!$A:$K,10,FALSE)/12),0)</f>
        <v>0</v>
      </c>
      <c r="BK13" s="331">
        <f>_xlfn.IFNA((VLOOKUP($A13,HN!$A:$BS,15,FALSE)/12),0)</f>
        <v>0</v>
      </c>
      <c r="BL13" s="330">
        <f t="shared" si="17"/>
        <v>-854.11999999999989</v>
      </c>
      <c r="BM13" s="330">
        <f t="shared" si="18"/>
        <v>-4054.6608333333334</v>
      </c>
      <c r="BN13" s="331"/>
      <c r="BO13" s="331">
        <f>_xlfn.IFNA(VLOOKUP(A13,'Cash Advances'!A:K,11,FALSE),0)</f>
        <v>0</v>
      </c>
      <c r="BP13" s="330">
        <f t="shared" si="3"/>
        <v>205364.05409337496</v>
      </c>
      <c r="BQ13" s="322">
        <f t="shared" si="19"/>
        <v>210272.83492670828</v>
      </c>
      <c r="BR13" s="322"/>
      <c r="BS13" s="323"/>
      <c r="BT13" s="323">
        <f>_xlfn.IFNA((VLOOKUP($A13,HN!$A:$K,8,FALSE)/12),0)</f>
        <v>0</v>
      </c>
      <c r="BU13" s="323">
        <f>_xlfn.IFNA((VLOOKUP($A13,HN!$A:$BS,14,FALSE)/12),0)</f>
        <v>0</v>
      </c>
      <c r="BV13" s="323">
        <f>(_xlfn.IFNA(VLOOKUP($A13,'Post 16'!$A:$AV,32,FALSE),0)/8)+_xlfn.IFNA(VLOOKUP($A13,'Post 16'!$A:$AR,40,FALSE),0)</f>
        <v>0</v>
      </c>
      <c r="BW13" s="323"/>
      <c r="BX13" s="323">
        <f>_xlfn.IFNA((VLOOKUP($A13,HN!$A:$K,9,FALSE)/12),0)+_xlfn.IFNA((VLOOKUP($A13,HN!$A:$K,10,FALSE)/12),0)</f>
        <v>0</v>
      </c>
      <c r="BY13" s="323">
        <f>_xlfn.IFNA((VLOOKUP($A13,HN!$A:$BS,15,FALSE)/12),0)</f>
        <v>0</v>
      </c>
      <c r="BZ13" s="322">
        <f t="shared" si="20"/>
        <v>-854.11999999999989</v>
      </c>
      <c r="CA13" s="322">
        <f t="shared" si="21"/>
        <v>-4054.6608333333334</v>
      </c>
      <c r="CB13" s="323"/>
      <c r="CC13" s="323"/>
      <c r="CD13" s="322">
        <f t="shared" si="4"/>
        <v>205364.05409337496</v>
      </c>
      <c r="CE13" s="357">
        <f t="shared" si="22"/>
        <v>210272.83492670828</v>
      </c>
      <c r="CF13" s="357">
        <f>(VLOOKUP($A13,EY!$A:$BS,26,FALSE)-(VLOOKUP($A13,EY!A:CR,24,FALSE)*80%))+VLOOKUP($A13,EY!$A:$BS,42,FALSE)+(VLOOKUP($A13,EY!A:CC,74,FALSE)-VLOOKUP($A13,EY!A:CC,72,FALSE))</f>
        <v>21925.019999999997</v>
      </c>
      <c r="CG13" s="358"/>
      <c r="CH13" s="358">
        <f>_xlfn.IFNA((VLOOKUP($A13,HN!$A:$K,8,FALSE)/12),0)</f>
        <v>0</v>
      </c>
      <c r="CI13" s="358">
        <f>_xlfn.IFNA((VLOOKUP($A13,HN!$A:$BS,14,FALSE)/12),0)</f>
        <v>0</v>
      </c>
      <c r="CJ13" s="358">
        <f>(_xlfn.IFNA(VLOOKUP($A13,'Post 16'!$A:$AV,32,FALSE),0)/8)</f>
        <v>0</v>
      </c>
      <c r="CK13" s="358">
        <f>(VLOOKUP($A13,EY!A:CR,24,FALSE)*80%)+VLOOKUP($A13,EY!A:CC,72,FALSE)</f>
        <v>0</v>
      </c>
      <c r="CL13" s="358">
        <f>_xlfn.IFNA((VLOOKUP($A13,HN!$A:$K,9,FALSE)/12),0)+_xlfn.IFNA((VLOOKUP($A13,HN!$A:$K,10,FALSE)/12),0)</f>
        <v>0</v>
      </c>
      <c r="CM13" s="358">
        <f>_xlfn.IFNA((VLOOKUP($A13,HN!$A:$BS,15,FALSE)/12),0)</f>
        <v>0</v>
      </c>
      <c r="CN13" s="357">
        <f t="shared" si="23"/>
        <v>-854.11999999999989</v>
      </c>
      <c r="CO13" s="357">
        <f t="shared" si="24"/>
        <v>-4054.6608333333334</v>
      </c>
      <c r="CP13" s="358">
        <f>_xlfn.IFNA(VLOOKUP(A13,'LA Deductions'!A:W,23,FALSE),0)</f>
        <v>-9471</v>
      </c>
      <c r="CQ13" s="358">
        <f>_xlfn.IFNA(VLOOKUP($A13,'Cash Advances'!$A:$S,13,FALSE),0)</f>
        <v>0</v>
      </c>
      <c r="CR13" s="358">
        <f>_xlfn.IFNA(VLOOKUP(A13,'LA Deductions'!A:AZ,25,FALSE),0)/9*3</f>
        <v>0</v>
      </c>
      <c r="CS13" s="357">
        <f t="shared" si="25"/>
        <v>217818.07409337495</v>
      </c>
      <c r="CT13" s="337">
        <f t="shared" si="26"/>
        <v>210272.83492670828</v>
      </c>
      <c r="CU13" s="337"/>
      <c r="CV13" s="338">
        <f>_xlfn.IFNA(VLOOKUP(A13,'LA Deductions'!$A$6:$AN$207,34,FALSE),0)</f>
        <v>0</v>
      </c>
      <c r="CW13" s="338">
        <f>_xlfn.IFNA((VLOOKUP($A13,HN!$A:$K,8,FALSE)/12),0)</f>
        <v>0</v>
      </c>
      <c r="CX13" s="338">
        <f>_xlfn.IFNA((VLOOKUP($A13,HN!$A:$BS,14,FALSE)/12),0)</f>
        <v>0</v>
      </c>
      <c r="CY13" s="338">
        <f>_xlfn.IFNA(VLOOKUP($A13,'Post 16'!$A:$AV,32,FALSE),0)/8</f>
        <v>0</v>
      </c>
      <c r="CZ13" s="338"/>
      <c r="DA13" s="338">
        <f>_xlfn.IFNA((VLOOKUP($A13,HN!$A:$K,9,FALSE)/12),0)+_xlfn.IFNA((VLOOKUP($A13,HN!$A:$K,10,FALSE)/12),0)</f>
        <v>0</v>
      </c>
      <c r="DB13" s="338">
        <f>_xlfn.IFNA((VLOOKUP($A13,HN!$A:$BS,15,FALSE)/12),0)</f>
        <v>0</v>
      </c>
      <c r="DC13" s="337">
        <f t="shared" si="27"/>
        <v>-854.11999999999989</v>
      </c>
      <c r="DD13" s="337">
        <f t="shared" si="28"/>
        <v>-4054.6608333333334</v>
      </c>
      <c r="DE13" s="338"/>
      <c r="DF13" s="338">
        <f>_xlfn.IFNA(VLOOKUP($A13,'Cash Advances'!$A:$S,14,FALSE),0)</f>
        <v>0</v>
      </c>
      <c r="DG13" s="338">
        <f>(_xlfn.IFNA(VLOOKUP(A13,'LA Deductions'!A:AZ,25,FALSE),0)/9)+(_xlfn.IFNA(VLOOKUP(A13,'LA Deductions'!A:AZ,26,FALSE),0))</f>
        <v>0</v>
      </c>
      <c r="DH13" s="337">
        <f t="shared" si="29"/>
        <v>205364.05409337496</v>
      </c>
      <c r="DI13" s="330">
        <f t="shared" si="30"/>
        <v>210272.83492670828</v>
      </c>
      <c r="DJ13" s="330"/>
      <c r="DK13" s="331"/>
      <c r="DL13" s="331">
        <f>_xlfn.IFNA((VLOOKUP($A13,HN!$A:$K,8,FALSE)/12),0)+_xlfn.IFNA((VLOOKUP($A13,HN!$A:$AF,32,FALSE)*8/12),0)</f>
        <v>0</v>
      </c>
      <c r="DM13" s="331">
        <f>_xlfn.IFNA((VLOOKUP($A13,HN!$A:$BS,14,FALSE)/12),0)+_xlfn.IFNA(VLOOKUP($A13,HN!$A:$BS,31,FALSE),0)</f>
        <v>0</v>
      </c>
      <c r="DN13" s="331">
        <f>_xlfn.IFNA(VLOOKUP($A13,'Post 16'!$A:$AV,32,FALSE),0)/8</f>
        <v>0</v>
      </c>
      <c r="DO13" s="331"/>
      <c r="DP13" s="331">
        <f>_xlfn.IFNA((VLOOKUP($A13,HN!$A:$K,9,FALSE)/12),0)+_xlfn.IFNA((VLOOKUP($A13,HN!$A:$K,10,FALSE)/12),0)+_xlfn.IFNA((VLOOKUP($A13,HN!$A:$BZ,33,FALSE)*8/12),0)</f>
        <v>0</v>
      </c>
      <c r="DQ13" s="331">
        <f>_xlfn.IFNA((VLOOKUP($A13,HN!$A:$BS,15,FALSE)/12),0)</f>
        <v>0</v>
      </c>
      <c r="DR13" s="330">
        <f t="shared" si="31"/>
        <v>-854.11999999999989</v>
      </c>
      <c r="DS13" s="330">
        <f t="shared" si="32"/>
        <v>-4054.6608333333334</v>
      </c>
      <c r="DT13" s="331"/>
      <c r="DU13" s="331"/>
      <c r="DV13" s="331">
        <f>(_xlfn.IFNA(VLOOKUP(A13,'LA Deductions'!A:AZ,25,FALSE),0)/9)+_xlfn.IFNA(VLOOKUP(A13,'LA Deductions'!A:AZ,27,FALSE),0)</f>
        <v>0</v>
      </c>
      <c r="DW13" s="330">
        <f t="shared" si="33"/>
        <v>205364.05409337496</v>
      </c>
      <c r="DX13" s="344">
        <f t="shared" si="34"/>
        <v>210272.83492670828</v>
      </c>
      <c r="DY13" s="344"/>
      <c r="DZ13" s="345"/>
      <c r="EA13" s="345">
        <f>_xlfn.IFNA((VLOOKUP($A13,HN!$A:$K,8,FALSE)/12),0)+_xlfn.IFNA((VLOOKUP($A13,HN!$A:$AF,32,FALSE)*1/12),0)</f>
        <v>0</v>
      </c>
      <c r="EB13" s="345">
        <f>_xlfn.IFNA((VLOOKUP($A13,HN!$A:$BS,14,FALSE)/12),0)</f>
        <v>0</v>
      </c>
      <c r="EC13" s="345">
        <f>_xlfn.IFNA(VLOOKUP($A13,'Post 16'!$A:$AV,32,FALSE),0)/8</f>
        <v>0</v>
      </c>
      <c r="ED13" s="345"/>
      <c r="EE13" s="345">
        <f>_xlfn.IFNA((VLOOKUP($A13,HN!$A:$K,9,FALSE)/12),0)+_xlfn.IFNA((VLOOKUP($A13,HN!$A:$K,10,FALSE)/12),0)+_xlfn.IFNA((VLOOKUP($A13,HN!$A:$BZ,33,FALSE)/12),0)</f>
        <v>0</v>
      </c>
      <c r="EF13" s="345">
        <f>_xlfn.IFNA((VLOOKUP($A13,HN!$A:$BS,15,FALSE)/12),0)</f>
        <v>0</v>
      </c>
      <c r="EG13" s="344">
        <f t="shared" si="35"/>
        <v>-854.11999999999989</v>
      </c>
      <c r="EH13" s="344">
        <f t="shared" si="36"/>
        <v>-4054.6608333333334</v>
      </c>
      <c r="EI13" s="345"/>
      <c r="EJ13" s="345">
        <f>_xlfn.IFNA(VLOOKUP(A13,'Cash Advances'!A:P,16,FALSE),0)</f>
        <v>0</v>
      </c>
      <c r="EK13" s="345">
        <f>_xlfn.IFNA(VLOOKUP(A13,'LA Deductions'!A:AZ,25,FALSE),0)/9</f>
        <v>0</v>
      </c>
      <c r="EL13" s="344">
        <f t="shared" si="37"/>
        <v>205364.05409337496</v>
      </c>
      <c r="EM13" s="308">
        <f t="shared" si="38"/>
        <v>210272.83492670828</v>
      </c>
      <c r="EN13" s="308">
        <f>((VLOOKUP($A13,EY!$A:$BS,35,FALSE)-(VLOOKUP($A13,EY!$A:$BS,33,FALSE)*80%))+VLOOKUP($A13,EY!$A:$BS,43,FALSE))+(VLOOKUP(A13,EY!A:DF,110,FALSE)-VLOOKUP(A13,EY!A:DD,108,FALSE))+(VLOOKUP(A13,EY!A:CE,83,FALSE)-VLOOKUP(A13,EY!A:CC,81,FALSE))</f>
        <v>54549.001578947384</v>
      </c>
      <c r="EO13" s="309"/>
      <c r="EP13" s="309">
        <f>_xlfn.IFNA((VLOOKUP($A13,HN!$A:$K,8,FALSE)/12),0)+_xlfn.IFNA((VLOOKUP($A13,HN!$A:$AF,32,FALSE)*1/12),0)</f>
        <v>0</v>
      </c>
      <c r="EQ13" s="309">
        <f>_xlfn.IFNA((VLOOKUP($A13,HN!$A:$BS,14,FALSE)/12),0)+_xlfn.IFNA((VLOOKUP($A13,HN!$A:$BS,34,FALSE)/3),0)</f>
        <v>0</v>
      </c>
      <c r="ER13" s="309">
        <f>_xlfn.IFNA(VLOOKUP($A13,'Post 16'!$A:$AV,32,FALSE),0)/8</f>
        <v>0</v>
      </c>
      <c r="ES13" s="309">
        <f>((VLOOKUP($A13,EY!A:EV,33,FALSE)*80%))+VLOOKUP(A13,EY!A:DD,108,FALSE)+VLOOKUP(A13,EY!A:CC,81,FALSE)</f>
        <v>0</v>
      </c>
      <c r="ET13" s="309">
        <f>_xlfn.IFNA((VLOOKUP($A13,HN!$A:$K,9,FALSE)/12),0)+_xlfn.IFNA((VLOOKUP($A13,HN!$A:$K,10,FALSE)/12),0)+_xlfn.IFNA((VLOOKUP($A13,HN!$A:$BZ,33,FALSE)/12),0)</f>
        <v>0</v>
      </c>
      <c r="EU13" s="309">
        <f>_xlfn.IFNA((VLOOKUP($A13,HN!$A:$BS,15,FALSE)/12),0)</f>
        <v>0</v>
      </c>
      <c r="EV13" s="308">
        <f t="shared" si="39"/>
        <v>-854.11999999999989</v>
      </c>
      <c r="EW13" s="308">
        <f t="shared" si="40"/>
        <v>-4054.6608333333334</v>
      </c>
      <c r="EX13" s="309"/>
      <c r="EY13" s="309">
        <f>_xlfn.IFNA(VLOOKUP($A13,'Cash Advances'!$A:$S,17,FALSE),0)</f>
        <v>0</v>
      </c>
      <c r="EZ13" s="309">
        <f>_xlfn.IFNA(VLOOKUP(A13,'LA Deductions'!A:AZ,25,FALSE),0)/9</f>
        <v>0</v>
      </c>
      <c r="FA13" s="308">
        <f t="shared" si="41"/>
        <v>259913.05567232234</v>
      </c>
      <c r="FB13" s="315">
        <f t="shared" si="42"/>
        <v>210272.83492670828</v>
      </c>
      <c r="FC13" s="315"/>
      <c r="FD13" s="316"/>
      <c r="FE13" s="316">
        <f>_xlfn.IFNA((VLOOKUP($A13,HN!$A:$K,8,FALSE)/12),0)+_xlfn.IFNA((VLOOKUP($A13,HN!$A:$AF,32,FALSE)*1/12),0)</f>
        <v>0</v>
      </c>
      <c r="FF13" s="316">
        <f>_xlfn.IFNA((VLOOKUP($A13,HN!$A:$BS,14,FALSE)/12),0)+_xlfn.IFNA((VLOOKUP($A13,HN!$A:$BS,34,FALSE)/3),0)</f>
        <v>0</v>
      </c>
      <c r="FG13" s="316">
        <f>_xlfn.IFNA(VLOOKUP($A13,'Post 16'!$A:$AV,32,FALSE),0)/8</f>
        <v>0</v>
      </c>
      <c r="FH13" s="316"/>
      <c r="FI13" s="316">
        <f>_xlfn.IFNA((VLOOKUP($A13,HN!$A:$K,9,FALSE)/12),0)+_xlfn.IFNA((VLOOKUP($A13,HN!$A:$K,10,FALSE)/12),0)+_xlfn.IFNA((VLOOKUP($A13,HN!$A:$BZ,33,FALSE)/12),0)+_xlfn.IFNA((VLOOKUP($A13,HN!$A:$BZ,35,FALSE)/2),0)</f>
        <v>0</v>
      </c>
      <c r="FJ13" s="316">
        <f>_xlfn.IFNA((VLOOKUP($A13,HN!$A:$BS,15,FALSE)/12),0)+_xlfn.IFNA((VLOOKUP($A13,HN!$A:$CZ,36,FALSE)/2),0)</f>
        <v>0</v>
      </c>
      <c r="FK13" s="315">
        <f t="shared" si="43"/>
        <v>-854.11999999999989</v>
      </c>
      <c r="FL13" s="315">
        <f t="shared" si="44"/>
        <v>-4054.6608333333334</v>
      </c>
      <c r="FM13" s="316"/>
      <c r="FN13" s="316">
        <f>_xlfn.IFNA(VLOOKUP($A13,'Cash Advances'!$A:$S,18,FALSE),0)</f>
        <v>0</v>
      </c>
      <c r="FO13" s="316">
        <f>_xlfn.IFNA(VLOOKUP(A13,'LA Deductions'!A:AZ,25,FALSE),0)/9</f>
        <v>0</v>
      </c>
      <c r="FP13" s="315">
        <f t="shared" si="45"/>
        <v>205364.05409337496</v>
      </c>
      <c r="FQ13" s="322">
        <f t="shared" si="46"/>
        <v>210272.83492670828</v>
      </c>
      <c r="FR13" s="322"/>
      <c r="FS13" s="323"/>
      <c r="FT13" s="323">
        <f>_xlfn.IFNA((VLOOKUP($A13,HN!$A:$K,8,FALSE)/12),0)+_xlfn.IFNA((VLOOKUP($A13,HN!$A:$AF,32,FALSE)*1/12),0)</f>
        <v>0</v>
      </c>
      <c r="FU13" s="323">
        <f>_xlfn.IFNA((VLOOKUP($A13,HN!$A:$BS,14,FALSE)/12),0)+_xlfn.IFNA((VLOOKUP($A13,HN!$A:$BS,34,FALSE)/3),0)</f>
        <v>0</v>
      </c>
      <c r="FV13" s="323">
        <f>_xlfn.IFNA(VLOOKUP($A13,'Post 16'!$A:$AV,32,FALSE),0)/8</f>
        <v>0</v>
      </c>
      <c r="FW13" s="323"/>
      <c r="FX13" s="323">
        <f>_xlfn.IFNA((VLOOKUP($A13,HN!$A:$K,9,FALSE)/12),0)+_xlfn.IFNA((VLOOKUP($A13,HN!$A:$K,10,FALSE)/12),0)+_xlfn.IFNA((VLOOKUP($A13,HN!$A:$BZ,33,FALSE)/12),0)+_xlfn.IFNA((VLOOKUP($A13,HN!$A:$BZ,35,FALSE)/2),0)</f>
        <v>0</v>
      </c>
      <c r="FY13" s="323">
        <f>_xlfn.IFNA((VLOOKUP($A13,HN!$A:$BS,15,FALSE)/12),0)+_xlfn.IFNA((VLOOKUP($A13,HN!$A:$CZ,36,FALSE)/2),0)</f>
        <v>0</v>
      </c>
      <c r="FZ13" s="322">
        <f t="shared" si="47"/>
        <v>-854.11999999999989</v>
      </c>
      <c r="GA13" s="322">
        <f t="shared" si="48"/>
        <v>-4054.6608333333334</v>
      </c>
      <c r="GB13" s="323"/>
      <c r="GC13" s="323"/>
      <c r="GD13" s="323">
        <f>_xlfn.IFNA(VLOOKUP(A13,'LA Deductions'!A:AZ,25,FALSE),0)/9</f>
        <v>0</v>
      </c>
      <c r="GE13" s="322">
        <f t="shared" si="49"/>
        <v>205364.05409337496</v>
      </c>
      <c r="GG13" s="146">
        <f t="shared" si="5"/>
        <v>2650632.1206994471</v>
      </c>
      <c r="GH13" s="146">
        <f t="shared" si="5"/>
        <v>0</v>
      </c>
      <c r="GI13" s="146">
        <f t="shared" si="5"/>
        <v>0</v>
      </c>
      <c r="GJ13" s="146">
        <f t="shared" si="5"/>
        <v>-10249.439999999999</v>
      </c>
      <c r="GK13" s="146">
        <f t="shared" si="5"/>
        <v>-48655.930000000015</v>
      </c>
      <c r="GL13" s="146">
        <f t="shared" si="5"/>
        <v>-9471</v>
      </c>
      <c r="GN13" s="146">
        <f t="shared" si="6"/>
        <v>2650632.1206994471</v>
      </c>
      <c r="GO13" s="146">
        <f t="shared" si="6"/>
        <v>0</v>
      </c>
      <c r="GP13" s="146">
        <f t="shared" si="6"/>
        <v>0</v>
      </c>
      <c r="GQ13" s="146">
        <f t="shared" si="6"/>
        <v>-10249.439999999999</v>
      </c>
      <c r="GR13" s="146">
        <f t="shared" si="6"/>
        <v>-48655.930000000015</v>
      </c>
      <c r="GS13" s="146">
        <f t="shared" si="6"/>
        <v>-9471</v>
      </c>
      <c r="GU13" s="146"/>
      <c r="GV13" s="57"/>
    </row>
    <row r="14" spans="1:205">
      <c r="A14" s="185">
        <v>2479</v>
      </c>
      <c r="B14" s="185">
        <v>132074</v>
      </c>
      <c r="C14" s="185" t="s">
        <v>41</v>
      </c>
      <c r="D14" s="2" t="s">
        <v>42</v>
      </c>
      <c r="E14" s="191" t="s">
        <v>32</v>
      </c>
      <c r="F14" s="191" t="s">
        <v>912</v>
      </c>
      <c r="H14" s="279">
        <f>_xlfn.IFNA(VLOOKUP($A14,ISB!$A$4:$BY$454,67,FALSE),0)</f>
        <v>3856658.096399745</v>
      </c>
      <c r="I14" s="279">
        <f>_xlfn.IFNA(VLOOKUP($A14,ISB!$A$4:$BY$454,72,FALSE),0)</f>
        <v>-16326.079999999998</v>
      </c>
      <c r="J14" s="279">
        <f>-_xlfn.IFNA(VLOOKUP($A14,ISB!$A$4:$BY$454,76,FALSE),0)</f>
        <v>-31269.81</v>
      </c>
      <c r="K14" s="279">
        <f>_xlfn.IFNA(VLOOKUP($A14,ISB!$A$4:$BY$454,77,FALSE),0)</f>
        <v>3809062.2063997448</v>
      </c>
      <c r="M14" s="301">
        <f t="shared" si="7"/>
        <v>321388.17469997873</v>
      </c>
      <c r="N14" s="301">
        <f>VLOOKUP($A14,EY!$A:$H,8,FALSE)+(VLOOKUP($A14,EY!$A:$BS,17,FALSE)-S14)+VLOOKUP($A14,EY!$A:$BS,41,FALSE)</f>
        <v>89553.551578947387</v>
      </c>
      <c r="O14" s="302"/>
      <c r="P14" s="302">
        <f>_xlfn.IFNA((VLOOKUP($A14,HN!$A:$K,8,FALSE)/12),0)</f>
        <v>0</v>
      </c>
      <c r="Q14" s="302">
        <f>_xlfn.IFNA((VLOOKUP($A14,HN!$A:$BS,14,FALSE)/12),0)</f>
        <v>5000</v>
      </c>
      <c r="R14" s="302">
        <f>_xlfn.IFNA(VLOOKUP($A14,'Post 16'!$A:$V,21,FALSE),0)/4</f>
        <v>0</v>
      </c>
      <c r="S14" s="302">
        <f>VLOOKUP($A14,EY!A:Q,15,FALSE)*80%</f>
        <v>0</v>
      </c>
      <c r="T14" s="302">
        <f>_xlfn.IFNA((VLOOKUP($A14,HN!$A:$K,9,FALSE)/12),0)+_xlfn.IFNA((VLOOKUP($A14,HN!$A:$K,10,FALSE)/12),0)</f>
        <v>0</v>
      </c>
      <c r="U14" s="302">
        <f>_xlfn.IFNA((VLOOKUP($A14,HN!$A:$BS,15,FALSE)/12),0)</f>
        <v>10523.170833333334</v>
      </c>
      <c r="V14" s="301">
        <f t="shared" si="8"/>
        <v>-1360.5066666666664</v>
      </c>
      <c r="W14" s="301">
        <f t="shared" si="9"/>
        <v>-2605.8175000000001</v>
      </c>
      <c r="X14" s="302"/>
      <c r="Y14" s="302">
        <f>_xlfn.IFNA(VLOOKUP($A14,'Cash Advances'!$A:$S,8,FALSE),0)</f>
        <v>0</v>
      </c>
      <c r="Z14" s="301">
        <f t="shared" si="0"/>
        <v>422498.57294559281</v>
      </c>
      <c r="AA14" s="315">
        <f t="shared" si="10"/>
        <v>321388.17469997873</v>
      </c>
      <c r="AB14" s="315"/>
      <c r="AC14" s="316"/>
      <c r="AD14" s="316">
        <f>_xlfn.IFNA((VLOOKUP($A14,HN!$A:$K,8,FALSE)/12),0)</f>
        <v>0</v>
      </c>
      <c r="AE14" s="316">
        <f>_xlfn.IFNA((VLOOKUP($A14,HN!$A:$BS,14,FALSE)/12),0)</f>
        <v>5000</v>
      </c>
      <c r="AF14" s="316">
        <f>_xlfn.IFNA(VLOOKUP($A14,'Post 16'!$A:$V,21,FALSE),0)/4</f>
        <v>0</v>
      </c>
      <c r="AG14" s="316"/>
      <c r="AH14" s="316">
        <f>_xlfn.IFNA((VLOOKUP($A14,HN!$A:$K,9,FALSE)/12),0)+_xlfn.IFNA((VLOOKUP($A14,HN!$A:$K,10,FALSE)/12),0)</f>
        <v>0</v>
      </c>
      <c r="AI14" s="316">
        <f>_xlfn.IFNA((VLOOKUP($A14,HN!$A:$BS,15,FALSE)/12),0)</f>
        <v>10523.170833333334</v>
      </c>
      <c r="AJ14" s="315">
        <f t="shared" si="11"/>
        <v>-1360.5066666666664</v>
      </c>
      <c r="AK14" s="315">
        <f t="shared" si="12"/>
        <v>-2605.8175000000001</v>
      </c>
      <c r="AL14" s="316"/>
      <c r="AM14" s="316">
        <f>_xlfn.IFNA(VLOOKUP($A14,'Cash Advances'!$A:$S,9,FALSE),0)</f>
        <v>0</v>
      </c>
      <c r="AN14" s="315">
        <f t="shared" si="1"/>
        <v>332945.02136664541</v>
      </c>
      <c r="AO14" s="308">
        <f t="shared" si="13"/>
        <v>321388.17469997873</v>
      </c>
      <c r="AP14" s="308"/>
      <c r="AQ14" s="309"/>
      <c r="AR14" s="309">
        <f>_xlfn.IFNA((VLOOKUP($A14,HN!$A:$K,8,FALSE)/12),0)</f>
        <v>0</v>
      </c>
      <c r="AS14" s="309">
        <f>_xlfn.IFNA((VLOOKUP($A14,HN!$A:$BS,14,FALSE)/12),0)</f>
        <v>5000</v>
      </c>
      <c r="AT14" s="309">
        <f>_xlfn.IFNA(VLOOKUP($A14,'Post 16'!$A:$V,21,FALSE),0)/4</f>
        <v>0</v>
      </c>
      <c r="AU14" s="309"/>
      <c r="AV14" s="309">
        <f>_xlfn.IFNA((VLOOKUP($A14,HN!$A:$K,9,FALSE)/12),0)+_xlfn.IFNA((VLOOKUP($A14,HN!$A:$K,10,FALSE)/12),0)+_xlfn.IFNA(VLOOKUP(A14,HN!A:V,19,FALSE),0)+_xlfn.IFNA(VLOOKUP(A14,HN!A:V,20,FALSE),0)+_xlfn.IFNA(VLOOKUP(A14,HN!A:V,21,FALSE),0)</f>
        <v>0</v>
      </c>
      <c r="AW14" s="309">
        <f>_xlfn.IFNA((VLOOKUP($A14,HN!$A:$BS,15,FALSE)/12),0)</f>
        <v>10523.170833333334</v>
      </c>
      <c r="AX14" s="308">
        <f t="shared" si="14"/>
        <v>-1360.5066666666664</v>
      </c>
      <c r="AY14" s="308">
        <f t="shared" si="15"/>
        <v>-2605.8175000000001</v>
      </c>
      <c r="AZ14" s="309"/>
      <c r="BA14" s="309">
        <f>_xlfn.IFNA(VLOOKUP($A14,'Cash Advances'!$A:$S,10,FALSE),0)</f>
        <v>0</v>
      </c>
      <c r="BB14" s="308">
        <f t="shared" si="2"/>
        <v>332945.02136664541</v>
      </c>
      <c r="BC14" s="330">
        <f t="shared" si="16"/>
        <v>321388.17469997873</v>
      </c>
      <c r="BD14" s="330"/>
      <c r="BE14" s="331"/>
      <c r="BF14" s="331">
        <f>_xlfn.IFNA((VLOOKUP($A14,HN!$A:$K,8,FALSE)/12),0)</f>
        <v>0</v>
      </c>
      <c r="BG14" s="331">
        <f>_xlfn.IFNA((VLOOKUP($A14,HN!$A:$BS,14,FALSE)/12),0)</f>
        <v>5000</v>
      </c>
      <c r="BH14" s="331">
        <f>_xlfn.IFNA(VLOOKUP($A14,'Post 16'!$A:$V,21,FALSE),0)/4</f>
        <v>0</v>
      </c>
      <c r="BI14" s="331"/>
      <c r="BJ14" s="331">
        <f>_xlfn.IFNA((VLOOKUP($A14,HN!$A:$K,9,FALSE)/12),0)+_xlfn.IFNA((VLOOKUP($A14,HN!$A:$K,10,FALSE)/12),0)</f>
        <v>0</v>
      </c>
      <c r="BK14" s="331">
        <f>_xlfn.IFNA((VLOOKUP($A14,HN!$A:$BS,15,FALSE)/12),0)</f>
        <v>10523.170833333334</v>
      </c>
      <c r="BL14" s="330">
        <f t="shared" si="17"/>
        <v>-1360.5066666666664</v>
      </c>
      <c r="BM14" s="330">
        <f t="shared" si="18"/>
        <v>-2605.8175000000001</v>
      </c>
      <c r="BN14" s="331"/>
      <c r="BO14" s="331">
        <f>_xlfn.IFNA(VLOOKUP(A14,'Cash Advances'!A:K,11,FALSE),0)</f>
        <v>0</v>
      </c>
      <c r="BP14" s="330">
        <f t="shared" si="3"/>
        <v>332945.02136664541</v>
      </c>
      <c r="BQ14" s="322">
        <f t="shared" si="19"/>
        <v>321388.17469997873</v>
      </c>
      <c r="BR14" s="322"/>
      <c r="BS14" s="323"/>
      <c r="BT14" s="323">
        <f>_xlfn.IFNA((VLOOKUP($A14,HN!$A:$K,8,FALSE)/12),0)</f>
        <v>0</v>
      </c>
      <c r="BU14" s="323">
        <f>_xlfn.IFNA((VLOOKUP($A14,HN!$A:$BS,14,FALSE)/12),0)</f>
        <v>5000</v>
      </c>
      <c r="BV14" s="323">
        <f>(_xlfn.IFNA(VLOOKUP($A14,'Post 16'!$A:$AV,32,FALSE),0)/8)+_xlfn.IFNA(VLOOKUP($A14,'Post 16'!$A:$AR,40,FALSE),0)</f>
        <v>0</v>
      </c>
      <c r="BW14" s="323"/>
      <c r="BX14" s="323">
        <f>_xlfn.IFNA((VLOOKUP($A14,HN!$A:$K,9,FALSE)/12),0)+_xlfn.IFNA((VLOOKUP($A14,HN!$A:$K,10,FALSE)/12),0)</f>
        <v>0</v>
      </c>
      <c r="BY14" s="323">
        <f>_xlfn.IFNA((VLOOKUP($A14,HN!$A:$BS,15,FALSE)/12),0)</f>
        <v>10523.170833333334</v>
      </c>
      <c r="BZ14" s="322">
        <f t="shared" si="20"/>
        <v>-1360.5066666666664</v>
      </c>
      <c r="CA14" s="322">
        <f t="shared" si="21"/>
        <v>-2605.8175000000001</v>
      </c>
      <c r="CB14" s="323"/>
      <c r="CC14" s="323"/>
      <c r="CD14" s="322">
        <f t="shared" si="4"/>
        <v>332945.02136664541</v>
      </c>
      <c r="CE14" s="357">
        <f t="shared" si="22"/>
        <v>321388.17469997873</v>
      </c>
      <c r="CF14" s="357">
        <f>(VLOOKUP($A14,EY!$A:$BS,26,FALSE)-(VLOOKUP($A14,EY!A:CR,24,FALSE)*80%))+VLOOKUP($A14,EY!$A:$BS,42,FALSE)+(VLOOKUP($A14,EY!A:CC,74,FALSE)-VLOOKUP($A14,EY!A:CC,72,FALSE))</f>
        <v>76084.01894736843</v>
      </c>
      <c r="CG14" s="358"/>
      <c r="CH14" s="358">
        <f>_xlfn.IFNA((VLOOKUP($A14,HN!$A:$K,8,FALSE)/12),0)</f>
        <v>0</v>
      </c>
      <c r="CI14" s="358">
        <f>_xlfn.IFNA((VLOOKUP($A14,HN!$A:$BS,14,FALSE)/12),0)</f>
        <v>5000</v>
      </c>
      <c r="CJ14" s="358">
        <f>(_xlfn.IFNA(VLOOKUP($A14,'Post 16'!$A:$AV,32,FALSE),0)/8)</f>
        <v>0</v>
      </c>
      <c r="CK14" s="358">
        <f>(VLOOKUP($A14,EY!A:CR,24,FALSE)*80%)+VLOOKUP($A14,EY!A:CC,72,FALSE)</f>
        <v>0</v>
      </c>
      <c r="CL14" s="358">
        <f>_xlfn.IFNA((VLOOKUP($A14,HN!$A:$K,9,FALSE)/12),0)+_xlfn.IFNA((VLOOKUP($A14,HN!$A:$K,10,FALSE)/12),0)</f>
        <v>0</v>
      </c>
      <c r="CM14" s="358">
        <f>_xlfn.IFNA((VLOOKUP($A14,HN!$A:$BS,15,FALSE)/12),0)</f>
        <v>10523.170833333334</v>
      </c>
      <c r="CN14" s="357">
        <f t="shared" si="23"/>
        <v>-1360.5066666666664</v>
      </c>
      <c r="CO14" s="357">
        <f t="shared" si="24"/>
        <v>-2605.8175000000001</v>
      </c>
      <c r="CP14" s="358">
        <f>_xlfn.IFNA(VLOOKUP(A14,'LA Deductions'!A:W,23,FALSE),0)</f>
        <v>-18745.650000000001</v>
      </c>
      <c r="CQ14" s="358">
        <f>_xlfn.IFNA(VLOOKUP($A14,'Cash Advances'!$A:$S,13,FALSE),0)</f>
        <v>0</v>
      </c>
      <c r="CR14" s="358">
        <f>_xlfn.IFNA(VLOOKUP(A14,'LA Deductions'!A:AZ,25,FALSE),0)/9*3</f>
        <v>0</v>
      </c>
      <c r="CS14" s="357">
        <f t="shared" si="25"/>
        <v>390283.39031401381</v>
      </c>
      <c r="CT14" s="337">
        <f t="shared" si="26"/>
        <v>321388.17469997873</v>
      </c>
      <c r="CU14" s="337"/>
      <c r="CV14" s="338">
        <f>_xlfn.IFNA(VLOOKUP(A14,'LA Deductions'!$A$6:$AN$207,34,FALSE),0)</f>
        <v>0</v>
      </c>
      <c r="CW14" s="338">
        <f>_xlfn.IFNA((VLOOKUP($A14,HN!$A:$K,8,FALSE)/12),0)</f>
        <v>0</v>
      </c>
      <c r="CX14" s="338">
        <f>_xlfn.IFNA((VLOOKUP($A14,HN!$A:$BS,14,FALSE)/12),0)</f>
        <v>5000</v>
      </c>
      <c r="CY14" s="338">
        <f>_xlfn.IFNA(VLOOKUP($A14,'Post 16'!$A:$AV,32,FALSE),0)/8</f>
        <v>0</v>
      </c>
      <c r="CZ14" s="338"/>
      <c r="DA14" s="338">
        <f>_xlfn.IFNA((VLOOKUP($A14,HN!$A:$K,9,FALSE)/12),0)+_xlfn.IFNA((VLOOKUP($A14,HN!$A:$K,10,FALSE)/12),0)</f>
        <v>0</v>
      </c>
      <c r="DB14" s="338">
        <f>_xlfn.IFNA((VLOOKUP($A14,HN!$A:$BS,15,FALSE)/12),0)</f>
        <v>10523.170833333334</v>
      </c>
      <c r="DC14" s="337">
        <f t="shared" si="27"/>
        <v>-1360.5066666666664</v>
      </c>
      <c r="DD14" s="337">
        <f t="shared" si="28"/>
        <v>-2605.8175000000001</v>
      </c>
      <c r="DE14" s="338"/>
      <c r="DF14" s="338">
        <f>_xlfn.IFNA(VLOOKUP($A14,'Cash Advances'!$A:$S,14,FALSE),0)</f>
        <v>0</v>
      </c>
      <c r="DG14" s="338">
        <f>(_xlfn.IFNA(VLOOKUP(A14,'LA Deductions'!A:AZ,25,FALSE),0)/9)+(_xlfn.IFNA(VLOOKUP(A14,'LA Deductions'!A:AZ,26,FALSE),0))</f>
        <v>0</v>
      </c>
      <c r="DH14" s="337">
        <f t="shared" si="29"/>
        <v>332945.02136664541</v>
      </c>
      <c r="DI14" s="330">
        <f t="shared" si="30"/>
        <v>321388.17469997873</v>
      </c>
      <c r="DJ14" s="330"/>
      <c r="DK14" s="331"/>
      <c r="DL14" s="331">
        <f>_xlfn.IFNA((VLOOKUP($A14,HN!$A:$K,8,FALSE)/12),0)+_xlfn.IFNA((VLOOKUP($A14,HN!$A:$AF,32,FALSE)*8/12),0)</f>
        <v>0</v>
      </c>
      <c r="DM14" s="331">
        <f>_xlfn.IFNA((VLOOKUP($A14,HN!$A:$BS,14,FALSE)/12),0)+_xlfn.IFNA(VLOOKUP($A14,HN!$A:$BS,31,FALSE),0)</f>
        <v>5000</v>
      </c>
      <c r="DN14" s="331">
        <f>_xlfn.IFNA(VLOOKUP($A14,'Post 16'!$A:$AV,32,FALSE),0)/8</f>
        <v>0</v>
      </c>
      <c r="DO14" s="331"/>
      <c r="DP14" s="331">
        <f>_xlfn.IFNA((VLOOKUP($A14,HN!$A:$K,9,FALSE)/12),0)+_xlfn.IFNA((VLOOKUP($A14,HN!$A:$K,10,FALSE)/12),0)+_xlfn.IFNA((VLOOKUP($A14,HN!$A:$BZ,33,FALSE)*8/12),0)</f>
        <v>0</v>
      </c>
      <c r="DQ14" s="331">
        <f>_xlfn.IFNA((VLOOKUP($A14,HN!$A:$BS,15,FALSE)/12),0)</f>
        <v>10523.170833333334</v>
      </c>
      <c r="DR14" s="330">
        <f t="shared" si="31"/>
        <v>-1360.5066666666664</v>
      </c>
      <c r="DS14" s="330">
        <f t="shared" si="32"/>
        <v>-2605.8175000000001</v>
      </c>
      <c r="DT14" s="331"/>
      <c r="DU14" s="331"/>
      <c r="DV14" s="331">
        <f>(_xlfn.IFNA(VLOOKUP(A14,'LA Deductions'!A:AZ,25,FALSE),0)/9)+_xlfn.IFNA(VLOOKUP(A14,'LA Deductions'!A:AZ,27,FALSE),0)</f>
        <v>0</v>
      </c>
      <c r="DW14" s="330">
        <f t="shared" si="33"/>
        <v>332945.02136664541</v>
      </c>
      <c r="DX14" s="344">
        <f t="shared" si="34"/>
        <v>321388.17469997873</v>
      </c>
      <c r="DY14" s="344"/>
      <c r="DZ14" s="345"/>
      <c r="EA14" s="345">
        <f>_xlfn.IFNA((VLOOKUP($A14,HN!$A:$K,8,FALSE)/12),0)+_xlfn.IFNA((VLOOKUP($A14,HN!$A:$AF,32,FALSE)*1/12),0)</f>
        <v>0</v>
      </c>
      <c r="EB14" s="345">
        <f>_xlfn.IFNA((VLOOKUP($A14,HN!$A:$BS,14,FALSE)/12),0)</f>
        <v>5000</v>
      </c>
      <c r="EC14" s="345">
        <f>_xlfn.IFNA(VLOOKUP($A14,'Post 16'!$A:$AV,32,FALSE),0)/8</f>
        <v>0</v>
      </c>
      <c r="ED14" s="345"/>
      <c r="EE14" s="345">
        <f>_xlfn.IFNA((VLOOKUP($A14,HN!$A:$K,9,FALSE)/12),0)+_xlfn.IFNA((VLOOKUP($A14,HN!$A:$K,10,FALSE)/12),0)+_xlfn.IFNA((VLOOKUP($A14,HN!$A:$BZ,33,FALSE)/12),0)</f>
        <v>0</v>
      </c>
      <c r="EF14" s="345">
        <f>_xlfn.IFNA((VLOOKUP($A14,HN!$A:$BS,15,FALSE)/12),0)</f>
        <v>10523.170833333334</v>
      </c>
      <c r="EG14" s="344">
        <f t="shared" si="35"/>
        <v>-1360.5066666666664</v>
      </c>
      <c r="EH14" s="344">
        <f t="shared" si="36"/>
        <v>-2605.8175000000001</v>
      </c>
      <c r="EI14" s="345"/>
      <c r="EJ14" s="345">
        <f>_xlfn.IFNA(VLOOKUP(A14,'Cash Advances'!A:P,16,FALSE),0)</f>
        <v>0</v>
      </c>
      <c r="EK14" s="345">
        <f>_xlfn.IFNA(VLOOKUP(A14,'LA Deductions'!A:AZ,25,FALSE),0)/9</f>
        <v>0</v>
      </c>
      <c r="EL14" s="344">
        <f t="shared" si="37"/>
        <v>332945.02136664541</v>
      </c>
      <c r="EM14" s="308">
        <f t="shared" si="38"/>
        <v>321388.17469997873</v>
      </c>
      <c r="EN14" s="308">
        <f>((VLOOKUP($A14,EY!$A:$BS,35,FALSE)-(VLOOKUP($A14,EY!$A:$BS,33,FALSE)*80%))+VLOOKUP($A14,EY!$A:$BS,43,FALSE))+(VLOOKUP(A14,EY!A:DF,110,FALSE)-VLOOKUP(A14,EY!A:DD,108,FALSE))+(VLOOKUP(A14,EY!A:CE,83,FALSE)-VLOOKUP(A14,EY!A:CC,81,FALSE))</f>
        <v>67791.577894736853</v>
      </c>
      <c r="EO14" s="309"/>
      <c r="EP14" s="309">
        <f>_xlfn.IFNA((VLOOKUP($A14,HN!$A:$K,8,FALSE)/12),0)+_xlfn.IFNA((VLOOKUP($A14,HN!$A:$AF,32,FALSE)*1/12),0)</f>
        <v>0</v>
      </c>
      <c r="EQ14" s="309">
        <f>_xlfn.IFNA((VLOOKUP($A14,HN!$A:$BS,14,FALSE)/12),0)+_xlfn.IFNA((VLOOKUP($A14,HN!$A:$BS,34,FALSE)/3),0)</f>
        <v>5000</v>
      </c>
      <c r="ER14" s="309">
        <f>_xlfn.IFNA(VLOOKUP($A14,'Post 16'!$A:$AV,32,FALSE),0)/8</f>
        <v>0</v>
      </c>
      <c r="ES14" s="309">
        <f>((VLOOKUP($A14,EY!A:EV,33,FALSE)*80%))+VLOOKUP(A14,EY!A:DD,108,FALSE)+VLOOKUP(A14,EY!A:CC,81,FALSE)</f>
        <v>0</v>
      </c>
      <c r="ET14" s="309">
        <f>_xlfn.IFNA((VLOOKUP($A14,HN!$A:$K,9,FALSE)/12),0)+_xlfn.IFNA((VLOOKUP($A14,HN!$A:$K,10,FALSE)/12),0)+_xlfn.IFNA((VLOOKUP($A14,HN!$A:$BZ,33,FALSE)/12),0)</f>
        <v>0</v>
      </c>
      <c r="EU14" s="309">
        <f>_xlfn.IFNA((VLOOKUP($A14,HN!$A:$BS,15,FALSE)/12),0)</f>
        <v>10523.170833333334</v>
      </c>
      <c r="EV14" s="308">
        <f t="shared" si="39"/>
        <v>-1360.5066666666664</v>
      </c>
      <c r="EW14" s="308">
        <f t="shared" si="40"/>
        <v>-2605.8175000000001</v>
      </c>
      <c r="EX14" s="309"/>
      <c r="EY14" s="309">
        <f>_xlfn.IFNA(VLOOKUP($A14,'Cash Advances'!$A:$S,17,FALSE),0)</f>
        <v>0</v>
      </c>
      <c r="EZ14" s="309">
        <f>_xlfn.IFNA(VLOOKUP(A14,'LA Deductions'!A:AZ,25,FALSE),0)/9</f>
        <v>0</v>
      </c>
      <c r="FA14" s="308">
        <f t="shared" si="41"/>
        <v>400736.59926138225</v>
      </c>
      <c r="FB14" s="315">
        <f t="shared" si="42"/>
        <v>321388.17469997873</v>
      </c>
      <c r="FC14" s="315"/>
      <c r="FD14" s="316"/>
      <c r="FE14" s="316">
        <f>_xlfn.IFNA((VLOOKUP($A14,HN!$A:$K,8,FALSE)/12),0)+_xlfn.IFNA((VLOOKUP($A14,HN!$A:$AF,32,FALSE)*1/12),0)</f>
        <v>0</v>
      </c>
      <c r="FF14" s="316">
        <f>_xlfn.IFNA((VLOOKUP($A14,HN!$A:$BS,14,FALSE)/12),0)+_xlfn.IFNA((VLOOKUP($A14,HN!$A:$BS,34,FALSE)/3),0)</f>
        <v>5000</v>
      </c>
      <c r="FG14" s="316">
        <f>_xlfn.IFNA(VLOOKUP($A14,'Post 16'!$A:$AV,32,FALSE),0)/8</f>
        <v>0</v>
      </c>
      <c r="FH14" s="316"/>
      <c r="FI14" s="316">
        <f>_xlfn.IFNA((VLOOKUP($A14,HN!$A:$K,9,FALSE)/12),0)+_xlfn.IFNA((VLOOKUP($A14,HN!$A:$K,10,FALSE)/12),0)+_xlfn.IFNA((VLOOKUP($A14,HN!$A:$BZ,33,FALSE)/12),0)+_xlfn.IFNA((VLOOKUP($A14,HN!$A:$BZ,35,FALSE)/2),0)</f>
        <v>0</v>
      </c>
      <c r="FJ14" s="316">
        <f>_xlfn.IFNA((VLOOKUP($A14,HN!$A:$BS,15,FALSE)/12),0)+_xlfn.IFNA((VLOOKUP($A14,HN!$A:$CZ,36,FALSE)/2),0)</f>
        <v>7242.8808333333336</v>
      </c>
      <c r="FK14" s="315">
        <f t="shared" si="43"/>
        <v>-1360.5066666666664</v>
      </c>
      <c r="FL14" s="315">
        <f t="shared" si="44"/>
        <v>-2605.8175000000001</v>
      </c>
      <c r="FM14" s="316"/>
      <c r="FN14" s="316">
        <f>_xlfn.IFNA(VLOOKUP($A14,'Cash Advances'!$A:$S,18,FALSE),0)</f>
        <v>0</v>
      </c>
      <c r="FO14" s="316">
        <f>_xlfn.IFNA(VLOOKUP(A14,'LA Deductions'!A:AZ,25,FALSE),0)/9</f>
        <v>0</v>
      </c>
      <c r="FP14" s="315">
        <f t="shared" si="45"/>
        <v>329664.73136664543</v>
      </c>
      <c r="FQ14" s="322">
        <f t="shared" si="46"/>
        <v>321388.17469997873</v>
      </c>
      <c r="FR14" s="322"/>
      <c r="FS14" s="323"/>
      <c r="FT14" s="323">
        <f>_xlfn.IFNA((VLOOKUP($A14,HN!$A:$K,8,FALSE)/12),0)+_xlfn.IFNA((VLOOKUP($A14,HN!$A:$AF,32,FALSE)*1/12),0)</f>
        <v>0</v>
      </c>
      <c r="FU14" s="323">
        <f>_xlfn.IFNA((VLOOKUP($A14,HN!$A:$BS,14,FALSE)/12),0)+_xlfn.IFNA((VLOOKUP($A14,HN!$A:$BS,34,FALSE)/3),0)</f>
        <v>5000</v>
      </c>
      <c r="FV14" s="323">
        <f>_xlfn.IFNA(VLOOKUP($A14,'Post 16'!$A:$AV,32,FALSE),0)/8</f>
        <v>0</v>
      </c>
      <c r="FW14" s="323"/>
      <c r="FX14" s="323">
        <f>_xlfn.IFNA((VLOOKUP($A14,HN!$A:$K,9,FALSE)/12),0)+_xlfn.IFNA((VLOOKUP($A14,HN!$A:$K,10,FALSE)/12),0)+_xlfn.IFNA((VLOOKUP($A14,HN!$A:$BZ,33,FALSE)/12),0)+_xlfn.IFNA((VLOOKUP($A14,HN!$A:$BZ,35,FALSE)/2),0)</f>
        <v>0</v>
      </c>
      <c r="FY14" s="323">
        <f>_xlfn.IFNA((VLOOKUP($A14,HN!$A:$BS,15,FALSE)/12),0)+_xlfn.IFNA((VLOOKUP($A14,HN!$A:$CZ,36,FALSE)/2),0)</f>
        <v>7242.8808333333336</v>
      </c>
      <c r="FZ14" s="322">
        <f t="shared" si="47"/>
        <v>-1360.5066666666664</v>
      </c>
      <c r="GA14" s="322">
        <f t="shared" si="48"/>
        <v>-2605.8175000000001</v>
      </c>
      <c r="GB14" s="323"/>
      <c r="GC14" s="323"/>
      <c r="GD14" s="323">
        <f>_xlfn.IFNA(VLOOKUP(A14,'LA Deductions'!A:AZ,25,FALSE),0)/9</f>
        <v>0</v>
      </c>
      <c r="GE14" s="322">
        <f t="shared" si="49"/>
        <v>329664.73136664543</v>
      </c>
      <c r="GG14" s="146">
        <f t="shared" si="5"/>
        <v>4150087.2448207983</v>
      </c>
      <c r="GH14" s="146">
        <f t="shared" si="5"/>
        <v>0</v>
      </c>
      <c r="GI14" s="146">
        <f t="shared" si="5"/>
        <v>119717.47000000002</v>
      </c>
      <c r="GJ14" s="146">
        <f t="shared" si="5"/>
        <v>-16326.079999999996</v>
      </c>
      <c r="GK14" s="146">
        <f t="shared" si="5"/>
        <v>-31269.810000000009</v>
      </c>
      <c r="GL14" s="146">
        <f t="shared" si="5"/>
        <v>-18745.650000000001</v>
      </c>
      <c r="GN14" s="146">
        <f t="shared" si="6"/>
        <v>4150087.2448207983</v>
      </c>
      <c r="GO14" s="146">
        <f t="shared" si="6"/>
        <v>0</v>
      </c>
      <c r="GP14" s="146">
        <f t="shared" si="6"/>
        <v>119717.47000000002</v>
      </c>
      <c r="GQ14" s="146">
        <f t="shared" si="6"/>
        <v>-16326.079999999996</v>
      </c>
      <c r="GR14" s="146">
        <f t="shared" si="6"/>
        <v>-31269.810000000009</v>
      </c>
      <c r="GS14" s="146">
        <f t="shared" si="6"/>
        <v>-18745.650000000001</v>
      </c>
      <c r="GU14" s="146"/>
      <c r="GV14" s="57"/>
    </row>
    <row r="15" spans="1:205">
      <c r="A15" s="185">
        <v>2300</v>
      </c>
      <c r="B15" s="185">
        <v>103324</v>
      </c>
      <c r="C15" s="185" t="s">
        <v>43</v>
      </c>
      <c r="D15" s="2" t="s">
        <v>44</v>
      </c>
      <c r="E15" s="191" t="s">
        <v>32</v>
      </c>
      <c r="F15" s="191" t="s">
        <v>912</v>
      </c>
      <c r="H15" s="279">
        <f>_xlfn.IFNA(VLOOKUP($A15,ISB!$A$4:$BY$454,67,FALSE),0)</f>
        <v>3809477.4675876922</v>
      </c>
      <c r="I15" s="279">
        <f>_xlfn.IFNA(VLOOKUP($A15,ISB!$A$4:$BY$454,72,FALSE),0)</f>
        <v>-16665.12</v>
      </c>
      <c r="J15" s="279">
        <f>-_xlfn.IFNA(VLOOKUP($A15,ISB!$A$4:$BY$454,76,FALSE),0)</f>
        <v>-80893.09</v>
      </c>
      <c r="K15" s="279">
        <f>_xlfn.IFNA(VLOOKUP($A15,ISB!$A$4:$BY$454,77,FALSE),0)</f>
        <v>3711919.2575876922</v>
      </c>
      <c r="M15" s="301">
        <f t="shared" si="7"/>
        <v>317456.45563230768</v>
      </c>
      <c r="N15" s="301">
        <f>VLOOKUP($A15,EY!$A:$H,8,FALSE)+(VLOOKUP($A15,EY!$A:$BS,17,FALSE)-S15)+VLOOKUP($A15,EY!$A:$BS,41,FALSE)</f>
        <v>72683.520000000004</v>
      </c>
      <c r="O15" s="302"/>
      <c r="P15" s="302">
        <f>_xlfn.IFNA((VLOOKUP($A15,HN!$A:$K,8,FALSE)/12),0)</f>
        <v>0</v>
      </c>
      <c r="Q15" s="302">
        <f>_xlfn.IFNA((VLOOKUP($A15,HN!$A:$BS,14,FALSE)/12),0)</f>
        <v>0</v>
      </c>
      <c r="R15" s="302">
        <f>_xlfn.IFNA(VLOOKUP($A15,'Post 16'!$A:$V,21,FALSE),0)/4</f>
        <v>0</v>
      </c>
      <c r="S15" s="302">
        <f>VLOOKUP($A15,EY!A:Q,15,FALSE)*80%</f>
        <v>0</v>
      </c>
      <c r="T15" s="302">
        <f>_xlfn.IFNA((VLOOKUP($A15,HN!$A:$K,9,FALSE)/12),0)+_xlfn.IFNA((VLOOKUP($A15,HN!$A:$K,10,FALSE)/12),0)</f>
        <v>0</v>
      </c>
      <c r="U15" s="302">
        <f>_xlfn.IFNA((VLOOKUP($A15,HN!$A:$BS,15,FALSE)/12),0)</f>
        <v>0</v>
      </c>
      <c r="V15" s="301">
        <f t="shared" si="8"/>
        <v>-1388.76</v>
      </c>
      <c r="W15" s="301">
        <f t="shared" si="9"/>
        <v>-6741.0908333333327</v>
      </c>
      <c r="X15" s="302"/>
      <c r="Y15" s="302">
        <f>_xlfn.IFNA(VLOOKUP($A15,'Cash Advances'!$A:$S,8,FALSE),0)</f>
        <v>0</v>
      </c>
      <c r="Z15" s="301">
        <f t="shared" si="0"/>
        <v>382010.12479897437</v>
      </c>
      <c r="AA15" s="315">
        <f t="shared" si="10"/>
        <v>317456.45563230768</v>
      </c>
      <c r="AB15" s="315"/>
      <c r="AC15" s="316"/>
      <c r="AD15" s="316">
        <f>_xlfn.IFNA((VLOOKUP($A15,HN!$A:$K,8,FALSE)/12),0)</f>
        <v>0</v>
      </c>
      <c r="AE15" s="316">
        <f>_xlfn.IFNA((VLOOKUP($A15,HN!$A:$BS,14,FALSE)/12),0)</f>
        <v>0</v>
      </c>
      <c r="AF15" s="316">
        <f>_xlfn.IFNA(VLOOKUP($A15,'Post 16'!$A:$V,21,FALSE),0)/4</f>
        <v>0</v>
      </c>
      <c r="AG15" s="316"/>
      <c r="AH15" s="316">
        <f>_xlfn.IFNA((VLOOKUP($A15,HN!$A:$K,9,FALSE)/12),0)+_xlfn.IFNA((VLOOKUP($A15,HN!$A:$K,10,FALSE)/12),0)</f>
        <v>0</v>
      </c>
      <c r="AI15" s="316">
        <f>_xlfn.IFNA((VLOOKUP($A15,HN!$A:$BS,15,FALSE)/12),0)</f>
        <v>0</v>
      </c>
      <c r="AJ15" s="315">
        <f t="shared" si="11"/>
        <v>-1388.76</v>
      </c>
      <c r="AK15" s="315">
        <f t="shared" si="12"/>
        <v>-6741.0908333333327</v>
      </c>
      <c r="AL15" s="316"/>
      <c r="AM15" s="316">
        <f>_xlfn.IFNA(VLOOKUP($A15,'Cash Advances'!$A:$S,9,FALSE),0)</f>
        <v>0</v>
      </c>
      <c r="AN15" s="315">
        <f t="shared" si="1"/>
        <v>309326.60479897435</v>
      </c>
      <c r="AO15" s="308">
        <f t="shared" si="13"/>
        <v>317456.45563230768</v>
      </c>
      <c r="AP15" s="308"/>
      <c r="AQ15" s="309"/>
      <c r="AR15" s="309">
        <f>_xlfn.IFNA((VLOOKUP($A15,HN!$A:$K,8,FALSE)/12),0)</f>
        <v>0</v>
      </c>
      <c r="AS15" s="309">
        <f>_xlfn.IFNA((VLOOKUP($A15,HN!$A:$BS,14,FALSE)/12),0)</f>
        <v>0</v>
      </c>
      <c r="AT15" s="309">
        <f>_xlfn.IFNA(VLOOKUP($A15,'Post 16'!$A:$V,21,FALSE),0)/4</f>
        <v>0</v>
      </c>
      <c r="AU15" s="309"/>
      <c r="AV15" s="309">
        <f>_xlfn.IFNA((VLOOKUP($A15,HN!$A:$K,9,FALSE)/12),0)+_xlfn.IFNA((VLOOKUP($A15,HN!$A:$K,10,FALSE)/12),0)+_xlfn.IFNA(VLOOKUP(A15,HN!A:V,19,FALSE),0)+_xlfn.IFNA(VLOOKUP(A15,HN!A:V,20,FALSE),0)+_xlfn.IFNA(VLOOKUP(A15,HN!A:V,21,FALSE),0)</f>
        <v>0</v>
      </c>
      <c r="AW15" s="309">
        <f>_xlfn.IFNA((VLOOKUP($A15,HN!$A:$BS,15,FALSE)/12),0)</f>
        <v>0</v>
      </c>
      <c r="AX15" s="308">
        <f t="shared" si="14"/>
        <v>-1388.76</v>
      </c>
      <c r="AY15" s="308">
        <f t="shared" si="15"/>
        <v>-6741.0908333333327</v>
      </c>
      <c r="AZ15" s="309"/>
      <c r="BA15" s="309">
        <f>_xlfn.IFNA(VLOOKUP($A15,'Cash Advances'!$A:$S,10,FALSE),0)</f>
        <v>0</v>
      </c>
      <c r="BB15" s="308">
        <f t="shared" si="2"/>
        <v>309326.60479897435</v>
      </c>
      <c r="BC15" s="330">
        <f t="shared" si="16"/>
        <v>317456.45563230768</v>
      </c>
      <c r="BD15" s="330"/>
      <c r="BE15" s="331"/>
      <c r="BF15" s="331">
        <f>_xlfn.IFNA((VLOOKUP($A15,HN!$A:$K,8,FALSE)/12),0)</f>
        <v>0</v>
      </c>
      <c r="BG15" s="331">
        <f>_xlfn.IFNA((VLOOKUP($A15,HN!$A:$BS,14,FALSE)/12),0)</f>
        <v>0</v>
      </c>
      <c r="BH15" s="331">
        <f>_xlfn.IFNA(VLOOKUP($A15,'Post 16'!$A:$V,21,FALSE),0)/4</f>
        <v>0</v>
      </c>
      <c r="BI15" s="331"/>
      <c r="BJ15" s="331">
        <f>_xlfn.IFNA((VLOOKUP($A15,HN!$A:$K,9,FALSE)/12),0)+_xlfn.IFNA((VLOOKUP($A15,HN!$A:$K,10,FALSE)/12),0)</f>
        <v>0</v>
      </c>
      <c r="BK15" s="331">
        <f>_xlfn.IFNA((VLOOKUP($A15,HN!$A:$BS,15,FALSE)/12),0)</f>
        <v>0</v>
      </c>
      <c r="BL15" s="330">
        <f t="shared" si="17"/>
        <v>-1388.76</v>
      </c>
      <c r="BM15" s="330">
        <f t="shared" si="18"/>
        <v>-6741.0908333333327</v>
      </c>
      <c r="BN15" s="331"/>
      <c r="BO15" s="331">
        <f>_xlfn.IFNA(VLOOKUP(A15,'Cash Advances'!A:K,11,FALSE),0)</f>
        <v>0</v>
      </c>
      <c r="BP15" s="330">
        <f t="shared" si="3"/>
        <v>309326.60479897435</v>
      </c>
      <c r="BQ15" s="322">
        <f t="shared" si="19"/>
        <v>317456.45563230768</v>
      </c>
      <c r="BR15" s="322"/>
      <c r="BS15" s="323"/>
      <c r="BT15" s="323">
        <f>_xlfn.IFNA((VLOOKUP($A15,HN!$A:$K,8,FALSE)/12),0)</f>
        <v>0</v>
      </c>
      <c r="BU15" s="323">
        <f>_xlfn.IFNA((VLOOKUP($A15,HN!$A:$BS,14,FALSE)/12),0)</f>
        <v>0</v>
      </c>
      <c r="BV15" s="323">
        <f>(_xlfn.IFNA(VLOOKUP($A15,'Post 16'!$A:$AV,32,FALSE),0)/8)+_xlfn.IFNA(VLOOKUP($A15,'Post 16'!$A:$AR,40,FALSE),0)</f>
        <v>0</v>
      </c>
      <c r="BW15" s="323"/>
      <c r="BX15" s="323">
        <f>_xlfn.IFNA((VLOOKUP($A15,HN!$A:$K,9,FALSE)/12),0)+_xlfn.IFNA((VLOOKUP($A15,HN!$A:$K,10,FALSE)/12),0)</f>
        <v>0</v>
      </c>
      <c r="BY15" s="323">
        <f>_xlfn.IFNA((VLOOKUP($A15,HN!$A:$BS,15,FALSE)/12),0)</f>
        <v>0</v>
      </c>
      <c r="BZ15" s="322">
        <f t="shared" si="20"/>
        <v>-1388.76</v>
      </c>
      <c r="CA15" s="322">
        <f t="shared" si="21"/>
        <v>-6741.0908333333327</v>
      </c>
      <c r="CB15" s="323"/>
      <c r="CC15" s="323"/>
      <c r="CD15" s="322">
        <f t="shared" si="4"/>
        <v>309326.60479897435</v>
      </c>
      <c r="CE15" s="357">
        <f t="shared" si="22"/>
        <v>317456.45563230768</v>
      </c>
      <c r="CF15" s="357">
        <f>(VLOOKUP($A15,EY!$A:$BS,26,FALSE)-(VLOOKUP($A15,EY!A:CR,24,FALSE)*80%))+VLOOKUP($A15,EY!$A:$BS,42,FALSE)+(VLOOKUP($A15,EY!A:CC,74,FALSE)-VLOOKUP($A15,EY!A:CC,72,FALSE))</f>
        <v>84362.384736842097</v>
      </c>
      <c r="CG15" s="358"/>
      <c r="CH15" s="358">
        <f>_xlfn.IFNA((VLOOKUP($A15,HN!$A:$K,8,FALSE)/12),0)</f>
        <v>0</v>
      </c>
      <c r="CI15" s="358">
        <f>_xlfn.IFNA((VLOOKUP($A15,HN!$A:$BS,14,FALSE)/12),0)</f>
        <v>0</v>
      </c>
      <c r="CJ15" s="358">
        <f>(_xlfn.IFNA(VLOOKUP($A15,'Post 16'!$A:$AV,32,FALSE),0)/8)</f>
        <v>0</v>
      </c>
      <c r="CK15" s="358">
        <f>(VLOOKUP($A15,EY!A:CR,24,FALSE)*80%)+VLOOKUP($A15,EY!A:CC,72,FALSE)</f>
        <v>0</v>
      </c>
      <c r="CL15" s="358">
        <f>_xlfn.IFNA((VLOOKUP($A15,HN!$A:$K,9,FALSE)/12),0)+_xlfn.IFNA((VLOOKUP($A15,HN!$A:$K,10,FALSE)/12),0)</f>
        <v>0</v>
      </c>
      <c r="CM15" s="358">
        <f>_xlfn.IFNA((VLOOKUP($A15,HN!$A:$BS,15,FALSE)/12),0)</f>
        <v>0</v>
      </c>
      <c r="CN15" s="357">
        <f t="shared" si="23"/>
        <v>-1388.76</v>
      </c>
      <c r="CO15" s="357">
        <f t="shared" si="24"/>
        <v>-6741.0908333333327</v>
      </c>
      <c r="CP15" s="358">
        <f>_xlfn.IFNA(VLOOKUP(A15,'LA Deductions'!A:W,23,FALSE),0)</f>
        <v>-18745.650000000001</v>
      </c>
      <c r="CQ15" s="358">
        <f>_xlfn.IFNA(VLOOKUP($A15,'Cash Advances'!$A:$S,13,FALSE),0)</f>
        <v>0</v>
      </c>
      <c r="CR15" s="358">
        <f>_xlfn.IFNA(VLOOKUP(A15,'LA Deductions'!A:AZ,25,FALSE),0)/9*3</f>
        <v>0</v>
      </c>
      <c r="CS15" s="357">
        <f t="shared" si="25"/>
        <v>374943.33953581646</v>
      </c>
      <c r="CT15" s="337">
        <f t="shared" si="26"/>
        <v>317456.45563230768</v>
      </c>
      <c r="CU15" s="337"/>
      <c r="CV15" s="338">
        <f>_xlfn.IFNA(VLOOKUP(A15,'LA Deductions'!$A$6:$AN$207,34,FALSE),0)</f>
        <v>0</v>
      </c>
      <c r="CW15" s="338">
        <f>_xlfn.IFNA((VLOOKUP($A15,HN!$A:$K,8,FALSE)/12),0)</f>
        <v>0</v>
      </c>
      <c r="CX15" s="338">
        <f>_xlfn.IFNA((VLOOKUP($A15,HN!$A:$BS,14,FALSE)/12),0)</f>
        <v>0</v>
      </c>
      <c r="CY15" s="338">
        <f>_xlfn.IFNA(VLOOKUP($A15,'Post 16'!$A:$AV,32,FALSE),0)/8</f>
        <v>0</v>
      </c>
      <c r="CZ15" s="338"/>
      <c r="DA15" s="338">
        <f>_xlfn.IFNA((VLOOKUP($A15,HN!$A:$K,9,FALSE)/12),0)+_xlfn.IFNA((VLOOKUP($A15,HN!$A:$K,10,FALSE)/12),0)</f>
        <v>0</v>
      </c>
      <c r="DB15" s="338">
        <f>_xlfn.IFNA((VLOOKUP($A15,HN!$A:$BS,15,FALSE)/12),0)</f>
        <v>0</v>
      </c>
      <c r="DC15" s="337">
        <f t="shared" si="27"/>
        <v>-1388.76</v>
      </c>
      <c r="DD15" s="337">
        <f t="shared" si="28"/>
        <v>-6741.0908333333327</v>
      </c>
      <c r="DE15" s="338"/>
      <c r="DF15" s="338">
        <f>_xlfn.IFNA(VLOOKUP($A15,'Cash Advances'!$A:$S,14,FALSE),0)</f>
        <v>0</v>
      </c>
      <c r="DG15" s="338">
        <f>(_xlfn.IFNA(VLOOKUP(A15,'LA Deductions'!A:AZ,25,FALSE),0)/9)+(_xlfn.IFNA(VLOOKUP(A15,'LA Deductions'!A:AZ,26,FALSE),0))</f>
        <v>0</v>
      </c>
      <c r="DH15" s="337">
        <f t="shared" si="29"/>
        <v>309326.60479897435</v>
      </c>
      <c r="DI15" s="330">
        <f t="shared" si="30"/>
        <v>317456.45563230768</v>
      </c>
      <c r="DJ15" s="330"/>
      <c r="DK15" s="331"/>
      <c r="DL15" s="331">
        <f>_xlfn.IFNA((VLOOKUP($A15,HN!$A:$K,8,FALSE)/12),0)+_xlfn.IFNA((VLOOKUP($A15,HN!$A:$AF,32,FALSE)*8/12),0)</f>
        <v>0</v>
      </c>
      <c r="DM15" s="331">
        <f>_xlfn.IFNA((VLOOKUP($A15,HN!$A:$BS,14,FALSE)/12),0)+_xlfn.IFNA(VLOOKUP($A15,HN!$A:$BS,31,FALSE),0)</f>
        <v>0</v>
      </c>
      <c r="DN15" s="331">
        <f>_xlfn.IFNA(VLOOKUP($A15,'Post 16'!$A:$AV,32,FALSE),0)/8</f>
        <v>0</v>
      </c>
      <c r="DO15" s="331"/>
      <c r="DP15" s="331">
        <f>_xlfn.IFNA((VLOOKUP($A15,HN!$A:$K,9,FALSE)/12),0)+_xlfn.IFNA((VLOOKUP($A15,HN!$A:$K,10,FALSE)/12),0)+_xlfn.IFNA((VLOOKUP($A15,HN!$A:$BZ,33,FALSE)*8/12),0)</f>
        <v>0</v>
      </c>
      <c r="DQ15" s="331">
        <f>_xlfn.IFNA((VLOOKUP($A15,HN!$A:$BS,15,FALSE)/12),0)</f>
        <v>0</v>
      </c>
      <c r="DR15" s="330">
        <f t="shared" si="31"/>
        <v>-1388.76</v>
      </c>
      <c r="DS15" s="330">
        <f t="shared" si="32"/>
        <v>-6741.0908333333327</v>
      </c>
      <c r="DT15" s="331"/>
      <c r="DU15" s="331"/>
      <c r="DV15" s="331">
        <f>(_xlfn.IFNA(VLOOKUP(A15,'LA Deductions'!A:AZ,25,FALSE),0)/9)+_xlfn.IFNA(VLOOKUP(A15,'LA Deductions'!A:AZ,27,FALSE),0)</f>
        <v>0</v>
      </c>
      <c r="DW15" s="330">
        <f t="shared" si="33"/>
        <v>309326.60479897435</v>
      </c>
      <c r="DX15" s="344">
        <f t="shared" si="34"/>
        <v>317456.45563230768</v>
      </c>
      <c r="DY15" s="344"/>
      <c r="DZ15" s="345"/>
      <c r="EA15" s="345">
        <f>_xlfn.IFNA((VLOOKUP($A15,HN!$A:$K,8,FALSE)/12),0)+_xlfn.IFNA((VLOOKUP($A15,HN!$A:$AF,32,FALSE)*1/12),0)</f>
        <v>0</v>
      </c>
      <c r="EB15" s="345">
        <f>_xlfn.IFNA((VLOOKUP($A15,HN!$A:$BS,14,FALSE)/12),0)</f>
        <v>0</v>
      </c>
      <c r="EC15" s="345">
        <f>_xlfn.IFNA(VLOOKUP($A15,'Post 16'!$A:$AV,32,FALSE),0)/8</f>
        <v>0</v>
      </c>
      <c r="ED15" s="345"/>
      <c r="EE15" s="345">
        <f>_xlfn.IFNA((VLOOKUP($A15,HN!$A:$K,9,FALSE)/12),0)+_xlfn.IFNA((VLOOKUP($A15,HN!$A:$K,10,FALSE)/12),0)+_xlfn.IFNA((VLOOKUP($A15,HN!$A:$BZ,33,FALSE)/12),0)</f>
        <v>0</v>
      </c>
      <c r="EF15" s="345">
        <f>_xlfn.IFNA((VLOOKUP($A15,HN!$A:$BS,15,FALSE)/12),0)</f>
        <v>0</v>
      </c>
      <c r="EG15" s="344">
        <f t="shared" si="35"/>
        <v>-1388.76</v>
      </c>
      <c r="EH15" s="344">
        <f t="shared" si="36"/>
        <v>-6741.0908333333327</v>
      </c>
      <c r="EI15" s="345"/>
      <c r="EJ15" s="345">
        <f>_xlfn.IFNA(VLOOKUP(A15,'Cash Advances'!A:P,16,FALSE),0)</f>
        <v>0</v>
      </c>
      <c r="EK15" s="345">
        <f>_xlfn.IFNA(VLOOKUP(A15,'LA Deductions'!A:AZ,25,FALSE),0)/9</f>
        <v>0</v>
      </c>
      <c r="EL15" s="344">
        <f t="shared" si="37"/>
        <v>309326.60479897435</v>
      </c>
      <c r="EM15" s="308">
        <f t="shared" si="38"/>
        <v>317456.45563230768</v>
      </c>
      <c r="EN15" s="308">
        <f>((VLOOKUP($A15,EY!$A:$BS,35,FALSE)-(VLOOKUP($A15,EY!$A:$BS,33,FALSE)*80%))+VLOOKUP($A15,EY!$A:$BS,43,FALSE))+(VLOOKUP(A15,EY!A:DF,110,FALSE)-VLOOKUP(A15,EY!A:DD,108,FALSE))+(VLOOKUP(A15,EY!A:CE,83,FALSE)-VLOOKUP(A15,EY!A:CC,81,FALSE))</f>
        <v>82207.377313019417</v>
      </c>
      <c r="EO15" s="309"/>
      <c r="EP15" s="309">
        <f>_xlfn.IFNA((VLOOKUP($A15,HN!$A:$K,8,FALSE)/12),0)+_xlfn.IFNA((VLOOKUP($A15,HN!$A:$AF,32,FALSE)*1/12),0)</f>
        <v>0</v>
      </c>
      <c r="EQ15" s="309">
        <f>_xlfn.IFNA((VLOOKUP($A15,HN!$A:$BS,14,FALSE)/12),0)+_xlfn.IFNA((VLOOKUP($A15,HN!$A:$BS,34,FALSE)/3),0)</f>
        <v>0</v>
      </c>
      <c r="ER15" s="309">
        <f>_xlfn.IFNA(VLOOKUP($A15,'Post 16'!$A:$AV,32,FALSE),0)/8</f>
        <v>0</v>
      </c>
      <c r="ES15" s="309">
        <f>((VLOOKUP($A15,EY!A:EV,33,FALSE)*80%))+VLOOKUP(A15,EY!A:DD,108,FALSE)+VLOOKUP(A15,EY!A:CC,81,FALSE)</f>
        <v>0</v>
      </c>
      <c r="ET15" s="309">
        <f>_xlfn.IFNA((VLOOKUP($A15,HN!$A:$K,9,FALSE)/12),0)+_xlfn.IFNA((VLOOKUP($A15,HN!$A:$K,10,FALSE)/12),0)+_xlfn.IFNA((VLOOKUP($A15,HN!$A:$BZ,33,FALSE)/12),0)</f>
        <v>0</v>
      </c>
      <c r="EU15" s="309">
        <f>_xlfn.IFNA((VLOOKUP($A15,HN!$A:$BS,15,FALSE)/12),0)</f>
        <v>0</v>
      </c>
      <c r="EV15" s="308">
        <f t="shared" si="39"/>
        <v>-1388.76</v>
      </c>
      <c r="EW15" s="308">
        <f t="shared" si="40"/>
        <v>-6741.0908333333327</v>
      </c>
      <c r="EX15" s="309"/>
      <c r="EY15" s="309">
        <f>_xlfn.IFNA(VLOOKUP($A15,'Cash Advances'!$A:$S,17,FALSE),0)</f>
        <v>0</v>
      </c>
      <c r="EZ15" s="309">
        <f>_xlfn.IFNA(VLOOKUP(A15,'LA Deductions'!A:AZ,25,FALSE),0)/9</f>
        <v>0</v>
      </c>
      <c r="FA15" s="308">
        <f t="shared" si="41"/>
        <v>391533.98211199377</v>
      </c>
      <c r="FB15" s="315">
        <f t="shared" si="42"/>
        <v>317456.45563230768</v>
      </c>
      <c r="FC15" s="315"/>
      <c r="FD15" s="316"/>
      <c r="FE15" s="316">
        <f>_xlfn.IFNA((VLOOKUP($A15,HN!$A:$K,8,FALSE)/12),0)+_xlfn.IFNA((VLOOKUP($A15,HN!$A:$AF,32,FALSE)*1/12),0)</f>
        <v>0</v>
      </c>
      <c r="FF15" s="316">
        <f>_xlfn.IFNA((VLOOKUP($A15,HN!$A:$BS,14,FALSE)/12),0)+_xlfn.IFNA((VLOOKUP($A15,HN!$A:$BS,34,FALSE)/3),0)</f>
        <v>0</v>
      </c>
      <c r="FG15" s="316">
        <f>_xlfn.IFNA(VLOOKUP($A15,'Post 16'!$A:$AV,32,FALSE),0)/8</f>
        <v>0</v>
      </c>
      <c r="FH15" s="316"/>
      <c r="FI15" s="316">
        <f>_xlfn.IFNA((VLOOKUP($A15,HN!$A:$K,9,FALSE)/12),0)+_xlfn.IFNA((VLOOKUP($A15,HN!$A:$K,10,FALSE)/12),0)+_xlfn.IFNA((VLOOKUP($A15,HN!$A:$BZ,33,FALSE)/12),0)+_xlfn.IFNA((VLOOKUP($A15,HN!$A:$BZ,35,FALSE)/2),0)</f>
        <v>0</v>
      </c>
      <c r="FJ15" s="316">
        <f>_xlfn.IFNA((VLOOKUP($A15,HN!$A:$BS,15,FALSE)/12),0)+_xlfn.IFNA((VLOOKUP($A15,HN!$A:$CZ,36,FALSE)/2),0)</f>
        <v>0</v>
      </c>
      <c r="FK15" s="315">
        <f t="shared" si="43"/>
        <v>-1388.76</v>
      </c>
      <c r="FL15" s="315">
        <f t="shared" si="44"/>
        <v>-6741.0908333333327</v>
      </c>
      <c r="FM15" s="316"/>
      <c r="FN15" s="316">
        <f>_xlfn.IFNA(VLOOKUP($A15,'Cash Advances'!$A:$S,18,FALSE),0)</f>
        <v>0</v>
      </c>
      <c r="FO15" s="316">
        <f>_xlfn.IFNA(VLOOKUP(A15,'LA Deductions'!A:AZ,25,FALSE),0)/9</f>
        <v>0</v>
      </c>
      <c r="FP15" s="315">
        <f t="shared" si="45"/>
        <v>309326.60479897435</v>
      </c>
      <c r="FQ15" s="322">
        <f t="shared" si="46"/>
        <v>317456.45563230768</v>
      </c>
      <c r="FR15" s="322"/>
      <c r="FS15" s="323"/>
      <c r="FT15" s="323">
        <f>_xlfn.IFNA((VLOOKUP($A15,HN!$A:$K,8,FALSE)/12),0)+_xlfn.IFNA((VLOOKUP($A15,HN!$A:$AF,32,FALSE)*1/12),0)</f>
        <v>0</v>
      </c>
      <c r="FU15" s="323">
        <f>_xlfn.IFNA((VLOOKUP($A15,HN!$A:$BS,14,FALSE)/12),0)+_xlfn.IFNA((VLOOKUP($A15,HN!$A:$BS,34,FALSE)/3),0)</f>
        <v>0</v>
      </c>
      <c r="FV15" s="323">
        <f>_xlfn.IFNA(VLOOKUP($A15,'Post 16'!$A:$AV,32,FALSE),0)/8</f>
        <v>0</v>
      </c>
      <c r="FW15" s="323"/>
      <c r="FX15" s="323">
        <f>_xlfn.IFNA((VLOOKUP($A15,HN!$A:$K,9,FALSE)/12),0)+_xlfn.IFNA((VLOOKUP($A15,HN!$A:$K,10,FALSE)/12),0)+_xlfn.IFNA((VLOOKUP($A15,HN!$A:$BZ,33,FALSE)/12),0)+_xlfn.IFNA((VLOOKUP($A15,HN!$A:$BZ,35,FALSE)/2),0)</f>
        <v>0</v>
      </c>
      <c r="FY15" s="323">
        <f>_xlfn.IFNA((VLOOKUP($A15,HN!$A:$BS,15,FALSE)/12),0)+_xlfn.IFNA((VLOOKUP($A15,HN!$A:$CZ,36,FALSE)/2),0)</f>
        <v>0</v>
      </c>
      <c r="FZ15" s="322">
        <f t="shared" si="47"/>
        <v>-1388.76</v>
      </c>
      <c r="GA15" s="322">
        <f t="shared" si="48"/>
        <v>-6741.0908333333327</v>
      </c>
      <c r="GB15" s="323"/>
      <c r="GC15" s="323"/>
      <c r="GD15" s="323">
        <f>_xlfn.IFNA(VLOOKUP(A15,'LA Deductions'!A:AZ,25,FALSE),0)/9</f>
        <v>0</v>
      </c>
      <c r="GE15" s="322">
        <f t="shared" si="49"/>
        <v>309326.60479897435</v>
      </c>
      <c r="GG15" s="146">
        <f t="shared" si="5"/>
        <v>4048730.7496375525</v>
      </c>
      <c r="GH15" s="146">
        <f t="shared" si="5"/>
        <v>0</v>
      </c>
      <c r="GI15" s="146">
        <f t="shared" si="5"/>
        <v>0</v>
      </c>
      <c r="GJ15" s="146">
        <f t="shared" si="5"/>
        <v>-16665.12</v>
      </c>
      <c r="GK15" s="146">
        <f t="shared" si="5"/>
        <v>-80893.090000000011</v>
      </c>
      <c r="GL15" s="146">
        <f t="shared" si="5"/>
        <v>-18745.650000000001</v>
      </c>
      <c r="GN15" s="146">
        <f t="shared" si="6"/>
        <v>4048730.7496375525</v>
      </c>
      <c r="GO15" s="146">
        <f t="shared" si="6"/>
        <v>0</v>
      </c>
      <c r="GP15" s="146">
        <f t="shared" si="6"/>
        <v>0</v>
      </c>
      <c r="GQ15" s="146">
        <f t="shared" si="6"/>
        <v>-16665.12</v>
      </c>
      <c r="GR15" s="146">
        <f t="shared" si="6"/>
        <v>-80893.090000000011</v>
      </c>
      <c r="GS15" s="146">
        <f t="shared" si="6"/>
        <v>-18745.650000000001</v>
      </c>
      <c r="GU15" s="146"/>
      <c r="GV15" s="57"/>
    </row>
    <row r="16" spans="1:205">
      <c r="A16" s="185">
        <v>7016</v>
      </c>
      <c r="B16" s="185">
        <v>103606</v>
      </c>
      <c r="C16" s="185" t="s">
        <v>45</v>
      </c>
      <c r="D16" s="2" t="s">
        <v>46</v>
      </c>
      <c r="E16" s="191" t="s">
        <v>47</v>
      </c>
      <c r="F16" s="191" t="s">
        <v>912</v>
      </c>
      <c r="H16" s="279">
        <f>_xlfn.IFNA(VLOOKUP($A16,ISB!$A$4:$BY$454,67,FALSE),0)</f>
        <v>0</v>
      </c>
      <c r="I16" s="279">
        <f>_xlfn.IFNA(VLOOKUP($A16,ISB!$A$4:$BY$454,72,FALSE),0)</f>
        <v>0</v>
      </c>
      <c r="J16" s="279">
        <f>-_xlfn.IFNA(VLOOKUP($A16,ISB!$A$4:$BY$454,76,FALSE),0)</f>
        <v>0</v>
      </c>
      <c r="K16" s="279">
        <f>_xlfn.IFNA(VLOOKUP($A16,ISB!$A$4:$BY$454,77,FALSE),0)</f>
        <v>0</v>
      </c>
      <c r="M16" s="301">
        <f t="shared" si="7"/>
        <v>0</v>
      </c>
      <c r="N16" s="301">
        <f>VLOOKUP($A16,EY!$A:$H,8,FALSE)+(VLOOKUP($A16,EY!$A:$BS,17,FALSE)-S16)+VLOOKUP($A16,EY!$A:$BS,41,FALSE)</f>
        <v>0</v>
      </c>
      <c r="O16" s="302"/>
      <c r="P16" s="302">
        <f>_xlfn.IFNA((VLOOKUP($A16,HN!$A:$K,8,FALSE)/12),0)</f>
        <v>173195</v>
      </c>
      <c r="Q16" s="302">
        <f>_xlfn.IFNA((VLOOKUP($A16,HN!$A:$BS,14,FALSE)/12),0)</f>
        <v>0</v>
      </c>
      <c r="R16" s="302">
        <f>_xlfn.IFNA(VLOOKUP($A16,'Post 16'!$A:$V,21,FALSE),0)/4</f>
        <v>0</v>
      </c>
      <c r="S16" s="302">
        <f>VLOOKUP($A16,EY!A:Q,15,FALSE)*80%</f>
        <v>0</v>
      </c>
      <c r="T16" s="302">
        <f>_xlfn.IFNA((VLOOKUP($A16,HN!$A:$K,9,FALSE)/12),0)+_xlfn.IFNA((VLOOKUP($A16,HN!$A:$K,10,FALSE)/12),0)</f>
        <v>175611.01697495364</v>
      </c>
      <c r="U16" s="302">
        <f>_xlfn.IFNA((VLOOKUP($A16,HN!$A:$BS,15,FALSE)/12),0)</f>
        <v>0</v>
      </c>
      <c r="V16" s="301">
        <f t="shared" si="8"/>
        <v>0</v>
      </c>
      <c r="W16" s="301">
        <f t="shared" si="9"/>
        <v>0</v>
      </c>
      <c r="X16" s="302"/>
      <c r="Y16" s="302">
        <f>_xlfn.IFNA(VLOOKUP($A16,'Cash Advances'!$A:$S,8,FALSE),0)</f>
        <v>0</v>
      </c>
      <c r="Z16" s="301">
        <f t="shared" si="0"/>
        <v>348806.01697495364</v>
      </c>
      <c r="AA16" s="315">
        <f t="shared" si="10"/>
        <v>0</v>
      </c>
      <c r="AB16" s="315"/>
      <c r="AC16" s="316"/>
      <c r="AD16" s="316">
        <f>_xlfn.IFNA((VLOOKUP($A16,HN!$A:$K,8,FALSE)/12),0)</f>
        <v>173195</v>
      </c>
      <c r="AE16" s="316">
        <f>_xlfn.IFNA((VLOOKUP($A16,HN!$A:$BS,14,FALSE)/12),0)</f>
        <v>0</v>
      </c>
      <c r="AF16" s="316">
        <f>_xlfn.IFNA(VLOOKUP($A16,'Post 16'!$A:$V,21,FALSE),0)/4</f>
        <v>0</v>
      </c>
      <c r="AG16" s="316"/>
      <c r="AH16" s="316">
        <f>_xlfn.IFNA((VLOOKUP($A16,HN!$A:$K,9,FALSE)/12),0)+_xlfn.IFNA((VLOOKUP($A16,HN!$A:$K,10,FALSE)/12),0)</f>
        <v>175611.01697495364</v>
      </c>
      <c r="AI16" s="316">
        <f>_xlfn.IFNA((VLOOKUP($A16,HN!$A:$BS,15,FALSE)/12),0)</f>
        <v>0</v>
      </c>
      <c r="AJ16" s="315">
        <f t="shared" si="11"/>
        <v>0</v>
      </c>
      <c r="AK16" s="315">
        <f t="shared" si="12"/>
        <v>0</v>
      </c>
      <c r="AL16" s="316"/>
      <c r="AM16" s="316">
        <f>_xlfn.IFNA(VLOOKUP($A16,'Cash Advances'!$A:$S,9,FALSE),0)</f>
        <v>0</v>
      </c>
      <c r="AN16" s="315">
        <f t="shared" si="1"/>
        <v>348806.01697495364</v>
      </c>
      <c r="AO16" s="308">
        <f t="shared" si="13"/>
        <v>0</v>
      </c>
      <c r="AP16" s="308"/>
      <c r="AQ16" s="309"/>
      <c r="AR16" s="309">
        <f>_xlfn.IFNA((VLOOKUP($A16,HN!$A:$K,8,FALSE)/12),0)</f>
        <v>173195</v>
      </c>
      <c r="AS16" s="309">
        <f>_xlfn.IFNA((VLOOKUP($A16,HN!$A:$BS,14,FALSE)/12),0)</f>
        <v>0</v>
      </c>
      <c r="AT16" s="309">
        <f>_xlfn.IFNA(VLOOKUP($A16,'Post 16'!$A:$V,21,FALSE),0)/4</f>
        <v>0</v>
      </c>
      <c r="AU16" s="309"/>
      <c r="AV16" s="309">
        <f>_xlfn.IFNA((VLOOKUP($A16,HN!$A:$K,9,FALSE)/12),0)+_xlfn.IFNA((VLOOKUP($A16,HN!$A:$K,10,FALSE)/12),0)+_xlfn.IFNA(VLOOKUP(A16,HN!A:V,19,FALSE),0)+_xlfn.IFNA(VLOOKUP(A16,HN!A:V,20,FALSE),0)+_xlfn.IFNA(VLOOKUP(A16,HN!A:V,21,FALSE),0)</f>
        <v>1025522.5554364923</v>
      </c>
      <c r="AW16" s="309">
        <f>_xlfn.IFNA((VLOOKUP($A16,HN!$A:$BS,15,FALSE)/12),0)</f>
        <v>0</v>
      </c>
      <c r="AX16" s="308">
        <f t="shared" si="14"/>
        <v>0</v>
      </c>
      <c r="AY16" s="308">
        <f t="shared" si="15"/>
        <v>0</v>
      </c>
      <c r="AZ16" s="309"/>
      <c r="BA16" s="309">
        <f>_xlfn.IFNA(VLOOKUP($A16,'Cash Advances'!$A:$S,10,FALSE),0)</f>
        <v>0</v>
      </c>
      <c r="BB16" s="308">
        <f t="shared" si="2"/>
        <v>1198717.5554364924</v>
      </c>
      <c r="BC16" s="330">
        <f t="shared" si="16"/>
        <v>0</v>
      </c>
      <c r="BD16" s="330"/>
      <c r="BE16" s="331"/>
      <c r="BF16" s="331">
        <f>_xlfn.IFNA((VLOOKUP($A16,HN!$A:$K,8,FALSE)/12),0)</f>
        <v>173195</v>
      </c>
      <c r="BG16" s="331">
        <f>_xlfn.IFNA((VLOOKUP($A16,HN!$A:$BS,14,FALSE)/12),0)</f>
        <v>0</v>
      </c>
      <c r="BH16" s="331">
        <f>_xlfn.IFNA(VLOOKUP($A16,'Post 16'!$A:$V,21,FALSE),0)/4</f>
        <v>0</v>
      </c>
      <c r="BI16" s="331"/>
      <c r="BJ16" s="331">
        <f>_xlfn.IFNA((VLOOKUP($A16,HN!$A:$K,9,FALSE)/12),0)+_xlfn.IFNA((VLOOKUP($A16,HN!$A:$K,10,FALSE)/12),0)</f>
        <v>175611.01697495364</v>
      </c>
      <c r="BK16" s="331">
        <f>_xlfn.IFNA((VLOOKUP($A16,HN!$A:$BS,15,FALSE)/12),0)</f>
        <v>0</v>
      </c>
      <c r="BL16" s="330">
        <f t="shared" si="17"/>
        <v>0</v>
      </c>
      <c r="BM16" s="330">
        <f t="shared" si="18"/>
        <v>0</v>
      </c>
      <c r="BN16" s="331"/>
      <c r="BO16" s="331">
        <f>_xlfn.IFNA(VLOOKUP(A16,'Cash Advances'!A:K,11,FALSE),0)</f>
        <v>0</v>
      </c>
      <c r="BP16" s="330">
        <f t="shared" si="3"/>
        <v>348806.01697495364</v>
      </c>
      <c r="BQ16" s="322">
        <f t="shared" si="19"/>
        <v>0</v>
      </c>
      <c r="BR16" s="322"/>
      <c r="BS16" s="323"/>
      <c r="BT16" s="323">
        <f>_xlfn.IFNA((VLOOKUP($A16,HN!$A:$K,8,FALSE)/12),0)</f>
        <v>173195</v>
      </c>
      <c r="BU16" s="323">
        <f>_xlfn.IFNA((VLOOKUP($A16,HN!$A:$BS,14,FALSE)/12),0)</f>
        <v>0</v>
      </c>
      <c r="BV16" s="323">
        <f>(_xlfn.IFNA(VLOOKUP($A16,'Post 16'!$A:$AV,32,FALSE),0)/8)+_xlfn.IFNA(VLOOKUP($A16,'Post 16'!$A:$AR,40,FALSE),0)</f>
        <v>0</v>
      </c>
      <c r="BW16" s="323"/>
      <c r="BX16" s="323">
        <f>_xlfn.IFNA((VLOOKUP($A16,HN!$A:$K,9,FALSE)/12),0)+_xlfn.IFNA((VLOOKUP($A16,HN!$A:$K,10,FALSE)/12),0)</f>
        <v>175611.01697495364</v>
      </c>
      <c r="BY16" s="323">
        <f>_xlfn.IFNA((VLOOKUP($A16,HN!$A:$BS,15,FALSE)/12),0)</f>
        <v>0</v>
      </c>
      <c r="BZ16" s="322">
        <f t="shared" si="20"/>
        <v>0</v>
      </c>
      <c r="CA16" s="322">
        <f t="shared" si="21"/>
        <v>0</v>
      </c>
      <c r="CB16" s="323"/>
      <c r="CC16" s="323"/>
      <c r="CD16" s="322">
        <f t="shared" si="4"/>
        <v>348806.01697495364</v>
      </c>
      <c r="CE16" s="357">
        <f t="shared" si="22"/>
        <v>0</v>
      </c>
      <c r="CF16" s="357">
        <f>(VLOOKUP($A16,EY!$A:$BS,26,FALSE)-(VLOOKUP($A16,EY!A:CR,24,FALSE)*80%))+VLOOKUP($A16,EY!$A:$BS,42,FALSE)+(VLOOKUP($A16,EY!A:CC,74,FALSE)-VLOOKUP($A16,EY!A:CC,72,FALSE))</f>
        <v>0</v>
      </c>
      <c r="CG16" s="358"/>
      <c r="CH16" s="358">
        <f>_xlfn.IFNA((VLOOKUP($A16,HN!$A:$K,8,FALSE)/12),0)</f>
        <v>173195</v>
      </c>
      <c r="CI16" s="358">
        <f>_xlfn.IFNA((VLOOKUP($A16,HN!$A:$BS,14,FALSE)/12),0)</f>
        <v>0</v>
      </c>
      <c r="CJ16" s="358">
        <f>(_xlfn.IFNA(VLOOKUP($A16,'Post 16'!$A:$AV,32,FALSE),0)/8)</f>
        <v>0</v>
      </c>
      <c r="CK16" s="358">
        <f>(VLOOKUP($A16,EY!A:CR,24,FALSE)*80%)+VLOOKUP($A16,EY!A:CC,72,FALSE)</f>
        <v>0</v>
      </c>
      <c r="CL16" s="358">
        <f>_xlfn.IFNA((VLOOKUP($A16,HN!$A:$K,9,FALSE)/12),0)+_xlfn.IFNA((VLOOKUP($A16,HN!$A:$K,10,FALSE)/12),0)</f>
        <v>175611.01697495364</v>
      </c>
      <c r="CM16" s="358">
        <f>_xlfn.IFNA((VLOOKUP($A16,HN!$A:$BS,15,FALSE)/12),0)</f>
        <v>0</v>
      </c>
      <c r="CN16" s="357">
        <f t="shared" si="23"/>
        <v>0</v>
      </c>
      <c r="CO16" s="357">
        <f t="shared" si="24"/>
        <v>0</v>
      </c>
      <c r="CP16" s="358">
        <f>_xlfn.IFNA(VLOOKUP(A16,'LA Deductions'!A:W,23,FALSE),0)</f>
        <v>-5076</v>
      </c>
      <c r="CQ16" s="358">
        <f>_xlfn.IFNA(VLOOKUP($A16,'Cash Advances'!$A:$S,13,FALSE),0)</f>
        <v>0</v>
      </c>
      <c r="CR16" s="358">
        <f>_xlfn.IFNA(VLOOKUP(A16,'LA Deductions'!A:AZ,25,FALSE),0)/9*3</f>
        <v>0</v>
      </c>
      <c r="CS16" s="357">
        <f t="shared" si="25"/>
        <v>343730.01697495364</v>
      </c>
      <c r="CT16" s="337">
        <f t="shared" si="26"/>
        <v>0</v>
      </c>
      <c r="CU16" s="337"/>
      <c r="CV16" s="338">
        <f>_xlfn.IFNA(VLOOKUP(A16,'LA Deductions'!$A$6:$AN$207,34,FALSE),0)</f>
        <v>0</v>
      </c>
      <c r="CW16" s="338">
        <f>_xlfn.IFNA((VLOOKUP($A16,HN!$A:$K,8,FALSE)/12),0)</f>
        <v>173195</v>
      </c>
      <c r="CX16" s="338">
        <f>_xlfn.IFNA((VLOOKUP($A16,HN!$A:$BS,14,FALSE)/12),0)</f>
        <v>0</v>
      </c>
      <c r="CY16" s="338">
        <f>_xlfn.IFNA(VLOOKUP($A16,'Post 16'!$A:$AV,32,FALSE),0)/8</f>
        <v>0</v>
      </c>
      <c r="CZ16" s="338"/>
      <c r="DA16" s="338">
        <f>_xlfn.IFNA((VLOOKUP($A16,HN!$A:$K,9,FALSE)/12),0)+_xlfn.IFNA((VLOOKUP($A16,HN!$A:$K,10,FALSE)/12),0)</f>
        <v>175611.01697495364</v>
      </c>
      <c r="DB16" s="338">
        <f>_xlfn.IFNA((VLOOKUP($A16,HN!$A:$BS,15,FALSE)/12),0)</f>
        <v>0</v>
      </c>
      <c r="DC16" s="337">
        <f t="shared" si="27"/>
        <v>0</v>
      </c>
      <c r="DD16" s="337">
        <f t="shared" si="28"/>
        <v>0</v>
      </c>
      <c r="DE16" s="338"/>
      <c r="DF16" s="338">
        <f>_xlfn.IFNA(VLOOKUP($A16,'Cash Advances'!$A:$S,14,FALSE),0)</f>
        <v>0</v>
      </c>
      <c r="DG16" s="338">
        <f>(_xlfn.IFNA(VLOOKUP(A16,'LA Deductions'!A:AZ,25,FALSE),0)/9)+(_xlfn.IFNA(VLOOKUP(A16,'LA Deductions'!A:AZ,26,FALSE),0))</f>
        <v>0</v>
      </c>
      <c r="DH16" s="337">
        <f t="shared" si="29"/>
        <v>348806.01697495364</v>
      </c>
      <c r="DI16" s="330">
        <f t="shared" si="30"/>
        <v>0</v>
      </c>
      <c r="DJ16" s="330"/>
      <c r="DK16" s="331"/>
      <c r="DL16" s="331">
        <f>_xlfn.IFNA((VLOOKUP($A16,HN!$A:$K,8,FALSE)/12),0)+_xlfn.IFNA((VLOOKUP($A16,HN!$A:$AF,32,FALSE)*8/12),0)</f>
        <v>173195</v>
      </c>
      <c r="DM16" s="331">
        <f>_xlfn.IFNA((VLOOKUP($A16,HN!$A:$BS,14,FALSE)/12),0)+_xlfn.IFNA(VLOOKUP($A16,HN!$A:$BS,31,FALSE),0)</f>
        <v>0</v>
      </c>
      <c r="DN16" s="331">
        <f>_xlfn.IFNA(VLOOKUP($A16,'Post 16'!$A:$AV,32,FALSE),0)/8</f>
        <v>0</v>
      </c>
      <c r="DO16" s="331"/>
      <c r="DP16" s="331">
        <f>_xlfn.IFNA((VLOOKUP($A16,HN!$A:$K,9,FALSE)/12),0)+_xlfn.IFNA((VLOOKUP($A16,HN!$A:$K,10,FALSE)/12),0)+_xlfn.IFNA((VLOOKUP($A16,HN!$A:$BZ,33,FALSE)*8/12),0)</f>
        <v>596729.97801674344</v>
      </c>
      <c r="DQ16" s="331">
        <f>_xlfn.IFNA((VLOOKUP($A16,HN!$A:$BS,15,FALSE)/12),0)</f>
        <v>0</v>
      </c>
      <c r="DR16" s="330">
        <f t="shared" si="31"/>
        <v>0</v>
      </c>
      <c r="DS16" s="330">
        <f t="shared" si="32"/>
        <v>0</v>
      </c>
      <c r="DT16" s="331"/>
      <c r="DU16" s="331"/>
      <c r="DV16" s="331">
        <f>(_xlfn.IFNA(VLOOKUP(A16,'LA Deductions'!A:AZ,25,FALSE),0)/9)+_xlfn.IFNA(VLOOKUP(A16,'LA Deductions'!A:AZ,27,FALSE),0)</f>
        <v>0</v>
      </c>
      <c r="DW16" s="330">
        <f t="shared" si="33"/>
        <v>769924.97801674344</v>
      </c>
      <c r="DX16" s="344">
        <f t="shared" si="34"/>
        <v>0</v>
      </c>
      <c r="DY16" s="344"/>
      <c r="DZ16" s="345"/>
      <c r="EA16" s="345">
        <f>_xlfn.IFNA((VLOOKUP($A16,HN!$A:$K,8,FALSE)/12),0)+_xlfn.IFNA((VLOOKUP($A16,HN!$A:$AF,32,FALSE)*1/12),0)</f>
        <v>173195</v>
      </c>
      <c r="EB16" s="345">
        <f>_xlfn.IFNA((VLOOKUP($A16,HN!$A:$BS,14,FALSE)/12),0)</f>
        <v>0</v>
      </c>
      <c r="EC16" s="345">
        <f>_xlfn.IFNA(VLOOKUP($A16,'Post 16'!$A:$AV,32,FALSE),0)/8</f>
        <v>0</v>
      </c>
      <c r="ED16" s="345"/>
      <c r="EE16" s="345">
        <f>_xlfn.IFNA((VLOOKUP($A16,HN!$A:$K,9,FALSE)/12),0)+_xlfn.IFNA((VLOOKUP($A16,HN!$A:$K,10,FALSE)/12),0)+_xlfn.IFNA((VLOOKUP($A16,HN!$A:$BZ,33,FALSE)/12),0)</f>
        <v>228250.88710517736</v>
      </c>
      <c r="EF16" s="345">
        <f>_xlfn.IFNA((VLOOKUP($A16,HN!$A:$BS,15,FALSE)/12),0)</f>
        <v>0</v>
      </c>
      <c r="EG16" s="344">
        <f t="shared" si="35"/>
        <v>0</v>
      </c>
      <c r="EH16" s="344">
        <f t="shared" si="36"/>
        <v>0</v>
      </c>
      <c r="EI16" s="345"/>
      <c r="EJ16" s="345">
        <f>_xlfn.IFNA(VLOOKUP(A16,'Cash Advances'!A:P,16,FALSE),0)</f>
        <v>0</v>
      </c>
      <c r="EK16" s="345">
        <f>_xlfn.IFNA(VLOOKUP(A16,'LA Deductions'!A:AZ,25,FALSE),0)/9</f>
        <v>0</v>
      </c>
      <c r="EL16" s="344">
        <f t="shared" si="37"/>
        <v>401445.88710517739</v>
      </c>
      <c r="EM16" s="308">
        <f t="shared" si="38"/>
        <v>0</v>
      </c>
      <c r="EN16" s="308">
        <f>((VLOOKUP($A16,EY!$A:$BS,35,FALSE)-(VLOOKUP($A16,EY!$A:$BS,33,FALSE)*80%))+VLOOKUP($A16,EY!$A:$BS,43,FALSE))+(VLOOKUP(A16,EY!A:DF,110,FALSE)-VLOOKUP(A16,EY!A:DD,108,FALSE))+(VLOOKUP(A16,EY!A:CE,83,FALSE)-VLOOKUP(A16,EY!A:CC,81,FALSE))</f>
        <v>0</v>
      </c>
      <c r="EO16" s="309"/>
      <c r="EP16" s="309">
        <f>_xlfn.IFNA((VLOOKUP($A16,HN!$A:$K,8,FALSE)/12),0)+_xlfn.IFNA((VLOOKUP($A16,HN!$A:$AF,32,FALSE)*1/12),0)</f>
        <v>173195</v>
      </c>
      <c r="EQ16" s="309">
        <f>_xlfn.IFNA((VLOOKUP($A16,HN!$A:$BS,14,FALSE)/12),0)+_xlfn.IFNA((VLOOKUP($A16,HN!$A:$BS,34,FALSE)/3),0)</f>
        <v>0</v>
      </c>
      <c r="ER16" s="309">
        <f>_xlfn.IFNA(VLOOKUP($A16,'Post 16'!$A:$AV,32,FALSE),0)/8</f>
        <v>0</v>
      </c>
      <c r="ES16" s="309">
        <f>((VLOOKUP($A16,EY!A:EV,33,FALSE)*80%))+VLOOKUP(A16,EY!A:DD,108,FALSE)+VLOOKUP(A16,EY!A:CC,81,FALSE)</f>
        <v>0</v>
      </c>
      <c r="ET16" s="309">
        <f>_xlfn.IFNA((VLOOKUP($A16,HN!$A:$K,9,FALSE)/12),0)+_xlfn.IFNA((VLOOKUP($A16,HN!$A:$K,10,FALSE)/12),0)+_xlfn.IFNA((VLOOKUP($A16,HN!$A:$BZ,33,FALSE)/12),0)</f>
        <v>228250.88710517736</v>
      </c>
      <c r="EU16" s="309">
        <f>_xlfn.IFNA((VLOOKUP($A16,HN!$A:$BS,15,FALSE)/12),0)</f>
        <v>0</v>
      </c>
      <c r="EV16" s="308">
        <f t="shared" si="39"/>
        <v>0</v>
      </c>
      <c r="EW16" s="308">
        <f t="shared" si="40"/>
        <v>0</v>
      </c>
      <c r="EX16" s="309"/>
      <c r="EY16" s="309">
        <f>_xlfn.IFNA(VLOOKUP($A16,'Cash Advances'!$A:$S,17,FALSE),0)</f>
        <v>0</v>
      </c>
      <c r="EZ16" s="309">
        <f>_xlfn.IFNA(VLOOKUP(A16,'LA Deductions'!A:AZ,25,FALSE),0)/9</f>
        <v>0</v>
      </c>
      <c r="FA16" s="308">
        <f t="shared" si="41"/>
        <v>401445.88710517739</v>
      </c>
      <c r="FB16" s="315">
        <f t="shared" si="42"/>
        <v>0</v>
      </c>
      <c r="FC16" s="315"/>
      <c r="FD16" s="316"/>
      <c r="FE16" s="316">
        <f>_xlfn.IFNA((VLOOKUP($A16,HN!$A:$K,8,FALSE)/12),0)+_xlfn.IFNA((VLOOKUP($A16,HN!$A:$AF,32,FALSE)*1/12),0)</f>
        <v>173195</v>
      </c>
      <c r="FF16" s="316">
        <f>_xlfn.IFNA((VLOOKUP($A16,HN!$A:$BS,14,FALSE)/12),0)+_xlfn.IFNA((VLOOKUP($A16,HN!$A:$BS,34,FALSE)/3),0)</f>
        <v>0</v>
      </c>
      <c r="FG16" s="316">
        <f>_xlfn.IFNA(VLOOKUP($A16,'Post 16'!$A:$AV,32,FALSE),0)/8</f>
        <v>0</v>
      </c>
      <c r="FH16" s="316"/>
      <c r="FI16" s="316">
        <f>_xlfn.IFNA((VLOOKUP($A16,HN!$A:$K,9,FALSE)/12),0)+_xlfn.IFNA((VLOOKUP($A16,HN!$A:$K,10,FALSE)/12),0)+_xlfn.IFNA((VLOOKUP($A16,HN!$A:$BZ,33,FALSE)/12),0)+_xlfn.IFNA((VLOOKUP($A16,HN!$A:$BZ,35,FALSE)/2),0)</f>
        <v>243250.88710517736</v>
      </c>
      <c r="FJ16" s="316">
        <f>_xlfn.IFNA((VLOOKUP($A16,HN!$A:$BS,15,FALSE)/12),0)+_xlfn.IFNA((VLOOKUP($A16,HN!$A:$CZ,36,FALSE)/2),0)</f>
        <v>0</v>
      </c>
      <c r="FK16" s="315">
        <f t="shared" si="43"/>
        <v>0</v>
      </c>
      <c r="FL16" s="315">
        <f t="shared" si="44"/>
        <v>0</v>
      </c>
      <c r="FM16" s="316"/>
      <c r="FN16" s="316">
        <f>_xlfn.IFNA(VLOOKUP($A16,'Cash Advances'!$A:$S,18,FALSE),0)</f>
        <v>0</v>
      </c>
      <c r="FO16" s="316">
        <f>_xlfn.IFNA(VLOOKUP(A16,'LA Deductions'!A:AZ,25,FALSE),0)/9</f>
        <v>0</v>
      </c>
      <c r="FP16" s="315">
        <f t="shared" si="45"/>
        <v>416445.88710517739</v>
      </c>
      <c r="FQ16" s="322">
        <f t="shared" si="46"/>
        <v>0</v>
      </c>
      <c r="FR16" s="322"/>
      <c r="FS16" s="323"/>
      <c r="FT16" s="323">
        <f>_xlfn.IFNA((VLOOKUP($A16,HN!$A:$K,8,FALSE)/12),0)+_xlfn.IFNA((VLOOKUP($A16,HN!$A:$AF,32,FALSE)*1/12),0)</f>
        <v>173195</v>
      </c>
      <c r="FU16" s="323">
        <f>_xlfn.IFNA((VLOOKUP($A16,HN!$A:$BS,14,FALSE)/12),0)+_xlfn.IFNA((VLOOKUP($A16,HN!$A:$BS,34,FALSE)/3),0)</f>
        <v>0</v>
      </c>
      <c r="FV16" s="323">
        <f>_xlfn.IFNA(VLOOKUP($A16,'Post 16'!$A:$AV,32,FALSE),0)/8</f>
        <v>0</v>
      </c>
      <c r="FW16" s="323"/>
      <c r="FX16" s="323">
        <f>_xlfn.IFNA((VLOOKUP($A16,HN!$A:$K,9,FALSE)/12),0)+_xlfn.IFNA((VLOOKUP($A16,HN!$A:$K,10,FALSE)/12),0)+_xlfn.IFNA((VLOOKUP($A16,HN!$A:$BZ,33,FALSE)/12),0)+_xlfn.IFNA((VLOOKUP($A16,HN!$A:$BZ,35,FALSE)/2),0)</f>
        <v>243250.88710517736</v>
      </c>
      <c r="FY16" s="323">
        <f>_xlfn.IFNA((VLOOKUP($A16,HN!$A:$BS,15,FALSE)/12),0)+_xlfn.IFNA((VLOOKUP($A16,HN!$A:$CZ,36,FALSE)/2),0)</f>
        <v>0</v>
      </c>
      <c r="FZ16" s="322">
        <f t="shared" si="47"/>
        <v>0</v>
      </c>
      <c r="GA16" s="322">
        <f t="shared" si="48"/>
        <v>0</v>
      </c>
      <c r="GB16" s="323"/>
      <c r="GC16" s="323"/>
      <c r="GD16" s="323">
        <f>_xlfn.IFNA(VLOOKUP(A16,'LA Deductions'!A:AZ,25,FALSE),0)/9</f>
        <v>0</v>
      </c>
      <c r="GE16" s="322">
        <f t="shared" si="49"/>
        <v>416445.88710517739</v>
      </c>
      <c r="GG16" s="146">
        <f t="shared" si="5"/>
        <v>2078340</v>
      </c>
      <c r="GH16" s="146">
        <f t="shared" si="5"/>
        <v>0</v>
      </c>
      <c r="GI16" s="146">
        <f t="shared" si="5"/>
        <v>3618922.1837236667</v>
      </c>
      <c r="GJ16" s="146">
        <f t="shared" si="5"/>
        <v>0</v>
      </c>
      <c r="GK16" s="146">
        <f t="shared" si="5"/>
        <v>0</v>
      </c>
      <c r="GL16" s="146">
        <f t="shared" si="5"/>
        <v>-5076</v>
      </c>
      <c r="GN16" s="146">
        <f t="shared" si="6"/>
        <v>2078340</v>
      </c>
      <c r="GO16" s="146">
        <f t="shared" si="6"/>
        <v>0</v>
      </c>
      <c r="GP16" s="146">
        <f t="shared" si="6"/>
        <v>3618922.1837236667</v>
      </c>
      <c r="GQ16" s="146">
        <f t="shared" si="6"/>
        <v>0</v>
      </c>
      <c r="GR16" s="146">
        <f t="shared" si="6"/>
        <v>0</v>
      </c>
      <c r="GS16" s="146">
        <f t="shared" si="6"/>
        <v>-5076</v>
      </c>
      <c r="GU16" s="146"/>
      <c r="GV16" s="57"/>
    </row>
    <row r="17" spans="1:204">
      <c r="A17" s="185">
        <v>2017</v>
      </c>
      <c r="B17" s="185">
        <v>103164</v>
      </c>
      <c r="C17" s="185" t="s">
        <v>48</v>
      </c>
      <c r="D17" s="2" t="s">
        <v>49</v>
      </c>
      <c r="E17" s="191" t="s">
        <v>32</v>
      </c>
      <c r="F17" s="191" t="s">
        <v>912</v>
      </c>
      <c r="H17" s="279">
        <f>_xlfn.IFNA(VLOOKUP($A17,ISB!$A$4:$BY$454,67,FALSE),0)</f>
        <v>1783832.3645051515</v>
      </c>
      <c r="I17" s="279">
        <f>_xlfn.IFNA(VLOOKUP($A17,ISB!$A$4:$BY$454,72,FALSE),0)</f>
        <v>-6911.2</v>
      </c>
      <c r="J17" s="279">
        <f>-_xlfn.IFNA(VLOOKUP($A17,ISB!$A$4:$BY$454,76,FALSE),0)</f>
        <v>-28407.83</v>
      </c>
      <c r="K17" s="279">
        <f>_xlfn.IFNA(VLOOKUP($A17,ISB!$A$4:$BY$454,77,FALSE),0)</f>
        <v>1748513.3345051515</v>
      </c>
      <c r="M17" s="301">
        <f t="shared" si="7"/>
        <v>148652.69704209597</v>
      </c>
      <c r="N17" s="301">
        <f>VLOOKUP($A17,EY!$A:$H,8,FALSE)+(VLOOKUP($A17,EY!$A:$BS,17,FALSE)-S17)+VLOOKUP($A17,EY!$A:$BS,41,FALSE)</f>
        <v>0</v>
      </c>
      <c r="O17" s="302"/>
      <c r="P17" s="302">
        <f>_xlfn.IFNA((VLOOKUP($A17,HN!$A:$K,8,FALSE)/12),0)</f>
        <v>0</v>
      </c>
      <c r="Q17" s="302">
        <f>_xlfn.IFNA((VLOOKUP($A17,HN!$A:$BS,14,FALSE)/12),0)</f>
        <v>0</v>
      </c>
      <c r="R17" s="302">
        <f>_xlfn.IFNA(VLOOKUP($A17,'Post 16'!$A:$V,21,FALSE),0)/4</f>
        <v>0</v>
      </c>
      <c r="S17" s="302">
        <f>VLOOKUP($A17,EY!A:Q,15,FALSE)*80%</f>
        <v>0</v>
      </c>
      <c r="T17" s="302">
        <f>_xlfn.IFNA((VLOOKUP($A17,HN!$A:$K,9,FALSE)/12),0)+_xlfn.IFNA((VLOOKUP($A17,HN!$A:$K,10,FALSE)/12),0)</f>
        <v>0</v>
      </c>
      <c r="U17" s="302">
        <f>_xlfn.IFNA((VLOOKUP($A17,HN!$A:$BS,15,FALSE)/12),0)</f>
        <v>0</v>
      </c>
      <c r="V17" s="301">
        <f t="shared" si="8"/>
        <v>-575.93333333333328</v>
      </c>
      <c r="W17" s="301">
        <f t="shared" si="9"/>
        <v>-2367.3191666666667</v>
      </c>
      <c r="X17" s="302"/>
      <c r="Y17" s="302">
        <f>_xlfn.IFNA(VLOOKUP($A17,'Cash Advances'!$A:$S,8,FALSE),0)</f>
        <v>0</v>
      </c>
      <c r="Z17" s="301">
        <f t="shared" si="0"/>
        <v>145709.444542096</v>
      </c>
      <c r="AA17" s="315">
        <f t="shared" si="10"/>
        <v>148652.69704209597</v>
      </c>
      <c r="AB17" s="315"/>
      <c r="AC17" s="316"/>
      <c r="AD17" s="316">
        <f>_xlfn.IFNA((VLOOKUP($A17,HN!$A:$K,8,FALSE)/12),0)</f>
        <v>0</v>
      </c>
      <c r="AE17" s="316">
        <f>_xlfn.IFNA((VLOOKUP($A17,HN!$A:$BS,14,FALSE)/12),0)</f>
        <v>0</v>
      </c>
      <c r="AF17" s="316">
        <f>_xlfn.IFNA(VLOOKUP($A17,'Post 16'!$A:$V,21,FALSE),0)/4</f>
        <v>0</v>
      </c>
      <c r="AG17" s="316"/>
      <c r="AH17" s="316">
        <f>_xlfn.IFNA((VLOOKUP($A17,HN!$A:$K,9,FALSE)/12),0)+_xlfn.IFNA((VLOOKUP($A17,HN!$A:$K,10,FALSE)/12),0)</f>
        <v>0</v>
      </c>
      <c r="AI17" s="316">
        <f>_xlfn.IFNA((VLOOKUP($A17,HN!$A:$BS,15,FALSE)/12),0)</f>
        <v>0</v>
      </c>
      <c r="AJ17" s="315">
        <f t="shared" si="11"/>
        <v>-575.93333333333328</v>
      </c>
      <c r="AK17" s="315">
        <f t="shared" si="12"/>
        <v>-2367.3191666666667</v>
      </c>
      <c r="AL17" s="316"/>
      <c r="AM17" s="316">
        <f>_xlfn.IFNA(VLOOKUP($A17,'Cash Advances'!$A:$S,9,FALSE),0)</f>
        <v>0</v>
      </c>
      <c r="AN17" s="315">
        <f t="shared" si="1"/>
        <v>145709.444542096</v>
      </c>
      <c r="AO17" s="308">
        <f t="shared" si="13"/>
        <v>148652.69704209597</v>
      </c>
      <c r="AP17" s="308"/>
      <c r="AQ17" s="309"/>
      <c r="AR17" s="309">
        <f>_xlfn.IFNA((VLOOKUP($A17,HN!$A:$K,8,FALSE)/12),0)</f>
        <v>0</v>
      </c>
      <c r="AS17" s="309">
        <f>_xlfn.IFNA((VLOOKUP($A17,HN!$A:$BS,14,FALSE)/12),0)</f>
        <v>0</v>
      </c>
      <c r="AT17" s="309">
        <f>_xlfn.IFNA(VLOOKUP($A17,'Post 16'!$A:$V,21,FALSE),0)/4</f>
        <v>0</v>
      </c>
      <c r="AU17" s="309"/>
      <c r="AV17" s="309">
        <f>_xlfn.IFNA((VLOOKUP($A17,HN!$A:$K,9,FALSE)/12),0)+_xlfn.IFNA((VLOOKUP($A17,HN!$A:$K,10,FALSE)/12),0)+_xlfn.IFNA(VLOOKUP(A17,HN!A:V,19,FALSE),0)+_xlfn.IFNA(VLOOKUP(A17,HN!A:V,20,FALSE),0)+_xlfn.IFNA(VLOOKUP(A17,HN!A:V,21,FALSE),0)</f>
        <v>0</v>
      </c>
      <c r="AW17" s="309">
        <f>_xlfn.IFNA((VLOOKUP($A17,HN!$A:$BS,15,FALSE)/12),0)</f>
        <v>0</v>
      </c>
      <c r="AX17" s="308">
        <f t="shared" si="14"/>
        <v>-575.93333333333328</v>
      </c>
      <c r="AY17" s="308">
        <f t="shared" si="15"/>
        <v>-2367.3191666666667</v>
      </c>
      <c r="AZ17" s="309"/>
      <c r="BA17" s="309">
        <f>_xlfn.IFNA(VLOOKUP($A17,'Cash Advances'!$A:$S,10,FALSE),0)</f>
        <v>0</v>
      </c>
      <c r="BB17" s="308">
        <f t="shared" si="2"/>
        <v>145709.444542096</v>
      </c>
      <c r="BC17" s="330">
        <f t="shared" si="16"/>
        <v>148652.69704209597</v>
      </c>
      <c r="BD17" s="330"/>
      <c r="BE17" s="331"/>
      <c r="BF17" s="331">
        <f>_xlfn.IFNA((VLOOKUP($A17,HN!$A:$K,8,FALSE)/12),0)</f>
        <v>0</v>
      </c>
      <c r="BG17" s="331">
        <f>_xlfn.IFNA((VLOOKUP($A17,HN!$A:$BS,14,FALSE)/12),0)</f>
        <v>0</v>
      </c>
      <c r="BH17" s="331">
        <f>_xlfn.IFNA(VLOOKUP($A17,'Post 16'!$A:$V,21,FALSE),0)/4</f>
        <v>0</v>
      </c>
      <c r="BI17" s="331"/>
      <c r="BJ17" s="331">
        <f>_xlfn.IFNA((VLOOKUP($A17,HN!$A:$K,9,FALSE)/12),0)+_xlfn.IFNA((VLOOKUP($A17,HN!$A:$K,10,FALSE)/12),0)</f>
        <v>0</v>
      </c>
      <c r="BK17" s="331">
        <f>_xlfn.IFNA((VLOOKUP($A17,HN!$A:$BS,15,FALSE)/12),0)</f>
        <v>0</v>
      </c>
      <c r="BL17" s="330">
        <f t="shared" si="17"/>
        <v>-575.93333333333328</v>
      </c>
      <c r="BM17" s="330">
        <f t="shared" si="18"/>
        <v>-2367.3191666666667</v>
      </c>
      <c r="BN17" s="331"/>
      <c r="BO17" s="331">
        <f>_xlfn.IFNA(VLOOKUP(A17,'Cash Advances'!A:K,11,FALSE),0)</f>
        <v>0</v>
      </c>
      <c r="BP17" s="330">
        <f t="shared" si="3"/>
        <v>145709.444542096</v>
      </c>
      <c r="BQ17" s="322">
        <f t="shared" si="19"/>
        <v>148652.69704209597</v>
      </c>
      <c r="BR17" s="322"/>
      <c r="BS17" s="323"/>
      <c r="BT17" s="323">
        <f>_xlfn.IFNA((VLOOKUP($A17,HN!$A:$K,8,FALSE)/12),0)</f>
        <v>0</v>
      </c>
      <c r="BU17" s="323">
        <f>_xlfn.IFNA((VLOOKUP($A17,HN!$A:$BS,14,FALSE)/12),0)</f>
        <v>0</v>
      </c>
      <c r="BV17" s="323">
        <f>(_xlfn.IFNA(VLOOKUP($A17,'Post 16'!$A:$AV,32,FALSE),0)/8)+_xlfn.IFNA(VLOOKUP($A17,'Post 16'!$A:$AR,40,FALSE),0)</f>
        <v>0</v>
      </c>
      <c r="BW17" s="323"/>
      <c r="BX17" s="323">
        <f>_xlfn.IFNA((VLOOKUP($A17,HN!$A:$K,9,FALSE)/12),0)+_xlfn.IFNA((VLOOKUP($A17,HN!$A:$K,10,FALSE)/12),0)</f>
        <v>0</v>
      </c>
      <c r="BY17" s="323">
        <f>_xlfn.IFNA((VLOOKUP($A17,HN!$A:$BS,15,FALSE)/12),0)</f>
        <v>0</v>
      </c>
      <c r="BZ17" s="322">
        <f t="shared" si="20"/>
        <v>-575.93333333333328</v>
      </c>
      <c r="CA17" s="322">
        <f t="shared" si="21"/>
        <v>-2367.3191666666667</v>
      </c>
      <c r="CB17" s="323"/>
      <c r="CC17" s="323"/>
      <c r="CD17" s="322">
        <f t="shared" si="4"/>
        <v>145709.444542096</v>
      </c>
      <c r="CE17" s="357">
        <f t="shared" si="22"/>
        <v>148652.69704209597</v>
      </c>
      <c r="CF17" s="357">
        <f>(VLOOKUP($A17,EY!$A:$BS,26,FALSE)-(VLOOKUP($A17,EY!A:CR,24,FALSE)*80%))+VLOOKUP($A17,EY!$A:$BS,42,FALSE)+(VLOOKUP($A17,EY!A:CC,74,FALSE)-VLOOKUP($A17,EY!A:CC,72,FALSE))</f>
        <v>0</v>
      </c>
      <c r="CG17" s="358"/>
      <c r="CH17" s="358">
        <f>_xlfn.IFNA((VLOOKUP($A17,HN!$A:$K,8,FALSE)/12),0)</f>
        <v>0</v>
      </c>
      <c r="CI17" s="358">
        <f>_xlfn.IFNA((VLOOKUP($A17,HN!$A:$BS,14,FALSE)/12),0)</f>
        <v>0</v>
      </c>
      <c r="CJ17" s="358">
        <f>(_xlfn.IFNA(VLOOKUP($A17,'Post 16'!$A:$AV,32,FALSE),0)/8)</f>
        <v>0</v>
      </c>
      <c r="CK17" s="358">
        <f>(VLOOKUP($A17,EY!A:CR,24,FALSE)*80%)+VLOOKUP($A17,EY!A:CC,72,FALSE)</f>
        <v>0</v>
      </c>
      <c r="CL17" s="358">
        <f>_xlfn.IFNA((VLOOKUP($A17,HN!$A:$K,9,FALSE)/12),0)+_xlfn.IFNA((VLOOKUP($A17,HN!$A:$K,10,FALSE)/12),0)</f>
        <v>0</v>
      </c>
      <c r="CM17" s="358">
        <f>_xlfn.IFNA((VLOOKUP($A17,HN!$A:$BS,15,FALSE)/12),0)</f>
        <v>0</v>
      </c>
      <c r="CN17" s="357">
        <f t="shared" si="23"/>
        <v>-575.93333333333328</v>
      </c>
      <c r="CO17" s="357">
        <f t="shared" si="24"/>
        <v>-2367.3191666666667</v>
      </c>
      <c r="CP17" s="358">
        <f>_xlfn.IFNA(VLOOKUP(A17,'LA Deductions'!A:W,23,FALSE),0)</f>
        <v>-5139.75</v>
      </c>
      <c r="CQ17" s="358">
        <f>_xlfn.IFNA(VLOOKUP($A17,'Cash Advances'!$A:$S,13,FALSE),0)</f>
        <v>0</v>
      </c>
      <c r="CR17" s="358">
        <f>_xlfn.IFNA(VLOOKUP(A17,'LA Deductions'!A:AZ,25,FALSE),0)/9*3</f>
        <v>0</v>
      </c>
      <c r="CS17" s="357">
        <f t="shared" si="25"/>
        <v>140569.694542096</v>
      </c>
      <c r="CT17" s="337">
        <f t="shared" si="26"/>
        <v>148652.69704209597</v>
      </c>
      <c r="CU17" s="337"/>
      <c r="CV17" s="338">
        <f>_xlfn.IFNA(VLOOKUP(A17,'LA Deductions'!$A$6:$AN$207,34,FALSE),0)</f>
        <v>0</v>
      </c>
      <c r="CW17" s="338">
        <f>_xlfn.IFNA((VLOOKUP($A17,HN!$A:$K,8,FALSE)/12),0)</f>
        <v>0</v>
      </c>
      <c r="CX17" s="338">
        <f>_xlfn.IFNA((VLOOKUP($A17,HN!$A:$BS,14,FALSE)/12),0)</f>
        <v>0</v>
      </c>
      <c r="CY17" s="338">
        <f>_xlfn.IFNA(VLOOKUP($A17,'Post 16'!$A:$AV,32,FALSE),0)/8</f>
        <v>0</v>
      </c>
      <c r="CZ17" s="338"/>
      <c r="DA17" s="338">
        <f>_xlfn.IFNA((VLOOKUP($A17,HN!$A:$K,9,FALSE)/12),0)+_xlfn.IFNA((VLOOKUP($A17,HN!$A:$K,10,FALSE)/12),0)</f>
        <v>0</v>
      </c>
      <c r="DB17" s="338">
        <f>_xlfn.IFNA((VLOOKUP($A17,HN!$A:$BS,15,FALSE)/12),0)</f>
        <v>0</v>
      </c>
      <c r="DC17" s="337">
        <f t="shared" si="27"/>
        <v>-575.93333333333328</v>
      </c>
      <c r="DD17" s="337">
        <f t="shared" si="28"/>
        <v>-2367.3191666666667</v>
      </c>
      <c r="DE17" s="338"/>
      <c r="DF17" s="338">
        <f>_xlfn.IFNA(VLOOKUP($A17,'Cash Advances'!$A:$S,14,FALSE),0)</f>
        <v>0</v>
      </c>
      <c r="DG17" s="338">
        <f>(_xlfn.IFNA(VLOOKUP(A17,'LA Deductions'!A:AZ,25,FALSE),0)/9)+(_xlfn.IFNA(VLOOKUP(A17,'LA Deductions'!A:AZ,26,FALSE),0))</f>
        <v>0</v>
      </c>
      <c r="DH17" s="337">
        <f t="shared" si="29"/>
        <v>145709.444542096</v>
      </c>
      <c r="DI17" s="330">
        <f t="shared" si="30"/>
        <v>148652.69704209597</v>
      </c>
      <c r="DJ17" s="330"/>
      <c r="DK17" s="331"/>
      <c r="DL17" s="331">
        <f>_xlfn.IFNA((VLOOKUP($A17,HN!$A:$K,8,FALSE)/12),0)+_xlfn.IFNA((VLOOKUP($A17,HN!$A:$AF,32,FALSE)*8/12),0)</f>
        <v>0</v>
      </c>
      <c r="DM17" s="331">
        <f>_xlfn.IFNA((VLOOKUP($A17,HN!$A:$BS,14,FALSE)/12),0)+_xlfn.IFNA(VLOOKUP($A17,HN!$A:$BS,31,FALSE),0)</f>
        <v>0</v>
      </c>
      <c r="DN17" s="331">
        <f>_xlfn.IFNA(VLOOKUP($A17,'Post 16'!$A:$AV,32,FALSE),0)/8</f>
        <v>0</v>
      </c>
      <c r="DO17" s="331"/>
      <c r="DP17" s="331">
        <f>_xlfn.IFNA((VLOOKUP($A17,HN!$A:$K,9,FALSE)/12),0)+_xlfn.IFNA((VLOOKUP($A17,HN!$A:$K,10,FALSE)/12),0)+_xlfn.IFNA((VLOOKUP($A17,HN!$A:$BZ,33,FALSE)*8/12),0)</f>
        <v>0</v>
      </c>
      <c r="DQ17" s="331">
        <f>_xlfn.IFNA((VLOOKUP($A17,HN!$A:$BS,15,FALSE)/12),0)</f>
        <v>0</v>
      </c>
      <c r="DR17" s="330">
        <f t="shared" si="31"/>
        <v>-575.93333333333328</v>
      </c>
      <c r="DS17" s="330">
        <f t="shared" si="32"/>
        <v>-2367.3191666666667</v>
      </c>
      <c r="DT17" s="331"/>
      <c r="DU17" s="331"/>
      <c r="DV17" s="331">
        <f>(_xlfn.IFNA(VLOOKUP(A17,'LA Deductions'!A:AZ,25,FALSE),0)/9)+_xlfn.IFNA(VLOOKUP(A17,'LA Deductions'!A:AZ,27,FALSE),0)</f>
        <v>0</v>
      </c>
      <c r="DW17" s="330">
        <f t="shared" si="33"/>
        <v>145709.444542096</v>
      </c>
      <c r="DX17" s="344">
        <f t="shared" si="34"/>
        <v>148652.69704209597</v>
      </c>
      <c r="DY17" s="344"/>
      <c r="DZ17" s="345"/>
      <c r="EA17" s="345">
        <f>_xlfn.IFNA((VLOOKUP($A17,HN!$A:$K,8,FALSE)/12),0)+_xlfn.IFNA((VLOOKUP($A17,HN!$A:$AF,32,FALSE)*1/12),0)</f>
        <v>0</v>
      </c>
      <c r="EB17" s="345">
        <f>_xlfn.IFNA((VLOOKUP($A17,HN!$A:$BS,14,FALSE)/12),0)</f>
        <v>0</v>
      </c>
      <c r="EC17" s="345">
        <f>_xlfn.IFNA(VLOOKUP($A17,'Post 16'!$A:$AV,32,FALSE),0)/8</f>
        <v>0</v>
      </c>
      <c r="ED17" s="345"/>
      <c r="EE17" s="345">
        <f>_xlfn.IFNA((VLOOKUP($A17,HN!$A:$K,9,FALSE)/12),0)+_xlfn.IFNA((VLOOKUP($A17,HN!$A:$K,10,FALSE)/12),0)+_xlfn.IFNA((VLOOKUP($A17,HN!$A:$BZ,33,FALSE)/12),0)</f>
        <v>0</v>
      </c>
      <c r="EF17" s="345">
        <f>_xlfn.IFNA((VLOOKUP($A17,HN!$A:$BS,15,FALSE)/12),0)</f>
        <v>0</v>
      </c>
      <c r="EG17" s="344">
        <f t="shared" si="35"/>
        <v>-575.93333333333328</v>
      </c>
      <c r="EH17" s="344">
        <f t="shared" si="36"/>
        <v>-2367.3191666666667</v>
      </c>
      <c r="EI17" s="345"/>
      <c r="EJ17" s="345">
        <f>_xlfn.IFNA(VLOOKUP(A17,'Cash Advances'!A:P,16,FALSE),0)</f>
        <v>0</v>
      </c>
      <c r="EK17" s="345">
        <f>_xlfn.IFNA(VLOOKUP(A17,'LA Deductions'!A:AZ,25,FALSE),0)/9</f>
        <v>0</v>
      </c>
      <c r="EL17" s="344">
        <f t="shared" si="37"/>
        <v>145709.444542096</v>
      </c>
      <c r="EM17" s="308">
        <f t="shared" si="38"/>
        <v>148652.69704209597</v>
      </c>
      <c r="EN17" s="308">
        <f>((VLOOKUP($A17,EY!$A:$BS,35,FALSE)-(VLOOKUP($A17,EY!$A:$BS,33,FALSE)*80%))+VLOOKUP($A17,EY!$A:$BS,43,FALSE))+(VLOOKUP(A17,EY!A:DF,110,FALSE)-VLOOKUP(A17,EY!A:DD,108,FALSE))+(VLOOKUP(A17,EY!A:CE,83,FALSE)-VLOOKUP(A17,EY!A:CC,81,FALSE))</f>
        <v>0</v>
      </c>
      <c r="EO17" s="309"/>
      <c r="EP17" s="309">
        <f>_xlfn.IFNA((VLOOKUP($A17,HN!$A:$K,8,FALSE)/12),0)+_xlfn.IFNA((VLOOKUP($A17,HN!$A:$AF,32,FALSE)*1/12),0)</f>
        <v>0</v>
      </c>
      <c r="EQ17" s="309">
        <f>_xlfn.IFNA((VLOOKUP($A17,HN!$A:$BS,14,FALSE)/12),0)+_xlfn.IFNA((VLOOKUP($A17,HN!$A:$BS,34,FALSE)/3),0)</f>
        <v>0</v>
      </c>
      <c r="ER17" s="309">
        <f>_xlfn.IFNA(VLOOKUP($A17,'Post 16'!$A:$AV,32,FALSE),0)/8</f>
        <v>0</v>
      </c>
      <c r="ES17" s="309">
        <f>((VLOOKUP($A17,EY!A:EV,33,FALSE)*80%))+VLOOKUP(A17,EY!A:DD,108,FALSE)+VLOOKUP(A17,EY!A:CC,81,FALSE)</f>
        <v>0</v>
      </c>
      <c r="ET17" s="309">
        <f>_xlfn.IFNA((VLOOKUP($A17,HN!$A:$K,9,FALSE)/12),0)+_xlfn.IFNA((VLOOKUP($A17,HN!$A:$K,10,FALSE)/12),0)+_xlfn.IFNA((VLOOKUP($A17,HN!$A:$BZ,33,FALSE)/12),0)</f>
        <v>0</v>
      </c>
      <c r="EU17" s="309">
        <f>_xlfn.IFNA((VLOOKUP($A17,HN!$A:$BS,15,FALSE)/12),0)</f>
        <v>0</v>
      </c>
      <c r="EV17" s="308">
        <f t="shared" si="39"/>
        <v>-575.93333333333328</v>
      </c>
      <c r="EW17" s="308">
        <f t="shared" si="40"/>
        <v>-2367.3191666666667</v>
      </c>
      <c r="EX17" s="309"/>
      <c r="EY17" s="309">
        <f>_xlfn.IFNA(VLOOKUP($A17,'Cash Advances'!$A:$S,17,FALSE),0)</f>
        <v>0</v>
      </c>
      <c r="EZ17" s="309">
        <f>_xlfn.IFNA(VLOOKUP(A17,'LA Deductions'!A:AZ,25,FALSE),0)/9</f>
        <v>0</v>
      </c>
      <c r="FA17" s="308">
        <f t="shared" si="41"/>
        <v>145709.444542096</v>
      </c>
      <c r="FB17" s="315">
        <f t="shared" si="42"/>
        <v>148652.69704209597</v>
      </c>
      <c r="FC17" s="315"/>
      <c r="FD17" s="316"/>
      <c r="FE17" s="316">
        <f>_xlfn.IFNA((VLOOKUP($A17,HN!$A:$K,8,FALSE)/12),0)+_xlfn.IFNA((VLOOKUP($A17,HN!$A:$AF,32,FALSE)*1/12),0)</f>
        <v>0</v>
      </c>
      <c r="FF17" s="316">
        <f>_xlfn.IFNA((VLOOKUP($A17,HN!$A:$BS,14,FALSE)/12),0)+_xlfn.IFNA((VLOOKUP($A17,HN!$A:$BS,34,FALSE)/3),0)</f>
        <v>0</v>
      </c>
      <c r="FG17" s="316">
        <f>_xlfn.IFNA(VLOOKUP($A17,'Post 16'!$A:$AV,32,FALSE),0)/8</f>
        <v>0</v>
      </c>
      <c r="FH17" s="316"/>
      <c r="FI17" s="316">
        <f>_xlfn.IFNA((VLOOKUP($A17,HN!$A:$K,9,FALSE)/12),0)+_xlfn.IFNA((VLOOKUP($A17,HN!$A:$K,10,FALSE)/12),0)+_xlfn.IFNA((VLOOKUP($A17,HN!$A:$BZ,33,FALSE)/12),0)+_xlfn.IFNA((VLOOKUP($A17,HN!$A:$BZ,35,FALSE)/2),0)</f>
        <v>0</v>
      </c>
      <c r="FJ17" s="316">
        <f>_xlfn.IFNA((VLOOKUP($A17,HN!$A:$BS,15,FALSE)/12),0)+_xlfn.IFNA((VLOOKUP($A17,HN!$A:$CZ,36,FALSE)/2),0)</f>
        <v>0</v>
      </c>
      <c r="FK17" s="315">
        <f t="shared" si="43"/>
        <v>-575.93333333333328</v>
      </c>
      <c r="FL17" s="315">
        <f t="shared" si="44"/>
        <v>-2367.3191666666667</v>
      </c>
      <c r="FM17" s="316"/>
      <c r="FN17" s="316">
        <f>_xlfn.IFNA(VLOOKUP($A17,'Cash Advances'!$A:$S,18,FALSE),0)</f>
        <v>0</v>
      </c>
      <c r="FO17" s="316">
        <f>_xlfn.IFNA(VLOOKUP(A17,'LA Deductions'!A:AZ,25,FALSE),0)/9</f>
        <v>0</v>
      </c>
      <c r="FP17" s="315">
        <f t="shared" si="45"/>
        <v>145709.444542096</v>
      </c>
      <c r="FQ17" s="322">
        <f t="shared" si="46"/>
        <v>148652.69704209597</v>
      </c>
      <c r="FR17" s="322"/>
      <c r="FS17" s="323"/>
      <c r="FT17" s="323">
        <f>_xlfn.IFNA((VLOOKUP($A17,HN!$A:$K,8,FALSE)/12),0)+_xlfn.IFNA((VLOOKUP($A17,HN!$A:$AF,32,FALSE)*1/12),0)</f>
        <v>0</v>
      </c>
      <c r="FU17" s="323">
        <f>_xlfn.IFNA((VLOOKUP($A17,HN!$A:$BS,14,FALSE)/12),0)+_xlfn.IFNA((VLOOKUP($A17,HN!$A:$BS,34,FALSE)/3),0)</f>
        <v>0</v>
      </c>
      <c r="FV17" s="323">
        <f>_xlfn.IFNA(VLOOKUP($A17,'Post 16'!$A:$AV,32,FALSE),0)/8</f>
        <v>0</v>
      </c>
      <c r="FW17" s="323"/>
      <c r="FX17" s="323">
        <f>_xlfn.IFNA((VLOOKUP($A17,HN!$A:$K,9,FALSE)/12),0)+_xlfn.IFNA((VLOOKUP($A17,HN!$A:$K,10,FALSE)/12),0)+_xlfn.IFNA((VLOOKUP($A17,HN!$A:$BZ,33,FALSE)/12),0)+_xlfn.IFNA((VLOOKUP($A17,HN!$A:$BZ,35,FALSE)/2),0)</f>
        <v>0</v>
      </c>
      <c r="FY17" s="323">
        <f>_xlfn.IFNA((VLOOKUP($A17,HN!$A:$BS,15,FALSE)/12),0)+_xlfn.IFNA((VLOOKUP($A17,HN!$A:$CZ,36,FALSE)/2),0)</f>
        <v>0</v>
      </c>
      <c r="FZ17" s="322">
        <f t="shared" si="47"/>
        <v>-575.93333333333328</v>
      </c>
      <c r="GA17" s="322">
        <f t="shared" si="48"/>
        <v>-2367.3191666666667</v>
      </c>
      <c r="GB17" s="323"/>
      <c r="GC17" s="323"/>
      <c r="GD17" s="323">
        <f>_xlfn.IFNA(VLOOKUP(A17,'LA Deductions'!A:AZ,25,FALSE),0)/9</f>
        <v>0</v>
      </c>
      <c r="GE17" s="322">
        <f t="shared" si="49"/>
        <v>145709.444542096</v>
      </c>
      <c r="GG17" s="146">
        <f t="shared" si="5"/>
        <v>1783832.3645051515</v>
      </c>
      <c r="GH17" s="146">
        <f t="shared" si="5"/>
        <v>0</v>
      </c>
      <c r="GI17" s="146">
        <f t="shared" si="5"/>
        <v>0</v>
      </c>
      <c r="GJ17" s="146">
        <f t="shared" si="5"/>
        <v>-6911.2</v>
      </c>
      <c r="GK17" s="146">
        <f t="shared" si="5"/>
        <v>-28407.830000000005</v>
      </c>
      <c r="GL17" s="146">
        <f t="shared" si="5"/>
        <v>-5139.75</v>
      </c>
      <c r="GN17" s="146">
        <f t="shared" si="6"/>
        <v>1783832.3645051515</v>
      </c>
      <c r="GO17" s="146">
        <f t="shared" si="6"/>
        <v>0</v>
      </c>
      <c r="GP17" s="146">
        <f t="shared" si="6"/>
        <v>0</v>
      </c>
      <c r="GQ17" s="146">
        <f t="shared" si="6"/>
        <v>-6911.2</v>
      </c>
      <c r="GR17" s="146">
        <f t="shared" si="6"/>
        <v>-28407.830000000005</v>
      </c>
      <c r="GS17" s="146">
        <f t="shared" si="6"/>
        <v>-5139.75</v>
      </c>
      <c r="GU17" s="146"/>
      <c r="GV17" s="57"/>
    </row>
    <row r="18" spans="1:204">
      <c r="A18" s="185">
        <v>2016</v>
      </c>
      <c r="B18" s="185">
        <v>103163</v>
      </c>
      <c r="C18" s="185" t="s">
        <v>50</v>
      </c>
      <c r="D18" s="2" t="s">
        <v>51</v>
      </c>
      <c r="E18" s="191" t="s">
        <v>32</v>
      </c>
      <c r="F18" s="191" t="s">
        <v>912</v>
      </c>
      <c r="H18" s="279">
        <f>_xlfn.IFNA(VLOOKUP($A18,ISB!$A$4:$BY$454,67,FALSE),0)</f>
        <v>2286076.6641679588</v>
      </c>
      <c r="I18" s="279">
        <f>_xlfn.IFNA(VLOOKUP($A18,ISB!$A$4:$BY$454,72,FALSE),0)</f>
        <v>-9362.7199999999993</v>
      </c>
      <c r="J18" s="279">
        <f>-_xlfn.IFNA(VLOOKUP($A18,ISB!$A$4:$BY$454,76,FALSE),0)</f>
        <v>-42611.74</v>
      </c>
      <c r="K18" s="279">
        <f>_xlfn.IFNA(VLOOKUP($A18,ISB!$A$4:$BY$454,77,FALSE),0)</f>
        <v>2234102.2041679583</v>
      </c>
      <c r="M18" s="301">
        <f t="shared" si="7"/>
        <v>190506.38868066322</v>
      </c>
      <c r="N18" s="301">
        <f>VLOOKUP($A18,EY!$A:$H,8,FALSE)+(VLOOKUP($A18,EY!$A:$BS,17,FALSE)-S18)+VLOOKUP($A18,EY!$A:$BS,41,FALSE)</f>
        <v>0</v>
      </c>
      <c r="O18" s="302"/>
      <c r="P18" s="302">
        <f>_xlfn.IFNA((VLOOKUP($A18,HN!$A:$K,8,FALSE)/12),0)</f>
        <v>0</v>
      </c>
      <c r="Q18" s="302">
        <f>_xlfn.IFNA((VLOOKUP($A18,HN!$A:$BS,14,FALSE)/12),0)</f>
        <v>0</v>
      </c>
      <c r="R18" s="302">
        <f>_xlfn.IFNA(VLOOKUP($A18,'Post 16'!$A:$V,21,FALSE),0)/4</f>
        <v>0</v>
      </c>
      <c r="S18" s="302">
        <f>VLOOKUP($A18,EY!A:Q,15,FALSE)*80%</f>
        <v>0</v>
      </c>
      <c r="T18" s="302">
        <f>_xlfn.IFNA((VLOOKUP($A18,HN!$A:$K,9,FALSE)/12),0)+_xlfn.IFNA((VLOOKUP($A18,HN!$A:$K,10,FALSE)/12),0)</f>
        <v>0</v>
      </c>
      <c r="U18" s="302">
        <f>_xlfn.IFNA((VLOOKUP($A18,HN!$A:$BS,15,FALSE)/12),0)</f>
        <v>0</v>
      </c>
      <c r="V18" s="301">
        <f t="shared" si="8"/>
        <v>-780.22666666666657</v>
      </c>
      <c r="W18" s="301">
        <f t="shared" si="9"/>
        <v>-3550.978333333333</v>
      </c>
      <c r="X18" s="302"/>
      <c r="Y18" s="302">
        <f>_xlfn.IFNA(VLOOKUP($A18,'Cash Advances'!$A:$S,8,FALSE),0)</f>
        <v>0</v>
      </c>
      <c r="Z18" s="301">
        <f t="shared" si="0"/>
        <v>186175.18368066323</v>
      </c>
      <c r="AA18" s="315">
        <f t="shared" si="10"/>
        <v>190506.38868066322</v>
      </c>
      <c r="AB18" s="315"/>
      <c r="AC18" s="316"/>
      <c r="AD18" s="316">
        <f>_xlfn.IFNA((VLOOKUP($A18,HN!$A:$K,8,FALSE)/12),0)</f>
        <v>0</v>
      </c>
      <c r="AE18" s="316">
        <f>_xlfn.IFNA((VLOOKUP($A18,HN!$A:$BS,14,FALSE)/12),0)</f>
        <v>0</v>
      </c>
      <c r="AF18" s="316">
        <f>_xlfn.IFNA(VLOOKUP($A18,'Post 16'!$A:$V,21,FALSE),0)/4</f>
        <v>0</v>
      </c>
      <c r="AG18" s="316"/>
      <c r="AH18" s="316">
        <f>_xlfn.IFNA((VLOOKUP($A18,HN!$A:$K,9,FALSE)/12),0)+_xlfn.IFNA((VLOOKUP($A18,HN!$A:$K,10,FALSE)/12),0)</f>
        <v>0</v>
      </c>
      <c r="AI18" s="316">
        <f>_xlfn.IFNA((VLOOKUP($A18,HN!$A:$BS,15,FALSE)/12),0)</f>
        <v>0</v>
      </c>
      <c r="AJ18" s="315">
        <f t="shared" si="11"/>
        <v>-780.22666666666657</v>
      </c>
      <c r="AK18" s="315">
        <f t="shared" si="12"/>
        <v>-3550.978333333333</v>
      </c>
      <c r="AL18" s="316"/>
      <c r="AM18" s="316">
        <f>_xlfn.IFNA(VLOOKUP($A18,'Cash Advances'!$A:$S,9,FALSE),0)</f>
        <v>0</v>
      </c>
      <c r="AN18" s="315">
        <f t="shared" si="1"/>
        <v>186175.18368066323</v>
      </c>
      <c r="AO18" s="308">
        <f t="shared" si="13"/>
        <v>190506.38868066322</v>
      </c>
      <c r="AP18" s="308"/>
      <c r="AQ18" s="309"/>
      <c r="AR18" s="309">
        <f>_xlfn.IFNA((VLOOKUP($A18,HN!$A:$K,8,FALSE)/12),0)</f>
        <v>0</v>
      </c>
      <c r="AS18" s="309">
        <f>_xlfn.IFNA((VLOOKUP($A18,HN!$A:$BS,14,FALSE)/12),0)</f>
        <v>0</v>
      </c>
      <c r="AT18" s="309">
        <f>_xlfn.IFNA(VLOOKUP($A18,'Post 16'!$A:$V,21,FALSE),0)/4</f>
        <v>0</v>
      </c>
      <c r="AU18" s="309"/>
      <c r="AV18" s="309">
        <f>_xlfn.IFNA((VLOOKUP($A18,HN!$A:$K,9,FALSE)/12),0)+_xlfn.IFNA((VLOOKUP($A18,HN!$A:$K,10,FALSE)/12),0)+_xlfn.IFNA(VLOOKUP(A18,HN!A:V,19,FALSE),0)+_xlfn.IFNA(VLOOKUP(A18,HN!A:V,20,FALSE),0)+_xlfn.IFNA(VLOOKUP(A18,HN!A:V,21,FALSE),0)</f>
        <v>0</v>
      </c>
      <c r="AW18" s="309">
        <f>_xlfn.IFNA((VLOOKUP($A18,HN!$A:$BS,15,FALSE)/12),0)</f>
        <v>0</v>
      </c>
      <c r="AX18" s="308">
        <f t="shared" si="14"/>
        <v>-780.22666666666657</v>
      </c>
      <c r="AY18" s="308">
        <f t="shared" si="15"/>
        <v>-3550.978333333333</v>
      </c>
      <c r="AZ18" s="309"/>
      <c r="BA18" s="309">
        <f>_xlfn.IFNA(VLOOKUP($A18,'Cash Advances'!$A:$S,10,FALSE),0)</f>
        <v>0</v>
      </c>
      <c r="BB18" s="308">
        <f t="shared" si="2"/>
        <v>186175.18368066323</v>
      </c>
      <c r="BC18" s="330">
        <f t="shared" si="16"/>
        <v>190506.38868066322</v>
      </c>
      <c r="BD18" s="330"/>
      <c r="BE18" s="331"/>
      <c r="BF18" s="331">
        <f>_xlfn.IFNA((VLOOKUP($A18,HN!$A:$K,8,FALSE)/12),0)</f>
        <v>0</v>
      </c>
      <c r="BG18" s="331">
        <f>_xlfn.IFNA((VLOOKUP($A18,HN!$A:$BS,14,FALSE)/12),0)</f>
        <v>0</v>
      </c>
      <c r="BH18" s="331">
        <f>_xlfn.IFNA(VLOOKUP($A18,'Post 16'!$A:$V,21,FALSE),0)/4</f>
        <v>0</v>
      </c>
      <c r="BI18" s="331"/>
      <c r="BJ18" s="331">
        <f>_xlfn.IFNA((VLOOKUP($A18,HN!$A:$K,9,FALSE)/12),0)+_xlfn.IFNA((VLOOKUP($A18,HN!$A:$K,10,FALSE)/12),0)</f>
        <v>0</v>
      </c>
      <c r="BK18" s="331">
        <f>_xlfn.IFNA((VLOOKUP($A18,HN!$A:$BS,15,FALSE)/12),0)</f>
        <v>0</v>
      </c>
      <c r="BL18" s="330">
        <f t="shared" si="17"/>
        <v>-780.22666666666657</v>
      </c>
      <c r="BM18" s="330">
        <f t="shared" si="18"/>
        <v>-3550.978333333333</v>
      </c>
      <c r="BN18" s="331"/>
      <c r="BO18" s="331">
        <f>_xlfn.IFNA(VLOOKUP(A18,'Cash Advances'!A:K,11,FALSE),0)</f>
        <v>0</v>
      </c>
      <c r="BP18" s="330">
        <f t="shared" si="3"/>
        <v>186175.18368066323</v>
      </c>
      <c r="BQ18" s="322">
        <f t="shared" si="19"/>
        <v>190506.38868066322</v>
      </c>
      <c r="BR18" s="322"/>
      <c r="BS18" s="323"/>
      <c r="BT18" s="323">
        <f>_xlfn.IFNA((VLOOKUP($A18,HN!$A:$K,8,FALSE)/12),0)</f>
        <v>0</v>
      </c>
      <c r="BU18" s="323">
        <f>_xlfn.IFNA((VLOOKUP($A18,HN!$A:$BS,14,FALSE)/12),0)</f>
        <v>0</v>
      </c>
      <c r="BV18" s="323">
        <f>(_xlfn.IFNA(VLOOKUP($A18,'Post 16'!$A:$AV,32,FALSE),0)/8)+_xlfn.IFNA(VLOOKUP($A18,'Post 16'!$A:$AR,40,FALSE),0)</f>
        <v>0</v>
      </c>
      <c r="BW18" s="323"/>
      <c r="BX18" s="323">
        <f>_xlfn.IFNA((VLOOKUP($A18,HN!$A:$K,9,FALSE)/12),0)+_xlfn.IFNA((VLOOKUP($A18,HN!$A:$K,10,FALSE)/12),0)</f>
        <v>0</v>
      </c>
      <c r="BY18" s="323">
        <f>_xlfn.IFNA((VLOOKUP($A18,HN!$A:$BS,15,FALSE)/12),0)</f>
        <v>0</v>
      </c>
      <c r="BZ18" s="322">
        <f t="shared" si="20"/>
        <v>-780.22666666666657</v>
      </c>
      <c r="CA18" s="322">
        <f t="shared" si="21"/>
        <v>-3550.978333333333</v>
      </c>
      <c r="CB18" s="323"/>
      <c r="CC18" s="323"/>
      <c r="CD18" s="322">
        <f t="shared" si="4"/>
        <v>186175.18368066323</v>
      </c>
      <c r="CE18" s="357">
        <f t="shared" si="22"/>
        <v>190506.38868066322</v>
      </c>
      <c r="CF18" s="357">
        <f>(VLOOKUP($A18,EY!$A:$BS,26,FALSE)-(VLOOKUP($A18,EY!A:CR,24,FALSE)*80%))+VLOOKUP($A18,EY!$A:$BS,42,FALSE)+(VLOOKUP($A18,EY!A:CC,74,FALSE)-VLOOKUP($A18,EY!A:CC,72,FALSE))</f>
        <v>0</v>
      </c>
      <c r="CG18" s="358"/>
      <c r="CH18" s="358">
        <f>_xlfn.IFNA((VLOOKUP($A18,HN!$A:$K,8,FALSE)/12),0)</f>
        <v>0</v>
      </c>
      <c r="CI18" s="358">
        <f>_xlfn.IFNA((VLOOKUP($A18,HN!$A:$BS,14,FALSE)/12),0)</f>
        <v>0</v>
      </c>
      <c r="CJ18" s="358">
        <f>(_xlfn.IFNA(VLOOKUP($A18,'Post 16'!$A:$AV,32,FALSE),0)/8)</f>
        <v>0</v>
      </c>
      <c r="CK18" s="358">
        <f>(VLOOKUP($A18,EY!A:CR,24,FALSE)*80%)+VLOOKUP($A18,EY!A:CC,72,FALSE)</f>
        <v>0</v>
      </c>
      <c r="CL18" s="358">
        <f>_xlfn.IFNA((VLOOKUP($A18,HN!$A:$K,9,FALSE)/12),0)+_xlfn.IFNA((VLOOKUP($A18,HN!$A:$K,10,FALSE)/12),0)</f>
        <v>0</v>
      </c>
      <c r="CM18" s="358">
        <f>_xlfn.IFNA((VLOOKUP($A18,HN!$A:$BS,15,FALSE)/12),0)</f>
        <v>0</v>
      </c>
      <c r="CN18" s="357">
        <f t="shared" si="23"/>
        <v>-780.22666666666657</v>
      </c>
      <c r="CO18" s="357">
        <f t="shared" si="24"/>
        <v>-3550.978333333333</v>
      </c>
      <c r="CP18" s="358">
        <f>_xlfn.IFNA(VLOOKUP(A18,'LA Deductions'!A:W,23,FALSE),0)</f>
        <v>-9471</v>
      </c>
      <c r="CQ18" s="358">
        <f>_xlfn.IFNA(VLOOKUP($A18,'Cash Advances'!$A:$S,13,FALSE),0)</f>
        <v>0</v>
      </c>
      <c r="CR18" s="358">
        <f>_xlfn.IFNA(VLOOKUP(A18,'LA Deductions'!A:AZ,25,FALSE),0)/9*3</f>
        <v>0</v>
      </c>
      <c r="CS18" s="357">
        <f t="shared" si="25"/>
        <v>176704.18368066323</v>
      </c>
      <c r="CT18" s="337">
        <f t="shared" si="26"/>
        <v>190506.38868066322</v>
      </c>
      <c r="CU18" s="337"/>
      <c r="CV18" s="338">
        <f>_xlfn.IFNA(VLOOKUP(A18,'LA Deductions'!$A$6:$AN$207,34,FALSE),0)</f>
        <v>0</v>
      </c>
      <c r="CW18" s="338">
        <f>_xlfn.IFNA((VLOOKUP($A18,HN!$A:$K,8,FALSE)/12),0)</f>
        <v>0</v>
      </c>
      <c r="CX18" s="338">
        <f>_xlfn.IFNA((VLOOKUP($A18,HN!$A:$BS,14,FALSE)/12),0)</f>
        <v>0</v>
      </c>
      <c r="CY18" s="338">
        <f>_xlfn.IFNA(VLOOKUP($A18,'Post 16'!$A:$AV,32,FALSE),0)/8</f>
        <v>0</v>
      </c>
      <c r="CZ18" s="338"/>
      <c r="DA18" s="338">
        <f>_xlfn.IFNA((VLOOKUP($A18,HN!$A:$K,9,FALSE)/12),0)+_xlfn.IFNA((VLOOKUP($A18,HN!$A:$K,10,FALSE)/12),0)</f>
        <v>0</v>
      </c>
      <c r="DB18" s="338">
        <f>_xlfn.IFNA((VLOOKUP($A18,HN!$A:$BS,15,FALSE)/12),0)</f>
        <v>0</v>
      </c>
      <c r="DC18" s="337">
        <f t="shared" si="27"/>
        <v>-780.22666666666657</v>
      </c>
      <c r="DD18" s="337">
        <f t="shared" si="28"/>
        <v>-3550.978333333333</v>
      </c>
      <c r="DE18" s="338"/>
      <c r="DF18" s="338">
        <f>_xlfn.IFNA(VLOOKUP($A18,'Cash Advances'!$A:$S,14,FALSE),0)</f>
        <v>0</v>
      </c>
      <c r="DG18" s="338">
        <f>(_xlfn.IFNA(VLOOKUP(A18,'LA Deductions'!A:AZ,25,FALSE),0)/9)+(_xlfn.IFNA(VLOOKUP(A18,'LA Deductions'!A:AZ,26,FALSE),0))</f>
        <v>0</v>
      </c>
      <c r="DH18" s="337">
        <f t="shared" si="29"/>
        <v>186175.18368066323</v>
      </c>
      <c r="DI18" s="330">
        <f t="shared" si="30"/>
        <v>190506.38868066322</v>
      </c>
      <c r="DJ18" s="330"/>
      <c r="DK18" s="331"/>
      <c r="DL18" s="331">
        <f>_xlfn.IFNA((VLOOKUP($A18,HN!$A:$K,8,FALSE)/12),0)+_xlfn.IFNA((VLOOKUP($A18,HN!$A:$AF,32,FALSE)*8/12),0)</f>
        <v>0</v>
      </c>
      <c r="DM18" s="331">
        <f>_xlfn.IFNA((VLOOKUP($A18,HN!$A:$BS,14,FALSE)/12),0)+_xlfn.IFNA(VLOOKUP($A18,HN!$A:$BS,31,FALSE),0)</f>
        <v>0</v>
      </c>
      <c r="DN18" s="331">
        <f>_xlfn.IFNA(VLOOKUP($A18,'Post 16'!$A:$AV,32,FALSE),0)/8</f>
        <v>0</v>
      </c>
      <c r="DO18" s="331"/>
      <c r="DP18" s="331">
        <f>_xlfn.IFNA((VLOOKUP($A18,HN!$A:$K,9,FALSE)/12),0)+_xlfn.IFNA((VLOOKUP($A18,HN!$A:$K,10,FALSE)/12),0)+_xlfn.IFNA((VLOOKUP($A18,HN!$A:$BZ,33,FALSE)*8/12),0)</f>
        <v>0</v>
      </c>
      <c r="DQ18" s="331">
        <f>_xlfn.IFNA((VLOOKUP($A18,HN!$A:$BS,15,FALSE)/12),0)</f>
        <v>0</v>
      </c>
      <c r="DR18" s="330">
        <f t="shared" si="31"/>
        <v>-780.22666666666657</v>
      </c>
      <c r="DS18" s="330">
        <f t="shared" si="32"/>
        <v>-3550.978333333333</v>
      </c>
      <c r="DT18" s="331"/>
      <c r="DU18" s="331"/>
      <c r="DV18" s="331">
        <f>(_xlfn.IFNA(VLOOKUP(A18,'LA Deductions'!A:AZ,25,FALSE),0)/9)+_xlfn.IFNA(VLOOKUP(A18,'LA Deductions'!A:AZ,27,FALSE),0)</f>
        <v>0</v>
      </c>
      <c r="DW18" s="330">
        <f t="shared" si="33"/>
        <v>186175.18368066323</v>
      </c>
      <c r="DX18" s="344">
        <f t="shared" si="34"/>
        <v>190506.38868066322</v>
      </c>
      <c r="DY18" s="344"/>
      <c r="DZ18" s="345"/>
      <c r="EA18" s="345">
        <f>_xlfn.IFNA((VLOOKUP($A18,HN!$A:$K,8,FALSE)/12),0)+_xlfn.IFNA((VLOOKUP($A18,HN!$A:$AF,32,FALSE)*1/12),0)</f>
        <v>0</v>
      </c>
      <c r="EB18" s="345">
        <f>_xlfn.IFNA((VLOOKUP($A18,HN!$A:$BS,14,FALSE)/12),0)</f>
        <v>0</v>
      </c>
      <c r="EC18" s="345">
        <f>_xlfn.IFNA(VLOOKUP($A18,'Post 16'!$A:$AV,32,FALSE),0)/8</f>
        <v>0</v>
      </c>
      <c r="ED18" s="345"/>
      <c r="EE18" s="345">
        <f>_xlfn.IFNA((VLOOKUP($A18,HN!$A:$K,9,FALSE)/12),0)+_xlfn.IFNA((VLOOKUP($A18,HN!$A:$K,10,FALSE)/12),0)+_xlfn.IFNA((VLOOKUP($A18,HN!$A:$BZ,33,FALSE)/12),0)</f>
        <v>0</v>
      </c>
      <c r="EF18" s="345">
        <f>_xlfn.IFNA((VLOOKUP($A18,HN!$A:$BS,15,FALSE)/12),0)</f>
        <v>0</v>
      </c>
      <c r="EG18" s="344">
        <f t="shared" si="35"/>
        <v>-780.22666666666657</v>
      </c>
      <c r="EH18" s="344">
        <f t="shared" si="36"/>
        <v>-3550.978333333333</v>
      </c>
      <c r="EI18" s="345"/>
      <c r="EJ18" s="345">
        <f>_xlfn.IFNA(VLOOKUP(A18,'Cash Advances'!A:P,16,FALSE),0)</f>
        <v>0</v>
      </c>
      <c r="EK18" s="345">
        <f>_xlfn.IFNA(VLOOKUP(A18,'LA Deductions'!A:AZ,25,FALSE),0)/9</f>
        <v>0</v>
      </c>
      <c r="EL18" s="344">
        <f t="shared" si="37"/>
        <v>186175.18368066323</v>
      </c>
      <c r="EM18" s="308">
        <f t="shared" si="38"/>
        <v>190506.38868066322</v>
      </c>
      <c r="EN18" s="308">
        <f>((VLOOKUP($A18,EY!$A:$BS,35,FALSE)-(VLOOKUP($A18,EY!$A:$BS,33,FALSE)*80%))+VLOOKUP($A18,EY!$A:$BS,43,FALSE))+(VLOOKUP(A18,EY!A:DF,110,FALSE)-VLOOKUP(A18,EY!A:DD,108,FALSE))+(VLOOKUP(A18,EY!A:CE,83,FALSE)-VLOOKUP(A18,EY!A:CC,81,FALSE))</f>
        <v>0</v>
      </c>
      <c r="EO18" s="309"/>
      <c r="EP18" s="309">
        <f>_xlfn.IFNA((VLOOKUP($A18,HN!$A:$K,8,FALSE)/12),0)+_xlfn.IFNA((VLOOKUP($A18,HN!$A:$AF,32,FALSE)*1/12),0)</f>
        <v>0</v>
      </c>
      <c r="EQ18" s="309">
        <f>_xlfn.IFNA((VLOOKUP($A18,HN!$A:$BS,14,FALSE)/12),0)+_xlfn.IFNA((VLOOKUP($A18,HN!$A:$BS,34,FALSE)/3),0)</f>
        <v>0</v>
      </c>
      <c r="ER18" s="309">
        <f>_xlfn.IFNA(VLOOKUP($A18,'Post 16'!$A:$AV,32,FALSE),0)/8</f>
        <v>0</v>
      </c>
      <c r="ES18" s="309">
        <f>((VLOOKUP($A18,EY!A:EV,33,FALSE)*80%))+VLOOKUP(A18,EY!A:DD,108,FALSE)+VLOOKUP(A18,EY!A:CC,81,FALSE)</f>
        <v>0</v>
      </c>
      <c r="ET18" s="309">
        <f>_xlfn.IFNA((VLOOKUP($A18,HN!$A:$K,9,FALSE)/12),0)+_xlfn.IFNA((VLOOKUP($A18,HN!$A:$K,10,FALSE)/12),0)+_xlfn.IFNA((VLOOKUP($A18,HN!$A:$BZ,33,FALSE)/12),0)</f>
        <v>0</v>
      </c>
      <c r="EU18" s="309">
        <f>_xlfn.IFNA((VLOOKUP($A18,HN!$A:$BS,15,FALSE)/12),0)</f>
        <v>0</v>
      </c>
      <c r="EV18" s="308">
        <f t="shared" si="39"/>
        <v>-780.22666666666657</v>
      </c>
      <c r="EW18" s="308">
        <f t="shared" si="40"/>
        <v>-3550.978333333333</v>
      </c>
      <c r="EX18" s="309"/>
      <c r="EY18" s="309">
        <f>_xlfn.IFNA(VLOOKUP($A18,'Cash Advances'!$A:$S,17,FALSE),0)</f>
        <v>0</v>
      </c>
      <c r="EZ18" s="309">
        <f>_xlfn.IFNA(VLOOKUP(A18,'LA Deductions'!A:AZ,25,FALSE),0)/9</f>
        <v>0</v>
      </c>
      <c r="FA18" s="308">
        <f t="shared" si="41"/>
        <v>186175.18368066323</v>
      </c>
      <c r="FB18" s="315">
        <f t="shared" si="42"/>
        <v>190506.38868066322</v>
      </c>
      <c r="FC18" s="315"/>
      <c r="FD18" s="316"/>
      <c r="FE18" s="316">
        <f>_xlfn.IFNA((VLOOKUP($A18,HN!$A:$K,8,FALSE)/12),0)+_xlfn.IFNA((VLOOKUP($A18,HN!$A:$AF,32,FALSE)*1/12),0)</f>
        <v>0</v>
      </c>
      <c r="FF18" s="316">
        <f>_xlfn.IFNA((VLOOKUP($A18,HN!$A:$BS,14,FALSE)/12),0)+_xlfn.IFNA((VLOOKUP($A18,HN!$A:$BS,34,FALSE)/3),0)</f>
        <v>0</v>
      </c>
      <c r="FG18" s="316">
        <f>_xlfn.IFNA(VLOOKUP($A18,'Post 16'!$A:$AV,32,FALSE),0)/8</f>
        <v>0</v>
      </c>
      <c r="FH18" s="316"/>
      <c r="FI18" s="316">
        <f>_xlfn.IFNA((VLOOKUP($A18,HN!$A:$K,9,FALSE)/12),0)+_xlfn.IFNA((VLOOKUP($A18,HN!$A:$K,10,FALSE)/12),0)+_xlfn.IFNA((VLOOKUP($A18,HN!$A:$BZ,33,FALSE)/12),0)+_xlfn.IFNA((VLOOKUP($A18,HN!$A:$BZ,35,FALSE)/2),0)</f>
        <v>0</v>
      </c>
      <c r="FJ18" s="316">
        <f>_xlfn.IFNA((VLOOKUP($A18,HN!$A:$BS,15,FALSE)/12),0)+_xlfn.IFNA((VLOOKUP($A18,HN!$A:$CZ,36,FALSE)/2),0)</f>
        <v>0</v>
      </c>
      <c r="FK18" s="315">
        <f t="shared" si="43"/>
        <v>-780.22666666666657</v>
      </c>
      <c r="FL18" s="315">
        <f t="shared" si="44"/>
        <v>-3550.978333333333</v>
      </c>
      <c r="FM18" s="316"/>
      <c r="FN18" s="316">
        <f>_xlfn.IFNA(VLOOKUP($A18,'Cash Advances'!$A:$S,18,FALSE),0)</f>
        <v>0</v>
      </c>
      <c r="FO18" s="316">
        <f>_xlfn.IFNA(VLOOKUP(A18,'LA Deductions'!A:AZ,25,FALSE),0)/9</f>
        <v>0</v>
      </c>
      <c r="FP18" s="315">
        <f t="shared" si="45"/>
        <v>186175.18368066323</v>
      </c>
      <c r="FQ18" s="322">
        <f t="shared" si="46"/>
        <v>190506.38868066322</v>
      </c>
      <c r="FR18" s="322"/>
      <c r="FS18" s="323"/>
      <c r="FT18" s="323">
        <f>_xlfn.IFNA((VLOOKUP($A18,HN!$A:$K,8,FALSE)/12),0)+_xlfn.IFNA((VLOOKUP($A18,HN!$A:$AF,32,FALSE)*1/12),0)</f>
        <v>0</v>
      </c>
      <c r="FU18" s="323">
        <f>_xlfn.IFNA((VLOOKUP($A18,HN!$A:$BS,14,FALSE)/12),0)+_xlfn.IFNA((VLOOKUP($A18,HN!$A:$BS,34,FALSE)/3),0)</f>
        <v>0</v>
      </c>
      <c r="FV18" s="323">
        <f>_xlfn.IFNA(VLOOKUP($A18,'Post 16'!$A:$AV,32,FALSE),0)/8</f>
        <v>0</v>
      </c>
      <c r="FW18" s="323"/>
      <c r="FX18" s="323">
        <f>_xlfn.IFNA((VLOOKUP($A18,HN!$A:$K,9,FALSE)/12),0)+_xlfn.IFNA((VLOOKUP($A18,HN!$A:$K,10,FALSE)/12),0)+_xlfn.IFNA((VLOOKUP($A18,HN!$A:$BZ,33,FALSE)/12),0)+_xlfn.IFNA((VLOOKUP($A18,HN!$A:$BZ,35,FALSE)/2),0)</f>
        <v>0</v>
      </c>
      <c r="FY18" s="323">
        <f>_xlfn.IFNA((VLOOKUP($A18,HN!$A:$BS,15,FALSE)/12),0)+_xlfn.IFNA((VLOOKUP($A18,HN!$A:$CZ,36,FALSE)/2),0)</f>
        <v>0</v>
      </c>
      <c r="FZ18" s="322">
        <f t="shared" si="47"/>
        <v>-780.22666666666657</v>
      </c>
      <c r="GA18" s="322">
        <f t="shared" si="48"/>
        <v>-3550.978333333333</v>
      </c>
      <c r="GB18" s="323"/>
      <c r="GC18" s="323"/>
      <c r="GD18" s="323">
        <f>_xlfn.IFNA(VLOOKUP(A18,'LA Deductions'!A:AZ,25,FALSE),0)/9</f>
        <v>0</v>
      </c>
      <c r="GE18" s="322">
        <f t="shared" si="49"/>
        <v>186175.18368066323</v>
      </c>
      <c r="GG18" s="146">
        <f t="shared" ref="GG18:GL27" si="50">SUMIFS($M18:$GE18,$M$7:$GE$7,GG$7)</f>
        <v>2286076.6641679588</v>
      </c>
      <c r="GH18" s="146">
        <f t="shared" si="50"/>
        <v>0</v>
      </c>
      <c r="GI18" s="146">
        <f t="shared" si="50"/>
        <v>0</v>
      </c>
      <c r="GJ18" s="146">
        <f t="shared" si="50"/>
        <v>-9362.7199999999993</v>
      </c>
      <c r="GK18" s="146">
        <f t="shared" si="50"/>
        <v>-42611.74</v>
      </c>
      <c r="GL18" s="146">
        <f t="shared" si="50"/>
        <v>-9471</v>
      </c>
      <c r="GN18" s="146">
        <f t="shared" ref="GN18:GS27" si="51">SUMIFS($M18:$GE18,$M$7:$GE$7,GN$7,$M$4:$GE$4,$GN$6)</f>
        <v>2286076.6641679588</v>
      </c>
      <c r="GO18" s="146">
        <f t="shared" si="51"/>
        <v>0</v>
      </c>
      <c r="GP18" s="146">
        <f t="shared" si="51"/>
        <v>0</v>
      </c>
      <c r="GQ18" s="146">
        <f t="shared" si="51"/>
        <v>-9362.7199999999993</v>
      </c>
      <c r="GR18" s="146">
        <f t="shared" si="51"/>
        <v>-42611.74</v>
      </c>
      <c r="GS18" s="146">
        <f t="shared" si="51"/>
        <v>-9471</v>
      </c>
      <c r="GU18" s="146"/>
      <c r="GV18" s="57"/>
    </row>
    <row r="19" spans="1:204">
      <c r="A19" s="185">
        <v>2239</v>
      </c>
      <c r="B19" s="185">
        <v>103289</v>
      </c>
      <c r="C19" s="185" t="s">
        <v>52</v>
      </c>
      <c r="D19" s="2" t="s">
        <v>53</v>
      </c>
      <c r="E19" s="191" t="s">
        <v>32</v>
      </c>
      <c r="F19" s="191" t="s">
        <v>912</v>
      </c>
      <c r="H19" s="279">
        <f>_xlfn.IFNA(VLOOKUP($A19,ISB!$A$4:$BY$454,67,FALSE),0)</f>
        <v>973216.56077853241</v>
      </c>
      <c r="I19" s="279">
        <f>_xlfn.IFNA(VLOOKUP($A19,ISB!$A$4:$BY$454,72,FALSE),0)</f>
        <v>-3833.7599999999998</v>
      </c>
      <c r="J19" s="279">
        <f>-_xlfn.IFNA(VLOOKUP($A19,ISB!$A$4:$BY$454,76,FALSE),0)</f>
        <v>-11105.6</v>
      </c>
      <c r="K19" s="279">
        <f>_xlfn.IFNA(VLOOKUP($A19,ISB!$A$4:$BY$454,77,FALSE),0)</f>
        <v>958277.20077853242</v>
      </c>
      <c r="M19" s="301">
        <f t="shared" si="7"/>
        <v>81101.380064877696</v>
      </c>
      <c r="N19" s="301">
        <f>VLOOKUP($A19,EY!$A:$H,8,FALSE)+(VLOOKUP($A19,EY!$A:$BS,17,FALSE)-S19)+VLOOKUP($A19,EY!$A:$BS,41,FALSE)</f>
        <v>43372.680000000008</v>
      </c>
      <c r="O19" s="302"/>
      <c r="P19" s="302">
        <f>_xlfn.IFNA((VLOOKUP($A19,HN!$A:$K,8,FALSE)/12),0)</f>
        <v>0</v>
      </c>
      <c r="Q19" s="302">
        <f>_xlfn.IFNA((VLOOKUP($A19,HN!$A:$BS,14,FALSE)/12),0)</f>
        <v>0</v>
      </c>
      <c r="R19" s="302">
        <f>_xlfn.IFNA(VLOOKUP($A19,'Post 16'!$A:$V,21,FALSE),0)/4</f>
        <v>0</v>
      </c>
      <c r="S19" s="302">
        <f>VLOOKUP($A19,EY!A:Q,15,FALSE)*80%</f>
        <v>256.7157894736842</v>
      </c>
      <c r="T19" s="302">
        <f>_xlfn.IFNA((VLOOKUP($A19,HN!$A:$K,9,FALSE)/12),0)+_xlfn.IFNA((VLOOKUP($A19,HN!$A:$K,10,FALSE)/12),0)</f>
        <v>0</v>
      </c>
      <c r="U19" s="302">
        <f>_xlfn.IFNA((VLOOKUP($A19,HN!$A:$BS,15,FALSE)/12),0)</f>
        <v>0</v>
      </c>
      <c r="V19" s="301">
        <f t="shared" si="8"/>
        <v>-319.47999999999996</v>
      </c>
      <c r="W19" s="301">
        <f t="shared" si="9"/>
        <v>-925.4666666666667</v>
      </c>
      <c r="X19" s="302"/>
      <c r="Y19" s="302">
        <f>_xlfn.IFNA(VLOOKUP($A19,'Cash Advances'!$A:$S,8,FALSE),0)</f>
        <v>0</v>
      </c>
      <c r="Z19" s="301">
        <f t="shared" si="0"/>
        <v>123485.82918768474</v>
      </c>
      <c r="AA19" s="315">
        <f t="shared" si="10"/>
        <v>81101.380064877696</v>
      </c>
      <c r="AB19" s="315"/>
      <c r="AC19" s="316"/>
      <c r="AD19" s="316">
        <f>_xlfn.IFNA((VLOOKUP($A19,HN!$A:$K,8,FALSE)/12),0)</f>
        <v>0</v>
      </c>
      <c r="AE19" s="316">
        <f>_xlfn.IFNA((VLOOKUP($A19,HN!$A:$BS,14,FALSE)/12),0)</f>
        <v>0</v>
      </c>
      <c r="AF19" s="316">
        <f>_xlfn.IFNA(VLOOKUP($A19,'Post 16'!$A:$V,21,FALSE),0)/4</f>
        <v>0</v>
      </c>
      <c r="AG19" s="316"/>
      <c r="AH19" s="316">
        <f>_xlfn.IFNA((VLOOKUP($A19,HN!$A:$K,9,FALSE)/12),0)+_xlfn.IFNA((VLOOKUP($A19,HN!$A:$K,10,FALSE)/12),0)</f>
        <v>0</v>
      </c>
      <c r="AI19" s="316">
        <f>_xlfn.IFNA((VLOOKUP($A19,HN!$A:$BS,15,FALSE)/12),0)</f>
        <v>0</v>
      </c>
      <c r="AJ19" s="315">
        <f t="shared" si="11"/>
        <v>-319.47999999999996</v>
      </c>
      <c r="AK19" s="315">
        <f t="shared" si="12"/>
        <v>-925.4666666666667</v>
      </c>
      <c r="AL19" s="316"/>
      <c r="AM19" s="316">
        <f>_xlfn.IFNA(VLOOKUP($A19,'Cash Advances'!$A:$S,9,FALSE),0)</f>
        <v>0</v>
      </c>
      <c r="AN19" s="315">
        <f t="shared" si="1"/>
        <v>79856.43339821104</v>
      </c>
      <c r="AO19" s="308">
        <f t="shared" si="13"/>
        <v>81101.380064877696</v>
      </c>
      <c r="AP19" s="308"/>
      <c r="AQ19" s="309"/>
      <c r="AR19" s="309">
        <f>_xlfn.IFNA((VLOOKUP($A19,HN!$A:$K,8,FALSE)/12),0)</f>
        <v>0</v>
      </c>
      <c r="AS19" s="309">
        <f>_xlfn.IFNA((VLOOKUP($A19,HN!$A:$BS,14,FALSE)/12),0)</f>
        <v>0</v>
      </c>
      <c r="AT19" s="309">
        <f>_xlfn.IFNA(VLOOKUP($A19,'Post 16'!$A:$V,21,FALSE),0)/4</f>
        <v>0</v>
      </c>
      <c r="AU19" s="309"/>
      <c r="AV19" s="309">
        <f>_xlfn.IFNA((VLOOKUP($A19,HN!$A:$K,9,FALSE)/12),0)+_xlfn.IFNA((VLOOKUP($A19,HN!$A:$K,10,FALSE)/12),0)+_xlfn.IFNA(VLOOKUP(A19,HN!A:V,19,FALSE),0)+_xlfn.IFNA(VLOOKUP(A19,HN!A:V,20,FALSE),0)+_xlfn.IFNA(VLOOKUP(A19,HN!A:V,21,FALSE),0)</f>
        <v>0</v>
      </c>
      <c r="AW19" s="309">
        <f>_xlfn.IFNA((VLOOKUP($A19,HN!$A:$BS,15,FALSE)/12),0)</f>
        <v>0</v>
      </c>
      <c r="AX19" s="308">
        <f t="shared" si="14"/>
        <v>-319.47999999999996</v>
      </c>
      <c r="AY19" s="308">
        <f t="shared" si="15"/>
        <v>-925.4666666666667</v>
      </c>
      <c r="AZ19" s="309"/>
      <c r="BA19" s="309">
        <f>_xlfn.IFNA(VLOOKUP($A19,'Cash Advances'!$A:$S,10,FALSE),0)</f>
        <v>0</v>
      </c>
      <c r="BB19" s="308">
        <f t="shared" si="2"/>
        <v>79856.43339821104</v>
      </c>
      <c r="BC19" s="330">
        <f t="shared" si="16"/>
        <v>81101.380064877696</v>
      </c>
      <c r="BD19" s="330"/>
      <c r="BE19" s="331"/>
      <c r="BF19" s="331">
        <f>_xlfn.IFNA((VLOOKUP($A19,HN!$A:$K,8,FALSE)/12),0)</f>
        <v>0</v>
      </c>
      <c r="BG19" s="331">
        <f>_xlfn.IFNA((VLOOKUP($A19,HN!$A:$BS,14,FALSE)/12),0)</f>
        <v>0</v>
      </c>
      <c r="BH19" s="331">
        <f>_xlfn.IFNA(VLOOKUP($A19,'Post 16'!$A:$V,21,FALSE),0)/4</f>
        <v>0</v>
      </c>
      <c r="BI19" s="331"/>
      <c r="BJ19" s="331">
        <f>_xlfn.IFNA((VLOOKUP($A19,HN!$A:$K,9,FALSE)/12),0)+_xlfn.IFNA((VLOOKUP($A19,HN!$A:$K,10,FALSE)/12),0)</f>
        <v>0</v>
      </c>
      <c r="BK19" s="331">
        <f>_xlfn.IFNA((VLOOKUP($A19,HN!$A:$BS,15,FALSE)/12),0)</f>
        <v>0</v>
      </c>
      <c r="BL19" s="330">
        <f t="shared" si="17"/>
        <v>-319.47999999999996</v>
      </c>
      <c r="BM19" s="330">
        <f t="shared" si="18"/>
        <v>-925.4666666666667</v>
      </c>
      <c r="BN19" s="331"/>
      <c r="BO19" s="331">
        <f>_xlfn.IFNA(VLOOKUP(A19,'Cash Advances'!A:K,11,FALSE),0)</f>
        <v>0</v>
      </c>
      <c r="BP19" s="330">
        <f t="shared" si="3"/>
        <v>79856.43339821104</v>
      </c>
      <c r="BQ19" s="322">
        <f t="shared" si="19"/>
        <v>81101.380064877696</v>
      </c>
      <c r="BR19" s="322"/>
      <c r="BS19" s="323"/>
      <c r="BT19" s="323">
        <f>_xlfn.IFNA((VLOOKUP($A19,HN!$A:$K,8,FALSE)/12),0)</f>
        <v>0</v>
      </c>
      <c r="BU19" s="323">
        <f>_xlfn.IFNA((VLOOKUP($A19,HN!$A:$BS,14,FALSE)/12),0)</f>
        <v>0</v>
      </c>
      <c r="BV19" s="323">
        <f>(_xlfn.IFNA(VLOOKUP($A19,'Post 16'!$A:$AV,32,FALSE),0)/8)+_xlfn.IFNA(VLOOKUP($A19,'Post 16'!$A:$AR,40,FALSE),0)</f>
        <v>0</v>
      </c>
      <c r="BW19" s="323"/>
      <c r="BX19" s="323">
        <f>_xlfn.IFNA((VLOOKUP($A19,HN!$A:$K,9,FALSE)/12),0)+_xlfn.IFNA((VLOOKUP($A19,HN!$A:$K,10,FALSE)/12),0)</f>
        <v>0</v>
      </c>
      <c r="BY19" s="323">
        <f>_xlfn.IFNA((VLOOKUP($A19,HN!$A:$BS,15,FALSE)/12),0)</f>
        <v>0</v>
      </c>
      <c r="BZ19" s="322">
        <f t="shared" si="20"/>
        <v>-319.47999999999996</v>
      </c>
      <c r="CA19" s="322">
        <f t="shared" si="21"/>
        <v>-925.4666666666667</v>
      </c>
      <c r="CB19" s="323"/>
      <c r="CC19" s="323"/>
      <c r="CD19" s="322">
        <f t="shared" si="4"/>
        <v>79856.43339821104</v>
      </c>
      <c r="CE19" s="357">
        <f t="shared" si="22"/>
        <v>81101.380064877696</v>
      </c>
      <c r="CF19" s="357">
        <f>(VLOOKUP($A19,EY!$A:$BS,26,FALSE)-(VLOOKUP($A19,EY!A:CR,24,FALSE)*80%))+VLOOKUP($A19,EY!$A:$BS,42,FALSE)+(VLOOKUP($A19,EY!A:CC,74,FALSE)-VLOOKUP($A19,EY!A:CC,72,FALSE))</f>
        <v>73964.061052631587</v>
      </c>
      <c r="CG19" s="358"/>
      <c r="CH19" s="358">
        <f>_xlfn.IFNA((VLOOKUP($A19,HN!$A:$K,8,FALSE)/12),0)</f>
        <v>0</v>
      </c>
      <c r="CI19" s="358">
        <f>_xlfn.IFNA((VLOOKUP($A19,HN!$A:$BS,14,FALSE)/12),0)</f>
        <v>0</v>
      </c>
      <c r="CJ19" s="358">
        <f>(_xlfn.IFNA(VLOOKUP($A19,'Post 16'!$A:$AV,32,FALSE),0)/8)</f>
        <v>0</v>
      </c>
      <c r="CK19" s="358">
        <f>(VLOOKUP($A19,EY!A:CR,24,FALSE)*80%)+VLOOKUP($A19,EY!A:CC,72,FALSE)</f>
        <v>1219.3857894736843</v>
      </c>
      <c r="CL19" s="358">
        <f>_xlfn.IFNA((VLOOKUP($A19,HN!$A:$K,9,FALSE)/12),0)+_xlfn.IFNA((VLOOKUP($A19,HN!$A:$K,10,FALSE)/12),0)</f>
        <v>0</v>
      </c>
      <c r="CM19" s="358">
        <f>_xlfn.IFNA((VLOOKUP($A19,HN!$A:$BS,15,FALSE)/12),0)</f>
        <v>0</v>
      </c>
      <c r="CN19" s="357">
        <f t="shared" si="23"/>
        <v>-319.47999999999996</v>
      </c>
      <c r="CO19" s="357">
        <f t="shared" si="24"/>
        <v>-925.4666666666667</v>
      </c>
      <c r="CP19" s="358">
        <f>_xlfn.IFNA(VLOOKUP(A19,'LA Deductions'!A:W,23,FALSE),0)</f>
        <v>-3291.75</v>
      </c>
      <c r="CQ19" s="358">
        <f>_xlfn.IFNA(VLOOKUP($A19,'Cash Advances'!$A:$S,13,FALSE),0)</f>
        <v>0</v>
      </c>
      <c r="CR19" s="358">
        <f>_xlfn.IFNA(VLOOKUP(A19,'LA Deductions'!A:AZ,25,FALSE),0)/9*3</f>
        <v>0</v>
      </c>
      <c r="CS19" s="357">
        <f t="shared" si="25"/>
        <v>151748.13024031627</v>
      </c>
      <c r="CT19" s="337">
        <f t="shared" si="26"/>
        <v>81101.380064877696</v>
      </c>
      <c r="CU19" s="337"/>
      <c r="CV19" s="338">
        <f>_xlfn.IFNA(VLOOKUP(A19,'LA Deductions'!$A$6:$AN$207,34,FALSE),0)</f>
        <v>0</v>
      </c>
      <c r="CW19" s="338">
        <f>_xlfn.IFNA((VLOOKUP($A19,HN!$A:$K,8,FALSE)/12),0)</f>
        <v>0</v>
      </c>
      <c r="CX19" s="338">
        <f>_xlfn.IFNA((VLOOKUP($A19,HN!$A:$BS,14,FALSE)/12),0)</f>
        <v>0</v>
      </c>
      <c r="CY19" s="338">
        <f>_xlfn.IFNA(VLOOKUP($A19,'Post 16'!$A:$AV,32,FALSE),0)/8</f>
        <v>0</v>
      </c>
      <c r="CZ19" s="338"/>
      <c r="DA19" s="338">
        <f>_xlfn.IFNA((VLOOKUP($A19,HN!$A:$K,9,FALSE)/12),0)+_xlfn.IFNA((VLOOKUP($A19,HN!$A:$K,10,FALSE)/12),0)</f>
        <v>0</v>
      </c>
      <c r="DB19" s="338">
        <f>_xlfn.IFNA((VLOOKUP($A19,HN!$A:$BS,15,FALSE)/12),0)</f>
        <v>0</v>
      </c>
      <c r="DC19" s="337">
        <f t="shared" si="27"/>
        <v>-319.47999999999996</v>
      </c>
      <c r="DD19" s="337">
        <f t="shared" si="28"/>
        <v>-925.4666666666667</v>
      </c>
      <c r="DE19" s="338"/>
      <c r="DF19" s="338">
        <f>_xlfn.IFNA(VLOOKUP($A19,'Cash Advances'!$A:$S,14,FALSE),0)</f>
        <v>0</v>
      </c>
      <c r="DG19" s="338">
        <f>(_xlfn.IFNA(VLOOKUP(A19,'LA Deductions'!A:AZ,25,FALSE),0)/9)+(_xlfn.IFNA(VLOOKUP(A19,'LA Deductions'!A:AZ,26,FALSE),0))</f>
        <v>0</v>
      </c>
      <c r="DH19" s="337">
        <f t="shared" si="29"/>
        <v>79856.43339821104</v>
      </c>
      <c r="DI19" s="330">
        <f t="shared" si="30"/>
        <v>81101.380064877696</v>
      </c>
      <c r="DJ19" s="330"/>
      <c r="DK19" s="331"/>
      <c r="DL19" s="331">
        <f>_xlfn.IFNA((VLOOKUP($A19,HN!$A:$K,8,FALSE)/12),0)+_xlfn.IFNA((VLOOKUP($A19,HN!$A:$AF,32,FALSE)*8/12),0)</f>
        <v>0</v>
      </c>
      <c r="DM19" s="331">
        <f>_xlfn.IFNA((VLOOKUP($A19,HN!$A:$BS,14,FALSE)/12),0)+_xlfn.IFNA(VLOOKUP($A19,HN!$A:$BS,31,FALSE),0)</f>
        <v>0</v>
      </c>
      <c r="DN19" s="331">
        <f>_xlfn.IFNA(VLOOKUP($A19,'Post 16'!$A:$AV,32,FALSE),0)/8</f>
        <v>0</v>
      </c>
      <c r="DO19" s="331"/>
      <c r="DP19" s="331">
        <f>_xlfn.IFNA((VLOOKUP($A19,HN!$A:$K,9,FALSE)/12),0)+_xlfn.IFNA((VLOOKUP($A19,HN!$A:$K,10,FALSE)/12),0)+_xlfn.IFNA((VLOOKUP($A19,HN!$A:$BZ,33,FALSE)*8/12),0)</f>
        <v>0</v>
      </c>
      <c r="DQ19" s="331">
        <f>_xlfn.IFNA((VLOOKUP($A19,HN!$A:$BS,15,FALSE)/12),0)</f>
        <v>0</v>
      </c>
      <c r="DR19" s="330">
        <f t="shared" si="31"/>
        <v>-319.47999999999996</v>
      </c>
      <c r="DS19" s="330">
        <f t="shared" si="32"/>
        <v>-925.4666666666667</v>
      </c>
      <c r="DT19" s="331"/>
      <c r="DU19" s="331"/>
      <c r="DV19" s="331">
        <f>(_xlfn.IFNA(VLOOKUP(A19,'LA Deductions'!A:AZ,25,FALSE),0)/9)+_xlfn.IFNA(VLOOKUP(A19,'LA Deductions'!A:AZ,27,FALSE),0)</f>
        <v>0</v>
      </c>
      <c r="DW19" s="330">
        <f t="shared" si="33"/>
        <v>79856.43339821104</v>
      </c>
      <c r="DX19" s="344">
        <f t="shared" si="34"/>
        <v>81101.380064877696</v>
      </c>
      <c r="DY19" s="344"/>
      <c r="DZ19" s="345"/>
      <c r="EA19" s="345">
        <f>_xlfn.IFNA((VLOOKUP($A19,HN!$A:$K,8,FALSE)/12),0)+_xlfn.IFNA((VLOOKUP($A19,HN!$A:$AF,32,FALSE)*1/12),0)</f>
        <v>0</v>
      </c>
      <c r="EB19" s="345">
        <f>_xlfn.IFNA((VLOOKUP($A19,HN!$A:$BS,14,FALSE)/12),0)</f>
        <v>0</v>
      </c>
      <c r="EC19" s="345">
        <f>_xlfn.IFNA(VLOOKUP($A19,'Post 16'!$A:$AV,32,FALSE),0)/8</f>
        <v>0</v>
      </c>
      <c r="ED19" s="345"/>
      <c r="EE19" s="345">
        <f>_xlfn.IFNA((VLOOKUP($A19,HN!$A:$K,9,FALSE)/12),0)+_xlfn.IFNA((VLOOKUP($A19,HN!$A:$K,10,FALSE)/12),0)+_xlfn.IFNA((VLOOKUP($A19,HN!$A:$BZ,33,FALSE)/12),0)</f>
        <v>0</v>
      </c>
      <c r="EF19" s="345">
        <f>_xlfn.IFNA((VLOOKUP($A19,HN!$A:$BS,15,FALSE)/12),0)</f>
        <v>0</v>
      </c>
      <c r="EG19" s="344">
        <f t="shared" si="35"/>
        <v>-319.47999999999996</v>
      </c>
      <c r="EH19" s="344">
        <f t="shared" si="36"/>
        <v>-925.4666666666667</v>
      </c>
      <c r="EI19" s="345"/>
      <c r="EJ19" s="345">
        <f>_xlfn.IFNA(VLOOKUP(A19,'Cash Advances'!A:P,16,FALSE),0)</f>
        <v>0</v>
      </c>
      <c r="EK19" s="345">
        <f>_xlfn.IFNA(VLOOKUP(A19,'LA Deductions'!A:AZ,25,FALSE),0)/9</f>
        <v>0</v>
      </c>
      <c r="EL19" s="344">
        <f t="shared" si="37"/>
        <v>79856.43339821104</v>
      </c>
      <c r="EM19" s="308">
        <f t="shared" si="38"/>
        <v>81101.380064877696</v>
      </c>
      <c r="EN19" s="308">
        <f>((VLOOKUP($A19,EY!$A:$BS,35,FALSE)-(VLOOKUP($A19,EY!$A:$BS,33,FALSE)*80%))+VLOOKUP($A19,EY!$A:$BS,43,FALSE))+(VLOOKUP(A19,EY!A:DF,110,FALSE)-VLOOKUP(A19,EY!A:DD,108,FALSE))+(VLOOKUP(A19,EY!A:CE,83,FALSE)-VLOOKUP(A19,EY!A:CC,81,FALSE))</f>
        <v>52318.562659279763</v>
      </c>
      <c r="EO19" s="309"/>
      <c r="EP19" s="309">
        <f>_xlfn.IFNA((VLOOKUP($A19,HN!$A:$K,8,FALSE)/12),0)+_xlfn.IFNA((VLOOKUP($A19,HN!$A:$AF,32,FALSE)*1/12),0)</f>
        <v>0</v>
      </c>
      <c r="EQ19" s="309">
        <f>_xlfn.IFNA((VLOOKUP($A19,HN!$A:$BS,14,FALSE)/12),0)+_xlfn.IFNA((VLOOKUP($A19,HN!$A:$BS,34,FALSE)/3),0)</f>
        <v>0</v>
      </c>
      <c r="ER19" s="309">
        <f>_xlfn.IFNA(VLOOKUP($A19,'Post 16'!$A:$AV,32,FALSE),0)/8</f>
        <v>0</v>
      </c>
      <c r="ES19" s="309">
        <f>((VLOOKUP($A19,EY!A:EV,33,FALSE)*80%))+VLOOKUP(A19,EY!A:DD,108,FALSE)+VLOOKUP(A19,EY!A:CC,81,FALSE)</f>
        <v>2500.3948199445986</v>
      </c>
      <c r="ET19" s="309">
        <f>_xlfn.IFNA((VLOOKUP($A19,HN!$A:$K,9,FALSE)/12),0)+_xlfn.IFNA((VLOOKUP($A19,HN!$A:$K,10,FALSE)/12),0)+_xlfn.IFNA((VLOOKUP($A19,HN!$A:$BZ,33,FALSE)/12),0)</f>
        <v>0</v>
      </c>
      <c r="EU19" s="309">
        <f>_xlfn.IFNA((VLOOKUP($A19,HN!$A:$BS,15,FALSE)/12),0)</f>
        <v>0</v>
      </c>
      <c r="EV19" s="308">
        <f t="shared" si="39"/>
        <v>-319.47999999999996</v>
      </c>
      <c r="EW19" s="308">
        <f t="shared" si="40"/>
        <v>-925.4666666666667</v>
      </c>
      <c r="EX19" s="309"/>
      <c r="EY19" s="309">
        <f>_xlfn.IFNA(VLOOKUP($A19,'Cash Advances'!$A:$S,17,FALSE),0)</f>
        <v>0</v>
      </c>
      <c r="EZ19" s="309">
        <f>_xlfn.IFNA(VLOOKUP(A19,'LA Deductions'!A:AZ,25,FALSE),0)/9</f>
        <v>0</v>
      </c>
      <c r="FA19" s="308">
        <f t="shared" si="41"/>
        <v>134675.39087743539</v>
      </c>
      <c r="FB19" s="315">
        <f t="shared" si="42"/>
        <v>81101.380064877696</v>
      </c>
      <c r="FC19" s="315"/>
      <c r="FD19" s="316"/>
      <c r="FE19" s="316">
        <f>_xlfn.IFNA((VLOOKUP($A19,HN!$A:$K,8,FALSE)/12),0)+_xlfn.IFNA((VLOOKUP($A19,HN!$A:$AF,32,FALSE)*1/12),0)</f>
        <v>0</v>
      </c>
      <c r="FF19" s="316">
        <f>_xlfn.IFNA((VLOOKUP($A19,HN!$A:$BS,14,FALSE)/12),0)+_xlfn.IFNA((VLOOKUP($A19,HN!$A:$BS,34,FALSE)/3),0)</f>
        <v>0</v>
      </c>
      <c r="FG19" s="316">
        <f>_xlfn.IFNA(VLOOKUP($A19,'Post 16'!$A:$AV,32,FALSE),0)/8</f>
        <v>0</v>
      </c>
      <c r="FH19" s="316"/>
      <c r="FI19" s="316">
        <f>_xlfn.IFNA((VLOOKUP($A19,HN!$A:$K,9,FALSE)/12),0)+_xlfn.IFNA((VLOOKUP($A19,HN!$A:$K,10,FALSE)/12),0)+_xlfn.IFNA((VLOOKUP($A19,HN!$A:$BZ,33,FALSE)/12),0)+_xlfn.IFNA((VLOOKUP($A19,HN!$A:$BZ,35,FALSE)/2),0)</f>
        <v>0</v>
      </c>
      <c r="FJ19" s="316">
        <f>_xlfn.IFNA((VLOOKUP($A19,HN!$A:$BS,15,FALSE)/12),0)+_xlfn.IFNA((VLOOKUP($A19,HN!$A:$CZ,36,FALSE)/2),0)</f>
        <v>0</v>
      </c>
      <c r="FK19" s="315">
        <f t="shared" si="43"/>
        <v>-319.47999999999996</v>
      </c>
      <c r="FL19" s="315">
        <f t="shared" si="44"/>
        <v>-925.4666666666667</v>
      </c>
      <c r="FM19" s="316"/>
      <c r="FN19" s="316">
        <f>_xlfn.IFNA(VLOOKUP($A19,'Cash Advances'!$A:$S,18,FALSE),0)</f>
        <v>0</v>
      </c>
      <c r="FO19" s="316">
        <f>_xlfn.IFNA(VLOOKUP(A19,'LA Deductions'!A:AZ,25,FALSE),0)/9</f>
        <v>0</v>
      </c>
      <c r="FP19" s="315">
        <f t="shared" si="45"/>
        <v>79856.43339821104</v>
      </c>
      <c r="FQ19" s="322">
        <f t="shared" si="46"/>
        <v>81101.380064877696</v>
      </c>
      <c r="FR19" s="322"/>
      <c r="FS19" s="323"/>
      <c r="FT19" s="323">
        <f>_xlfn.IFNA((VLOOKUP($A19,HN!$A:$K,8,FALSE)/12),0)+_xlfn.IFNA((VLOOKUP($A19,HN!$A:$AF,32,FALSE)*1/12),0)</f>
        <v>0</v>
      </c>
      <c r="FU19" s="323">
        <f>_xlfn.IFNA((VLOOKUP($A19,HN!$A:$BS,14,FALSE)/12),0)+_xlfn.IFNA((VLOOKUP($A19,HN!$A:$BS,34,FALSE)/3),0)</f>
        <v>0</v>
      </c>
      <c r="FV19" s="323">
        <f>_xlfn.IFNA(VLOOKUP($A19,'Post 16'!$A:$AV,32,FALSE),0)/8</f>
        <v>0</v>
      </c>
      <c r="FW19" s="323"/>
      <c r="FX19" s="323">
        <f>_xlfn.IFNA((VLOOKUP($A19,HN!$A:$K,9,FALSE)/12),0)+_xlfn.IFNA((VLOOKUP($A19,HN!$A:$K,10,FALSE)/12),0)+_xlfn.IFNA((VLOOKUP($A19,HN!$A:$BZ,33,FALSE)/12),0)+_xlfn.IFNA((VLOOKUP($A19,HN!$A:$BZ,35,FALSE)/2),0)</f>
        <v>0</v>
      </c>
      <c r="FY19" s="323">
        <f>_xlfn.IFNA((VLOOKUP($A19,HN!$A:$BS,15,FALSE)/12),0)+_xlfn.IFNA((VLOOKUP($A19,HN!$A:$CZ,36,FALSE)/2),0)</f>
        <v>0</v>
      </c>
      <c r="FZ19" s="322">
        <f t="shared" si="47"/>
        <v>-319.47999999999996</v>
      </c>
      <c r="GA19" s="322">
        <f t="shared" si="48"/>
        <v>-925.4666666666667</v>
      </c>
      <c r="GB19" s="323"/>
      <c r="GC19" s="323"/>
      <c r="GD19" s="323">
        <f>_xlfn.IFNA(VLOOKUP(A19,'LA Deductions'!A:AZ,25,FALSE),0)/9</f>
        <v>0</v>
      </c>
      <c r="GE19" s="322">
        <f t="shared" si="49"/>
        <v>79856.43339821104</v>
      </c>
      <c r="GG19" s="146">
        <f t="shared" si="50"/>
        <v>1142871.8644904436</v>
      </c>
      <c r="GH19" s="146">
        <f t="shared" si="50"/>
        <v>0</v>
      </c>
      <c r="GI19" s="146">
        <f t="shared" si="50"/>
        <v>3976.4963988919671</v>
      </c>
      <c r="GJ19" s="146">
        <f t="shared" si="50"/>
        <v>-3833.7599999999998</v>
      </c>
      <c r="GK19" s="146">
        <f t="shared" si="50"/>
        <v>-11105.600000000004</v>
      </c>
      <c r="GL19" s="146">
        <f t="shared" si="50"/>
        <v>-3291.75</v>
      </c>
      <c r="GN19" s="146">
        <f t="shared" si="51"/>
        <v>1142871.8644904436</v>
      </c>
      <c r="GO19" s="146">
        <f t="shared" si="51"/>
        <v>0</v>
      </c>
      <c r="GP19" s="146">
        <f t="shared" si="51"/>
        <v>3976.4963988919671</v>
      </c>
      <c r="GQ19" s="146">
        <f t="shared" si="51"/>
        <v>-3833.7599999999998</v>
      </c>
      <c r="GR19" s="146">
        <f t="shared" si="51"/>
        <v>-11105.600000000004</v>
      </c>
      <c r="GS19" s="146">
        <f t="shared" si="51"/>
        <v>-3291.75</v>
      </c>
      <c r="GU19" s="146"/>
      <c r="GV19" s="57"/>
    </row>
    <row r="20" spans="1:204">
      <c r="A20" s="185">
        <v>2241</v>
      </c>
      <c r="B20" s="185">
        <v>103291</v>
      </c>
      <c r="C20" s="185" t="s">
        <v>54</v>
      </c>
      <c r="D20" s="2" t="s">
        <v>55</v>
      </c>
      <c r="E20" s="191" t="s">
        <v>32</v>
      </c>
      <c r="F20" s="191" t="s">
        <v>912</v>
      </c>
      <c r="H20" s="279">
        <f>_xlfn.IFNA(VLOOKUP($A20,ISB!$A$4:$BY$454,67,FALSE),0)</f>
        <v>1539687.6578248753</v>
      </c>
      <c r="I20" s="279">
        <f>_xlfn.IFNA(VLOOKUP($A20,ISB!$A$4:$BY$454,72,FALSE),0)</f>
        <v>-6363.5199999999995</v>
      </c>
      <c r="J20" s="279">
        <f>-_xlfn.IFNA(VLOOKUP($A20,ISB!$A$4:$BY$454,76,FALSE),0)</f>
        <v>-14721.39</v>
      </c>
      <c r="K20" s="279">
        <f>_xlfn.IFNA(VLOOKUP($A20,ISB!$A$4:$BY$454,77,FALSE),0)</f>
        <v>1518602.7478248754</v>
      </c>
      <c r="M20" s="301">
        <f t="shared" si="7"/>
        <v>128307.30481873961</v>
      </c>
      <c r="N20" s="301">
        <f>VLOOKUP($A20,EY!$A:$H,8,FALSE)+(VLOOKUP($A20,EY!$A:$BS,17,FALSE)-S20)+VLOOKUP($A20,EY!$A:$BS,41,FALSE)</f>
        <v>0</v>
      </c>
      <c r="O20" s="302"/>
      <c r="P20" s="302">
        <f>_xlfn.IFNA((VLOOKUP($A20,HN!$A:$K,8,FALSE)/12),0)</f>
        <v>0</v>
      </c>
      <c r="Q20" s="302">
        <f>_xlfn.IFNA((VLOOKUP($A20,HN!$A:$BS,14,FALSE)/12),0)</f>
        <v>0</v>
      </c>
      <c r="R20" s="302">
        <f>_xlfn.IFNA(VLOOKUP($A20,'Post 16'!$A:$V,21,FALSE),0)/4</f>
        <v>0</v>
      </c>
      <c r="S20" s="302">
        <f>VLOOKUP($A20,EY!A:Q,15,FALSE)*80%</f>
        <v>0</v>
      </c>
      <c r="T20" s="302">
        <f>_xlfn.IFNA((VLOOKUP($A20,HN!$A:$K,9,FALSE)/12),0)+_xlfn.IFNA((VLOOKUP($A20,HN!$A:$K,10,FALSE)/12),0)</f>
        <v>0</v>
      </c>
      <c r="U20" s="302">
        <f>_xlfn.IFNA((VLOOKUP($A20,HN!$A:$BS,15,FALSE)/12),0)</f>
        <v>0</v>
      </c>
      <c r="V20" s="301">
        <f t="shared" si="8"/>
        <v>-530.29333333333329</v>
      </c>
      <c r="W20" s="301">
        <f t="shared" si="9"/>
        <v>-1226.7825</v>
      </c>
      <c r="X20" s="302"/>
      <c r="Y20" s="302">
        <f>_xlfn.IFNA(VLOOKUP($A20,'Cash Advances'!$A:$S,8,FALSE),0)</f>
        <v>0</v>
      </c>
      <c r="Z20" s="301">
        <f t="shared" si="0"/>
        <v>126550.22898540627</v>
      </c>
      <c r="AA20" s="315">
        <f t="shared" si="10"/>
        <v>128307.30481873961</v>
      </c>
      <c r="AB20" s="315"/>
      <c r="AC20" s="316"/>
      <c r="AD20" s="316">
        <f>_xlfn.IFNA((VLOOKUP($A20,HN!$A:$K,8,FALSE)/12),0)</f>
        <v>0</v>
      </c>
      <c r="AE20" s="316">
        <f>_xlfn.IFNA((VLOOKUP($A20,HN!$A:$BS,14,FALSE)/12),0)</f>
        <v>0</v>
      </c>
      <c r="AF20" s="316">
        <f>_xlfn.IFNA(VLOOKUP($A20,'Post 16'!$A:$V,21,FALSE),0)/4</f>
        <v>0</v>
      </c>
      <c r="AG20" s="316"/>
      <c r="AH20" s="316">
        <f>_xlfn.IFNA((VLOOKUP($A20,HN!$A:$K,9,FALSE)/12),0)+_xlfn.IFNA((VLOOKUP($A20,HN!$A:$K,10,FALSE)/12),0)</f>
        <v>0</v>
      </c>
      <c r="AI20" s="316">
        <f>_xlfn.IFNA((VLOOKUP($A20,HN!$A:$BS,15,FALSE)/12),0)</f>
        <v>0</v>
      </c>
      <c r="AJ20" s="315">
        <f t="shared" si="11"/>
        <v>-530.29333333333329</v>
      </c>
      <c r="AK20" s="315">
        <f t="shared" si="12"/>
        <v>-1226.7825</v>
      </c>
      <c r="AL20" s="316"/>
      <c r="AM20" s="316">
        <f>_xlfn.IFNA(VLOOKUP($A20,'Cash Advances'!$A:$S,9,FALSE),0)</f>
        <v>0</v>
      </c>
      <c r="AN20" s="315">
        <f t="shared" si="1"/>
        <v>126550.22898540627</v>
      </c>
      <c r="AO20" s="308">
        <f t="shared" si="13"/>
        <v>128307.30481873961</v>
      </c>
      <c r="AP20" s="308"/>
      <c r="AQ20" s="309"/>
      <c r="AR20" s="309">
        <f>_xlfn.IFNA((VLOOKUP($A20,HN!$A:$K,8,FALSE)/12),0)</f>
        <v>0</v>
      </c>
      <c r="AS20" s="309">
        <f>_xlfn.IFNA((VLOOKUP($A20,HN!$A:$BS,14,FALSE)/12),0)</f>
        <v>0</v>
      </c>
      <c r="AT20" s="309">
        <f>_xlfn.IFNA(VLOOKUP($A20,'Post 16'!$A:$V,21,FALSE),0)/4</f>
        <v>0</v>
      </c>
      <c r="AU20" s="309"/>
      <c r="AV20" s="309">
        <f>_xlfn.IFNA((VLOOKUP($A20,HN!$A:$K,9,FALSE)/12),0)+_xlfn.IFNA((VLOOKUP($A20,HN!$A:$K,10,FALSE)/12),0)+_xlfn.IFNA(VLOOKUP(A20,HN!A:V,19,FALSE),0)+_xlfn.IFNA(VLOOKUP(A20,HN!A:V,20,FALSE),0)+_xlfn.IFNA(VLOOKUP(A20,HN!A:V,21,FALSE),0)</f>
        <v>0</v>
      </c>
      <c r="AW20" s="309">
        <f>_xlfn.IFNA((VLOOKUP($A20,HN!$A:$BS,15,FALSE)/12),0)</f>
        <v>0</v>
      </c>
      <c r="AX20" s="308">
        <f t="shared" si="14"/>
        <v>-530.29333333333329</v>
      </c>
      <c r="AY20" s="308">
        <f t="shared" si="15"/>
        <v>-1226.7825</v>
      </c>
      <c r="AZ20" s="309"/>
      <c r="BA20" s="309">
        <f>_xlfn.IFNA(VLOOKUP($A20,'Cash Advances'!$A:$S,10,FALSE),0)</f>
        <v>58421.73</v>
      </c>
      <c r="BB20" s="308">
        <f t="shared" si="2"/>
        <v>184971.95898540627</v>
      </c>
      <c r="BC20" s="330">
        <f t="shared" si="16"/>
        <v>128307.30481873961</v>
      </c>
      <c r="BD20" s="330"/>
      <c r="BE20" s="331"/>
      <c r="BF20" s="331">
        <f>_xlfn.IFNA((VLOOKUP($A20,HN!$A:$K,8,FALSE)/12),0)</f>
        <v>0</v>
      </c>
      <c r="BG20" s="331">
        <f>_xlfn.IFNA((VLOOKUP($A20,HN!$A:$BS,14,FALSE)/12),0)</f>
        <v>0</v>
      </c>
      <c r="BH20" s="331">
        <f>_xlfn.IFNA(VLOOKUP($A20,'Post 16'!$A:$V,21,FALSE),0)/4</f>
        <v>0</v>
      </c>
      <c r="BI20" s="331"/>
      <c r="BJ20" s="331">
        <f>_xlfn.IFNA((VLOOKUP($A20,HN!$A:$K,9,FALSE)/12),0)+_xlfn.IFNA((VLOOKUP($A20,HN!$A:$K,10,FALSE)/12),0)</f>
        <v>0</v>
      </c>
      <c r="BK20" s="331">
        <f>_xlfn.IFNA((VLOOKUP($A20,HN!$A:$BS,15,FALSE)/12),0)</f>
        <v>0</v>
      </c>
      <c r="BL20" s="330">
        <f t="shared" si="17"/>
        <v>-530.29333333333329</v>
      </c>
      <c r="BM20" s="330">
        <f t="shared" si="18"/>
        <v>-1226.7825</v>
      </c>
      <c r="BN20" s="331"/>
      <c r="BO20" s="331">
        <f>_xlfn.IFNA(VLOOKUP(A20,'Cash Advances'!A:K,11,FALSE),0)</f>
        <v>280000</v>
      </c>
      <c r="BP20" s="330">
        <f t="shared" si="3"/>
        <v>406550.22898540628</v>
      </c>
      <c r="BQ20" s="322">
        <f t="shared" si="19"/>
        <v>128307.30481873961</v>
      </c>
      <c r="BR20" s="322"/>
      <c r="BS20" s="323"/>
      <c r="BT20" s="323">
        <f>_xlfn.IFNA((VLOOKUP($A20,HN!$A:$K,8,FALSE)/12),0)</f>
        <v>0</v>
      </c>
      <c r="BU20" s="323">
        <f>_xlfn.IFNA((VLOOKUP($A20,HN!$A:$BS,14,FALSE)/12),0)</f>
        <v>0</v>
      </c>
      <c r="BV20" s="323">
        <f>(_xlfn.IFNA(VLOOKUP($A20,'Post 16'!$A:$AV,32,FALSE),0)/8)+_xlfn.IFNA(VLOOKUP($A20,'Post 16'!$A:$AR,40,FALSE),0)</f>
        <v>0</v>
      </c>
      <c r="BW20" s="323"/>
      <c r="BX20" s="323">
        <f>_xlfn.IFNA((VLOOKUP($A20,HN!$A:$K,9,FALSE)/12),0)+_xlfn.IFNA((VLOOKUP($A20,HN!$A:$K,10,FALSE)/12),0)</f>
        <v>0</v>
      </c>
      <c r="BY20" s="323">
        <f>_xlfn.IFNA((VLOOKUP($A20,HN!$A:$BS,15,FALSE)/12),0)</f>
        <v>0</v>
      </c>
      <c r="BZ20" s="322">
        <f t="shared" si="20"/>
        <v>-530.29333333333329</v>
      </c>
      <c r="CA20" s="322">
        <f t="shared" si="21"/>
        <v>-1226.7825</v>
      </c>
      <c r="CB20" s="323"/>
      <c r="CC20" s="323"/>
      <c r="CD20" s="322">
        <f t="shared" si="4"/>
        <v>126550.22898540627</v>
      </c>
      <c r="CE20" s="357">
        <f t="shared" si="22"/>
        <v>128307.30481873961</v>
      </c>
      <c r="CF20" s="357">
        <f>(VLOOKUP($A20,EY!$A:$BS,26,FALSE)-(VLOOKUP($A20,EY!A:CR,24,FALSE)*80%))+VLOOKUP($A20,EY!$A:$BS,42,FALSE)+(VLOOKUP($A20,EY!A:CC,74,FALSE)-VLOOKUP($A20,EY!A:CC,72,FALSE))</f>
        <v>0</v>
      </c>
      <c r="CG20" s="358"/>
      <c r="CH20" s="358">
        <f>_xlfn.IFNA((VLOOKUP($A20,HN!$A:$K,8,FALSE)/12),0)</f>
        <v>0</v>
      </c>
      <c r="CI20" s="358">
        <f>_xlfn.IFNA((VLOOKUP($A20,HN!$A:$BS,14,FALSE)/12),0)</f>
        <v>0</v>
      </c>
      <c r="CJ20" s="358">
        <f>(_xlfn.IFNA(VLOOKUP($A20,'Post 16'!$A:$AV,32,FALSE),0)/8)</f>
        <v>0</v>
      </c>
      <c r="CK20" s="358">
        <f>(VLOOKUP($A20,EY!A:CR,24,FALSE)*80%)+VLOOKUP($A20,EY!A:CC,72,FALSE)</f>
        <v>0</v>
      </c>
      <c r="CL20" s="358">
        <f>_xlfn.IFNA((VLOOKUP($A20,HN!$A:$K,9,FALSE)/12),0)+_xlfn.IFNA((VLOOKUP($A20,HN!$A:$K,10,FALSE)/12),0)</f>
        <v>0</v>
      </c>
      <c r="CM20" s="358">
        <f>_xlfn.IFNA((VLOOKUP($A20,HN!$A:$BS,15,FALSE)/12),0)</f>
        <v>0</v>
      </c>
      <c r="CN20" s="357">
        <f t="shared" si="23"/>
        <v>-530.29333333333329</v>
      </c>
      <c r="CO20" s="357">
        <f t="shared" si="24"/>
        <v>-1226.7825</v>
      </c>
      <c r="CP20" s="358">
        <f>_xlfn.IFNA(VLOOKUP(A20,'LA Deductions'!A:W,23,FALSE),0)</f>
        <v>-5139.75</v>
      </c>
      <c r="CQ20" s="358">
        <f>_xlfn.IFNA(VLOOKUP($A20,'Cash Advances'!$A:$S,13,FALSE),0)</f>
        <v>0</v>
      </c>
      <c r="CR20" s="358">
        <f>_xlfn.IFNA(VLOOKUP(A20,'LA Deductions'!A:AZ,25,FALSE),0)/9*3</f>
        <v>0</v>
      </c>
      <c r="CS20" s="357">
        <f t="shared" si="25"/>
        <v>121410.47898540627</v>
      </c>
      <c r="CT20" s="337">
        <f t="shared" si="26"/>
        <v>128307.30481873961</v>
      </c>
      <c r="CU20" s="337"/>
      <c r="CV20" s="338">
        <f>_xlfn.IFNA(VLOOKUP(A20,'LA Deductions'!$A$6:$AN$207,34,FALSE),0)</f>
        <v>0</v>
      </c>
      <c r="CW20" s="338">
        <f>_xlfn.IFNA((VLOOKUP($A20,HN!$A:$K,8,FALSE)/12),0)</f>
        <v>0</v>
      </c>
      <c r="CX20" s="338">
        <f>_xlfn.IFNA((VLOOKUP($A20,HN!$A:$BS,14,FALSE)/12),0)</f>
        <v>0</v>
      </c>
      <c r="CY20" s="338">
        <f>_xlfn.IFNA(VLOOKUP($A20,'Post 16'!$A:$AV,32,FALSE),0)/8</f>
        <v>0</v>
      </c>
      <c r="CZ20" s="338"/>
      <c r="DA20" s="338">
        <f>_xlfn.IFNA((VLOOKUP($A20,HN!$A:$K,9,FALSE)/12),0)+_xlfn.IFNA((VLOOKUP($A20,HN!$A:$K,10,FALSE)/12),0)</f>
        <v>0</v>
      </c>
      <c r="DB20" s="338">
        <f>_xlfn.IFNA((VLOOKUP($A20,HN!$A:$BS,15,FALSE)/12),0)</f>
        <v>0</v>
      </c>
      <c r="DC20" s="337">
        <f t="shared" si="27"/>
        <v>-530.29333333333329</v>
      </c>
      <c r="DD20" s="337">
        <f t="shared" si="28"/>
        <v>-1226.7825</v>
      </c>
      <c r="DE20" s="338"/>
      <c r="DF20" s="338">
        <f>_xlfn.IFNA(VLOOKUP($A20,'Cash Advances'!$A:$S,14,FALSE),0)</f>
        <v>0</v>
      </c>
      <c r="DG20" s="338">
        <f>(_xlfn.IFNA(VLOOKUP(A20,'LA Deductions'!A:AZ,25,FALSE),0)/9)+(_xlfn.IFNA(VLOOKUP(A20,'LA Deductions'!A:AZ,26,FALSE),0))</f>
        <v>0</v>
      </c>
      <c r="DH20" s="337">
        <f t="shared" si="29"/>
        <v>126550.22898540627</v>
      </c>
      <c r="DI20" s="330">
        <f t="shared" si="30"/>
        <v>128307.30481873961</v>
      </c>
      <c r="DJ20" s="330"/>
      <c r="DK20" s="331"/>
      <c r="DL20" s="331">
        <f>_xlfn.IFNA((VLOOKUP($A20,HN!$A:$K,8,FALSE)/12),0)+_xlfn.IFNA((VLOOKUP($A20,HN!$A:$AF,32,FALSE)*8/12),0)</f>
        <v>0</v>
      </c>
      <c r="DM20" s="331">
        <f>_xlfn.IFNA((VLOOKUP($A20,HN!$A:$BS,14,FALSE)/12),0)+_xlfn.IFNA(VLOOKUP($A20,HN!$A:$BS,31,FALSE),0)</f>
        <v>0</v>
      </c>
      <c r="DN20" s="331">
        <f>_xlfn.IFNA(VLOOKUP($A20,'Post 16'!$A:$AV,32,FALSE),0)/8</f>
        <v>0</v>
      </c>
      <c r="DO20" s="331"/>
      <c r="DP20" s="331">
        <f>_xlfn.IFNA((VLOOKUP($A20,HN!$A:$K,9,FALSE)/12),0)+_xlfn.IFNA((VLOOKUP($A20,HN!$A:$K,10,FALSE)/12),0)+_xlfn.IFNA((VLOOKUP($A20,HN!$A:$BZ,33,FALSE)*8/12),0)</f>
        <v>0</v>
      </c>
      <c r="DQ20" s="331">
        <f>_xlfn.IFNA((VLOOKUP($A20,HN!$A:$BS,15,FALSE)/12),0)</f>
        <v>0</v>
      </c>
      <c r="DR20" s="330">
        <f t="shared" si="31"/>
        <v>-530.29333333333329</v>
      </c>
      <c r="DS20" s="330">
        <f t="shared" si="32"/>
        <v>-1226.7825</v>
      </c>
      <c r="DT20" s="331"/>
      <c r="DU20" s="331"/>
      <c r="DV20" s="331">
        <f>(_xlfn.IFNA(VLOOKUP(A20,'LA Deductions'!A:AZ,25,FALSE),0)/9)+_xlfn.IFNA(VLOOKUP(A20,'LA Deductions'!A:AZ,27,FALSE),0)</f>
        <v>0</v>
      </c>
      <c r="DW20" s="330">
        <f t="shared" si="33"/>
        <v>126550.22898540627</v>
      </c>
      <c r="DX20" s="344">
        <f t="shared" si="34"/>
        <v>128307.30481873961</v>
      </c>
      <c r="DY20" s="344"/>
      <c r="DZ20" s="345"/>
      <c r="EA20" s="345">
        <f>_xlfn.IFNA((VLOOKUP($A20,HN!$A:$K,8,FALSE)/12),0)+_xlfn.IFNA((VLOOKUP($A20,HN!$A:$AF,32,FALSE)*1/12),0)</f>
        <v>0</v>
      </c>
      <c r="EB20" s="345">
        <f>_xlfn.IFNA((VLOOKUP($A20,HN!$A:$BS,14,FALSE)/12),0)</f>
        <v>0</v>
      </c>
      <c r="EC20" s="345">
        <f>_xlfn.IFNA(VLOOKUP($A20,'Post 16'!$A:$AV,32,FALSE),0)/8</f>
        <v>0</v>
      </c>
      <c r="ED20" s="345"/>
      <c r="EE20" s="345">
        <f>_xlfn.IFNA((VLOOKUP($A20,HN!$A:$K,9,FALSE)/12),0)+_xlfn.IFNA((VLOOKUP($A20,HN!$A:$K,10,FALSE)/12),0)+_xlfn.IFNA((VLOOKUP($A20,HN!$A:$BZ,33,FALSE)/12),0)</f>
        <v>0</v>
      </c>
      <c r="EF20" s="345">
        <f>_xlfn.IFNA((VLOOKUP($A20,HN!$A:$BS,15,FALSE)/12),0)</f>
        <v>0</v>
      </c>
      <c r="EG20" s="344">
        <f t="shared" si="35"/>
        <v>-530.29333333333329</v>
      </c>
      <c r="EH20" s="344">
        <f t="shared" si="36"/>
        <v>-1226.7825</v>
      </c>
      <c r="EI20" s="345"/>
      <c r="EJ20" s="345">
        <f>_xlfn.IFNA(VLOOKUP(A20,'Cash Advances'!A:P,16,FALSE),0)</f>
        <v>0</v>
      </c>
      <c r="EK20" s="345">
        <f>_xlfn.IFNA(VLOOKUP(A20,'LA Deductions'!A:AZ,25,FALSE),0)/9</f>
        <v>0</v>
      </c>
      <c r="EL20" s="344">
        <f t="shared" si="37"/>
        <v>126550.22898540627</v>
      </c>
      <c r="EM20" s="308">
        <f t="shared" si="38"/>
        <v>128307.30481873961</v>
      </c>
      <c r="EN20" s="308">
        <f>((VLOOKUP($A20,EY!$A:$BS,35,FALSE)-(VLOOKUP($A20,EY!$A:$BS,33,FALSE)*80%))+VLOOKUP($A20,EY!$A:$BS,43,FALSE))+(VLOOKUP(A20,EY!A:DF,110,FALSE)-VLOOKUP(A20,EY!A:DD,108,FALSE))+(VLOOKUP(A20,EY!A:CE,83,FALSE)-VLOOKUP(A20,EY!A:CC,81,FALSE))</f>
        <v>0</v>
      </c>
      <c r="EO20" s="309"/>
      <c r="EP20" s="309">
        <f>_xlfn.IFNA((VLOOKUP($A20,HN!$A:$K,8,FALSE)/12),0)+_xlfn.IFNA((VLOOKUP($A20,HN!$A:$AF,32,FALSE)*1/12),0)</f>
        <v>0</v>
      </c>
      <c r="EQ20" s="309">
        <f>_xlfn.IFNA((VLOOKUP($A20,HN!$A:$BS,14,FALSE)/12),0)+_xlfn.IFNA((VLOOKUP($A20,HN!$A:$BS,34,FALSE)/3),0)</f>
        <v>5000</v>
      </c>
      <c r="ER20" s="309">
        <f>_xlfn.IFNA(VLOOKUP($A20,'Post 16'!$A:$AV,32,FALSE),0)/8</f>
        <v>0</v>
      </c>
      <c r="ES20" s="309">
        <f>((VLOOKUP($A20,EY!A:EV,33,FALSE)*80%))+VLOOKUP(A20,EY!A:DD,108,FALSE)+VLOOKUP(A20,EY!A:CC,81,FALSE)</f>
        <v>0</v>
      </c>
      <c r="ET20" s="309">
        <f>_xlfn.IFNA((VLOOKUP($A20,HN!$A:$K,9,FALSE)/12),0)+_xlfn.IFNA((VLOOKUP($A20,HN!$A:$K,10,FALSE)/12),0)+_xlfn.IFNA((VLOOKUP($A20,HN!$A:$BZ,33,FALSE)/12),0)</f>
        <v>0</v>
      </c>
      <c r="EU20" s="309">
        <f>_xlfn.IFNA((VLOOKUP($A20,HN!$A:$BS,15,FALSE)/12),0)</f>
        <v>0</v>
      </c>
      <c r="EV20" s="308">
        <f t="shared" si="39"/>
        <v>-530.29333333333329</v>
      </c>
      <c r="EW20" s="308">
        <f t="shared" si="40"/>
        <v>-1226.7825</v>
      </c>
      <c r="EX20" s="309"/>
      <c r="EY20" s="309">
        <f>_xlfn.IFNA(VLOOKUP($A20,'Cash Advances'!$A:$S,17,FALSE),0)</f>
        <v>0</v>
      </c>
      <c r="EZ20" s="309">
        <f>_xlfn.IFNA(VLOOKUP(A20,'LA Deductions'!A:AZ,25,FALSE),0)/9</f>
        <v>0</v>
      </c>
      <c r="FA20" s="308">
        <f t="shared" si="41"/>
        <v>131550.22898540625</v>
      </c>
      <c r="FB20" s="315">
        <f t="shared" si="42"/>
        <v>128307.30481873961</v>
      </c>
      <c r="FC20" s="315"/>
      <c r="FD20" s="316"/>
      <c r="FE20" s="316">
        <f>_xlfn.IFNA((VLOOKUP($A20,HN!$A:$K,8,FALSE)/12),0)+_xlfn.IFNA((VLOOKUP($A20,HN!$A:$AF,32,FALSE)*1/12),0)</f>
        <v>0</v>
      </c>
      <c r="FF20" s="316">
        <f>_xlfn.IFNA((VLOOKUP($A20,HN!$A:$BS,14,FALSE)/12),0)+_xlfn.IFNA((VLOOKUP($A20,HN!$A:$BS,34,FALSE)/3),0)</f>
        <v>5000</v>
      </c>
      <c r="FG20" s="316">
        <f>_xlfn.IFNA(VLOOKUP($A20,'Post 16'!$A:$AV,32,FALSE),0)/8</f>
        <v>0</v>
      </c>
      <c r="FH20" s="316"/>
      <c r="FI20" s="316">
        <f>_xlfn.IFNA((VLOOKUP($A20,HN!$A:$K,9,FALSE)/12),0)+_xlfn.IFNA((VLOOKUP($A20,HN!$A:$K,10,FALSE)/12),0)+_xlfn.IFNA((VLOOKUP($A20,HN!$A:$BZ,33,FALSE)/12),0)+_xlfn.IFNA((VLOOKUP($A20,HN!$A:$BZ,35,FALSE)/2),0)</f>
        <v>0</v>
      </c>
      <c r="FJ20" s="316">
        <f>_xlfn.IFNA((VLOOKUP($A20,HN!$A:$BS,15,FALSE)/12),0)+_xlfn.IFNA((VLOOKUP($A20,HN!$A:$CZ,36,FALSE)/2),0)</f>
        <v>0</v>
      </c>
      <c r="FK20" s="315">
        <f t="shared" si="43"/>
        <v>-530.29333333333329</v>
      </c>
      <c r="FL20" s="315">
        <f t="shared" si="44"/>
        <v>-1226.7825</v>
      </c>
      <c r="FM20" s="316"/>
      <c r="FN20" s="316">
        <f>_xlfn.IFNA(VLOOKUP($A20,'Cash Advances'!$A:$S,18,FALSE),0)</f>
        <v>0</v>
      </c>
      <c r="FO20" s="316">
        <f>_xlfn.IFNA(VLOOKUP(A20,'LA Deductions'!A:AZ,25,FALSE),0)/9</f>
        <v>0</v>
      </c>
      <c r="FP20" s="315">
        <f t="shared" si="45"/>
        <v>131550.22898540625</v>
      </c>
      <c r="FQ20" s="322">
        <f t="shared" si="46"/>
        <v>128307.30481873961</v>
      </c>
      <c r="FR20" s="322"/>
      <c r="FS20" s="323"/>
      <c r="FT20" s="323">
        <f>_xlfn.IFNA((VLOOKUP($A20,HN!$A:$K,8,FALSE)/12),0)+_xlfn.IFNA((VLOOKUP($A20,HN!$A:$AF,32,FALSE)*1/12),0)</f>
        <v>0</v>
      </c>
      <c r="FU20" s="323">
        <f>_xlfn.IFNA((VLOOKUP($A20,HN!$A:$BS,14,FALSE)/12),0)+_xlfn.IFNA((VLOOKUP($A20,HN!$A:$BS,34,FALSE)/3),0)</f>
        <v>5000</v>
      </c>
      <c r="FV20" s="323">
        <f>_xlfn.IFNA(VLOOKUP($A20,'Post 16'!$A:$AV,32,FALSE),0)/8</f>
        <v>0</v>
      </c>
      <c r="FW20" s="323"/>
      <c r="FX20" s="323">
        <f>_xlfn.IFNA((VLOOKUP($A20,HN!$A:$K,9,FALSE)/12),0)+_xlfn.IFNA((VLOOKUP($A20,HN!$A:$K,10,FALSE)/12),0)+_xlfn.IFNA((VLOOKUP($A20,HN!$A:$BZ,33,FALSE)/12),0)+_xlfn.IFNA((VLOOKUP($A20,HN!$A:$BZ,35,FALSE)/2),0)</f>
        <v>0</v>
      </c>
      <c r="FY20" s="323">
        <f>_xlfn.IFNA((VLOOKUP($A20,HN!$A:$BS,15,FALSE)/12),0)+_xlfn.IFNA((VLOOKUP($A20,HN!$A:$CZ,36,FALSE)/2),0)</f>
        <v>0</v>
      </c>
      <c r="FZ20" s="322">
        <f t="shared" si="47"/>
        <v>-530.29333333333329</v>
      </c>
      <c r="GA20" s="322">
        <f t="shared" si="48"/>
        <v>-1226.7825</v>
      </c>
      <c r="GB20" s="323"/>
      <c r="GC20" s="323"/>
      <c r="GD20" s="323">
        <f>_xlfn.IFNA(VLOOKUP(A20,'LA Deductions'!A:AZ,25,FALSE),0)/9</f>
        <v>0</v>
      </c>
      <c r="GE20" s="322">
        <f t="shared" si="49"/>
        <v>131550.22898540625</v>
      </c>
      <c r="GG20" s="146">
        <f t="shared" si="50"/>
        <v>1554687.6578248756</v>
      </c>
      <c r="GH20" s="146">
        <f t="shared" si="50"/>
        <v>0</v>
      </c>
      <c r="GI20" s="146">
        <f t="shared" si="50"/>
        <v>0</v>
      </c>
      <c r="GJ20" s="146">
        <f t="shared" si="50"/>
        <v>-6363.5199999999977</v>
      </c>
      <c r="GK20" s="146">
        <f t="shared" si="50"/>
        <v>-14721.389999999998</v>
      </c>
      <c r="GL20" s="146">
        <f t="shared" si="50"/>
        <v>-5139.75</v>
      </c>
      <c r="GN20" s="146">
        <f t="shared" si="51"/>
        <v>1554687.6578248756</v>
      </c>
      <c r="GO20" s="146">
        <f t="shared" si="51"/>
        <v>0</v>
      </c>
      <c r="GP20" s="146">
        <f t="shared" si="51"/>
        <v>0</v>
      </c>
      <c r="GQ20" s="146">
        <f t="shared" si="51"/>
        <v>-6363.5199999999977</v>
      </c>
      <c r="GR20" s="146">
        <f t="shared" si="51"/>
        <v>-14721.389999999998</v>
      </c>
      <c r="GS20" s="146">
        <f t="shared" si="51"/>
        <v>-5139.75</v>
      </c>
      <c r="GU20" s="146"/>
      <c r="GV20" s="57"/>
    </row>
    <row r="21" spans="1:204">
      <c r="A21" s="185">
        <v>5413</v>
      </c>
      <c r="B21" s="185">
        <v>103560</v>
      </c>
      <c r="C21" s="185" t="s">
        <v>56</v>
      </c>
      <c r="D21" s="2" t="s">
        <v>57</v>
      </c>
      <c r="E21" s="191" t="s">
        <v>58</v>
      </c>
      <c r="F21" s="191" t="s">
        <v>912</v>
      </c>
      <c r="H21" s="279">
        <f>_xlfn.IFNA(VLOOKUP($A21,ISB!$A$4:$BY$454,67,FALSE),0)</f>
        <v>7376806.1291567544</v>
      </c>
      <c r="I21" s="279">
        <f>_xlfn.IFNA(VLOOKUP($A21,ISB!$A$4:$BY$454,72,FALSE),0)</f>
        <v>-19989.09</v>
      </c>
      <c r="J21" s="279">
        <f>-_xlfn.IFNA(VLOOKUP($A21,ISB!$A$4:$BY$454,76,FALSE),0)</f>
        <v>-87604.23</v>
      </c>
      <c r="K21" s="279">
        <f>_xlfn.IFNA(VLOOKUP($A21,ISB!$A$4:$BY$454,77,FALSE),0)</f>
        <v>7269212.8091567541</v>
      </c>
      <c r="M21" s="301">
        <f t="shared" si="7"/>
        <v>614733.84409639623</v>
      </c>
      <c r="N21" s="301">
        <f>VLOOKUP($A21,EY!$A:$H,8,FALSE)+(VLOOKUP($A21,EY!$A:$BS,17,FALSE)-S21)+VLOOKUP($A21,EY!$A:$BS,41,FALSE)</f>
        <v>0</v>
      </c>
      <c r="O21" s="302"/>
      <c r="P21" s="302">
        <f>_xlfn.IFNA((VLOOKUP($A21,HN!$A:$K,8,FALSE)/12),0)</f>
        <v>0</v>
      </c>
      <c r="Q21" s="302">
        <f>_xlfn.IFNA((VLOOKUP($A21,HN!$A:$BS,14,FALSE)/12),0)</f>
        <v>0</v>
      </c>
      <c r="R21" s="302">
        <f>_xlfn.IFNA(VLOOKUP($A21,'Post 16'!$A:$V,21,FALSE),0)/4</f>
        <v>119090.58333333326</v>
      </c>
      <c r="S21" s="302">
        <f>VLOOKUP($A21,EY!A:Q,15,FALSE)*80%</f>
        <v>0</v>
      </c>
      <c r="T21" s="302">
        <f>_xlfn.IFNA((VLOOKUP($A21,HN!$A:$K,9,FALSE)/12),0)+_xlfn.IFNA((VLOOKUP($A21,HN!$A:$K,10,FALSE)/12),0)</f>
        <v>0</v>
      </c>
      <c r="U21" s="302">
        <f>_xlfn.IFNA((VLOOKUP($A21,HN!$A:$BS,15,FALSE)/12),0)</f>
        <v>0</v>
      </c>
      <c r="V21" s="301">
        <f t="shared" si="8"/>
        <v>-1665.7574999999999</v>
      </c>
      <c r="W21" s="301">
        <f t="shared" si="9"/>
        <v>-7300.3525</v>
      </c>
      <c r="X21" s="302"/>
      <c r="Y21" s="302">
        <f>_xlfn.IFNA(VLOOKUP($A21,'Cash Advances'!$A:$S,8,FALSE),0)</f>
        <v>0</v>
      </c>
      <c r="Z21" s="301">
        <f t="shared" si="0"/>
        <v>724858.3174297295</v>
      </c>
      <c r="AA21" s="315">
        <f t="shared" si="10"/>
        <v>614733.84409639623</v>
      </c>
      <c r="AB21" s="315"/>
      <c r="AC21" s="316"/>
      <c r="AD21" s="316">
        <f>_xlfn.IFNA((VLOOKUP($A21,HN!$A:$K,8,FALSE)/12),0)</f>
        <v>0</v>
      </c>
      <c r="AE21" s="316">
        <f>_xlfn.IFNA((VLOOKUP($A21,HN!$A:$BS,14,FALSE)/12),0)</f>
        <v>0</v>
      </c>
      <c r="AF21" s="316">
        <f>_xlfn.IFNA(VLOOKUP($A21,'Post 16'!$A:$V,21,FALSE),0)/4</f>
        <v>119090.58333333326</v>
      </c>
      <c r="AG21" s="316"/>
      <c r="AH21" s="316">
        <f>_xlfn.IFNA((VLOOKUP($A21,HN!$A:$K,9,FALSE)/12),0)+_xlfn.IFNA((VLOOKUP($A21,HN!$A:$K,10,FALSE)/12),0)</f>
        <v>0</v>
      </c>
      <c r="AI21" s="316">
        <f>_xlfn.IFNA((VLOOKUP($A21,HN!$A:$BS,15,FALSE)/12),0)</f>
        <v>0</v>
      </c>
      <c r="AJ21" s="315">
        <f t="shared" si="11"/>
        <v>-1665.7574999999999</v>
      </c>
      <c r="AK21" s="315">
        <f t="shared" si="12"/>
        <v>-7300.3525</v>
      </c>
      <c r="AL21" s="316"/>
      <c r="AM21" s="316">
        <f>_xlfn.IFNA(VLOOKUP($A21,'Cash Advances'!$A:$S,9,FALSE),0)</f>
        <v>0</v>
      </c>
      <c r="AN21" s="315">
        <f t="shared" si="1"/>
        <v>724858.3174297295</v>
      </c>
      <c r="AO21" s="308">
        <f t="shared" si="13"/>
        <v>614733.84409639623</v>
      </c>
      <c r="AP21" s="308"/>
      <c r="AQ21" s="309"/>
      <c r="AR21" s="309">
        <f>_xlfn.IFNA((VLOOKUP($A21,HN!$A:$K,8,FALSE)/12),0)</f>
        <v>0</v>
      </c>
      <c r="AS21" s="309">
        <f>_xlfn.IFNA((VLOOKUP($A21,HN!$A:$BS,14,FALSE)/12),0)</f>
        <v>0</v>
      </c>
      <c r="AT21" s="309">
        <f>_xlfn.IFNA(VLOOKUP($A21,'Post 16'!$A:$V,21,FALSE),0)/4</f>
        <v>119090.58333333326</v>
      </c>
      <c r="AU21" s="309"/>
      <c r="AV21" s="309">
        <f>_xlfn.IFNA((VLOOKUP($A21,HN!$A:$K,9,FALSE)/12),0)+_xlfn.IFNA((VLOOKUP($A21,HN!$A:$K,10,FALSE)/12),0)+_xlfn.IFNA(VLOOKUP(A21,HN!A:V,19,FALSE),0)+_xlfn.IFNA(VLOOKUP(A21,HN!A:V,20,FALSE),0)+_xlfn.IFNA(VLOOKUP(A21,HN!A:V,21,FALSE),0)</f>
        <v>0</v>
      </c>
      <c r="AW21" s="309">
        <f>_xlfn.IFNA((VLOOKUP($A21,HN!$A:$BS,15,FALSE)/12),0)</f>
        <v>0</v>
      </c>
      <c r="AX21" s="308">
        <f t="shared" si="14"/>
        <v>-1665.7574999999999</v>
      </c>
      <c r="AY21" s="308">
        <f t="shared" si="15"/>
        <v>-7300.3525</v>
      </c>
      <c r="AZ21" s="309"/>
      <c r="BA21" s="309">
        <f>_xlfn.IFNA(VLOOKUP($A21,'Cash Advances'!$A:$S,10,FALSE),0)</f>
        <v>0</v>
      </c>
      <c r="BB21" s="308">
        <f t="shared" si="2"/>
        <v>724858.3174297295</v>
      </c>
      <c r="BC21" s="330">
        <f t="shared" si="16"/>
        <v>614733.84409639623</v>
      </c>
      <c r="BD21" s="330"/>
      <c r="BE21" s="331"/>
      <c r="BF21" s="331">
        <f>_xlfn.IFNA((VLOOKUP($A21,HN!$A:$K,8,FALSE)/12),0)</f>
        <v>0</v>
      </c>
      <c r="BG21" s="331">
        <f>_xlfn.IFNA((VLOOKUP($A21,HN!$A:$BS,14,FALSE)/12),0)</f>
        <v>0</v>
      </c>
      <c r="BH21" s="331">
        <f>_xlfn.IFNA(VLOOKUP($A21,'Post 16'!$A:$V,21,FALSE),0)/4</f>
        <v>119090.58333333326</v>
      </c>
      <c r="BI21" s="331"/>
      <c r="BJ21" s="331">
        <f>_xlfn.IFNA((VLOOKUP($A21,HN!$A:$K,9,FALSE)/12),0)+_xlfn.IFNA((VLOOKUP($A21,HN!$A:$K,10,FALSE)/12),0)</f>
        <v>0</v>
      </c>
      <c r="BK21" s="331">
        <f>_xlfn.IFNA((VLOOKUP($A21,HN!$A:$BS,15,FALSE)/12),0)</f>
        <v>0</v>
      </c>
      <c r="BL21" s="330">
        <f t="shared" si="17"/>
        <v>-1665.7574999999999</v>
      </c>
      <c r="BM21" s="330">
        <f t="shared" si="18"/>
        <v>-7300.3525</v>
      </c>
      <c r="BN21" s="331"/>
      <c r="BO21" s="331">
        <f>_xlfn.IFNA(VLOOKUP(A21,'Cash Advances'!A:K,11,FALSE),0)</f>
        <v>0</v>
      </c>
      <c r="BP21" s="330">
        <f t="shared" si="3"/>
        <v>724858.3174297295</v>
      </c>
      <c r="BQ21" s="322">
        <f t="shared" si="19"/>
        <v>614733.84409639623</v>
      </c>
      <c r="BR21" s="322"/>
      <c r="BS21" s="323"/>
      <c r="BT21" s="323">
        <f>_xlfn.IFNA((VLOOKUP($A21,HN!$A:$K,8,FALSE)/12),0)</f>
        <v>0</v>
      </c>
      <c r="BU21" s="323">
        <f>_xlfn.IFNA((VLOOKUP($A21,HN!$A:$BS,14,FALSE)/12),0)</f>
        <v>0</v>
      </c>
      <c r="BV21" s="323">
        <f>(_xlfn.IFNA(VLOOKUP($A21,'Post 16'!$A:$AV,32,FALSE),0)/8)+_xlfn.IFNA(VLOOKUP($A21,'Post 16'!$A:$AR,40,FALSE),0)</f>
        <v>116450.83333333334</v>
      </c>
      <c r="BW21" s="323"/>
      <c r="BX21" s="323">
        <f>_xlfn.IFNA((VLOOKUP($A21,HN!$A:$K,9,FALSE)/12),0)+_xlfn.IFNA((VLOOKUP($A21,HN!$A:$K,10,FALSE)/12),0)</f>
        <v>0</v>
      </c>
      <c r="BY21" s="323">
        <f>_xlfn.IFNA((VLOOKUP($A21,HN!$A:$BS,15,FALSE)/12),0)</f>
        <v>0</v>
      </c>
      <c r="BZ21" s="322">
        <f t="shared" si="20"/>
        <v>-1665.7574999999999</v>
      </c>
      <c r="CA21" s="322">
        <f t="shared" si="21"/>
        <v>-7300.3525</v>
      </c>
      <c r="CB21" s="323"/>
      <c r="CC21" s="323"/>
      <c r="CD21" s="322">
        <f t="shared" si="4"/>
        <v>722218.56742972962</v>
      </c>
      <c r="CE21" s="357">
        <f t="shared" si="22"/>
        <v>614733.84409639623</v>
      </c>
      <c r="CF21" s="357">
        <f>(VLOOKUP($A21,EY!$A:$BS,26,FALSE)-(VLOOKUP($A21,EY!A:CR,24,FALSE)*80%))+VLOOKUP($A21,EY!$A:$BS,42,FALSE)+(VLOOKUP($A21,EY!A:CC,74,FALSE)-VLOOKUP($A21,EY!A:CC,72,FALSE))</f>
        <v>0</v>
      </c>
      <c r="CG21" s="358"/>
      <c r="CH21" s="358">
        <f>_xlfn.IFNA((VLOOKUP($A21,HN!$A:$K,8,FALSE)/12),0)</f>
        <v>0</v>
      </c>
      <c r="CI21" s="358">
        <f>_xlfn.IFNA((VLOOKUP($A21,HN!$A:$BS,14,FALSE)/12),0)</f>
        <v>0</v>
      </c>
      <c r="CJ21" s="358">
        <f>(_xlfn.IFNA(VLOOKUP($A21,'Post 16'!$A:$AV,32,FALSE),0)/8)</f>
        <v>132581.83333333334</v>
      </c>
      <c r="CK21" s="358">
        <f>(VLOOKUP($A21,EY!A:CR,24,FALSE)*80%)+VLOOKUP($A21,EY!A:CC,72,FALSE)</f>
        <v>0</v>
      </c>
      <c r="CL21" s="358">
        <f>_xlfn.IFNA((VLOOKUP($A21,HN!$A:$K,9,FALSE)/12),0)+_xlfn.IFNA((VLOOKUP($A21,HN!$A:$K,10,FALSE)/12),0)</f>
        <v>0</v>
      </c>
      <c r="CM21" s="358">
        <f>_xlfn.IFNA((VLOOKUP($A21,HN!$A:$BS,15,FALSE)/12),0)</f>
        <v>0</v>
      </c>
      <c r="CN21" s="357">
        <f t="shared" si="23"/>
        <v>-1665.7574999999999</v>
      </c>
      <c r="CO21" s="357">
        <f t="shared" si="24"/>
        <v>-7300.3525</v>
      </c>
      <c r="CP21" s="358">
        <f>_xlfn.IFNA(VLOOKUP(A21,'LA Deductions'!A:W,23,FALSE),0)</f>
        <v>0</v>
      </c>
      <c r="CQ21" s="358">
        <f>_xlfn.IFNA(VLOOKUP($A21,'Cash Advances'!$A:$S,13,FALSE),0)</f>
        <v>0</v>
      </c>
      <c r="CR21" s="358">
        <f>_xlfn.IFNA(VLOOKUP(A21,'LA Deductions'!A:AZ,25,FALSE),0)/9*3</f>
        <v>0</v>
      </c>
      <c r="CS21" s="357">
        <f t="shared" si="25"/>
        <v>738349.56742972962</v>
      </c>
      <c r="CT21" s="337">
        <f t="shared" si="26"/>
        <v>614733.84409639623</v>
      </c>
      <c r="CU21" s="337"/>
      <c r="CV21" s="338">
        <f>_xlfn.IFNA(VLOOKUP(A21,'LA Deductions'!$A$6:$AN$207,34,FALSE),0)</f>
        <v>0</v>
      </c>
      <c r="CW21" s="338">
        <f>_xlfn.IFNA((VLOOKUP($A21,HN!$A:$K,8,FALSE)/12),0)</f>
        <v>0</v>
      </c>
      <c r="CX21" s="338">
        <f>_xlfn.IFNA((VLOOKUP($A21,HN!$A:$BS,14,FALSE)/12),0)</f>
        <v>0</v>
      </c>
      <c r="CY21" s="338">
        <f>_xlfn.IFNA(VLOOKUP($A21,'Post 16'!$A:$AV,32,FALSE),0)/8</f>
        <v>132581.83333333334</v>
      </c>
      <c r="CZ21" s="338"/>
      <c r="DA21" s="338">
        <f>_xlfn.IFNA((VLOOKUP($A21,HN!$A:$K,9,FALSE)/12),0)+_xlfn.IFNA((VLOOKUP($A21,HN!$A:$K,10,FALSE)/12),0)</f>
        <v>0</v>
      </c>
      <c r="DB21" s="338">
        <f>_xlfn.IFNA((VLOOKUP($A21,HN!$A:$BS,15,FALSE)/12),0)</f>
        <v>0</v>
      </c>
      <c r="DC21" s="337">
        <f t="shared" si="27"/>
        <v>-1665.7574999999999</v>
      </c>
      <c r="DD21" s="337">
        <f t="shared" si="28"/>
        <v>-7300.3525</v>
      </c>
      <c r="DE21" s="338"/>
      <c r="DF21" s="338">
        <f>_xlfn.IFNA(VLOOKUP($A21,'Cash Advances'!$A:$S,14,FALSE),0)</f>
        <v>0</v>
      </c>
      <c r="DG21" s="338">
        <f>(_xlfn.IFNA(VLOOKUP(A21,'LA Deductions'!A:AZ,25,FALSE),0)/9)+(_xlfn.IFNA(VLOOKUP(A21,'LA Deductions'!A:AZ,26,FALSE),0))</f>
        <v>0</v>
      </c>
      <c r="DH21" s="337">
        <f t="shared" si="29"/>
        <v>738349.56742972962</v>
      </c>
      <c r="DI21" s="330">
        <f t="shared" si="30"/>
        <v>614733.84409639623</v>
      </c>
      <c r="DJ21" s="330"/>
      <c r="DK21" s="331"/>
      <c r="DL21" s="331">
        <f>_xlfn.IFNA((VLOOKUP($A21,HN!$A:$K,8,FALSE)/12),0)+_xlfn.IFNA((VLOOKUP($A21,HN!$A:$AF,32,FALSE)*8/12),0)</f>
        <v>0</v>
      </c>
      <c r="DM21" s="331">
        <f>_xlfn.IFNA((VLOOKUP($A21,HN!$A:$BS,14,FALSE)/12),0)+_xlfn.IFNA(VLOOKUP($A21,HN!$A:$BS,31,FALSE),0)</f>
        <v>0</v>
      </c>
      <c r="DN21" s="331">
        <f>_xlfn.IFNA(VLOOKUP($A21,'Post 16'!$A:$AV,32,FALSE),0)/8</f>
        <v>132581.83333333334</v>
      </c>
      <c r="DO21" s="331"/>
      <c r="DP21" s="331">
        <f>_xlfn.IFNA((VLOOKUP($A21,HN!$A:$K,9,FALSE)/12),0)+_xlfn.IFNA((VLOOKUP($A21,HN!$A:$K,10,FALSE)/12),0)+_xlfn.IFNA((VLOOKUP($A21,HN!$A:$BZ,33,FALSE)*8/12),0)</f>
        <v>0</v>
      </c>
      <c r="DQ21" s="331">
        <f>_xlfn.IFNA((VLOOKUP($A21,HN!$A:$BS,15,FALSE)/12),0)</f>
        <v>0</v>
      </c>
      <c r="DR21" s="330">
        <f t="shared" si="31"/>
        <v>-1665.7574999999999</v>
      </c>
      <c r="DS21" s="330">
        <f t="shared" si="32"/>
        <v>-7300.3525</v>
      </c>
      <c r="DT21" s="331"/>
      <c r="DU21" s="331"/>
      <c r="DV21" s="331">
        <f>(_xlfn.IFNA(VLOOKUP(A21,'LA Deductions'!A:AZ,25,FALSE),0)/9)+_xlfn.IFNA(VLOOKUP(A21,'LA Deductions'!A:AZ,27,FALSE),0)</f>
        <v>0</v>
      </c>
      <c r="DW21" s="330">
        <f t="shared" si="33"/>
        <v>738349.56742972962</v>
      </c>
      <c r="DX21" s="344">
        <f t="shared" si="34"/>
        <v>614733.84409639623</v>
      </c>
      <c r="DY21" s="344"/>
      <c r="DZ21" s="345"/>
      <c r="EA21" s="345">
        <f>_xlfn.IFNA((VLOOKUP($A21,HN!$A:$K,8,FALSE)/12),0)+_xlfn.IFNA((VLOOKUP($A21,HN!$A:$AF,32,FALSE)*1/12),0)</f>
        <v>0</v>
      </c>
      <c r="EB21" s="345">
        <f>_xlfn.IFNA((VLOOKUP($A21,HN!$A:$BS,14,FALSE)/12),0)</f>
        <v>0</v>
      </c>
      <c r="EC21" s="345">
        <f>(_xlfn.IFNA(VLOOKUP($A21,'Post 16'!$A:$AV,32,FALSE),0)/8)+_xlfn.IFNA(VLOOKUP($A21,'Post 16'!$A:$AV,41,FALSE),0)</f>
        <v>131988.49999999985</v>
      </c>
      <c r="ED21" s="345"/>
      <c r="EE21" s="345">
        <f>_xlfn.IFNA((VLOOKUP($A21,HN!$A:$K,9,FALSE)/12),0)+_xlfn.IFNA((VLOOKUP($A21,HN!$A:$K,10,FALSE)/12),0)+_xlfn.IFNA((VLOOKUP($A21,HN!$A:$BZ,33,FALSE)/12),0)</f>
        <v>0</v>
      </c>
      <c r="EF21" s="345">
        <f>_xlfn.IFNA((VLOOKUP($A21,HN!$A:$BS,15,FALSE)/12),0)</f>
        <v>0</v>
      </c>
      <c r="EG21" s="344">
        <f t="shared" si="35"/>
        <v>-1665.7574999999999</v>
      </c>
      <c r="EH21" s="344">
        <f t="shared" si="36"/>
        <v>-7300.3525</v>
      </c>
      <c r="EI21" s="345"/>
      <c r="EJ21" s="345">
        <f>_xlfn.IFNA(VLOOKUP(A21,'Cash Advances'!A:P,16,FALSE),0)</f>
        <v>0</v>
      </c>
      <c r="EK21" s="345">
        <f>_xlfn.IFNA(VLOOKUP(A21,'LA Deductions'!A:AZ,25,FALSE),0)/9</f>
        <v>0</v>
      </c>
      <c r="EL21" s="344">
        <f t="shared" si="37"/>
        <v>737756.23409639613</v>
      </c>
      <c r="EM21" s="308">
        <f t="shared" si="38"/>
        <v>614733.84409639623</v>
      </c>
      <c r="EN21" s="308">
        <f>((VLOOKUP($A21,EY!$A:$BS,35,FALSE)-(VLOOKUP($A21,EY!$A:$BS,33,FALSE)*80%))+VLOOKUP($A21,EY!$A:$BS,43,FALSE))+(VLOOKUP(A21,EY!A:DF,110,FALSE)-VLOOKUP(A21,EY!A:DD,108,FALSE))+(VLOOKUP(A21,EY!A:CE,83,FALSE)-VLOOKUP(A21,EY!A:CC,81,FALSE))</f>
        <v>0</v>
      </c>
      <c r="EO21" s="309"/>
      <c r="EP21" s="309">
        <f>_xlfn.IFNA((VLOOKUP($A21,HN!$A:$K,8,FALSE)/12),0)+_xlfn.IFNA((VLOOKUP($A21,HN!$A:$AF,32,FALSE)*1/12),0)</f>
        <v>0</v>
      </c>
      <c r="EQ21" s="309">
        <f>_xlfn.IFNA((VLOOKUP($A21,HN!$A:$BS,14,FALSE)/12),0)+_xlfn.IFNA((VLOOKUP($A21,HN!$A:$BS,34,FALSE)/3),0)</f>
        <v>0</v>
      </c>
      <c r="ER21" s="309">
        <f>_xlfn.IFNA(VLOOKUP($A21,'Post 16'!$A:$AV,32,FALSE),0)/8</f>
        <v>132581.83333333334</v>
      </c>
      <c r="ES21" s="309">
        <f>((VLOOKUP($A21,EY!A:EV,33,FALSE)*80%))+VLOOKUP(A21,EY!A:DD,108,FALSE)+VLOOKUP(A21,EY!A:CC,81,FALSE)</f>
        <v>0</v>
      </c>
      <c r="ET21" s="309">
        <f>_xlfn.IFNA((VLOOKUP($A21,HN!$A:$K,9,FALSE)/12),0)+_xlfn.IFNA((VLOOKUP($A21,HN!$A:$K,10,FALSE)/12),0)+_xlfn.IFNA((VLOOKUP($A21,HN!$A:$BZ,33,FALSE)/12),0)</f>
        <v>0</v>
      </c>
      <c r="EU21" s="309">
        <f>_xlfn.IFNA((VLOOKUP($A21,HN!$A:$BS,15,FALSE)/12),0)</f>
        <v>0</v>
      </c>
      <c r="EV21" s="308">
        <f t="shared" si="39"/>
        <v>-1665.7574999999999</v>
      </c>
      <c r="EW21" s="308">
        <f t="shared" si="40"/>
        <v>-7300.3525</v>
      </c>
      <c r="EX21" s="309"/>
      <c r="EY21" s="309">
        <f>_xlfn.IFNA(VLOOKUP($A21,'Cash Advances'!$A:$S,17,FALSE),0)</f>
        <v>0</v>
      </c>
      <c r="EZ21" s="309">
        <f>_xlfn.IFNA(VLOOKUP(A21,'LA Deductions'!A:AZ,25,FALSE),0)/9</f>
        <v>0</v>
      </c>
      <c r="FA21" s="308">
        <f t="shared" si="41"/>
        <v>738349.56742972962</v>
      </c>
      <c r="FB21" s="315">
        <f t="shared" si="42"/>
        <v>614733.84409639623</v>
      </c>
      <c r="FC21" s="315"/>
      <c r="FD21" s="316"/>
      <c r="FE21" s="316">
        <f>_xlfn.IFNA((VLOOKUP($A21,HN!$A:$K,8,FALSE)/12),0)+_xlfn.IFNA((VLOOKUP($A21,HN!$A:$AF,32,FALSE)*1/12),0)</f>
        <v>0</v>
      </c>
      <c r="FF21" s="316">
        <f>_xlfn.IFNA((VLOOKUP($A21,HN!$A:$BS,14,FALSE)/12),0)+_xlfn.IFNA((VLOOKUP($A21,HN!$A:$BS,34,FALSE)/3),0)</f>
        <v>0</v>
      </c>
      <c r="FG21" s="316">
        <f>_xlfn.IFNA(VLOOKUP($A21,'Post 16'!$A:$AV,32,FALSE),0)/8</f>
        <v>132581.83333333334</v>
      </c>
      <c r="FH21" s="316"/>
      <c r="FI21" s="316">
        <f>_xlfn.IFNA((VLOOKUP($A21,HN!$A:$K,9,FALSE)/12),0)+_xlfn.IFNA((VLOOKUP($A21,HN!$A:$K,10,FALSE)/12),0)+_xlfn.IFNA((VLOOKUP($A21,HN!$A:$BZ,33,FALSE)/12),0)+_xlfn.IFNA((VLOOKUP($A21,HN!$A:$BZ,35,FALSE)/2),0)</f>
        <v>0</v>
      </c>
      <c r="FJ21" s="316">
        <f>_xlfn.IFNA((VLOOKUP($A21,HN!$A:$BS,15,FALSE)/12),0)+_xlfn.IFNA((VLOOKUP($A21,HN!$A:$CZ,36,FALSE)/2),0)</f>
        <v>0</v>
      </c>
      <c r="FK21" s="315">
        <f t="shared" si="43"/>
        <v>-1665.7574999999999</v>
      </c>
      <c r="FL21" s="315">
        <f t="shared" si="44"/>
        <v>-7300.3525</v>
      </c>
      <c r="FM21" s="316"/>
      <c r="FN21" s="316">
        <f>_xlfn.IFNA(VLOOKUP($A21,'Cash Advances'!$A:$S,18,FALSE),0)</f>
        <v>0</v>
      </c>
      <c r="FO21" s="316">
        <f>_xlfn.IFNA(VLOOKUP(A21,'LA Deductions'!A:AZ,25,FALSE),0)/9</f>
        <v>0</v>
      </c>
      <c r="FP21" s="315">
        <f t="shared" si="45"/>
        <v>738349.56742972962</v>
      </c>
      <c r="FQ21" s="322">
        <f t="shared" si="46"/>
        <v>614733.84409639623</v>
      </c>
      <c r="FR21" s="322"/>
      <c r="FS21" s="323"/>
      <c r="FT21" s="323">
        <f>_xlfn.IFNA((VLOOKUP($A21,HN!$A:$K,8,FALSE)/12),0)+_xlfn.IFNA((VLOOKUP($A21,HN!$A:$AF,32,FALSE)*1/12),0)</f>
        <v>0</v>
      </c>
      <c r="FU21" s="323">
        <f>_xlfn.IFNA((VLOOKUP($A21,HN!$A:$BS,14,FALSE)/12),0)+_xlfn.IFNA((VLOOKUP($A21,HN!$A:$BS,34,FALSE)/3),0)</f>
        <v>0</v>
      </c>
      <c r="FV21" s="323">
        <f>_xlfn.IFNA(VLOOKUP($A21,'Post 16'!$A:$AV,32,FALSE),0)/8</f>
        <v>132581.83333333334</v>
      </c>
      <c r="FW21" s="323"/>
      <c r="FX21" s="323">
        <f>_xlfn.IFNA((VLOOKUP($A21,HN!$A:$K,9,FALSE)/12),0)+_xlfn.IFNA((VLOOKUP($A21,HN!$A:$K,10,FALSE)/12),0)+_xlfn.IFNA((VLOOKUP($A21,HN!$A:$BZ,33,FALSE)/12),0)+_xlfn.IFNA((VLOOKUP($A21,HN!$A:$BZ,35,FALSE)/2),0)</f>
        <v>0</v>
      </c>
      <c r="FY21" s="323">
        <f>_xlfn.IFNA((VLOOKUP($A21,HN!$A:$BS,15,FALSE)/12),0)+_xlfn.IFNA((VLOOKUP($A21,HN!$A:$CZ,36,FALSE)/2),0)</f>
        <v>0</v>
      </c>
      <c r="FZ21" s="322">
        <f t="shared" si="47"/>
        <v>-1665.7574999999999</v>
      </c>
      <c r="GA21" s="322">
        <f t="shared" si="48"/>
        <v>-7300.3525</v>
      </c>
      <c r="GB21" s="323"/>
      <c r="GC21" s="323"/>
      <c r="GD21" s="323">
        <f>_xlfn.IFNA(VLOOKUP(A21,'LA Deductions'!A:AZ,25,FALSE),0)/9</f>
        <v>0</v>
      </c>
      <c r="GE21" s="322">
        <f t="shared" si="49"/>
        <v>738349.56742972962</v>
      </c>
      <c r="GG21" s="146">
        <f t="shared" si="50"/>
        <v>7376806.1291567544</v>
      </c>
      <c r="GH21" s="146">
        <f t="shared" si="50"/>
        <v>1520292.666666666</v>
      </c>
      <c r="GI21" s="146">
        <f t="shared" si="50"/>
        <v>0</v>
      </c>
      <c r="GJ21" s="146">
        <f t="shared" si="50"/>
        <v>-19989.09</v>
      </c>
      <c r="GK21" s="146">
        <f t="shared" si="50"/>
        <v>-87604.229999999981</v>
      </c>
      <c r="GL21" s="146">
        <f t="shared" si="50"/>
        <v>0</v>
      </c>
      <c r="GN21" s="146">
        <f t="shared" si="51"/>
        <v>7376806.1291567544</v>
      </c>
      <c r="GO21" s="146">
        <f t="shared" si="51"/>
        <v>1520292.666666666</v>
      </c>
      <c r="GP21" s="146">
        <f t="shared" si="51"/>
        <v>0</v>
      </c>
      <c r="GQ21" s="146">
        <f t="shared" si="51"/>
        <v>-19989.09</v>
      </c>
      <c r="GR21" s="146">
        <f t="shared" si="51"/>
        <v>-87604.229999999981</v>
      </c>
      <c r="GS21" s="146">
        <f t="shared" si="51"/>
        <v>0</v>
      </c>
      <c r="GU21" s="146"/>
      <c r="GV21" s="57"/>
    </row>
    <row r="22" spans="1:204">
      <c r="A22" s="185">
        <v>1025</v>
      </c>
      <c r="B22" s="185">
        <v>103138</v>
      </c>
      <c r="C22" s="185" t="s">
        <v>59</v>
      </c>
      <c r="D22" s="2" t="s">
        <v>60</v>
      </c>
      <c r="E22" s="191" t="s">
        <v>29</v>
      </c>
      <c r="F22" s="191" t="s">
        <v>912</v>
      </c>
      <c r="H22" s="279">
        <f>_xlfn.IFNA(VLOOKUP($A22,ISB!$A$4:$BY$454,67,FALSE),0)</f>
        <v>0</v>
      </c>
      <c r="I22" s="279">
        <f>_xlfn.IFNA(VLOOKUP($A22,ISB!$A$4:$BY$454,72,FALSE),0)</f>
        <v>0</v>
      </c>
      <c r="J22" s="279">
        <f>-_xlfn.IFNA(VLOOKUP($A22,ISB!$A$4:$BY$454,76,FALSE),0)</f>
        <v>0</v>
      </c>
      <c r="K22" s="279">
        <f>_xlfn.IFNA(VLOOKUP($A22,ISB!$A$4:$BY$454,77,FALSE),0)</f>
        <v>0</v>
      </c>
      <c r="M22" s="301">
        <f t="shared" si="7"/>
        <v>0</v>
      </c>
      <c r="N22" s="301">
        <f>VLOOKUP($A22,EY!$A:$H,8,FALSE)+(VLOOKUP($A22,EY!$A:$BS,17,FALSE)-S22)+VLOOKUP($A22,EY!$A:$BS,41,FALSE)</f>
        <v>492966.85938735242</v>
      </c>
      <c r="O22" s="302"/>
      <c r="P22" s="302">
        <f>_xlfn.IFNA((VLOOKUP($A22,HN!$A:$K,8,FALSE)/12),0)</f>
        <v>0</v>
      </c>
      <c r="Q22" s="302">
        <f>_xlfn.IFNA((VLOOKUP($A22,HN!$A:$BS,14,FALSE)/12),0)</f>
        <v>0</v>
      </c>
      <c r="R22" s="302">
        <f>_xlfn.IFNA(VLOOKUP($A22,'Post 16'!$A:$V,21,FALSE),0)/4</f>
        <v>0</v>
      </c>
      <c r="S22" s="302">
        <f>VLOOKUP($A22,EY!A:Q,15,FALSE)*80%</f>
        <v>1026.8631578947368</v>
      </c>
      <c r="T22" s="302">
        <f>_xlfn.IFNA((VLOOKUP($A22,HN!$A:$K,9,FALSE)/12),0)+_xlfn.IFNA((VLOOKUP($A22,HN!$A:$K,10,FALSE)/12),0)</f>
        <v>0</v>
      </c>
      <c r="U22" s="302">
        <f>_xlfn.IFNA((VLOOKUP($A22,HN!$A:$BS,15,FALSE)/12),0)</f>
        <v>0</v>
      </c>
      <c r="V22" s="301">
        <f t="shared" si="8"/>
        <v>0</v>
      </c>
      <c r="W22" s="301">
        <f t="shared" si="9"/>
        <v>0</v>
      </c>
      <c r="X22" s="302"/>
      <c r="Y22" s="302">
        <f>_xlfn.IFNA(VLOOKUP($A22,'Cash Advances'!$A:$S,8,FALSE),0)</f>
        <v>0</v>
      </c>
      <c r="Z22" s="301">
        <f t="shared" si="0"/>
        <v>493993.72254524718</v>
      </c>
      <c r="AA22" s="315">
        <f t="shared" si="10"/>
        <v>0</v>
      </c>
      <c r="AB22" s="315"/>
      <c r="AC22" s="316"/>
      <c r="AD22" s="316">
        <f>_xlfn.IFNA((VLOOKUP($A22,HN!$A:$K,8,FALSE)/12),0)</f>
        <v>0</v>
      </c>
      <c r="AE22" s="316">
        <f>_xlfn.IFNA((VLOOKUP($A22,HN!$A:$BS,14,FALSE)/12),0)</f>
        <v>0</v>
      </c>
      <c r="AF22" s="316">
        <f>_xlfn.IFNA(VLOOKUP($A22,'Post 16'!$A:$V,21,FALSE),0)/4</f>
        <v>0</v>
      </c>
      <c r="AG22" s="316"/>
      <c r="AH22" s="316">
        <f>_xlfn.IFNA((VLOOKUP($A22,HN!$A:$K,9,FALSE)/12),0)+_xlfn.IFNA((VLOOKUP($A22,HN!$A:$K,10,FALSE)/12),0)</f>
        <v>0</v>
      </c>
      <c r="AI22" s="316">
        <f>_xlfn.IFNA((VLOOKUP($A22,HN!$A:$BS,15,FALSE)/12),0)</f>
        <v>0</v>
      </c>
      <c r="AJ22" s="315">
        <f t="shared" si="11"/>
        <v>0</v>
      </c>
      <c r="AK22" s="315">
        <f t="shared" si="12"/>
        <v>0</v>
      </c>
      <c r="AL22" s="316"/>
      <c r="AM22" s="316">
        <f>_xlfn.IFNA(VLOOKUP($A22,'Cash Advances'!$A:$S,9,FALSE),0)</f>
        <v>0</v>
      </c>
      <c r="AN22" s="315">
        <f t="shared" si="1"/>
        <v>0</v>
      </c>
      <c r="AO22" s="308">
        <f t="shared" si="13"/>
        <v>0</v>
      </c>
      <c r="AP22" s="308"/>
      <c r="AQ22" s="309"/>
      <c r="AR22" s="309">
        <f>_xlfn.IFNA((VLOOKUP($A22,HN!$A:$K,8,FALSE)/12),0)</f>
        <v>0</v>
      </c>
      <c r="AS22" s="309">
        <f>_xlfn.IFNA((VLOOKUP($A22,HN!$A:$BS,14,FALSE)/12),0)</f>
        <v>0</v>
      </c>
      <c r="AT22" s="309">
        <f>_xlfn.IFNA(VLOOKUP($A22,'Post 16'!$A:$V,21,FALSE),0)/4</f>
        <v>0</v>
      </c>
      <c r="AU22" s="309"/>
      <c r="AV22" s="309">
        <f>_xlfn.IFNA((VLOOKUP($A22,HN!$A:$K,9,FALSE)/12),0)+_xlfn.IFNA((VLOOKUP($A22,HN!$A:$K,10,FALSE)/12),0)+_xlfn.IFNA(VLOOKUP(A22,HN!A:V,19,FALSE),0)+_xlfn.IFNA(VLOOKUP(A22,HN!A:V,20,FALSE),0)+_xlfn.IFNA(VLOOKUP(A22,HN!A:V,21,FALSE),0)</f>
        <v>0</v>
      </c>
      <c r="AW22" s="309">
        <f>_xlfn.IFNA((VLOOKUP($A22,HN!$A:$BS,15,FALSE)/12),0)</f>
        <v>0</v>
      </c>
      <c r="AX22" s="308">
        <f t="shared" si="14"/>
        <v>0</v>
      </c>
      <c r="AY22" s="308">
        <f t="shared" si="15"/>
        <v>0</v>
      </c>
      <c r="AZ22" s="309"/>
      <c r="BA22" s="309">
        <f>_xlfn.IFNA(VLOOKUP($A22,'Cash Advances'!$A:$S,10,FALSE),0)</f>
        <v>0</v>
      </c>
      <c r="BB22" s="308">
        <f t="shared" si="2"/>
        <v>0</v>
      </c>
      <c r="BC22" s="330">
        <f t="shared" si="16"/>
        <v>0</v>
      </c>
      <c r="BD22" s="330"/>
      <c r="BE22" s="331"/>
      <c r="BF22" s="331">
        <f>_xlfn.IFNA((VLOOKUP($A22,HN!$A:$K,8,FALSE)/12),0)</f>
        <v>0</v>
      </c>
      <c r="BG22" s="331">
        <f>_xlfn.IFNA((VLOOKUP($A22,HN!$A:$BS,14,FALSE)/12),0)</f>
        <v>0</v>
      </c>
      <c r="BH22" s="331">
        <f>_xlfn.IFNA(VLOOKUP($A22,'Post 16'!$A:$V,21,FALSE),0)/4</f>
        <v>0</v>
      </c>
      <c r="BI22" s="331"/>
      <c r="BJ22" s="331">
        <f>_xlfn.IFNA((VLOOKUP($A22,HN!$A:$K,9,FALSE)/12),0)+_xlfn.IFNA((VLOOKUP($A22,HN!$A:$K,10,FALSE)/12),0)</f>
        <v>0</v>
      </c>
      <c r="BK22" s="331">
        <f>_xlfn.IFNA((VLOOKUP($A22,HN!$A:$BS,15,FALSE)/12),0)</f>
        <v>0</v>
      </c>
      <c r="BL22" s="330">
        <f t="shared" si="17"/>
        <v>0</v>
      </c>
      <c r="BM22" s="330">
        <f t="shared" si="18"/>
        <v>0</v>
      </c>
      <c r="BN22" s="331"/>
      <c r="BO22" s="331">
        <f>_xlfn.IFNA(VLOOKUP(A22,'Cash Advances'!A:K,11,FALSE),0)</f>
        <v>0</v>
      </c>
      <c r="BP22" s="330">
        <f t="shared" si="3"/>
        <v>0</v>
      </c>
      <c r="BQ22" s="322">
        <f t="shared" si="19"/>
        <v>0</v>
      </c>
      <c r="BR22" s="322"/>
      <c r="BS22" s="323"/>
      <c r="BT22" s="323">
        <f>_xlfn.IFNA((VLOOKUP($A22,HN!$A:$K,8,FALSE)/12),0)</f>
        <v>0</v>
      </c>
      <c r="BU22" s="323">
        <f>_xlfn.IFNA((VLOOKUP($A22,HN!$A:$BS,14,FALSE)/12),0)</f>
        <v>0</v>
      </c>
      <c r="BV22" s="323">
        <f>(_xlfn.IFNA(VLOOKUP($A22,'Post 16'!$A:$AV,32,FALSE),0)/8)+_xlfn.IFNA(VLOOKUP($A22,'Post 16'!$A:$AR,40,FALSE),0)</f>
        <v>0</v>
      </c>
      <c r="BW22" s="323"/>
      <c r="BX22" s="323">
        <f>_xlfn.IFNA((VLOOKUP($A22,HN!$A:$K,9,FALSE)/12),0)+_xlfn.IFNA((VLOOKUP($A22,HN!$A:$K,10,FALSE)/12),0)</f>
        <v>0</v>
      </c>
      <c r="BY22" s="323">
        <f>_xlfn.IFNA((VLOOKUP($A22,HN!$A:$BS,15,FALSE)/12),0)</f>
        <v>0</v>
      </c>
      <c r="BZ22" s="322">
        <f t="shared" si="20"/>
        <v>0</v>
      </c>
      <c r="CA22" s="322">
        <f t="shared" si="21"/>
        <v>0</v>
      </c>
      <c r="CB22" s="323"/>
      <c r="CC22" s="323"/>
      <c r="CD22" s="322">
        <f t="shared" si="4"/>
        <v>0</v>
      </c>
      <c r="CE22" s="357">
        <f t="shared" si="22"/>
        <v>0</v>
      </c>
      <c r="CF22" s="357">
        <f>(VLOOKUP($A22,EY!$A:$BS,26,FALSE)-(VLOOKUP($A22,EY!A:CR,24,FALSE)*80%))+VLOOKUP($A22,EY!$A:$BS,42,FALSE)+(VLOOKUP($A22,EY!A:CC,74,FALSE)-VLOOKUP($A22,EY!A:CC,72,FALSE))</f>
        <v>191878.51376921136</v>
      </c>
      <c r="CG22" s="358"/>
      <c r="CH22" s="358">
        <f>_xlfn.IFNA((VLOOKUP($A22,HN!$A:$K,8,FALSE)/12),0)</f>
        <v>0</v>
      </c>
      <c r="CI22" s="358">
        <f>_xlfn.IFNA((VLOOKUP($A22,HN!$A:$BS,14,FALSE)/12),0)</f>
        <v>0</v>
      </c>
      <c r="CJ22" s="358">
        <f>(_xlfn.IFNA(VLOOKUP($A22,'Post 16'!$A:$AV,32,FALSE),0)/8)</f>
        <v>0</v>
      </c>
      <c r="CK22" s="358">
        <f>(VLOOKUP($A22,EY!A:CR,24,FALSE)*80%)+VLOOKUP($A22,EY!A:CC,72,FALSE)</f>
        <v>3273.0742105263157</v>
      </c>
      <c r="CL22" s="358">
        <f>_xlfn.IFNA((VLOOKUP($A22,HN!$A:$K,9,FALSE)/12),0)+_xlfn.IFNA((VLOOKUP($A22,HN!$A:$K,10,FALSE)/12),0)</f>
        <v>0</v>
      </c>
      <c r="CM22" s="358">
        <f>_xlfn.IFNA((VLOOKUP($A22,HN!$A:$BS,15,FALSE)/12),0)</f>
        <v>0</v>
      </c>
      <c r="CN22" s="357">
        <f t="shared" si="23"/>
        <v>0</v>
      </c>
      <c r="CO22" s="357">
        <f t="shared" si="24"/>
        <v>0</v>
      </c>
      <c r="CP22" s="358">
        <f>_xlfn.IFNA(VLOOKUP(A22,'LA Deductions'!A:W,23,FALSE),0)</f>
        <v>-3291.75</v>
      </c>
      <c r="CQ22" s="358">
        <f>_xlfn.IFNA(VLOOKUP($A22,'Cash Advances'!$A:$S,13,FALSE),0)</f>
        <v>0</v>
      </c>
      <c r="CR22" s="358">
        <f>_xlfn.IFNA(VLOOKUP(A22,'LA Deductions'!A:AZ,25,FALSE),0)/9*3</f>
        <v>0</v>
      </c>
      <c r="CS22" s="357">
        <f t="shared" si="25"/>
        <v>191859.83797973767</v>
      </c>
      <c r="CT22" s="337">
        <f t="shared" si="26"/>
        <v>0</v>
      </c>
      <c r="CU22" s="337"/>
      <c r="CV22" s="338">
        <f>_xlfn.IFNA(VLOOKUP(A22,'LA Deductions'!$A$6:$AN$207,34,FALSE),0)</f>
        <v>0</v>
      </c>
      <c r="CW22" s="338">
        <f>_xlfn.IFNA((VLOOKUP($A22,HN!$A:$K,8,FALSE)/12),0)</f>
        <v>0</v>
      </c>
      <c r="CX22" s="338">
        <f>_xlfn.IFNA((VLOOKUP($A22,HN!$A:$BS,14,FALSE)/12),0)</f>
        <v>0</v>
      </c>
      <c r="CY22" s="338">
        <f>_xlfn.IFNA(VLOOKUP($A22,'Post 16'!$A:$AV,32,FALSE),0)/8</f>
        <v>0</v>
      </c>
      <c r="CZ22" s="338"/>
      <c r="DA22" s="338">
        <f>_xlfn.IFNA((VLOOKUP($A22,HN!$A:$K,9,FALSE)/12),0)+_xlfn.IFNA((VLOOKUP($A22,HN!$A:$K,10,FALSE)/12),0)</f>
        <v>0</v>
      </c>
      <c r="DB22" s="338">
        <f>_xlfn.IFNA((VLOOKUP($A22,HN!$A:$BS,15,FALSE)/12),0)</f>
        <v>0</v>
      </c>
      <c r="DC22" s="337">
        <f t="shared" si="27"/>
        <v>0</v>
      </c>
      <c r="DD22" s="337">
        <f t="shared" si="28"/>
        <v>0</v>
      </c>
      <c r="DE22" s="338"/>
      <c r="DF22" s="338">
        <f>_xlfn.IFNA(VLOOKUP($A22,'Cash Advances'!$A:$S,14,FALSE),0)</f>
        <v>0</v>
      </c>
      <c r="DG22" s="338">
        <f>(_xlfn.IFNA(VLOOKUP(A22,'LA Deductions'!A:AZ,25,FALSE),0)/9)+(_xlfn.IFNA(VLOOKUP(A22,'LA Deductions'!A:AZ,26,FALSE),0))</f>
        <v>0</v>
      </c>
      <c r="DH22" s="337">
        <f t="shared" si="29"/>
        <v>0</v>
      </c>
      <c r="DI22" s="330">
        <f t="shared" si="30"/>
        <v>0</v>
      </c>
      <c r="DJ22" s="330"/>
      <c r="DK22" s="331"/>
      <c r="DL22" s="331">
        <f>_xlfn.IFNA((VLOOKUP($A22,HN!$A:$K,8,FALSE)/12),0)+_xlfn.IFNA((VLOOKUP($A22,HN!$A:$AF,32,FALSE)*8/12),0)</f>
        <v>0</v>
      </c>
      <c r="DM22" s="331">
        <f>_xlfn.IFNA((VLOOKUP($A22,HN!$A:$BS,14,FALSE)/12),0)+_xlfn.IFNA(VLOOKUP($A22,HN!$A:$BS,31,FALSE),0)</f>
        <v>0</v>
      </c>
      <c r="DN22" s="331">
        <f>_xlfn.IFNA(VLOOKUP($A22,'Post 16'!$A:$AV,32,FALSE),0)/8</f>
        <v>0</v>
      </c>
      <c r="DO22" s="331"/>
      <c r="DP22" s="331">
        <f>_xlfn.IFNA((VLOOKUP($A22,HN!$A:$K,9,FALSE)/12),0)+_xlfn.IFNA((VLOOKUP($A22,HN!$A:$K,10,FALSE)/12),0)+_xlfn.IFNA((VLOOKUP($A22,HN!$A:$BZ,33,FALSE)*8/12),0)</f>
        <v>0</v>
      </c>
      <c r="DQ22" s="331">
        <f>_xlfn.IFNA((VLOOKUP($A22,HN!$A:$BS,15,FALSE)/12),0)</f>
        <v>0</v>
      </c>
      <c r="DR22" s="330">
        <f t="shared" si="31"/>
        <v>0</v>
      </c>
      <c r="DS22" s="330">
        <f t="shared" si="32"/>
        <v>0</v>
      </c>
      <c r="DT22" s="331"/>
      <c r="DU22" s="331"/>
      <c r="DV22" s="331">
        <f>(_xlfn.IFNA(VLOOKUP(A22,'LA Deductions'!A:AZ,25,FALSE),0)/9)+_xlfn.IFNA(VLOOKUP(A22,'LA Deductions'!A:AZ,27,FALSE),0)</f>
        <v>0</v>
      </c>
      <c r="DW22" s="330">
        <f t="shared" si="33"/>
        <v>0</v>
      </c>
      <c r="DX22" s="344">
        <f t="shared" si="34"/>
        <v>0</v>
      </c>
      <c r="DY22" s="344"/>
      <c r="DZ22" s="345"/>
      <c r="EA22" s="345">
        <f>_xlfn.IFNA((VLOOKUP($A22,HN!$A:$K,8,FALSE)/12),0)+_xlfn.IFNA((VLOOKUP($A22,HN!$A:$AF,32,FALSE)*1/12),0)</f>
        <v>0</v>
      </c>
      <c r="EB22" s="345">
        <f>_xlfn.IFNA((VLOOKUP($A22,HN!$A:$BS,14,FALSE)/12),0)</f>
        <v>0</v>
      </c>
      <c r="EC22" s="345">
        <f>_xlfn.IFNA(VLOOKUP($A22,'Post 16'!$A:$AV,32,FALSE),0)/8</f>
        <v>0</v>
      </c>
      <c r="ED22" s="345"/>
      <c r="EE22" s="345">
        <f>_xlfn.IFNA((VLOOKUP($A22,HN!$A:$K,9,FALSE)/12),0)+_xlfn.IFNA((VLOOKUP($A22,HN!$A:$K,10,FALSE)/12),0)+_xlfn.IFNA((VLOOKUP($A22,HN!$A:$BZ,33,FALSE)/12),0)</f>
        <v>0</v>
      </c>
      <c r="EF22" s="345">
        <f>_xlfn.IFNA((VLOOKUP($A22,HN!$A:$BS,15,FALSE)/12),0)</f>
        <v>0</v>
      </c>
      <c r="EG22" s="344">
        <f t="shared" si="35"/>
        <v>0</v>
      </c>
      <c r="EH22" s="344">
        <f t="shared" si="36"/>
        <v>0</v>
      </c>
      <c r="EI22" s="345"/>
      <c r="EJ22" s="345">
        <f>_xlfn.IFNA(VLOOKUP(A22,'Cash Advances'!A:P,16,FALSE),0)</f>
        <v>0</v>
      </c>
      <c r="EK22" s="345">
        <f>_xlfn.IFNA(VLOOKUP(A22,'LA Deductions'!A:AZ,25,FALSE),0)/9</f>
        <v>0</v>
      </c>
      <c r="EL22" s="344">
        <f t="shared" si="37"/>
        <v>0</v>
      </c>
      <c r="EM22" s="308">
        <f t="shared" si="38"/>
        <v>0</v>
      </c>
      <c r="EN22" s="308">
        <f>((VLOOKUP($A22,EY!$A:$BS,35,FALSE)-(VLOOKUP($A22,EY!$A:$BS,33,FALSE)*80%))+VLOOKUP($A22,EY!$A:$BS,43,FALSE))+(VLOOKUP(A22,EY!A:DF,110,FALSE)-VLOOKUP(A22,EY!A:DD,108,FALSE))+(VLOOKUP(A22,EY!A:CE,83,FALSE)-VLOOKUP(A22,EY!A:CC,81,FALSE))</f>
        <v>168319.83072022168</v>
      </c>
      <c r="EO22" s="309"/>
      <c r="EP22" s="309">
        <f>_xlfn.IFNA((VLOOKUP($A22,HN!$A:$K,8,FALSE)/12),0)+_xlfn.IFNA((VLOOKUP($A22,HN!$A:$AF,32,FALSE)*1/12),0)</f>
        <v>0</v>
      </c>
      <c r="EQ22" s="309">
        <f>_xlfn.IFNA((VLOOKUP($A22,HN!$A:$BS,14,FALSE)/12),0)+_xlfn.IFNA((VLOOKUP($A22,HN!$A:$BS,34,FALSE)/3),0)</f>
        <v>0</v>
      </c>
      <c r="ER22" s="309">
        <f>_xlfn.IFNA(VLOOKUP($A22,'Post 16'!$A:$AV,32,FALSE),0)/8</f>
        <v>0</v>
      </c>
      <c r="ES22" s="309">
        <f>((VLOOKUP($A22,EY!A:EV,33,FALSE)*80%))+VLOOKUP(A22,EY!A:DD,108,FALSE)+VLOOKUP(A22,EY!A:CC,81,FALSE)</f>
        <v>9580.3839612188367</v>
      </c>
      <c r="ET22" s="309">
        <f>_xlfn.IFNA((VLOOKUP($A22,HN!$A:$K,9,FALSE)/12),0)+_xlfn.IFNA((VLOOKUP($A22,HN!$A:$K,10,FALSE)/12),0)+_xlfn.IFNA((VLOOKUP($A22,HN!$A:$BZ,33,FALSE)/12),0)</f>
        <v>0</v>
      </c>
      <c r="EU22" s="309">
        <f>_xlfn.IFNA((VLOOKUP($A22,HN!$A:$BS,15,FALSE)/12),0)</f>
        <v>0</v>
      </c>
      <c r="EV22" s="308">
        <f t="shared" si="39"/>
        <v>0</v>
      </c>
      <c r="EW22" s="308">
        <f t="shared" si="40"/>
        <v>0</v>
      </c>
      <c r="EX22" s="309"/>
      <c r="EY22" s="309">
        <f>_xlfn.IFNA(VLOOKUP($A22,'Cash Advances'!$A:$S,17,FALSE),0)</f>
        <v>0</v>
      </c>
      <c r="EZ22" s="309">
        <f>_xlfn.IFNA(VLOOKUP(A22,'LA Deductions'!A:AZ,25,FALSE),0)/9</f>
        <v>0</v>
      </c>
      <c r="FA22" s="308">
        <f t="shared" si="41"/>
        <v>177900.21468144053</v>
      </c>
      <c r="FB22" s="315">
        <f t="shared" si="42"/>
        <v>0</v>
      </c>
      <c r="FC22" s="315"/>
      <c r="FD22" s="316"/>
      <c r="FE22" s="316">
        <f>_xlfn.IFNA((VLOOKUP($A22,HN!$A:$K,8,FALSE)/12),0)+_xlfn.IFNA((VLOOKUP($A22,HN!$A:$AF,32,FALSE)*1/12),0)</f>
        <v>0</v>
      </c>
      <c r="FF22" s="316">
        <f>_xlfn.IFNA((VLOOKUP($A22,HN!$A:$BS,14,FALSE)/12),0)+_xlfn.IFNA((VLOOKUP($A22,HN!$A:$BS,34,FALSE)/3),0)</f>
        <v>0</v>
      </c>
      <c r="FG22" s="316">
        <f>_xlfn.IFNA(VLOOKUP($A22,'Post 16'!$A:$AV,32,FALSE),0)/8</f>
        <v>0</v>
      </c>
      <c r="FH22" s="316"/>
      <c r="FI22" s="316">
        <f>_xlfn.IFNA((VLOOKUP($A22,HN!$A:$K,9,FALSE)/12),0)+_xlfn.IFNA((VLOOKUP($A22,HN!$A:$K,10,FALSE)/12),0)+_xlfn.IFNA((VLOOKUP($A22,HN!$A:$BZ,33,FALSE)/12),0)+_xlfn.IFNA((VLOOKUP($A22,HN!$A:$BZ,35,FALSE)/2),0)</f>
        <v>0</v>
      </c>
      <c r="FJ22" s="316">
        <f>_xlfn.IFNA((VLOOKUP($A22,HN!$A:$BS,15,FALSE)/12),0)+_xlfn.IFNA((VLOOKUP($A22,HN!$A:$CZ,36,FALSE)/2),0)</f>
        <v>0</v>
      </c>
      <c r="FK22" s="315">
        <f t="shared" si="43"/>
        <v>0</v>
      </c>
      <c r="FL22" s="315">
        <f t="shared" si="44"/>
        <v>0</v>
      </c>
      <c r="FM22" s="316"/>
      <c r="FN22" s="316">
        <f>_xlfn.IFNA(VLOOKUP($A22,'Cash Advances'!$A:$S,18,FALSE),0)</f>
        <v>0</v>
      </c>
      <c r="FO22" s="316">
        <f>_xlfn.IFNA(VLOOKUP(A22,'LA Deductions'!A:AZ,25,FALSE),0)/9</f>
        <v>0</v>
      </c>
      <c r="FP22" s="315">
        <f t="shared" si="45"/>
        <v>0</v>
      </c>
      <c r="FQ22" s="322">
        <f t="shared" si="46"/>
        <v>0</v>
      </c>
      <c r="FR22" s="322"/>
      <c r="FS22" s="323"/>
      <c r="FT22" s="323">
        <f>_xlfn.IFNA((VLOOKUP($A22,HN!$A:$K,8,FALSE)/12),0)+_xlfn.IFNA((VLOOKUP($A22,HN!$A:$AF,32,FALSE)*1/12),0)</f>
        <v>0</v>
      </c>
      <c r="FU22" s="323">
        <f>_xlfn.IFNA((VLOOKUP($A22,HN!$A:$BS,14,FALSE)/12),0)+_xlfn.IFNA((VLOOKUP($A22,HN!$A:$BS,34,FALSE)/3),0)</f>
        <v>0</v>
      </c>
      <c r="FV22" s="323">
        <f>_xlfn.IFNA(VLOOKUP($A22,'Post 16'!$A:$AV,32,FALSE),0)/8</f>
        <v>0</v>
      </c>
      <c r="FW22" s="323"/>
      <c r="FX22" s="323">
        <f>_xlfn.IFNA((VLOOKUP($A22,HN!$A:$K,9,FALSE)/12),0)+_xlfn.IFNA((VLOOKUP($A22,HN!$A:$K,10,FALSE)/12),0)+_xlfn.IFNA((VLOOKUP($A22,HN!$A:$BZ,33,FALSE)/12),0)+_xlfn.IFNA((VLOOKUP($A22,HN!$A:$BZ,35,FALSE)/2),0)</f>
        <v>0</v>
      </c>
      <c r="FY22" s="323">
        <f>_xlfn.IFNA((VLOOKUP($A22,HN!$A:$BS,15,FALSE)/12),0)+_xlfn.IFNA((VLOOKUP($A22,HN!$A:$CZ,36,FALSE)/2),0)</f>
        <v>0</v>
      </c>
      <c r="FZ22" s="322">
        <f t="shared" si="47"/>
        <v>0</v>
      </c>
      <c r="GA22" s="322">
        <f t="shared" si="48"/>
        <v>0</v>
      </c>
      <c r="GB22" s="323"/>
      <c r="GC22" s="323"/>
      <c r="GD22" s="323">
        <f>_xlfn.IFNA(VLOOKUP(A22,'LA Deductions'!A:AZ,25,FALSE),0)/9</f>
        <v>0</v>
      </c>
      <c r="GE22" s="322">
        <f t="shared" si="49"/>
        <v>0</v>
      </c>
      <c r="GG22" s="146">
        <f t="shared" si="50"/>
        <v>853165.20387678547</v>
      </c>
      <c r="GH22" s="146">
        <f t="shared" si="50"/>
        <v>0</v>
      </c>
      <c r="GI22" s="146">
        <f t="shared" si="50"/>
        <v>13880.32132963989</v>
      </c>
      <c r="GJ22" s="146">
        <f t="shared" si="50"/>
        <v>0</v>
      </c>
      <c r="GK22" s="146">
        <f t="shared" si="50"/>
        <v>0</v>
      </c>
      <c r="GL22" s="146">
        <f t="shared" si="50"/>
        <v>-3291.75</v>
      </c>
      <c r="GN22" s="146">
        <f t="shared" si="51"/>
        <v>853165.20387678547</v>
      </c>
      <c r="GO22" s="146">
        <f t="shared" si="51"/>
        <v>0</v>
      </c>
      <c r="GP22" s="146">
        <f t="shared" si="51"/>
        <v>13880.32132963989</v>
      </c>
      <c r="GQ22" s="146">
        <f t="shared" si="51"/>
        <v>0</v>
      </c>
      <c r="GR22" s="146">
        <f t="shared" si="51"/>
        <v>0</v>
      </c>
      <c r="GS22" s="146">
        <f t="shared" si="51"/>
        <v>-3291.75</v>
      </c>
      <c r="GU22" s="146"/>
      <c r="GV22" s="57"/>
    </row>
    <row r="23" spans="1:204">
      <c r="A23" s="185">
        <v>2402</v>
      </c>
      <c r="B23" s="185">
        <v>103342</v>
      </c>
      <c r="C23" s="185" t="s">
        <v>61</v>
      </c>
      <c r="D23" s="2" t="s">
        <v>62</v>
      </c>
      <c r="E23" s="191" t="s">
        <v>32</v>
      </c>
      <c r="F23" s="191" t="s">
        <v>912</v>
      </c>
      <c r="H23" s="279">
        <f>_xlfn.IFNA(VLOOKUP($A23,ISB!$A$4:$BY$454,67,FALSE),0)</f>
        <v>1396395.5054949999</v>
      </c>
      <c r="I23" s="279">
        <f>_xlfn.IFNA(VLOOKUP($A23,ISB!$A$4:$BY$454,72,FALSE),0)</f>
        <v>-7119.8399999999992</v>
      </c>
      <c r="J23" s="279">
        <f>-_xlfn.IFNA(VLOOKUP($A23,ISB!$A$4:$BY$454,76,FALSE),0)</f>
        <v>-18078.900000000001</v>
      </c>
      <c r="K23" s="279">
        <f>_xlfn.IFNA(VLOOKUP($A23,ISB!$A$4:$BY$454,77,FALSE),0)</f>
        <v>1371196.7654949999</v>
      </c>
      <c r="M23" s="301">
        <f t="shared" si="7"/>
        <v>116366.29212458333</v>
      </c>
      <c r="N23" s="301">
        <f>VLOOKUP($A23,EY!$A:$H,8,FALSE)+(VLOOKUP($A23,EY!$A:$BS,17,FALSE)-S23)+VLOOKUP($A23,EY!$A:$BS,41,FALSE)</f>
        <v>46527.000000000015</v>
      </c>
      <c r="O23" s="302"/>
      <c r="P23" s="302">
        <f>_xlfn.IFNA((VLOOKUP($A23,HN!$A:$K,8,FALSE)/12),0)</f>
        <v>0</v>
      </c>
      <c r="Q23" s="302">
        <f>_xlfn.IFNA((VLOOKUP($A23,HN!$A:$BS,14,FALSE)/12),0)</f>
        <v>11000</v>
      </c>
      <c r="R23" s="302">
        <f>_xlfn.IFNA(VLOOKUP($A23,'Post 16'!$A:$V,21,FALSE),0)/4</f>
        <v>0</v>
      </c>
      <c r="S23" s="302">
        <f>VLOOKUP($A23,EY!A:Q,15,FALSE)*80%</f>
        <v>0</v>
      </c>
      <c r="T23" s="302">
        <f>_xlfn.IFNA((VLOOKUP($A23,HN!$A:$K,9,FALSE)/12),0)+_xlfn.IFNA((VLOOKUP($A23,HN!$A:$K,10,FALSE)/12),0)</f>
        <v>0</v>
      </c>
      <c r="U23" s="302">
        <f>_xlfn.IFNA((VLOOKUP($A23,HN!$A:$BS,15,FALSE)/12),0)</f>
        <v>25467.508333333331</v>
      </c>
      <c r="V23" s="301">
        <f t="shared" si="8"/>
        <v>-593.31999999999994</v>
      </c>
      <c r="W23" s="301">
        <f t="shared" si="9"/>
        <v>-1506.575</v>
      </c>
      <c r="X23" s="302"/>
      <c r="Y23" s="302">
        <f>_xlfn.IFNA(VLOOKUP($A23,'Cash Advances'!$A:$S,8,FALSE),0)</f>
        <v>0</v>
      </c>
      <c r="Z23" s="301">
        <f t="shared" si="0"/>
        <v>197260.90545791664</v>
      </c>
      <c r="AA23" s="315">
        <f t="shared" si="10"/>
        <v>116366.29212458333</v>
      </c>
      <c r="AB23" s="315"/>
      <c r="AC23" s="316"/>
      <c r="AD23" s="316">
        <f>_xlfn.IFNA((VLOOKUP($A23,HN!$A:$K,8,FALSE)/12),0)</f>
        <v>0</v>
      </c>
      <c r="AE23" s="316">
        <f>_xlfn.IFNA((VLOOKUP($A23,HN!$A:$BS,14,FALSE)/12),0)</f>
        <v>11000</v>
      </c>
      <c r="AF23" s="316">
        <f>_xlfn.IFNA(VLOOKUP($A23,'Post 16'!$A:$V,21,FALSE),0)/4</f>
        <v>0</v>
      </c>
      <c r="AG23" s="316"/>
      <c r="AH23" s="316">
        <f>_xlfn.IFNA((VLOOKUP($A23,HN!$A:$K,9,FALSE)/12),0)+_xlfn.IFNA((VLOOKUP($A23,HN!$A:$K,10,FALSE)/12),0)</f>
        <v>0</v>
      </c>
      <c r="AI23" s="316">
        <f>_xlfn.IFNA((VLOOKUP($A23,HN!$A:$BS,15,FALSE)/12),0)</f>
        <v>25467.508333333331</v>
      </c>
      <c r="AJ23" s="315">
        <f t="shared" si="11"/>
        <v>-593.31999999999994</v>
      </c>
      <c r="AK23" s="315">
        <f t="shared" si="12"/>
        <v>-1506.575</v>
      </c>
      <c r="AL23" s="316"/>
      <c r="AM23" s="316">
        <f>_xlfn.IFNA(VLOOKUP($A23,'Cash Advances'!$A:$S,9,FALSE),0)</f>
        <v>0</v>
      </c>
      <c r="AN23" s="315">
        <f t="shared" si="1"/>
        <v>150733.90545791664</v>
      </c>
      <c r="AO23" s="308">
        <f t="shared" si="13"/>
        <v>116366.29212458333</v>
      </c>
      <c r="AP23" s="308"/>
      <c r="AQ23" s="309"/>
      <c r="AR23" s="309">
        <f>_xlfn.IFNA((VLOOKUP($A23,HN!$A:$K,8,FALSE)/12),0)</f>
        <v>0</v>
      </c>
      <c r="AS23" s="309">
        <f>_xlfn.IFNA((VLOOKUP($A23,HN!$A:$BS,14,FALSE)/12),0)</f>
        <v>11000</v>
      </c>
      <c r="AT23" s="309">
        <f>_xlfn.IFNA(VLOOKUP($A23,'Post 16'!$A:$V,21,FALSE),0)/4</f>
        <v>0</v>
      </c>
      <c r="AU23" s="309"/>
      <c r="AV23" s="309">
        <f>_xlfn.IFNA((VLOOKUP($A23,HN!$A:$K,9,FALSE)/12),0)+_xlfn.IFNA((VLOOKUP($A23,HN!$A:$K,10,FALSE)/12),0)+_xlfn.IFNA(VLOOKUP(A23,HN!A:V,19,FALSE),0)+_xlfn.IFNA(VLOOKUP(A23,HN!A:V,20,FALSE),0)+_xlfn.IFNA(VLOOKUP(A23,HN!A:V,21,FALSE),0)</f>
        <v>0</v>
      </c>
      <c r="AW23" s="309">
        <f>_xlfn.IFNA((VLOOKUP($A23,HN!$A:$BS,15,FALSE)/12),0)</f>
        <v>25467.508333333331</v>
      </c>
      <c r="AX23" s="308">
        <f t="shared" si="14"/>
        <v>-593.31999999999994</v>
      </c>
      <c r="AY23" s="308">
        <f t="shared" si="15"/>
        <v>-1506.575</v>
      </c>
      <c r="AZ23" s="309"/>
      <c r="BA23" s="309">
        <f>_xlfn.IFNA(VLOOKUP($A23,'Cash Advances'!$A:$S,10,FALSE),0)</f>
        <v>86751.58</v>
      </c>
      <c r="BB23" s="308">
        <f t="shared" si="2"/>
        <v>237485.48545791663</v>
      </c>
      <c r="BC23" s="330">
        <f t="shared" si="16"/>
        <v>116366.29212458333</v>
      </c>
      <c r="BD23" s="330"/>
      <c r="BE23" s="331"/>
      <c r="BF23" s="331">
        <f>_xlfn.IFNA((VLOOKUP($A23,HN!$A:$K,8,FALSE)/12),0)</f>
        <v>0</v>
      </c>
      <c r="BG23" s="331">
        <f>_xlfn.IFNA((VLOOKUP($A23,HN!$A:$BS,14,FALSE)/12),0)</f>
        <v>11000</v>
      </c>
      <c r="BH23" s="331">
        <f>_xlfn.IFNA(VLOOKUP($A23,'Post 16'!$A:$V,21,FALSE),0)/4</f>
        <v>0</v>
      </c>
      <c r="BI23" s="331"/>
      <c r="BJ23" s="331">
        <f>_xlfn.IFNA((VLOOKUP($A23,HN!$A:$K,9,FALSE)/12),0)+_xlfn.IFNA((VLOOKUP($A23,HN!$A:$K,10,FALSE)/12),0)</f>
        <v>0</v>
      </c>
      <c r="BK23" s="331">
        <f>_xlfn.IFNA((VLOOKUP($A23,HN!$A:$BS,15,FALSE)/12),0)</f>
        <v>25467.508333333331</v>
      </c>
      <c r="BL23" s="330">
        <f t="shared" si="17"/>
        <v>-593.31999999999994</v>
      </c>
      <c r="BM23" s="330">
        <f t="shared" si="18"/>
        <v>-1506.575</v>
      </c>
      <c r="BN23" s="331"/>
      <c r="BO23" s="331">
        <f>_xlfn.IFNA(VLOOKUP(A23,'Cash Advances'!A:K,11,FALSE),0)</f>
        <v>0</v>
      </c>
      <c r="BP23" s="330">
        <f t="shared" si="3"/>
        <v>150733.90545791664</v>
      </c>
      <c r="BQ23" s="322">
        <f t="shared" si="19"/>
        <v>116366.29212458333</v>
      </c>
      <c r="BR23" s="322"/>
      <c r="BS23" s="323"/>
      <c r="BT23" s="323">
        <f>_xlfn.IFNA((VLOOKUP($A23,HN!$A:$K,8,FALSE)/12),0)</f>
        <v>0</v>
      </c>
      <c r="BU23" s="323">
        <f>_xlfn.IFNA((VLOOKUP($A23,HN!$A:$BS,14,FALSE)/12),0)</f>
        <v>11000</v>
      </c>
      <c r="BV23" s="323">
        <f>(_xlfn.IFNA(VLOOKUP($A23,'Post 16'!$A:$AV,32,FALSE),0)/8)+_xlfn.IFNA(VLOOKUP($A23,'Post 16'!$A:$AR,40,FALSE),0)</f>
        <v>0</v>
      </c>
      <c r="BW23" s="323"/>
      <c r="BX23" s="323">
        <f>_xlfn.IFNA((VLOOKUP($A23,HN!$A:$K,9,FALSE)/12),0)+_xlfn.IFNA((VLOOKUP($A23,HN!$A:$K,10,FALSE)/12),0)</f>
        <v>0</v>
      </c>
      <c r="BY23" s="323">
        <f>_xlfn.IFNA((VLOOKUP($A23,HN!$A:$BS,15,FALSE)/12),0)</f>
        <v>25467.508333333331</v>
      </c>
      <c r="BZ23" s="322">
        <f t="shared" si="20"/>
        <v>-593.31999999999994</v>
      </c>
      <c r="CA23" s="322">
        <f t="shared" si="21"/>
        <v>-1506.575</v>
      </c>
      <c r="CB23" s="323"/>
      <c r="CC23" s="323"/>
      <c r="CD23" s="322">
        <f t="shared" si="4"/>
        <v>150733.90545791664</v>
      </c>
      <c r="CE23" s="357">
        <f t="shared" si="22"/>
        <v>116366.29212458333</v>
      </c>
      <c r="CF23" s="357">
        <f>(VLOOKUP($A23,EY!$A:$BS,26,FALSE)-(VLOOKUP($A23,EY!A:CR,24,FALSE)*80%))+VLOOKUP($A23,EY!$A:$BS,42,FALSE)+(VLOOKUP($A23,EY!A:CC,74,FALSE)-VLOOKUP($A23,EY!A:CC,72,FALSE))</f>
        <v>55706.039999999994</v>
      </c>
      <c r="CG23" s="358"/>
      <c r="CH23" s="358">
        <f>_xlfn.IFNA((VLOOKUP($A23,HN!$A:$K,8,FALSE)/12),0)</f>
        <v>0</v>
      </c>
      <c r="CI23" s="358">
        <f>_xlfn.IFNA((VLOOKUP($A23,HN!$A:$BS,14,FALSE)/12),0)</f>
        <v>11000</v>
      </c>
      <c r="CJ23" s="358">
        <f>(_xlfn.IFNA(VLOOKUP($A23,'Post 16'!$A:$AV,32,FALSE),0)/8)</f>
        <v>0</v>
      </c>
      <c r="CK23" s="358">
        <f>(VLOOKUP($A23,EY!A:CR,24,FALSE)*80%)+VLOOKUP($A23,EY!A:CC,72,FALSE)</f>
        <v>0</v>
      </c>
      <c r="CL23" s="358">
        <f>_xlfn.IFNA((VLOOKUP($A23,HN!$A:$K,9,FALSE)/12),0)+_xlfn.IFNA((VLOOKUP($A23,HN!$A:$K,10,FALSE)/12),0)</f>
        <v>0</v>
      </c>
      <c r="CM23" s="358">
        <f>_xlfn.IFNA((VLOOKUP($A23,HN!$A:$BS,15,FALSE)/12),0)</f>
        <v>25467.508333333331</v>
      </c>
      <c r="CN23" s="357">
        <f t="shared" si="23"/>
        <v>-593.31999999999994</v>
      </c>
      <c r="CO23" s="357">
        <f t="shared" si="24"/>
        <v>-1506.575</v>
      </c>
      <c r="CP23" s="358">
        <f>_xlfn.IFNA(VLOOKUP(A23,'LA Deductions'!A:W,23,FALSE),0)</f>
        <v>-5139.75</v>
      </c>
      <c r="CQ23" s="358">
        <f>_xlfn.IFNA(VLOOKUP($A23,'Cash Advances'!$A:$S,13,FALSE),0)</f>
        <v>0</v>
      </c>
      <c r="CR23" s="358">
        <f>_xlfn.IFNA(VLOOKUP(A23,'LA Deductions'!A:AZ,25,FALSE),0)/9*3</f>
        <v>0</v>
      </c>
      <c r="CS23" s="357">
        <f t="shared" si="25"/>
        <v>201300.19545791662</v>
      </c>
      <c r="CT23" s="337">
        <f t="shared" si="26"/>
        <v>116366.29212458333</v>
      </c>
      <c r="CU23" s="337"/>
      <c r="CV23" s="338">
        <f>_xlfn.IFNA(VLOOKUP(A23,'LA Deductions'!$A$6:$AN$207,34,FALSE),0)</f>
        <v>0</v>
      </c>
      <c r="CW23" s="338">
        <f>_xlfn.IFNA((VLOOKUP($A23,HN!$A:$K,8,FALSE)/12),0)</f>
        <v>0</v>
      </c>
      <c r="CX23" s="338">
        <f>_xlfn.IFNA((VLOOKUP($A23,HN!$A:$BS,14,FALSE)/12),0)</f>
        <v>11000</v>
      </c>
      <c r="CY23" s="338">
        <f>_xlfn.IFNA(VLOOKUP($A23,'Post 16'!$A:$AV,32,FALSE),0)/8</f>
        <v>0</v>
      </c>
      <c r="CZ23" s="338"/>
      <c r="DA23" s="338">
        <f>_xlfn.IFNA((VLOOKUP($A23,HN!$A:$K,9,FALSE)/12),0)+_xlfn.IFNA((VLOOKUP($A23,HN!$A:$K,10,FALSE)/12),0)</f>
        <v>0</v>
      </c>
      <c r="DB23" s="338">
        <f>_xlfn.IFNA((VLOOKUP($A23,HN!$A:$BS,15,FALSE)/12),0)</f>
        <v>25467.508333333331</v>
      </c>
      <c r="DC23" s="337">
        <f t="shared" si="27"/>
        <v>-593.31999999999994</v>
      </c>
      <c r="DD23" s="337">
        <f t="shared" si="28"/>
        <v>-1506.575</v>
      </c>
      <c r="DE23" s="338"/>
      <c r="DF23" s="338">
        <f>_xlfn.IFNA(VLOOKUP($A23,'Cash Advances'!$A:$S,14,FALSE),0)</f>
        <v>0</v>
      </c>
      <c r="DG23" s="338">
        <f>(_xlfn.IFNA(VLOOKUP(A23,'LA Deductions'!A:AZ,25,FALSE),0)/9)+(_xlfn.IFNA(VLOOKUP(A23,'LA Deductions'!A:AZ,26,FALSE),0))</f>
        <v>0</v>
      </c>
      <c r="DH23" s="337">
        <f t="shared" si="29"/>
        <v>150733.90545791664</v>
      </c>
      <c r="DI23" s="330">
        <f t="shared" si="30"/>
        <v>116366.29212458333</v>
      </c>
      <c r="DJ23" s="330"/>
      <c r="DK23" s="331"/>
      <c r="DL23" s="331">
        <f>_xlfn.IFNA((VLOOKUP($A23,HN!$A:$K,8,FALSE)/12),0)+_xlfn.IFNA((VLOOKUP($A23,HN!$A:$AF,32,FALSE)*8/12),0)</f>
        <v>0</v>
      </c>
      <c r="DM23" s="331">
        <f>_xlfn.IFNA((VLOOKUP($A23,HN!$A:$BS,14,FALSE)/12),0)+_xlfn.IFNA(VLOOKUP($A23,HN!$A:$BS,31,FALSE),0)</f>
        <v>11000</v>
      </c>
      <c r="DN23" s="331">
        <f>_xlfn.IFNA(VLOOKUP($A23,'Post 16'!$A:$AV,32,FALSE),0)/8</f>
        <v>0</v>
      </c>
      <c r="DO23" s="331"/>
      <c r="DP23" s="331">
        <f>_xlfn.IFNA((VLOOKUP($A23,HN!$A:$K,9,FALSE)/12),0)+_xlfn.IFNA((VLOOKUP($A23,HN!$A:$K,10,FALSE)/12),0)+_xlfn.IFNA((VLOOKUP($A23,HN!$A:$BZ,33,FALSE)*8/12),0)</f>
        <v>0</v>
      </c>
      <c r="DQ23" s="331">
        <f>_xlfn.IFNA((VLOOKUP($A23,HN!$A:$BS,15,FALSE)/12),0)</f>
        <v>25467.508333333331</v>
      </c>
      <c r="DR23" s="330">
        <f t="shared" si="31"/>
        <v>-593.31999999999994</v>
      </c>
      <c r="DS23" s="330">
        <f t="shared" si="32"/>
        <v>-1506.575</v>
      </c>
      <c r="DT23" s="331"/>
      <c r="DU23" s="331"/>
      <c r="DV23" s="331">
        <f>(_xlfn.IFNA(VLOOKUP(A23,'LA Deductions'!A:AZ,25,FALSE),0)/9)+_xlfn.IFNA(VLOOKUP(A23,'LA Deductions'!A:AZ,27,FALSE),0)</f>
        <v>0</v>
      </c>
      <c r="DW23" s="330">
        <f t="shared" si="33"/>
        <v>150733.90545791664</v>
      </c>
      <c r="DX23" s="344">
        <f t="shared" si="34"/>
        <v>116366.29212458333</v>
      </c>
      <c r="DY23" s="344"/>
      <c r="DZ23" s="345"/>
      <c r="EA23" s="345">
        <f>_xlfn.IFNA((VLOOKUP($A23,HN!$A:$K,8,FALSE)/12),0)+_xlfn.IFNA((VLOOKUP($A23,HN!$A:$AF,32,FALSE)*1/12),0)</f>
        <v>0</v>
      </c>
      <c r="EB23" s="345">
        <f>_xlfn.IFNA((VLOOKUP($A23,HN!$A:$BS,14,FALSE)/12),0)</f>
        <v>11000</v>
      </c>
      <c r="EC23" s="345">
        <f>_xlfn.IFNA(VLOOKUP($A23,'Post 16'!$A:$AV,32,FALSE),0)/8</f>
        <v>0</v>
      </c>
      <c r="ED23" s="345"/>
      <c r="EE23" s="345">
        <f>_xlfn.IFNA((VLOOKUP($A23,HN!$A:$K,9,FALSE)/12),0)+_xlfn.IFNA((VLOOKUP($A23,HN!$A:$K,10,FALSE)/12),0)+_xlfn.IFNA((VLOOKUP($A23,HN!$A:$BZ,33,FALSE)/12),0)</f>
        <v>0</v>
      </c>
      <c r="EF23" s="345">
        <f>_xlfn.IFNA((VLOOKUP($A23,HN!$A:$BS,15,FALSE)/12),0)</f>
        <v>25467.508333333331</v>
      </c>
      <c r="EG23" s="344">
        <f t="shared" si="35"/>
        <v>-593.31999999999994</v>
      </c>
      <c r="EH23" s="344">
        <f t="shared" si="36"/>
        <v>-1506.575</v>
      </c>
      <c r="EI23" s="345"/>
      <c r="EJ23" s="345">
        <f>_xlfn.IFNA(VLOOKUP(A23,'Cash Advances'!A:P,16,FALSE),0)</f>
        <v>193614</v>
      </c>
      <c r="EK23" s="345">
        <f>_xlfn.IFNA(VLOOKUP(A23,'LA Deductions'!A:AZ,25,FALSE),0)/9</f>
        <v>0</v>
      </c>
      <c r="EL23" s="344">
        <f t="shared" si="37"/>
        <v>344347.90545791667</v>
      </c>
      <c r="EM23" s="308">
        <f t="shared" si="38"/>
        <v>116366.29212458333</v>
      </c>
      <c r="EN23" s="308">
        <f>((VLOOKUP($A23,EY!$A:$BS,35,FALSE)-(VLOOKUP($A23,EY!$A:$BS,33,FALSE)*80%))+VLOOKUP($A23,EY!$A:$BS,43,FALSE))+(VLOOKUP(A23,EY!A:DF,110,FALSE)-VLOOKUP(A23,EY!A:DD,108,FALSE))+(VLOOKUP(A23,EY!A:CE,83,FALSE)-VLOOKUP(A23,EY!A:CC,81,FALSE))</f>
        <v>47616.786842105277</v>
      </c>
      <c r="EO23" s="309"/>
      <c r="EP23" s="309">
        <f>_xlfn.IFNA((VLOOKUP($A23,HN!$A:$K,8,FALSE)/12),0)+_xlfn.IFNA((VLOOKUP($A23,HN!$A:$AF,32,FALSE)*1/12),0)</f>
        <v>0</v>
      </c>
      <c r="EQ23" s="309">
        <f>_xlfn.IFNA((VLOOKUP($A23,HN!$A:$BS,14,FALSE)/12),0)+_xlfn.IFNA((VLOOKUP($A23,HN!$A:$BS,34,FALSE)/3),0)</f>
        <v>11000</v>
      </c>
      <c r="ER23" s="309">
        <f>_xlfn.IFNA(VLOOKUP($A23,'Post 16'!$A:$AV,32,FALSE),0)/8</f>
        <v>0</v>
      </c>
      <c r="ES23" s="309">
        <f>((VLOOKUP($A23,EY!A:EV,33,FALSE)*80%))+VLOOKUP(A23,EY!A:DD,108,FALSE)+VLOOKUP(A23,EY!A:CC,81,FALSE)</f>
        <v>0</v>
      </c>
      <c r="ET23" s="309">
        <f>_xlfn.IFNA((VLOOKUP($A23,HN!$A:$K,9,FALSE)/12),0)+_xlfn.IFNA((VLOOKUP($A23,HN!$A:$K,10,FALSE)/12),0)+_xlfn.IFNA((VLOOKUP($A23,HN!$A:$BZ,33,FALSE)/12),0)</f>
        <v>0</v>
      </c>
      <c r="EU23" s="309">
        <f>_xlfn.IFNA((VLOOKUP($A23,HN!$A:$BS,15,FALSE)/12),0)</f>
        <v>25467.508333333331</v>
      </c>
      <c r="EV23" s="308">
        <f t="shared" si="39"/>
        <v>-593.31999999999994</v>
      </c>
      <c r="EW23" s="308">
        <f t="shared" si="40"/>
        <v>-1506.575</v>
      </c>
      <c r="EX23" s="309"/>
      <c r="EY23" s="309">
        <f>_xlfn.IFNA(VLOOKUP($A23,'Cash Advances'!$A:$S,17,FALSE),0)</f>
        <v>0</v>
      </c>
      <c r="EZ23" s="309">
        <f>_xlfn.IFNA(VLOOKUP(A23,'LA Deductions'!A:AZ,25,FALSE),0)/9</f>
        <v>0</v>
      </c>
      <c r="FA23" s="308">
        <f t="shared" si="41"/>
        <v>198350.69230002191</v>
      </c>
      <c r="FB23" s="315">
        <f t="shared" si="42"/>
        <v>116366.29212458333</v>
      </c>
      <c r="FC23" s="315"/>
      <c r="FD23" s="316"/>
      <c r="FE23" s="316">
        <f>_xlfn.IFNA((VLOOKUP($A23,HN!$A:$K,8,FALSE)/12),0)+_xlfn.IFNA((VLOOKUP($A23,HN!$A:$AF,32,FALSE)*1/12),0)</f>
        <v>0</v>
      </c>
      <c r="FF23" s="316">
        <f>_xlfn.IFNA((VLOOKUP($A23,HN!$A:$BS,14,FALSE)/12),0)+_xlfn.IFNA((VLOOKUP($A23,HN!$A:$BS,34,FALSE)/3),0)</f>
        <v>11000</v>
      </c>
      <c r="FG23" s="316">
        <f>_xlfn.IFNA(VLOOKUP($A23,'Post 16'!$A:$AV,32,FALSE),0)/8</f>
        <v>0</v>
      </c>
      <c r="FH23" s="316"/>
      <c r="FI23" s="316">
        <f>_xlfn.IFNA((VLOOKUP($A23,HN!$A:$K,9,FALSE)/12),0)+_xlfn.IFNA((VLOOKUP($A23,HN!$A:$K,10,FALSE)/12),0)+_xlfn.IFNA((VLOOKUP($A23,HN!$A:$BZ,33,FALSE)/12),0)+_xlfn.IFNA((VLOOKUP($A23,HN!$A:$BZ,35,FALSE)/2),0)</f>
        <v>0</v>
      </c>
      <c r="FJ23" s="316">
        <f>_xlfn.IFNA((VLOOKUP($A23,HN!$A:$BS,15,FALSE)/12),0)+_xlfn.IFNA((VLOOKUP($A23,HN!$A:$CZ,36,FALSE)/2),0)</f>
        <v>19980.493333333332</v>
      </c>
      <c r="FK23" s="315">
        <f t="shared" si="43"/>
        <v>-593.31999999999994</v>
      </c>
      <c r="FL23" s="315">
        <f t="shared" si="44"/>
        <v>-1506.575</v>
      </c>
      <c r="FM23" s="316"/>
      <c r="FN23" s="316">
        <f>_xlfn.IFNA(VLOOKUP($A23,'Cash Advances'!$A:$S,18,FALSE),0)</f>
        <v>0</v>
      </c>
      <c r="FO23" s="316">
        <f>_xlfn.IFNA(VLOOKUP(A23,'LA Deductions'!A:AZ,25,FALSE),0)/9</f>
        <v>0</v>
      </c>
      <c r="FP23" s="315">
        <f t="shared" si="45"/>
        <v>145246.89045791666</v>
      </c>
      <c r="FQ23" s="322">
        <f t="shared" si="46"/>
        <v>116366.29212458333</v>
      </c>
      <c r="FR23" s="322"/>
      <c r="FS23" s="323"/>
      <c r="FT23" s="323">
        <f>_xlfn.IFNA((VLOOKUP($A23,HN!$A:$K,8,FALSE)/12),0)+_xlfn.IFNA((VLOOKUP($A23,HN!$A:$AF,32,FALSE)*1/12),0)</f>
        <v>0</v>
      </c>
      <c r="FU23" s="323">
        <f>_xlfn.IFNA((VLOOKUP($A23,HN!$A:$BS,14,FALSE)/12),0)+_xlfn.IFNA((VLOOKUP($A23,HN!$A:$BS,34,FALSE)/3),0)</f>
        <v>11000</v>
      </c>
      <c r="FV23" s="323">
        <f>_xlfn.IFNA(VLOOKUP($A23,'Post 16'!$A:$AV,32,FALSE),0)/8</f>
        <v>0</v>
      </c>
      <c r="FW23" s="323"/>
      <c r="FX23" s="323">
        <f>_xlfn.IFNA((VLOOKUP($A23,HN!$A:$K,9,FALSE)/12),0)+_xlfn.IFNA((VLOOKUP($A23,HN!$A:$K,10,FALSE)/12),0)+_xlfn.IFNA((VLOOKUP($A23,HN!$A:$BZ,33,FALSE)/12),0)+_xlfn.IFNA((VLOOKUP($A23,HN!$A:$BZ,35,FALSE)/2),0)</f>
        <v>0</v>
      </c>
      <c r="FY23" s="323">
        <f>_xlfn.IFNA((VLOOKUP($A23,HN!$A:$BS,15,FALSE)/12),0)+_xlfn.IFNA((VLOOKUP($A23,HN!$A:$CZ,36,FALSE)/2),0)</f>
        <v>19980.493333333332</v>
      </c>
      <c r="FZ23" s="322">
        <f t="shared" si="47"/>
        <v>-593.31999999999994</v>
      </c>
      <c r="GA23" s="322">
        <f t="shared" si="48"/>
        <v>-1506.575</v>
      </c>
      <c r="GB23" s="323"/>
      <c r="GC23" s="323"/>
      <c r="GD23" s="323">
        <f>_xlfn.IFNA(VLOOKUP(A23,'LA Deductions'!A:AZ,25,FALSE),0)/9</f>
        <v>0</v>
      </c>
      <c r="GE23" s="322">
        <f t="shared" si="49"/>
        <v>145246.89045791666</v>
      </c>
      <c r="GG23" s="146">
        <f t="shared" si="50"/>
        <v>1678245.3323371056</v>
      </c>
      <c r="GH23" s="146">
        <f t="shared" si="50"/>
        <v>0</v>
      </c>
      <c r="GI23" s="146">
        <f t="shared" si="50"/>
        <v>294636.07</v>
      </c>
      <c r="GJ23" s="146">
        <f t="shared" si="50"/>
        <v>-7119.8399999999974</v>
      </c>
      <c r="GK23" s="146">
        <f t="shared" si="50"/>
        <v>-18078.900000000005</v>
      </c>
      <c r="GL23" s="146">
        <f t="shared" si="50"/>
        <v>-5139.75</v>
      </c>
      <c r="GN23" s="146">
        <f t="shared" si="51"/>
        <v>1678245.3323371056</v>
      </c>
      <c r="GO23" s="146">
        <f t="shared" si="51"/>
        <v>0</v>
      </c>
      <c r="GP23" s="146">
        <f t="shared" si="51"/>
        <v>294636.07</v>
      </c>
      <c r="GQ23" s="146">
        <f t="shared" si="51"/>
        <v>-7119.8399999999974</v>
      </c>
      <c r="GR23" s="146">
        <f t="shared" si="51"/>
        <v>-18078.900000000005</v>
      </c>
      <c r="GS23" s="146">
        <f t="shared" si="51"/>
        <v>-5139.75</v>
      </c>
      <c r="GU23" s="146"/>
      <c r="GV23" s="57"/>
    </row>
    <row r="24" spans="1:204">
      <c r="A24" s="185">
        <v>2401</v>
      </c>
      <c r="B24" s="185">
        <v>103341</v>
      </c>
      <c r="C24" s="185" t="s">
        <v>63</v>
      </c>
      <c r="D24" s="2" t="s">
        <v>64</v>
      </c>
      <c r="E24" s="191" t="s">
        <v>32</v>
      </c>
      <c r="F24" s="191" t="s">
        <v>912</v>
      </c>
      <c r="H24" s="279">
        <f>_xlfn.IFNA(VLOOKUP($A24,ISB!$A$4:$BY$454,67,FALSE),0)</f>
        <v>1908904</v>
      </c>
      <c r="I24" s="279">
        <f>_xlfn.IFNA(VLOOKUP($A24,ISB!$A$4:$BY$454,72,FALSE),0)</f>
        <v>-9936.48</v>
      </c>
      <c r="J24" s="279">
        <f>-_xlfn.IFNA(VLOOKUP($A24,ISB!$A$4:$BY$454,76,FALSE),0)</f>
        <v>-21049</v>
      </c>
      <c r="K24" s="279">
        <f>_xlfn.IFNA(VLOOKUP($A24,ISB!$A$4:$BY$454,77,FALSE),0)</f>
        <v>1877918.52</v>
      </c>
      <c r="M24" s="301">
        <f t="shared" si="7"/>
        <v>159075.33333333334</v>
      </c>
      <c r="N24" s="301">
        <f>VLOOKUP($A24,EY!$A:$H,8,FALSE)+(VLOOKUP($A24,EY!$A:$BS,17,FALSE)-S24)+VLOOKUP($A24,EY!$A:$BS,41,FALSE)</f>
        <v>0</v>
      </c>
      <c r="O24" s="302"/>
      <c r="P24" s="302">
        <f>_xlfn.IFNA((VLOOKUP($A24,HN!$A:$K,8,FALSE)/12),0)</f>
        <v>0</v>
      </c>
      <c r="Q24" s="302">
        <f>_xlfn.IFNA((VLOOKUP($A24,HN!$A:$BS,14,FALSE)/12),0)</f>
        <v>0</v>
      </c>
      <c r="R24" s="302">
        <f>_xlfn.IFNA(VLOOKUP($A24,'Post 16'!$A:$V,21,FALSE),0)/4</f>
        <v>0</v>
      </c>
      <c r="S24" s="302">
        <f>VLOOKUP($A24,EY!A:Q,15,FALSE)*80%</f>
        <v>0</v>
      </c>
      <c r="T24" s="302">
        <f>_xlfn.IFNA((VLOOKUP($A24,HN!$A:$K,9,FALSE)/12),0)+_xlfn.IFNA((VLOOKUP($A24,HN!$A:$K,10,FALSE)/12),0)</f>
        <v>0</v>
      </c>
      <c r="U24" s="302">
        <f>_xlfn.IFNA((VLOOKUP($A24,HN!$A:$BS,15,FALSE)/12),0)</f>
        <v>0</v>
      </c>
      <c r="V24" s="301">
        <f t="shared" si="8"/>
        <v>-828.04</v>
      </c>
      <c r="W24" s="301">
        <f t="shared" si="9"/>
        <v>-1754.0833333333333</v>
      </c>
      <c r="X24" s="302"/>
      <c r="Y24" s="302">
        <f>_xlfn.IFNA(VLOOKUP($A24,'Cash Advances'!$A:$S,8,FALSE),0)</f>
        <v>0</v>
      </c>
      <c r="Z24" s="301">
        <f t="shared" si="0"/>
        <v>156493.21</v>
      </c>
      <c r="AA24" s="315">
        <f t="shared" si="10"/>
        <v>159075.33333333334</v>
      </c>
      <c r="AB24" s="315"/>
      <c r="AC24" s="316"/>
      <c r="AD24" s="316">
        <f>_xlfn.IFNA((VLOOKUP($A24,HN!$A:$K,8,FALSE)/12),0)</f>
        <v>0</v>
      </c>
      <c r="AE24" s="316">
        <f>_xlfn.IFNA((VLOOKUP($A24,HN!$A:$BS,14,FALSE)/12),0)</f>
        <v>0</v>
      </c>
      <c r="AF24" s="316">
        <f>_xlfn.IFNA(VLOOKUP($A24,'Post 16'!$A:$V,21,FALSE),0)/4</f>
        <v>0</v>
      </c>
      <c r="AG24" s="316"/>
      <c r="AH24" s="316">
        <f>_xlfn.IFNA((VLOOKUP($A24,HN!$A:$K,9,FALSE)/12),0)+_xlfn.IFNA((VLOOKUP($A24,HN!$A:$K,10,FALSE)/12),0)</f>
        <v>0</v>
      </c>
      <c r="AI24" s="316">
        <f>_xlfn.IFNA((VLOOKUP($A24,HN!$A:$BS,15,FALSE)/12),0)</f>
        <v>0</v>
      </c>
      <c r="AJ24" s="315">
        <f t="shared" si="11"/>
        <v>-828.04</v>
      </c>
      <c r="AK24" s="315">
        <f t="shared" si="12"/>
        <v>-1754.0833333333333</v>
      </c>
      <c r="AL24" s="316"/>
      <c r="AM24" s="316">
        <f>_xlfn.IFNA(VLOOKUP($A24,'Cash Advances'!$A:$S,9,FALSE),0)</f>
        <v>0</v>
      </c>
      <c r="AN24" s="315">
        <f t="shared" si="1"/>
        <v>156493.21</v>
      </c>
      <c r="AO24" s="308">
        <f t="shared" si="13"/>
        <v>159075.33333333334</v>
      </c>
      <c r="AP24" s="308"/>
      <c r="AQ24" s="309"/>
      <c r="AR24" s="309">
        <f>_xlfn.IFNA((VLOOKUP($A24,HN!$A:$K,8,FALSE)/12),0)</f>
        <v>0</v>
      </c>
      <c r="AS24" s="309">
        <f>_xlfn.IFNA((VLOOKUP($A24,HN!$A:$BS,14,FALSE)/12),0)</f>
        <v>0</v>
      </c>
      <c r="AT24" s="309">
        <f>_xlfn.IFNA(VLOOKUP($A24,'Post 16'!$A:$V,21,FALSE),0)/4</f>
        <v>0</v>
      </c>
      <c r="AU24" s="309"/>
      <c r="AV24" s="309">
        <f>_xlfn.IFNA((VLOOKUP($A24,HN!$A:$K,9,FALSE)/12),0)+_xlfn.IFNA((VLOOKUP($A24,HN!$A:$K,10,FALSE)/12),0)+_xlfn.IFNA(VLOOKUP(A24,HN!A:V,19,FALSE),0)+_xlfn.IFNA(VLOOKUP(A24,HN!A:V,20,FALSE),0)+_xlfn.IFNA(VLOOKUP(A24,HN!A:V,21,FALSE),0)</f>
        <v>0</v>
      </c>
      <c r="AW24" s="309">
        <f>_xlfn.IFNA((VLOOKUP($A24,HN!$A:$BS,15,FALSE)/12),0)</f>
        <v>0</v>
      </c>
      <c r="AX24" s="308">
        <f t="shared" si="14"/>
        <v>-828.04</v>
      </c>
      <c r="AY24" s="308">
        <f t="shared" si="15"/>
        <v>-1754.0833333333333</v>
      </c>
      <c r="AZ24" s="309"/>
      <c r="BA24" s="309">
        <f>_xlfn.IFNA(VLOOKUP($A24,'Cash Advances'!$A:$S,10,FALSE),0)</f>
        <v>0</v>
      </c>
      <c r="BB24" s="308">
        <f t="shared" si="2"/>
        <v>156493.21</v>
      </c>
      <c r="BC24" s="330">
        <f t="shared" si="16"/>
        <v>159075.33333333334</v>
      </c>
      <c r="BD24" s="330"/>
      <c r="BE24" s="331"/>
      <c r="BF24" s="331">
        <f>_xlfn.IFNA((VLOOKUP($A24,HN!$A:$K,8,FALSE)/12),0)</f>
        <v>0</v>
      </c>
      <c r="BG24" s="331">
        <f>_xlfn.IFNA((VLOOKUP($A24,HN!$A:$BS,14,FALSE)/12),0)</f>
        <v>0</v>
      </c>
      <c r="BH24" s="331">
        <f>_xlfn.IFNA(VLOOKUP($A24,'Post 16'!$A:$V,21,FALSE),0)/4</f>
        <v>0</v>
      </c>
      <c r="BI24" s="331"/>
      <c r="BJ24" s="331">
        <f>_xlfn.IFNA((VLOOKUP($A24,HN!$A:$K,9,FALSE)/12),0)+_xlfn.IFNA((VLOOKUP($A24,HN!$A:$K,10,FALSE)/12),0)</f>
        <v>0</v>
      </c>
      <c r="BK24" s="331">
        <f>_xlfn.IFNA((VLOOKUP($A24,HN!$A:$BS,15,FALSE)/12),0)</f>
        <v>0</v>
      </c>
      <c r="BL24" s="330">
        <f t="shared" si="17"/>
        <v>-828.04</v>
      </c>
      <c r="BM24" s="330">
        <f t="shared" si="18"/>
        <v>-1754.0833333333333</v>
      </c>
      <c r="BN24" s="331"/>
      <c r="BO24" s="331">
        <f>_xlfn.IFNA(VLOOKUP(A24,'Cash Advances'!A:K,11,FALSE),0)</f>
        <v>0</v>
      </c>
      <c r="BP24" s="330">
        <f t="shared" si="3"/>
        <v>156493.21</v>
      </c>
      <c r="BQ24" s="322">
        <f t="shared" si="19"/>
        <v>159075.33333333334</v>
      </c>
      <c r="BR24" s="322"/>
      <c r="BS24" s="323"/>
      <c r="BT24" s="323">
        <f>_xlfn.IFNA((VLOOKUP($A24,HN!$A:$K,8,FALSE)/12),0)</f>
        <v>0</v>
      </c>
      <c r="BU24" s="323">
        <f>_xlfn.IFNA((VLOOKUP($A24,HN!$A:$BS,14,FALSE)/12),0)</f>
        <v>0</v>
      </c>
      <c r="BV24" s="323">
        <f>(_xlfn.IFNA(VLOOKUP($A24,'Post 16'!$A:$AV,32,FALSE),0)/8)+_xlfn.IFNA(VLOOKUP($A24,'Post 16'!$A:$AR,40,FALSE),0)</f>
        <v>0</v>
      </c>
      <c r="BW24" s="323"/>
      <c r="BX24" s="323">
        <f>_xlfn.IFNA((VLOOKUP($A24,HN!$A:$K,9,FALSE)/12),0)+_xlfn.IFNA((VLOOKUP($A24,HN!$A:$K,10,FALSE)/12),0)</f>
        <v>0</v>
      </c>
      <c r="BY24" s="323">
        <f>_xlfn.IFNA((VLOOKUP($A24,HN!$A:$BS,15,FALSE)/12),0)</f>
        <v>0</v>
      </c>
      <c r="BZ24" s="322">
        <f t="shared" si="20"/>
        <v>-828.04</v>
      </c>
      <c r="CA24" s="322">
        <f t="shared" si="21"/>
        <v>-1754.0833333333333</v>
      </c>
      <c r="CB24" s="323"/>
      <c r="CC24" s="323"/>
      <c r="CD24" s="322">
        <f t="shared" si="4"/>
        <v>156493.21</v>
      </c>
      <c r="CE24" s="357">
        <f t="shared" si="22"/>
        <v>159075.33333333334</v>
      </c>
      <c r="CF24" s="357">
        <f>(VLOOKUP($A24,EY!$A:$BS,26,FALSE)-(VLOOKUP($A24,EY!A:CR,24,FALSE)*80%))+VLOOKUP($A24,EY!$A:$BS,42,FALSE)+(VLOOKUP($A24,EY!A:CC,74,FALSE)-VLOOKUP($A24,EY!A:CC,72,FALSE))</f>
        <v>0</v>
      </c>
      <c r="CG24" s="358"/>
      <c r="CH24" s="358">
        <f>_xlfn.IFNA((VLOOKUP($A24,HN!$A:$K,8,FALSE)/12),0)</f>
        <v>0</v>
      </c>
      <c r="CI24" s="358">
        <f>_xlfn.IFNA((VLOOKUP($A24,HN!$A:$BS,14,FALSE)/12),0)</f>
        <v>0</v>
      </c>
      <c r="CJ24" s="358">
        <f>(_xlfn.IFNA(VLOOKUP($A24,'Post 16'!$A:$AV,32,FALSE),0)/8)</f>
        <v>0</v>
      </c>
      <c r="CK24" s="358">
        <f>(VLOOKUP($A24,EY!A:CR,24,FALSE)*80%)+VLOOKUP($A24,EY!A:CC,72,FALSE)</f>
        <v>0</v>
      </c>
      <c r="CL24" s="358">
        <f>_xlfn.IFNA((VLOOKUP($A24,HN!$A:$K,9,FALSE)/12),0)+_xlfn.IFNA((VLOOKUP($A24,HN!$A:$K,10,FALSE)/12),0)</f>
        <v>0</v>
      </c>
      <c r="CM24" s="358">
        <f>_xlfn.IFNA((VLOOKUP($A24,HN!$A:$BS,15,FALSE)/12),0)</f>
        <v>0</v>
      </c>
      <c r="CN24" s="357">
        <f t="shared" si="23"/>
        <v>-828.04</v>
      </c>
      <c r="CO24" s="357">
        <f t="shared" si="24"/>
        <v>-1754.0833333333333</v>
      </c>
      <c r="CP24" s="358">
        <f>_xlfn.IFNA(VLOOKUP(A24,'LA Deductions'!A:W,23,FALSE),0)</f>
        <v>-9471</v>
      </c>
      <c r="CQ24" s="358">
        <f>_xlfn.IFNA(VLOOKUP($A24,'Cash Advances'!$A:$S,13,FALSE),0)</f>
        <v>0</v>
      </c>
      <c r="CR24" s="358">
        <f>_xlfn.IFNA(VLOOKUP(A24,'LA Deductions'!A:AZ,25,FALSE),0)/9*3</f>
        <v>0</v>
      </c>
      <c r="CS24" s="357">
        <f t="shared" si="25"/>
        <v>147022.21</v>
      </c>
      <c r="CT24" s="337">
        <f t="shared" si="26"/>
        <v>159075.33333333334</v>
      </c>
      <c r="CU24" s="337"/>
      <c r="CV24" s="338">
        <f>_xlfn.IFNA(VLOOKUP(A24,'LA Deductions'!$A$6:$AN$207,34,FALSE),0)</f>
        <v>0</v>
      </c>
      <c r="CW24" s="338">
        <f>_xlfn.IFNA((VLOOKUP($A24,HN!$A:$K,8,FALSE)/12),0)</f>
        <v>0</v>
      </c>
      <c r="CX24" s="338">
        <f>_xlfn.IFNA((VLOOKUP($A24,HN!$A:$BS,14,FALSE)/12),0)</f>
        <v>0</v>
      </c>
      <c r="CY24" s="338">
        <f>_xlfn.IFNA(VLOOKUP($A24,'Post 16'!$A:$AV,32,FALSE),0)/8</f>
        <v>0</v>
      </c>
      <c r="CZ24" s="338"/>
      <c r="DA24" s="338">
        <f>_xlfn.IFNA((VLOOKUP($A24,HN!$A:$K,9,FALSE)/12),0)+_xlfn.IFNA((VLOOKUP($A24,HN!$A:$K,10,FALSE)/12),0)</f>
        <v>0</v>
      </c>
      <c r="DB24" s="338">
        <f>_xlfn.IFNA((VLOOKUP($A24,HN!$A:$BS,15,FALSE)/12),0)</f>
        <v>0</v>
      </c>
      <c r="DC24" s="337">
        <f t="shared" si="27"/>
        <v>-828.04</v>
      </c>
      <c r="DD24" s="337">
        <f t="shared" si="28"/>
        <v>-1754.0833333333333</v>
      </c>
      <c r="DE24" s="338"/>
      <c r="DF24" s="338">
        <f>_xlfn.IFNA(VLOOKUP($A24,'Cash Advances'!$A:$S,14,FALSE),0)</f>
        <v>0</v>
      </c>
      <c r="DG24" s="338">
        <f>(_xlfn.IFNA(VLOOKUP(A24,'LA Deductions'!A:AZ,25,FALSE),0)/9)+(_xlfn.IFNA(VLOOKUP(A24,'LA Deductions'!A:AZ,26,FALSE),0))</f>
        <v>0</v>
      </c>
      <c r="DH24" s="337">
        <f t="shared" si="29"/>
        <v>156493.21</v>
      </c>
      <c r="DI24" s="330">
        <f t="shared" si="30"/>
        <v>159075.33333333334</v>
      </c>
      <c r="DJ24" s="330"/>
      <c r="DK24" s="331"/>
      <c r="DL24" s="331">
        <f>_xlfn.IFNA((VLOOKUP($A24,HN!$A:$K,8,FALSE)/12),0)+_xlfn.IFNA((VLOOKUP($A24,HN!$A:$AF,32,FALSE)*8/12),0)</f>
        <v>0</v>
      </c>
      <c r="DM24" s="331">
        <f>_xlfn.IFNA((VLOOKUP($A24,HN!$A:$BS,14,FALSE)/12),0)+_xlfn.IFNA(VLOOKUP($A24,HN!$A:$BS,31,FALSE),0)</f>
        <v>0</v>
      </c>
      <c r="DN24" s="331">
        <f>_xlfn.IFNA(VLOOKUP($A24,'Post 16'!$A:$AV,32,FALSE),0)/8</f>
        <v>0</v>
      </c>
      <c r="DO24" s="331"/>
      <c r="DP24" s="331">
        <f>_xlfn.IFNA((VLOOKUP($A24,HN!$A:$K,9,FALSE)/12),0)+_xlfn.IFNA((VLOOKUP($A24,HN!$A:$K,10,FALSE)/12),0)+_xlfn.IFNA((VLOOKUP($A24,HN!$A:$BZ,33,FALSE)*8/12),0)</f>
        <v>0</v>
      </c>
      <c r="DQ24" s="331">
        <f>_xlfn.IFNA((VLOOKUP($A24,HN!$A:$BS,15,FALSE)/12),0)</f>
        <v>0</v>
      </c>
      <c r="DR24" s="330">
        <f t="shared" si="31"/>
        <v>-828.04</v>
      </c>
      <c r="DS24" s="330">
        <f t="shared" si="32"/>
        <v>-1754.0833333333333</v>
      </c>
      <c r="DT24" s="331"/>
      <c r="DU24" s="331"/>
      <c r="DV24" s="331">
        <f>(_xlfn.IFNA(VLOOKUP(A24,'LA Deductions'!A:AZ,25,FALSE),0)/9)+_xlfn.IFNA(VLOOKUP(A24,'LA Deductions'!A:AZ,27,FALSE),0)</f>
        <v>0</v>
      </c>
      <c r="DW24" s="330">
        <f t="shared" si="33"/>
        <v>156493.21</v>
      </c>
      <c r="DX24" s="344">
        <f t="shared" si="34"/>
        <v>159075.33333333334</v>
      </c>
      <c r="DY24" s="344"/>
      <c r="DZ24" s="345"/>
      <c r="EA24" s="345">
        <f>_xlfn.IFNA((VLOOKUP($A24,HN!$A:$K,8,FALSE)/12),0)+_xlfn.IFNA((VLOOKUP($A24,HN!$A:$AF,32,FALSE)*1/12),0)</f>
        <v>0</v>
      </c>
      <c r="EB24" s="345">
        <f>_xlfn.IFNA((VLOOKUP($A24,HN!$A:$BS,14,FALSE)/12),0)</f>
        <v>0</v>
      </c>
      <c r="EC24" s="345">
        <f>_xlfn.IFNA(VLOOKUP($A24,'Post 16'!$A:$AV,32,FALSE),0)/8</f>
        <v>0</v>
      </c>
      <c r="ED24" s="345"/>
      <c r="EE24" s="345">
        <f>_xlfn.IFNA((VLOOKUP($A24,HN!$A:$K,9,FALSE)/12),0)+_xlfn.IFNA((VLOOKUP($A24,HN!$A:$K,10,FALSE)/12),0)+_xlfn.IFNA((VLOOKUP($A24,HN!$A:$BZ,33,FALSE)/12),0)</f>
        <v>0</v>
      </c>
      <c r="EF24" s="345">
        <f>_xlfn.IFNA((VLOOKUP($A24,HN!$A:$BS,15,FALSE)/12),0)</f>
        <v>0</v>
      </c>
      <c r="EG24" s="344">
        <f t="shared" si="35"/>
        <v>-828.04</v>
      </c>
      <c r="EH24" s="344">
        <f t="shared" si="36"/>
        <v>-1754.0833333333333</v>
      </c>
      <c r="EI24" s="345"/>
      <c r="EJ24" s="345">
        <f>_xlfn.IFNA(VLOOKUP(A24,'Cash Advances'!A:P,16,FALSE),0)</f>
        <v>62100</v>
      </c>
      <c r="EK24" s="345">
        <f>_xlfn.IFNA(VLOOKUP(A24,'LA Deductions'!A:AZ,25,FALSE),0)/9</f>
        <v>0</v>
      </c>
      <c r="EL24" s="344">
        <f t="shared" si="37"/>
        <v>218593.21</v>
      </c>
      <c r="EM24" s="308">
        <f t="shared" si="38"/>
        <v>159075.33333333334</v>
      </c>
      <c r="EN24" s="308">
        <f>((VLOOKUP($A24,EY!$A:$BS,35,FALSE)-(VLOOKUP($A24,EY!$A:$BS,33,FALSE)*80%))+VLOOKUP($A24,EY!$A:$BS,43,FALSE))+(VLOOKUP(A24,EY!A:DF,110,FALSE)-VLOOKUP(A24,EY!A:DD,108,FALSE))+(VLOOKUP(A24,EY!A:CE,83,FALSE)-VLOOKUP(A24,EY!A:CC,81,FALSE))</f>
        <v>0</v>
      </c>
      <c r="EO24" s="309"/>
      <c r="EP24" s="309">
        <f>_xlfn.IFNA((VLOOKUP($A24,HN!$A:$K,8,FALSE)/12),0)+_xlfn.IFNA((VLOOKUP($A24,HN!$A:$AF,32,FALSE)*1/12),0)</f>
        <v>0</v>
      </c>
      <c r="EQ24" s="309">
        <f>_xlfn.IFNA((VLOOKUP($A24,HN!$A:$BS,14,FALSE)/12),0)+_xlfn.IFNA((VLOOKUP($A24,HN!$A:$BS,34,FALSE)/3),0)</f>
        <v>0</v>
      </c>
      <c r="ER24" s="309">
        <f>_xlfn.IFNA(VLOOKUP($A24,'Post 16'!$A:$AV,32,FALSE),0)/8</f>
        <v>0</v>
      </c>
      <c r="ES24" s="309">
        <f>((VLOOKUP($A24,EY!A:EV,33,FALSE)*80%))+VLOOKUP(A24,EY!A:DD,108,FALSE)+VLOOKUP(A24,EY!A:CC,81,FALSE)</f>
        <v>0</v>
      </c>
      <c r="ET24" s="309">
        <f>_xlfn.IFNA((VLOOKUP($A24,HN!$A:$K,9,FALSE)/12),0)+_xlfn.IFNA((VLOOKUP($A24,HN!$A:$K,10,FALSE)/12),0)+_xlfn.IFNA((VLOOKUP($A24,HN!$A:$BZ,33,FALSE)/12),0)</f>
        <v>0</v>
      </c>
      <c r="EU24" s="309">
        <f>_xlfn.IFNA((VLOOKUP($A24,HN!$A:$BS,15,FALSE)/12),0)</f>
        <v>0</v>
      </c>
      <c r="EV24" s="308">
        <f t="shared" si="39"/>
        <v>-828.04</v>
      </c>
      <c r="EW24" s="308">
        <f t="shared" si="40"/>
        <v>-1754.0833333333333</v>
      </c>
      <c r="EX24" s="309"/>
      <c r="EY24" s="309">
        <f>_xlfn.IFNA(VLOOKUP($A24,'Cash Advances'!$A:$S,17,FALSE),0)</f>
        <v>0</v>
      </c>
      <c r="EZ24" s="309">
        <f>_xlfn.IFNA(VLOOKUP(A24,'LA Deductions'!A:AZ,25,FALSE),0)/9</f>
        <v>0</v>
      </c>
      <c r="FA24" s="308">
        <f t="shared" si="41"/>
        <v>156493.21</v>
      </c>
      <c r="FB24" s="315">
        <f t="shared" si="42"/>
        <v>159075.33333333334</v>
      </c>
      <c r="FC24" s="315"/>
      <c r="FD24" s="316"/>
      <c r="FE24" s="316">
        <f>_xlfn.IFNA((VLOOKUP($A24,HN!$A:$K,8,FALSE)/12),0)+_xlfn.IFNA((VLOOKUP($A24,HN!$A:$AF,32,FALSE)*1/12),0)</f>
        <v>0</v>
      </c>
      <c r="FF24" s="316">
        <f>_xlfn.IFNA((VLOOKUP($A24,HN!$A:$BS,14,FALSE)/12),0)+_xlfn.IFNA((VLOOKUP($A24,HN!$A:$BS,34,FALSE)/3),0)</f>
        <v>0</v>
      </c>
      <c r="FG24" s="316">
        <f>_xlfn.IFNA(VLOOKUP($A24,'Post 16'!$A:$AV,32,FALSE),0)/8</f>
        <v>0</v>
      </c>
      <c r="FH24" s="316"/>
      <c r="FI24" s="316">
        <f>_xlfn.IFNA((VLOOKUP($A24,HN!$A:$K,9,FALSE)/12),0)+_xlfn.IFNA((VLOOKUP($A24,HN!$A:$K,10,FALSE)/12),0)+_xlfn.IFNA((VLOOKUP($A24,HN!$A:$BZ,33,FALSE)/12),0)+_xlfn.IFNA((VLOOKUP($A24,HN!$A:$BZ,35,FALSE)/2),0)</f>
        <v>0</v>
      </c>
      <c r="FJ24" s="316">
        <f>_xlfn.IFNA((VLOOKUP($A24,HN!$A:$BS,15,FALSE)/12),0)+_xlfn.IFNA((VLOOKUP($A24,HN!$A:$CZ,36,FALSE)/2),0)</f>
        <v>0</v>
      </c>
      <c r="FK24" s="315">
        <f t="shared" si="43"/>
        <v>-828.04</v>
      </c>
      <c r="FL24" s="315">
        <f t="shared" si="44"/>
        <v>-1754.0833333333333</v>
      </c>
      <c r="FM24" s="316"/>
      <c r="FN24" s="316">
        <f>_xlfn.IFNA(VLOOKUP($A24,'Cash Advances'!$A:$S,18,FALSE),0)</f>
        <v>0</v>
      </c>
      <c r="FO24" s="316">
        <f>_xlfn.IFNA(VLOOKUP(A24,'LA Deductions'!A:AZ,25,FALSE),0)/9</f>
        <v>0</v>
      </c>
      <c r="FP24" s="315">
        <f t="shared" si="45"/>
        <v>156493.21</v>
      </c>
      <c r="FQ24" s="322">
        <f t="shared" si="46"/>
        <v>159075.33333333334</v>
      </c>
      <c r="FR24" s="322"/>
      <c r="FS24" s="323"/>
      <c r="FT24" s="323">
        <f>_xlfn.IFNA((VLOOKUP($A24,HN!$A:$K,8,FALSE)/12),0)+_xlfn.IFNA((VLOOKUP($A24,HN!$A:$AF,32,FALSE)*1/12),0)</f>
        <v>0</v>
      </c>
      <c r="FU24" s="323">
        <f>_xlfn.IFNA((VLOOKUP($A24,HN!$A:$BS,14,FALSE)/12),0)+_xlfn.IFNA((VLOOKUP($A24,HN!$A:$BS,34,FALSE)/3),0)</f>
        <v>0</v>
      </c>
      <c r="FV24" s="323">
        <f>_xlfn.IFNA(VLOOKUP($A24,'Post 16'!$A:$AV,32,FALSE),0)/8</f>
        <v>0</v>
      </c>
      <c r="FW24" s="323"/>
      <c r="FX24" s="323">
        <f>_xlfn.IFNA((VLOOKUP($A24,HN!$A:$K,9,FALSE)/12),0)+_xlfn.IFNA((VLOOKUP($A24,HN!$A:$K,10,FALSE)/12),0)+_xlfn.IFNA((VLOOKUP($A24,HN!$A:$BZ,33,FALSE)/12),0)+_xlfn.IFNA((VLOOKUP($A24,HN!$A:$BZ,35,FALSE)/2),0)</f>
        <v>0</v>
      </c>
      <c r="FY24" s="323">
        <f>_xlfn.IFNA((VLOOKUP($A24,HN!$A:$BS,15,FALSE)/12),0)+_xlfn.IFNA((VLOOKUP($A24,HN!$A:$CZ,36,FALSE)/2),0)</f>
        <v>0</v>
      </c>
      <c r="FZ24" s="322">
        <f t="shared" si="47"/>
        <v>-828.04</v>
      </c>
      <c r="GA24" s="322">
        <f t="shared" si="48"/>
        <v>-1754.0833333333333</v>
      </c>
      <c r="GB24" s="323"/>
      <c r="GC24" s="323"/>
      <c r="GD24" s="323">
        <f>_xlfn.IFNA(VLOOKUP(A24,'LA Deductions'!A:AZ,25,FALSE),0)/9</f>
        <v>0</v>
      </c>
      <c r="GE24" s="322">
        <f t="shared" si="49"/>
        <v>156493.21</v>
      </c>
      <c r="GG24" s="146">
        <f t="shared" si="50"/>
        <v>1908903.9999999998</v>
      </c>
      <c r="GH24" s="146">
        <f t="shared" si="50"/>
        <v>0</v>
      </c>
      <c r="GI24" s="146">
        <f t="shared" si="50"/>
        <v>0</v>
      </c>
      <c r="GJ24" s="146">
        <f t="shared" si="50"/>
        <v>-9936.48</v>
      </c>
      <c r="GK24" s="146">
        <f t="shared" si="50"/>
        <v>-21049</v>
      </c>
      <c r="GL24" s="146">
        <f t="shared" si="50"/>
        <v>-9471</v>
      </c>
      <c r="GN24" s="146">
        <f t="shared" si="51"/>
        <v>1908903.9999999998</v>
      </c>
      <c r="GO24" s="146">
        <f t="shared" si="51"/>
        <v>0</v>
      </c>
      <c r="GP24" s="146">
        <f t="shared" si="51"/>
        <v>0</v>
      </c>
      <c r="GQ24" s="146">
        <f t="shared" si="51"/>
        <v>-9936.48</v>
      </c>
      <c r="GR24" s="146">
        <f t="shared" si="51"/>
        <v>-21049</v>
      </c>
      <c r="GS24" s="146">
        <f t="shared" si="51"/>
        <v>-9471</v>
      </c>
      <c r="GU24" s="146"/>
      <c r="GV24" s="57"/>
    </row>
    <row r="25" spans="1:204">
      <c r="A25" s="185">
        <v>4115</v>
      </c>
      <c r="B25" s="185">
        <v>103493</v>
      </c>
      <c r="C25" s="185" t="s">
        <v>65</v>
      </c>
      <c r="D25" s="2" t="s">
        <v>66</v>
      </c>
      <c r="E25" s="191" t="s">
        <v>58</v>
      </c>
      <c r="F25" s="191" t="s">
        <v>912</v>
      </c>
      <c r="H25" s="279">
        <f>_xlfn.IFNA(VLOOKUP($A25,ISB!$A$4:$BY$454,67,FALSE),0)</f>
        <v>5281072.059316094</v>
      </c>
      <c r="I25" s="279">
        <f>_xlfn.IFNA(VLOOKUP($A25,ISB!$A$4:$BY$454,72,FALSE),0)</f>
        <v>-12702.029999999999</v>
      </c>
      <c r="J25" s="279">
        <f>-_xlfn.IFNA(VLOOKUP($A25,ISB!$A$4:$BY$454,76,FALSE),0)</f>
        <v>-85617.91</v>
      </c>
      <c r="K25" s="279">
        <f>_xlfn.IFNA(VLOOKUP($A25,ISB!$A$4:$BY$454,77,FALSE),0)</f>
        <v>5182752.1193160936</v>
      </c>
      <c r="M25" s="301">
        <f t="shared" si="7"/>
        <v>440089.33827634115</v>
      </c>
      <c r="N25" s="301">
        <f>VLOOKUP($A25,EY!$A:$H,8,FALSE)+(VLOOKUP($A25,EY!$A:$BS,17,FALSE)-S25)+VLOOKUP($A25,EY!$A:$BS,41,FALSE)</f>
        <v>0</v>
      </c>
      <c r="O25" s="302"/>
      <c r="P25" s="302">
        <f>_xlfn.IFNA((VLOOKUP($A25,HN!$A:$K,8,FALSE)/12),0)</f>
        <v>0</v>
      </c>
      <c r="Q25" s="302">
        <f>_xlfn.IFNA((VLOOKUP($A25,HN!$A:$BS,14,FALSE)/12),0)</f>
        <v>6000</v>
      </c>
      <c r="R25" s="302">
        <f>_xlfn.IFNA(VLOOKUP($A25,'Post 16'!$A:$V,21,FALSE),0)/4</f>
        <v>180369.25</v>
      </c>
      <c r="S25" s="302">
        <f>VLOOKUP($A25,EY!A:Q,15,FALSE)*80%</f>
        <v>0</v>
      </c>
      <c r="T25" s="302">
        <f>_xlfn.IFNA((VLOOKUP($A25,HN!$A:$K,9,FALSE)/12),0)+_xlfn.IFNA((VLOOKUP($A25,HN!$A:$K,10,FALSE)/12),0)</f>
        <v>0</v>
      </c>
      <c r="U25" s="302">
        <f>_xlfn.IFNA((VLOOKUP($A25,HN!$A:$BS,15,FALSE)/12),0)</f>
        <v>17387.255833333333</v>
      </c>
      <c r="V25" s="301">
        <f t="shared" si="8"/>
        <v>-1058.5024999999998</v>
      </c>
      <c r="W25" s="301">
        <f t="shared" si="9"/>
        <v>-7134.8258333333333</v>
      </c>
      <c r="X25" s="302"/>
      <c r="Y25" s="302">
        <f>_xlfn.IFNA(VLOOKUP($A25,'Cash Advances'!$A:$S,8,FALSE),0)</f>
        <v>0</v>
      </c>
      <c r="Z25" s="301">
        <f t="shared" si="0"/>
        <v>635652.5157763412</v>
      </c>
      <c r="AA25" s="315">
        <f t="shared" si="10"/>
        <v>440089.33827634115</v>
      </c>
      <c r="AB25" s="315"/>
      <c r="AC25" s="316"/>
      <c r="AD25" s="316">
        <f>_xlfn.IFNA((VLOOKUP($A25,HN!$A:$K,8,FALSE)/12),0)</f>
        <v>0</v>
      </c>
      <c r="AE25" s="316">
        <f>_xlfn.IFNA((VLOOKUP($A25,HN!$A:$BS,14,FALSE)/12),0)</f>
        <v>6000</v>
      </c>
      <c r="AF25" s="316">
        <f>_xlfn.IFNA(VLOOKUP($A25,'Post 16'!$A:$V,21,FALSE),0)/4</f>
        <v>180369.25</v>
      </c>
      <c r="AG25" s="316"/>
      <c r="AH25" s="316">
        <f>_xlfn.IFNA((VLOOKUP($A25,HN!$A:$K,9,FALSE)/12),0)+_xlfn.IFNA((VLOOKUP($A25,HN!$A:$K,10,FALSE)/12),0)</f>
        <v>0</v>
      </c>
      <c r="AI25" s="316">
        <f>_xlfn.IFNA((VLOOKUP($A25,HN!$A:$BS,15,FALSE)/12),0)</f>
        <v>17387.255833333333</v>
      </c>
      <c r="AJ25" s="315">
        <f t="shared" si="11"/>
        <v>-1058.5024999999998</v>
      </c>
      <c r="AK25" s="315">
        <f t="shared" si="12"/>
        <v>-7134.8258333333333</v>
      </c>
      <c r="AL25" s="316"/>
      <c r="AM25" s="316">
        <f>_xlfn.IFNA(VLOOKUP($A25,'Cash Advances'!$A:$S,9,FALSE),0)</f>
        <v>0</v>
      </c>
      <c r="AN25" s="315">
        <f t="shared" si="1"/>
        <v>635652.5157763412</v>
      </c>
      <c r="AO25" s="308">
        <f t="shared" si="13"/>
        <v>440089.33827634115</v>
      </c>
      <c r="AP25" s="308"/>
      <c r="AQ25" s="309"/>
      <c r="AR25" s="309">
        <f>_xlfn.IFNA((VLOOKUP($A25,HN!$A:$K,8,FALSE)/12),0)</f>
        <v>0</v>
      </c>
      <c r="AS25" s="309">
        <f>_xlfn.IFNA((VLOOKUP($A25,HN!$A:$BS,14,FALSE)/12),0)</f>
        <v>6000</v>
      </c>
      <c r="AT25" s="309">
        <f>_xlfn.IFNA(VLOOKUP($A25,'Post 16'!$A:$V,21,FALSE),0)/4</f>
        <v>180369.25</v>
      </c>
      <c r="AU25" s="309"/>
      <c r="AV25" s="309">
        <f>_xlfn.IFNA((VLOOKUP($A25,HN!$A:$K,9,FALSE)/12),0)+_xlfn.IFNA((VLOOKUP($A25,HN!$A:$K,10,FALSE)/12),0)+_xlfn.IFNA(VLOOKUP(A25,HN!A:V,19,FALSE),0)+_xlfn.IFNA(VLOOKUP(A25,HN!A:V,20,FALSE),0)+_xlfn.IFNA(VLOOKUP(A25,HN!A:V,21,FALSE),0)</f>
        <v>0</v>
      </c>
      <c r="AW25" s="309">
        <f>_xlfn.IFNA((VLOOKUP($A25,HN!$A:$BS,15,FALSE)/12),0)</f>
        <v>17387.255833333333</v>
      </c>
      <c r="AX25" s="308">
        <f t="shared" si="14"/>
        <v>-1058.5024999999998</v>
      </c>
      <c r="AY25" s="308">
        <f t="shared" si="15"/>
        <v>-7134.8258333333333</v>
      </c>
      <c r="AZ25" s="309"/>
      <c r="BA25" s="309">
        <f>_xlfn.IFNA(VLOOKUP($A25,'Cash Advances'!$A:$S,10,FALSE),0)</f>
        <v>0</v>
      </c>
      <c r="BB25" s="308">
        <f t="shared" si="2"/>
        <v>635652.5157763412</v>
      </c>
      <c r="BC25" s="330">
        <f t="shared" si="16"/>
        <v>440089.33827634115</v>
      </c>
      <c r="BD25" s="330"/>
      <c r="BE25" s="331"/>
      <c r="BF25" s="331">
        <f>_xlfn.IFNA((VLOOKUP($A25,HN!$A:$K,8,FALSE)/12),0)</f>
        <v>0</v>
      </c>
      <c r="BG25" s="331">
        <f>_xlfn.IFNA((VLOOKUP($A25,HN!$A:$BS,14,FALSE)/12),0)</f>
        <v>6000</v>
      </c>
      <c r="BH25" s="331">
        <f>_xlfn.IFNA(VLOOKUP($A25,'Post 16'!$A:$V,21,FALSE),0)/4</f>
        <v>180369.25</v>
      </c>
      <c r="BI25" s="331"/>
      <c r="BJ25" s="331">
        <f>_xlfn.IFNA((VLOOKUP($A25,HN!$A:$K,9,FALSE)/12),0)+_xlfn.IFNA((VLOOKUP($A25,HN!$A:$K,10,FALSE)/12),0)</f>
        <v>0</v>
      </c>
      <c r="BK25" s="331">
        <f>_xlfn.IFNA((VLOOKUP($A25,HN!$A:$BS,15,FALSE)/12),0)</f>
        <v>17387.255833333333</v>
      </c>
      <c r="BL25" s="330">
        <f t="shared" si="17"/>
        <v>-1058.5024999999998</v>
      </c>
      <c r="BM25" s="330">
        <f t="shared" si="18"/>
        <v>-7134.8258333333333</v>
      </c>
      <c r="BN25" s="331"/>
      <c r="BO25" s="331">
        <f>_xlfn.IFNA(VLOOKUP(A25,'Cash Advances'!A:K,11,FALSE),0)</f>
        <v>0</v>
      </c>
      <c r="BP25" s="330">
        <f t="shared" si="3"/>
        <v>635652.5157763412</v>
      </c>
      <c r="BQ25" s="322">
        <f t="shared" si="19"/>
        <v>440089.33827634115</v>
      </c>
      <c r="BR25" s="322"/>
      <c r="BS25" s="323"/>
      <c r="BT25" s="323">
        <f>_xlfn.IFNA((VLOOKUP($A25,HN!$A:$K,8,FALSE)/12),0)</f>
        <v>0</v>
      </c>
      <c r="BU25" s="323">
        <f>_xlfn.IFNA((VLOOKUP($A25,HN!$A:$BS,14,FALSE)/12),0)</f>
        <v>6000</v>
      </c>
      <c r="BV25" s="323">
        <f>(_xlfn.IFNA(VLOOKUP($A25,'Post 16'!$A:$AV,32,FALSE),0)/8)+_xlfn.IFNA(VLOOKUP($A25,'Post 16'!$A:$AR,40,FALSE),0)</f>
        <v>203220.33333333331</v>
      </c>
      <c r="BW25" s="323"/>
      <c r="BX25" s="323">
        <f>_xlfn.IFNA((VLOOKUP($A25,HN!$A:$K,9,FALSE)/12),0)+_xlfn.IFNA((VLOOKUP($A25,HN!$A:$K,10,FALSE)/12),0)</f>
        <v>0</v>
      </c>
      <c r="BY25" s="323">
        <f>_xlfn.IFNA((VLOOKUP($A25,HN!$A:$BS,15,FALSE)/12),0)</f>
        <v>17387.255833333333</v>
      </c>
      <c r="BZ25" s="322">
        <f t="shared" si="20"/>
        <v>-1058.5024999999998</v>
      </c>
      <c r="CA25" s="322">
        <f t="shared" si="21"/>
        <v>-7134.8258333333333</v>
      </c>
      <c r="CB25" s="323"/>
      <c r="CC25" s="323"/>
      <c r="CD25" s="322">
        <f t="shared" si="4"/>
        <v>658503.59910967457</v>
      </c>
      <c r="CE25" s="357">
        <f t="shared" si="22"/>
        <v>440089.33827634115</v>
      </c>
      <c r="CF25" s="357">
        <f>(VLOOKUP($A25,EY!$A:$BS,26,FALSE)-(VLOOKUP($A25,EY!A:CR,24,FALSE)*80%))+VLOOKUP($A25,EY!$A:$BS,42,FALSE)+(VLOOKUP($A25,EY!A:CC,74,FALSE)-VLOOKUP($A25,EY!A:CC,72,FALSE))</f>
        <v>0</v>
      </c>
      <c r="CG25" s="358"/>
      <c r="CH25" s="358">
        <f>_xlfn.IFNA((VLOOKUP($A25,HN!$A:$K,8,FALSE)/12),0)</f>
        <v>0</v>
      </c>
      <c r="CI25" s="358">
        <f>_xlfn.IFNA((VLOOKUP($A25,HN!$A:$BS,14,FALSE)/12),0)</f>
        <v>6000</v>
      </c>
      <c r="CJ25" s="358">
        <f>(_xlfn.IFNA(VLOOKUP($A25,'Post 16'!$A:$AV,32,FALSE),0)/8)</f>
        <v>197073.33333333331</v>
      </c>
      <c r="CK25" s="358">
        <f>(VLOOKUP($A25,EY!A:CR,24,FALSE)*80%)+VLOOKUP($A25,EY!A:CC,72,FALSE)</f>
        <v>0</v>
      </c>
      <c r="CL25" s="358">
        <f>_xlfn.IFNA((VLOOKUP($A25,HN!$A:$K,9,FALSE)/12),0)+_xlfn.IFNA((VLOOKUP($A25,HN!$A:$K,10,FALSE)/12),0)</f>
        <v>0</v>
      </c>
      <c r="CM25" s="358">
        <f>_xlfn.IFNA((VLOOKUP($A25,HN!$A:$BS,15,FALSE)/12),0)</f>
        <v>17387.255833333333</v>
      </c>
      <c r="CN25" s="357">
        <f t="shared" si="23"/>
        <v>-1058.5024999999998</v>
      </c>
      <c r="CO25" s="357">
        <f t="shared" si="24"/>
        <v>-7134.8258333333333</v>
      </c>
      <c r="CP25" s="358">
        <f>_xlfn.IFNA(VLOOKUP(A25,'LA Deductions'!A:W,23,FALSE),0)</f>
        <v>-18745.650000000001</v>
      </c>
      <c r="CQ25" s="358">
        <f>_xlfn.IFNA(VLOOKUP($A25,'Cash Advances'!$A:$S,13,FALSE),0)</f>
        <v>0</v>
      </c>
      <c r="CR25" s="358">
        <f>_xlfn.IFNA(VLOOKUP(A25,'LA Deductions'!A:AZ,25,FALSE),0)/9*3</f>
        <v>0</v>
      </c>
      <c r="CS25" s="357">
        <f t="shared" si="25"/>
        <v>633610.94910967455</v>
      </c>
      <c r="CT25" s="337">
        <f t="shared" si="26"/>
        <v>440089.33827634115</v>
      </c>
      <c r="CU25" s="337"/>
      <c r="CV25" s="338">
        <f>_xlfn.IFNA(VLOOKUP(A25,'LA Deductions'!$A$6:$AN$207,34,FALSE),0)</f>
        <v>-6237.0853999999999</v>
      </c>
      <c r="CW25" s="338">
        <f>_xlfn.IFNA((VLOOKUP($A25,HN!$A:$K,8,FALSE)/12),0)</f>
        <v>0</v>
      </c>
      <c r="CX25" s="338">
        <f>_xlfn.IFNA((VLOOKUP($A25,HN!$A:$BS,14,FALSE)/12),0)</f>
        <v>6000</v>
      </c>
      <c r="CY25" s="338">
        <f>_xlfn.IFNA(VLOOKUP($A25,'Post 16'!$A:$AV,32,FALSE),0)/8</f>
        <v>197073.33333333331</v>
      </c>
      <c r="CZ25" s="338"/>
      <c r="DA25" s="338">
        <f>_xlfn.IFNA((VLOOKUP($A25,HN!$A:$K,9,FALSE)/12),0)+_xlfn.IFNA((VLOOKUP($A25,HN!$A:$K,10,FALSE)/12),0)</f>
        <v>0</v>
      </c>
      <c r="DB25" s="338">
        <f>_xlfn.IFNA((VLOOKUP($A25,HN!$A:$BS,15,FALSE)/12),0)</f>
        <v>17387.255833333333</v>
      </c>
      <c r="DC25" s="337">
        <f t="shared" si="27"/>
        <v>-1058.5024999999998</v>
      </c>
      <c r="DD25" s="337">
        <f t="shared" si="28"/>
        <v>-7134.8258333333333</v>
      </c>
      <c r="DE25" s="338"/>
      <c r="DF25" s="338">
        <f>_xlfn.IFNA(VLOOKUP($A25,'Cash Advances'!$A:$S,14,FALSE),0)</f>
        <v>0</v>
      </c>
      <c r="DG25" s="338">
        <f>(_xlfn.IFNA(VLOOKUP(A25,'LA Deductions'!A:AZ,25,FALSE),0)/9)+(_xlfn.IFNA(VLOOKUP(A25,'LA Deductions'!A:AZ,26,FALSE),0))</f>
        <v>0</v>
      </c>
      <c r="DH25" s="337">
        <f t="shared" si="29"/>
        <v>646119.51370967459</v>
      </c>
      <c r="DI25" s="330">
        <f t="shared" si="30"/>
        <v>440089.33827634115</v>
      </c>
      <c r="DJ25" s="330"/>
      <c r="DK25" s="331"/>
      <c r="DL25" s="331">
        <f>_xlfn.IFNA((VLOOKUP($A25,HN!$A:$K,8,FALSE)/12),0)+_xlfn.IFNA((VLOOKUP($A25,HN!$A:$AF,32,FALSE)*8/12),0)</f>
        <v>0</v>
      </c>
      <c r="DM25" s="331">
        <f>_xlfn.IFNA((VLOOKUP($A25,HN!$A:$BS,14,FALSE)/12),0)+_xlfn.IFNA(VLOOKUP($A25,HN!$A:$BS,31,FALSE),0)</f>
        <v>6000</v>
      </c>
      <c r="DN25" s="331">
        <f>_xlfn.IFNA(VLOOKUP($A25,'Post 16'!$A:$AV,32,FALSE),0)/8</f>
        <v>197073.33333333331</v>
      </c>
      <c r="DO25" s="331"/>
      <c r="DP25" s="331">
        <f>_xlfn.IFNA((VLOOKUP($A25,HN!$A:$K,9,FALSE)/12),0)+_xlfn.IFNA((VLOOKUP($A25,HN!$A:$K,10,FALSE)/12),0)+_xlfn.IFNA((VLOOKUP($A25,HN!$A:$BZ,33,FALSE)*8/12),0)</f>
        <v>0</v>
      </c>
      <c r="DQ25" s="331">
        <f>_xlfn.IFNA((VLOOKUP($A25,HN!$A:$BS,15,FALSE)/12),0)</f>
        <v>17387.255833333333</v>
      </c>
      <c r="DR25" s="330">
        <f t="shared" si="31"/>
        <v>-1058.5024999999998</v>
      </c>
      <c r="DS25" s="330">
        <f t="shared" si="32"/>
        <v>-7134.8258333333333</v>
      </c>
      <c r="DT25" s="331"/>
      <c r="DU25" s="331"/>
      <c r="DV25" s="331">
        <f>(_xlfn.IFNA(VLOOKUP(A25,'LA Deductions'!A:AZ,25,FALSE),0)/9)+_xlfn.IFNA(VLOOKUP(A25,'LA Deductions'!A:AZ,27,FALSE),0)</f>
        <v>0</v>
      </c>
      <c r="DW25" s="330">
        <f t="shared" si="33"/>
        <v>652356.59910967457</v>
      </c>
      <c r="DX25" s="344">
        <f t="shared" si="34"/>
        <v>440089.33827634115</v>
      </c>
      <c r="DY25" s="344"/>
      <c r="DZ25" s="345"/>
      <c r="EA25" s="345">
        <f>_xlfn.IFNA((VLOOKUP($A25,HN!$A:$K,8,FALSE)/12),0)+_xlfn.IFNA((VLOOKUP($A25,HN!$A:$AF,32,FALSE)*1/12),0)</f>
        <v>0</v>
      </c>
      <c r="EB25" s="345">
        <f>_xlfn.IFNA((VLOOKUP($A25,HN!$A:$BS,14,FALSE)/12),0)</f>
        <v>6000</v>
      </c>
      <c r="EC25" s="345">
        <f>_xlfn.IFNA(VLOOKUP($A25,'Post 16'!$A:$AV,32,FALSE),0)/8</f>
        <v>197073.33333333331</v>
      </c>
      <c r="ED25" s="345"/>
      <c r="EE25" s="345">
        <f>_xlfn.IFNA((VLOOKUP($A25,HN!$A:$K,9,FALSE)/12),0)+_xlfn.IFNA((VLOOKUP($A25,HN!$A:$K,10,FALSE)/12),0)+_xlfn.IFNA((VLOOKUP($A25,HN!$A:$BZ,33,FALSE)/12),0)</f>
        <v>0</v>
      </c>
      <c r="EF25" s="345">
        <f>_xlfn.IFNA((VLOOKUP($A25,HN!$A:$BS,15,FALSE)/12),0)</f>
        <v>17387.255833333333</v>
      </c>
      <c r="EG25" s="344">
        <f t="shared" si="35"/>
        <v>-1058.5024999999998</v>
      </c>
      <c r="EH25" s="344">
        <f t="shared" si="36"/>
        <v>-7134.8258333333333</v>
      </c>
      <c r="EI25" s="345"/>
      <c r="EJ25" s="345">
        <f>_xlfn.IFNA(VLOOKUP(A25,'Cash Advances'!A:P,16,FALSE),0)</f>
        <v>0</v>
      </c>
      <c r="EK25" s="345">
        <f>_xlfn.IFNA(VLOOKUP(A25,'LA Deductions'!A:AZ,25,FALSE),0)/9</f>
        <v>0</v>
      </c>
      <c r="EL25" s="344">
        <f t="shared" si="37"/>
        <v>652356.59910967457</v>
      </c>
      <c r="EM25" s="308">
        <f t="shared" si="38"/>
        <v>440089.33827634115</v>
      </c>
      <c r="EN25" s="308">
        <f>((VLOOKUP($A25,EY!$A:$BS,35,FALSE)-(VLOOKUP($A25,EY!$A:$BS,33,FALSE)*80%))+VLOOKUP($A25,EY!$A:$BS,43,FALSE))+(VLOOKUP(A25,EY!A:DF,110,FALSE)-VLOOKUP(A25,EY!A:DD,108,FALSE))+(VLOOKUP(A25,EY!A:CE,83,FALSE)-VLOOKUP(A25,EY!A:CC,81,FALSE))</f>
        <v>0</v>
      </c>
      <c r="EO25" s="309"/>
      <c r="EP25" s="309">
        <f>_xlfn.IFNA((VLOOKUP($A25,HN!$A:$K,8,FALSE)/12),0)+_xlfn.IFNA((VLOOKUP($A25,HN!$A:$AF,32,FALSE)*1/12),0)</f>
        <v>0</v>
      </c>
      <c r="EQ25" s="309">
        <f>_xlfn.IFNA((VLOOKUP($A25,HN!$A:$BS,14,FALSE)/12),0)+_xlfn.IFNA((VLOOKUP($A25,HN!$A:$BS,34,FALSE)/3),0)</f>
        <v>6000</v>
      </c>
      <c r="ER25" s="309">
        <f>_xlfn.IFNA(VLOOKUP($A25,'Post 16'!$A:$AV,32,FALSE),0)/8</f>
        <v>197073.33333333331</v>
      </c>
      <c r="ES25" s="309">
        <f>((VLOOKUP($A25,EY!A:EV,33,FALSE)*80%))+VLOOKUP(A25,EY!A:DD,108,FALSE)+VLOOKUP(A25,EY!A:CC,81,FALSE)</f>
        <v>0</v>
      </c>
      <c r="ET25" s="309">
        <f>_xlfn.IFNA((VLOOKUP($A25,HN!$A:$K,9,FALSE)/12),0)+_xlfn.IFNA((VLOOKUP($A25,HN!$A:$K,10,FALSE)/12),0)+_xlfn.IFNA((VLOOKUP($A25,HN!$A:$BZ,33,FALSE)/12),0)</f>
        <v>0</v>
      </c>
      <c r="EU25" s="309">
        <f>_xlfn.IFNA((VLOOKUP($A25,HN!$A:$BS,15,FALSE)/12),0)</f>
        <v>17387.255833333333</v>
      </c>
      <c r="EV25" s="308">
        <f t="shared" si="39"/>
        <v>-1058.5024999999998</v>
      </c>
      <c r="EW25" s="308">
        <f t="shared" si="40"/>
        <v>-7134.8258333333333</v>
      </c>
      <c r="EX25" s="309"/>
      <c r="EY25" s="309">
        <f>_xlfn.IFNA(VLOOKUP($A25,'Cash Advances'!$A:$S,17,FALSE),0)</f>
        <v>0</v>
      </c>
      <c r="EZ25" s="309">
        <f>_xlfn.IFNA(VLOOKUP(A25,'LA Deductions'!A:AZ,25,FALSE),0)/9</f>
        <v>0</v>
      </c>
      <c r="FA25" s="308">
        <f t="shared" si="41"/>
        <v>652356.59910967457</v>
      </c>
      <c r="FB25" s="315">
        <f t="shared" si="42"/>
        <v>440089.33827634115</v>
      </c>
      <c r="FC25" s="315"/>
      <c r="FD25" s="316"/>
      <c r="FE25" s="316">
        <f>_xlfn.IFNA((VLOOKUP($A25,HN!$A:$K,8,FALSE)/12),0)+_xlfn.IFNA((VLOOKUP($A25,HN!$A:$AF,32,FALSE)*1/12),0)</f>
        <v>0</v>
      </c>
      <c r="FF25" s="316">
        <f>_xlfn.IFNA((VLOOKUP($A25,HN!$A:$BS,14,FALSE)/12),0)+_xlfn.IFNA((VLOOKUP($A25,HN!$A:$BS,34,FALSE)/3),0)</f>
        <v>6000</v>
      </c>
      <c r="FG25" s="316">
        <f>_xlfn.IFNA(VLOOKUP($A25,'Post 16'!$A:$AV,32,FALSE),0)/8</f>
        <v>197073.33333333331</v>
      </c>
      <c r="FH25" s="316"/>
      <c r="FI25" s="316">
        <f>_xlfn.IFNA((VLOOKUP($A25,HN!$A:$K,9,FALSE)/12),0)+_xlfn.IFNA((VLOOKUP($A25,HN!$A:$K,10,FALSE)/12),0)+_xlfn.IFNA((VLOOKUP($A25,HN!$A:$BZ,33,FALSE)/12),0)+_xlfn.IFNA((VLOOKUP($A25,HN!$A:$BZ,35,FALSE)/2),0)</f>
        <v>0</v>
      </c>
      <c r="FJ25" s="316">
        <f>_xlfn.IFNA((VLOOKUP($A25,HN!$A:$BS,15,FALSE)/12),0)+_xlfn.IFNA((VLOOKUP($A25,HN!$A:$CZ,36,FALSE)/2),0)</f>
        <v>31213.860833333332</v>
      </c>
      <c r="FK25" s="315">
        <f t="shared" si="43"/>
        <v>-1058.5024999999998</v>
      </c>
      <c r="FL25" s="315">
        <f t="shared" si="44"/>
        <v>-7134.8258333333333</v>
      </c>
      <c r="FM25" s="316"/>
      <c r="FN25" s="316">
        <f>_xlfn.IFNA(VLOOKUP($A25,'Cash Advances'!$A:$S,18,FALSE),0)</f>
        <v>0</v>
      </c>
      <c r="FO25" s="316">
        <f>_xlfn.IFNA(VLOOKUP(A25,'LA Deductions'!A:AZ,25,FALSE),0)/9</f>
        <v>0</v>
      </c>
      <c r="FP25" s="315">
        <f t="shared" si="45"/>
        <v>666183.20410967455</v>
      </c>
      <c r="FQ25" s="322">
        <f t="shared" si="46"/>
        <v>440089.33827634115</v>
      </c>
      <c r="FR25" s="322"/>
      <c r="FS25" s="323"/>
      <c r="FT25" s="323">
        <f>_xlfn.IFNA((VLOOKUP($A25,HN!$A:$K,8,FALSE)/12),0)+_xlfn.IFNA((VLOOKUP($A25,HN!$A:$AF,32,FALSE)*1/12),0)</f>
        <v>0</v>
      </c>
      <c r="FU25" s="323">
        <f>_xlfn.IFNA((VLOOKUP($A25,HN!$A:$BS,14,FALSE)/12),0)+_xlfn.IFNA((VLOOKUP($A25,HN!$A:$BS,34,FALSE)/3),0)</f>
        <v>6000</v>
      </c>
      <c r="FV25" s="323">
        <f>_xlfn.IFNA(VLOOKUP($A25,'Post 16'!$A:$AV,32,FALSE),0)/8</f>
        <v>197073.33333333331</v>
      </c>
      <c r="FW25" s="323"/>
      <c r="FX25" s="323">
        <f>_xlfn.IFNA((VLOOKUP($A25,HN!$A:$K,9,FALSE)/12),0)+_xlfn.IFNA((VLOOKUP($A25,HN!$A:$K,10,FALSE)/12),0)+_xlfn.IFNA((VLOOKUP($A25,HN!$A:$BZ,33,FALSE)/12),0)+_xlfn.IFNA((VLOOKUP($A25,HN!$A:$BZ,35,FALSE)/2),0)</f>
        <v>0</v>
      </c>
      <c r="FY25" s="323">
        <f>_xlfn.IFNA((VLOOKUP($A25,HN!$A:$BS,15,FALSE)/12),0)+_xlfn.IFNA((VLOOKUP($A25,HN!$A:$CZ,36,FALSE)/2),0)</f>
        <v>31213.860833333332</v>
      </c>
      <c r="FZ25" s="322">
        <f t="shared" si="47"/>
        <v>-1058.5024999999998</v>
      </c>
      <c r="GA25" s="322">
        <f t="shared" si="48"/>
        <v>-7134.8258333333333</v>
      </c>
      <c r="GB25" s="323"/>
      <c r="GC25" s="323"/>
      <c r="GD25" s="323">
        <f>_xlfn.IFNA(VLOOKUP(A25,'LA Deductions'!A:AZ,25,FALSE),0)/9</f>
        <v>0</v>
      </c>
      <c r="GE25" s="322">
        <f t="shared" si="49"/>
        <v>666183.20410967455</v>
      </c>
      <c r="GG25" s="146">
        <f t="shared" si="50"/>
        <v>5346834.9739160948</v>
      </c>
      <c r="GH25" s="146">
        <f t="shared" si="50"/>
        <v>2304210.6666666665</v>
      </c>
      <c r="GI25" s="146">
        <f t="shared" si="50"/>
        <v>236300.28</v>
      </c>
      <c r="GJ25" s="146">
        <f t="shared" si="50"/>
        <v>-12702.03</v>
      </c>
      <c r="GK25" s="146">
        <f t="shared" si="50"/>
        <v>-85617.910000000018</v>
      </c>
      <c r="GL25" s="146">
        <f t="shared" si="50"/>
        <v>-18745.650000000001</v>
      </c>
      <c r="GN25" s="146">
        <f t="shared" si="51"/>
        <v>5346834.9739160948</v>
      </c>
      <c r="GO25" s="146">
        <f t="shared" si="51"/>
        <v>2304210.6666666665</v>
      </c>
      <c r="GP25" s="146">
        <f t="shared" si="51"/>
        <v>236300.28</v>
      </c>
      <c r="GQ25" s="146">
        <f t="shared" si="51"/>
        <v>-12702.03</v>
      </c>
      <c r="GR25" s="146">
        <f t="shared" si="51"/>
        <v>-85617.910000000018</v>
      </c>
      <c r="GS25" s="146">
        <f t="shared" si="51"/>
        <v>-18745.650000000001</v>
      </c>
      <c r="GU25" s="146"/>
      <c r="GV25" s="57"/>
    </row>
    <row r="26" spans="1:204">
      <c r="A26" s="185">
        <v>2030</v>
      </c>
      <c r="B26" s="185">
        <v>103172</v>
      </c>
      <c r="C26" s="185" t="s">
        <v>67</v>
      </c>
      <c r="D26" s="2" t="s">
        <v>68</v>
      </c>
      <c r="E26" s="191" t="s">
        <v>32</v>
      </c>
      <c r="F26" s="191" t="s">
        <v>912</v>
      </c>
      <c r="H26" s="279">
        <f>_xlfn.IFNA(VLOOKUP($A26,ISB!$A$4:$BY$454,67,FALSE),0)</f>
        <v>3696355.5161377657</v>
      </c>
      <c r="I26" s="279">
        <f>_xlfn.IFNA(VLOOKUP($A26,ISB!$A$4:$BY$454,72,FALSE),0)</f>
        <v>-16143.519999999999</v>
      </c>
      <c r="J26" s="279">
        <f>-_xlfn.IFNA(VLOOKUP($A26,ISB!$A$4:$BY$454,76,FALSE),0)</f>
        <v>-33389.800000000003</v>
      </c>
      <c r="K26" s="279">
        <f>_xlfn.IFNA(VLOOKUP($A26,ISB!$A$4:$BY$454,77,FALSE),0)</f>
        <v>3646822.1961377659</v>
      </c>
      <c r="M26" s="301">
        <f t="shared" si="7"/>
        <v>308029.62634481379</v>
      </c>
      <c r="N26" s="301">
        <f>VLOOKUP($A26,EY!$A:$H,8,FALSE)+(VLOOKUP($A26,EY!$A:$BS,17,FALSE)-S26)+VLOOKUP($A26,EY!$A:$BS,41,FALSE)</f>
        <v>48790.560000000005</v>
      </c>
      <c r="O26" s="302"/>
      <c r="P26" s="302">
        <f>_xlfn.IFNA((VLOOKUP($A26,HN!$A:$K,8,FALSE)/12),0)</f>
        <v>0</v>
      </c>
      <c r="Q26" s="302">
        <f>_xlfn.IFNA((VLOOKUP($A26,HN!$A:$BS,14,FALSE)/12),0)</f>
        <v>0</v>
      </c>
      <c r="R26" s="302">
        <f>_xlfn.IFNA(VLOOKUP($A26,'Post 16'!$A:$V,21,FALSE),0)/4</f>
        <v>0</v>
      </c>
      <c r="S26" s="302">
        <f>VLOOKUP($A26,EY!A:Q,15,FALSE)*80%</f>
        <v>0</v>
      </c>
      <c r="T26" s="302">
        <f>_xlfn.IFNA((VLOOKUP($A26,HN!$A:$K,9,FALSE)/12),0)+_xlfn.IFNA((VLOOKUP($A26,HN!$A:$K,10,FALSE)/12),0)</f>
        <v>0</v>
      </c>
      <c r="U26" s="302">
        <f>_xlfn.IFNA((VLOOKUP($A26,HN!$A:$BS,15,FALSE)/12),0)</f>
        <v>0</v>
      </c>
      <c r="V26" s="301">
        <f t="shared" si="8"/>
        <v>-1345.2933333333333</v>
      </c>
      <c r="W26" s="301">
        <f t="shared" si="9"/>
        <v>-2782.4833333333336</v>
      </c>
      <c r="X26" s="302"/>
      <c r="Y26" s="302">
        <f>_xlfn.IFNA(VLOOKUP($A26,'Cash Advances'!$A:$S,8,FALSE),0)</f>
        <v>0</v>
      </c>
      <c r="Z26" s="301">
        <f t="shared" si="0"/>
        <v>352692.40967814712</v>
      </c>
      <c r="AA26" s="315">
        <f t="shared" si="10"/>
        <v>308029.62634481379</v>
      </c>
      <c r="AB26" s="315"/>
      <c r="AC26" s="316"/>
      <c r="AD26" s="316">
        <f>_xlfn.IFNA((VLOOKUP($A26,HN!$A:$K,8,FALSE)/12),0)</f>
        <v>0</v>
      </c>
      <c r="AE26" s="316">
        <f>_xlfn.IFNA((VLOOKUP($A26,HN!$A:$BS,14,FALSE)/12),0)</f>
        <v>0</v>
      </c>
      <c r="AF26" s="316">
        <f>_xlfn.IFNA(VLOOKUP($A26,'Post 16'!$A:$V,21,FALSE),0)/4</f>
        <v>0</v>
      </c>
      <c r="AG26" s="316"/>
      <c r="AH26" s="316">
        <f>_xlfn.IFNA((VLOOKUP($A26,HN!$A:$K,9,FALSE)/12),0)+_xlfn.IFNA((VLOOKUP($A26,HN!$A:$K,10,FALSE)/12),0)</f>
        <v>0</v>
      </c>
      <c r="AI26" s="316">
        <f>_xlfn.IFNA((VLOOKUP($A26,HN!$A:$BS,15,FALSE)/12),0)</f>
        <v>0</v>
      </c>
      <c r="AJ26" s="315">
        <f t="shared" si="11"/>
        <v>-1345.2933333333333</v>
      </c>
      <c r="AK26" s="315">
        <f t="shared" si="12"/>
        <v>-2782.4833333333336</v>
      </c>
      <c r="AL26" s="316"/>
      <c r="AM26" s="316">
        <f>_xlfn.IFNA(VLOOKUP($A26,'Cash Advances'!$A:$S,9,FALSE),0)</f>
        <v>0</v>
      </c>
      <c r="AN26" s="315">
        <f t="shared" si="1"/>
        <v>303901.84967814712</v>
      </c>
      <c r="AO26" s="308">
        <f t="shared" si="13"/>
        <v>308029.62634481379</v>
      </c>
      <c r="AP26" s="308"/>
      <c r="AQ26" s="309"/>
      <c r="AR26" s="309">
        <f>_xlfn.IFNA((VLOOKUP($A26,HN!$A:$K,8,FALSE)/12),0)</f>
        <v>0</v>
      </c>
      <c r="AS26" s="309">
        <f>_xlfn.IFNA((VLOOKUP($A26,HN!$A:$BS,14,FALSE)/12),0)</f>
        <v>0</v>
      </c>
      <c r="AT26" s="309">
        <f>_xlfn.IFNA(VLOOKUP($A26,'Post 16'!$A:$V,21,FALSE),0)/4</f>
        <v>0</v>
      </c>
      <c r="AU26" s="309"/>
      <c r="AV26" s="309">
        <f>_xlfn.IFNA((VLOOKUP($A26,HN!$A:$K,9,FALSE)/12),0)+_xlfn.IFNA((VLOOKUP($A26,HN!$A:$K,10,FALSE)/12),0)+_xlfn.IFNA(VLOOKUP(A26,HN!A:V,19,FALSE),0)+_xlfn.IFNA(VLOOKUP(A26,HN!A:V,20,FALSE),0)+_xlfn.IFNA(VLOOKUP(A26,HN!A:V,21,FALSE),0)</f>
        <v>0</v>
      </c>
      <c r="AW26" s="309">
        <f>_xlfn.IFNA((VLOOKUP($A26,HN!$A:$BS,15,FALSE)/12),0)</f>
        <v>0</v>
      </c>
      <c r="AX26" s="308">
        <f t="shared" si="14"/>
        <v>-1345.2933333333333</v>
      </c>
      <c r="AY26" s="308">
        <f t="shared" si="15"/>
        <v>-2782.4833333333336</v>
      </c>
      <c r="AZ26" s="309"/>
      <c r="BA26" s="309">
        <f>_xlfn.IFNA(VLOOKUP($A26,'Cash Advances'!$A:$S,10,FALSE),0)</f>
        <v>0</v>
      </c>
      <c r="BB26" s="308">
        <f t="shared" si="2"/>
        <v>303901.84967814712</v>
      </c>
      <c r="BC26" s="330">
        <f t="shared" si="16"/>
        <v>308029.62634481379</v>
      </c>
      <c r="BD26" s="330"/>
      <c r="BE26" s="331"/>
      <c r="BF26" s="331">
        <f>_xlfn.IFNA((VLOOKUP($A26,HN!$A:$K,8,FALSE)/12),0)</f>
        <v>0</v>
      </c>
      <c r="BG26" s="331">
        <f>_xlfn.IFNA((VLOOKUP($A26,HN!$A:$BS,14,FALSE)/12),0)</f>
        <v>0</v>
      </c>
      <c r="BH26" s="331">
        <f>_xlfn.IFNA(VLOOKUP($A26,'Post 16'!$A:$V,21,FALSE),0)/4</f>
        <v>0</v>
      </c>
      <c r="BI26" s="331"/>
      <c r="BJ26" s="331">
        <f>_xlfn.IFNA((VLOOKUP($A26,HN!$A:$K,9,FALSE)/12),0)+_xlfn.IFNA((VLOOKUP($A26,HN!$A:$K,10,FALSE)/12),0)</f>
        <v>0</v>
      </c>
      <c r="BK26" s="331">
        <f>_xlfn.IFNA((VLOOKUP($A26,HN!$A:$BS,15,FALSE)/12),0)</f>
        <v>0</v>
      </c>
      <c r="BL26" s="330">
        <f t="shared" si="17"/>
        <v>-1345.2933333333333</v>
      </c>
      <c r="BM26" s="330">
        <f t="shared" si="18"/>
        <v>-2782.4833333333336</v>
      </c>
      <c r="BN26" s="331"/>
      <c r="BO26" s="331">
        <f>_xlfn.IFNA(VLOOKUP(A26,'Cash Advances'!A:K,11,FALSE),0)</f>
        <v>0</v>
      </c>
      <c r="BP26" s="330">
        <f t="shared" si="3"/>
        <v>303901.84967814712</v>
      </c>
      <c r="BQ26" s="322">
        <f t="shared" si="19"/>
        <v>308029.62634481379</v>
      </c>
      <c r="BR26" s="322"/>
      <c r="BS26" s="323"/>
      <c r="BT26" s="323">
        <f>_xlfn.IFNA((VLOOKUP($A26,HN!$A:$K,8,FALSE)/12),0)</f>
        <v>0</v>
      </c>
      <c r="BU26" s="323">
        <f>_xlfn.IFNA((VLOOKUP($A26,HN!$A:$BS,14,FALSE)/12),0)</f>
        <v>0</v>
      </c>
      <c r="BV26" s="323">
        <f>(_xlfn.IFNA(VLOOKUP($A26,'Post 16'!$A:$AV,32,FALSE),0)/8)+_xlfn.IFNA(VLOOKUP($A26,'Post 16'!$A:$AR,40,FALSE),0)</f>
        <v>0</v>
      </c>
      <c r="BW26" s="323"/>
      <c r="BX26" s="323">
        <f>_xlfn.IFNA((VLOOKUP($A26,HN!$A:$K,9,FALSE)/12),0)+_xlfn.IFNA((VLOOKUP($A26,HN!$A:$K,10,FALSE)/12),0)</f>
        <v>0</v>
      </c>
      <c r="BY26" s="323">
        <f>_xlfn.IFNA((VLOOKUP($A26,HN!$A:$BS,15,FALSE)/12),0)</f>
        <v>0</v>
      </c>
      <c r="BZ26" s="322">
        <f t="shared" si="20"/>
        <v>-1345.2933333333333</v>
      </c>
      <c r="CA26" s="322">
        <f t="shared" si="21"/>
        <v>-2782.4833333333336</v>
      </c>
      <c r="CB26" s="323"/>
      <c r="CC26" s="323"/>
      <c r="CD26" s="322">
        <f t="shared" si="4"/>
        <v>303901.84967814712</v>
      </c>
      <c r="CE26" s="357">
        <f t="shared" si="22"/>
        <v>308029.62634481379</v>
      </c>
      <c r="CF26" s="357">
        <f>(VLOOKUP($A26,EY!$A:$BS,26,FALSE)-(VLOOKUP($A26,EY!A:CR,24,FALSE)*80%))+VLOOKUP($A26,EY!$A:$BS,42,FALSE)+(VLOOKUP($A26,EY!A:CC,74,FALSE)-VLOOKUP($A26,EY!A:CC,72,FALSE))</f>
        <v>63545.04</v>
      </c>
      <c r="CG26" s="358"/>
      <c r="CH26" s="358">
        <f>_xlfn.IFNA((VLOOKUP($A26,HN!$A:$K,8,FALSE)/12),0)</f>
        <v>0</v>
      </c>
      <c r="CI26" s="358">
        <f>_xlfn.IFNA((VLOOKUP($A26,HN!$A:$BS,14,FALSE)/12),0)</f>
        <v>0</v>
      </c>
      <c r="CJ26" s="358">
        <f>(_xlfn.IFNA(VLOOKUP($A26,'Post 16'!$A:$AV,32,FALSE),0)/8)</f>
        <v>0</v>
      </c>
      <c r="CK26" s="358">
        <f>(VLOOKUP($A26,EY!A:CR,24,FALSE)*80%)+VLOOKUP($A26,EY!A:CC,72,FALSE)</f>
        <v>0</v>
      </c>
      <c r="CL26" s="358">
        <f>_xlfn.IFNA((VLOOKUP($A26,HN!$A:$K,9,FALSE)/12),0)+_xlfn.IFNA((VLOOKUP($A26,HN!$A:$K,10,FALSE)/12),0)</f>
        <v>0</v>
      </c>
      <c r="CM26" s="358">
        <f>_xlfn.IFNA((VLOOKUP($A26,HN!$A:$BS,15,FALSE)/12),0)</f>
        <v>0</v>
      </c>
      <c r="CN26" s="357">
        <f t="shared" si="23"/>
        <v>-1345.2933333333333</v>
      </c>
      <c r="CO26" s="357">
        <f t="shared" si="24"/>
        <v>-2782.4833333333336</v>
      </c>
      <c r="CP26" s="358">
        <f>_xlfn.IFNA(VLOOKUP(A26,'LA Deductions'!A:W,23,FALSE),0)</f>
        <v>-17415</v>
      </c>
      <c r="CQ26" s="358">
        <f>_xlfn.IFNA(VLOOKUP($A26,'Cash Advances'!$A:$S,13,FALSE),0)</f>
        <v>0</v>
      </c>
      <c r="CR26" s="358">
        <f>_xlfn.IFNA(VLOOKUP(A26,'LA Deductions'!A:AZ,25,FALSE),0)/9*3</f>
        <v>0</v>
      </c>
      <c r="CS26" s="357">
        <f t="shared" si="25"/>
        <v>350031.8896781471</v>
      </c>
      <c r="CT26" s="337">
        <f t="shared" si="26"/>
        <v>308029.62634481379</v>
      </c>
      <c r="CU26" s="337"/>
      <c r="CV26" s="338">
        <f>_xlfn.IFNA(VLOOKUP(A26,'LA Deductions'!$A$6:$AN$207,34,FALSE),0)</f>
        <v>0</v>
      </c>
      <c r="CW26" s="338">
        <f>_xlfn.IFNA((VLOOKUP($A26,HN!$A:$K,8,FALSE)/12),0)</f>
        <v>0</v>
      </c>
      <c r="CX26" s="338">
        <f>_xlfn.IFNA((VLOOKUP($A26,HN!$A:$BS,14,FALSE)/12),0)</f>
        <v>0</v>
      </c>
      <c r="CY26" s="338">
        <f>_xlfn.IFNA(VLOOKUP($A26,'Post 16'!$A:$AV,32,FALSE),0)/8</f>
        <v>0</v>
      </c>
      <c r="CZ26" s="338"/>
      <c r="DA26" s="338">
        <f>_xlfn.IFNA((VLOOKUP($A26,HN!$A:$K,9,FALSE)/12),0)+_xlfn.IFNA((VLOOKUP($A26,HN!$A:$K,10,FALSE)/12),0)</f>
        <v>0</v>
      </c>
      <c r="DB26" s="338">
        <f>_xlfn.IFNA((VLOOKUP($A26,HN!$A:$BS,15,FALSE)/12),0)</f>
        <v>0</v>
      </c>
      <c r="DC26" s="337">
        <f t="shared" si="27"/>
        <v>-1345.2933333333333</v>
      </c>
      <c r="DD26" s="337">
        <f t="shared" si="28"/>
        <v>-2782.4833333333336</v>
      </c>
      <c r="DE26" s="338"/>
      <c r="DF26" s="338">
        <f>_xlfn.IFNA(VLOOKUP($A26,'Cash Advances'!$A:$S,14,FALSE),0)</f>
        <v>0</v>
      </c>
      <c r="DG26" s="338">
        <f>(_xlfn.IFNA(VLOOKUP(A26,'LA Deductions'!A:AZ,25,FALSE),0)/9)+(_xlfn.IFNA(VLOOKUP(A26,'LA Deductions'!A:AZ,26,FALSE),0))</f>
        <v>0</v>
      </c>
      <c r="DH26" s="337">
        <f t="shared" si="29"/>
        <v>303901.84967814712</v>
      </c>
      <c r="DI26" s="330">
        <f t="shared" si="30"/>
        <v>308029.62634481379</v>
      </c>
      <c r="DJ26" s="330"/>
      <c r="DK26" s="331"/>
      <c r="DL26" s="331">
        <f>_xlfn.IFNA((VLOOKUP($A26,HN!$A:$K,8,FALSE)/12),0)+_xlfn.IFNA((VLOOKUP($A26,HN!$A:$AF,32,FALSE)*8/12),0)</f>
        <v>0</v>
      </c>
      <c r="DM26" s="331">
        <f>_xlfn.IFNA((VLOOKUP($A26,HN!$A:$BS,14,FALSE)/12),0)+_xlfn.IFNA(VLOOKUP($A26,HN!$A:$BS,31,FALSE),0)</f>
        <v>0</v>
      </c>
      <c r="DN26" s="331">
        <f>_xlfn.IFNA(VLOOKUP($A26,'Post 16'!$A:$AV,32,FALSE),0)/8</f>
        <v>0</v>
      </c>
      <c r="DO26" s="331"/>
      <c r="DP26" s="331">
        <f>_xlfn.IFNA((VLOOKUP($A26,HN!$A:$K,9,FALSE)/12),0)+_xlfn.IFNA((VLOOKUP($A26,HN!$A:$K,10,FALSE)/12),0)+_xlfn.IFNA((VLOOKUP($A26,HN!$A:$BZ,33,FALSE)*8/12),0)</f>
        <v>0</v>
      </c>
      <c r="DQ26" s="331">
        <f>_xlfn.IFNA((VLOOKUP($A26,HN!$A:$BS,15,FALSE)/12),0)</f>
        <v>0</v>
      </c>
      <c r="DR26" s="330">
        <f t="shared" si="31"/>
        <v>-1345.2933333333333</v>
      </c>
      <c r="DS26" s="330">
        <f t="shared" si="32"/>
        <v>-2782.4833333333336</v>
      </c>
      <c r="DT26" s="331"/>
      <c r="DU26" s="331"/>
      <c r="DV26" s="331">
        <f>(_xlfn.IFNA(VLOOKUP(A26,'LA Deductions'!A:AZ,25,FALSE),0)/9)+_xlfn.IFNA(VLOOKUP(A26,'LA Deductions'!A:AZ,27,FALSE),0)</f>
        <v>0</v>
      </c>
      <c r="DW26" s="330">
        <f t="shared" si="33"/>
        <v>303901.84967814712</v>
      </c>
      <c r="DX26" s="344">
        <f t="shared" si="34"/>
        <v>308029.62634481379</v>
      </c>
      <c r="DY26" s="344"/>
      <c r="DZ26" s="345"/>
      <c r="EA26" s="345">
        <f>_xlfn.IFNA((VLOOKUP($A26,HN!$A:$K,8,FALSE)/12),0)+_xlfn.IFNA((VLOOKUP($A26,HN!$A:$AF,32,FALSE)*1/12),0)</f>
        <v>0</v>
      </c>
      <c r="EB26" s="345">
        <f>_xlfn.IFNA((VLOOKUP($A26,HN!$A:$BS,14,FALSE)/12),0)</f>
        <v>0</v>
      </c>
      <c r="EC26" s="345">
        <f>_xlfn.IFNA(VLOOKUP($A26,'Post 16'!$A:$AV,32,FALSE),0)/8</f>
        <v>0</v>
      </c>
      <c r="ED26" s="345"/>
      <c r="EE26" s="345">
        <f>_xlfn.IFNA((VLOOKUP($A26,HN!$A:$K,9,FALSE)/12),0)+_xlfn.IFNA((VLOOKUP($A26,HN!$A:$K,10,FALSE)/12),0)+_xlfn.IFNA((VLOOKUP($A26,HN!$A:$BZ,33,FALSE)/12),0)</f>
        <v>0</v>
      </c>
      <c r="EF26" s="345">
        <f>_xlfn.IFNA((VLOOKUP($A26,HN!$A:$BS,15,FALSE)/12),0)</f>
        <v>0</v>
      </c>
      <c r="EG26" s="344">
        <f t="shared" si="35"/>
        <v>-1345.2933333333333</v>
      </c>
      <c r="EH26" s="344">
        <f t="shared" si="36"/>
        <v>-2782.4833333333336</v>
      </c>
      <c r="EI26" s="345"/>
      <c r="EJ26" s="345">
        <f>_xlfn.IFNA(VLOOKUP(A26,'Cash Advances'!A:P,16,FALSE),0)</f>
        <v>0</v>
      </c>
      <c r="EK26" s="345">
        <f>_xlfn.IFNA(VLOOKUP(A26,'LA Deductions'!A:AZ,25,FALSE),0)/9</f>
        <v>0</v>
      </c>
      <c r="EL26" s="344">
        <f t="shared" si="37"/>
        <v>303901.84967814712</v>
      </c>
      <c r="EM26" s="308">
        <f t="shared" si="38"/>
        <v>308029.62634481379</v>
      </c>
      <c r="EN26" s="308">
        <f>((VLOOKUP($A26,EY!$A:$BS,35,FALSE)-(VLOOKUP($A26,EY!$A:$BS,33,FALSE)*80%))+VLOOKUP($A26,EY!$A:$BS,43,FALSE))+(VLOOKUP(A26,EY!A:DF,110,FALSE)-VLOOKUP(A26,EY!A:DD,108,FALSE))+(VLOOKUP(A26,EY!A:CE,83,FALSE)-VLOOKUP(A26,EY!A:CC,81,FALSE))</f>
        <v>32957.314736842105</v>
      </c>
      <c r="EO26" s="309"/>
      <c r="EP26" s="309">
        <f>_xlfn.IFNA((VLOOKUP($A26,HN!$A:$K,8,FALSE)/12),0)+_xlfn.IFNA((VLOOKUP($A26,HN!$A:$AF,32,FALSE)*1/12),0)</f>
        <v>0</v>
      </c>
      <c r="EQ26" s="309">
        <f>_xlfn.IFNA((VLOOKUP($A26,HN!$A:$BS,14,FALSE)/12),0)+_xlfn.IFNA((VLOOKUP($A26,HN!$A:$BS,34,FALSE)/3),0)</f>
        <v>0</v>
      </c>
      <c r="ER26" s="309">
        <f>_xlfn.IFNA(VLOOKUP($A26,'Post 16'!$A:$AV,32,FALSE),0)/8</f>
        <v>0</v>
      </c>
      <c r="ES26" s="309">
        <f>((VLOOKUP($A26,EY!A:EV,33,FALSE)*80%))+VLOOKUP(A26,EY!A:DD,108,FALSE)+VLOOKUP(A26,EY!A:CC,81,FALSE)</f>
        <v>0</v>
      </c>
      <c r="ET26" s="309">
        <f>_xlfn.IFNA((VLOOKUP($A26,HN!$A:$K,9,FALSE)/12),0)+_xlfn.IFNA((VLOOKUP($A26,HN!$A:$K,10,FALSE)/12),0)+_xlfn.IFNA((VLOOKUP($A26,HN!$A:$BZ,33,FALSE)/12),0)</f>
        <v>0</v>
      </c>
      <c r="EU26" s="309">
        <f>_xlfn.IFNA((VLOOKUP($A26,HN!$A:$BS,15,FALSE)/12),0)</f>
        <v>0</v>
      </c>
      <c r="EV26" s="308">
        <f t="shared" si="39"/>
        <v>-1345.2933333333333</v>
      </c>
      <c r="EW26" s="308">
        <f t="shared" si="40"/>
        <v>-2782.4833333333336</v>
      </c>
      <c r="EX26" s="309"/>
      <c r="EY26" s="309">
        <f>_xlfn.IFNA(VLOOKUP($A26,'Cash Advances'!$A:$S,17,FALSE),0)</f>
        <v>0</v>
      </c>
      <c r="EZ26" s="309">
        <f>_xlfn.IFNA(VLOOKUP(A26,'LA Deductions'!A:AZ,25,FALSE),0)/9</f>
        <v>0</v>
      </c>
      <c r="FA26" s="308">
        <f t="shared" si="41"/>
        <v>336859.16441498924</v>
      </c>
      <c r="FB26" s="315">
        <f t="shared" si="42"/>
        <v>308029.62634481379</v>
      </c>
      <c r="FC26" s="315"/>
      <c r="FD26" s="316"/>
      <c r="FE26" s="316">
        <f>_xlfn.IFNA((VLOOKUP($A26,HN!$A:$K,8,FALSE)/12),0)+_xlfn.IFNA((VLOOKUP($A26,HN!$A:$AF,32,FALSE)*1/12),0)</f>
        <v>0</v>
      </c>
      <c r="FF26" s="316">
        <f>_xlfn.IFNA((VLOOKUP($A26,HN!$A:$BS,14,FALSE)/12),0)+_xlfn.IFNA((VLOOKUP($A26,HN!$A:$BS,34,FALSE)/3),0)</f>
        <v>0</v>
      </c>
      <c r="FG26" s="316">
        <f>_xlfn.IFNA(VLOOKUP($A26,'Post 16'!$A:$AV,32,FALSE),0)/8</f>
        <v>0</v>
      </c>
      <c r="FH26" s="316"/>
      <c r="FI26" s="316">
        <f>_xlfn.IFNA((VLOOKUP($A26,HN!$A:$K,9,FALSE)/12),0)+_xlfn.IFNA((VLOOKUP($A26,HN!$A:$K,10,FALSE)/12),0)+_xlfn.IFNA((VLOOKUP($A26,HN!$A:$BZ,33,FALSE)/12),0)+_xlfn.IFNA((VLOOKUP($A26,HN!$A:$BZ,35,FALSE)/2),0)</f>
        <v>0</v>
      </c>
      <c r="FJ26" s="316">
        <f>_xlfn.IFNA((VLOOKUP($A26,HN!$A:$BS,15,FALSE)/12),0)+_xlfn.IFNA((VLOOKUP($A26,HN!$A:$CZ,36,FALSE)/2),0)</f>
        <v>0</v>
      </c>
      <c r="FK26" s="315">
        <f t="shared" si="43"/>
        <v>-1345.2933333333333</v>
      </c>
      <c r="FL26" s="315">
        <f t="shared" si="44"/>
        <v>-2782.4833333333336</v>
      </c>
      <c r="FM26" s="316"/>
      <c r="FN26" s="316">
        <f>_xlfn.IFNA(VLOOKUP($A26,'Cash Advances'!$A:$S,18,FALSE),0)</f>
        <v>0</v>
      </c>
      <c r="FO26" s="316">
        <f>_xlfn.IFNA(VLOOKUP(A26,'LA Deductions'!A:AZ,25,FALSE),0)/9</f>
        <v>0</v>
      </c>
      <c r="FP26" s="315">
        <f t="shared" si="45"/>
        <v>303901.84967814712</v>
      </c>
      <c r="FQ26" s="322">
        <f t="shared" si="46"/>
        <v>308029.62634481379</v>
      </c>
      <c r="FR26" s="322"/>
      <c r="FS26" s="323"/>
      <c r="FT26" s="323">
        <f>_xlfn.IFNA((VLOOKUP($A26,HN!$A:$K,8,FALSE)/12),0)+_xlfn.IFNA((VLOOKUP($A26,HN!$A:$AF,32,FALSE)*1/12),0)</f>
        <v>0</v>
      </c>
      <c r="FU26" s="323">
        <f>_xlfn.IFNA((VLOOKUP($A26,HN!$A:$BS,14,FALSE)/12),0)+_xlfn.IFNA((VLOOKUP($A26,HN!$A:$BS,34,FALSE)/3),0)</f>
        <v>0</v>
      </c>
      <c r="FV26" s="323">
        <f>_xlfn.IFNA(VLOOKUP($A26,'Post 16'!$A:$AV,32,FALSE),0)/8</f>
        <v>0</v>
      </c>
      <c r="FW26" s="323"/>
      <c r="FX26" s="323">
        <f>_xlfn.IFNA((VLOOKUP($A26,HN!$A:$K,9,FALSE)/12),0)+_xlfn.IFNA((VLOOKUP($A26,HN!$A:$K,10,FALSE)/12),0)+_xlfn.IFNA((VLOOKUP($A26,HN!$A:$BZ,33,FALSE)/12),0)+_xlfn.IFNA((VLOOKUP($A26,HN!$A:$BZ,35,FALSE)/2),0)</f>
        <v>0</v>
      </c>
      <c r="FY26" s="323">
        <f>_xlfn.IFNA((VLOOKUP($A26,HN!$A:$BS,15,FALSE)/12),0)+_xlfn.IFNA((VLOOKUP($A26,HN!$A:$CZ,36,FALSE)/2),0)</f>
        <v>0</v>
      </c>
      <c r="FZ26" s="322">
        <f t="shared" si="47"/>
        <v>-1345.2933333333333</v>
      </c>
      <c r="GA26" s="322">
        <f t="shared" si="48"/>
        <v>-2782.4833333333336</v>
      </c>
      <c r="GB26" s="323"/>
      <c r="GC26" s="323"/>
      <c r="GD26" s="323">
        <f>_xlfn.IFNA(VLOOKUP(A26,'LA Deductions'!A:AZ,25,FALSE),0)/9</f>
        <v>0</v>
      </c>
      <c r="GE26" s="322">
        <f t="shared" si="49"/>
        <v>303901.84967814712</v>
      </c>
      <c r="GG26" s="146">
        <f t="shared" si="50"/>
        <v>3841648.4308746085</v>
      </c>
      <c r="GH26" s="146">
        <f t="shared" si="50"/>
        <v>0</v>
      </c>
      <c r="GI26" s="146">
        <f t="shared" si="50"/>
        <v>0</v>
      </c>
      <c r="GJ26" s="146">
        <f t="shared" si="50"/>
        <v>-16143.519999999999</v>
      </c>
      <c r="GK26" s="146">
        <f t="shared" si="50"/>
        <v>-33389.800000000003</v>
      </c>
      <c r="GL26" s="146">
        <f t="shared" si="50"/>
        <v>-17415</v>
      </c>
      <c r="GN26" s="146">
        <f t="shared" si="51"/>
        <v>3841648.4308746085</v>
      </c>
      <c r="GO26" s="146">
        <f t="shared" si="51"/>
        <v>0</v>
      </c>
      <c r="GP26" s="146">
        <f t="shared" si="51"/>
        <v>0</v>
      </c>
      <c r="GQ26" s="146">
        <f t="shared" si="51"/>
        <v>-16143.519999999999</v>
      </c>
      <c r="GR26" s="146">
        <f t="shared" si="51"/>
        <v>-33389.800000000003</v>
      </c>
      <c r="GS26" s="146">
        <f t="shared" si="51"/>
        <v>-17415</v>
      </c>
      <c r="GU26" s="146"/>
      <c r="GV26" s="57"/>
    </row>
    <row r="27" spans="1:204">
      <c r="A27" s="185">
        <v>3353</v>
      </c>
      <c r="B27" s="185">
        <v>103445</v>
      </c>
      <c r="C27" s="185" t="s">
        <v>69</v>
      </c>
      <c r="D27" s="2" t="s">
        <v>70</v>
      </c>
      <c r="E27" s="191" t="s">
        <v>32</v>
      </c>
      <c r="F27" s="191" t="s">
        <v>912</v>
      </c>
      <c r="H27" s="279">
        <f>_xlfn.IFNA(VLOOKUP($A27,ISB!$A$4:$BY$454,67,FALSE),0)</f>
        <v>3231968.18</v>
      </c>
      <c r="I27" s="279">
        <f>_xlfn.IFNA(VLOOKUP($A27,ISB!$A$4:$BY$454,72,FALSE),0)</f>
        <v>-16952</v>
      </c>
      <c r="J27" s="279">
        <f>-_xlfn.IFNA(VLOOKUP($A27,ISB!$A$4:$BY$454,76,FALSE),0)</f>
        <v>-11218.18</v>
      </c>
      <c r="K27" s="279">
        <f>_xlfn.IFNA(VLOOKUP($A27,ISB!$A$4:$BY$454,77,FALSE),0)</f>
        <v>3203798</v>
      </c>
      <c r="M27" s="301">
        <f t="shared" si="7"/>
        <v>269330.6816666667</v>
      </c>
      <c r="N27" s="301">
        <f>VLOOKUP($A27,EY!$A:$H,8,FALSE)+(VLOOKUP($A27,EY!$A:$BS,17,FALSE)-S27)+VLOOKUP($A27,EY!$A:$BS,41,FALSE)</f>
        <v>0</v>
      </c>
      <c r="O27" s="302"/>
      <c r="P27" s="302">
        <f>_xlfn.IFNA((VLOOKUP($A27,HN!$A:$K,8,FALSE)/12),0)</f>
        <v>0</v>
      </c>
      <c r="Q27" s="302">
        <f>_xlfn.IFNA((VLOOKUP($A27,HN!$A:$BS,14,FALSE)/12),0)</f>
        <v>0</v>
      </c>
      <c r="R27" s="302">
        <f>_xlfn.IFNA(VLOOKUP($A27,'Post 16'!$A:$V,21,FALSE),0)/4</f>
        <v>0</v>
      </c>
      <c r="S27" s="302">
        <f>VLOOKUP($A27,EY!A:Q,15,FALSE)*80%</f>
        <v>0</v>
      </c>
      <c r="T27" s="302">
        <f>_xlfn.IFNA((VLOOKUP($A27,HN!$A:$K,9,FALSE)/12),0)+_xlfn.IFNA((VLOOKUP($A27,HN!$A:$K,10,FALSE)/12),0)</f>
        <v>0</v>
      </c>
      <c r="U27" s="302">
        <f>_xlfn.IFNA((VLOOKUP($A27,HN!$A:$BS,15,FALSE)/12),0)</f>
        <v>0</v>
      </c>
      <c r="V27" s="301">
        <f t="shared" si="8"/>
        <v>-1412.6666666666667</v>
      </c>
      <c r="W27" s="301">
        <f t="shared" si="9"/>
        <v>-934.84833333333336</v>
      </c>
      <c r="X27" s="302"/>
      <c r="Y27" s="302">
        <f>_xlfn.IFNA(VLOOKUP($A27,'Cash Advances'!$A:$S,8,FALSE),0)</f>
        <v>0</v>
      </c>
      <c r="Z27" s="301">
        <f t="shared" si="0"/>
        <v>266983.16666666669</v>
      </c>
      <c r="AA27" s="315">
        <f t="shared" si="10"/>
        <v>269330.6816666667</v>
      </c>
      <c r="AB27" s="315"/>
      <c r="AC27" s="316"/>
      <c r="AD27" s="316">
        <f>_xlfn.IFNA((VLOOKUP($A27,HN!$A:$K,8,FALSE)/12),0)</f>
        <v>0</v>
      </c>
      <c r="AE27" s="316">
        <f>_xlfn.IFNA((VLOOKUP($A27,HN!$A:$BS,14,FALSE)/12),0)</f>
        <v>0</v>
      </c>
      <c r="AF27" s="316">
        <f>_xlfn.IFNA(VLOOKUP($A27,'Post 16'!$A:$V,21,FALSE),0)/4</f>
        <v>0</v>
      </c>
      <c r="AG27" s="316"/>
      <c r="AH27" s="316">
        <f>_xlfn.IFNA((VLOOKUP($A27,HN!$A:$K,9,FALSE)/12),0)+_xlfn.IFNA((VLOOKUP($A27,HN!$A:$K,10,FALSE)/12),0)</f>
        <v>0</v>
      </c>
      <c r="AI27" s="316">
        <f>_xlfn.IFNA((VLOOKUP($A27,HN!$A:$BS,15,FALSE)/12),0)</f>
        <v>0</v>
      </c>
      <c r="AJ27" s="315">
        <f t="shared" si="11"/>
        <v>-1412.6666666666667</v>
      </c>
      <c r="AK27" s="315">
        <f t="shared" si="12"/>
        <v>-934.84833333333336</v>
      </c>
      <c r="AL27" s="316"/>
      <c r="AM27" s="316">
        <f>_xlfn.IFNA(VLOOKUP($A27,'Cash Advances'!$A:$S,9,FALSE),0)</f>
        <v>0</v>
      </c>
      <c r="AN27" s="315">
        <f t="shared" si="1"/>
        <v>266983.16666666669</v>
      </c>
      <c r="AO27" s="308">
        <f t="shared" si="13"/>
        <v>269330.6816666667</v>
      </c>
      <c r="AP27" s="308"/>
      <c r="AQ27" s="309"/>
      <c r="AR27" s="309">
        <f>_xlfn.IFNA((VLOOKUP($A27,HN!$A:$K,8,FALSE)/12),0)</f>
        <v>0</v>
      </c>
      <c r="AS27" s="309">
        <f>_xlfn.IFNA((VLOOKUP($A27,HN!$A:$BS,14,FALSE)/12),0)</f>
        <v>0</v>
      </c>
      <c r="AT27" s="309">
        <f>_xlfn.IFNA(VLOOKUP($A27,'Post 16'!$A:$V,21,FALSE),0)/4</f>
        <v>0</v>
      </c>
      <c r="AU27" s="309"/>
      <c r="AV27" s="309">
        <f>_xlfn.IFNA((VLOOKUP($A27,HN!$A:$K,9,FALSE)/12),0)+_xlfn.IFNA((VLOOKUP($A27,HN!$A:$K,10,FALSE)/12),0)+_xlfn.IFNA(VLOOKUP(A27,HN!A:V,19,FALSE),0)+_xlfn.IFNA(VLOOKUP(A27,HN!A:V,20,FALSE),0)+_xlfn.IFNA(VLOOKUP(A27,HN!A:V,21,FALSE),0)</f>
        <v>0</v>
      </c>
      <c r="AW27" s="309">
        <f>_xlfn.IFNA((VLOOKUP($A27,HN!$A:$BS,15,FALSE)/12),0)</f>
        <v>0</v>
      </c>
      <c r="AX27" s="308">
        <f t="shared" si="14"/>
        <v>-1412.6666666666667</v>
      </c>
      <c r="AY27" s="308">
        <f t="shared" si="15"/>
        <v>-934.84833333333336</v>
      </c>
      <c r="AZ27" s="309"/>
      <c r="BA27" s="309">
        <f>_xlfn.IFNA(VLOOKUP($A27,'Cash Advances'!$A:$S,10,FALSE),0)</f>
        <v>0</v>
      </c>
      <c r="BB27" s="308">
        <f t="shared" si="2"/>
        <v>266983.16666666669</v>
      </c>
      <c r="BC27" s="330">
        <f t="shared" si="16"/>
        <v>269330.6816666667</v>
      </c>
      <c r="BD27" s="330"/>
      <c r="BE27" s="331"/>
      <c r="BF27" s="331">
        <f>_xlfn.IFNA((VLOOKUP($A27,HN!$A:$K,8,FALSE)/12),0)</f>
        <v>0</v>
      </c>
      <c r="BG27" s="331">
        <f>_xlfn.IFNA((VLOOKUP($A27,HN!$A:$BS,14,FALSE)/12),0)</f>
        <v>0</v>
      </c>
      <c r="BH27" s="331">
        <f>_xlfn.IFNA(VLOOKUP($A27,'Post 16'!$A:$V,21,FALSE),0)/4</f>
        <v>0</v>
      </c>
      <c r="BI27" s="331"/>
      <c r="BJ27" s="331">
        <f>_xlfn.IFNA((VLOOKUP($A27,HN!$A:$K,9,FALSE)/12),0)+_xlfn.IFNA((VLOOKUP($A27,HN!$A:$K,10,FALSE)/12),0)</f>
        <v>0</v>
      </c>
      <c r="BK27" s="331">
        <f>_xlfn.IFNA((VLOOKUP($A27,HN!$A:$BS,15,FALSE)/12),0)</f>
        <v>0</v>
      </c>
      <c r="BL27" s="330">
        <f t="shared" si="17"/>
        <v>-1412.6666666666667</v>
      </c>
      <c r="BM27" s="330">
        <f t="shared" si="18"/>
        <v>-934.84833333333336</v>
      </c>
      <c r="BN27" s="331"/>
      <c r="BO27" s="331">
        <f>_xlfn.IFNA(VLOOKUP(A27,'Cash Advances'!A:K,11,FALSE),0)</f>
        <v>0</v>
      </c>
      <c r="BP27" s="330">
        <f t="shared" si="3"/>
        <v>266983.16666666669</v>
      </c>
      <c r="BQ27" s="322">
        <f t="shared" si="19"/>
        <v>269330.6816666667</v>
      </c>
      <c r="BR27" s="322"/>
      <c r="BS27" s="323"/>
      <c r="BT27" s="323">
        <f>_xlfn.IFNA((VLOOKUP($A27,HN!$A:$K,8,FALSE)/12),0)</f>
        <v>0</v>
      </c>
      <c r="BU27" s="323">
        <f>_xlfn.IFNA((VLOOKUP($A27,HN!$A:$BS,14,FALSE)/12),0)</f>
        <v>0</v>
      </c>
      <c r="BV27" s="323">
        <f>(_xlfn.IFNA(VLOOKUP($A27,'Post 16'!$A:$AV,32,FALSE),0)/8)+_xlfn.IFNA(VLOOKUP($A27,'Post 16'!$A:$AR,40,FALSE),0)</f>
        <v>0</v>
      </c>
      <c r="BW27" s="323"/>
      <c r="BX27" s="323">
        <f>_xlfn.IFNA((VLOOKUP($A27,HN!$A:$K,9,FALSE)/12),0)+_xlfn.IFNA((VLOOKUP($A27,HN!$A:$K,10,FALSE)/12),0)</f>
        <v>0</v>
      </c>
      <c r="BY27" s="323">
        <f>_xlfn.IFNA((VLOOKUP($A27,HN!$A:$BS,15,FALSE)/12),0)</f>
        <v>0</v>
      </c>
      <c r="BZ27" s="322">
        <f t="shared" si="20"/>
        <v>-1412.6666666666667</v>
      </c>
      <c r="CA27" s="322">
        <f t="shared" si="21"/>
        <v>-934.84833333333336</v>
      </c>
      <c r="CB27" s="323"/>
      <c r="CC27" s="323"/>
      <c r="CD27" s="322">
        <f t="shared" si="4"/>
        <v>266983.16666666669</v>
      </c>
      <c r="CE27" s="357">
        <f t="shared" si="22"/>
        <v>269330.6816666667</v>
      </c>
      <c r="CF27" s="357">
        <f>(VLOOKUP($A27,EY!$A:$BS,26,FALSE)-(VLOOKUP($A27,EY!A:CR,24,FALSE)*80%))+VLOOKUP($A27,EY!$A:$BS,42,FALSE)+(VLOOKUP($A27,EY!A:CC,74,FALSE)-VLOOKUP($A27,EY!A:CC,72,FALSE))</f>
        <v>0</v>
      </c>
      <c r="CG27" s="358"/>
      <c r="CH27" s="358">
        <f>_xlfn.IFNA((VLOOKUP($A27,HN!$A:$K,8,FALSE)/12),0)</f>
        <v>0</v>
      </c>
      <c r="CI27" s="358">
        <f>_xlfn.IFNA((VLOOKUP($A27,HN!$A:$BS,14,FALSE)/12),0)</f>
        <v>0</v>
      </c>
      <c r="CJ27" s="358">
        <f>(_xlfn.IFNA(VLOOKUP($A27,'Post 16'!$A:$AV,32,FALSE),0)/8)</f>
        <v>0</v>
      </c>
      <c r="CK27" s="358">
        <f>(VLOOKUP($A27,EY!A:CR,24,FALSE)*80%)+VLOOKUP($A27,EY!A:CC,72,FALSE)</f>
        <v>0</v>
      </c>
      <c r="CL27" s="358">
        <f>_xlfn.IFNA((VLOOKUP($A27,HN!$A:$K,9,FALSE)/12),0)+_xlfn.IFNA((VLOOKUP($A27,HN!$A:$K,10,FALSE)/12),0)</f>
        <v>0</v>
      </c>
      <c r="CM27" s="358">
        <f>_xlfn.IFNA((VLOOKUP($A27,HN!$A:$BS,15,FALSE)/12),0)</f>
        <v>0</v>
      </c>
      <c r="CN27" s="357">
        <f t="shared" si="23"/>
        <v>-1412.6666666666667</v>
      </c>
      <c r="CO27" s="357">
        <f t="shared" si="24"/>
        <v>-934.84833333333336</v>
      </c>
      <c r="CP27" s="358">
        <f>_xlfn.IFNA(VLOOKUP(A27,'LA Deductions'!A:W,23,FALSE),0)</f>
        <v>-18745.650000000001</v>
      </c>
      <c r="CQ27" s="358">
        <f>_xlfn.IFNA(VLOOKUP($A27,'Cash Advances'!$A:$S,13,FALSE),0)</f>
        <v>0</v>
      </c>
      <c r="CR27" s="358">
        <f>_xlfn.IFNA(VLOOKUP(A27,'LA Deductions'!A:AZ,25,FALSE),0)/9*3</f>
        <v>0</v>
      </c>
      <c r="CS27" s="357">
        <f t="shared" si="25"/>
        <v>248237.51666666669</v>
      </c>
      <c r="CT27" s="337">
        <f t="shared" si="26"/>
        <v>269330.6816666667</v>
      </c>
      <c r="CU27" s="337"/>
      <c r="CV27" s="338">
        <f>_xlfn.IFNA(VLOOKUP(A27,'LA Deductions'!$A$6:$AN$207,34,FALSE),0)</f>
        <v>-4209.5414000000001</v>
      </c>
      <c r="CW27" s="338">
        <f>_xlfn.IFNA((VLOOKUP($A27,HN!$A:$K,8,FALSE)/12),0)</f>
        <v>0</v>
      </c>
      <c r="CX27" s="338">
        <f>_xlfn.IFNA((VLOOKUP($A27,HN!$A:$BS,14,FALSE)/12),0)</f>
        <v>0</v>
      </c>
      <c r="CY27" s="338">
        <f>_xlfn.IFNA(VLOOKUP($A27,'Post 16'!$A:$AV,32,FALSE),0)/8</f>
        <v>0</v>
      </c>
      <c r="CZ27" s="338"/>
      <c r="DA27" s="338">
        <f>_xlfn.IFNA((VLOOKUP($A27,HN!$A:$K,9,FALSE)/12),0)+_xlfn.IFNA((VLOOKUP($A27,HN!$A:$K,10,FALSE)/12),0)</f>
        <v>0</v>
      </c>
      <c r="DB27" s="338">
        <f>_xlfn.IFNA((VLOOKUP($A27,HN!$A:$BS,15,FALSE)/12),0)</f>
        <v>0</v>
      </c>
      <c r="DC27" s="337">
        <f t="shared" si="27"/>
        <v>-1412.6666666666667</v>
      </c>
      <c r="DD27" s="337">
        <f t="shared" si="28"/>
        <v>-934.84833333333336</v>
      </c>
      <c r="DE27" s="338"/>
      <c r="DF27" s="338">
        <f>_xlfn.IFNA(VLOOKUP($A27,'Cash Advances'!$A:$S,14,FALSE),0)</f>
        <v>0</v>
      </c>
      <c r="DG27" s="338">
        <f>(_xlfn.IFNA(VLOOKUP(A27,'LA Deductions'!A:AZ,25,FALSE),0)/9)+(_xlfn.IFNA(VLOOKUP(A27,'LA Deductions'!A:AZ,26,FALSE),0))</f>
        <v>0</v>
      </c>
      <c r="DH27" s="337">
        <f t="shared" si="29"/>
        <v>262773.6252666667</v>
      </c>
      <c r="DI27" s="330">
        <f t="shared" si="30"/>
        <v>269330.6816666667</v>
      </c>
      <c r="DJ27" s="330"/>
      <c r="DK27" s="331"/>
      <c r="DL27" s="331">
        <f>_xlfn.IFNA((VLOOKUP($A27,HN!$A:$K,8,FALSE)/12),0)+_xlfn.IFNA((VLOOKUP($A27,HN!$A:$AF,32,FALSE)*8/12),0)</f>
        <v>0</v>
      </c>
      <c r="DM27" s="331">
        <f>_xlfn.IFNA((VLOOKUP($A27,HN!$A:$BS,14,FALSE)/12),0)+_xlfn.IFNA(VLOOKUP($A27,HN!$A:$BS,31,FALSE),0)</f>
        <v>0</v>
      </c>
      <c r="DN27" s="331">
        <f>_xlfn.IFNA(VLOOKUP($A27,'Post 16'!$A:$AV,32,FALSE),0)/8</f>
        <v>0</v>
      </c>
      <c r="DO27" s="331"/>
      <c r="DP27" s="331">
        <f>_xlfn.IFNA((VLOOKUP($A27,HN!$A:$K,9,FALSE)/12),0)+_xlfn.IFNA((VLOOKUP($A27,HN!$A:$K,10,FALSE)/12),0)+_xlfn.IFNA((VLOOKUP($A27,HN!$A:$BZ,33,FALSE)*8/12),0)</f>
        <v>0</v>
      </c>
      <c r="DQ27" s="331">
        <f>_xlfn.IFNA((VLOOKUP($A27,HN!$A:$BS,15,FALSE)/12),0)</f>
        <v>0</v>
      </c>
      <c r="DR27" s="330">
        <f t="shared" si="31"/>
        <v>-1412.6666666666667</v>
      </c>
      <c r="DS27" s="330">
        <f t="shared" si="32"/>
        <v>-934.84833333333336</v>
      </c>
      <c r="DT27" s="331"/>
      <c r="DU27" s="331"/>
      <c r="DV27" s="331">
        <f>(_xlfn.IFNA(VLOOKUP(A27,'LA Deductions'!A:AZ,25,FALSE),0)/9)+_xlfn.IFNA(VLOOKUP(A27,'LA Deductions'!A:AZ,27,FALSE),0)</f>
        <v>0</v>
      </c>
      <c r="DW27" s="330">
        <f t="shared" si="33"/>
        <v>266983.16666666669</v>
      </c>
      <c r="DX27" s="344">
        <f t="shared" si="34"/>
        <v>269330.6816666667</v>
      </c>
      <c r="DY27" s="344"/>
      <c r="DZ27" s="345"/>
      <c r="EA27" s="345">
        <f>_xlfn.IFNA((VLOOKUP($A27,HN!$A:$K,8,FALSE)/12),0)+_xlfn.IFNA((VLOOKUP($A27,HN!$A:$AF,32,FALSE)*1/12),0)</f>
        <v>0</v>
      </c>
      <c r="EB27" s="345">
        <f>_xlfn.IFNA((VLOOKUP($A27,HN!$A:$BS,14,FALSE)/12),0)</f>
        <v>0</v>
      </c>
      <c r="EC27" s="345">
        <f>_xlfn.IFNA(VLOOKUP($A27,'Post 16'!$A:$AV,32,FALSE),0)/8</f>
        <v>0</v>
      </c>
      <c r="ED27" s="345"/>
      <c r="EE27" s="345">
        <f>_xlfn.IFNA((VLOOKUP($A27,HN!$A:$K,9,FALSE)/12),0)+_xlfn.IFNA((VLOOKUP($A27,HN!$A:$K,10,FALSE)/12),0)+_xlfn.IFNA((VLOOKUP($A27,HN!$A:$BZ,33,FALSE)/12),0)</f>
        <v>0</v>
      </c>
      <c r="EF27" s="345">
        <f>_xlfn.IFNA((VLOOKUP($A27,HN!$A:$BS,15,FALSE)/12),0)</f>
        <v>0</v>
      </c>
      <c r="EG27" s="344">
        <f t="shared" si="35"/>
        <v>-1412.6666666666667</v>
      </c>
      <c r="EH27" s="344">
        <f t="shared" si="36"/>
        <v>-934.84833333333336</v>
      </c>
      <c r="EI27" s="345"/>
      <c r="EJ27" s="345">
        <f>_xlfn.IFNA(VLOOKUP(A27,'Cash Advances'!A:P,16,FALSE),0)</f>
        <v>0</v>
      </c>
      <c r="EK27" s="345">
        <f>_xlfn.IFNA(VLOOKUP(A27,'LA Deductions'!A:AZ,25,FALSE),0)/9</f>
        <v>0</v>
      </c>
      <c r="EL27" s="344">
        <f t="shared" si="37"/>
        <v>266983.16666666669</v>
      </c>
      <c r="EM27" s="308">
        <f t="shared" si="38"/>
        <v>269330.6816666667</v>
      </c>
      <c r="EN27" s="308">
        <f>((VLOOKUP($A27,EY!$A:$BS,35,FALSE)-(VLOOKUP($A27,EY!$A:$BS,33,FALSE)*80%))+VLOOKUP($A27,EY!$A:$BS,43,FALSE))+(VLOOKUP(A27,EY!A:DF,110,FALSE)-VLOOKUP(A27,EY!A:DD,108,FALSE))+(VLOOKUP(A27,EY!A:CE,83,FALSE)-VLOOKUP(A27,EY!A:CC,81,FALSE))</f>
        <v>0</v>
      </c>
      <c r="EO27" s="309"/>
      <c r="EP27" s="309">
        <f>_xlfn.IFNA((VLOOKUP($A27,HN!$A:$K,8,FALSE)/12),0)+_xlfn.IFNA((VLOOKUP($A27,HN!$A:$AF,32,FALSE)*1/12),0)</f>
        <v>0</v>
      </c>
      <c r="EQ27" s="309">
        <f>_xlfn.IFNA((VLOOKUP($A27,HN!$A:$BS,14,FALSE)/12),0)+_xlfn.IFNA((VLOOKUP($A27,HN!$A:$BS,34,FALSE)/3),0)</f>
        <v>0</v>
      </c>
      <c r="ER27" s="309">
        <f>_xlfn.IFNA(VLOOKUP($A27,'Post 16'!$A:$AV,32,FALSE),0)/8</f>
        <v>0</v>
      </c>
      <c r="ES27" s="309">
        <f>((VLOOKUP($A27,EY!A:EV,33,FALSE)*80%))+VLOOKUP(A27,EY!A:DD,108,FALSE)+VLOOKUP(A27,EY!A:CC,81,FALSE)</f>
        <v>0</v>
      </c>
      <c r="ET27" s="309">
        <f>_xlfn.IFNA((VLOOKUP($A27,HN!$A:$K,9,FALSE)/12),0)+_xlfn.IFNA((VLOOKUP($A27,HN!$A:$K,10,FALSE)/12),0)+_xlfn.IFNA((VLOOKUP($A27,HN!$A:$BZ,33,FALSE)/12),0)</f>
        <v>0</v>
      </c>
      <c r="EU27" s="309">
        <f>_xlfn.IFNA((VLOOKUP($A27,HN!$A:$BS,15,FALSE)/12),0)</f>
        <v>0</v>
      </c>
      <c r="EV27" s="308">
        <f t="shared" si="39"/>
        <v>-1412.6666666666667</v>
      </c>
      <c r="EW27" s="308">
        <f t="shared" si="40"/>
        <v>-934.84833333333336</v>
      </c>
      <c r="EX27" s="309"/>
      <c r="EY27" s="309">
        <f>_xlfn.IFNA(VLOOKUP($A27,'Cash Advances'!$A:$S,17,FALSE),0)</f>
        <v>0</v>
      </c>
      <c r="EZ27" s="309">
        <f>_xlfn.IFNA(VLOOKUP(A27,'LA Deductions'!A:AZ,25,FALSE),0)/9</f>
        <v>0</v>
      </c>
      <c r="FA27" s="308">
        <f t="shared" si="41"/>
        <v>266983.16666666669</v>
      </c>
      <c r="FB27" s="315">
        <f t="shared" si="42"/>
        <v>269330.6816666667</v>
      </c>
      <c r="FC27" s="315"/>
      <c r="FD27" s="316"/>
      <c r="FE27" s="316">
        <f>_xlfn.IFNA((VLOOKUP($A27,HN!$A:$K,8,FALSE)/12),0)+_xlfn.IFNA((VLOOKUP($A27,HN!$A:$AF,32,FALSE)*1/12),0)</f>
        <v>0</v>
      </c>
      <c r="FF27" s="316">
        <f>_xlfn.IFNA((VLOOKUP($A27,HN!$A:$BS,14,FALSE)/12),0)+_xlfn.IFNA((VLOOKUP($A27,HN!$A:$BS,34,FALSE)/3),0)</f>
        <v>0</v>
      </c>
      <c r="FG27" s="316">
        <f>_xlfn.IFNA(VLOOKUP($A27,'Post 16'!$A:$AV,32,FALSE),0)/8</f>
        <v>0</v>
      </c>
      <c r="FH27" s="316"/>
      <c r="FI27" s="316">
        <f>_xlfn.IFNA((VLOOKUP($A27,HN!$A:$K,9,FALSE)/12),0)+_xlfn.IFNA((VLOOKUP($A27,HN!$A:$K,10,FALSE)/12),0)+_xlfn.IFNA((VLOOKUP($A27,HN!$A:$BZ,33,FALSE)/12),0)+_xlfn.IFNA((VLOOKUP($A27,HN!$A:$BZ,35,FALSE)/2),0)</f>
        <v>0</v>
      </c>
      <c r="FJ27" s="316">
        <f>_xlfn.IFNA((VLOOKUP($A27,HN!$A:$BS,15,FALSE)/12),0)+_xlfn.IFNA((VLOOKUP($A27,HN!$A:$CZ,36,FALSE)/2),0)</f>
        <v>0</v>
      </c>
      <c r="FK27" s="315">
        <f t="shared" si="43"/>
        <v>-1412.6666666666667</v>
      </c>
      <c r="FL27" s="315">
        <f t="shared" si="44"/>
        <v>-934.84833333333336</v>
      </c>
      <c r="FM27" s="316"/>
      <c r="FN27" s="316">
        <f>_xlfn.IFNA(VLOOKUP($A27,'Cash Advances'!$A:$S,18,FALSE),0)</f>
        <v>0</v>
      </c>
      <c r="FO27" s="316">
        <f>_xlfn.IFNA(VLOOKUP(A27,'LA Deductions'!A:AZ,25,FALSE),0)/9</f>
        <v>0</v>
      </c>
      <c r="FP27" s="315">
        <f t="shared" si="45"/>
        <v>266983.16666666669</v>
      </c>
      <c r="FQ27" s="322">
        <f t="shared" si="46"/>
        <v>269330.6816666667</v>
      </c>
      <c r="FR27" s="322"/>
      <c r="FS27" s="323"/>
      <c r="FT27" s="323">
        <f>_xlfn.IFNA((VLOOKUP($A27,HN!$A:$K,8,FALSE)/12),0)+_xlfn.IFNA((VLOOKUP($A27,HN!$A:$AF,32,FALSE)*1/12),0)</f>
        <v>0</v>
      </c>
      <c r="FU27" s="323">
        <f>_xlfn.IFNA((VLOOKUP($A27,HN!$A:$BS,14,FALSE)/12),0)+_xlfn.IFNA((VLOOKUP($A27,HN!$A:$BS,34,FALSE)/3),0)</f>
        <v>0</v>
      </c>
      <c r="FV27" s="323">
        <f>_xlfn.IFNA(VLOOKUP($A27,'Post 16'!$A:$AV,32,FALSE),0)/8</f>
        <v>0</v>
      </c>
      <c r="FW27" s="323"/>
      <c r="FX27" s="323">
        <f>_xlfn.IFNA((VLOOKUP($A27,HN!$A:$K,9,FALSE)/12),0)+_xlfn.IFNA((VLOOKUP($A27,HN!$A:$K,10,FALSE)/12),0)+_xlfn.IFNA((VLOOKUP($A27,HN!$A:$BZ,33,FALSE)/12),0)+_xlfn.IFNA((VLOOKUP($A27,HN!$A:$BZ,35,FALSE)/2),0)</f>
        <v>0</v>
      </c>
      <c r="FY27" s="323">
        <f>_xlfn.IFNA((VLOOKUP($A27,HN!$A:$BS,15,FALSE)/12),0)+_xlfn.IFNA((VLOOKUP($A27,HN!$A:$CZ,36,FALSE)/2),0)</f>
        <v>0</v>
      </c>
      <c r="FZ27" s="322">
        <f t="shared" si="47"/>
        <v>-1412.6666666666667</v>
      </c>
      <c r="GA27" s="322">
        <f t="shared" si="48"/>
        <v>-934.84833333333336</v>
      </c>
      <c r="GB27" s="323"/>
      <c r="GC27" s="323"/>
      <c r="GD27" s="323">
        <f>_xlfn.IFNA(VLOOKUP(A27,'LA Deductions'!A:AZ,25,FALSE),0)/9</f>
        <v>0</v>
      </c>
      <c r="GE27" s="322">
        <f t="shared" si="49"/>
        <v>266983.16666666669</v>
      </c>
      <c r="GG27" s="146">
        <f t="shared" si="50"/>
        <v>3227758.6386000002</v>
      </c>
      <c r="GH27" s="146">
        <f t="shared" si="50"/>
        <v>0</v>
      </c>
      <c r="GI27" s="146">
        <f t="shared" si="50"/>
        <v>0</v>
      </c>
      <c r="GJ27" s="146">
        <f t="shared" si="50"/>
        <v>-16951.999999999996</v>
      </c>
      <c r="GK27" s="146">
        <f t="shared" si="50"/>
        <v>-11218.18</v>
      </c>
      <c r="GL27" s="146">
        <f t="shared" si="50"/>
        <v>-18745.650000000001</v>
      </c>
      <c r="GN27" s="146">
        <f t="shared" si="51"/>
        <v>3227758.6386000002</v>
      </c>
      <c r="GO27" s="146">
        <f t="shared" si="51"/>
        <v>0</v>
      </c>
      <c r="GP27" s="146">
        <f t="shared" si="51"/>
        <v>0</v>
      </c>
      <c r="GQ27" s="146">
        <f t="shared" si="51"/>
        <v>-16951.999999999996</v>
      </c>
      <c r="GR27" s="146">
        <f t="shared" si="51"/>
        <v>-11218.18</v>
      </c>
      <c r="GS27" s="146">
        <f t="shared" si="51"/>
        <v>-18745.650000000001</v>
      </c>
      <c r="GU27" s="146"/>
      <c r="GV27" s="57"/>
    </row>
    <row r="28" spans="1:204">
      <c r="A28" s="185">
        <v>7030</v>
      </c>
      <c r="B28" s="185">
        <v>103611</v>
      </c>
      <c r="C28" s="185" t="s">
        <v>71</v>
      </c>
      <c r="D28" s="2" t="s">
        <v>72</v>
      </c>
      <c r="E28" s="191" t="s">
        <v>47</v>
      </c>
      <c r="F28" s="191" t="s">
        <v>912</v>
      </c>
      <c r="H28" s="279">
        <f>_xlfn.IFNA(VLOOKUP($A28,ISB!$A$4:$BY$454,67,FALSE),0)</f>
        <v>0</v>
      </c>
      <c r="I28" s="279">
        <f>_xlfn.IFNA(VLOOKUP($A28,ISB!$A$4:$BY$454,72,FALSE),0)</f>
        <v>0</v>
      </c>
      <c r="J28" s="279">
        <f>-_xlfn.IFNA(VLOOKUP($A28,ISB!$A$4:$BY$454,76,FALSE),0)</f>
        <v>0</v>
      </c>
      <c r="K28" s="279">
        <f>_xlfn.IFNA(VLOOKUP($A28,ISB!$A$4:$BY$454,77,FALSE),0)</f>
        <v>0</v>
      </c>
      <c r="M28" s="301">
        <f t="shared" si="7"/>
        <v>0</v>
      </c>
      <c r="N28" s="301">
        <f>VLOOKUP($A28,EY!$A:$H,8,FALSE)+(VLOOKUP($A28,EY!$A:$BS,17,FALSE)-S28)+VLOOKUP($A28,EY!$A:$BS,41,FALSE)</f>
        <v>0</v>
      </c>
      <c r="O28" s="302"/>
      <c r="P28" s="302">
        <f>_xlfn.IFNA((VLOOKUP($A28,HN!$A:$K,8,FALSE)/12),0)</f>
        <v>70015</v>
      </c>
      <c r="Q28" s="302">
        <f>_xlfn.IFNA((VLOOKUP($A28,HN!$A:$BS,14,FALSE)/12),0)</f>
        <v>0</v>
      </c>
      <c r="R28" s="302">
        <f>_xlfn.IFNA(VLOOKUP($A28,'Post 16'!$A:$V,21,FALSE),0)/4</f>
        <v>0</v>
      </c>
      <c r="S28" s="302">
        <f>VLOOKUP($A28,EY!A:Q,15,FALSE)*80%</f>
        <v>0</v>
      </c>
      <c r="T28" s="302">
        <f>_xlfn.IFNA((VLOOKUP($A28,HN!$A:$K,9,FALSE)/12),0)+_xlfn.IFNA((VLOOKUP($A28,HN!$A:$K,10,FALSE)/12),0)</f>
        <v>42028.324498080983</v>
      </c>
      <c r="U28" s="302">
        <f>_xlfn.IFNA((VLOOKUP($A28,HN!$A:$BS,15,FALSE)/12),0)</f>
        <v>0</v>
      </c>
      <c r="V28" s="301">
        <f t="shared" si="8"/>
        <v>0</v>
      </c>
      <c r="W28" s="301">
        <f t="shared" si="9"/>
        <v>0</v>
      </c>
      <c r="X28" s="302"/>
      <c r="Y28" s="302">
        <f>_xlfn.IFNA(VLOOKUP($A28,'Cash Advances'!$A:$S,8,FALSE),0)</f>
        <v>0</v>
      </c>
      <c r="Z28" s="301">
        <f t="shared" si="0"/>
        <v>112043.32449808098</v>
      </c>
      <c r="AA28" s="315">
        <f t="shared" si="10"/>
        <v>0</v>
      </c>
      <c r="AB28" s="315"/>
      <c r="AC28" s="316"/>
      <c r="AD28" s="316">
        <f>_xlfn.IFNA((VLOOKUP($A28,HN!$A:$K,8,FALSE)/12),0)</f>
        <v>70015</v>
      </c>
      <c r="AE28" s="316">
        <f>_xlfn.IFNA((VLOOKUP($A28,HN!$A:$BS,14,FALSE)/12),0)</f>
        <v>0</v>
      </c>
      <c r="AF28" s="316">
        <f>_xlfn.IFNA(VLOOKUP($A28,'Post 16'!$A:$V,21,FALSE),0)/4</f>
        <v>0</v>
      </c>
      <c r="AG28" s="316"/>
      <c r="AH28" s="316">
        <f>_xlfn.IFNA((VLOOKUP($A28,HN!$A:$K,9,FALSE)/12),0)+_xlfn.IFNA((VLOOKUP($A28,HN!$A:$K,10,FALSE)/12),0)</f>
        <v>42028.324498080983</v>
      </c>
      <c r="AI28" s="316">
        <f>_xlfn.IFNA((VLOOKUP($A28,HN!$A:$BS,15,FALSE)/12),0)</f>
        <v>0</v>
      </c>
      <c r="AJ28" s="315">
        <f t="shared" si="11"/>
        <v>0</v>
      </c>
      <c r="AK28" s="315">
        <f t="shared" si="12"/>
        <v>0</v>
      </c>
      <c r="AL28" s="316"/>
      <c r="AM28" s="316">
        <f>_xlfn.IFNA(VLOOKUP($A28,'Cash Advances'!$A:$S,9,FALSE),0)</f>
        <v>0</v>
      </c>
      <c r="AN28" s="315">
        <f t="shared" si="1"/>
        <v>112043.32449808098</v>
      </c>
      <c r="AO28" s="308">
        <f t="shared" si="13"/>
        <v>0</v>
      </c>
      <c r="AP28" s="308"/>
      <c r="AQ28" s="309"/>
      <c r="AR28" s="309">
        <f>_xlfn.IFNA((VLOOKUP($A28,HN!$A:$K,8,FALSE)/12),0)</f>
        <v>70015</v>
      </c>
      <c r="AS28" s="309">
        <f>_xlfn.IFNA((VLOOKUP($A28,HN!$A:$BS,14,FALSE)/12),0)</f>
        <v>0</v>
      </c>
      <c r="AT28" s="309">
        <f>_xlfn.IFNA(VLOOKUP($A28,'Post 16'!$A:$V,21,FALSE),0)/4</f>
        <v>0</v>
      </c>
      <c r="AU28" s="309"/>
      <c r="AV28" s="309">
        <f>_xlfn.IFNA((VLOOKUP($A28,HN!$A:$K,9,FALSE)/12),0)+_xlfn.IFNA((VLOOKUP($A28,HN!$A:$K,10,FALSE)/12),0)+_xlfn.IFNA(VLOOKUP(A28,HN!A:V,19,FALSE),0)+_xlfn.IFNA(VLOOKUP(A28,HN!A:V,20,FALSE),0)+_xlfn.IFNA(VLOOKUP(A28,HN!A:V,21,FALSE),0)</f>
        <v>350555.24757500424</v>
      </c>
      <c r="AW28" s="309">
        <f>_xlfn.IFNA((VLOOKUP($A28,HN!$A:$BS,15,FALSE)/12),0)</f>
        <v>0</v>
      </c>
      <c r="AX28" s="308">
        <f t="shared" si="14"/>
        <v>0</v>
      </c>
      <c r="AY28" s="308">
        <f t="shared" si="15"/>
        <v>0</v>
      </c>
      <c r="AZ28" s="309"/>
      <c r="BA28" s="309">
        <f>_xlfn.IFNA(VLOOKUP($A28,'Cash Advances'!$A:$S,10,FALSE),0)</f>
        <v>0</v>
      </c>
      <c r="BB28" s="308">
        <f t="shared" si="2"/>
        <v>420570.24757500424</v>
      </c>
      <c r="BC28" s="330">
        <f t="shared" si="16"/>
        <v>0</v>
      </c>
      <c r="BD28" s="330"/>
      <c r="BE28" s="331"/>
      <c r="BF28" s="331">
        <f>_xlfn.IFNA((VLOOKUP($A28,HN!$A:$K,8,FALSE)/12),0)</f>
        <v>70015</v>
      </c>
      <c r="BG28" s="331">
        <f>_xlfn.IFNA((VLOOKUP($A28,HN!$A:$BS,14,FALSE)/12),0)</f>
        <v>0</v>
      </c>
      <c r="BH28" s="331">
        <f>_xlfn.IFNA(VLOOKUP($A28,'Post 16'!$A:$V,21,FALSE),0)/4</f>
        <v>0</v>
      </c>
      <c r="BI28" s="331"/>
      <c r="BJ28" s="331">
        <f>_xlfn.IFNA((VLOOKUP($A28,HN!$A:$K,9,FALSE)/12),0)+_xlfn.IFNA((VLOOKUP($A28,HN!$A:$K,10,FALSE)/12),0)</f>
        <v>42028.324498080983</v>
      </c>
      <c r="BK28" s="331">
        <f>_xlfn.IFNA((VLOOKUP($A28,HN!$A:$BS,15,FALSE)/12),0)</f>
        <v>0</v>
      </c>
      <c r="BL28" s="330">
        <f t="shared" si="17"/>
        <v>0</v>
      </c>
      <c r="BM28" s="330">
        <f t="shared" si="18"/>
        <v>0</v>
      </c>
      <c r="BN28" s="331"/>
      <c r="BO28" s="331">
        <f>_xlfn.IFNA(VLOOKUP(A28,'Cash Advances'!A:K,11,FALSE),0)</f>
        <v>0</v>
      </c>
      <c r="BP28" s="330">
        <f t="shared" si="3"/>
        <v>112043.32449808098</v>
      </c>
      <c r="BQ28" s="322">
        <f t="shared" si="19"/>
        <v>0</v>
      </c>
      <c r="BR28" s="322"/>
      <c r="BS28" s="323"/>
      <c r="BT28" s="323">
        <f>_xlfn.IFNA((VLOOKUP($A28,HN!$A:$K,8,FALSE)/12),0)</f>
        <v>70015</v>
      </c>
      <c r="BU28" s="323">
        <f>_xlfn.IFNA((VLOOKUP($A28,HN!$A:$BS,14,FALSE)/12),0)</f>
        <v>0</v>
      </c>
      <c r="BV28" s="323">
        <f>(_xlfn.IFNA(VLOOKUP($A28,'Post 16'!$A:$AV,32,FALSE),0)/8)+_xlfn.IFNA(VLOOKUP($A28,'Post 16'!$A:$AR,40,FALSE),0)</f>
        <v>0</v>
      </c>
      <c r="BW28" s="323"/>
      <c r="BX28" s="323">
        <f>_xlfn.IFNA((VLOOKUP($A28,HN!$A:$K,9,FALSE)/12),0)+_xlfn.IFNA((VLOOKUP($A28,HN!$A:$K,10,FALSE)/12),0)</f>
        <v>42028.324498080983</v>
      </c>
      <c r="BY28" s="323">
        <f>_xlfn.IFNA((VLOOKUP($A28,HN!$A:$BS,15,FALSE)/12),0)</f>
        <v>0</v>
      </c>
      <c r="BZ28" s="322">
        <f t="shared" si="20"/>
        <v>0</v>
      </c>
      <c r="CA28" s="322">
        <f t="shared" si="21"/>
        <v>0</v>
      </c>
      <c r="CB28" s="323"/>
      <c r="CC28" s="323"/>
      <c r="CD28" s="322">
        <f t="shared" si="4"/>
        <v>112043.32449808098</v>
      </c>
      <c r="CE28" s="357">
        <f t="shared" si="22"/>
        <v>0</v>
      </c>
      <c r="CF28" s="357">
        <f>(VLOOKUP($A28,EY!$A:$BS,26,FALSE)-(VLOOKUP($A28,EY!A:CR,24,FALSE)*80%))+VLOOKUP($A28,EY!$A:$BS,42,FALSE)+(VLOOKUP($A28,EY!A:CC,74,FALSE)-VLOOKUP($A28,EY!A:CC,72,FALSE))</f>
        <v>0</v>
      </c>
      <c r="CG28" s="358"/>
      <c r="CH28" s="358">
        <f>_xlfn.IFNA((VLOOKUP($A28,HN!$A:$K,8,FALSE)/12),0)</f>
        <v>70015</v>
      </c>
      <c r="CI28" s="358">
        <f>_xlfn.IFNA((VLOOKUP($A28,HN!$A:$BS,14,FALSE)/12),0)</f>
        <v>0</v>
      </c>
      <c r="CJ28" s="358">
        <f>(_xlfn.IFNA(VLOOKUP($A28,'Post 16'!$A:$AV,32,FALSE),0)/8)</f>
        <v>0</v>
      </c>
      <c r="CK28" s="358">
        <f>(VLOOKUP($A28,EY!A:CR,24,FALSE)*80%)+VLOOKUP($A28,EY!A:CC,72,FALSE)</f>
        <v>0</v>
      </c>
      <c r="CL28" s="358">
        <f>_xlfn.IFNA((VLOOKUP($A28,HN!$A:$K,9,FALSE)/12),0)+_xlfn.IFNA((VLOOKUP($A28,HN!$A:$K,10,FALSE)/12),0)</f>
        <v>42028.324498080983</v>
      </c>
      <c r="CM28" s="358">
        <f>_xlfn.IFNA((VLOOKUP($A28,HN!$A:$BS,15,FALSE)/12),0)</f>
        <v>0</v>
      </c>
      <c r="CN28" s="357">
        <f t="shared" si="23"/>
        <v>0</v>
      </c>
      <c r="CO28" s="357">
        <f t="shared" si="24"/>
        <v>0</v>
      </c>
      <c r="CP28" s="358">
        <f>_xlfn.IFNA(VLOOKUP(A28,'LA Deductions'!A:W,23,FALSE),0)</f>
        <v>-3291.75</v>
      </c>
      <c r="CQ28" s="358">
        <f>_xlfn.IFNA(VLOOKUP($A28,'Cash Advances'!$A:$S,13,FALSE),0)</f>
        <v>0</v>
      </c>
      <c r="CR28" s="358">
        <f>_xlfn.IFNA(VLOOKUP(A28,'LA Deductions'!A:AZ,25,FALSE),0)/9*3</f>
        <v>0</v>
      </c>
      <c r="CS28" s="357">
        <f t="shared" si="25"/>
        <v>108751.57449808098</v>
      </c>
      <c r="CT28" s="337">
        <f t="shared" si="26"/>
        <v>0</v>
      </c>
      <c r="CU28" s="337"/>
      <c r="CV28" s="338">
        <f>_xlfn.IFNA(VLOOKUP(A28,'LA Deductions'!$A$6:$AN$207,34,FALSE),0)</f>
        <v>-6285.0853999999999</v>
      </c>
      <c r="CW28" s="338">
        <f>_xlfn.IFNA((VLOOKUP($A28,HN!$A:$K,8,FALSE)/12),0)</f>
        <v>70015</v>
      </c>
      <c r="CX28" s="338">
        <f>_xlfn.IFNA((VLOOKUP($A28,HN!$A:$BS,14,FALSE)/12),0)</f>
        <v>0</v>
      </c>
      <c r="CY28" s="338">
        <f>_xlfn.IFNA(VLOOKUP($A28,'Post 16'!$A:$AV,32,FALSE),0)/8</f>
        <v>0</v>
      </c>
      <c r="CZ28" s="338"/>
      <c r="DA28" s="338">
        <f>_xlfn.IFNA((VLOOKUP($A28,HN!$A:$K,9,FALSE)/12),0)+_xlfn.IFNA((VLOOKUP($A28,HN!$A:$K,10,FALSE)/12),0)</f>
        <v>42028.324498080983</v>
      </c>
      <c r="DB28" s="338">
        <f>_xlfn.IFNA((VLOOKUP($A28,HN!$A:$BS,15,FALSE)/12),0)</f>
        <v>0</v>
      </c>
      <c r="DC28" s="337">
        <f t="shared" si="27"/>
        <v>0</v>
      </c>
      <c r="DD28" s="337">
        <f t="shared" si="28"/>
        <v>0</v>
      </c>
      <c r="DE28" s="338"/>
      <c r="DF28" s="338">
        <f>_xlfn.IFNA(VLOOKUP($A28,'Cash Advances'!$A:$S,14,FALSE),0)</f>
        <v>0</v>
      </c>
      <c r="DG28" s="338">
        <f>(_xlfn.IFNA(VLOOKUP(A28,'LA Deductions'!A:AZ,25,FALSE),0)/9)+(_xlfn.IFNA(VLOOKUP(A28,'LA Deductions'!A:AZ,26,FALSE),0))</f>
        <v>0</v>
      </c>
      <c r="DH28" s="337">
        <f t="shared" si="29"/>
        <v>105758.23909808099</v>
      </c>
      <c r="DI28" s="330">
        <f t="shared" si="30"/>
        <v>0</v>
      </c>
      <c r="DJ28" s="330"/>
      <c r="DK28" s="331"/>
      <c r="DL28" s="331">
        <f>_xlfn.IFNA((VLOOKUP($A28,HN!$A:$K,8,FALSE)/12),0)+_xlfn.IFNA((VLOOKUP($A28,HN!$A:$AF,32,FALSE)*8/12),0)</f>
        <v>70015</v>
      </c>
      <c r="DM28" s="331">
        <f>_xlfn.IFNA((VLOOKUP($A28,HN!$A:$BS,14,FALSE)/12),0)+_xlfn.IFNA(VLOOKUP($A28,HN!$A:$BS,31,FALSE),0)</f>
        <v>0</v>
      </c>
      <c r="DN28" s="331">
        <f>_xlfn.IFNA(VLOOKUP($A28,'Post 16'!$A:$AV,32,FALSE),0)/8</f>
        <v>0</v>
      </c>
      <c r="DO28" s="331"/>
      <c r="DP28" s="331">
        <f>_xlfn.IFNA((VLOOKUP($A28,HN!$A:$K,9,FALSE)/12),0)+_xlfn.IFNA((VLOOKUP($A28,HN!$A:$K,10,FALSE)/12),0)+_xlfn.IFNA((VLOOKUP($A28,HN!$A:$BZ,33,FALSE)*8/12),0)</f>
        <v>42028.324498080983</v>
      </c>
      <c r="DQ28" s="331">
        <f>_xlfn.IFNA((VLOOKUP($A28,HN!$A:$BS,15,FALSE)/12),0)</f>
        <v>0</v>
      </c>
      <c r="DR28" s="330">
        <f t="shared" si="31"/>
        <v>0</v>
      </c>
      <c r="DS28" s="330">
        <f t="shared" si="32"/>
        <v>0</v>
      </c>
      <c r="DT28" s="331"/>
      <c r="DU28" s="331"/>
      <c r="DV28" s="331">
        <f>(_xlfn.IFNA(VLOOKUP(A28,'LA Deductions'!A:AZ,25,FALSE),0)/9)+_xlfn.IFNA(VLOOKUP(A28,'LA Deductions'!A:AZ,27,FALSE),0)</f>
        <v>0</v>
      </c>
      <c r="DW28" s="330">
        <f t="shared" si="33"/>
        <v>112043.32449808098</v>
      </c>
      <c r="DX28" s="344">
        <f t="shared" si="34"/>
        <v>0</v>
      </c>
      <c r="DY28" s="344"/>
      <c r="DZ28" s="345"/>
      <c r="EA28" s="345">
        <f>_xlfn.IFNA((VLOOKUP($A28,HN!$A:$K,8,FALSE)/12),0)+_xlfn.IFNA((VLOOKUP($A28,HN!$A:$AF,32,FALSE)*1/12),0)</f>
        <v>70015</v>
      </c>
      <c r="EB28" s="345">
        <f>_xlfn.IFNA((VLOOKUP($A28,HN!$A:$BS,14,FALSE)/12),0)</f>
        <v>0</v>
      </c>
      <c r="EC28" s="345">
        <f>_xlfn.IFNA(VLOOKUP($A28,'Post 16'!$A:$AV,32,FALSE),0)/8</f>
        <v>0</v>
      </c>
      <c r="ED28" s="345"/>
      <c r="EE28" s="345">
        <f>_xlfn.IFNA((VLOOKUP($A28,HN!$A:$K,9,FALSE)/12),0)+_xlfn.IFNA((VLOOKUP($A28,HN!$A:$K,10,FALSE)/12),0)+_xlfn.IFNA((VLOOKUP($A28,HN!$A:$BZ,33,FALSE)/12),0)</f>
        <v>42028.324498080983</v>
      </c>
      <c r="EF28" s="345">
        <f>_xlfn.IFNA((VLOOKUP($A28,HN!$A:$BS,15,FALSE)/12),0)</f>
        <v>0</v>
      </c>
      <c r="EG28" s="344">
        <f t="shared" si="35"/>
        <v>0</v>
      </c>
      <c r="EH28" s="344">
        <f t="shared" si="36"/>
        <v>0</v>
      </c>
      <c r="EI28" s="345"/>
      <c r="EJ28" s="345">
        <f>_xlfn.IFNA(VLOOKUP(A28,'Cash Advances'!A:P,16,FALSE),0)</f>
        <v>0</v>
      </c>
      <c r="EK28" s="345">
        <f>_xlfn.IFNA(VLOOKUP(A28,'LA Deductions'!A:AZ,25,FALSE),0)/9</f>
        <v>0</v>
      </c>
      <c r="EL28" s="344">
        <f t="shared" si="37"/>
        <v>112043.32449808098</v>
      </c>
      <c r="EM28" s="308">
        <f t="shared" si="38"/>
        <v>0</v>
      </c>
      <c r="EN28" s="308">
        <f>((VLOOKUP($A28,EY!$A:$BS,35,FALSE)-(VLOOKUP($A28,EY!$A:$BS,33,FALSE)*80%))+VLOOKUP($A28,EY!$A:$BS,43,FALSE))+(VLOOKUP(A28,EY!A:DF,110,FALSE)-VLOOKUP(A28,EY!A:DD,108,FALSE))+(VLOOKUP(A28,EY!A:CE,83,FALSE)-VLOOKUP(A28,EY!A:CC,81,FALSE))</f>
        <v>0</v>
      </c>
      <c r="EO28" s="309"/>
      <c r="EP28" s="309">
        <f>_xlfn.IFNA((VLOOKUP($A28,HN!$A:$K,8,FALSE)/12),0)+_xlfn.IFNA((VLOOKUP($A28,HN!$A:$AF,32,FALSE)*1/12),0)</f>
        <v>70015</v>
      </c>
      <c r="EQ28" s="309">
        <f>_xlfn.IFNA((VLOOKUP($A28,HN!$A:$BS,14,FALSE)/12),0)+_xlfn.IFNA((VLOOKUP($A28,HN!$A:$BS,34,FALSE)/3),0)</f>
        <v>0</v>
      </c>
      <c r="ER28" s="309">
        <f>_xlfn.IFNA(VLOOKUP($A28,'Post 16'!$A:$AV,32,FALSE),0)/8</f>
        <v>0</v>
      </c>
      <c r="ES28" s="309">
        <f>((VLOOKUP($A28,EY!A:EV,33,FALSE)*80%))+VLOOKUP(A28,EY!A:DD,108,FALSE)+VLOOKUP(A28,EY!A:CC,81,FALSE)</f>
        <v>0</v>
      </c>
      <c r="ET28" s="309">
        <f>_xlfn.IFNA((VLOOKUP($A28,HN!$A:$K,9,FALSE)/12),0)+_xlfn.IFNA((VLOOKUP($A28,HN!$A:$K,10,FALSE)/12),0)+_xlfn.IFNA((VLOOKUP($A28,HN!$A:$BZ,33,FALSE)/12),0)</f>
        <v>42028.324498080983</v>
      </c>
      <c r="EU28" s="309">
        <f>_xlfn.IFNA((VLOOKUP($A28,HN!$A:$BS,15,FALSE)/12),0)</f>
        <v>0</v>
      </c>
      <c r="EV28" s="308">
        <f t="shared" si="39"/>
        <v>0</v>
      </c>
      <c r="EW28" s="308">
        <f t="shared" si="40"/>
        <v>0</v>
      </c>
      <c r="EX28" s="309"/>
      <c r="EY28" s="309">
        <f>_xlfn.IFNA(VLOOKUP($A28,'Cash Advances'!$A:$S,17,FALSE),0)</f>
        <v>0</v>
      </c>
      <c r="EZ28" s="309">
        <f>_xlfn.IFNA(VLOOKUP(A28,'LA Deductions'!A:AZ,25,FALSE),0)/9</f>
        <v>0</v>
      </c>
      <c r="FA28" s="308">
        <f t="shared" si="41"/>
        <v>112043.32449808098</v>
      </c>
      <c r="FB28" s="315">
        <f t="shared" si="42"/>
        <v>0</v>
      </c>
      <c r="FC28" s="315"/>
      <c r="FD28" s="316"/>
      <c r="FE28" s="316">
        <f>_xlfn.IFNA((VLOOKUP($A28,HN!$A:$K,8,FALSE)/12),0)+_xlfn.IFNA((VLOOKUP($A28,HN!$A:$AF,32,FALSE)*1/12),0)</f>
        <v>70015</v>
      </c>
      <c r="FF28" s="316">
        <f>_xlfn.IFNA((VLOOKUP($A28,HN!$A:$BS,14,FALSE)/12),0)+_xlfn.IFNA((VLOOKUP($A28,HN!$A:$BS,34,FALSE)/3),0)</f>
        <v>0</v>
      </c>
      <c r="FG28" s="316">
        <f>_xlfn.IFNA(VLOOKUP($A28,'Post 16'!$A:$AV,32,FALSE),0)/8</f>
        <v>0</v>
      </c>
      <c r="FH28" s="316"/>
      <c r="FI28" s="316">
        <f>_xlfn.IFNA((VLOOKUP($A28,HN!$A:$K,9,FALSE)/12),0)+_xlfn.IFNA((VLOOKUP($A28,HN!$A:$K,10,FALSE)/12),0)+_xlfn.IFNA((VLOOKUP($A28,HN!$A:$BZ,33,FALSE)/12),0)+_xlfn.IFNA((VLOOKUP($A28,HN!$A:$BZ,35,FALSE)/2),0)</f>
        <v>45499.229498080982</v>
      </c>
      <c r="FJ28" s="316">
        <f>_xlfn.IFNA((VLOOKUP($A28,HN!$A:$BS,15,FALSE)/12),0)+_xlfn.IFNA((VLOOKUP($A28,HN!$A:$CZ,36,FALSE)/2),0)</f>
        <v>0</v>
      </c>
      <c r="FK28" s="315">
        <f t="shared" si="43"/>
        <v>0</v>
      </c>
      <c r="FL28" s="315">
        <f t="shared" si="44"/>
        <v>0</v>
      </c>
      <c r="FM28" s="316"/>
      <c r="FN28" s="316">
        <f>_xlfn.IFNA(VLOOKUP($A28,'Cash Advances'!$A:$S,18,FALSE),0)</f>
        <v>0</v>
      </c>
      <c r="FO28" s="316">
        <f>_xlfn.IFNA(VLOOKUP(A28,'LA Deductions'!A:AZ,25,FALSE),0)/9</f>
        <v>0</v>
      </c>
      <c r="FP28" s="315">
        <f t="shared" si="45"/>
        <v>115514.22949808098</v>
      </c>
      <c r="FQ28" s="322">
        <f t="shared" si="46"/>
        <v>0</v>
      </c>
      <c r="FR28" s="322"/>
      <c r="FS28" s="323"/>
      <c r="FT28" s="323">
        <f>_xlfn.IFNA((VLOOKUP($A28,HN!$A:$K,8,FALSE)/12),0)+_xlfn.IFNA((VLOOKUP($A28,HN!$A:$AF,32,FALSE)*1/12),0)</f>
        <v>70015</v>
      </c>
      <c r="FU28" s="323">
        <f>_xlfn.IFNA((VLOOKUP($A28,HN!$A:$BS,14,FALSE)/12),0)+_xlfn.IFNA((VLOOKUP($A28,HN!$A:$BS,34,FALSE)/3),0)</f>
        <v>0</v>
      </c>
      <c r="FV28" s="323">
        <f>_xlfn.IFNA(VLOOKUP($A28,'Post 16'!$A:$AV,32,FALSE),0)/8</f>
        <v>0</v>
      </c>
      <c r="FW28" s="323"/>
      <c r="FX28" s="323">
        <f>_xlfn.IFNA((VLOOKUP($A28,HN!$A:$K,9,FALSE)/12),0)+_xlfn.IFNA((VLOOKUP($A28,HN!$A:$K,10,FALSE)/12),0)+_xlfn.IFNA((VLOOKUP($A28,HN!$A:$BZ,33,FALSE)/12),0)+_xlfn.IFNA((VLOOKUP($A28,HN!$A:$BZ,35,FALSE)/2),0)</f>
        <v>45499.229498080982</v>
      </c>
      <c r="FY28" s="323">
        <f>_xlfn.IFNA((VLOOKUP($A28,HN!$A:$BS,15,FALSE)/12),0)+_xlfn.IFNA((VLOOKUP($A28,HN!$A:$CZ,36,FALSE)/2),0)</f>
        <v>0</v>
      </c>
      <c r="FZ28" s="322">
        <f t="shared" si="47"/>
        <v>0</v>
      </c>
      <c r="GA28" s="322">
        <f t="shared" si="48"/>
        <v>0</v>
      </c>
      <c r="GB28" s="323"/>
      <c r="GC28" s="323"/>
      <c r="GD28" s="323">
        <f>_xlfn.IFNA(VLOOKUP(A28,'LA Deductions'!A:AZ,25,FALSE),0)/9</f>
        <v>0</v>
      </c>
      <c r="GE28" s="322">
        <f t="shared" si="49"/>
        <v>115514.22949808098</v>
      </c>
      <c r="GG28" s="146">
        <f t="shared" ref="GG28:GL37" si="52">SUMIFS($M28:$GE28,$M$7:$GE$7,GG$7)</f>
        <v>833894.91460000002</v>
      </c>
      <c r="GH28" s="146">
        <f t="shared" si="52"/>
        <v>0</v>
      </c>
      <c r="GI28" s="146">
        <f t="shared" si="52"/>
        <v>819808.62705389527</v>
      </c>
      <c r="GJ28" s="146">
        <f t="shared" si="52"/>
        <v>0</v>
      </c>
      <c r="GK28" s="146">
        <f t="shared" si="52"/>
        <v>0</v>
      </c>
      <c r="GL28" s="146">
        <f t="shared" si="52"/>
        <v>-3291.75</v>
      </c>
      <c r="GN28" s="146">
        <f t="shared" ref="GN28:GS37" si="53">SUMIFS($M28:$GE28,$M$7:$GE$7,GN$7,$M$4:$GE$4,$GN$6)</f>
        <v>833894.91460000002</v>
      </c>
      <c r="GO28" s="146">
        <f t="shared" si="53"/>
        <v>0</v>
      </c>
      <c r="GP28" s="146">
        <f t="shared" si="53"/>
        <v>819808.62705389527</v>
      </c>
      <c r="GQ28" s="146">
        <f t="shared" si="53"/>
        <v>0</v>
      </c>
      <c r="GR28" s="146">
        <f t="shared" si="53"/>
        <v>0</v>
      </c>
      <c r="GS28" s="146">
        <f t="shared" si="53"/>
        <v>-3291.75</v>
      </c>
      <c r="GU28" s="146"/>
      <c r="GV28" s="57"/>
    </row>
    <row r="29" spans="1:204">
      <c r="A29" s="185">
        <v>1002</v>
      </c>
      <c r="B29" s="185">
        <v>103121</v>
      </c>
      <c r="C29" s="185" t="s">
        <v>73</v>
      </c>
      <c r="D29" s="2" t="s">
        <v>74</v>
      </c>
      <c r="E29" s="191" t="s">
        <v>29</v>
      </c>
      <c r="F29" s="191" t="s">
        <v>912</v>
      </c>
      <c r="H29" s="279">
        <f>_xlfn.IFNA(VLOOKUP($A29,ISB!$A$4:$BY$454,67,FALSE),0)</f>
        <v>0</v>
      </c>
      <c r="I29" s="279">
        <f>_xlfn.IFNA(VLOOKUP($A29,ISB!$A$4:$BY$454,72,FALSE),0)</f>
        <v>0</v>
      </c>
      <c r="J29" s="279">
        <f>-_xlfn.IFNA(VLOOKUP($A29,ISB!$A$4:$BY$454,76,FALSE),0)</f>
        <v>0</v>
      </c>
      <c r="K29" s="279">
        <f>_xlfn.IFNA(VLOOKUP($A29,ISB!$A$4:$BY$454,77,FALSE),0)</f>
        <v>0</v>
      </c>
      <c r="M29" s="301">
        <f t="shared" si="7"/>
        <v>0</v>
      </c>
      <c r="N29" s="301">
        <f>VLOOKUP($A29,EY!$A:$H,8,FALSE)+(VLOOKUP($A29,EY!$A:$BS,17,FALSE)-S29)+VLOOKUP($A29,EY!$A:$BS,41,FALSE)</f>
        <v>437220.84887342475</v>
      </c>
      <c r="O29" s="302"/>
      <c r="P29" s="302">
        <f>_xlfn.IFNA((VLOOKUP($A29,HN!$A:$K,8,FALSE)/12),0)</f>
        <v>0</v>
      </c>
      <c r="Q29" s="302">
        <f>_xlfn.IFNA((VLOOKUP($A29,HN!$A:$BS,14,FALSE)/12),0)</f>
        <v>0</v>
      </c>
      <c r="R29" s="302">
        <f>_xlfn.IFNA(VLOOKUP($A29,'Post 16'!$A:$V,21,FALSE),0)/4</f>
        <v>0</v>
      </c>
      <c r="S29" s="302">
        <f>VLOOKUP($A29,EY!A:Q,15,FALSE)*80%</f>
        <v>513.43157894736839</v>
      </c>
      <c r="T29" s="302">
        <f>_xlfn.IFNA((VLOOKUP($A29,HN!$A:$K,9,FALSE)/12),0)+_xlfn.IFNA((VLOOKUP($A29,HN!$A:$K,10,FALSE)/12),0)</f>
        <v>0</v>
      </c>
      <c r="U29" s="302">
        <f>_xlfn.IFNA((VLOOKUP($A29,HN!$A:$BS,15,FALSE)/12),0)</f>
        <v>0</v>
      </c>
      <c r="V29" s="301">
        <f t="shared" si="8"/>
        <v>0</v>
      </c>
      <c r="W29" s="301">
        <f t="shared" si="9"/>
        <v>0</v>
      </c>
      <c r="X29" s="302"/>
      <c r="Y29" s="302">
        <f>_xlfn.IFNA(VLOOKUP($A29,'Cash Advances'!$A:$S,8,FALSE),0)</f>
        <v>0</v>
      </c>
      <c r="Z29" s="301">
        <f t="shared" si="0"/>
        <v>437734.2804523721</v>
      </c>
      <c r="AA29" s="315">
        <f t="shared" si="10"/>
        <v>0</v>
      </c>
      <c r="AB29" s="315"/>
      <c r="AC29" s="316"/>
      <c r="AD29" s="316">
        <f>_xlfn.IFNA((VLOOKUP($A29,HN!$A:$K,8,FALSE)/12),0)</f>
        <v>0</v>
      </c>
      <c r="AE29" s="316">
        <f>_xlfn.IFNA((VLOOKUP($A29,HN!$A:$BS,14,FALSE)/12),0)</f>
        <v>0</v>
      </c>
      <c r="AF29" s="316">
        <f>_xlfn.IFNA(VLOOKUP($A29,'Post 16'!$A:$V,21,FALSE),0)/4</f>
        <v>0</v>
      </c>
      <c r="AG29" s="316"/>
      <c r="AH29" s="316">
        <f>_xlfn.IFNA((VLOOKUP($A29,HN!$A:$K,9,FALSE)/12),0)+_xlfn.IFNA((VLOOKUP($A29,HN!$A:$K,10,FALSE)/12),0)</f>
        <v>0</v>
      </c>
      <c r="AI29" s="316">
        <f>_xlfn.IFNA((VLOOKUP($A29,HN!$A:$BS,15,FALSE)/12),0)</f>
        <v>0</v>
      </c>
      <c r="AJ29" s="315">
        <f t="shared" si="11"/>
        <v>0</v>
      </c>
      <c r="AK29" s="315">
        <f t="shared" si="12"/>
        <v>0</v>
      </c>
      <c r="AL29" s="316"/>
      <c r="AM29" s="316">
        <f>_xlfn.IFNA(VLOOKUP($A29,'Cash Advances'!$A:$S,9,FALSE),0)</f>
        <v>0</v>
      </c>
      <c r="AN29" s="315">
        <f t="shared" si="1"/>
        <v>0</v>
      </c>
      <c r="AO29" s="308">
        <f t="shared" si="13"/>
        <v>0</v>
      </c>
      <c r="AP29" s="308"/>
      <c r="AQ29" s="309"/>
      <c r="AR29" s="309">
        <f>_xlfn.IFNA((VLOOKUP($A29,HN!$A:$K,8,FALSE)/12),0)</f>
        <v>0</v>
      </c>
      <c r="AS29" s="309">
        <f>_xlfn.IFNA((VLOOKUP($A29,HN!$A:$BS,14,FALSE)/12),0)</f>
        <v>0</v>
      </c>
      <c r="AT29" s="309">
        <f>_xlfn.IFNA(VLOOKUP($A29,'Post 16'!$A:$V,21,FALSE),0)/4</f>
        <v>0</v>
      </c>
      <c r="AU29" s="309"/>
      <c r="AV29" s="309">
        <f>_xlfn.IFNA((VLOOKUP($A29,HN!$A:$K,9,FALSE)/12),0)+_xlfn.IFNA((VLOOKUP($A29,HN!$A:$K,10,FALSE)/12),0)+_xlfn.IFNA(VLOOKUP(A29,HN!A:V,19,FALSE),0)+_xlfn.IFNA(VLOOKUP(A29,HN!A:V,20,FALSE),0)+_xlfn.IFNA(VLOOKUP(A29,HN!A:V,21,FALSE),0)</f>
        <v>0</v>
      </c>
      <c r="AW29" s="309">
        <f>_xlfn.IFNA((VLOOKUP($A29,HN!$A:$BS,15,FALSE)/12),0)</f>
        <v>0</v>
      </c>
      <c r="AX29" s="308">
        <f t="shared" si="14"/>
        <v>0</v>
      </c>
      <c r="AY29" s="308">
        <f t="shared" si="15"/>
        <v>0</v>
      </c>
      <c r="AZ29" s="309"/>
      <c r="BA29" s="309">
        <f>_xlfn.IFNA(VLOOKUP($A29,'Cash Advances'!$A:$S,10,FALSE),0)</f>
        <v>0</v>
      </c>
      <c r="BB29" s="308">
        <f t="shared" si="2"/>
        <v>0</v>
      </c>
      <c r="BC29" s="330">
        <f t="shared" si="16"/>
        <v>0</v>
      </c>
      <c r="BD29" s="330"/>
      <c r="BE29" s="331"/>
      <c r="BF29" s="331">
        <f>_xlfn.IFNA((VLOOKUP($A29,HN!$A:$K,8,FALSE)/12),0)</f>
        <v>0</v>
      </c>
      <c r="BG29" s="331">
        <f>_xlfn.IFNA((VLOOKUP($A29,HN!$A:$BS,14,FALSE)/12),0)</f>
        <v>0</v>
      </c>
      <c r="BH29" s="331">
        <f>_xlfn.IFNA(VLOOKUP($A29,'Post 16'!$A:$V,21,FALSE),0)/4</f>
        <v>0</v>
      </c>
      <c r="BI29" s="331"/>
      <c r="BJ29" s="331">
        <f>_xlfn.IFNA((VLOOKUP($A29,HN!$A:$K,9,FALSE)/12),0)+_xlfn.IFNA((VLOOKUP($A29,HN!$A:$K,10,FALSE)/12),0)</f>
        <v>0</v>
      </c>
      <c r="BK29" s="331">
        <f>_xlfn.IFNA((VLOOKUP($A29,HN!$A:$BS,15,FALSE)/12),0)</f>
        <v>0</v>
      </c>
      <c r="BL29" s="330">
        <f t="shared" si="17"/>
        <v>0</v>
      </c>
      <c r="BM29" s="330">
        <f t="shared" si="18"/>
        <v>0</v>
      </c>
      <c r="BN29" s="331"/>
      <c r="BO29" s="331">
        <f>_xlfn.IFNA(VLOOKUP(A29,'Cash Advances'!A:K,11,FALSE),0)</f>
        <v>0</v>
      </c>
      <c r="BP29" s="330">
        <f t="shared" si="3"/>
        <v>0</v>
      </c>
      <c r="BQ29" s="322">
        <f t="shared" si="19"/>
        <v>0</v>
      </c>
      <c r="BR29" s="322"/>
      <c r="BS29" s="323"/>
      <c r="BT29" s="323">
        <f>_xlfn.IFNA((VLOOKUP($A29,HN!$A:$K,8,FALSE)/12),0)</f>
        <v>0</v>
      </c>
      <c r="BU29" s="323">
        <f>_xlfn.IFNA((VLOOKUP($A29,HN!$A:$BS,14,FALSE)/12),0)</f>
        <v>0</v>
      </c>
      <c r="BV29" s="323">
        <f>(_xlfn.IFNA(VLOOKUP($A29,'Post 16'!$A:$AV,32,FALSE),0)/8)+_xlfn.IFNA(VLOOKUP($A29,'Post 16'!$A:$AR,40,FALSE),0)</f>
        <v>0</v>
      </c>
      <c r="BW29" s="323"/>
      <c r="BX29" s="323">
        <f>_xlfn.IFNA((VLOOKUP($A29,HN!$A:$K,9,FALSE)/12),0)+_xlfn.IFNA((VLOOKUP($A29,HN!$A:$K,10,FALSE)/12),0)</f>
        <v>0</v>
      </c>
      <c r="BY29" s="323">
        <f>_xlfn.IFNA((VLOOKUP($A29,HN!$A:$BS,15,FALSE)/12),0)</f>
        <v>0</v>
      </c>
      <c r="BZ29" s="322">
        <f t="shared" si="20"/>
        <v>0</v>
      </c>
      <c r="CA29" s="322">
        <f t="shared" si="21"/>
        <v>0</v>
      </c>
      <c r="CB29" s="323"/>
      <c r="CC29" s="323"/>
      <c r="CD29" s="322">
        <f t="shared" si="4"/>
        <v>0</v>
      </c>
      <c r="CE29" s="357">
        <f t="shared" si="22"/>
        <v>0</v>
      </c>
      <c r="CF29" s="357">
        <f>(VLOOKUP($A29,EY!$A:$BS,26,FALSE)-(VLOOKUP($A29,EY!A:CR,24,FALSE)*80%))+VLOOKUP($A29,EY!$A:$BS,42,FALSE)+(VLOOKUP($A29,EY!A:CC,74,FALSE)-VLOOKUP($A29,EY!A:CC,72,FALSE))</f>
        <v>147625.47947631893</v>
      </c>
      <c r="CG29" s="358"/>
      <c r="CH29" s="358">
        <f>_xlfn.IFNA((VLOOKUP($A29,HN!$A:$K,8,FALSE)/12),0)</f>
        <v>0</v>
      </c>
      <c r="CI29" s="358">
        <f>_xlfn.IFNA((VLOOKUP($A29,HN!$A:$BS,14,FALSE)/12),0)</f>
        <v>0</v>
      </c>
      <c r="CJ29" s="358">
        <f>(_xlfn.IFNA(VLOOKUP($A29,'Post 16'!$A:$AV,32,FALSE),0)/8)</f>
        <v>0</v>
      </c>
      <c r="CK29" s="358">
        <f>(VLOOKUP($A29,EY!A:CR,24,FALSE)*80%)+VLOOKUP($A29,EY!A:CC,72,FALSE)</f>
        <v>320.89</v>
      </c>
      <c r="CL29" s="358">
        <f>_xlfn.IFNA((VLOOKUP($A29,HN!$A:$K,9,FALSE)/12),0)+_xlfn.IFNA((VLOOKUP($A29,HN!$A:$K,10,FALSE)/12),0)</f>
        <v>0</v>
      </c>
      <c r="CM29" s="358">
        <f>_xlfn.IFNA((VLOOKUP($A29,HN!$A:$BS,15,FALSE)/12),0)</f>
        <v>0</v>
      </c>
      <c r="CN29" s="357">
        <f t="shared" si="23"/>
        <v>0</v>
      </c>
      <c r="CO29" s="357">
        <f t="shared" si="24"/>
        <v>0</v>
      </c>
      <c r="CP29" s="358">
        <f>_xlfn.IFNA(VLOOKUP(A29,'LA Deductions'!A:W,23,FALSE),0)</f>
        <v>-3291.75</v>
      </c>
      <c r="CQ29" s="358">
        <f>_xlfn.IFNA(VLOOKUP($A29,'Cash Advances'!$A:$S,13,FALSE),0)</f>
        <v>0</v>
      </c>
      <c r="CR29" s="358">
        <f>_xlfn.IFNA(VLOOKUP(A29,'LA Deductions'!A:AZ,25,FALSE),0)/9*3</f>
        <v>0</v>
      </c>
      <c r="CS29" s="357">
        <f t="shared" si="25"/>
        <v>144654.61947631894</v>
      </c>
      <c r="CT29" s="337">
        <f t="shared" si="26"/>
        <v>0</v>
      </c>
      <c r="CU29" s="337"/>
      <c r="CV29" s="338">
        <f>_xlfn.IFNA(VLOOKUP(A29,'LA Deductions'!$A$6:$AN$207,34,FALSE),0)</f>
        <v>0</v>
      </c>
      <c r="CW29" s="338">
        <f>_xlfn.IFNA((VLOOKUP($A29,HN!$A:$K,8,FALSE)/12),0)</f>
        <v>0</v>
      </c>
      <c r="CX29" s="338">
        <f>_xlfn.IFNA((VLOOKUP($A29,HN!$A:$BS,14,FALSE)/12),0)</f>
        <v>0</v>
      </c>
      <c r="CY29" s="338">
        <f>_xlfn.IFNA(VLOOKUP($A29,'Post 16'!$A:$AV,32,FALSE),0)/8</f>
        <v>0</v>
      </c>
      <c r="CZ29" s="338"/>
      <c r="DA29" s="338">
        <f>_xlfn.IFNA((VLOOKUP($A29,HN!$A:$K,9,FALSE)/12),0)+_xlfn.IFNA((VLOOKUP($A29,HN!$A:$K,10,FALSE)/12),0)</f>
        <v>0</v>
      </c>
      <c r="DB29" s="338">
        <f>_xlfn.IFNA((VLOOKUP($A29,HN!$A:$BS,15,FALSE)/12),0)</f>
        <v>0</v>
      </c>
      <c r="DC29" s="337">
        <f t="shared" si="27"/>
        <v>0</v>
      </c>
      <c r="DD29" s="337">
        <f t="shared" si="28"/>
        <v>0</v>
      </c>
      <c r="DE29" s="338"/>
      <c r="DF29" s="338">
        <f>_xlfn.IFNA(VLOOKUP($A29,'Cash Advances'!$A:$S,14,FALSE),0)</f>
        <v>0</v>
      </c>
      <c r="DG29" s="338">
        <f>(_xlfn.IFNA(VLOOKUP(A29,'LA Deductions'!A:AZ,25,FALSE),0)/9)+(_xlfn.IFNA(VLOOKUP(A29,'LA Deductions'!A:AZ,26,FALSE),0))</f>
        <v>0</v>
      </c>
      <c r="DH29" s="337">
        <f t="shared" si="29"/>
        <v>0</v>
      </c>
      <c r="DI29" s="330">
        <f t="shared" si="30"/>
        <v>0</v>
      </c>
      <c r="DJ29" s="330"/>
      <c r="DK29" s="331"/>
      <c r="DL29" s="331">
        <f>_xlfn.IFNA((VLOOKUP($A29,HN!$A:$K,8,FALSE)/12),0)+_xlfn.IFNA((VLOOKUP($A29,HN!$A:$AF,32,FALSE)*8/12),0)</f>
        <v>0</v>
      </c>
      <c r="DM29" s="331">
        <f>_xlfn.IFNA((VLOOKUP($A29,HN!$A:$BS,14,FALSE)/12),0)+_xlfn.IFNA(VLOOKUP($A29,HN!$A:$BS,31,FALSE),0)</f>
        <v>0</v>
      </c>
      <c r="DN29" s="331">
        <f>_xlfn.IFNA(VLOOKUP($A29,'Post 16'!$A:$AV,32,FALSE),0)/8</f>
        <v>0</v>
      </c>
      <c r="DO29" s="331"/>
      <c r="DP29" s="331">
        <f>_xlfn.IFNA((VLOOKUP($A29,HN!$A:$K,9,FALSE)/12),0)+_xlfn.IFNA((VLOOKUP($A29,HN!$A:$K,10,FALSE)/12),0)+_xlfn.IFNA((VLOOKUP($A29,HN!$A:$BZ,33,FALSE)*8/12),0)</f>
        <v>0</v>
      </c>
      <c r="DQ29" s="331">
        <f>_xlfn.IFNA((VLOOKUP($A29,HN!$A:$BS,15,FALSE)/12),0)</f>
        <v>0</v>
      </c>
      <c r="DR29" s="330">
        <f t="shared" si="31"/>
        <v>0</v>
      </c>
      <c r="DS29" s="330">
        <f t="shared" si="32"/>
        <v>0</v>
      </c>
      <c r="DT29" s="331"/>
      <c r="DU29" s="331"/>
      <c r="DV29" s="331">
        <f>(_xlfn.IFNA(VLOOKUP(A29,'LA Deductions'!A:AZ,25,FALSE),0)/9)+_xlfn.IFNA(VLOOKUP(A29,'LA Deductions'!A:AZ,27,FALSE),0)</f>
        <v>0</v>
      </c>
      <c r="DW29" s="330">
        <f t="shared" si="33"/>
        <v>0</v>
      </c>
      <c r="DX29" s="344">
        <f t="shared" si="34"/>
        <v>0</v>
      </c>
      <c r="DY29" s="344"/>
      <c r="DZ29" s="345"/>
      <c r="EA29" s="345">
        <f>_xlfn.IFNA((VLOOKUP($A29,HN!$A:$K,8,FALSE)/12),0)+_xlfn.IFNA((VLOOKUP($A29,HN!$A:$AF,32,FALSE)*1/12),0)</f>
        <v>0</v>
      </c>
      <c r="EB29" s="345">
        <f>_xlfn.IFNA((VLOOKUP($A29,HN!$A:$BS,14,FALSE)/12),0)</f>
        <v>0</v>
      </c>
      <c r="EC29" s="345">
        <f>_xlfn.IFNA(VLOOKUP($A29,'Post 16'!$A:$AV,32,FALSE),0)/8</f>
        <v>0</v>
      </c>
      <c r="ED29" s="345"/>
      <c r="EE29" s="345">
        <f>_xlfn.IFNA((VLOOKUP($A29,HN!$A:$K,9,FALSE)/12),0)+_xlfn.IFNA((VLOOKUP($A29,HN!$A:$K,10,FALSE)/12),0)+_xlfn.IFNA((VLOOKUP($A29,HN!$A:$BZ,33,FALSE)/12),0)</f>
        <v>0</v>
      </c>
      <c r="EF29" s="345">
        <f>_xlfn.IFNA((VLOOKUP($A29,HN!$A:$BS,15,FALSE)/12),0)</f>
        <v>0</v>
      </c>
      <c r="EG29" s="344">
        <f t="shared" si="35"/>
        <v>0</v>
      </c>
      <c r="EH29" s="344">
        <f t="shared" si="36"/>
        <v>0</v>
      </c>
      <c r="EI29" s="345"/>
      <c r="EJ29" s="345">
        <f>_xlfn.IFNA(VLOOKUP(A29,'Cash Advances'!A:P,16,FALSE),0)</f>
        <v>0</v>
      </c>
      <c r="EK29" s="345">
        <f>_xlfn.IFNA(VLOOKUP(A29,'LA Deductions'!A:AZ,25,FALSE),0)/9</f>
        <v>0</v>
      </c>
      <c r="EL29" s="344">
        <f t="shared" si="37"/>
        <v>0</v>
      </c>
      <c r="EM29" s="308">
        <f t="shared" si="38"/>
        <v>0</v>
      </c>
      <c r="EN29" s="308">
        <f>((VLOOKUP($A29,EY!$A:$BS,35,FALSE)-(VLOOKUP($A29,EY!$A:$BS,33,FALSE)*80%))+VLOOKUP($A29,EY!$A:$BS,43,FALSE))+(VLOOKUP(A29,EY!A:DF,110,FALSE)-VLOOKUP(A29,EY!A:DD,108,FALSE))+(VLOOKUP(A29,EY!A:CE,83,FALSE)-VLOOKUP(A29,EY!A:CC,81,FALSE))</f>
        <v>140757.6663711911</v>
      </c>
      <c r="EO29" s="309"/>
      <c r="EP29" s="309">
        <f>_xlfn.IFNA((VLOOKUP($A29,HN!$A:$K,8,FALSE)/12),0)+_xlfn.IFNA((VLOOKUP($A29,HN!$A:$AF,32,FALSE)*1/12),0)</f>
        <v>0</v>
      </c>
      <c r="EQ29" s="309">
        <f>_xlfn.IFNA((VLOOKUP($A29,HN!$A:$BS,14,FALSE)/12),0)+_xlfn.IFNA((VLOOKUP($A29,HN!$A:$BS,34,FALSE)/3),0)</f>
        <v>0</v>
      </c>
      <c r="ER29" s="309">
        <f>_xlfn.IFNA(VLOOKUP($A29,'Post 16'!$A:$AV,32,FALSE),0)/8</f>
        <v>0</v>
      </c>
      <c r="ES29" s="309">
        <f>((VLOOKUP($A29,EY!A:EV,33,FALSE)*80%))+VLOOKUP(A29,EY!A:DD,108,FALSE)+VLOOKUP(A29,EY!A:CC,81,FALSE)</f>
        <v>552.67121883656512</v>
      </c>
      <c r="ET29" s="309">
        <f>_xlfn.IFNA((VLOOKUP($A29,HN!$A:$K,9,FALSE)/12),0)+_xlfn.IFNA((VLOOKUP($A29,HN!$A:$K,10,FALSE)/12),0)+_xlfn.IFNA((VLOOKUP($A29,HN!$A:$BZ,33,FALSE)/12),0)</f>
        <v>0</v>
      </c>
      <c r="EU29" s="309">
        <f>_xlfn.IFNA((VLOOKUP($A29,HN!$A:$BS,15,FALSE)/12),0)</f>
        <v>0</v>
      </c>
      <c r="EV29" s="308">
        <f t="shared" si="39"/>
        <v>0</v>
      </c>
      <c r="EW29" s="308">
        <f t="shared" si="40"/>
        <v>0</v>
      </c>
      <c r="EX29" s="309"/>
      <c r="EY29" s="309">
        <f>_xlfn.IFNA(VLOOKUP($A29,'Cash Advances'!$A:$S,17,FALSE),0)</f>
        <v>0</v>
      </c>
      <c r="EZ29" s="309">
        <f>_xlfn.IFNA(VLOOKUP(A29,'LA Deductions'!A:AZ,25,FALSE),0)/9</f>
        <v>0</v>
      </c>
      <c r="FA29" s="308">
        <f t="shared" si="41"/>
        <v>141310.33759002766</v>
      </c>
      <c r="FB29" s="315">
        <f t="shared" si="42"/>
        <v>0</v>
      </c>
      <c r="FC29" s="315"/>
      <c r="FD29" s="316"/>
      <c r="FE29" s="316">
        <f>_xlfn.IFNA((VLOOKUP($A29,HN!$A:$K,8,FALSE)/12),0)+_xlfn.IFNA((VLOOKUP($A29,HN!$A:$AF,32,FALSE)*1/12),0)</f>
        <v>0</v>
      </c>
      <c r="FF29" s="316">
        <f>_xlfn.IFNA((VLOOKUP($A29,HN!$A:$BS,14,FALSE)/12),0)+_xlfn.IFNA((VLOOKUP($A29,HN!$A:$BS,34,FALSE)/3),0)</f>
        <v>0</v>
      </c>
      <c r="FG29" s="316">
        <f>_xlfn.IFNA(VLOOKUP($A29,'Post 16'!$A:$AV,32,FALSE),0)/8</f>
        <v>0</v>
      </c>
      <c r="FH29" s="316"/>
      <c r="FI29" s="316">
        <f>_xlfn.IFNA((VLOOKUP($A29,HN!$A:$K,9,FALSE)/12),0)+_xlfn.IFNA((VLOOKUP($A29,HN!$A:$K,10,FALSE)/12),0)+_xlfn.IFNA((VLOOKUP($A29,HN!$A:$BZ,33,FALSE)/12),0)+_xlfn.IFNA((VLOOKUP($A29,HN!$A:$BZ,35,FALSE)/2),0)</f>
        <v>0</v>
      </c>
      <c r="FJ29" s="316">
        <f>_xlfn.IFNA((VLOOKUP($A29,HN!$A:$BS,15,FALSE)/12),0)+_xlfn.IFNA((VLOOKUP($A29,HN!$A:$CZ,36,FALSE)/2),0)</f>
        <v>0</v>
      </c>
      <c r="FK29" s="315">
        <f t="shared" si="43"/>
        <v>0</v>
      </c>
      <c r="FL29" s="315">
        <f t="shared" si="44"/>
        <v>0</v>
      </c>
      <c r="FM29" s="316"/>
      <c r="FN29" s="316">
        <f>_xlfn.IFNA(VLOOKUP($A29,'Cash Advances'!$A:$S,18,FALSE),0)</f>
        <v>0</v>
      </c>
      <c r="FO29" s="316">
        <f>_xlfn.IFNA(VLOOKUP(A29,'LA Deductions'!A:AZ,25,FALSE),0)/9</f>
        <v>0</v>
      </c>
      <c r="FP29" s="315">
        <f t="shared" si="45"/>
        <v>0</v>
      </c>
      <c r="FQ29" s="322">
        <f t="shared" si="46"/>
        <v>0</v>
      </c>
      <c r="FR29" s="322"/>
      <c r="FS29" s="323"/>
      <c r="FT29" s="323">
        <f>_xlfn.IFNA((VLOOKUP($A29,HN!$A:$K,8,FALSE)/12),0)+_xlfn.IFNA((VLOOKUP($A29,HN!$A:$AF,32,FALSE)*1/12),0)</f>
        <v>0</v>
      </c>
      <c r="FU29" s="323">
        <f>_xlfn.IFNA((VLOOKUP($A29,HN!$A:$BS,14,FALSE)/12),0)+_xlfn.IFNA((VLOOKUP($A29,HN!$A:$BS,34,FALSE)/3),0)</f>
        <v>0</v>
      </c>
      <c r="FV29" s="323">
        <f>_xlfn.IFNA(VLOOKUP($A29,'Post 16'!$A:$AV,32,FALSE),0)/8</f>
        <v>0</v>
      </c>
      <c r="FW29" s="323"/>
      <c r="FX29" s="323">
        <f>_xlfn.IFNA((VLOOKUP($A29,HN!$A:$K,9,FALSE)/12),0)+_xlfn.IFNA((VLOOKUP($A29,HN!$A:$K,10,FALSE)/12),0)+_xlfn.IFNA((VLOOKUP($A29,HN!$A:$BZ,33,FALSE)/12),0)+_xlfn.IFNA((VLOOKUP($A29,HN!$A:$BZ,35,FALSE)/2),0)</f>
        <v>0</v>
      </c>
      <c r="FY29" s="323">
        <f>_xlfn.IFNA((VLOOKUP($A29,HN!$A:$BS,15,FALSE)/12),0)+_xlfn.IFNA((VLOOKUP($A29,HN!$A:$CZ,36,FALSE)/2),0)</f>
        <v>0</v>
      </c>
      <c r="FZ29" s="322">
        <f t="shared" si="47"/>
        <v>0</v>
      </c>
      <c r="GA29" s="322">
        <f t="shared" si="48"/>
        <v>0</v>
      </c>
      <c r="GB29" s="323"/>
      <c r="GC29" s="323"/>
      <c r="GD29" s="323">
        <f>_xlfn.IFNA(VLOOKUP(A29,'LA Deductions'!A:AZ,25,FALSE),0)/9</f>
        <v>0</v>
      </c>
      <c r="GE29" s="322">
        <f t="shared" si="49"/>
        <v>0</v>
      </c>
      <c r="GG29" s="146">
        <f t="shared" si="52"/>
        <v>725603.99472093489</v>
      </c>
      <c r="GH29" s="146">
        <f t="shared" si="52"/>
        <v>0</v>
      </c>
      <c r="GI29" s="146">
        <f t="shared" si="52"/>
        <v>1386.9927977839334</v>
      </c>
      <c r="GJ29" s="146">
        <f t="shared" si="52"/>
        <v>0</v>
      </c>
      <c r="GK29" s="146">
        <f t="shared" si="52"/>
        <v>0</v>
      </c>
      <c r="GL29" s="146">
        <f t="shared" si="52"/>
        <v>-3291.75</v>
      </c>
      <c r="GN29" s="146">
        <f t="shared" si="53"/>
        <v>725603.99472093489</v>
      </c>
      <c r="GO29" s="146">
        <f t="shared" si="53"/>
        <v>0</v>
      </c>
      <c r="GP29" s="146">
        <f t="shared" si="53"/>
        <v>1386.9927977839334</v>
      </c>
      <c r="GQ29" s="146">
        <f t="shared" si="53"/>
        <v>0</v>
      </c>
      <c r="GR29" s="146">
        <f t="shared" si="53"/>
        <v>0</v>
      </c>
      <c r="GS29" s="146">
        <f t="shared" si="53"/>
        <v>-3291.75</v>
      </c>
      <c r="GU29" s="146"/>
      <c r="GV29" s="57"/>
    </row>
    <row r="30" spans="1:204">
      <c r="A30" s="185">
        <v>2465</v>
      </c>
      <c r="B30" s="185">
        <v>103391</v>
      </c>
      <c r="C30" s="185" t="s">
        <v>79</v>
      </c>
      <c r="D30" s="2" t="s">
        <v>80</v>
      </c>
      <c r="E30" s="191" t="s">
        <v>32</v>
      </c>
      <c r="F30" s="191" t="s">
        <v>912</v>
      </c>
      <c r="H30" s="279">
        <f>_xlfn.IFNA(VLOOKUP($A30,ISB!$A$4:$BY$454,67,FALSE),0)</f>
        <v>2722664.0117721613</v>
      </c>
      <c r="I30" s="279">
        <f>_xlfn.IFNA(VLOOKUP($A30,ISB!$A$4:$BY$454,72,FALSE),0)</f>
        <v>-10901.439999999999</v>
      </c>
      <c r="J30" s="279">
        <f>-_xlfn.IFNA(VLOOKUP($A30,ISB!$A$4:$BY$454,76,FALSE),0)</f>
        <v>-46033.17</v>
      </c>
      <c r="K30" s="279">
        <f>_xlfn.IFNA(VLOOKUP($A30,ISB!$A$4:$BY$454,77,FALSE),0)</f>
        <v>2665729.4017721615</v>
      </c>
      <c r="M30" s="301">
        <f t="shared" si="7"/>
        <v>226888.66764768012</v>
      </c>
      <c r="N30" s="301">
        <f>VLOOKUP($A30,EY!$A:$H,8,FALSE)+(VLOOKUP($A30,EY!$A:$BS,17,FALSE)-S30)+VLOOKUP($A30,EY!$A:$BS,41,FALSE)</f>
        <v>39112.32</v>
      </c>
      <c r="O30" s="302"/>
      <c r="P30" s="302">
        <f>_xlfn.IFNA((VLOOKUP($A30,HN!$A:$K,8,FALSE)/12),0)</f>
        <v>0</v>
      </c>
      <c r="Q30" s="302">
        <f>_xlfn.IFNA((VLOOKUP($A30,HN!$A:$BS,14,FALSE)/12),0)</f>
        <v>0</v>
      </c>
      <c r="R30" s="302">
        <f>_xlfn.IFNA(VLOOKUP($A30,'Post 16'!$A:$V,21,FALSE),0)/4</f>
        <v>0</v>
      </c>
      <c r="S30" s="302">
        <f>VLOOKUP($A30,EY!A:Q,15,FALSE)*80%</f>
        <v>0</v>
      </c>
      <c r="T30" s="302">
        <f>_xlfn.IFNA((VLOOKUP($A30,HN!$A:$K,9,FALSE)/12),0)+_xlfn.IFNA((VLOOKUP($A30,HN!$A:$K,10,FALSE)/12),0)</f>
        <v>0</v>
      </c>
      <c r="U30" s="302">
        <f>_xlfn.IFNA((VLOOKUP($A30,HN!$A:$BS,15,FALSE)/12),0)</f>
        <v>0</v>
      </c>
      <c r="V30" s="301">
        <f t="shared" si="8"/>
        <v>-908.45333333333326</v>
      </c>
      <c r="W30" s="301">
        <f t="shared" si="9"/>
        <v>-3836.0974999999999</v>
      </c>
      <c r="X30" s="302"/>
      <c r="Y30" s="302">
        <f>_xlfn.IFNA(VLOOKUP($A30,'Cash Advances'!$A:$S,8,FALSE),0)</f>
        <v>0</v>
      </c>
      <c r="Z30" s="301">
        <f t="shared" si="0"/>
        <v>261256.43681434679</v>
      </c>
      <c r="AA30" s="315">
        <f t="shared" si="10"/>
        <v>226888.66764768012</v>
      </c>
      <c r="AB30" s="315"/>
      <c r="AC30" s="316"/>
      <c r="AD30" s="316">
        <f>_xlfn.IFNA((VLOOKUP($A30,HN!$A:$K,8,FALSE)/12),0)</f>
        <v>0</v>
      </c>
      <c r="AE30" s="316">
        <f>_xlfn.IFNA((VLOOKUP($A30,HN!$A:$BS,14,FALSE)/12),0)</f>
        <v>0</v>
      </c>
      <c r="AF30" s="316">
        <f>_xlfn.IFNA(VLOOKUP($A30,'Post 16'!$A:$V,21,FALSE),0)/4</f>
        <v>0</v>
      </c>
      <c r="AG30" s="316"/>
      <c r="AH30" s="316">
        <f>_xlfn.IFNA((VLOOKUP($A30,HN!$A:$K,9,FALSE)/12),0)+_xlfn.IFNA((VLOOKUP($A30,HN!$A:$K,10,FALSE)/12),0)</f>
        <v>0</v>
      </c>
      <c r="AI30" s="316">
        <f>_xlfn.IFNA((VLOOKUP($A30,HN!$A:$BS,15,FALSE)/12),0)</f>
        <v>0</v>
      </c>
      <c r="AJ30" s="315">
        <f t="shared" si="11"/>
        <v>-908.45333333333326</v>
      </c>
      <c r="AK30" s="315">
        <f t="shared" si="12"/>
        <v>-3836.0974999999999</v>
      </c>
      <c r="AL30" s="316"/>
      <c r="AM30" s="316">
        <f>_xlfn.IFNA(VLOOKUP($A30,'Cash Advances'!$A:$S,9,FALSE),0)</f>
        <v>0</v>
      </c>
      <c r="AN30" s="315">
        <f t="shared" si="1"/>
        <v>222144.11681434678</v>
      </c>
      <c r="AO30" s="308">
        <f t="shared" si="13"/>
        <v>226888.66764768012</v>
      </c>
      <c r="AP30" s="308"/>
      <c r="AQ30" s="309"/>
      <c r="AR30" s="309">
        <f>_xlfn.IFNA((VLOOKUP($A30,HN!$A:$K,8,FALSE)/12),0)</f>
        <v>0</v>
      </c>
      <c r="AS30" s="309">
        <f>_xlfn.IFNA((VLOOKUP($A30,HN!$A:$BS,14,FALSE)/12),0)</f>
        <v>0</v>
      </c>
      <c r="AT30" s="309">
        <f>_xlfn.IFNA(VLOOKUP($A30,'Post 16'!$A:$V,21,FALSE),0)/4</f>
        <v>0</v>
      </c>
      <c r="AU30" s="309"/>
      <c r="AV30" s="309">
        <f>_xlfn.IFNA((VLOOKUP($A30,HN!$A:$K,9,FALSE)/12),0)+_xlfn.IFNA((VLOOKUP($A30,HN!$A:$K,10,FALSE)/12),0)+_xlfn.IFNA(VLOOKUP(A30,HN!A:V,19,FALSE),0)+_xlfn.IFNA(VLOOKUP(A30,HN!A:V,20,FALSE),0)+_xlfn.IFNA(VLOOKUP(A30,HN!A:V,21,FALSE),0)</f>
        <v>0</v>
      </c>
      <c r="AW30" s="309">
        <f>_xlfn.IFNA((VLOOKUP($A30,HN!$A:$BS,15,FALSE)/12),0)</f>
        <v>0</v>
      </c>
      <c r="AX30" s="308">
        <f t="shared" si="14"/>
        <v>-908.45333333333326</v>
      </c>
      <c r="AY30" s="308">
        <f t="shared" si="15"/>
        <v>-3836.0974999999999</v>
      </c>
      <c r="AZ30" s="309"/>
      <c r="BA30" s="309">
        <f>_xlfn.IFNA(VLOOKUP($A30,'Cash Advances'!$A:$S,10,FALSE),0)</f>
        <v>0</v>
      </c>
      <c r="BB30" s="308">
        <f t="shared" si="2"/>
        <v>222144.11681434678</v>
      </c>
      <c r="BC30" s="330">
        <f t="shared" si="16"/>
        <v>226888.66764768012</v>
      </c>
      <c r="BD30" s="330"/>
      <c r="BE30" s="331"/>
      <c r="BF30" s="331">
        <f>_xlfn.IFNA((VLOOKUP($A30,HN!$A:$K,8,FALSE)/12),0)</f>
        <v>0</v>
      </c>
      <c r="BG30" s="331">
        <f>_xlfn.IFNA((VLOOKUP($A30,HN!$A:$BS,14,FALSE)/12),0)</f>
        <v>0</v>
      </c>
      <c r="BH30" s="331">
        <f>_xlfn.IFNA(VLOOKUP($A30,'Post 16'!$A:$V,21,FALSE),0)/4</f>
        <v>0</v>
      </c>
      <c r="BI30" s="331"/>
      <c r="BJ30" s="331">
        <f>_xlfn.IFNA((VLOOKUP($A30,HN!$A:$K,9,FALSE)/12),0)+_xlfn.IFNA((VLOOKUP($A30,HN!$A:$K,10,FALSE)/12),0)</f>
        <v>0</v>
      </c>
      <c r="BK30" s="331">
        <f>_xlfn.IFNA((VLOOKUP($A30,HN!$A:$BS,15,FALSE)/12),0)</f>
        <v>0</v>
      </c>
      <c r="BL30" s="330">
        <f t="shared" si="17"/>
        <v>-908.45333333333326</v>
      </c>
      <c r="BM30" s="330">
        <f t="shared" si="18"/>
        <v>-3836.0974999999999</v>
      </c>
      <c r="BN30" s="331"/>
      <c r="BO30" s="331">
        <f>_xlfn.IFNA(VLOOKUP(A30,'Cash Advances'!A:K,11,FALSE),0)</f>
        <v>0</v>
      </c>
      <c r="BP30" s="330">
        <f t="shared" si="3"/>
        <v>222144.11681434678</v>
      </c>
      <c r="BQ30" s="322">
        <f t="shared" si="19"/>
        <v>226888.66764768012</v>
      </c>
      <c r="BR30" s="322"/>
      <c r="BS30" s="323"/>
      <c r="BT30" s="323">
        <f>_xlfn.IFNA((VLOOKUP($A30,HN!$A:$K,8,FALSE)/12),0)</f>
        <v>0</v>
      </c>
      <c r="BU30" s="323">
        <f>_xlfn.IFNA((VLOOKUP($A30,HN!$A:$BS,14,FALSE)/12),0)</f>
        <v>0</v>
      </c>
      <c r="BV30" s="323">
        <f>(_xlfn.IFNA(VLOOKUP($A30,'Post 16'!$A:$AV,32,FALSE),0)/8)+_xlfn.IFNA(VLOOKUP($A30,'Post 16'!$A:$AR,40,FALSE),0)</f>
        <v>0</v>
      </c>
      <c r="BW30" s="323"/>
      <c r="BX30" s="323">
        <f>_xlfn.IFNA((VLOOKUP($A30,HN!$A:$K,9,FALSE)/12),0)+_xlfn.IFNA((VLOOKUP($A30,HN!$A:$K,10,FALSE)/12),0)</f>
        <v>0</v>
      </c>
      <c r="BY30" s="323">
        <f>_xlfn.IFNA((VLOOKUP($A30,HN!$A:$BS,15,FALSE)/12),0)</f>
        <v>0</v>
      </c>
      <c r="BZ30" s="322">
        <f t="shared" si="20"/>
        <v>-908.45333333333326</v>
      </c>
      <c r="CA30" s="322">
        <f t="shared" si="21"/>
        <v>-3836.0974999999999</v>
      </c>
      <c r="CB30" s="323"/>
      <c r="CC30" s="323"/>
      <c r="CD30" s="322">
        <f t="shared" si="4"/>
        <v>222144.11681434678</v>
      </c>
      <c r="CE30" s="357">
        <f t="shared" si="22"/>
        <v>226888.66764768012</v>
      </c>
      <c r="CF30" s="357">
        <f>(VLOOKUP($A30,EY!$A:$BS,26,FALSE)-(VLOOKUP($A30,EY!A:CR,24,FALSE)*80%))+VLOOKUP($A30,EY!$A:$BS,42,FALSE)+(VLOOKUP($A30,EY!A:CC,74,FALSE)-VLOOKUP($A30,EY!A:CC,72,FALSE))</f>
        <v>16280.550000000003</v>
      </c>
      <c r="CG30" s="358"/>
      <c r="CH30" s="358">
        <f>_xlfn.IFNA((VLOOKUP($A30,HN!$A:$K,8,FALSE)/12),0)</f>
        <v>0</v>
      </c>
      <c r="CI30" s="358">
        <f>_xlfn.IFNA((VLOOKUP($A30,HN!$A:$BS,14,FALSE)/12),0)</f>
        <v>0</v>
      </c>
      <c r="CJ30" s="358">
        <f>(_xlfn.IFNA(VLOOKUP($A30,'Post 16'!$A:$AV,32,FALSE),0)/8)</f>
        <v>0</v>
      </c>
      <c r="CK30" s="358">
        <f>(VLOOKUP($A30,EY!A:CR,24,FALSE)*80%)+VLOOKUP($A30,EY!A:CC,72,FALSE)</f>
        <v>0</v>
      </c>
      <c r="CL30" s="358">
        <f>_xlfn.IFNA((VLOOKUP($A30,HN!$A:$K,9,FALSE)/12),0)+_xlfn.IFNA((VLOOKUP($A30,HN!$A:$K,10,FALSE)/12),0)</f>
        <v>0</v>
      </c>
      <c r="CM30" s="358">
        <f>_xlfn.IFNA((VLOOKUP($A30,HN!$A:$BS,15,FALSE)/12),0)</f>
        <v>0</v>
      </c>
      <c r="CN30" s="357">
        <f t="shared" si="23"/>
        <v>-908.45333333333326</v>
      </c>
      <c r="CO30" s="357">
        <f t="shared" si="24"/>
        <v>-3836.0974999999999</v>
      </c>
      <c r="CP30" s="358">
        <f>_xlfn.IFNA(VLOOKUP(A30,'LA Deductions'!A:W,23,FALSE),0)</f>
        <v>-9471</v>
      </c>
      <c r="CQ30" s="358">
        <f>_xlfn.IFNA(VLOOKUP($A30,'Cash Advances'!$A:$S,13,FALSE),0)</f>
        <v>0</v>
      </c>
      <c r="CR30" s="358">
        <f>_xlfn.IFNA(VLOOKUP(A30,'LA Deductions'!A:AZ,25,FALSE),0)/9*3</f>
        <v>0</v>
      </c>
      <c r="CS30" s="357">
        <f t="shared" si="25"/>
        <v>228953.6668143468</v>
      </c>
      <c r="CT30" s="337">
        <f t="shared" si="26"/>
        <v>226888.66764768012</v>
      </c>
      <c r="CU30" s="337"/>
      <c r="CV30" s="338">
        <f>_xlfn.IFNA(VLOOKUP(A30,'LA Deductions'!$A$6:$AN$207,34,FALSE),0)</f>
        <v>0</v>
      </c>
      <c r="CW30" s="338">
        <f>_xlfn.IFNA((VLOOKUP($A30,HN!$A:$K,8,FALSE)/12),0)</f>
        <v>0</v>
      </c>
      <c r="CX30" s="338">
        <f>_xlfn.IFNA((VLOOKUP($A30,HN!$A:$BS,14,FALSE)/12),0)</f>
        <v>0</v>
      </c>
      <c r="CY30" s="338">
        <f>_xlfn.IFNA(VLOOKUP($A30,'Post 16'!$A:$AV,32,FALSE),0)/8</f>
        <v>0</v>
      </c>
      <c r="CZ30" s="338"/>
      <c r="DA30" s="338">
        <f>_xlfn.IFNA((VLOOKUP($A30,HN!$A:$K,9,FALSE)/12),0)+_xlfn.IFNA((VLOOKUP($A30,HN!$A:$K,10,FALSE)/12),0)</f>
        <v>0</v>
      </c>
      <c r="DB30" s="338">
        <f>_xlfn.IFNA((VLOOKUP($A30,HN!$A:$BS,15,FALSE)/12),0)</f>
        <v>0</v>
      </c>
      <c r="DC30" s="337">
        <f t="shared" si="27"/>
        <v>-908.45333333333326</v>
      </c>
      <c r="DD30" s="337">
        <f t="shared" si="28"/>
        <v>-3836.0974999999999</v>
      </c>
      <c r="DE30" s="338"/>
      <c r="DF30" s="338">
        <f>_xlfn.IFNA(VLOOKUP($A30,'Cash Advances'!$A:$S,14,FALSE),0)</f>
        <v>0</v>
      </c>
      <c r="DG30" s="338">
        <f>(_xlfn.IFNA(VLOOKUP(A30,'LA Deductions'!A:AZ,25,FALSE),0)/9)+(_xlfn.IFNA(VLOOKUP(A30,'LA Deductions'!A:AZ,26,FALSE),0))</f>
        <v>0</v>
      </c>
      <c r="DH30" s="337">
        <f t="shared" si="29"/>
        <v>222144.11681434678</v>
      </c>
      <c r="DI30" s="330">
        <f t="shared" si="30"/>
        <v>226888.66764768012</v>
      </c>
      <c r="DJ30" s="330"/>
      <c r="DK30" s="331"/>
      <c r="DL30" s="331">
        <f>_xlfn.IFNA((VLOOKUP($A30,HN!$A:$K,8,FALSE)/12),0)+_xlfn.IFNA((VLOOKUP($A30,HN!$A:$AF,32,FALSE)*8/12),0)</f>
        <v>0</v>
      </c>
      <c r="DM30" s="331">
        <f>_xlfn.IFNA((VLOOKUP($A30,HN!$A:$BS,14,FALSE)/12),0)+_xlfn.IFNA(VLOOKUP($A30,HN!$A:$BS,31,FALSE),0)</f>
        <v>0</v>
      </c>
      <c r="DN30" s="331">
        <f>_xlfn.IFNA(VLOOKUP($A30,'Post 16'!$A:$AV,32,FALSE),0)/8</f>
        <v>0</v>
      </c>
      <c r="DO30" s="331"/>
      <c r="DP30" s="331">
        <f>_xlfn.IFNA((VLOOKUP($A30,HN!$A:$K,9,FALSE)/12),0)+_xlfn.IFNA((VLOOKUP($A30,HN!$A:$K,10,FALSE)/12),0)+_xlfn.IFNA((VLOOKUP($A30,HN!$A:$BZ,33,FALSE)*8/12),0)</f>
        <v>0</v>
      </c>
      <c r="DQ30" s="331">
        <f>_xlfn.IFNA((VLOOKUP($A30,HN!$A:$BS,15,FALSE)/12),0)</f>
        <v>0</v>
      </c>
      <c r="DR30" s="330">
        <f t="shared" si="31"/>
        <v>-908.45333333333326</v>
      </c>
      <c r="DS30" s="330">
        <f t="shared" si="32"/>
        <v>-3836.0974999999999</v>
      </c>
      <c r="DT30" s="331"/>
      <c r="DU30" s="331"/>
      <c r="DV30" s="331">
        <f>(_xlfn.IFNA(VLOOKUP(A30,'LA Deductions'!A:AZ,25,FALSE),0)/9)+_xlfn.IFNA(VLOOKUP(A30,'LA Deductions'!A:AZ,27,FALSE),0)</f>
        <v>0</v>
      </c>
      <c r="DW30" s="330">
        <f t="shared" si="33"/>
        <v>222144.11681434678</v>
      </c>
      <c r="DX30" s="344">
        <f t="shared" si="34"/>
        <v>226888.66764768012</v>
      </c>
      <c r="DY30" s="344"/>
      <c r="DZ30" s="345"/>
      <c r="EA30" s="345">
        <f>_xlfn.IFNA((VLOOKUP($A30,HN!$A:$K,8,FALSE)/12),0)+_xlfn.IFNA((VLOOKUP($A30,HN!$A:$AF,32,FALSE)*1/12),0)</f>
        <v>0</v>
      </c>
      <c r="EB30" s="345">
        <f>_xlfn.IFNA((VLOOKUP($A30,HN!$A:$BS,14,FALSE)/12),0)</f>
        <v>0</v>
      </c>
      <c r="EC30" s="345">
        <f>_xlfn.IFNA(VLOOKUP($A30,'Post 16'!$A:$AV,32,FALSE),0)/8</f>
        <v>0</v>
      </c>
      <c r="ED30" s="345"/>
      <c r="EE30" s="345">
        <f>_xlfn.IFNA((VLOOKUP($A30,HN!$A:$K,9,FALSE)/12),0)+_xlfn.IFNA((VLOOKUP($A30,HN!$A:$K,10,FALSE)/12),0)+_xlfn.IFNA((VLOOKUP($A30,HN!$A:$BZ,33,FALSE)/12),0)</f>
        <v>0</v>
      </c>
      <c r="EF30" s="345">
        <f>_xlfn.IFNA((VLOOKUP($A30,HN!$A:$BS,15,FALSE)/12),0)</f>
        <v>0</v>
      </c>
      <c r="EG30" s="344">
        <f t="shared" si="35"/>
        <v>-908.45333333333326</v>
      </c>
      <c r="EH30" s="344">
        <f t="shared" si="36"/>
        <v>-3836.0974999999999</v>
      </c>
      <c r="EI30" s="345"/>
      <c r="EJ30" s="345">
        <f>_xlfn.IFNA(VLOOKUP(A30,'Cash Advances'!A:P,16,FALSE),0)</f>
        <v>0</v>
      </c>
      <c r="EK30" s="345">
        <f>_xlfn.IFNA(VLOOKUP(A30,'LA Deductions'!A:AZ,25,FALSE),0)/9</f>
        <v>0</v>
      </c>
      <c r="EL30" s="344">
        <f t="shared" si="37"/>
        <v>222144.11681434678</v>
      </c>
      <c r="EM30" s="308">
        <f t="shared" si="38"/>
        <v>226888.66764768012</v>
      </c>
      <c r="EN30" s="308">
        <f>((VLOOKUP($A30,EY!$A:$BS,35,FALSE)-(VLOOKUP($A30,EY!$A:$BS,33,FALSE)*80%))+VLOOKUP($A30,EY!$A:$BS,43,FALSE))+(VLOOKUP(A30,EY!A:DF,110,FALSE)-VLOOKUP(A30,EY!A:DD,108,FALSE))+(VLOOKUP(A30,EY!A:CE,83,FALSE)-VLOOKUP(A30,EY!A:CC,81,FALSE))</f>
        <v>33582.5652631579</v>
      </c>
      <c r="EO30" s="309"/>
      <c r="EP30" s="309">
        <f>_xlfn.IFNA((VLOOKUP($A30,HN!$A:$K,8,FALSE)/12),0)+_xlfn.IFNA((VLOOKUP($A30,HN!$A:$AF,32,FALSE)*1/12),0)</f>
        <v>0</v>
      </c>
      <c r="EQ30" s="309">
        <f>_xlfn.IFNA((VLOOKUP($A30,HN!$A:$BS,14,FALSE)/12),0)+_xlfn.IFNA((VLOOKUP($A30,HN!$A:$BS,34,FALSE)/3),0)</f>
        <v>0</v>
      </c>
      <c r="ER30" s="309">
        <f>_xlfn.IFNA(VLOOKUP($A30,'Post 16'!$A:$AV,32,FALSE),0)/8</f>
        <v>0</v>
      </c>
      <c r="ES30" s="309">
        <f>((VLOOKUP($A30,EY!A:EV,33,FALSE)*80%))+VLOOKUP(A30,EY!A:DD,108,FALSE)+VLOOKUP(A30,EY!A:CC,81,FALSE)</f>
        <v>0</v>
      </c>
      <c r="ET30" s="309">
        <f>_xlfn.IFNA((VLOOKUP($A30,HN!$A:$K,9,FALSE)/12),0)+_xlfn.IFNA((VLOOKUP($A30,HN!$A:$K,10,FALSE)/12),0)+_xlfn.IFNA((VLOOKUP($A30,HN!$A:$BZ,33,FALSE)/12),0)</f>
        <v>0</v>
      </c>
      <c r="EU30" s="309">
        <f>_xlfn.IFNA((VLOOKUP($A30,HN!$A:$BS,15,FALSE)/12),0)</f>
        <v>0</v>
      </c>
      <c r="EV30" s="308">
        <f t="shared" si="39"/>
        <v>-908.45333333333326</v>
      </c>
      <c r="EW30" s="308">
        <f t="shared" si="40"/>
        <v>-3836.0974999999999</v>
      </c>
      <c r="EX30" s="309"/>
      <c r="EY30" s="309">
        <f>_xlfn.IFNA(VLOOKUP($A30,'Cash Advances'!$A:$S,17,FALSE),0)</f>
        <v>0</v>
      </c>
      <c r="EZ30" s="309">
        <f>_xlfn.IFNA(VLOOKUP(A30,'LA Deductions'!A:AZ,25,FALSE),0)/9</f>
        <v>0</v>
      </c>
      <c r="FA30" s="308">
        <f t="shared" si="41"/>
        <v>255726.68207750469</v>
      </c>
      <c r="FB30" s="315">
        <f t="shared" si="42"/>
        <v>226888.66764768012</v>
      </c>
      <c r="FC30" s="315"/>
      <c r="FD30" s="316"/>
      <c r="FE30" s="316">
        <f>_xlfn.IFNA((VLOOKUP($A30,HN!$A:$K,8,FALSE)/12),0)+_xlfn.IFNA((VLOOKUP($A30,HN!$A:$AF,32,FALSE)*1/12),0)</f>
        <v>0</v>
      </c>
      <c r="FF30" s="316">
        <f>_xlfn.IFNA((VLOOKUP($A30,HN!$A:$BS,14,FALSE)/12),0)+_xlfn.IFNA((VLOOKUP($A30,HN!$A:$BS,34,FALSE)/3),0)</f>
        <v>0</v>
      </c>
      <c r="FG30" s="316">
        <f>_xlfn.IFNA(VLOOKUP($A30,'Post 16'!$A:$AV,32,FALSE),0)/8</f>
        <v>0</v>
      </c>
      <c r="FH30" s="316"/>
      <c r="FI30" s="316">
        <f>_xlfn.IFNA((VLOOKUP($A30,HN!$A:$K,9,FALSE)/12),0)+_xlfn.IFNA((VLOOKUP($A30,HN!$A:$K,10,FALSE)/12),0)+_xlfn.IFNA((VLOOKUP($A30,HN!$A:$BZ,33,FALSE)/12),0)+_xlfn.IFNA((VLOOKUP($A30,HN!$A:$BZ,35,FALSE)/2),0)</f>
        <v>0</v>
      </c>
      <c r="FJ30" s="316">
        <f>_xlfn.IFNA((VLOOKUP($A30,HN!$A:$BS,15,FALSE)/12),0)+_xlfn.IFNA((VLOOKUP($A30,HN!$A:$CZ,36,FALSE)/2),0)</f>
        <v>0</v>
      </c>
      <c r="FK30" s="315">
        <f t="shared" si="43"/>
        <v>-908.45333333333326</v>
      </c>
      <c r="FL30" s="315">
        <f t="shared" si="44"/>
        <v>-3836.0974999999999</v>
      </c>
      <c r="FM30" s="316"/>
      <c r="FN30" s="316">
        <f>_xlfn.IFNA(VLOOKUP($A30,'Cash Advances'!$A:$S,18,FALSE),0)</f>
        <v>0</v>
      </c>
      <c r="FO30" s="316">
        <f>_xlfn.IFNA(VLOOKUP(A30,'LA Deductions'!A:AZ,25,FALSE),0)/9</f>
        <v>0</v>
      </c>
      <c r="FP30" s="315">
        <f t="shared" si="45"/>
        <v>222144.11681434678</v>
      </c>
      <c r="FQ30" s="322">
        <f t="shared" si="46"/>
        <v>226888.66764768012</v>
      </c>
      <c r="FR30" s="322"/>
      <c r="FS30" s="323"/>
      <c r="FT30" s="323">
        <f>_xlfn.IFNA((VLOOKUP($A30,HN!$A:$K,8,FALSE)/12),0)+_xlfn.IFNA((VLOOKUP($A30,HN!$A:$AF,32,FALSE)*1/12),0)</f>
        <v>0</v>
      </c>
      <c r="FU30" s="323">
        <f>_xlfn.IFNA((VLOOKUP($A30,HN!$A:$BS,14,FALSE)/12),0)+_xlfn.IFNA((VLOOKUP($A30,HN!$A:$BS,34,FALSE)/3),0)</f>
        <v>0</v>
      </c>
      <c r="FV30" s="323">
        <f>_xlfn.IFNA(VLOOKUP($A30,'Post 16'!$A:$AV,32,FALSE),0)/8</f>
        <v>0</v>
      </c>
      <c r="FW30" s="323"/>
      <c r="FX30" s="323">
        <f>_xlfn.IFNA((VLOOKUP($A30,HN!$A:$K,9,FALSE)/12),0)+_xlfn.IFNA((VLOOKUP($A30,HN!$A:$K,10,FALSE)/12),0)+_xlfn.IFNA((VLOOKUP($A30,HN!$A:$BZ,33,FALSE)/12),0)+_xlfn.IFNA((VLOOKUP($A30,HN!$A:$BZ,35,FALSE)/2),0)</f>
        <v>0</v>
      </c>
      <c r="FY30" s="323">
        <f>_xlfn.IFNA((VLOOKUP($A30,HN!$A:$BS,15,FALSE)/12),0)+_xlfn.IFNA((VLOOKUP($A30,HN!$A:$CZ,36,FALSE)/2),0)</f>
        <v>0</v>
      </c>
      <c r="FZ30" s="322">
        <f t="shared" si="47"/>
        <v>-908.45333333333326</v>
      </c>
      <c r="GA30" s="322">
        <f t="shared" si="48"/>
        <v>-3836.0974999999999</v>
      </c>
      <c r="GB30" s="323"/>
      <c r="GC30" s="323"/>
      <c r="GD30" s="323">
        <f>_xlfn.IFNA(VLOOKUP(A30,'LA Deductions'!A:AZ,25,FALSE),0)/9</f>
        <v>0</v>
      </c>
      <c r="GE30" s="322">
        <f t="shared" si="49"/>
        <v>222144.11681434678</v>
      </c>
      <c r="GG30" s="146">
        <f t="shared" si="52"/>
        <v>2811639.4470353196</v>
      </c>
      <c r="GH30" s="146">
        <f t="shared" si="52"/>
        <v>0</v>
      </c>
      <c r="GI30" s="146">
        <f t="shared" si="52"/>
        <v>0</v>
      </c>
      <c r="GJ30" s="146">
        <f t="shared" si="52"/>
        <v>-10901.439999999997</v>
      </c>
      <c r="GK30" s="146">
        <f t="shared" si="52"/>
        <v>-46033.170000000013</v>
      </c>
      <c r="GL30" s="146">
        <f t="shared" si="52"/>
        <v>-9471</v>
      </c>
      <c r="GN30" s="146">
        <f t="shared" si="53"/>
        <v>2811639.4470353196</v>
      </c>
      <c r="GO30" s="146">
        <f t="shared" si="53"/>
        <v>0</v>
      </c>
      <c r="GP30" s="146">
        <f t="shared" si="53"/>
        <v>0</v>
      </c>
      <c r="GQ30" s="146">
        <f t="shared" si="53"/>
        <v>-10901.439999999997</v>
      </c>
      <c r="GR30" s="146">
        <f t="shared" si="53"/>
        <v>-46033.170000000013</v>
      </c>
      <c r="GS30" s="146">
        <f t="shared" si="53"/>
        <v>-9471</v>
      </c>
      <c r="GU30" s="146"/>
      <c r="GV30" s="57"/>
    </row>
    <row r="31" spans="1:204">
      <c r="A31" s="185">
        <v>4801</v>
      </c>
      <c r="B31" s="185">
        <v>103539</v>
      </c>
      <c r="C31" s="185" t="s">
        <v>81</v>
      </c>
      <c r="D31" s="2" t="s">
        <v>82</v>
      </c>
      <c r="E31" s="191" t="s">
        <v>58</v>
      </c>
      <c r="F31" s="191" t="s">
        <v>912</v>
      </c>
      <c r="H31" s="279">
        <f>_xlfn.IFNA(VLOOKUP($A31,ISB!$A$4:$BY$454,67,FALSE),0)</f>
        <v>6231063.374241313</v>
      </c>
      <c r="I31" s="279">
        <f>_xlfn.IFNA(VLOOKUP($A31,ISB!$A$4:$BY$454,72,FALSE),0)</f>
        <v>-15802.05</v>
      </c>
      <c r="J31" s="279">
        <f>-_xlfn.IFNA(VLOOKUP($A31,ISB!$A$4:$BY$454,76,FALSE),0)</f>
        <v>-24697.86</v>
      </c>
      <c r="K31" s="279">
        <f>_xlfn.IFNA(VLOOKUP($A31,ISB!$A$4:$BY$454,77,FALSE),0)</f>
        <v>6190563.4642413128</v>
      </c>
      <c r="M31" s="301">
        <f t="shared" si="7"/>
        <v>519255.28118677606</v>
      </c>
      <c r="N31" s="301">
        <f>VLOOKUP($A31,EY!$A:$H,8,FALSE)+(VLOOKUP($A31,EY!$A:$BS,17,FALSE)-S31)+VLOOKUP($A31,EY!$A:$BS,41,FALSE)</f>
        <v>0</v>
      </c>
      <c r="O31" s="302"/>
      <c r="P31" s="302">
        <f>_xlfn.IFNA((VLOOKUP($A31,HN!$A:$K,8,FALSE)/12),0)</f>
        <v>0</v>
      </c>
      <c r="Q31" s="302">
        <f>_xlfn.IFNA((VLOOKUP($A31,HN!$A:$BS,14,FALSE)/12),0)</f>
        <v>0</v>
      </c>
      <c r="R31" s="302">
        <f>_xlfn.IFNA(VLOOKUP($A31,'Post 16'!$A:$V,21,FALSE),0)/4</f>
        <v>0</v>
      </c>
      <c r="S31" s="302">
        <f>VLOOKUP($A31,EY!A:Q,15,FALSE)*80%</f>
        <v>0</v>
      </c>
      <c r="T31" s="302">
        <f>_xlfn.IFNA((VLOOKUP($A31,HN!$A:$K,9,FALSE)/12),0)+_xlfn.IFNA((VLOOKUP($A31,HN!$A:$K,10,FALSE)/12),0)</f>
        <v>0</v>
      </c>
      <c r="U31" s="302">
        <f>_xlfn.IFNA((VLOOKUP($A31,HN!$A:$BS,15,FALSE)/12),0)</f>
        <v>0</v>
      </c>
      <c r="V31" s="301">
        <f t="shared" si="8"/>
        <v>-1316.8374999999999</v>
      </c>
      <c r="W31" s="301">
        <f t="shared" si="9"/>
        <v>-2058.1550000000002</v>
      </c>
      <c r="X31" s="302"/>
      <c r="Y31" s="302">
        <f>_xlfn.IFNA(VLOOKUP($A31,'Cash Advances'!$A:$S,8,FALSE),0)</f>
        <v>0</v>
      </c>
      <c r="Z31" s="301">
        <f t="shared" si="0"/>
        <v>515880.28868677601</v>
      </c>
      <c r="AA31" s="315">
        <f t="shared" si="10"/>
        <v>519255.28118677606</v>
      </c>
      <c r="AB31" s="315"/>
      <c r="AC31" s="316"/>
      <c r="AD31" s="316">
        <f>_xlfn.IFNA((VLOOKUP($A31,HN!$A:$K,8,FALSE)/12),0)</f>
        <v>0</v>
      </c>
      <c r="AE31" s="316">
        <f>_xlfn.IFNA((VLOOKUP($A31,HN!$A:$BS,14,FALSE)/12),0)</f>
        <v>0</v>
      </c>
      <c r="AF31" s="316">
        <f>_xlfn.IFNA(VLOOKUP($A31,'Post 16'!$A:$V,21,FALSE),0)/4</f>
        <v>0</v>
      </c>
      <c r="AG31" s="316"/>
      <c r="AH31" s="316">
        <f>_xlfn.IFNA((VLOOKUP($A31,HN!$A:$K,9,FALSE)/12),0)+_xlfn.IFNA((VLOOKUP($A31,HN!$A:$K,10,FALSE)/12),0)</f>
        <v>0</v>
      </c>
      <c r="AI31" s="316">
        <f>_xlfn.IFNA((VLOOKUP($A31,HN!$A:$BS,15,FALSE)/12),0)</f>
        <v>0</v>
      </c>
      <c r="AJ31" s="315">
        <f t="shared" si="11"/>
        <v>-1316.8374999999999</v>
      </c>
      <c r="AK31" s="315">
        <f t="shared" si="12"/>
        <v>-2058.1550000000002</v>
      </c>
      <c r="AL31" s="316"/>
      <c r="AM31" s="316">
        <f>_xlfn.IFNA(VLOOKUP($A31,'Cash Advances'!$A:$S,9,FALSE),0)</f>
        <v>0</v>
      </c>
      <c r="AN31" s="315">
        <f t="shared" si="1"/>
        <v>515880.28868677601</v>
      </c>
      <c r="AO31" s="308">
        <f t="shared" si="13"/>
        <v>519255.28118677606</v>
      </c>
      <c r="AP31" s="308"/>
      <c r="AQ31" s="309"/>
      <c r="AR31" s="309">
        <f>_xlfn.IFNA((VLOOKUP($A31,HN!$A:$K,8,FALSE)/12),0)</f>
        <v>0</v>
      </c>
      <c r="AS31" s="309">
        <f>_xlfn.IFNA((VLOOKUP($A31,HN!$A:$BS,14,FALSE)/12),0)</f>
        <v>0</v>
      </c>
      <c r="AT31" s="309">
        <f>_xlfn.IFNA(VLOOKUP($A31,'Post 16'!$A:$V,21,FALSE),0)/4</f>
        <v>0</v>
      </c>
      <c r="AU31" s="309"/>
      <c r="AV31" s="309">
        <f>_xlfn.IFNA((VLOOKUP($A31,HN!$A:$K,9,FALSE)/12),0)+_xlfn.IFNA((VLOOKUP($A31,HN!$A:$K,10,FALSE)/12),0)+_xlfn.IFNA(VLOOKUP(A31,HN!A:V,19,FALSE),0)+_xlfn.IFNA(VLOOKUP(A31,HN!A:V,20,FALSE),0)+_xlfn.IFNA(VLOOKUP(A31,HN!A:V,21,FALSE),0)</f>
        <v>0</v>
      </c>
      <c r="AW31" s="309">
        <f>_xlfn.IFNA((VLOOKUP($A31,HN!$A:$BS,15,FALSE)/12),0)</f>
        <v>0</v>
      </c>
      <c r="AX31" s="308">
        <f t="shared" si="14"/>
        <v>-1316.8374999999999</v>
      </c>
      <c r="AY31" s="308">
        <f t="shared" si="15"/>
        <v>-2058.1550000000002</v>
      </c>
      <c r="AZ31" s="309"/>
      <c r="BA31" s="309">
        <f>_xlfn.IFNA(VLOOKUP($A31,'Cash Advances'!$A:$S,10,FALSE),0)</f>
        <v>0</v>
      </c>
      <c r="BB31" s="308">
        <f t="shared" si="2"/>
        <v>515880.28868677601</v>
      </c>
      <c r="BC31" s="330">
        <f t="shared" si="16"/>
        <v>519255.28118677606</v>
      </c>
      <c r="BD31" s="330"/>
      <c r="BE31" s="331"/>
      <c r="BF31" s="331">
        <f>_xlfn.IFNA((VLOOKUP($A31,HN!$A:$K,8,FALSE)/12),0)</f>
        <v>0</v>
      </c>
      <c r="BG31" s="331">
        <f>_xlfn.IFNA((VLOOKUP($A31,HN!$A:$BS,14,FALSE)/12),0)</f>
        <v>0</v>
      </c>
      <c r="BH31" s="331">
        <f>_xlfn.IFNA(VLOOKUP($A31,'Post 16'!$A:$V,21,FALSE),0)/4</f>
        <v>0</v>
      </c>
      <c r="BI31" s="331"/>
      <c r="BJ31" s="331">
        <f>_xlfn.IFNA((VLOOKUP($A31,HN!$A:$K,9,FALSE)/12),0)+_xlfn.IFNA((VLOOKUP($A31,HN!$A:$K,10,FALSE)/12),0)</f>
        <v>0</v>
      </c>
      <c r="BK31" s="331">
        <f>_xlfn.IFNA((VLOOKUP($A31,HN!$A:$BS,15,FALSE)/12),0)</f>
        <v>0</v>
      </c>
      <c r="BL31" s="330">
        <f t="shared" si="17"/>
        <v>-1316.8374999999999</v>
      </c>
      <c r="BM31" s="330">
        <f t="shared" si="18"/>
        <v>-2058.1550000000002</v>
      </c>
      <c r="BN31" s="331"/>
      <c r="BO31" s="331">
        <f>_xlfn.IFNA(VLOOKUP(A31,'Cash Advances'!A:K,11,FALSE),0)</f>
        <v>0</v>
      </c>
      <c r="BP31" s="330">
        <f t="shared" si="3"/>
        <v>515880.28868677601</v>
      </c>
      <c r="BQ31" s="322">
        <f t="shared" si="19"/>
        <v>519255.28118677606</v>
      </c>
      <c r="BR31" s="322"/>
      <c r="BS31" s="323"/>
      <c r="BT31" s="323">
        <f>_xlfn.IFNA((VLOOKUP($A31,HN!$A:$K,8,FALSE)/12),0)</f>
        <v>0</v>
      </c>
      <c r="BU31" s="323">
        <f>_xlfn.IFNA((VLOOKUP($A31,HN!$A:$BS,14,FALSE)/12),0)</f>
        <v>0</v>
      </c>
      <c r="BV31" s="323">
        <f>(_xlfn.IFNA(VLOOKUP($A31,'Post 16'!$A:$AV,32,FALSE),0)/8)+_xlfn.IFNA(VLOOKUP($A31,'Post 16'!$A:$AR,40,FALSE),0)</f>
        <v>0</v>
      </c>
      <c r="BW31" s="323"/>
      <c r="BX31" s="323">
        <f>_xlfn.IFNA((VLOOKUP($A31,HN!$A:$K,9,FALSE)/12),0)+_xlfn.IFNA((VLOOKUP($A31,HN!$A:$K,10,FALSE)/12),0)</f>
        <v>0</v>
      </c>
      <c r="BY31" s="323">
        <f>_xlfn.IFNA((VLOOKUP($A31,HN!$A:$BS,15,FALSE)/12),0)</f>
        <v>0</v>
      </c>
      <c r="BZ31" s="322">
        <f t="shared" si="20"/>
        <v>-1316.8374999999999</v>
      </c>
      <c r="CA31" s="322">
        <f t="shared" si="21"/>
        <v>-2058.1550000000002</v>
      </c>
      <c r="CB31" s="323"/>
      <c r="CC31" s="323"/>
      <c r="CD31" s="322">
        <f t="shared" si="4"/>
        <v>515880.28868677601</v>
      </c>
      <c r="CE31" s="357">
        <f t="shared" si="22"/>
        <v>519255.28118677606</v>
      </c>
      <c r="CF31" s="357">
        <f>(VLOOKUP($A31,EY!$A:$BS,26,FALSE)-(VLOOKUP($A31,EY!A:CR,24,FALSE)*80%))+VLOOKUP($A31,EY!$A:$BS,42,FALSE)+(VLOOKUP($A31,EY!A:CC,74,FALSE)-VLOOKUP($A31,EY!A:CC,72,FALSE))</f>
        <v>0</v>
      </c>
      <c r="CG31" s="358"/>
      <c r="CH31" s="358">
        <f>_xlfn.IFNA((VLOOKUP($A31,HN!$A:$K,8,FALSE)/12),0)</f>
        <v>0</v>
      </c>
      <c r="CI31" s="358">
        <f>_xlfn.IFNA((VLOOKUP($A31,HN!$A:$BS,14,FALSE)/12),0)</f>
        <v>0</v>
      </c>
      <c r="CJ31" s="358">
        <f>(_xlfn.IFNA(VLOOKUP($A31,'Post 16'!$A:$AV,32,FALSE),0)/8)</f>
        <v>0</v>
      </c>
      <c r="CK31" s="358">
        <f>(VLOOKUP($A31,EY!A:CR,24,FALSE)*80%)+VLOOKUP($A31,EY!A:CC,72,FALSE)</f>
        <v>0</v>
      </c>
      <c r="CL31" s="358">
        <f>_xlfn.IFNA((VLOOKUP($A31,HN!$A:$K,9,FALSE)/12),0)+_xlfn.IFNA((VLOOKUP($A31,HN!$A:$K,10,FALSE)/12),0)</f>
        <v>0</v>
      </c>
      <c r="CM31" s="358">
        <f>_xlfn.IFNA((VLOOKUP($A31,HN!$A:$BS,15,FALSE)/12),0)</f>
        <v>0</v>
      </c>
      <c r="CN31" s="357">
        <f t="shared" si="23"/>
        <v>-1316.8374999999999</v>
      </c>
      <c r="CO31" s="357">
        <f t="shared" si="24"/>
        <v>-2058.1550000000002</v>
      </c>
      <c r="CP31" s="358">
        <f>_xlfn.IFNA(VLOOKUP(A31,'LA Deductions'!A:W,23,FALSE),0)</f>
        <v>-24312.75</v>
      </c>
      <c r="CQ31" s="358">
        <f>_xlfn.IFNA(VLOOKUP($A31,'Cash Advances'!$A:$S,13,FALSE),0)</f>
        <v>0</v>
      </c>
      <c r="CR31" s="358">
        <f>_xlfn.IFNA(VLOOKUP(A31,'LA Deductions'!A:AZ,25,FALSE),0)/9*3</f>
        <v>0</v>
      </c>
      <c r="CS31" s="357">
        <f t="shared" si="25"/>
        <v>491567.53868677601</v>
      </c>
      <c r="CT31" s="337">
        <f t="shared" si="26"/>
        <v>519255.28118677606</v>
      </c>
      <c r="CU31" s="337"/>
      <c r="CV31" s="338">
        <f>_xlfn.IFNA(VLOOKUP(A31,'LA Deductions'!$A$6:$AN$207,34,FALSE),0)</f>
        <v>0</v>
      </c>
      <c r="CW31" s="338">
        <f>_xlfn.IFNA((VLOOKUP($A31,HN!$A:$K,8,FALSE)/12),0)</f>
        <v>0</v>
      </c>
      <c r="CX31" s="338">
        <f>_xlfn.IFNA((VLOOKUP($A31,HN!$A:$BS,14,FALSE)/12),0)</f>
        <v>0</v>
      </c>
      <c r="CY31" s="338">
        <f>_xlfn.IFNA(VLOOKUP($A31,'Post 16'!$A:$AV,32,FALSE),0)/8</f>
        <v>0</v>
      </c>
      <c r="CZ31" s="338"/>
      <c r="DA31" s="338">
        <f>_xlfn.IFNA((VLOOKUP($A31,HN!$A:$K,9,FALSE)/12),0)+_xlfn.IFNA((VLOOKUP($A31,HN!$A:$K,10,FALSE)/12),0)</f>
        <v>0</v>
      </c>
      <c r="DB31" s="338">
        <f>_xlfn.IFNA((VLOOKUP($A31,HN!$A:$BS,15,FALSE)/12),0)</f>
        <v>0</v>
      </c>
      <c r="DC31" s="337">
        <f t="shared" si="27"/>
        <v>-1316.8374999999999</v>
      </c>
      <c r="DD31" s="337">
        <f t="shared" si="28"/>
        <v>-2058.1550000000002</v>
      </c>
      <c r="DE31" s="338"/>
      <c r="DF31" s="338">
        <f>_xlfn.IFNA(VLOOKUP($A31,'Cash Advances'!$A:$S,14,FALSE),0)</f>
        <v>0</v>
      </c>
      <c r="DG31" s="338">
        <f>(_xlfn.IFNA(VLOOKUP(A31,'LA Deductions'!A:AZ,25,FALSE),0)/9)+(_xlfn.IFNA(VLOOKUP(A31,'LA Deductions'!A:AZ,26,FALSE),0))</f>
        <v>0</v>
      </c>
      <c r="DH31" s="337">
        <f t="shared" si="29"/>
        <v>515880.28868677601</v>
      </c>
      <c r="DI31" s="330">
        <f t="shared" si="30"/>
        <v>519255.28118677606</v>
      </c>
      <c r="DJ31" s="330"/>
      <c r="DK31" s="331"/>
      <c r="DL31" s="331">
        <f>_xlfn.IFNA((VLOOKUP($A31,HN!$A:$K,8,FALSE)/12),0)+_xlfn.IFNA((VLOOKUP($A31,HN!$A:$AF,32,FALSE)*8/12),0)</f>
        <v>0</v>
      </c>
      <c r="DM31" s="331">
        <f>_xlfn.IFNA((VLOOKUP($A31,HN!$A:$BS,14,FALSE)/12),0)+_xlfn.IFNA(VLOOKUP($A31,HN!$A:$BS,31,FALSE),0)</f>
        <v>0</v>
      </c>
      <c r="DN31" s="331">
        <f>_xlfn.IFNA(VLOOKUP($A31,'Post 16'!$A:$AV,32,FALSE),0)/8</f>
        <v>0</v>
      </c>
      <c r="DO31" s="331"/>
      <c r="DP31" s="331">
        <f>_xlfn.IFNA((VLOOKUP($A31,HN!$A:$K,9,FALSE)/12),0)+_xlfn.IFNA((VLOOKUP($A31,HN!$A:$K,10,FALSE)/12),0)+_xlfn.IFNA((VLOOKUP($A31,HN!$A:$BZ,33,FALSE)*8/12),0)</f>
        <v>0</v>
      </c>
      <c r="DQ31" s="331">
        <f>_xlfn.IFNA((VLOOKUP($A31,HN!$A:$BS,15,FALSE)/12),0)</f>
        <v>0</v>
      </c>
      <c r="DR31" s="330">
        <f t="shared" si="31"/>
        <v>-1316.8374999999999</v>
      </c>
      <c r="DS31" s="330">
        <f t="shared" si="32"/>
        <v>-2058.1550000000002</v>
      </c>
      <c r="DT31" s="331"/>
      <c r="DU31" s="331"/>
      <c r="DV31" s="331">
        <f>(_xlfn.IFNA(VLOOKUP(A31,'LA Deductions'!A:AZ,25,FALSE),0)/9)+_xlfn.IFNA(VLOOKUP(A31,'LA Deductions'!A:AZ,27,FALSE),0)</f>
        <v>0</v>
      </c>
      <c r="DW31" s="330">
        <f t="shared" si="33"/>
        <v>515880.28868677601</v>
      </c>
      <c r="DX31" s="344">
        <f t="shared" si="34"/>
        <v>519255.28118677606</v>
      </c>
      <c r="DY31" s="344"/>
      <c r="DZ31" s="345"/>
      <c r="EA31" s="345">
        <f>_xlfn.IFNA((VLOOKUP($A31,HN!$A:$K,8,FALSE)/12),0)+_xlfn.IFNA((VLOOKUP($A31,HN!$A:$AF,32,FALSE)*1/12),0)</f>
        <v>0</v>
      </c>
      <c r="EB31" s="345">
        <f>_xlfn.IFNA((VLOOKUP($A31,HN!$A:$BS,14,FALSE)/12),0)</f>
        <v>0</v>
      </c>
      <c r="EC31" s="345">
        <f>_xlfn.IFNA(VLOOKUP($A31,'Post 16'!$A:$AV,32,FALSE),0)/8</f>
        <v>0</v>
      </c>
      <c r="ED31" s="345"/>
      <c r="EE31" s="345">
        <f>_xlfn.IFNA((VLOOKUP($A31,HN!$A:$K,9,FALSE)/12),0)+_xlfn.IFNA((VLOOKUP($A31,HN!$A:$K,10,FALSE)/12),0)+_xlfn.IFNA((VLOOKUP($A31,HN!$A:$BZ,33,FALSE)/12),0)</f>
        <v>0</v>
      </c>
      <c r="EF31" s="345">
        <f>_xlfn.IFNA((VLOOKUP($A31,HN!$A:$BS,15,FALSE)/12),0)</f>
        <v>0</v>
      </c>
      <c r="EG31" s="344">
        <f t="shared" si="35"/>
        <v>-1316.8374999999999</v>
      </c>
      <c r="EH31" s="344">
        <f t="shared" si="36"/>
        <v>-2058.1550000000002</v>
      </c>
      <c r="EI31" s="345"/>
      <c r="EJ31" s="345">
        <f>_xlfn.IFNA(VLOOKUP(A31,'Cash Advances'!A:P,16,FALSE),0)</f>
        <v>0</v>
      </c>
      <c r="EK31" s="345">
        <f>_xlfn.IFNA(VLOOKUP(A31,'LA Deductions'!A:AZ,25,FALSE),0)/9</f>
        <v>0</v>
      </c>
      <c r="EL31" s="344">
        <f t="shared" si="37"/>
        <v>515880.28868677601</v>
      </c>
      <c r="EM31" s="308">
        <f t="shared" si="38"/>
        <v>519255.28118677606</v>
      </c>
      <c r="EN31" s="308">
        <f>((VLOOKUP($A31,EY!$A:$BS,35,FALSE)-(VLOOKUP($A31,EY!$A:$BS,33,FALSE)*80%))+VLOOKUP($A31,EY!$A:$BS,43,FALSE))+(VLOOKUP(A31,EY!A:DF,110,FALSE)-VLOOKUP(A31,EY!A:DD,108,FALSE))+(VLOOKUP(A31,EY!A:CE,83,FALSE)-VLOOKUP(A31,EY!A:CC,81,FALSE))</f>
        <v>0</v>
      </c>
      <c r="EO31" s="309"/>
      <c r="EP31" s="309">
        <f>_xlfn.IFNA((VLOOKUP($A31,HN!$A:$K,8,FALSE)/12),0)+_xlfn.IFNA((VLOOKUP($A31,HN!$A:$AF,32,FALSE)*1/12),0)</f>
        <v>0</v>
      </c>
      <c r="EQ31" s="309">
        <f>_xlfn.IFNA((VLOOKUP($A31,HN!$A:$BS,14,FALSE)/12),0)+_xlfn.IFNA((VLOOKUP($A31,HN!$A:$BS,34,FALSE)/3),0)</f>
        <v>0</v>
      </c>
      <c r="ER31" s="309">
        <f>_xlfn.IFNA(VLOOKUP($A31,'Post 16'!$A:$AV,32,FALSE),0)/8</f>
        <v>0</v>
      </c>
      <c r="ES31" s="309">
        <f>((VLOOKUP($A31,EY!A:EV,33,FALSE)*80%))+VLOOKUP(A31,EY!A:DD,108,FALSE)+VLOOKUP(A31,EY!A:CC,81,FALSE)</f>
        <v>0</v>
      </c>
      <c r="ET31" s="309">
        <f>_xlfn.IFNA((VLOOKUP($A31,HN!$A:$K,9,FALSE)/12),0)+_xlfn.IFNA((VLOOKUP($A31,HN!$A:$K,10,FALSE)/12),0)+_xlfn.IFNA((VLOOKUP($A31,HN!$A:$BZ,33,FALSE)/12),0)</f>
        <v>0</v>
      </c>
      <c r="EU31" s="309">
        <f>_xlfn.IFNA((VLOOKUP($A31,HN!$A:$BS,15,FALSE)/12),0)</f>
        <v>0</v>
      </c>
      <c r="EV31" s="308">
        <f t="shared" si="39"/>
        <v>-1316.8374999999999</v>
      </c>
      <c r="EW31" s="308">
        <f t="shared" si="40"/>
        <v>-2058.1550000000002</v>
      </c>
      <c r="EX31" s="309"/>
      <c r="EY31" s="309">
        <f>_xlfn.IFNA(VLOOKUP($A31,'Cash Advances'!$A:$S,17,FALSE),0)</f>
        <v>0</v>
      </c>
      <c r="EZ31" s="309">
        <f>_xlfn.IFNA(VLOOKUP(A31,'LA Deductions'!A:AZ,25,FALSE),0)/9</f>
        <v>0</v>
      </c>
      <c r="FA31" s="308">
        <f t="shared" si="41"/>
        <v>515880.28868677601</v>
      </c>
      <c r="FB31" s="315">
        <f t="shared" si="42"/>
        <v>519255.28118677606</v>
      </c>
      <c r="FC31" s="315"/>
      <c r="FD31" s="316"/>
      <c r="FE31" s="316">
        <f>_xlfn.IFNA((VLOOKUP($A31,HN!$A:$K,8,FALSE)/12),0)+_xlfn.IFNA((VLOOKUP($A31,HN!$A:$AF,32,FALSE)*1/12),0)</f>
        <v>0</v>
      </c>
      <c r="FF31" s="316">
        <f>_xlfn.IFNA((VLOOKUP($A31,HN!$A:$BS,14,FALSE)/12),0)+_xlfn.IFNA((VLOOKUP($A31,HN!$A:$BS,34,FALSE)/3),0)</f>
        <v>0</v>
      </c>
      <c r="FG31" s="316">
        <f>_xlfn.IFNA(VLOOKUP($A31,'Post 16'!$A:$AV,32,FALSE),0)/8</f>
        <v>0</v>
      </c>
      <c r="FH31" s="316"/>
      <c r="FI31" s="316">
        <f>_xlfn.IFNA((VLOOKUP($A31,HN!$A:$K,9,FALSE)/12),0)+_xlfn.IFNA((VLOOKUP($A31,HN!$A:$K,10,FALSE)/12),0)+_xlfn.IFNA((VLOOKUP($A31,HN!$A:$BZ,33,FALSE)/12),0)+_xlfn.IFNA((VLOOKUP($A31,HN!$A:$BZ,35,FALSE)/2),0)</f>
        <v>0</v>
      </c>
      <c r="FJ31" s="316">
        <f>_xlfn.IFNA((VLOOKUP($A31,HN!$A:$BS,15,FALSE)/12),0)+_xlfn.IFNA((VLOOKUP($A31,HN!$A:$CZ,36,FALSE)/2),0)</f>
        <v>0</v>
      </c>
      <c r="FK31" s="315">
        <f t="shared" si="43"/>
        <v>-1316.8374999999999</v>
      </c>
      <c r="FL31" s="315">
        <f t="shared" si="44"/>
        <v>-2058.1550000000002</v>
      </c>
      <c r="FM31" s="316"/>
      <c r="FN31" s="316">
        <f>_xlfn.IFNA(VLOOKUP($A31,'Cash Advances'!$A:$S,18,FALSE),0)</f>
        <v>0</v>
      </c>
      <c r="FO31" s="316">
        <f>_xlfn.IFNA(VLOOKUP(A31,'LA Deductions'!A:AZ,25,FALSE),0)/9</f>
        <v>0</v>
      </c>
      <c r="FP31" s="315">
        <f t="shared" si="45"/>
        <v>515880.28868677601</v>
      </c>
      <c r="FQ31" s="322">
        <f t="shared" si="46"/>
        <v>519255.28118677606</v>
      </c>
      <c r="FR31" s="322"/>
      <c r="FS31" s="323"/>
      <c r="FT31" s="323">
        <f>_xlfn.IFNA((VLOOKUP($A31,HN!$A:$K,8,FALSE)/12),0)+_xlfn.IFNA((VLOOKUP($A31,HN!$A:$AF,32,FALSE)*1/12),0)</f>
        <v>0</v>
      </c>
      <c r="FU31" s="323">
        <f>_xlfn.IFNA((VLOOKUP($A31,HN!$A:$BS,14,FALSE)/12),0)+_xlfn.IFNA((VLOOKUP($A31,HN!$A:$BS,34,FALSE)/3),0)</f>
        <v>0</v>
      </c>
      <c r="FV31" s="323">
        <f>_xlfn.IFNA(VLOOKUP($A31,'Post 16'!$A:$AV,32,FALSE),0)/8</f>
        <v>0</v>
      </c>
      <c r="FW31" s="323"/>
      <c r="FX31" s="323">
        <f>_xlfn.IFNA((VLOOKUP($A31,HN!$A:$K,9,FALSE)/12),0)+_xlfn.IFNA((VLOOKUP($A31,HN!$A:$K,10,FALSE)/12),0)+_xlfn.IFNA((VLOOKUP($A31,HN!$A:$BZ,33,FALSE)/12),0)+_xlfn.IFNA((VLOOKUP($A31,HN!$A:$BZ,35,FALSE)/2),0)</f>
        <v>0</v>
      </c>
      <c r="FY31" s="323">
        <f>_xlfn.IFNA((VLOOKUP($A31,HN!$A:$BS,15,FALSE)/12),0)+_xlfn.IFNA((VLOOKUP($A31,HN!$A:$CZ,36,FALSE)/2),0)</f>
        <v>0</v>
      </c>
      <c r="FZ31" s="322">
        <f t="shared" si="47"/>
        <v>-1316.8374999999999</v>
      </c>
      <c r="GA31" s="322">
        <f t="shared" si="48"/>
        <v>-2058.1550000000002</v>
      </c>
      <c r="GB31" s="323"/>
      <c r="GC31" s="323"/>
      <c r="GD31" s="323">
        <f>_xlfn.IFNA(VLOOKUP(A31,'LA Deductions'!A:AZ,25,FALSE),0)/9</f>
        <v>0</v>
      </c>
      <c r="GE31" s="322">
        <f t="shared" si="49"/>
        <v>515880.28868677601</v>
      </c>
      <c r="GG31" s="146">
        <f t="shared" si="52"/>
        <v>6231063.3742413139</v>
      </c>
      <c r="GH31" s="146">
        <f t="shared" si="52"/>
        <v>0</v>
      </c>
      <c r="GI31" s="146">
        <f t="shared" si="52"/>
        <v>0</v>
      </c>
      <c r="GJ31" s="146">
        <f t="shared" si="52"/>
        <v>-15802.049999999997</v>
      </c>
      <c r="GK31" s="146">
        <f t="shared" si="52"/>
        <v>-24697.859999999997</v>
      </c>
      <c r="GL31" s="146">
        <f t="shared" si="52"/>
        <v>-24312.75</v>
      </c>
      <c r="GN31" s="146">
        <f t="shared" si="53"/>
        <v>6231063.3742413139</v>
      </c>
      <c r="GO31" s="146">
        <f t="shared" si="53"/>
        <v>0</v>
      </c>
      <c r="GP31" s="146">
        <f t="shared" si="53"/>
        <v>0</v>
      </c>
      <c r="GQ31" s="146">
        <f t="shared" si="53"/>
        <v>-15802.049999999997</v>
      </c>
      <c r="GR31" s="146">
        <f t="shared" si="53"/>
        <v>-24697.859999999997</v>
      </c>
      <c r="GS31" s="146">
        <f t="shared" si="53"/>
        <v>-24312.75</v>
      </c>
      <c r="GU31" s="146"/>
      <c r="GV31" s="57"/>
    </row>
    <row r="32" spans="1:204">
      <c r="A32" s="185">
        <v>1048</v>
      </c>
      <c r="B32" s="185">
        <v>103144</v>
      </c>
      <c r="C32" s="185" t="s">
        <v>83</v>
      </c>
      <c r="D32" s="2" t="s">
        <v>84</v>
      </c>
      <c r="E32" s="191" t="s">
        <v>29</v>
      </c>
      <c r="F32" s="191" t="s">
        <v>912</v>
      </c>
      <c r="H32" s="279">
        <f>_xlfn.IFNA(VLOOKUP($A32,ISB!$A$4:$BY$454,67,FALSE),0)</f>
        <v>0</v>
      </c>
      <c r="I32" s="279">
        <f>_xlfn.IFNA(VLOOKUP($A32,ISB!$A$4:$BY$454,72,FALSE),0)</f>
        <v>0</v>
      </c>
      <c r="J32" s="279">
        <f>-_xlfn.IFNA(VLOOKUP($A32,ISB!$A$4:$BY$454,76,FALSE),0)</f>
        <v>0</v>
      </c>
      <c r="K32" s="279">
        <f>_xlfn.IFNA(VLOOKUP($A32,ISB!$A$4:$BY$454,77,FALSE),0)</f>
        <v>0</v>
      </c>
      <c r="M32" s="301">
        <f t="shared" si="7"/>
        <v>0</v>
      </c>
      <c r="N32" s="301">
        <f>VLOOKUP($A32,EY!$A:$H,8,FALSE)+(VLOOKUP($A32,EY!$A:$BS,17,FALSE)-S32)+VLOOKUP($A32,EY!$A:$BS,41,FALSE)</f>
        <v>512068.55679032515</v>
      </c>
      <c r="O32" s="302"/>
      <c r="P32" s="302">
        <f>_xlfn.IFNA((VLOOKUP($A32,HN!$A:$K,8,FALSE)/12),0)</f>
        <v>0</v>
      </c>
      <c r="Q32" s="302">
        <f>_xlfn.IFNA((VLOOKUP($A32,HN!$A:$BS,14,FALSE)/12),0)</f>
        <v>0</v>
      </c>
      <c r="R32" s="302">
        <f>_xlfn.IFNA(VLOOKUP($A32,'Post 16'!$A:$V,21,FALSE),0)/4</f>
        <v>0</v>
      </c>
      <c r="S32" s="302">
        <f>VLOOKUP($A32,EY!A:Q,15,FALSE)*80%</f>
        <v>2053.7263157894736</v>
      </c>
      <c r="T32" s="302">
        <f>_xlfn.IFNA((VLOOKUP($A32,HN!$A:$K,9,FALSE)/12),0)+_xlfn.IFNA((VLOOKUP($A32,HN!$A:$K,10,FALSE)/12),0)</f>
        <v>0</v>
      </c>
      <c r="U32" s="302">
        <f>_xlfn.IFNA((VLOOKUP($A32,HN!$A:$BS,15,FALSE)/12),0)</f>
        <v>0</v>
      </c>
      <c r="V32" s="301">
        <f t="shared" si="8"/>
        <v>0</v>
      </c>
      <c r="W32" s="301">
        <f t="shared" si="9"/>
        <v>0</v>
      </c>
      <c r="X32" s="302"/>
      <c r="Y32" s="302">
        <f>_xlfn.IFNA(VLOOKUP($A32,'Cash Advances'!$A:$S,8,FALSE),0)</f>
        <v>0</v>
      </c>
      <c r="Z32" s="301">
        <f t="shared" si="0"/>
        <v>514122.2831061146</v>
      </c>
      <c r="AA32" s="315">
        <f t="shared" si="10"/>
        <v>0</v>
      </c>
      <c r="AB32" s="315"/>
      <c r="AC32" s="316"/>
      <c r="AD32" s="316">
        <f>_xlfn.IFNA((VLOOKUP($A32,HN!$A:$K,8,FALSE)/12),0)</f>
        <v>0</v>
      </c>
      <c r="AE32" s="316">
        <f>_xlfn.IFNA((VLOOKUP($A32,HN!$A:$BS,14,FALSE)/12),0)</f>
        <v>0</v>
      </c>
      <c r="AF32" s="316">
        <f>_xlfn.IFNA(VLOOKUP($A32,'Post 16'!$A:$V,21,FALSE),0)/4</f>
        <v>0</v>
      </c>
      <c r="AG32" s="316"/>
      <c r="AH32" s="316">
        <f>_xlfn.IFNA((VLOOKUP($A32,HN!$A:$K,9,FALSE)/12),0)+_xlfn.IFNA((VLOOKUP($A32,HN!$A:$K,10,FALSE)/12),0)</f>
        <v>0</v>
      </c>
      <c r="AI32" s="316">
        <f>_xlfn.IFNA((VLOOKUP($A32,HN!$A:$BS,15,FALSE)/12),0)</f>
        <v>0</v>
      </c>
      <c r="AJ32" s="315">
        <f t="shared" si="11"/>
        <v>0</v>
      </c>
      <c r="AK32" s="315">
        <f t="shared" si="12"/>
        <v>0</v>
      </c>
      <c r="AL32" s="316"/>
      <c r="AM32" s="316">
        <f>_xlfn.IFNA(VLOOKUP($A32,'Cash Advances'!$A:$S,9,FALSE),0)</f>
        <v>0</v>
      </c>
      <c r="AN32" s="315">
        <f t="shared" si="1"/>
        <v>0</v>
      </c>
      <c r="AO32" s="308">
        <f t="shared" si="13"/>
        <v>0</v>
      </c>
      <c r="AP32" s="308"/>
      <c r="AQ32" s="309"/>
      <c r="AR32" s="309">
        <f>_xlfn.IFNA((VLOOKUP($A32,HN!$A:$K,8,FALSE)/12),0)</f>
        <v>0</v>
      </c>
      <c r="AS32" s="309">
        <f>_xlfn.IFNA((VLOOKUP($A32,HN!$A:$BS,14,FALSE)/12),0)</f>
        <v>0</v>
      </c>
      <c r="AT32" s="309">
        <f>_xlfn.IFNA(VLOOKUP($A32,'Post 16'!$A:$V,21,FALSE),0)/4</f>
        <v>0</v>
      </c>
      <c r="AU32" s="309"/>
      <c r="AV32" s="309">
        <f>_xlfn.IFNA((VLOOKUP($A32,HN!$A:$K,9,FALSE)/12),0)+_xlfn.IFNA((VLOOKUP($A32,HN!$A:$K,10,FALSE)/12),0)+_xlfn.IFNA(VLOOKUP(A32,HN!A:V,19,FALSE),0)+_xlfn.IFNA(VLOOKUP(A32,HN!A:V,20,FALSE),0)+_xlfn.IFNA(VLOOKUP(A32,HN!A:V,21,FALSE),0)</f>
        <v>0</v>
      </c>
      <c r="AW32" s="309">
        <f>_xlfn.IFNA((VLOOKUP($A32,HN!$A:$BS,15,FALSE)/12),0)</f>
        <v>0</v>
      </c>
      <c r="AX32" s="308">
        <f t="shared" si="14"/>
        <v>0</v>
      </c>
      <c r="AY32" s="308">
        <f t="shared" si="15"/>
        <v>0</v>
      </c>
      <c r="AZ32" s="309"/>
      <c r="BA32" s="309">
        <f>_xlfn.IFNA(VLOOKUP($A32,'Cash Advances'!$A:$S,10,FALSE),0)</f>
        <v>0</v>
      </c>
      <c r="BB32" s="308">
        <f t="shared" si="2"/>
        <v>0</v>
      </c>
      <c r="BC32" s="330">
        <f t="shared" si="16"/>
        <v>0</v>
      </c>
      <c r="BD32" s="330"/>
      <c r="BE32" s="331"/>
      <c r="BF32" s="331">
        <f>_xlfn.IFNA((VLOOKUP($A32,HN!$A:$K,8,FALSE)/12),0)</f>
        <v>0</v>
      </c>
      <c r="BG32" s="331">
        <f>_xlfn.IFNA((VLOOKUP($A32,HN!$A:$BS,14,FALSE)/12),0)</f>
        <v>0</v>
      </c>
      <c r="BH32" s="331">
        <f>_xlfn.IFNA(VLOOKUP($A32,'Post 16'!$A:$V,21,FALSE),0)/4</f>
        <v>0</v>
      </c>
      <c r="BI32" s="331"/>
      <c r="BJ32" s="331">
        <f>_xlfn.IFNA((VLOOKUP($A32,HN!$A:$K,9,FALSE)/12),0)+_xlfn.IFNA((VLOOKUP($A32,HN!$A:$K,10,FALSE)/12),0)</f>
        <v>0</v>
      </c>
      <c r="BK32" s="331">
        <f>_xlfn.IFNA((VLOOKUP($A32,HN!$A:$BS,15,FALSE)/12),0)</f>
        <v>0</v>
      </c>
      <c r="BL32" s="330">
        <f t="shared" si="17"/>
        <v>0</v>
      </c>
      <c r="BM32" s="330">
        <f t="shared" si="18"/>
        <v>0</v>
      </c>
      <c r="BN32" s="331"/>
      <c r="BO32" s="331">
        <f>_xlfn.IFNA(VLOOKUP(A32,'Cash Advances'!A:K,11,FALSE),0)</f>
        <v>0</v>
      </c>
      <c r="BP32" s="330">
        <f t="shared" si="3"/>
        <v>0</v>
      </c>
      <c r="BQ32" s="322">
        <f t="shared" si="19"/>
        <v>0</v>
      </c>
      <c r="BR32" s="322"/>
      <c r="BS32" s="323"/>
      <c r="BT32" s="323">
        <f>_xlfn.IFNA((VLOOKUP($A32,HN!$A:$K,8,FALSE)/12),0)</f>
        <v>0</v>
      </c>
      <c r="BU32" s="323">
        <f>_xlfn.IFNA((VLOOKUP($A32,HN!$A:$BS,14,FALSE)/12),0)</f>
        <v>0</v>
      </c>
      <c r="BV32" s="323">
        <f>(_xlfn.IFNA(VLOOKUP($A32,'Post 16'!$A:$AV,32,FALSE),0)/8)+_xlfn.IFNA(VLOOKUP($A32,'Post 16'!$A:$AR,40,FALSE),0)</f>
        <v>0</v>
      </c>
      <c r="BW32" s="323"/>
      <c r="BX32" s="323">
        <f>_xlfn.IFNA((VLOOKUP($A32,HN!$A:$K,9,FALSE)/12),0)+_xlfn.IFNA((VLOOKUP($A32,HN!$A:$K,10,FALSE)/12),0)</f>
        <v>0</v>
      </c>
      <c r="BY32" s="323">
        <f>_xlfn.IFNA((VLOOKUP($A32,HN!$A:$BS,15,FALSE)/12),0)</f>
        <v>0</v>
      </c>
      <c r="BZ32" s="322">
        <f t="shared" si="20"/>
        <v>0</v>
      </c>
      <c r="CA32" s="322">
        <f t="shared" si="21"/>
        <v>0</v>
      </c>
      <c r="CB32" s="323"/>
      <c r="CC32" s="323"/>
      <c r="CD32" s="322">
        <f t="shared" si="4"/>
        <v>0</v>
      </c>
      <c r="CE32" s="357">
        <f t="shared" si="22"/>
        <v>0</v>
      </c>
      <c r="CF32" s="357">
        <f>(VLOOKUP($A32,EY!$A:$BS,26,FALSE)-(VLOOKUP($A32,EY!A:CR,24,FALSE)*80%))+VLOOKUP($A32,EY!$A:$BS,42,FALSE)+(VLOOKUP($A32,EY!A:CC,74,FALSE)-VLOOKUP($A32,EY!A:CC,72,FALSE))</f>
        <v>260727.00277250609</v>
      </c>
      <c r="CG32" s="358"/>
      <c r="CH32" s="358">
        <f>_xlfn.IFNA((VLOOKUP($A32,HN!$A:$K,8,FALSE)/12),0)</f>
        <v>0</v>
      </c>
      <c r="CI32" s="358">
        <f>_xlfn.IFNA((VLOOKUP($A32,HN!$A:$BS,14,FALSE)/12),0)</f>
        <v>0</v>
      </c>
      <c r="CJ32" s="358">
        <f>(_xlfn.IFNA(VLOOKUP($A32,'Post 16'!$A:$AV,32,FALSE),0)/8)</f>
        <v>0</v>
      </c>
      <c r="CK32" s="358">
        <f>(VLOOKUP($A32,EY!A:CR,24,FALSE)*80%)+VLOOKUP($A32,EY!A:CC,72,FALSE)</f>
        <v>2374.5784210526317</v>
      </c>
      <c r="CL32" s="358">
        <f>_xlfn.IFNA((VLOOKUP($A32,HN!$A:$K,9,FALSE)/12),0)+_xlfn.IFNA((VLOOKUP($A32,HN!$A:$K,10,FALSE)/12),0)</f>
        <v>0</v>
      </c>
      <c r="CM32" s="358">
        <f>_xlfn.IFNA((VLOOKUP($A32,HN!$A:$BS,15,FALSE)/12),0)</f>
        <v>0</v>
      </c>
      <c r="CN32" s="357">
        <f t="shared" si="23"/>
        <v>0</v>
      </c>
      <c r="CO32" s="357">
        <f t="shared" si="24"/>
        <v>0</v>
      </c>
      <c r="CP32" s="358">
        <f>_xlfn.IFNA(VLOOKUP(A32,'LA Deductions'!A:W,23,FALSE),0)</f>
        <v>-3291.75</v>
      </c>
      <c r="CQ32" s="358">
        <f>_xlfn.IFNA(VLOOKUP($A32,'Cash Advances'!$A:$S,13,FALSE),0)</f>
        <v>0</v>
      </c>
      <c r="CR32" s="358">
        <f>_xlfn.IFNA(VLOOKUP(A32,'LA Deductions'!A:AZ,25,FALSE),0)/9*3</f>
        <v>0</v>
      </c>
      <c r="CS32" s="357">
        <f t="shared" si="25"/>
        <v>259809.8311935587</v>
      </c>
      <c r="CT32" s="337">
        <f t="shared" si="26"/>
        <v>0</v>
      </c>
      <c r="CU32" s="337"/>
      <c r="CV32" s="338">
        <f>_xlfn.IFNA(VLOOKUP(A32,'LA Deductions'!$A$6:$AN$207,34,FALSE),0)</f>
        <v>0</v>
      </c>
      <c r="CW32" s="338">
        <f>_xlfn.IFNA((VLOOKUP($A32,HN!$A:$K,8,FALSE)/12),0)</f>
        <v>0</v>
      </c>
      <c r="CX32" s="338">
        <f>_xlfn.IFNA((VLOOKUP($A32,HN!$A:$BS,14,FALSE)/12),0)</f>
        <v>0</v>
      </c>
      <c r="CY32" s="338">
        <f>_xlfn.IFNA(VLOOKUP($A32,'Post 16'!$A:$AV,32,FALSE),0)/8</f>
        <v>0</v>
      </c>
      <c r="CZ32" s="338"/>
      <c r="DA32" s="338">
        <f>_xlfn.IFNA((VLOOKUP($A32,HN!$A:$K,9,FALSE)/12),0)+_xlfn.IFNA((VLOOKUP($A32,HN!$A:$K,10,FALSE)/12),0)</f>
        <v>0</v>
      </c>
      <c r="DB32" s="338">
        <f>_xlfn.IFNA((VLOOKUP($A32,HN!$A:$BS,15,FALSE)/12),0)</f>
        <v>0</v>
      </c>
      <c r="DC32" s="337">
        <f t="shared" si="27"/>
        <v>0</v>
      </c>
      <c r="DD32" s="337">
        <f t="shared" si="28"/>
        <v>0</v>
      </c>
      <c r="DE32" s="338"/>
      <c r="DF32" s="338">
        <f>_xlfn.IFNA(VLOOKUP($A32,'Cash Advances'!$A:$S,14,FALSE),0)</f>
        <v>0</v>
      </c>
      <c r="DG32" s="338">
        <f>(_xlfn.IFNA(VLOOKUP(A32,'LA Deductions'!A:AZ,25,FALSE),0)/9)+(_xlfn.IFNA(VLOOKUP(A32,'LA Deductions'!A:AZ,26,FALSE),0))</f>
        <v>0</v>
      </c>
      <c r="DH32" s="337">
        <f t="shared" si="29"/>
        <v>0</v>
      </c>
      <c r="DI32" s="330">
        <f t="shared" si="30"/>
        <v>0</v>
      </c>
      <c r="DJ32" s="330"/>
      <c r="DK32" s="331"/>
      <c r="DL32" s="331">
        <f>_xlfn.IFNA((VLOOKUP($A32,HN!$A:$K,8,FALSE)/12),0)+_xlfn.IFNA((VLOOKUP($A32,HN!$A:$AF,32,FALSE)*8/12),0)</f>
        <v>0</v>
      </c>
      <c r="DM32" s="331">
        <f>_xlfn.IFNA((VLOOKUP($A32,HN!$A:$BS,14,FALSE)/12),0)+_xlfn.IFNA(VLOOKUP($A32,HN!$A:$BS,31,FALSE),0)</f>
        <v>0</v>
      </c>
      <c r="DN32" s="331">
        <f>_xlfn.IFNA(VLOOKUP($A32,'Post 16'!$A:$AV,32,FALSE),0)/8</f>
        <v>0</v>
      </c>
      <c r="DO32" s="331"/>
      <c r="DP32" s="331">
        <f>_xlfn.IFNA((VLOOKUP($A32,HN!$A:$K,9,FALSE)/12),0)+_xlfn.IFNA((VLOOKUP($A32,HN!$A:$K,10,FALSE)/12),0)+_xlfn.IFNA((VLOOKUP($A32,HN!$A:$BZ,33,FALSE)*8/12),0)</f>
        <v>0</v>
      </c>
      <c r="DQ32" s="331">
        <f>_xlfn.IFNA((VLOOKUP($A32,HN!$A:$BS,15,FALSE)/12),0)</f>
        <v>0</v>
      </c>
      <c r="DR32" s="330">
        <f t="shared" si="31"/>
        <v>0</v>
      </c>
      <c r="DS32" s="330">
        <f t="shared" si="32"/>
        <v>0</v>
      </c>
      <c r="DT32" s="331"/>
      <c r="DU32" s="331"/>
      <c r="DV32" s="331">
        <f>(_xlfn.IFNA(VLOOKUP(A32,'LA Deductions'!A:AZ,25,FALSE),0)/9)+_xlfn.IFNA(VLOOKUP(A32,'LA Deductions'!A:AZ,27,FALSE),0)</f>
        <v>0</v>
      </c>
      <c r="DW32" s="330">
        <f t="shared" si="33"/>
        <v>0</v>
      </c>
      <c r="DX32" s="344">
        <f t="shared" si="34"/>
        <v>0</v>
      </c>
      <c r="DY32" s="344"/>
      <c r="DZ32" s="345"/>
      <c r="EA32" s="345">
        <f>_xlfn.IFNA((VLOOKUP($A32,HN!$A:$K,8,FALSE)/12),0)+_xlfn.IFNA((VLOOKUP($A32,HN!$A:$AF,32,FALSE)*1/12),0)</f>
        <v>0</v>
      </c>
      <c r="EB32" s="345">
        <f>_xlfn.IFNA((VLOOKUP($A32,HN!$A:$BS,14,FALSE)/12),0)</f>
        <v>0</v>
      </c>
      <c r="EC32" s="345">
        <f>_xlfn.IFNA(VLOOKUP($A32,'Post 16'!$A:$AV,32,FALSE),0)/8</f>
        <v>0</v>
      </c>
      <c r="ED32" s="345"/>
      <c r="EE32" s="345">
        <f>_xlfn.IFNA((VLOOKUP($A32,HN!$A:$K,9,FALSE)/12),0)+_xlfn.IFNA((VLOOKUP($A32,HN!$A:$K,10,FALSE)/12),0)+_xlfn.IFNA((VLOOKUP($A32,HN!$A:$BZ,33,FALSE)/12),0)</f>
        <v>0</v>
      </c>
      <c r="EF32" s="345">
        <f>_xlfn.IFNA((VLOOKUP($A32,HN!$A:$BS,15,FALSE)/12),0)</f>
        <v>0</v>
      </c>
      <c r="EG32" s="344">
        <f t="shared" si="35"/>
        <v>0</v>
      </c>
      <c r="EH32" s="344">
        <f t="shared" si="36"/>
        <v>0</v>
      </c>
      <c r="EI32" s="345"/>
      <c r="EJ32" s="345">
        <f>_xlfn.IFNA(VLOOKUP(A32,'Cash Advances'!A:P,16,FALSE),0)</f>
        <v>0</v>
      </c>
      <c r="EK32" s="345">
        <f>_xlfn.IFNA(VLOOKUP(A32,'LA Deductions'!A:AZ,25,FALSE),0)/9</f>
        <v>0</v>
      </c>
      <c r="EL32" s="344">
        <f t="shared" si="37"/>
        <v>0</v>
      </c>
      <c r="EM32" s="308">
        <f t="shared" si="38"/>
        <v>0</v>
      </c>
      <c r="EN32" s="308">
        <f>((VLOOKUP($A32,EY!$A:$BS,35,FALSE)-(VLOOKUP($A32,EY!$A:$BS,33,FALSE)*80%))+VLOOKUP($A32,EY!$A:$BS,43,FALSE))+(VLOOKUP(A32,EY!A:DF,110,FALSE)-VLOOKUP(A32,EY!A:DD,108,FALSE))+(VLOOKUP(A32,EY!A:CE,83,FALSE)-VLOOKUP(A32,EY!A:CC,81,FALSE))</f>
        <v>217646.52099722988</v>
      </c>
      <c r="EO32" s="309"/>
      <c r="EP32" s="309">
        <f>_xlfn.IFNA((VLOOKUP($A32,HN!$A:$K,8,FALSE)/12),0)+_xlfn.IFNA((VLOOKUP($A32,HN!$A:$AF,32,FALSE)*1/12),0)</f>
        <v>0</v>
      </c>
      <c r="EQ32" s="309">
        <f>_xlfn.IFNA((VLOOKUP($A32,HN!$A:$BS,14,FALSE)/12),0)+_xlfn.IFNA((VLOOKUP($A32,HN!$A:$BS,34,FALSE)/3),0)</f>
        <v>0</v>
      </c>
      <c r="ER32" s="309">
        <f>_xlfn.IFNA(VLOOKUP($A32,'Post 16'!$A:$AV,32,FALSE),0)/8</f>
        <v>0</v>
      </c>
      <c r="ES32" s="309">
        <f>((VLOOKUP($A32,EY!A:EV,33,FALSE)*80%))+VLOOKUP(A32,EY!A:DD,108,FALSE)+VLOOKUP(A32,EY!A:CC,81,FALSE)</f>
        <v>7386.3379224376731</v>
      </c>
      <c r="ET32" s="309">
        <f>_xlfn.IFNA((VLOOKUP($A32,HN!$A:$K,9,FALSE)/12),0)+_xlfn.IFNA((VLOOKUP($A32,HN!$A:$K,10,FALSE)/12),0)+_xlfn.IFNA((VLOOKUP($A32,HN!$A:$BZ,33,FALSE)/12),0)</f>
        <v>0</v>
      </c>
      <c r="EU32" s="309">
        <f>_xlfn.IFNA((VLOOKUP($A32,HN!$A:$BS,15,FALSE)/12),0)</f>
        <v>0</v>
      </c>
      <c r="EV32" s="308">
        <f t="shared" si="39"/>
        <v>0</v>
      </c>
      <c r="EW32" s="308">
        <f t="shared" si="40"/>
        <v>0</v>
      </c>
      <c r="EX32" s="309"/>
      <c r="EY32" s="309">
        <f>_xlfn.IFNA(VLOOKUP($A32,'Cash Advances'!$A:$S,17,FALSE),0)</f>
        <v>0</v>
      </c>
      <c r="EZ32" s="309">
        <f>_xlfn.IFNA(VLOOKUP(A32,'LA Deductions'!A:AZ,25,FALSE),0)/9</f>
        <v>0</v>
      </c>
      <c r="FA32" s="308">
        <f t="shared" si="41"/>
        <v>225032.85891966755</v>
      </c>
      <c r="FB32" s="315">
        <f t="shared" si="42"/>
        <v>0</v>
      </c>
      <c r="FC32" s="315"/>
      <c r="FD32" s="316"/>
      <c r="FE32" s="316">
        <f>_xlfn.IFNA((VLOOKUP($A32,HN!$A:$K,8,FALSE)/12),0)+_xlfn.IFNA((VLOOKUP($A32,HN!$A:$AF,32,FALSE)*1/12),0)</f>
        <v>0</v>
      </c>
      <c r="FF32" s="316">
        <f>_xlfn.IFNA((VLOOKUP($A32,HN!$A:$BS,14,FALSE)/12),0)+_xlfn.IFNA((VLOOKUP($A32,HN!$A:$BS,34,FALSE)/3),0)</f>
        <v>0</v>
      </c>
      <c r="FG32" s="316">
        <f>_xlfn.IFNA(VLOOKUP($A32,'Post 16'!$A:$AV,32,FALSE),0)/8</f>
        <v>0</v>
      </c>
      <c r="FH32" s="316"/>
      <c r="FI32" s="316">
        <f>_xlfn.IFNA((VLOOKUP($A32,HN!$A:$K,9,FALSE)/12),0)+_xlfn.IFNA((VLOOKUP($A32,HN!$A:$K,10,FALSE)/12),0)+_xlfn.IFNA((VLOOKUP($A32,HN!$A:$BZ,33,FALSE)/12),0)+_xlfn.IFNA((VLOOKUP($A32,HN!$A:$BZ,35,FALSE)/2),0)</f>
        <v>0</v>
      </c>
      <c r="FJ32" s="316">
        <f>_xlfn.IFNA((VLOOKUP($A32,HN!$A:$BS,15,FALSE)/12),0)+_xlfn.IFNA((VLOOKUP($A32,HN!$A:$CZ,36,FALSE)/2),0)</f>
        <v>0</v>
      </c>
      <c r="FK32" s="315">
        <f t="shared" si="43"/>
        <v>0</v>
      </c>
      <c r="FL32" s="315">
        <f t="shared" si="44"/>
        <v>0</v>
      </c>
      <c r="FM32" s="316"/>
      <c r="FN32" s="316">
        <f>_xlfn.IFNA(VLOOKUP($A32,'Cash Advances'!$A:$S,18,FALSE),0)</f>
        <v>0</v>
      </c>
      <c r="FO32" s="316">
        <f>_xlfn.IFNA(VLOOKUP(A32,'LA Deductions'!A:AZ,25,FALSE),0)/9</f>
        <v>0</v>
      </c>
      <c r="FP32" s="315">
        <f t="shared" si="45"/>
        <v>0</v>
      </c>
      <c r="FQ32" s="322">
        <f t="shared" si="46"/>
        <v>0</v>
      </c>
      <c r="FR32" s="322"/>
      <c r="FS32" s="323"/>
      <c r="FT32" s="323">
        <f>_xlfn.IFNA((VLOOKUP($A32,HN!$A:$K,8,FALSE)/12),0)+_xlfn.IFNA((VLOOKUP($A32,HN!$A:$AF,32,FALSE)*1/12),0)</f>
        <v>0</v>
      </c>
      <c r="FU32" s="323">
        <f>_xlfn.IFNA((VLOOKUP($A32,HN!$A:$BS,14,FALSE)/12),0)+_xlfn.IFNA((VLOOKUP($A32,HN!$A:$BS,34,FALSE)/3),0)</f>
        <v>0</v>
      </c>
      <c r="FV32" s="323">
        <f>_xlfn.IFNA(VLOOKUP($A32,'Post 16'!$A:$AV,32,FALSE),0)/8</f>
        <v>0</v>
      </c>
      <c r="FW32" s="323"/>
      <c r="FX32" s="323">
        <f>_xlfn.IFNA((VLOOKUP($A32,HN!$A:$K,9,FALSE)/12),0)+_xlfn.IFNA((VLOOKUP($A32,HN!$A:$K,10,FALSE)/12),0)+_xlfn.IFNA((VLOOKUP($A32,HN!$A:$BZ,33,FALSE)/12),0)+_xlfn.IFNA((VLOOKUP($A32,HN!$A:$BZ,35,FALSE)/2),0)</f>
        <v>0</v>
      </c>
      <c r="FY32" s="323">
        <f>_xlfn.IFNA((VLOOKUP($A32,HN!$A:$BS,15,FALSE)/12),0)+_xlfn.IFNA((VLOOKUP($A32,HN!$A:$CZ,36,FALSE)/2),0)</f>
        <v>0</v>
      </c>
      <c r="FZ32" s="322">
        <f t="shared" si="47"/>
        <v>0</v>
      </c>
      <c r="GA32" s="322">
        <f t="shared" si="48"/>
        <v>0</v>
      </c>
      <c r="GB32" s="323"/>
      <c r="GC32" s="323"/>
      <c r="GD32" s="323">
        <f>_xlfn.IFNA(VLOOKUP(A32,'LA Deductions'!A:AZ,25,FALSE),0)/9</f>
        <v>0</v>
      </c>
      <c r="GE32" s="322">
        <f t="shared" si="49"/>
        <v>0</v>
      </c>
      <c r="GG32" s="146">
        <f t="shared" si="52"/>
        <v>990442.08056006103</v>
      </c>
      <c r="GH32" s="146">
        <f t="shared" si="52"/>
        <v>0</v>
      </c>
      <c r="GI32" s="146">
        <f t="shared" si="52"/>
        <v>11814.642659279778</v>
      </c>
      <c r="GJ32" s="146">
        <f t="shared" si="52"/>
        <v>0</v>
      </c>
      <c r="GK32" s="146">
        <f t="shared" si="52"/>
        <v>0</v>
      </c>
      <c r="GL32" s="146">
        <f t="shared" si="52"/>
        <v>-3291.75</v>
      </c>
      <c r="GN32" s="146">
        <f t="shared" si="53"/>
        <v>990442.08056006103</v>
      </c>
      <c r="GO32" s="146">
        <f t="shared" si="53"/>
        <v>0</v>
      </c>
      <c r="GP32" s="146">
        <f t="shared" si="53"/>
        <v>11814.642659279778</v>
      </c>
      <c r="GQ32" s="146">
        <f t="shared" si="53"/>
        <v>0</v>
      </c>
      <c r="GR32" s="146">
        <f t="shared" si="53"/>
        <v>0</v>
      </c>
      <c r="GS32" s="146">
        <f t="shared" si="53"/>
        <v>-3291.75</v>
      </c>
      <c r="GU32" s="146"/>
      <c r="GV32" s="57"/>
    </row>
    <row r="33" spans="1:204">
      <c r="A33" s="185">
        <v>2312</v>
      </c>
      <c r="B33" s="185">
        <v>103332</v>
      </c>
      <c r="C33" s="185" t="s">
        <v>85</v>
      </c>
      <c r="D33" s="2" t="s">
        <v>86</v>
      </c>
      <c r="E33" s="191" t="s">
        <v>32</v>
      </c>
      <c r="F33" s="191" t="s">
        <v>912</v>
      </c>
      <c r="H33" s="279">
        <f>_xlfn.IFNA(VLOOKUP($A33,ISB!$A$4:$BY$454,67,FALSE),0)</f>
        <v>2170326.7070999998</v>
      </c>
      <c r="I33" s="279">
        <f>_xlfn.IFNA(VLOOKUP($A33,ISB!$A$4:$BY$454,72,FALSE),0)</f>
        <v>-10979.679999999998</v>
      </c>
      <c r="J33" s="279">
        <f>-_xlfn.IFNA(VLOOKUP($A33,ISB!$A$4:$BY$454,76,FALSE),0)</f>
        <v>-30209.82</v>
      </c>
      <c r="K33" s="279">
        <f>_xlfn.IFNA(VLOOKUP($A33,ISB!$A$4:$BY$454,77,FALSE),0)</f>
        <v>2129137.2070999998</v>
      </c>
      <c r="M33" s="301">
        <f t="shared" si="7"/>
        <v>180860.55892499999</v>
      </c>
      <c r="N33" s="301">
        <f>VLOOKUP($A33,EY!$A:$H,8,FALSE)+(VLOOKUP($A33,EY!$A:$BS,17,FALSE)-S33)+VLOOKUP($A33,EY!$A:$BS,41,FALSE)</f>
        <v>0</v>
      </c>
      <c r="O33" s="302"/>
      <c r="P33" s="302">
        <f>_xlfn.IFNA((VLOOKUP($A33,HN!$A:$K,8,FALSE)/12),0)</f>
        <v>0</v>
      </c>
      <c r="Q33" s="302">
        <f>_xlfn.IFNA((VLOOKUP($A33,HN!$A:$BS,14,FALSE)/12),0)</f>
        <v>0</v>
      </c>
      <c r="R33" s="302">
        <f>_xlfn.IFNA(VLOOKUP($A33,'Post 16'!$A:$V,21,FALSE),0)/4</f>
        <v>0</v>
      </c>
      <c r="S33" s="302">
        <f>VLOOKUP($A33,EY!A:Q,15,FALSE)*80%</f>
        <v>0</v>
      </c>
      <c r="T33" s="302">
        <f>_xlfn.IFNA((VLOOKUP($A33,HN!$A:$K,9,FALSE)/12),0)+_xlfn.IFNA((VLOOKUP($A33,HN!$A:$K,10,FALSE)/12),0)</f>
        <v>0</v>
      </c>
      <c r="U33" s="302">
        <f>_xlfn.IFNA((VLOOKUP($A33,HN!$A:$BS,15,FALSE)/12),0)</f>
        <v>0</v>
      </c>
      <c r="V33" s="301">
        <f t="shared" si="8"/>
        <v>-914.97333333333324</v>
      </c>
      <c r="W33" s="301">
        <f t="shared" si="9"/>
        <v>-2517.4850000000001</v>
      </c>
      <c r="X33" s="302"/>
      <c r="Y33" s="302">
        <f>_xlfn.IFNA(VLOOKUP($A33,'Cash Advances'!$A:$S,8,FALSE),0)</f>
        <v>0</v>
      </c>
      <c r="Z33" s="301">
        <f t="shared" si="0"/>
        <v>177428.10059166668</v>
      </c>
      <c r="AA33" s="315">
        <f t="shared" si="10"/>
        <v>180860.55892499999</v>
      </c>
      <c r="AB33" s="315"/>
      <c r="AC33" s="316"/>
      <c r="AD33" s="316">
        <f>_xlfn.IFNA((VLOOKUP($A33,HN!$A:$K,8,FALSE)/12),0)</f>
        <v>0</v>
      </c>
      <c r="AE33" s="316">
        <f>_xlfn.IFNA((VLOOKUP($A33,HN!$A:$BS,14,FALSE)/12),0)</f>
        <v>0</v>
      </c>
      <c r="AF33" s="316">
        <f>_xlfn.IFNA(VLOOKUP($A33,'Post 16'!$A:$V,21,FALSE),0)/4</f>
        <v>0</v>
      </c>
      <c r="AG33" s="316"/>
      <c r="AH33" s="316">
        <f>_xlfn.IFNA((VLOOKUP($A33,HN!$A:$K,9,FALSE)/12),0)+_xlfn.IFNA((VLOOKUP($A33,HN!$A:$K,10,FALSE)/12),0)</f>
        <v>0</v>
      </c>
      <c r="AI33" s="316">
        <f>_xlfn.IFNA((VLOOKUP($A33,HN!$A:$BS,15,FALSE)/12),0)</f>
        <v>0</v>
      </c>
      <c r="AJ33" s="315">
        <f t="shared" si="11"/>
        <v>-914.97333333333324</v>
      </c>
      <c r="AK33" s="315">
        <f t="shared" si="12"/>
        <v>-2517.4850000000001</v>
      </c>
      <c r="AL33" s="316"/>
      <c r="AM33" s="316">
        <f>_xlfn.IFNA(VLOOKUP($A33,'Cash Advances'!$A:$S,9,FALSE),0)</f>
        <v>0</v>
      </c>
      <c r="AN33" s="315">
        <f t="shared" si="1"/>
        <v>177428.10059166668</v>
      </c>
      <c r="AO33" s="308">
        <f t="shared" si="13"/>
        <v>180860.55892499999</v>
      </c>
      <c r="AP33" s="308"/>
      <c r="AQ33" s="309"/>
      <c r="AR33" s="309">
        <f>_xlfn.IFNA((VLOOKUP($A33,HN!$A:$K,8,FALSE)/12),0)</f>
        <v>0</v>
      </c>
      <c r="AS33" s="309">
        <f>_xlfn.IFNA((VLOOKUP($A33,HN!$A:$BS,14,FALSE)/12),0)</f>
        <v>0</v>
      </c>
      <c r="AT33" s="309">
        <f>_xlfn.IFNA(VLOOKUP($A33,'Post 16'!$A:$V,21,FALSE),0)/4</f>
        <v>0</v>
      </c>
      <c r="AU33" s="309"/>
      <c r="AV33" s="309">
        <f>_xlfn.IFNA((VLOOKUP($A33,HN!$A:$K,9,FALSE)/12),0)+_xlfn.IFNA((VLOOKUP($A33,HN!$A:$K,10,FALSE)/12),0)+_xlfn.IFNA(VLOOKUP(A33,HN!A:V,19,FALSE),0)+_xlfn.IFNA(VLOOKUP(A33,HN!A:V,20,FALSE),0)+_xlfn.IFNA(VLOOKUP(A33,HN!A:V,21,FALSE),0)</f>
        <v>0</v>
      </c>
      <c r="AW33" s="309">
        <f>_xlfn.IFNA((VLOOKUP($A33,HN!$A:$BS,15,FALSE)/12),0)</f>
        <v>0</v>
      </c>
      <c r="AX33" s="308">
        <f t="shared" si="14"/>
        <v>-914.97333333333324</v>
      </c>
      <c r="AY33" s="308">
        <f t="shared" si="15"/>
        <v>-2517.4850000000001</v>
      </c>
      <c r="AZ33" s="309"/>
      <c r="BA33" s="309">
        <f>_xlfn.IFNA(VLOOKUP($A33,'Cash Advances'!$A:$S,10,FALSE),0)</f>
        <v>338161.96</v>
      </c>
      <c r="BB33" s="308">
        <f t="shared" si="2"/>
        <v>515590.06059166673</v>
      </c>
      <c r="BC33" s="330">
        <f t="shared" si="16"/>
        <v>180860.55892499999</v>
      </c>
      <c r="BD33" s="330"/>
      <c r="BE33" s="331"/>
      <c r="BF33" s="331">
        <f>_xlfn.IFNA((VLOOKUP($A33,HN!$A:$K,8,FALSE)/12),0)</f>
        <v>0</v>
      </c>
      <c r="BG33" s="331">
        <f>_xlfn.IFNA((VLOOKUP($A33,HN!$A:$BS,14,FALSE)/12),0)</f>
        <v>0</v>
      </c>
      <c r="BH33" s="331">
        <f>_xlfn.IFNA(VLOOKUP($A33,'Post 16'!$A:$V,21,FALSE),0)/4</f>
        <v>0</v>
      </c>
      <c r="BI33" s="331"/>
      <c r="BJ33" s="331">
        <f>_xlfn.IFNA((VLOOKUP($A33,HN!$A:$K,9,FALSE)/12),0)+_xlfn.IFNA((VLOOKUP($A33,HN!$A:$K,10,FALSE)/12),0)</f>
        <v>0</v>
      </c>
      <c r="BK33" s="331">
        <f>_xlfn.IFNA((VLOOKUP($A33,HN!$A:$BS,15,FALSE)/12),0)</f>
        <v>0</v>
      </c>
      <c r="BL33" s="330">
        <f t="shared" si="17"/>
        <v>-914.97333333333324</v>
      </c>
      <c r="BM33" s="330">
        <f t="shared" si="18"/>
        <v>-2517.4850000000001</v>
      </c>
      <c r="BN33" s="331"/>
      <c r="BO33" s="331">
        <f>_xlfn.IFNA(VLOOKUP(A33,'Cash Advances'!A:K,11,FALSE),0)</f>
        <v>0</v>
      </c>
      <c r="BP33" s="330">
        <f t="shared" si="3"/>
        <v>177428.10059166668</v>
      </c>
      <c r="BQ33" s="322">
        <f t="shared" si="19"/>
        <v>180860.55892499999</v>
      </c>
      <c r="BR33" s="322"/>
      <c r="BS33" s="323"/>
      <c r="BT33" s="323">
        <f>_xlfn.IFNA((VLOOKUP($A33,HN!$A:$K,8,FALSE)/12),0)</f>
        <v>0</v>
      </c>
      <c r="BU33" s="323">
        <f>_xlfn.IFNA((VLOOKUP($A33,HN!$A:$BS,14,FALSE)/12),0)</f>
        <v>0</v>
      </c>
      <c r="BV33" s="323">
        <f>(_xlfn.IFNA(VLOOKUP($A33,'Post 16'!$A:$AV,32,FALSE),0)/8)+_xlfn.IFNA(VLOOKUP($A33,'Post 16'!$A:$AR,40,FALSE),0)</f>
        <v>0</v>
      </c>
      <c r="BW33" s="323"/>
      <c r="BX33" s="323">
        <f>_xlfn.IFNA((VLOOKUP($A33,HN!$A:$K,9,FALSE)/12),0)+_xlfn.IFNA((VLOOKUP($A33,HN!$A:$K,10,FALSE)/12),0)</f>
        <v>0</v>
      </c>
      <c r="BY33" s="323">
        <f>_xlfn.IFNA((VLOOKUP($A33,HN!$A:$BS,15,FALSE)/12),0)</f>
        <v>0</v>
      </c>
      <c r="BZ33" s="322">
        <f t="shared" si="20"/>
        <v>-914.97333333333324</v>
      </c>
      <c r="CA33" s="322">
        <f t="shared" si="21"/>
        <v>-2517.4850000000001</v>
      </c>
      <c r="CB33" s="323"/>
      <c r="CC33" s="323"/>
      <c r="CD33" s="322">
        <f t="shared" si="4"/>
        <v>177428.10059166668</v>
      </c>
      <c r="CE33" s="357">
        <f t="shared" si="22"/>
        <v>180860.55892499999</v>
      </c>
      <c r="CF33" s="357">
        <f>(VLOOKUP($A33,EY!$A:$BS,26,FALSE)-(VLOOKUP($A33,EY!A:CR,24,FALSE)*80%))+VLOOKUP($A33,EY!$A:$BS,42,FALSE)+(VLOOKUP($A33,EY!A:CC,74,FALSE)-VLOOKUP($A33,EY!A:CC,72,FALSE))</f>
        <v>0</v>
      </c>
      <c r="CG33" s="358"/>
      <c r="CH33" s="358">
        <f>_xlfn.IFNA((VLOOKUP($A33,HN!$A:$K,8,FALSE)/12),0)</f>
        <v>0</v>
      </c>
      <c r="CI33" s="358">
        <f>_xlfn.IFNA((VLOOKUP($A33,HN!$A:$BS,14,FALSE)/12),0)</f>
        <v>0</v>
      </c>
      <c r="CJ33" s="358">
        <f>(_xlfn.IFNA(VLOOKUP($A33,'Post 16'!$A:$AV,32,FALSE),0)/8)</f>
        <v>0</v>
      </c>
      <c r="CK33" s="358">
        <f>(VLOOKUP($A33,EY!A:CR,24,FALSE)*80%)+VLOOKUP($A33,EY!A:CC,72,FALSE)</f>
        <v>0</v>
      </c>
      <c r="CL33" s="358">
        <f>_xlfn.IFNA((VLOOKUP($A33,HN!$A:$K,9,FALSE)/12),0)+_xlfn.IFNA((VLOOKUP($A33,HN!$A:$K,10,FALSE)/12),0)</f>
        <v>0</v>
      </c>
      <c r="CM33" s="358">
        <f>_xlfn.IFNA((VLOOKUP($A33,HN!$A:$BS,15,FALSE)/12),0)</f>
        <v>0</v>
      </c>
      <c r="CN33" s="357">
        <f t="shared" si="23"/>
        <v>-914.97333333333324</v>
      </c>
      <c r="CO33" s="357">
        <f t="shared" si="24"/>
        <v>-2517.4850000000001</v>
      </c>
      <c r="CP33" s="358">
        <f>_xlfn.IFNA(VLOOKUP(A33,'LA Deductions'!A:W,23,FALSE),0)</f>
        <v>-9471</v>
      </c>
      <c r="CQ33" s="358">
        <f>_xlfn.IFNA(VLOOKUP($A33,'Cash Advances'!$A:$S,13,FALSE),0)</f>
        <v>0</v>
      </c>
      <c r="CR33" s="358">
        <f>_xlfn.IFNA(VLOOKUP(A33,'LA Deductions'!A:AZ,25,FALSE),0)/9*3</f>
        <v>0</v>
      </c>
      <c r="CS33" s="357">
        <f t="shared" si="25"/>
        <v>167957.10059166668</v>
      </c>
      <c r="CT33" s="337">
        <f t="shared" si="26"/>
        <v>180860.55892499999</v>
      </c>
      <c r="CU33" s="337"/>
      <c r="CV33" s="338">
        <f>_xlfn.IFNA(VLOOKUP(A33,'LA Deductions'!$A$6:$AN$207,34,FALSE),0)</f>
        <v>0</v>
      </c>
      <c r="CW33" s="338">
        <f>_xlfn.IFNA((VLOOKUP($A33,HN!$A:$K,8,FALSE)/12),0)</f>
        <v>0</v>
      </c>
      <c r="CX33" s="338">
        <f>_xlfn.IFNA((VLOOKUP($A33,HN!$A:$BS,14,FALSE)/12),0)</f>
        <v>0</v>
      </c>
      <c r="CY33" s="338">
        <f>_xlfn.IFNA(VLOOKUP($A33,'Post 16'!$A:$AV,32,FALSE),0)/8</f>
        <v>0</v>
      </c>
      <c r="CZ33" s="338"/>
      <c r="DA33" s="338">
        <f>_xlfn.IFNA((VLOOKUP($A33,HN!$A:$K,9,FALSE)/12),0)+_xlfn.IFNA((VLOOKUP($A33,HN!$A:$K,10,FALSE)/12),0)</f>
        <v>0</v>
      </c>
      <c r="DB33" s="338">
        <f>_xlfn.IFNA((VLOOKUP($A33,HN!$A:$BS,15,FALSE)/12),0)</f>
        <v>0</v>
      </c>
      <c r="DC33" s="337">
        <f t="shared" si="27"/>
        <v>-914.97333333333324</v>
      </c>
      <c r="DD33" s="337">
        <f t="shared" si="28"/>
        <v>-2517.4850000000001</v>
      </c>
      <c r="DE33" s="338"/>
      <c r="DF33" s="338">
        <f>_xlfn.IFNA(VLOOKUP($A33,'Cash Advances'!$A:$S,14,FALSE),0)</f>
        <v>0</v>
      </c>
      <c r="DG33" s="338">
        <f>(_xlfn.IFNA(VLOOKUP(A33,'LA Deductions'!A:AZ,25,FALSE),0)/9)+(_xlfn.IFNA(VLOOKUP(A33,'LA Deductions'!A:AZ,26,FALSE),0))</f>
        <v>0</v>
      </c>
      <c r="DH33" s="337">
        <f t="shared" si="29"/>
        <v>177428.10059166668</v>
      </c>
      <c r="DI33" s="330">
        <f t="shared" si="30"/>
        <v>180860.55892499999</v>
      </c>
      <c r="DJ33" s="330"/>
      <c r="DK33" s="331"/>
      <c r="DL33" s="331">
        <f>_xlfn.IFNA((VLOOKUP($A33,HN!$A:$K,8,FALSE)/12),0)+_xlfn.IFNA((VLOOKUP($A33,HN!$A:$AF,32,FALSE)*8/12),0)</f>
        <v>0</v>
      </c>
      <c r="DM33" s="331">
        <f>_xlfn.IFNA((VLOOKUP($A33,HN!$A:$BS,14,FALSE)/12),0)+_xlfn.IFNA(VLOOKUP($A33,HN!$A:$BS,31,FALSE),0)</f>
        <v>0</v>
      </c>
      <c r="DN33" s="331">
        <f>_xlfn.IFNA(VLOOKUP($A33,'Post 16'!$A:$AV,32,FALSE),0)/8</f>
        <v>0</v>
      </c>
      <c r="DO33" s="331"/>
      <c r="DP33" s="331">
        <f>_xlfn.IFNA((VLOOKUP($A33,HN!$A:$K,9,FALSE)/12),0)+_xlfn.IFNA((VLOOKUP($A33,HN!$A:$K,10,FALSE)/12),0)+_xlfn.IFNA((VLOOKUP($A33,HN!$A:$BZ,33,FALSE)*8/12),0)</f>
        <v>0</v>
      </c>
      <c r="DQ33" s="331">
        <f>_xlfn.IFNA((VLOOKUP($A33,HN!$A:$BS,15,FALSE)/12),0)</f>
        <v>0</v>
      </c>
      <c r="DR33" s="330">
        <f t="shared" si="31"/>
        <v>-914.97333333333324</v>
      </c>
      <c r="DS33" s="330">
        <f t="shared" si="32"/>
        <v>-2517.4850000000001</v>
      </c>
      <c r="DT33" s="331"/>
      <c r="DU33" s="331"/>
      <c r="DV33" s="331">
        <f>(_xlfn.IFNA(VLOOKUP(A33,'LA Deductions'!A:AZ,25,FALSE),0)/9)+_xlfn.IFNA(VLOOKUP(A33,'LA Deductions'!A:AZ,27,FALSE),0)</f>
        <v>0</v>
      </c>
      <c r="DW33" s="330">
        <f t="shared" si="33"/>
        <v>177428.10059166668</v>
      </c>
      <c r="DX33" s="344">
        <f t="shared" si="34"/>
        <v>180860.55892499999</v>
      </c>
      <c r="DY33" s="344"/>
      <c r="DZ33" s="345"/>
      <c r="EA33" s="345">
        <f>_xlfn.IFNA((VLOOKUP($A33,HN!$A:$K,8,FALSE)/12),0)+_xlfn.IFNA((VLOOKUP($A33,HN!$A:$AF,32,FALSE)*1/12),0)</f>
        <v>0</v>
      </c>
      <c r="EB33" s="345">
        <f>_xlfn.IFNA((VLOOKUP($A33,HN!$A:$BS,14,FALSE)/12),0)</f>
        <v>0</v>
      </c>
      <c r="EC33" s="345">
        <f>_xlfn.IFNA(VLOOKUP($A33,'Post 16'!$A:$AV,32,FALSE),0)/8</f>
        <v>0</v>
      </c>
      <c r="ED33" s="345"/>
      <c r="EE33" s="345">
        <f>_xlfn.IFNA((VLOOKUP($A33,HN!$A:$K,9,FALSE)/12),0)+_xlfn.IFNA((VLOOKUP($A33,HN!$A:$K,10,FALSE)/12),0)+_xlfn.IFNA((VLOOKUP($A33,HN!$A:$BZ,33,FALSE)/12),0)</f>
        <v>0</v>
      </c>
      <c r="EF33" s="345">
        <f>_xlfn.IFNA((VLOOKUP($A33,HN!$A:$BS,15,FALSE)/12),0)</f>
        <v>0</v>
      </c>
      <c r="EG33" s="344">
        <f t="shared" si="35"/>
        <v>-914.97333333333324</v>
      </c>
      <c r="EH33" s="344">
        <f t="shared" si="36"/>
        <v>-2517.4850000000001</v>
      </c>
      <c r="EI33" s="345"/>
      <c r="EJ33" s="345">
        <f>_xlfn.IFNA(VLOOKUP(A33,'Cash Advances'!A:P,16,FALSE),0)</f>
        <v>0</v>
      </c>
      <c r="EK33" s="345">
        <f>_xlfn.IFNA(VLOOKUP(A33,'LA Deductions'!A:AZ,25,FALSE),0)/9</f>
        <v>0</v>
      </c>
      <c r="EL33" s="344">
        <f t="shared" si="37"/>
        <v>177428.10059166668</v>
      </c>
      <c r="EM33" s="308">
        <f t="shared" si="38"/>
        <v>180860.55892499999</v>
      </c>
      <c r="EN33" s="308">
        <f>((VLOOKUP($A33,EY!$A:$BS,35,FALSE)-(VLOOKUP($A33,EY!$A:$BS,33,FALSE)*80%))+VLOOKUP($A33,EY!$A:$BS,43,FALSE))+(VLOOKUP(A33,EY!A:DF,110,FALSE)-VLOOKUP(A33,EY!A:DD,108,FALSE))+(VLOOKUP(A33,EY!A:CE,83,FALSE)-VLOOKUP(A33,EY!A:CC,81,FALSE))</f>
        <v>0</v>
      </c>
      <c r="EO33" s="309"/>
      <c r="EP33" s="309">
        <f>_xlfn.IFNA((VLOOKUP($A33,HN!$A:$K,8,FALSE)/12),0)+_xlfn.IFNA((VLOOKUP($A33,HN!$A:$AF,32,FALSE)*1/12),0)</f>
        <v>0</v>
      </c>
      <c r="EQ33" s="309">
        <f>_xlfn.IFNA((VLOOKUP($A33,HN!$A:$BS,14,FALSE)/12),0)+_xlfn.IFNA((VLOOKUP($A33,HN!$A:$BS,34,FALSE)/3),0)</f>
        <v>0</v>
      </c>
      <c r="ER33" s="309">
        <f>_xlfn.IFNA(VLOOKUP($A33,'Post 16'!$A:$AV,32,FALSE),0)/8</f>
        <v>0</v>
      </c>
      <c r="ES33" s="309">
        <f>((VLOOKUP($A33,EY!A:EV,33,FALSE)*80%))+VLOOKUP(A33,EY!A:DD,108,FALSE)+VLOOKUP(A33,EY!A:CC,81,FALSE)</f>
        <v>0</v>
      </c>
      <c r="ET33" s="309">
        <f>_xlfn.IFNA((VLOOKUP($A33,HN!$A:$K,9,FALSE)/12),0)+_xlfn.IFNA((VLOOKUP($A33,HN!$A:$K,10,FALSE)/12),0)+_xlfn.IFNA((VLOOKUP($A33,HN!$A:$BZ,33,FALSE)/12),0)</f>
        <v>0</v>
      </c>
      <c r="EU33" s="309">
        <f>_xlfn.IFNA((VLOOKUP($A33,HN!$A:$BS,15,FALSE)/12),0)</f>
        <v>0</v>
      </c>
      <c r="EV33" s="308">
        <f t="shared" si="39"/>
        <v>-914.97333333333324</v>
      </c>
      <c r="EW33" s="308">
        <f t="shared" si="40"/>
        <v>-2517.4850000000001</v>
      </c>
      <c r="EX33" s="309"/>
      <c r="EY33" s="309">
        <f>_xlfn.IFNA(VLOOKUP($A33,'Cash Advances'!$A:$S,17,FALSE),0)</f>
        <v>0</v>
      </c>
      <c r="EZ33" s="309">
        <f>_xlfn.IFNA(VLOOKUP(A33,'LA Deductions'!A:AZ,25,FALSE),0)/9</f>
        <v>0</v>
      </c>
      <c r="FA33" s="308">
        <f t="shared" si="41"/>
        <v>177428.10059166668</v>
      </c>
      <c r="FB33" s="315">
        <f t="shared" si="42"/>
        <v>180860.55892499999</v>
      </c>
      <c r="FC33" s="315"/>
      <c r="FD33" s="316"/>
      <c r="FE33" s="316">
        <f>_xlfn.IFNA((VLOOKUP($A33,HN!$A:$K,8,FALSE)/12),0)+_xlfn.IFNA((VLOOKUP($A33,HN!$A:$AF,32,FALSE)*1/12),0)</f>
        <v>0</v>
      </c>
      <c r="FF33" s="316">
        <f>_xlfn.IFNA((VLOOKUP($A33,HN!$A:$BS,14,FALSE)/12),0)+_xlfn.IFNA((VLOOKUP($A33,HN!$A:$BS,34,FALSE)/3),0)</f>
        <v>0</v>
      </c>
      <c r="FG33" s="316">
        <f>_xlfn.IFNA(VLOOKUP($A33,'Post 16'!$A:$AV,32,FALSE),0)/8</f>
        <v>0</v>
      </c>
      <c r="FH33" s="316"/>
      <c r="FI33" s="316">
        <f>_xlfn.IFNA((VLOOKUP($A33,HN!$A:$K,9,FALSE)/12),0)+_xlfn.IFNA((VLOOKUP($A33,HN!$A:$K,10,FALSE)/12),0)+_xlfn.IFNA((VLOOKUP($A33,HN!$A:$BZ,33,FALSE)/12),0)+_xlfn.IFNA((VLOOKUP($A33,HN!$A:$BZ,35,FALSE)/2),0)</f>
        <v>0</v>
      </c>
      <c r="FJ33" s="316">
        <f>_xlfn.IFNA((VLOOKUP($A33,HN!$A:$BS,15,FALSE)/12),0)+_xlfn.IFNA((VLOOKUP($A33,HN!$A:$CZ,36,FALSE)/2),0)</f>
        <v>0</v>
      </c>
      <c r="FK33" s="315">
        <f t="shared" si="43"/>
        <v>-914.97333333333324</v>
      </c>
      <c r="FL33" s="315">
        <f t="shared" si="44"/>
        <v>-2517.4850000000001</v>
      </c>
      <c r="FM33" s="316"/>
      <c r="FN33" s="316">
        <f>_xlfn.IFNA(VLOOKUP($A33,'Cash Advances'!$A:$S,18,FALSE),0)</f>
        <v>0</v>
      </c>
      <c r="FO33" s="316">
        <f>_xlfn.IFNA(VLOOKUP(A33,'LA Deductions'!A:AZ,25,FALSE),0)/9</f>
        <v>0</v>
      </c>
      <c r="FP33" s="315">
        <f t="shared" si="45"/>
        <v>177428.10059166668</v>
      </c>
      <c r="FQ33" s="322">
        <f t="shared" si="46"/>
        <v>180860.55892499999</v>
      </c>
      <c r="FR33" s="322"/>
      <c r="FS33" s="323"/>
      <c r="FT33" s="323">
        <f>_xlfn.IFNA((VLOOKUP($A33,HN!$A:$K,8,FALSE)/12),0)+_xlfn.IFNA((VLOOKUP($A33,HN!$A:$AF,32,FALSE)*1/12),0)</f>
        <v>0</v>
      </c>
      <c r="FU33" s="323">
        <f>_xlfn.IFNA((VLOOKUP($A33,HN!$A:$BS,14,FALSE)/12),0)+_xlfn.IFNA((VLOOKUP($A33,HN!$A:$BS,34,FALSE)/3),0)</f>
        <v>0</v>
      </c>
      <c r="FV33" s="323">
        <f>_xlfn.IFNA(VLOOKUP($A33,'Post 16'!$A:$AV,32,FALSE),0)/8</f>
        <v>0</v>
      </c>
      <c r="FW33" s="323"/>
      <c r="FX33" s="323">
        <f>_xlfn.IFNA((VLOOKUP($A33,HN!$A:$K,9,FALSE)/12),0)+_xlfn.IFNA((VLOOKUP($A33,HN!$A:$K,10,FALSE)/12),0)+_xlfn.IFNA((VLOOKUP($A33,HN!$A:$BZ,33,FALSE)/12),0)+_xlfn.IFNA((VLOOKUP($A33,HN!$A:$BZ,35,FALSE)/2),0)</f>
        <v>0</v>
      </c>
      <c r="FY33" s="323">
        <f>_xlfn.IFNA((VLOOKUP($A33,HN!$A:$BS,15,FALSE)/12),0)+_xlfn.IFNA((VLOOKUP($A33,HN!$A:$CZ,36,FALSE)/2),0)</f>
        <v>0</v>
      </c>
      <c r="FZ33" s="322">
        <f t="shared" si="47"/>
        <v>-914.97333333333324</v>
      </c>
      <c r="GA33" s="322">
        <f t="shared" si="48"/>
        <v>-2517.4850000000001</v>
      </c>
      <c r="GB33" s="323"/>
      <c r="GC33" s="323"/>
      <c r="GD33" s="323">
        <f>_xlfn.IFNA(VLOOKUP(A33,'LA Deductions'!A:AZ,25,FALSE),0)/9</f>
        <v>0</v>
      </c>
      <c r="GE33" s="322">
        <f t="shared" si="49"/>
        <v>177428.10059166668</v>
      </c>
      <c r="GG33" s="146">
        <f t="shared" si="52"/>
        <v>2170326.7070999998</v>
      </c>
      <c r="GH33" s="146">
        <f t="shared" si="52"/>
        <v>0</v>
      </c>
      <c r="GI33" s="146">
        <f t="shared" si="52"/>
        <v>0</v>
      </c>
      <c r="GJ33" s="146">
        <f t="shared" si="52"/>
        <v>-10979.679999999998</v>
      </c>
      <c r="GK33" s="146">
        <f t="shared" si="52"/>
        <v>-30209.820000000003</v>
      </c>
      <c r="GL33" s="146">
        <f t="shared" si="52"/>
        <v>-9471</v>
      </c>
      <c r="GN33" s="146">
        <f t="shared" si="53"/>
        <v>2170326.7070999998</v>
      </c>
      <c r="GO33" s="146">
        <f t="shared" si="53"/>
        <v>0</v>
      </c>
      <c r="GP33" s="146">
        <f t="shared" si="53"/>
        <v>0</v>
      </c>
      <c r="GQ33" s="146">
        <f t="shared" si="53"/>
        <v>-10979.679999999998</v>
      </c>
      <c r="GR33" s="146">
        <f t="shared" si="53"/>
        <v>-30209.820000000003</v>
      </c>
      <c r="GS33" s="146">
        <f t="shared" si="53"/>
        <v>-9471</v>
      </c>
      <c r="GU33" s="146"/>
      <c r="GV33" s="57"/>
    </row>
    <row r="34" spans="1:204">
      <c r="A34" s="185">
        <v>7051</v>
      </c>
      <c r="B34" s="185">
        <v>103626</v>
      </c>
      <c r="C34" s="185" t="s">
        <v>87</v>
      </c>
      <c r="D34" s="2" t="s">
        <v>88</v>
      </c>
      <c r="E34" s="191" t="s">
        <v>47</v>
      </c>
      <c r="F34" s="191" t="s">
        <v>912</v>
      </c>
      <c r="H34" s="279">
        <f>_xlfn.IFNA(VLOOKUP($A34,ISB!$A$4:$BY$454,67,FALSE),0)</f>
        <v>0</v>
      </c>
      <c r="I34" s="279">
        <f>_xlfn.IFNA(VLOOKUP($A34,ISB!$A$4:$BY$454,72,FALSE),0)</f>
        <v>0</v>
      </c>
      <c r="J34" s="279">
        <f>-_xlfn.IFNA(VLOOKUP($A34,ISB!$A$4:$BY$454,76,FALSE),0)</f>
        <v>0</v>
      </c>
      <c r="K34" s="279">
        <f>_xlfn.IFNA(VLOOKUP($A34,ISB!$A$4:$BY$454,77,FALSE),0)</f>
        <v>0</v>
      </c>
      <c r="M34" s="301">
        <f t="shared" si="7"/>
        <v>0</v>
      </c>
      <c r="N34" s="301">
        <f>VLOOKUP($A34,EY!$A:$H,8,FALSE)+(VLOOKUP($A34,EY!$A:$BS,17,FALSE)-S34)+VLOOKUP($A34,EY!$A:$BS,41,FALSE)</f>
        <v>0</v>
      </c>
      <c r="O34" s="302"/>
      <c r="P34" s="302">
        <f>_xlfn.IFNA((VLOOKUP($A34,HN!$A:$K,8,FALSE)/12),0)</f>
        <v>102258.75</v>
      </c>
      <c r="Q34" s="302">
        <f>_xlfn.IFNA((VLOOKUP($A34,HN!$A:$BS,14,FALSE)/12),0)</f>
        <v>0</v>
      </c>
      <c r="R34" s="302">
        <f>_xlfn.IFNA(VLOOKUP($A34,'Post 16'!$A:$V,21,FALSE),0)/4</f>
        <v>0</v>
      </c>
      <c r="S34" s="302">
        <f>VLOOKUP($A34,EY!A:Q,15,FALSE)*80%</f>
        <v>0</v>
      </c>
      <c r="T34" s="302">
        <f>_xlfn.IFNA((VLOOKUP($A34,HN!$A:$K,9,FALSE)/12),0)+_xlfn.IFNA((VLOOKUP($A34,HN!$A:$K,10,FALSE)/12),0)</f>
        <v>107897.07272904938</v>
      </c>
      <c r="U34" s="302">
        <f>_xlfn.IFNA((VLOOKUP($A34,HN!$A:$BS,15,FALSE)/12),0)</f>
        <v>0</v>
      </c>
      <c r="V34" s="301">
        <f t="shared" si="8"/>
        <v>0</v>
      </c>
      <c r="W34" s="301">
        <f t="shared" si="9"/>
        <v>0</v>
      </c>
      <c r="X34" s="302"/>
      <c r="Y34" s="302">
        <f>_xlfn.IFNA(VLOOKUP($A34,'Cash Advances'!$A:$S,8,FALSE),0)</f>
        <v>0</v>
      </c>
      <c r="Z34" s="301">
        <f t="shared" si="0"/>
        <v>210155.82272904937</v>
      </c>
      <c r="AA34" s="315">
        <f t="shared" si="10"/>
        <v>0</v>
      </c>
      <c r="AB34" s="315"/>
      <c r="AC34" s="316"/>
      <c r="AD34" s="316">
        <f>_xlfn.IFNA((VLOOKUP($A34,HN!$A:$K,8,FALSE)/12),0)</f>
        <v>102258.75</v>
      </c>
      <c r="AE34" s="316">
        <f>_xlfn.IFNA((VLOOKUP($A34,HN!$A:$BS,14,FALSE)/12),0)</f>
        <v>0</v>
      </c>
      <c r="AF34" s="316">
        <f>_xlfn.IFNA(VLOOKUP($A34,'Post 16'!$A:$V,21,FALSE),0)/4</f>
        <v>0</v>
      </c>
      <c r="AG34" s="316"/>
      <c r="AH34" s="316">
        <f>_xlfn.IFNA((VLOOKUP($A34,HN!$A:$K,9,FALSE)/12),0)+_xlfn.IFNA((VLOOKUP($A34,HN!$A:$K,10,FALSE)/12),0)</f>
        <v>107897.07272904938</v>
      </c>
      <c r="AI34" s="316">
        <f>_xlfn.IFNA((VLOOKUP($A34,HN!$A:$BS,15,FALSE)/12),0)</f>
        <v>0</v>
      </c>
      <c r="AJ34" s="315">
        <f t="shared" si="11"/>
        <v>0</v>
      </c>
      <c r="AK34" s="315">
        <f t="shared" si="12"/>
        <v>0</v>
      </c>
      <c r="AL34" s="316"/>
      <c r="AM34" s="316">
        <f>_xlfn.IFNA(VLOOKUP($A34,'Cash Advances'!$A:$S,9,FALSE),0)</f>
        <v>0</v>
      </c>
      <c r="AN34" s="315">
        <f t="shared" si="1"/>
        <v>210155.82272904937</v>
      </c>
      <c r="AO34" s="308">
        <f t="shared" si="13"/>
        <v>0</v>
      </c>
      <c r="AP34" s="308"/>
      <c r="AQ34" s="309"/>
      <c r="AR34" s="309">
        <f>_xlfn.IFNA((VLOOKUP($A34,HN!$A:$K,8,FALSE)/12),0)</f>
        <v>102258.75</v>
      </c>
      <c r="AS34" s="309">
        <f>_xlfn.IFNA((VLOOKUP($A34,HN!$A:$BS,14,FALSE)/12),0)</f>
        <v>0</v>
      </c>
      <c r="AT34" s="309">
        <f>_xlfn.IFNA(VLOOKUP($A34,'Post 16'!$A:$V,21,FALSE),0)/4</f>
        <v>0</v>
      </c>
      <c r="AU34" s="309"/>
      <c r="AV34" s="309">
        <f>_xlfn.IFNA((VLOOKUP($A34,HN!$A:$K,9,FALSE)/12),0)+_xlfn.IFNA((VLOOKUP($A34,HN!$A:$K,10,FALSE)/12),0)+_xlfn.IFNA(VLOOKUP(A34,HN!A:V,19,FALSE),0)+_xlfn.IFNA(VLOOKUP(A34,HN!A:V,20,FALSE),0)+_xlfn.IFNA(VLOOKUP(A34,HN!A:V,21,FALSE),0)</f>
        <v>246358.61119058798</v>
      </c>
      <c r="AW34" s="309">
        <f>_xlfn.IFNA((VLOOKUP($A34,HN!$A:$BS,15,FALSE)/12),0)</f>
        <v>0</v>
      </c>
      <c r="AX34" s="308">
        <f t="shared" si="14"/>
        <v>0</v>
      </c>
      <c r="AY34" s="308">
        <f t="shared" si="15"/>
        <v>0</v>
      </c>
      <c r="AZ34" s="309"/>
      <c r="BA34" s="309">
        <f>_xlfn.IFNA(VLOOKUP($A34,'Cash Advances'!$A:$S,10,FALSE),0)</f>
        <v>0</v>
      </c>
      <c r="BB34" s="308">
        <f t="shared" si="2"/>
        <v>348617.36119058798</v>
      </c>
      <c r="BC34" s="330">
        <f t="shared" si="16"/>
        <v>0</v>
      </c>
      <c r="BD34" s="330"/>
      <c r="BE34" s="331"/>
      <c r="BF34" s="331">
        <f>_xlfn.IFNA((VLOOKUP($A34,HN!$A:$K,8,FALSE)/12),0)</f>
        <v>102258.75</v>
      </c>
      <c r="BG34" s="331">
        <f>_xlfn.IFNA((VLOOKUP($A34,HN!$A:$BS,14,FALSE)/12),0)</f>
        <v>0</v>
      </c>
      <c r="BH34" s="331">
        <f>_xlfn.IFNA(VLOOKUP($A34,'Post 16'!$A:$V,21,FALSE),0)/4</f>
        <v>0</v>
      </c>
      <c r="BI34" s="331"/>
      <c r="BJ34" s="331">
        <f>_xlfn.IFNA((VLOOKUP($A34,HN!$A:$K,9,FALSE)/12),0)+_xlfn.IFNA((VLOOKUP($A34,HN!$A:$K,10,FALSE)/12),0)</f>
        <v>107897.07272904938</v>
      </c>
      <c r="BK34" s="331">
        <f>_xlfn.IFNA((VLOOKUP($A34,HN!$A:$BS,15,FALSE)/12),0)</f>
        <v>0</v>
      </c>
      <c r="BL34" s="330">
        <f t="shared" si="17"/>
        <v>0</v>
      </c>
      <c r="BM34" s="330">
        <f t="shared" si="18"/>
        <v>0</v>
      </c>
      <c r="BN34" s="331"/>
      <c r="BO34" s="331">
        <f>_xlfn.IFNA(VLOOKUP(A34,'Cash Advances'!A:K,11,FALSE),0)</f>
        <v>0</v>
      </c>
      <c r="BP34" s="330">
        <f t="shared" si="3"/>
        <v>210155.82272904937</v>
      </c>
      <c r="BQ34" s="322">
        <f t="shared" si="19"/>
        <v>0</v>
      </c>
      <c r="BR34" s="322"/>
      <c r="BS34" s="323"/>
      <c r="BT34" s="323">
        <f>_xlfn.IFNA((VLOOKUP($A34,HN!$A:$K,8,FALSE)/12),0)</f>
        <v>102258.75</v>
      </c>
      <c r="BU34" s="323">
        <f>_xlfn.IFNA((VLOOKUP($A34,HN!$A:$BS,14,FALSE)/12),0)</f>
        <v>0</v>
      </c>
      <c r="BV34" s="323">
        <f>(_xlfn.IFNA(VLOOKUP($A34,'Post 16'!$A:$AV,32,FALSE),0)/8)+_xlfn.IFNA(VLOOKUP($A34,'Post 16'!$A:$AR,40,FALSE),0)</f>
        <v>0</v>
      </c>
      <c r="BW34" s="323"/>
      <c r="BX34" s="323">
        <f>_xlfn.IFNA((VLOOKUP($A34,HN!$A:$K,9,FALSE)/12),0)+_xlfn.IFNA((VLOOKUP($A34,HN!$A:$K,10,FALSE)/12),0)</f>
        <v>107897.07272904938</v>
      </c>
      <c r="BY34" s="323">
        <f>_xlfn.IFNA((VLOOKUP($A34,HN!$A:$BS,15,FALSE)/12),0)</f>
        <v>0</v>
      </c>
      <c r="BZ34" s="322">
        <f t="shared" si="20"/>
        <v>0</v>
      </c>
      <c r="CA34" s="322">
        <f t="shared" si="21"/>
        <v>0</v>
      </c>
      <c r="CB34" s="323"/>
      <c r="CC34" s="323"/>
      <c r="CD34" s="322">
        <f t="shared" si="4"/>
        <v>210155.82272904937</v>
      </c>
      <c r="CE34" s="357">
        <f t="shared" si="22"/>
        <v>0</v>
      </c>
      <c r="CF34" s="357">
        <f>(VLOOKUP($A34,EY!$A:$BS,26,FALSE)-(VLOOKUP($A34,EY!A:CR,24,FALSE)*80%))+VLOOKUP($A34,EY!$A:$BS,42,FALSE)+(VLOOKUP($A34,EY!A:CC,74,FALSE)-VLOOKUP($A34,EY!A:CC,72,FALSE))</f>
        <v>0</v>
      </c>
      <c r="CG34" s="358"/>
      <c r="CH34" s="358">
        <f>_xlfn.IFNA((VLOOKUP($A34,HN!$A:$K,8,FALSE)/12),0)</f>
        <v>102258.75</v>
      </c>
      <c r="CI34" s="358">
        <f>_xlfn.IFNA((VLOOKUP($A34,HN!$A:$BS,14,FALSE)/12),0)</f>
        <v>0</v>
      </c>
      <c r="CJ34" s="358">
        <f>(_xlfn.IFNA(VLOOKUP($A34,'Post 16'!$A:$AV,32,FALSE),0)/8)</f>
        <v>0</v>
      </c>
      <c r="CK34" s="358">
        <f>(VLOOKUP($A34,EY!A:CR,24,FALSE)*80%)+VLOOKUP($A34,EY!A:CC,72,FALSE)</f>
        <v>0</v>
      </c>
      <c r="CL34" s="358">
        <f>_xlfn.IFNA((VLOOKUP($A34,HN!$A:$K,9,FALSE)/12),0)+_xlfn.IFNA((VLOOKUP($A34,HN!$A:$K,10,FALSE)/12),0)</f>
        <v>107897.07272904938</v>
      </c>
      <c r="CM34" s="358">
        <f>_xlfn.IFNA((VLOOKUP($A34,HN!$A:$BS,15,FALSE)/12),0)</f>
        <v>0</v>
      </c>
      <c r="CN34" s="357">
        <f t="shared" si="23"/>
        <v>0</v>
      </c>
      <c r="CO34" s="357">
        <f t="shared" si="24"/>
        <v>0</v>
      </c>
      <c r="CP34" s="358">
        <f>_xlfn.IFNA(VLOOKUP(A34,'LA Deductions'!A:W,23,FALSE),0)</f>
        <v>-2997</v>
      </c>
      <c r="CQ34" s="358">
        <f>_xlfn.IFNA(VLOOKUP($A34,'Cash Advances'!$A:$S,13,FALSE),0)</f>
        <v>0</v>
      </c>
      <c r="CR34" s="358">
        <f>_xlfn.IFNA(VLOOKUP(A34,'LA Deductions'!A:AZ,25,FALSE),0)/9*3</f>
        <v>0</v>
      </c>
      <c r="CS34" s="357">
        <f t="shared" si="25"/>
        <v>207158.82272904937</v>
      </c>
      <c r="CT34" s="337">
        <f t="shared" si="26"/>
        <v>0</v>
      </c>
      <c r="CU34" s="337"/>
      <c r="CV34" s="338">
        <f>_xlfn.IFNA(VLOOKUP(A34,'LA Deductions'!$A$6:$AN$207,34,FALSE),0)</f>
        <v>0</v>
      </c>
      <c r="CW34" s="338">
        <f>_xlfn.IFNA((VLOOKUP($A34,HN!$A:$K,8,FALSE)/12),0)</f>
        <v>102258.75</v>
      </c>
      <c r="CX34" s="338">
        <f>_xlfn.IFNA((VLOOKUP($A34,HN!$A:$BS,14,FALSE)/12),0)</f>
        <v>0</v>
      </c>
      <c r="CY34" s="338">
        <f>_xlfn.IFNA(VLOOKUP($A34,'Post 16'!$A:$AV,32,FALSE),0)/8</f>
        <v>0</v>
      </c>
      <c r="CZ34" s="338"/>
      <c r="DA34" s="338">
        <f>_xlfn.IFNA((VLOOKUP($A34,HN!$A:$K,9,FALSE)/12),0)+_xlfn.IFNA((VLOOKUP($A34,HN!$A:$K,10,FALSE)/12),0)</f>
        <v>107897.07272904938</v>
      </c>
      <c r="DB34" s="338">
        <f>_xlfn.IFNA((VLOOKUP($A34,HN!$A:$BS,15,FALSE)/12),0)</f>
        <v>0</v>
      </c>
      <c r="DC34" s="337">
        <f t="shared" si="27"/>
        <v>0</v>
      </c>
      <c r="DD34" s="337">
        <f t="shared" si="28"/>
        <v>0</v>
      </c>
      <c r="DE34" s="338"/>
      <c r="DF34" s="338">
        <f>_xlfn.IFNA(VLOOKUP($A34,'Cash Advances'!$A:$S,14,FALSE),0)</f>
        <v>0</v>
      </c>
      <c r="DG34" s="338">
        <f>(_xlfn.IFNA(VLOOKUP(A34,'LA Deductions'!A:AZ,25,FALSE),0)/9)+(_xlfn.IFNA(VLOOKUP(A34,'LA Deductions'!A:AZ,26,FALSE),0))</f>
        <v>0</v>
      </c>
      <c r="DH34" s="337">
        <f t="shared" si="29"/>
        <v>210155.82272904937</v>
      </c>
      <c r="DI34" s="330">
        <f t="shared" si="30"/>
        <v>0</v>
      </c>
      <c r="DJ34" s="330"/>
      <c r="DK34" s="331"/>
      <c r="DL34" s="331">
        <f>_xlfn.IFNA((VLOOKUP($A34,HN!$A:$K,8,FALSE)/12),0)+_xlfn.IFNA((VLOOKUP($A34,HN!$A:$AF,32,FALSE)*8/12),0)</f>
        <v>102258.75</v>
      </c>
      <c r="DM34" s="331">
        <f>_xlfn.IFNA((VLOOKUP($A34,HN!$A:$BS,14,FALSE)/12),0)+_xlfn.IFNA(VLOOKUP($A34,HN!$A:$BS,31,FALSE),0)</f>
        <v>0</v>
      </c>
      <c r="DN34" s="331">
        <f>_xlfn.IFNA(VLOOKUP($A34,'Post 16'!$A:$AV,32,FALSE),0)/8</f>
        <v>0</v>
      </c>
      <c r="DO34" s="331"/>
      <c r="DP34" s="331">
        <f>_xlfn.IFNA((VLOOKUP($A34,HN!$A:$K,9,FALSE)/12),0)+_xlfn.IFNA((VLOOKUP($A34,HN!$A:$K,10,FALSE)/12),0)+_xlfn.IFNA((VLOOKUP($A34,HN!$A:$BZ,33,FALSE)*8/12),0)</f>
        <v>107897.07272904938</v>
      </c>
      <c r="DQ34" s="331">
        <f>_xlfn.IFNA((VLOOKUP($A34,HN!$A:$BS,15,FALSE)/12),0)</f>
        <v>0</v>
      </c>
      <c r="DR34" s="330">
        <f t="shared" si="31"/>
        <v>0</v>
      </c>
      <c r="DS34" s="330">
        <f t="shared" si="32"/>
        <v>0</v>
      </c>
      <c r="DT34" s="331"/>
      <c r="DU34" s="331"/>
      <c r="DV34" s="331">
        <f>(_xlfn.IFNA(VLOOKUP(A34,'LA Deductions'!A:AZ,25,FALSE),0)/9)+_xlfn.IFNA(VLOOKUP(A34,'LA Deductions'!A:AZ,27,FALSE),0)</f>
        <v>0</v>
      </c>
      <c r="DW34" s="330">
        <f t="shared" si="33"/>
        <v>210155.82272904937</v>
      </c>
      <c r="DX34" s="344">
        <f t="shared" si="34"/>
        <v>0</v>
      </c>
      <c r="DY34" s="344"/>
      <c r="DZ34" s="345"/>
      <c r="EA34" s="345">
        <f>_xlfn.IFNA((VLOOKUP($A34,HN!$A:$K,8,FALSE)/12),0)+_xlfn.IFNA((VLOOKUP($A34,HN!$A:$AF,32,FALSE)*1/12),0)</f>
        <v>102258.75</v>
      </c>
      <c r="EB34" s="345">
        <f>_xlfn.IFNA((VLOOKUP($A34,HN!$A:$BS,14,FALSE)/12),0)</f>
        <v>0</v>
      </c>
      <c r="EC34" s="345">
        <f>_xlfn.IFNA(VLOOKUP($A34,'Post 16'!$A:$AV,32,FALSE),0)/8</f>
        <v>0</v>
      </c>
      <c r="ED34" s="345"/>
      <c r="EE34" s="345">
        <f>_xlfn.IFNA((VLOOKUP($A34,HN!$A:$K,9,FALSE)/12),0)+_xlfn.IFNA((VLOOKUP($A34,HN!$A:$K,10,FALSE)/12),0)+_xlfn.IFNA((VLOOKUP($A34,HN!$A:$BZ,33,FALSE)/12),0)</f>
        <v>107897.07272904938</v>
      </c>
      <c r="EF34" s="345">
        <f>_xlfn.IFNA((VLOOKUP($A34,HN!$A:$BS,15,FALSE)/12),0)</f>
        <v>0</v>
      </c>
      <c r="EG34" s="344">
        <f t="shared" si="35"/>
        <v>0</v>
      </c>
      <c r="EH34" s="344">
        <f t="shared" si="36"/>
        <v>0</v>
      </c>
      <c r="EI34" s="345"/>
      <c r="EJ34" s="345">
        <f>_xlfn.IFNA(VLOOKUP(A34,'Cash Advances'!A:P,16,FALSE),0)</f>
        <v>0</v>
      </c>
      <c r="EK34" s="345">
        <f>_xlfn.IFNA(VLOOKUP(A34,'LA Deductions'!A:AZ,25,FALSE),0)/9</f>
        <v>0</v>
      </c>
      <c r="EL34" s="344">
        <f t="shared" si="37"/>
        <v>210155.82272904937</v>
      </c>
      <c r="EM34" s="308">
        <f t="shared" si="38"/>
        <v>0</v>
      </c>
      <c r="EN34" s="308">
        <f>((VLOOKUP($A34,EY!$A:$BS,35,FALSE)-(VLOOKUP($A34,EY!$A:$BS,33,FALSE)*80%))+VLOOKUP($A34,EY!$A:$BS,43,FALSE))+(VLOOKUP(A34,EY!A:DF,110,FALSE)-VLOOKUP(A34,EY!A:DD,108,FALSE))+(VLOOKUP(A34,EY!A:CE,83,FALSE)-VLOOKUP(A34,EY!A:CC,81,FALSE))</f>
        <v>0</v>
      </c>
      <c r="EO34" s="309"/>
      <c r="EP34" s="309">
        <f>_xlfn.IFNA((VLOOKUP($A34,HN!$A:$K,8,FALSE)/12),0)+_xlfn.IFNA((VLOOKUP($A34,HN!$A:$AF,32,FALSE)*1/12),0)</f>
        <v>102258.75</v>
      </c>
      <c r="EQ34" s="309">
        <f>_xlfn.IFNA((VLOOKUP($A34,HN!$A:$BS,14,FALSE)/12),0)+_xlfn.IFNA((VLOOKUP($A34,HN!$A:$BS,34,FALSE)/3),0)</f>
        <v>0</v>
      </c>
      <c r="ER34" s="309">
        <f>_xlfn.IFNA(VLOOKUP($A34,'Post 16'!$A:$AV,32,FALSE),0)/8</f>
        <v>0</v>
      </c>
      <c r="ES34" s="309">
        <f>((VLOOKUP($A34,EY!A:EV,33,FALSE)*80%))+VLOOKUP(A34,EY!A:DD,108,FALSE)+VLOOKUP(A34,EY!A:CC,81,FALSE)</f>
        <v>0</v>
      </c>
      <c r="ET34" s="309">
        <f>_xlfn.IFNA((VLOOKUP($A34,HN!$A:$K,9,FALSE)/12),0)+_xlfn.IFNA((VLOOKUP($A34,HN!$A:$K,10,FALSE)/12),0)+_xlfn.IFNA((VLOOKUP($A34,HN!$A:$BZ,33,FALSE)/12),0)</f>
        <v>107897.07272904938</v>
      </c>
      <c r="EU34" s="309">
        <f>_xlfn.IFNA((VLOOKUP($A34,HN!$A:$BS,15,FALSE)/12),0)</f>
        <v>0</v>
      </c>
      <c r="EV34" s="308">
        <f t="shared" si="39"/>
        <v>0</v>
      </c>
      <c r="EW34" s="308">
        <f t="shared" si="40"/>
        <v>0</v>
      </c>
      <c r="EX34" s="309"/>
      <c r="EY34" s="309">
        <f>_xlfn.IFNA(VLOOKUP($A34,'Cash Advances'!$A:$S,17,FALSE),0)</f>
        <v>0</v>
      </c>
      <c r="EZ34" s="309">
        <f>_xlfn.IFNA(VLOOKUP(A34,'LA Deductions'!A:AZ,25,FALSE),0)/9</f>
        <v>0</v>
      </c>
      <c r="FA34" s="308">
        <f t="shared" si="41"/>
        <v>210155.82272904937</v>
      </c>
      <c r="FB34" s="315">
        <f t="shared" si="42"/>
        <v>0</v>
      </c>
      <c r="FC34" s="315"/>
      <c r="FD34" s="316"/>
      <c r="FE34" s="316">
        <f>_xlfn.IFNA((VLOOKUP($A34,HN!$A:$K,8,FALSE)/12),0)+_xlfn.IFNA((VLOOKUP($A34,HN!$A:$AF,32,FALSE)*1/12),0)</f>
        <v>102258.75</v>
      </c>
      <c r="FF34" s="316">
        <f>_xlfn.IFNA((VLOOKUP($A34,HN!$A:$BS,14,FALSE)/12),0)+_xlfn.IFNA((VLOOKUP($A34,HN!$A:$BS,34,FALSE)/3),0)</f>
        <v>0</v>
      </c>
      <c r="FG34" s="316">
        <f>_xlfn.IFNA(VLOOKUP($A34,'Post 16'!$A:$AV,32,FALSE),0)/8</f>
        <v>0</v>
      </c>
      <c r="FH34" s="316"/>
      <c r="FI34" s="316">
        <f>_xlfn.IFNA((VLOOKUP($A34,HN!$A:$K,9,FALSE)/12),0)+_xlfn.IFNA((VLOOKUP($A34,HN!$A:$K,10,FALSE)/12),0)+_xlfn.IFNA((VLOOKUP($A34,HN!$A:$BZ,33,FALSE)/12),0)+_xlfn.IFNA((VLOOKUP($A34,HN!$A:$BZ,35,FALSE)/2),0)</f>
        <v>85514.142729049374</v>
      </c>
      <c r="FJ34" s="316">
        <f>_xlfn.IFNA((VLOOKUP($A34,HN!$A:$BS,15,FALSE)/12),0)+_xlfn.IFNA((VLOOKUP($A34,HN!$A:$CZ,36,FALSE)/2),0)</f>
        <v>0</v>
      </c>
      <c r="FK34" s="315">
        <f t="shared" si="43"/>
        <v>0</v>
      </c>
      <c r="FL34" s="315">
        <f t="shared" si="44"/>
        <v>0</v>
      </c>
      <c r="FM34" s="316"/>
      <c r="FN34" s="316">
        <f>_xlfn.IFNA(VLOOKUP($A34,'Cash Advances'!$A:$S,18,FALSE),0)</f>
        <v>0</v>
      </c>
      <c r="FO34" s="316">
        <f>_xlfn.IFNA(VLOOKUP(A34,'LA Deductions'!A:AZ,25,FALSE),0)/9</f>
        <v>0</v>
      </c>
      <c r="FP34" s="315">
        <f t="shared" si="45"/>
        <v>187772.89272904937</v>
      </c>
      <c r="FQ34" s="322">
        <f t="shared" si="46"/>
        <v>0</v>
      </c>
      <c r="FR34" s="322"/>
      <c r="FS34" s="323"/>
      <c r="FT34" s="323">
        <f>_xlfn.IFNA((VLOOKUP($A34,HN!$A:$K,8,FALSE)/12),0)+_xlfn.IFNA((VLOOKUP($A34,HN!$A:$AF,32,FALSE)*1/12),0)</f>
        <v>102258.75</v>
      </c>
      <c r="FU34" s="323">
        <f>_xlfn.IFNA((VLOOKUP($A34,HN!$A:$BS,14,FALSE)/12),0)+_xlfn.IFNA((VLOOKUP($A34,HN!$A:$BS,34,FALSE)/3),0)</f>
        <v>0</v>
      </c>
      <c r="FV34" s="323">
        <f>_xlfn.IFNA(VLOOKUP($A34,'Post 16'!$A:$AV,32,FALSE),0)/8</f>
        <v>0</v>
      </c>
      <c r="FW34" s="323"/>
      <c r="FX34" s="323">
        <f>_xlfn.IFNA((VLOOKUP($A34,HN!$A:$K,9,FALSE)/12),0)+_xlfn.IFNA((VLOOKUP($A34,HN!$A:$K,10,FALSE)/12),0)+_xlfn.IFNA((VLOOKUP($A34,HN!$A:$BZ,33,FALSE)/12),0)+_xlfn.IFNA((VLOOKUP($A34,HN!$A:$BZ,35,FALSE)/2),0)</f>
        <v>85514.142729049374</v>
      </c>
      <c r="FY34" s="323">
        <f>_xlfn.IFNA((VLOOKUP($A34,HN!$A:$BS,15,FALSE)/12),0)+_xlfn.IFNA((VLOOKUP($A34,HN!$A:$CZ,36,FALSE)/2),0)</f>
        <v>0</v>
      </c>
      <c r="FZ34" s="322">
        <f t="shared" si="47"/>
        <v>0</v>
      </c>
      <c r="GA34" s="322">
        <f t="shared" si="48"/>
        <v>0</v>
      </c>
      <c r="GB34" s="323"/>
      <c r="GC34" s="323"/>
      <c r="GD34" s="323">
        <f>_xlfn.IFNA(VLOOKUP(A34,'LA Deductions'!A:AZ,25,FALSE),0)/9</f>
        <v>0</v>
      </c>
      <c r="GE34" s="322">
        <f t="shared" si="49"/>
        <v>187772.89272904937</v>
      </c>
      <c r="GG34" s="146">
        <f t="shared" si="52"/>
        <v>1227105</v>
      </c>
      <c r="GH34" s="146">
        <f t="shared" si="52"/>
        <v>0</v>
      </c>
      <c r="GI34" s="146">
        <f t="shared" si="52"/>
        <v>1388460.551210131</v>
      </c>
      <c r="GJ34" s="146">
        <f t="shared" si="52"/>
        <v>0</v>
      </c>
      <c r="GK34" s="146">
        <f t="shared" si="52"/>
        <v>0</v>
      </c>
      <c r="GL34" s="146">
        <f t="shared" si="52"/>
        <v>-2997</v>
      </c>
      <c r="GN34" s="146">
        <f t="shared" si="53"/>
        <v>1227105</v>
      </c>
      <c r="GO34" s="146">
        <f t="shared" si="53"/>
        <v>0</v>
      </c>
      <c r="GP34" s="146">
        <f t="shared" si="53"/>
        <v>1388460.551210131</v>
      </c>
      <c r="GQ34" s="146">
        <f t="shared" si="53"/>
        <v>0</v>
      </c>
      <c r="GR34" s="146">
        <f t="shared" si="53"/>
        <v>0</v>
      </c>
      <c r="GS34" s="146">
        <f t="shared" si="53"/>
        <v>-2997</v>
      </c>
      <c r="GU34" s="146"/>
      <c r="GV34" s="57"/>
    </row>
    <row r="35" spans="1:204">
      <c r="A35" s="185">
        <v>2040</v>
      </c>
      <c r="B35" s="185">
        <v>103178</v>
      </c>
      <c r="C35" s="185" t="s">
        <v>89</v>
      </c>
      <c r="D35" s="2" t="s">
        <v>90</v>
      </c>
      <c r="E35" s="191" t="s">
        <v>32</v>
      </c>
      <c r="F35" s="191" t="s">
        <v>912</v>
      </c>
      <c r="H35" s="279">
        <f>_xlfn.IFNA(VLOOKUP($A35,ISB!$A$4:$BY$454,67,FALSE),0)</f>
        <v>2351803.6248177956</v>
      </c>
      <c r="I35" s="279">
        <f>_xlfn.IFNA(VLOOKUP($A35,ISB!$A$4:$BY$454,72,FALSE),0)</f>
        <v>-11084</v>
      </c>
      <c r="J35" s="279">
        <f>-_xlfn.IFNA(VLOOKUP($A35,ISB!$A$4:$BY$454,76,FALSE),0)</f>
        <v>-30474.82</v>
      </c>
      <c r="K35" s="279">
        <f>_xlfn.IFNA(VLOOKUP($A35,ISB!$A$4:$BY$454,77,FALSE),0)</f>
        <v>2310244.8048177958</v>
      </c>
      <c r="M35" s="301">
        <f t="shared" si="7"/>
        <v>195983.63540148296</v>
      </c>
      <c r="N35" s="301">
        <f>VLOOKUP($A35,EY!$A:$H,8,FALSE)+(VLOOKUP($A35,EY!$A:$BS,17,FALSE)-S35)+VLOOKUP($A35,EY!$A:$BS,41,FALSE)</f>
        <v>23736.960000000003</v>
      </c>
      <c r="O35" s="302"/>
      <c r="P35" s="302">
        <f>_xlfn.IFNA((VLOOKUP($A35,HN!$A:$K,8,FALSE)/12),0)</f>
        <v>0</v>
      </c>
      <c r="Q35" s="302">
        <f>_xlfn.IFNA((VLOOKUP($A35,HN!$A:$BS,14,FALSE)/12),0)</f>
        <v>8000</v>
      </c>
      <c r="R35" s="302">
        <f>_xlfn.IFNA(VLOOKUP($A35,'Post 16'!$A:$V,21,FALSE),0)/4</f>
        <v>0</v>
      </c>
      <c r="S35" s="302">
        <f>VLOOKUP($A35,EY!A:Q,15,FALSE)*80%</f>
        <v>0</v>
      </c>
      <c r="T35" s="302">
        <f>_xlfn.IFNA((VLOOKUP($A35,HN!$A:$K,9,FALSE)/12),0)+_xlfn.IFNA((VLOOKUP($A35,HN!$A:$K,10,FALSE)/12),0)</f>
        <v>0</v>
      </c>
      <c r="U35" s="302">
        <f>_xlfn.IFNA((VLOOKUP($A35,HN!$A:$BS,15,FALSE)/12),0)</f>
        <v>15037.2125</v>
      </c>
      <c r="V35" s="301">
        <f t="shared" si="8"/>
        <v>-923.66666666666663</v>
      </c>
      <c r="W35" s="301">
        <f t="shared" si="9"/>
        <v>-2539.5683333333332</v>
      </c>
      <c r="X35" s="302"/>
      <c r="Y35" s="302">
        <f>_xlfn.IFNA(VLOOKUP($A35,'Cash Advances'!$A:$S,8,FALSE),0)</f>
        <v>0</v>
      </c>
      <c r="Z35" s="301">
        <f t="shared" si="0"/>
        <v>239294.57290148296</v>
      </c>
      <c r="AA35" s="315">
        <f t="shared" si="10"/>
        <v>195983.63540148296</v>
      </c>
      <c r="AB35" s="315"/>
      <c r="AC35" s="316"/>
      <c r="AD35" s="316">
        <f>_xlfn.IFNA((VLOOKUP($A35,HN!$A:$K,8,FALSE)/12),0)</f>
        <v>0</v>
      </c>
      <c r="AE35" s="316">
        <f>_xlfn.IFNA((VLOOKUP($A35,HN!$A:$BS,14,FALSE)/12),0)</f>
        <v>8000</v>
      </c>
      <c r="AF35" s="316">
        <f>_xlfn.IFNA(VLOOKUP($A35,'Post 16'!$A:$V,21,FALSE),0)/4</f>
        <v>0</v>
      </c>
      <c r="AG35" s="316"/>
      <c r="AH35" s="316">
        <f>_xlfn.IFNA((VLOOKUP($A35,HN!$A:$K,9,FALSE)/12),0)+_xlfn.IFNA((VLOOKUP($A35,HN!$A:$K,10,FALSE)/12),0)</f>
        <v>0</v>
      </c>
      <c r="AI35" s="316">
        <f>_xlfn.IFNA((VLOOKUP($A35,HN!$A:$BS,15,FALSE)/12),0)</f>
        <v>15037.2125</v>
      </c>
      <c r="AJ35" s="315">
        <f t="shared" si="11"/>
        <v>-923.66666666666663</v>
      </c>
      <c r="AK35" s="315">
        <f t="shared" si="12"/>
        <v>-2539.5683333333332</v>
      </c>
      <c r="AL35" s="316"/>
      <c r="AM35" s="316">
        <f>_xlfn.IFNA(VLOOKUP($A35,'Cash Advances'!$A:$S,9,FALSE),0)</f>
        <v>0</v>
      </c>
      <c r="AN35" s="315">
        <f t="shared" si="1"/>
        <v>215557.61290148296</v>
      </c>
      <c r="AO35" s="308">
        <f t="shared" si="13"/>
        <v>195983.63540148296</v>
      </c>
      <c r="AP35" s="308"/>
      <c r="AQ35" s="309"/>
      <c r="AR35" s="309">
        <f>_xlfn.IFNA((VLOOKUP($A35,HN!$A:$K,8,FALSE)/12),0)</f>
        <v>0</v>
      </c>
      <c r="AS35" s="309">
        <f>_xlfn.IFNA((VLOOKUP($A35,HN!$A:$BS,14,FALSE)/12),0)</f>
        <v>8000</v>
      </c>
      <c r="AT35" s="309">
        <f>_xlfn.IFNA(VLOOKUP($A35,'Post 16'!$A:$V,21,FALSE),0)/4</f>
        <v>0</v>
      </c>
      <c r="AU35" s="309"/>
      <c r="AV35" s="309">
        <f>_xlfn.IFNA((VLOOKUP($A35,HN!$A:$K,9,FALSE)/12),0)+_xlfn.IFNA((VLOOKUP($A35,HN!$A:$K,10,FALSE)/12),0)+_xlfn.IFNA(VLOOKUP(A35,HN!A:V,19,FALSE),0)+_xlfn.IFNA(VLOOKUP(A35,HN!A:V,20,FALSE),0)+_xlfn.IFNA(VLOOKUP(A35,HN!A:V,21,FALSE),0)</f>
        <v>0</v>
      </c>
      <c r="AW35" s="309">
        <f>_xlfn.IFNA((VLOOKUP($A35,HN!$A:$BS,15,FALSE)/12),0)</f>
        <v>15037.2125</v>
      </c>
      <c r="AX35" s="308">
        <f t="shared" si="14"/>
        <v>-923.66666666666663</v>
      </c>
      <c r="AY35" s="308">
        <f t="shared" si="15"/>
        <v>-2539.5683333333332</v>
      </c>
      <c r="AZ35" s="309"/>
      <c r="BA35" s="309">
        <f>_xlfn.IFNA(VLOOKUP($A35,'Cash Advances'!$A:$S,10,FALSE),0)</f>
        <v>0</v>
      </c>
      <c r="BB35" s="308">
        <f t="shared" si="2"/>
        <v>215557.61290148296</v>
      </c>
      <c r="BC35" s="330">
        <f t="shared" si="16"/>
        <v>195983.63540148296</v>
      </c>
      <c r="BD35" s="330"/>
      <c r="BE35" s="331"/>
      <c r="BF35" s="331">
        <f>_xlfn.IFNA((VLOOKUP($A35,HN!$A:$K,8,FALSE)/12),0)</f>
        <v>0</v>
      </c>
      <c r="BG35" s="331">
        <f>_xlfn.IFNA((VLOOKUP($A35,HN!$A:$BS,14,FALSE)/12),0)</f>
        <v>8000</v>
      </c>
      <c r="BH35" s="331">
        <f>_xlfn.IFNA(VLOOKUP($A35,'Post 16'!$A:$V,21,FALSE),0)/4</f>
        <v>0</v>
      </c>
      <c r="BI35" s="331"/>
      <c r="BJ35" s="331">
        <f>_xlfn.IFNA((VLOOKUP($A35,HN!$A:$K,9,FALSE)/12),0)+_xlfn.IFNA((VLOOKUP($A35,HN!$A:$K,10,FALSE)/12),0)</f>
        <v>0</v>
      </c>
      <c r="BK35" s="331">
        <f>_xlfn.IFNA((VLOOKUP($A35,HN!$A:$BS,15,FALSE)/12),0)</f>
        <v>15037.2125</v>
      </c>
      <c r="BL35" s="330">
        <f t="shared" si="17"/>
        <v>-923.66666666666663</v>
      </c>
      <c r="BM35" s="330">
        <f t="shared" si="18"/>
        <v>-2539.5683333333332</v>
      </c>
      <c r="BN35" s="331"/>
      <c r="BO35" s="331">
        <f>_xlfn.IFNA(VLOOKUP(A35,'Cash Advances'!A:K,11,FALSE),0)</f>
        <v>0</v>
      </c>
      <c r="BP35" s="330">
        <f t="shared" si="3"/>
        <v>215557.61290148296</v>
      </c>
      <c r="BQ35" s="322">
        <f t="shared" si="19"/>
        <v>195983.63540148296</v>
      </c>
      <c r="BR35" s="322"/>
      <c r="BS35" s="323"/>
      <c r="BT35" s="323">
        <f>_xlfn.IFNA((VLOOKUP($A35,HN!$A:$K,8,FALSE)/12),0)</f>
        <v>0</v>
      </c>
      <c r="BU35" s="323">
        <f>_xlfn.IFNA((VLOOKUP($A35,HN!$A:$BS,14,FALSE)/12),0)</f>
        <v>8000</v>
      </c>
      <c r="BV35" s="323">
        <f>(_xlfn.IFNA(VLOOKUP($A35,'Post 16'!$A:$AV,32,FALSE),0)/8)+_xlfn.IFNA(VLOOKUP($A35,'Post 16'!$A:$AR,40,FALSE),0)</f>
        <v>0</v>
      </c>
      <c r="BW35" s="323"/>
      <c r="BX35" s="323">
        <f>_xlfn.IFNA((VLOOKUP($A35,HN!$A:$K,9,FALSE)/12),0)+_xlfn.IFNA((VLOOKUP($A35,HN!$A:$K,10,FALSE)/12),0)</f>
        <v>0</v>
      </c>
      <c r="BY35" s="323">
        <f>_xlfn.IFNA((VLOOKUP($A35,HN!$A:$BS,15,FALSE)/12),0)</f>
        <v>15037.2125</v>
      </c>
      <c r="BZ35" s="322">
        <f t="shared" si="20"/>
        <v>-923.66666666666663</v>
      </c>
      <c r="CA35" s="322">
        <f t="shared" si="21"/>
        <v>-2539.5683333333332</v>
      </c>
      <c r="CB35" s="323"/>
      <c r="CC35" s="323"/>
      <c r="CD35" s="322">
        <f t="shared" si="4"/>
        <v>215557.61290148296</v>
      </c>
      <c r="CE35" s="357">
        <f t="shared" si="22"/>
        <v>195983.63540148296</v>
      </c>
      <c r="CF35" s="357">
        <f>(VLOOKUP($A35,EY!$A:$BS,26,FALSE)-(VLOOKUP($A35,EY!A:CR,24,FALSE)*80%))+VLOOKUP($A35,EY!$A:$BS,42,FALSE)+(VLOOKUP($A35,EY!A:CC,74,FALSE)-VLOOKUP($A35,EY!A:CC,72,FALSE))</f>
        <v>28453.01105263158</v>
      </c>
      <c r="CG35" s="358"/>
      <c r="CH35" s="358">
        <f>_xlfn.IFNA((VLOOKUP($A35,HN!$A:$K,8,FALSE)/12),0)</f>
        <v>0</v>
      </c>
      <c r="CI35" s="358">
        <f>_xlfn.IFNA((VLOOKUP($A35,HN!$A:$BS,14,FALSE)/12),0)</f>
        <v>8000</v>
      </c>
      <c r="CJ35" s="358">
        <f>(_xlfn.IFNA(VLOOKUP($A35,'Post 16'!$A:$AV,32,FALSE),0)/8)</f>
        <v>0</v>
      </c>
      <c r="CK35" s="358">
        <f>(VLOOKUP($A35,EY!A:CR,24,FALSE)*80%)+VLOOKUP($A35,EY!A:CC,72,FALSE)</f>
        <v>0</v>
      </c>
      <c r="CL35" s="358">
        <f>_xlfn.IFNA((VLOOKUP($A35,HN!$A:$K,9,FALSE)/12),0)+_xlfn.IFNA((VLOOKUP($A35,HN!$A:$K,10,FALSE)/12),0)</f>
        <v>0</v>
      </c>
      <c r="CM35" s="358">
        <f>_xlfn.IFNA((VLOOKUP($A35,HN!$A:$BS,15,FALSE)/12),0)</f>
        <v>15037.2125</v>
      </c>
      <c r="CN35" s="357">
        <f t="shared" si="23"/>
        <v>-923.66666666666663</v>
      </c>
      <c r="CO35" s="357">
        <f t="shared" si="24"/>
        <v>-2539.5683333333332</v>
      </c>
      <c r="CP35" s="358">
        <f>_xlfn.IFNA(VLOOKUP(A35,'LA Deductions'!A:W,23,FALSE),0)</f>
        <v>-9471</v>
      </c>
      <c r="CQ35" s="358">
        <f>_xlfn.IFNA(VLOOKUP($A35,'Cash Advances'!$A:$S,13,FALSE),0)</f>
        <v>0</v>
      </c>
      <c r="CR35" s="358">
        <f>_xlfn.IFNA(VLOOKUP(A35,'LA Deductions'!A:AZ,25,FALSE),0)/9*3</f>
        <v>0</v>
      </c>
      <c r="CS35" s="357">
        <f t="shared" si="25"/>
        <v>234539.62395411453</v>
      </c>
      <c r="CT35" s="337">
        <f t="shared" si="26"/>
        <v>195983.63540148296</v>
      </c>
      <c r="CU35" s="337"/>
      <c r="CV35" s="338">
        <f>_xlfn.IFNA(VLOOKUP(A35,'LA Deductions'!$A$6:$AN$207,34,FALSE),0)</f>
        <v>0</v>
      </c>
      <c r="CW35" s="338">
        <f>_xlfn.IFNA((VLOOKUP($A35,HN!$A:$K,8,FALSE)/12),0)</f>
        <v>0</v>
      </c>
      <c r="CX35" s="338">
        <f>_xlfn.IFNA((VLOOKUP($A35,HN!$A:$BS,14,FALSE)/12),0)</f>
        <v>8000</v>
      </c>
      <c r="CY35" s="338">
        <f>_xlfn.IFNA(VLOOKUP($A35,'Post 16'!$A:$AV,32,FALSE),0)/8</f>
        <v>0</v>
      </c>
      <c r="CZ35" s="338"/>
      <c r="DA35" s="338">
        <f>_xlfn.IFNA((VLOOKUP($A35,HN!$A:$K,9,FALSE)/12),0)+_xlfn.IFNA((VLOOKUP($A35,HN!$A:$K,10,FALSE)/12),0)</f>
        <v>0</v>
      </c>
      <c r="DB35" s="338">
        <f>_xlfn.IFNA((VLOOKUP($A35,HN!$A:$BS,15,FALSE)/12),0)</f>
        <v>15037.2125</v>
      </c>
      <c r="DC35" s="337">
        <f t="shared" si="27"/>
        <v>-923.66666666666663</v>
      </c>
      <c r="DD35" s="337">
        <f t="shared" si="28"/>
        <v>-2539.5683333333332</v>
      </c>
      <c r="DE35" s="338"/>
      <c r="DF35" s="338">
        <f>_xlfn.IFNA(VLOOKUP($A35,'Cash Advances'!$A:$S,14,FALSE),0)</f>
        <v>0</v>
      </c>
      <c r="DG35" s="338">
        <f>(_xlfn.IFNA(VLOOKUP(A35,'LA Deductions'!A:AZ,25,FALSE),0)/9)+(_xlfn.IFNA(VLOOKUP(A35,'LA Deductions'!A:AZ,26,FALSE),0))</f>
        <v>0</v>
      </c>
      <c r="DH35" s="337">
        <f t="shared" si="29"/>
        <v>215557.61290148296</v>
      </c>
      <c r="DI35" s="330">
        <f t="shared" si="30"/>
        <v>195983.63540148296</v>
      </c>
      <c r="DJ35" s="330"/>
      <c r="DK35" s="331"/>
      <c r="DL35" s="331">
        <f>_xlfn.IFNA((VLOOKUP($A35,HN!$A:$K,8,FALSE)/12),0)+_xlfn.IFNA((VLOOKUP($A35,HN!$A:$AF,32,FALSE)*8/12),0)</f>
        <v>0</v>
      </c>
      <c r="DM35" s="331">
        <f>_xlfn.IFNA((VLOOKUP($A35,HN!$A:$BS,14,FALSE)/12),0)+_xlfn.IFNA(VLOOKUP($A35,HN!$A:$BS,31,FALSE),0)</f>
        <v>8000</v>
      </c>
      <c r="DN35" s="331">
        <f>_xlfn.IFNA(VLOOKUP($A35,'Post 16'!$A:$AV,32,FALSE),0)/8</f>
        <v>0</v>
      </c>
      <c r="DO35" s="331"/>
      <c r="DP35" s="331">
        <f>_xlfn.IFNA((VLOOKUP($A35,HN!$A:$K,9,FALSE)/12),0)+_xlfn.IFNA((VLOOKUP($A35,HN!$A:$K,10,FALSE)/12),0)+_xlfn.IFNA((VLOOKUP($A35,HN!$A:$BZ,33,FALSE)*8/12),0)</f>
        <v>0</v>
      </c>
      <c r="DQ35" s="331">
        <f>_xlfn.IFNA((VLOOKUP($A35,HN!$A:$BS,15,FALSE)/12),0)</f>
        <v>15037.2125</v>
      </c>
      <c r="DR35" s="330">
        <f t="shared" si="31"/>
        <v>-923.66666666666663</v>
      </c>
      <c r="DS35" s="330">
        <f t="shared" si="32"/>
        <v>-2539.5683333333332</v>
      </c>
      <c r="DT35" s="331"/>
      <c r="DU35" s="331"/>
      <c r="DV35" s="331">
        <f>(_xlfn.IFNA(VLOOKUP(A35,'LA Deductions'!A:AZ,25,FALSE),0)/9)+_xlfn.IFNA(VLOOKUP(A35,'LA Deductions'!A:AZ,27,FALSE),0)</f>
        <v>0</v>
      </c>
      <c r="DW35" s="330">
        <f t="shared" si="33"/>
        <v>215557.61290148296</v>
      </c>
      <c r="DX35" s="344">
        <f t="shared" si="34"/>
        <v>195983.63540148296</v>
      </c>
      <c r="DY35" s="344"/>
      <c r="DZ35" s="345"/>
      <c r="EA35" s="345">
        <f>_xlfn.IFNA((VLOOKUP($A35,HN!$A:$K,8,FALSE)/12),0)+_xlfn.IFNA((VLOOKUP($A35,HN!$A:$AF,32,FALSE)*1/12),0)</f>
        <v>0</v>
      </c>
      <c r="EB35" s="345">
        <f>_xlfn.IFNA((VLOOKUP($A35,HN!$A:$BS,14,FALSE)/12),0)</f>
        <v>8000</v>
      </c>
      <c r="EC35" s="345">
        <f>_xlfn.IFNA(VLOOKUP($A35,'Post 16'!$A:$AV,32,FALSE),0)/8</f>
        <v>0</v>
      </c>
      <c r="ED35" s="345"/>
      <c r="EE35" s="345">
        <f>_xlfn.IFNA((VLOOKUP($A35,HN!$A:$K,9,FALSE)/12),0)+_xlfn.IFNA((VLOOKUP($A35,HN!$A:$K,10,FALSE)/12),0)+_xlfn.IFNA((VLOOKUP($A35,HN!$A:$BZ,33,FALSE)/12),0)</f>
        <v>0</v>
      </c>
      <c r="EF35" s="345">
        <f>_xlfn.IFNA((VLOOKUP($A35,HN!$A:$BS,15,FALSE)/12),0)</f>
        <v>15037.2125</v>
      </c>
      <c r="EG35" s="344">
        <f t="shared" si="35"/>
        <v>-923.66666666666663</v>
      </c>
      <c r="EH35" s="344">
        <f t="shared" si="36"/>
        <v>-2539.5683333333332</v>
      </c>
      <c r="EI35" s="345"/>
      <c r="EJ35" s="345">
        <f>_xlfn.IFNA(VLOOKUP(A35,'Cash Advances'!A:P,16,FALSE),0)</f>
        <v>0</v>
      </c>
      <c r="EK35" s="345">
        <f>_xlfn.IFNA(VLOOKUP(A35,'LA Deductions'!A:AZ,25,FALSE),0)/9</f>
        <v>0</v>
      </c>
      <c r="EL35" s="344">
        <f t="shared" si="37"/>
        <v>215557.61290148296</v>
      </c>
      <c r="EM35" s="308">
        <f t="shared" si="38"/>
        <v>195983.63540148296</v>
      </c>
      <c r="EN35" s="308">
        <f>((VLOOKUP($A35,EY!$A:$BS,35,FALSE)-(VLOOKUP($A35,EY!$A:$BS,33,FALSE)*80%))+VLOOKUP($A35,EY!$A:$BS,43,FALSE))+(VLOOKUP(A35,EY!A:DF,110,FALSE)-VLOOKUP(A35,EY!A:DD,108,FALSE))+(VLOOKUP(A35,EY!A:CE,83,FALSE)-VLOOKUP(A35,EY!A:CC,81,FALSE))</f>
        <v>21159.266952908594</v>
      </c>
      <c r="EO35" s="309"/>
      <c r="EP35" s="309">
        <f>_xlfn.IFNA((VLOOKUP($A35,HN!$A:$K,8,FALSE)/12),0)+_xlfn.IFNA((VLOOKUP($A35,HN!$A:$AF,32,FALSE)*1/12),0)</f>
        <v>0</v>
      </c>
      <c r="EQ35" s="309">
        <f>_xlfn.IFNA((VLOOKUP($A35,HN!$A:$BS,14,FALSE)/12),0)+_xlfn.IFNA((VLOOKUP($A35,HN!$A:$BS,34,FALSE)/3),0)</f>
        <v>8000</v>
      </c>
      <c r="ER35" s="309">
        <f>_xlfn.IFNA(VLOOKUP($A35,'Post 16'!$A:$AV,32,FALSE),0)/8</f>
        <v>0</v>
      </c>
      <c r="ES35" s="309">
        <f>((VLOOKUP($A35,EY!A:EV,33,FALSE)*80%))+VLOOKUP(A35,EY!A:DD,108,FALSE)+VLOOKUP(A35,EY!A:CC,81,FALSE)</f>
        <v>0</v>
      </c>
      <c r="ET35" s="309">
        <f>_xlfn.IFNA((VLOOKUP($A35,HN!$A:$K,9,FALSE)/12),0)+_xlfn.IFNA((VLOOKUP($A35,HN!$A:$K,10,FALSE)/12),0)+_xlfn.IFNA((VLOOKUP($A35,HN!$A:$BZ,33,FALSE)/12),0)</f>
        <v>0</v>
      </c>
      <c r="EU35" s="309">
        <f>_xlfn.IFNA((VLOOKUP($A35,HN!$A:$BS,15,FALSE)/12),0)</f>
        <v>15037.2125</v>
      </c>
      <c r="EV35" s="308">
        <f t="shared" si="39"/>
        <v>-923.66666666666663</v>
      </c>
      <c r="EW35" s="308">
        <f t="shared" si="40"/>
        <v>-2539.5683333333332</v>
      </c>
      <c r="EX35" s="309"/>
      <c r="EY35" s="309">
        <f>_xlfn.IFNA(VLOOKUP($A35,'Cash Advances'!$A:$S,17,FALSE),0)</f>
        <v>0</v>
      </c>
      <c r="EZ35" s="309">
        <f>_xlfn.IFNA(VLOOKUP(A35,'LA Deductions'!A:AZ,25,FALSE),0)/9</f>
        <v>0</v>
      </c>
      <c r="FA35" s="308">
        <f t="shared" si="41"/>
        <v>236716.87985439156</v>
      </c>
      <c r="FB35" s="315">
        <f t="shared" si="42"/>
        <v>195983.63540148296</v>
      </c>
      <c r="FC35" s="315"/>
      <c r="FD35" s="316"/>
      <c r="FE35" s="316">
        <f>_xlfn.IFNA((VLOOKUP($A35,HN!$A:$K,8,FALSE)/12),0)+_xlfn.IFNA((VLOOKUP($A35,HN!$A:$AF,32,FALSE)*1/12),0)</f>
        <v>0</v>
      </c>
      <c r="FF35" s="316">
        <f>_xlfn.IFNA((VLOOKUP($A35,HN!$A:$BS,14,FALSE)/12),0)+_xlfn.IFNA((VLOOKUP($A35,HN!$A:$BS,34,FALSE)/3),0)</f>
        <v>8000</v>
      </c>
      <c r="FG35" s="316">
        <f>_xlfn.IFNA(VLOOKUP($A35,'Post 16'!$A:$AV,32,FALSE),0)/8</f>
        <v>0</v>
      </c>
      <c r="FH35" s="316"/>
      <c r="FI35" s="316">
        <f>_xlfn.IFNA((VLOOKUP($A35,HN!$A:$K,9,FALSE)/12),0)+_xlfn.IFNA((VLOOKUP($A35,HN!$A:$K,10,FALSE)/12),0)+_xlfn.IFNA((VLOOKUP($A35,HN!$A:$BZ,33,FALSE)/12),0)+_xlfn.IFNA((VLOOKUP($A35,HN!$A:$BZ,35,FALSE)/2),0)</f>
        <v>0</v>
      </c>
      <c r="FJ35" s="316">
        <f>_xlfn.IFNA((VLOOKUP($A35,HN!$A:$BS,15,FALSE)/12),0)+_xlfn.IFNA((VLOOKUP($A35,HN!$A:$CZ,36,FALSE)/2),0)</f>
        <v>24638.947500000002</v>
      </c>
      <c r="FK35" s="315">
        <f t="shared" si="43"/>
        <v>-923.66666666666663</v>
      </c>
      <c r="FL35" s="315">
        <f t="shared" si="44"/>
        <v>-2539.5683333333332</v>
      </c>
      <c r="FM35" s="316"/>
      <c r="FN35" s="316">
        <f>_xlfn.IFNA(VLOOKUP($A35,'Cash Advances'!$A:$S,18,FALSE),0)</f>
        <v>0</v>
      </c>
      <c r="FO35" s="316">
        <f>_xlfn.IFNA(VLOOKUP(A35,'LA Deductions'!A:AZ,25,FALSE),0)/9</f>
        <v>0</v>
      </c>
      <c r="FP35" s="315">
        <f t="shared" si="45"/>
        <v>225159.34790148298</v>
      </c>
      <c r="FQ35" s="322">
        <f t="shared" si="46"/>
        <v>195983.63540148296</v>
      </c>
      <c r="FR35" s="322"/>
      <c r="FS35" s="323"/>
      <c r="FT35" s="323">
        <f>_xlfn.IFNA((VLOOKUP($A35,HN!$A:$K,8,FALSE)/12),0)+_xlfn.IFNA((VLOOKUP($A35,HN!$A:$AF,32,FALSE)*1/12),0)</f>
        <v>0</v>
      </c>
      <c r="FU35" s="323">
        <f>_xlfn.IFNA((VLOOKUP($A35,HN!$A:$BS,14,FALSE)/12),0)+_xlfn.IFNA((VLOOKUP($A35,HN!$A:$BS,34,FALSE)/3),0)</f>
        <v>8000</v>
      </c>
      <c r="FV35" s="323">
        <f>_xlfn.IFNA(VLOOKUP($A35,'Post 16'!$A:$AV,32,FALSE),0)/8</f>
        <v>0</v>
      </c>
      <c r="FW35" s="323"/>
      <c r="FX35" s="323">
        <f>_xlfn.IFNA((VLOOKUP($A35,HN!$A:$K,9,FALSE)/12),0)+_xlfn.IFNA((VLOOKUP($A35,HN!$A:$K,10,FALSE)/12),0)+_xlfn.IFNA((VLOOKUP($A35,HN!$A:$BZ,33,FALSE)/12),0)+_xlfn.IFNA((VLOOKUP($A35,HN!$A:$BZ,35,FALSE)/2),0)</f>
        <v>0</v>
      </c>
      <c r="FY35" s="323">
        <f>_xlfn.IFNA((VLOOKUP($A35,HN!$A:$BS,15,FALSE)/12),0)+_xlfn.IFNA((VLOOKUP($A35,HN!$A:$CZ,36,FALSE)/2),0)</f>
        <v>24638.947500000002</v>
      </c>
      <c r="FZ35" s="322">
        <f t="shared" si="47"/>
        <v>-923.66666666666663</v>
      </c>
      <c r="GA35" s="322">
        <f t="shared" si="48"/>
        <v>-2539.5683333333332</v>
      </c>
      <c r="GB35" s="323"/>
      <c r="GC35" s="323"/>
      <c r="GD35" s="323">
        <f>_xlfn.IFNA(VLOOKUP(A35,'LA Deductions'!A:AZ,25,FALSE),0)/9</f>
        <v>0</v>
      </c>
      <c r="GE35" s="322">
        <f t="shared" si="49"/>
        <v>225159.34790148298</v>
      </c>
      <c r="GG35" s="146">
        <f t="shared" si="52"/>
        <v>2521152.8628233359</v>
      </c>
      <c r="GH35" s="146">
        <f t="shared" si="52"/>
        <v>0</v>
      </c>
      <c r="GI35" s="146">
        <f t="shared" si="52"/>
        <v>199650.02</v>
      </c>
      <c r="GJ35" s="146">
        <f t="shared" si="52"/>
        <v>-11083.999999999998</v>
      </c>
      <c r="GK35" s="146">
        <f t="shared" si="52"/>
        <v>-30474.819999999996</v>
      </c>
      <c r="GL35" s="146">
        <f t="shared" si="52"/>
        <v>-9471</v>
      </c>
      <c r="GN35" s="146">
        <f t="shared" si="53"/>
        <v>2521152.8628233359</v>
      </c>
      <c r="GO35" s="146">
        <f t="shared" si="53"/>
        <v>0</v>
      </c>
      <c r="GP35" s="146">
        <f t="shared" si="53"/>
        <v>199650.02</v>
      </c>
      <c r="GQ35" s="146">
        <f t="shared" si="53"/>
        <v>-11083.999999999998</v>
      </c>
      <c r="GR35" s="146">
        <f t="shared" si="53"/>
        <v>-30474.819999999996</v>
      </c>
      <c r="GS35" s="146">
        <f t="shared" si="53"/>
        <v>-9471</v>
      </c>
      <c r="GU35" s="146"/>
      <c r="GV35" s="57"/>
    </row>
    <row r="36" spans="1:204">
      <c r="A36" s="185">
        <v>2251</v>
      </c>
      <c r="B36" s="185">
        <v>103298</v>
      </c>
      <c r="C36" s="185" t="s">
        <v>91</v>
      </c>
      <c r="D36" s="2" t="s">
        <v>92</v>
      </c>
      <c r="E36" s="191" t="s">
        <v>32</v>
      </c>
      <c r="F36" s="191" t="s">
        <v>912</v>
      </c>
      <c r="H36" s="279">
        <f>_xlfn.IFNA(VLOOKUP($A36,ISB!$A$4:$BY$454,67,FALSE),0)</f>
        <v>2093965.63</v>
      </c>
      <c r="I36" s="279">
        <f>_xlfn.IFNA(VLOOKUP($A36,ISB!$A$4:$BY$454,72,FALSE),0)</f>
        <v>-10927.519999999999</v>
      </c>
      <c r="J36" s="279">
        <f>-_xlfn.IFNA(VLOOKUP($A36,ISB!$A$4:$BY$454,76,FALSE),0)</f>
        <v>-17820.63</v>
      </c>
      <c r="K36" s="279">
        <f>_xlfn.IFNA(VLOOKUP($A36,ISB!$A$4:$BY$454,77,FALSE),0)</f>
        <v>2065217.48</v>
      </c>
      <c r="M36" s="301">
        <f t="shared" si="7"/>
        <v>174497.13583333333</v>
      </c>
      <c r="N36" s="301">
        <f>VLOOKUP($A36,EY!$A:$H,8,FALSE)+(VLOOKUP($A36,EY!$A:$BS,17,FALSE)-S36)+VLOOKUP($A36,EY!$A:$BS,41,FALSE)</f>
        <v>41047.48631578948</v>
      </c>
      <c r="O36" s="302"/>
      <c r="P36" s="302">
        <f>_xlfn.IFNA((VLOOKUP($A36,HN!$A:$K,8,FALSE)/12),0)</f>
        <v>0</v>
      </c>
      <c r="Q36" s="302">
        <f>_xlfn.IFNA((VLOOKUP($A36,HN!$A:$BS,14,FALSE)/12),0)</f>
        <v>0</v>
      </c>
      <c r="R36" s="302">
        <f>_xlfn.IFNA(VLOOKUP($A36,'Post 16'!$A:$V,21,FALSE),0)/4</f>
        <v>0</v>
      </c>
      <c r="S36" s="302">
        <f>VLOOKUP($A36,EY!A:Q,15,FALSE)*80%</f>
        <v>256.7157894736842</v>
      </c>
      <c r="T36" s="302">
        <f>_xlfn.IFNA((VLOOKUP($A36,HN!$A:$K,9,FALSE)/12),0)+_xlfn.IFNA((VLOOKUP($A36,HN!$A:$K,10,FALSE)/12),0)</f>
        <v>0</v>
      </c>
      <c r="U36" s="302">
        <f>_xlfn.IFNA((VLOOKUP($A36,HN!$A:$BS,15,FALSE)/12),0)</f>
        <v>0</v>
      </c>
      <c r="V36" s="301">
        <f t="shared" si="8"/>
        <v>-910.62666666666655</v>
      </c>
      <c r="W36" s="301">
        <f t="shared" si="9"/>
        <v>-1485.0525</v>
      </c>
      <c r="X36" s="302"/>
      <c r="Y36" s="302">
        <f>_xlfn.IFNA(VLOOKUP($A36,'Cash Advances'!$A:$S,8,FALSE),0)</f>
        <v>0</v>
      </c>
      <c r="Z36" s="301">
        <f t="shared" si="0"/>
        <v>213405.65877192983</v>
      </c>
      <c r="AA36" s="315">
        <f t="shared" si="10"/>
        <v>174497.13583333333</v>
      </c>
      <c r="AB36" s="315"/>
      <c r="AC36" s="316"/>
      <c r="AD36" s="316">
        <f>_xlfn.IFNA((VLOOKUP($A36,HN!$A:$K,8,FALSE)/12),0)</f>
        <v>0</v>
      </c>
      <c r="AE36" s="316">
        <f>_xlfn.IFNA((VLOOKUP($A36,HN!$A:$BS,14,FALSE)/12),0)</f>
        <v>0</v>
      </c>
      <c r="AF36" s="316">
        <f>_xlfn.IFNA(VLOOKUP($A36,'Post 16'!$A:$V,21,FALSE),0)/4</f>
        <v>0</v>
      </c>
      <c r="AG36" s="316"/>
      <c r="AH36" s="316">
        <f>_xlfn.IFNA((VLOOKUP($A36,HN!$A:$K,9,FALSE)/12),0)+_xlfn.IFNA((VLOOKUP($A36,HN!$A:$K,10,FALSE)/12),0)</f>
        <v>0</v>
      </c>
      <c r="AI36" s="316">
        <f>_xlfn.IFNA((VLOOKUP($A36,HN!$A:$BS,15,FALSE)/12),0)</f>
        <v>0</v>
      </c>
      <c r="AJ36" s="315">
        <f t="shared" si="11"/>
        <v>-910.62666666666655</v>
      </c>
      <c r="AK36" s="315">
        <f t="shared" si="12"/>
        <v>-1485.0525</v>
      </c>
      <c r="AL36" s="316"/>
      <c r="AM36" s="316">
        <f>_xlfn.IFNA(VLOOKUP($A36,'Cash Advances'!$A:$S,9,FALSE),0)</f>
        <v>0</v>
      </c>
      <c r="AN36" s="315">
        <f t="shared" si="1"/>
        <v>172101.45666666667</v>
      </c>
      <c r="AO36" s="308">
        <f t="shared" si="13"/>
        <v>174497.13583333333</v>
      </c>
      <c r="AP36" s="308"/>
      <c r="AQ36" s="309"/>
      <c r="AR36" s="309">
        <f>_xlfn.IFNA((VLOOKUP($A36,HN!$A:$K,8,FALSE)/12),0)</f>
        <v>0</v>
      </c>
      <c r="AS36" s="309">
        <f>_xlfn.IFNA((VLOOKUP($A36,HN!$A:$BS,14,FALSE)/12),0)</f>
        <v>0</v>
      </c>
      <c r="AT36" s="309">
        <f>_xlfn.IFNA(VLOOKUP($A36,'Post 16'!$A:$V,21,FALSE),0)/4</f>
        <v>0</v>
      </c>
      <c r="AU36" s="309"/>
      <c r="AV36" s="309">
        <f>_xlfn.IFNA((VLOOKUP($A36,HN!$A:$K,9,FALSE)/12),0)+_xlfn.IFNA((VLOOKUP($A36,HN!$A:$K,10,FALSE)/12),0)+_xlfn.IFNA(VLOOKUP(A36,HN!A:V,19,FALSE),0)+_xlfn.IFNA(VLOOKUP(A36,HN!A:V,20,FALSE),0)+_xlfn.IFNA(VLOOKUP(A36,HN!A:V,21,FALSE),0)</f>
        <v>0</v>
      </c>
      <c r="AW36" s="309">
        <f>_xlfn.IFNA((VLOOKUP($A36,HN!$A:$BS,15,FALSE)/12),0)</f>
        <v>0</v>
      </c>
      <c r="AX36" s="308">
        <f t="shared" si="14"/>
        <v>-910.62666666666655</v>
      </c>
      <c r="AY36" s="308">
        <f t="shared" si="15"/>
        <v>-1485.0525</v>
      </c>
      <c r="AZ36" s="309"/>
      <c r="BA36" s="309">
        <f>_xlfn.IFNA(VLOOKUP($A36,'Cash Advances'!$A:$S,10,FALSE),0)</f>
        <v>0</v>
      </c>
      <c r="BB36" s="308">
        <f t="shared" si="2"/>
        <v>172101.45666666667</v>
      </c>
      <c r="BC36" s="330">
        <f t="shared" si="16"/>
        <v>174497.13583333333</v>
      </c>
      <c r="BD36" s="330"/>
      <c r="BE36" s="331"/>
      <c r="BF36" s="331">
        <f>_xlfn.IFNA((VLOOKUP($A36,HN!$A:$K,8,FALSE)/12),0)</f>
        <v>0</v>
      </c>
      <c r="BG36" s="331">
        <f>_xlfn.IFNA((VLOOKUP($A36,HN!$A:$BS,14,FALSE)/12),0)</f>
        <v>0</v>
      </c>
      <c r="BH36" s="331">
        <f>_xlfn.IFNA(VLOOKUP($A36,'Post 16'!$A:$V,21,FALSE),0)/4</f>
        <v>0</v>
      </c>
      <c r="BI36" s="331"/>
      <c r="BJ36" s="331">
        <f>_xlfn.IFNA((VLOOKUP($A36,HN!$A:$K,9,FALSE)/12),0)+_xlfn.IFNA((VLOOKUP($A36,HN!$A:$K,10,FALSE)/12),0)</f>
        <v>0</v>
      </c>
      <c r="BK36" s="331">
        <f>_xlfn.IFNA((VLOOKUP($A36,HN!$A:$BS,15,FALSE)/12),0)</f>
        <v>0</v>
      </c>
      <c r="BL36" s="330">
        <f t="shared" si="17"/>
        <v>-910.62666666666655</v>
      </c>
      <c r="BM36" s="330">
        <f t="shared" si="18"/>
        <v>-1485.0525</v>
      </c>
      <c r="BN36" s="331"/>
      <c r="BO36" s="331">
        <f>_xlfn.IFNA(VLOOKUP(A36,'Cash Advances'!A:K,11,FALSE),0)</f>
        <v>0</v>
      </c>
      <c r="BP36" s="330">
        <f t="shared" si="3"/>
        <v>172101.45666666667</v>
      </c>
      <c r="BQ36" s="322">
        <f t="shared" si="19"/>
        <v>174497.13583333333</v>
      </c>
      <c r="BR36" s="322"/>
      <c r="BS36" s="323"/>
      <c r="BT36" s="323">
        <f>_xlfn.IFNA((VLOOKUP($A36,HN!$A:$K,8,FALSE)/12),0)</f>
        <v>0</v>
      </c>
      <c r="BU36" s="323">
        <f>_xlfn.IFNA((VLOOKUP($A36,HN!$A:$BS,14,FALSE)/12),0)</f>
        <v>0</v>
      </c>
      <c r="BV36" s="323">
        <f>(_xlfn.IFNA(VLOOKUP($A36,'Post 16'!$A:$AV,32,FALSE),0)/8)+_xlfn.IFNA(VLOOKUP($A36,'Post 16'!$A:$AR,40,FALSE),0)</f>
        <v>0</v>
      </c>
      <c r="BW36" s="323"/>
      <c r="BX36" s="323">
        <f>_xlfn.IFNA((VLOOKUP($A36,HN!$A:$K,9,FALSE)/12),0)+_xlfn.IFNA((VLOOKUP($A36,HN!$A:$K,10,FALSE)/12),0)</f>
        <v>0</v>
      </c>
      <c r="BY36" s="323">
        <f>_xlfn.IFNA((VLOOKUP($A36,HN!$A:$BS,15,FALSE)/12),0)</f>
        <v>0</v>
      </c>
      <c r="BZ36" s="322">
        <f t="shared" si="20"/>
        <v>-910.62666666666655</v>
      </c>
      <c r="CA36" s="322">
        <f t="shared" si="21"/>
        <v>-1485.0525</v>
      </c>
      <c r="CB36" s="323"/>
      <c r="CC36" s="323"/>
      <c r="CD36" s="322">
        <f t="shared" si="4"/>
        <v>172101.45666666667</v>
      </c>
      <c r="CE36" s="357">
        <f t="shared" si="22"/>
        <v>174497.13583333333</v>
      </c>
      <c r="CF36" s="357">
        <f>(VLOOKUP($A36,EY!$A:$BS,26,FALSE)-(VLOOKUP($A36,EY!A:CR,24,FALSE)*80%))+VLOOKUP($A36,EY!$A:$BS,42,FALSE)+(VLOOKUP($A36,EY!A:CC,74,FALSE)-VLOOKUP($A36,EY!A:CC,72,FALSE))</f>
        <v>49350.777894736842</v>
      </c>
      <c r="CG36" s="358"/>
      <c r="CH36" s="358">
        <f>_xlfn.IFNA((VLOOKUP($A36,HN!$A:$K,8,FALSE)/12),0)</f>
        <v>0</v>
      </c>
      <c r="CI36" s="358">
        <f>_xlfn.IFNA((VLOOKUP($A36,HN!$A:$BS,14,FALSE)/12),0)</f>
        <v>0</v>
      </c>
      <c r="CJ36" s="358">
        <f>(_xlfn.IFNA(VLOOKUP($A36,'Post 16'!$A:$AV,32,FALSE),0)/8)</f>
        <v>0</v>
      </c>
      <c r="CK36" s="358">
        <f>(VLOOKUP($A36,EY!A:CR,24,FALSE)*80%)+VLOOKUP($A36,EY!A:CC,72,FALSE)</f>
        <v>-256.7157894736842</v>
      </c>
      <c r="CL36" s="358">
        <f>_xlfn.IFNA((VLOOKUP($A36,HN!$A:$K,9,FALSE)/12),0)+_xlfn.IFNA((VLOOKUP($A36,HN!$A:$K,10,FALSE)/12),0)</f>
        <v>0</v>
      </c>
      <c r="CM36" s="358">
        <f>_xlfn.IFNA((VLOOKUP($A36,HN!$A:$BS,15,FALSE)/12),0)</f>
        <v>0</v>
      </c>
      <c r="CN36" s="357">
        <f t="shared" si="23"/>
        <v>-910.62666666666655</v>
      </c>
      <c r="CO36" s="357">
        <f t="shared" si="24"/>
        <v>-1485.0525</v>
      </c>
      <c r="CP36" s="358">
        <f>_xlfn.IFNA(VLOOKUP(A36,'LA Deductions'!A:W,23,FALSE),0)</f>
        <v>-9471</v>
      </c>
      <c r="CQ36" s="358">
        <f>_xlfn.IFNA(VLOOKUP($A36,'Cash Advances'!$A:$S,13,FALSE),0)</f>
        <v>0</v>
      </c>
      <c r="CR36" s="358">
        <f>_xlfn.IFNA(VLOOKUP(A36,'LA Deductions'!A:AZ,25,FALSE),0)/9*3</f>
        <v>0</v>
      </c>
      <c r="CS36" s="357">
        <f t="shared" si="25"/>
        <v>211724.51877192984</v>
      </c>
      <c r="CT36" s="337">
        <f t="shared" si="26"/>
        <v>174497.13583333333</v>
      </c>
      <c r="CU36" s="337"/>
      <c r="CV36" s="338">
        <f>_xlfn.IFNA(VLOOKUP(A36,'LA Deductions'!$A$6:$AN$207,34,FALSE),0)</f>
        <v>0</v>
      </c>
      <c r="CW36" s="338">
        <f>_xlfn.IFNA((VLOOKUP($A36,HN!$A:$K,8,FALSE)/12),0)</f>
        <v>0</v>
      </c>
      <c r="CX36" s="338">
        <f>_xlfn.IFNA((VLOOKUP($A36,HN!$A:$BS,14,FALSE)/12),0)</f>
        <v>0</v>
      </c>
      <c r="CY36" s="338">
        <f>_xlfn.IFNA(VLOOKUP($A36,'Post 16'!$A:$AV,32,FALSE),0)/8</f>
        <v>0</v>
      </c>
      <c r="CZ36" s="338"/>
      <c r="DA36" s="338">
        <f>_xlfn.IFNA((VLOOKUP($A36,HN!$A:$K,9,FALSE)/12),0)+_xlfn.IFNA((VLOOKUP($A36,HN!$A:$K,10,FALSE)/12),0)</f>
        <v>0</v>
      </c>
      <c r="DB36" s="338">
        <f>_xlfn.IFNA((VLOOKUP($A36,HN!$A:$BS,15,FALSE)/12),0)</f>
        <v>0</v>
      </c>
      <c r="DC36" s="337">
        <f t="shared" si="27"/>
        <v>-910.62666666666655</v>
      </c>
      <c r="DD36" s="337">
        <f t="shared" si="28"/>
        <v>-1485.0525</v>
      </c>
      <c r="DE36" s="338"/>
      <c r="DF36" s="338">
        <f>_xlfn.IFNA(VLOOKUP($A36,'Cash Advances'!$A:$S,14,FALSE),0)</f>
        <v>0</v>
      </c>
      <c r="DG36" s="338">
        <f>(_xlfn.IFNA(VLOOKUP(A36,'LA Deductions'!A:AZ,25,FALSE),0)/9)+(_xlfn.IFNA(VLOOKUP(A36,'LA Deductions'!A:AZ,26,FALSE),0))</f>
        <v>0</v>
      </c>
      <c r="DH36" s="337">
        <f t="shared" si="29"/>
        <v>172101.45666666667</v>
      </c>
      <c r="DI36" s="330">
        <f t="shared" si="30"/>
        <v>174497.13583333333</v>
      </c>
      <c r="DJ36" s="330"/>
      <c r="DK36" s="331"/>
      <c r="DL36" s="331">
        <f>_xlfn.IFNA((VLOOKUP($A36,HN!$A:$K,8,FALSE)/12),0)+_xlfn.IFNA((VLOOKUP($A36,HN!$A:$AF,32,FALSE)*8/12),0)</f>
        <v>0</v>
      </c>
      <c r="DM36" s="331">
        <f>_xlfn.IFNA((VLOOKUP($A36,HN!$A:$BS,14,FALSE)/12),0)+_xlfn.IFNA(VLOOKUP($A36,HN!$A:$BS,31,FALSE),0)</f>
        <v>0</v>
      </c>
      <c r="DN36" s="331">
        <f>_xlfn.IFNA(VLOOKUP($A36,'Post 16'!$A:$AV,32,FALSE),0)/8</f>
        <v>0</v>
      </c>
      <c r="DO36" s="331"/>
      <c r="DP36" s="331">
        <f>_xlfn.IFNA((VLOOKUP($A36,HN!$A:$K,9,FALSE)/12),0)+_xlfn.IFNA((VLOOKUP($A36,HN!$A:$K,10,FALSE)/12),0)+_xlfn.IFNA((VLOOKUP($A36,HN!$A:$BZ,33,FALSE)*8/12),0)</f>
        <v>0</v>
      </c>
      <c r="DQ36" s="331">
        <f>_xlfn.IFNA((VLOOKUP($A36,HN!$A:$BS,15,FALSE)/12),0)</f>
        <v>0</v>
      </c>
      <c r="DR36" s="330">
        <f t="shared" si="31"/>
        <v>-910.62666666666655</v>
      </c>
      <c r="DS36" s="330">
        <f t="shared" si="32"/>
        <v>-1485.0525</v>
      </c>
      <c r="DT36" s="331"/>
      <c r="DU36" s="331"/>
      <c r="DV36" s="331">
        <f>(_xlfn.IFNA(VLOOKUP(A36,'LA Deductions'!A:AZ,25,FALSE),0)/9)+_xlfn.IFNA(VLOOKUP(A36,'LA Deductions'!A:AZ,27,FALSE),0)</f>
        <v>0</v>
      </c>
      <c r="DW36" s="330">
        <f t="shared" si="33"/>
        <v>172101.45666666667</v>
      </c>
      <c r="DX36" s="344">
        <f t="shared" si="34"/>
        <v>174497.13583333333</v>
      </c>
      <c r="DY36" s="344"/>
      <c r="DZ36" s="345"/>
      <c r="EA36" s="345">
        <f>_xlfn.IFNA((VLOOKUP($A36,HN!$A:$K,8,FALSE)/12),0)+_xlfn.IFNA((VLOOKUP($A36,HN!$A:$AF,32,FALSE)*1/12),0)</f>
        <v>0</v>
      </c>
      <c r="EB36" s="345">
        <f>_xlfn.IFNA((VLOOKUP($A36,HN!$A:$BS,14,FALSE)/12),0)</f>
        <v>0</v>
      </c>
      <c r="EC36" s="345">
        <f>_xlfn.IFNA(VLOOKUP($A36,'Post 16'!$A:$AV,32,FALSE),0)/8</f>
        <v>0</v>
      </c>
      <c r="ED36" s="345"/>
      <c r="EE36" s="345">
        <f>_xlfn.IFNA((VLOOKUP($A36,HN!$A:$K,9,FALSE)/12),0)+_xlfn.IFNA((VLOOKUP($A36,HN!$A:$K,10,FALSE)/12),0)+_xlfn.IFNA((VLOOKUP($A36,HN!$A:$BZ,33,FALSE)/12),0)</f>
        <v>0</v>
      </c>
      <c r="EF36" s="345">
        <f>_xlfn.IFNA((VLOOKUP($A36,HN!$A:$BS,15,FALSE)/12),0)</f>
        <v>0</v>
      </c>
      <c r="EG36" s="344">
        <f t="shared" si="35"/>
        <v>-910.62666666666655</v>
      </c>
      <c r="EH36" s="344">
        <f t="shared" si="36"/>
        <v>-1485.0525</v>
      </c>
      <c r="EI36" s="345"/>
      <c r="EJ36" s="345">
        <f>_xlfn.IFNA(VLOOKUP(A36,'Cash Advances'!A:P,16,FALSE),0)</f>
        <v>0</v>
      </c>
      <c r="EK36" s="345">
        <f>_xlfn.IFNA(VLOOKUP(A36,'LA Deductions'!A:AZ,25,FALSE),0)/9</f>
        <v>0</v>
      </c>
      <c r="EL36" s="344">
        <f t="shared" si="37"/>
        <v>172101.45666666667</v>
      </c>
      <c r="EM36" s="308">
        <f t="shared" si="38"/>
        <v>174497.13583333333</v>
      </c>
      <c r="EN36" s="308">
        <f>((VLOOKUP($A36,EY!$A:$BS,35,FALSE)-(VLOOKUP($A36,EY!$A:$BS,33,FALSE)*80%))+VLOOKUP($A36,EY!$A:$BS,43,FALSE))+(VLOOKUP(A36,EY!A:DF,110,FALSE)-VLOOKUP(A36,EY!A:DD,108,FALSE))+(VLOOKUP(A36,EY!A:CE,83,FALSE)-VLOOKUP(A36,EY!A:CC,81,FALSE))</f>
        <v>51344.308448753465</v>
      </c>
      <c r="EO36" s="309"/>
      <c r="EP36" s="309">
        <f>_xlfn.IFNA((VLOOKUP($A36,HN!$A:$K,8,FALSE)/12),0)+_xlfn.IFNA((VLOOKUP($A36,HN!$A:$AF,32,FALSE)*1/12),0)</f>
        <v>0</v>
      </c>
      <c r="EQ36" s="309">
        <f>_xlfn.IFNA((VLOOKUP($A36,HN!$A:$BS,14,FALSE)/12),0)+_xlfn.IFNA((VLOOKUP($A36,HN!$A:$BS,34,FALSE)/3),0)</f>
        <v>0</v>
      </c>
      <c r="ER36" s="309">
        <f>_xlfn.IFNA(VLOOKUP($A36,'Post 16'!$A:$AV,32,FALSE),0)/8</f>
        <v>0</v>
      </c>
      <c r="ES36" s="309">
        <f>((VLOOKUP($A36,EY!A:EV,33,FALSE)*80%))+VLOOKUP(A36,EY!A:DD,108,FALSE)+VLOOKUP(A36,EY!A:CC,81,FALSE)</f>
        <v>74.832132963988926</v>
      </c>
      <c r="ET36" s="309">
        <f>_xlfn.IFNA((VLOOKUP($A36,HN!$A:$K,9,FALSE)/12),0)+_xlfn.IFNA((VLOOKUP($A36,HN!$A:$K,10,FALSE)/12),0)+_xlfn.IFNA((VLOOKUP($A36,HN!$A:$BZ,33,FALSE)/12),0)</f>
        <v>0</v>
      </c>
      <c r="EU36" s="309">
        <f>_xlfn.IFNA((VLOOKUP($A36,HN!$A:$BS,15,FALSE)/12),0)</f>
        <v>0</v>
      </c>
      <c r="EV36" s="308">
        <f t="shared" si="39"/>
        <v>-910.62666666666655</v>
      </c>
      <c r="EW36" s="308">
        <f t="shared" si="40"/>
        <v>-1485.0525</v>
      </c>
      <c r="EX36" s="309"/>
      <c r="EY36" s="309">
        <f>_xlfn.IFNA(VLOOKUP($A36,'Cash Advances'!$A:$S,17,FALSE),0)</f>
        <v>0</v>
      </c>
      <c r="EZ36" s="309">
        <f>_xlfn.IFNA(VLOOKUP(A36,'LA Deductions'!A:AZ,25,FALSE),0)/9</f>
        <v>0</v>
      </c>
      <c r="FA36" s="308">
        <f t="shared" si="41"/>
        <v>223520.59724838412</v>
      </c>
      <c r="FB36" s="315">
        <f t="shared" si="42"/>
        <v>174497.13583333333</v>
      </c>
      <c r="FC36" s="315"/>
      <c r="FD36" s="316"/>
      <c r="FE36" s="316">
        <f>_xlfn.IFNA((VLOOKUP($A36,HN!$A:$K,8,FALSE)/12),0)+_xlfn.IFNA((VLOOKUP($A36,HN!$A:$AF,32,FALSE)*1/12),0)</f>
        <v>0</v>
      </c>
      <c r="FF36" s="316">
        <f>_xlfn.IFNA((VLOOKUP($A36,HN!$A:$BS,14,FALSE)/12),0)+_xlfn.IFNA((VLOOKUP($A36,HN!$A:$BS,34,FALSE)/3),0)</f>
        <v>0</v>
      </c>
      <c r="FG36" s="316">
        <f>_xlfn.IFNA(VLOOKUP($A36,'Post 16'!$A:$AV,32,FALSE),0)/8</f>
        <v>0</v>
      </c>
      <c r="FH36" s="316"/>
      <c r="FI36" s="316">
        <f>_xlfn.IFNA((VLOOKUP($A36,HN!$A:$K,9,FALSE)/12),0)+_xlfn.IFNA((VLOOKUP($A36,HN!$A:$K,10,FALSE)/12),0)+_xlfn.IFNA((VLOOKUP($A36,HN!$A:$BZ,33,FALSE)/12),0)+_xlfn.IFNA((VLOOKUP($A36,HN!$A:$BZ,35,FALSE)/2),0)</f>
        <v>0</v>
      </c>
      <c r="FJ36" s="316">
        <f>_xlfn.IFNA((VLOOKUP($A36,HN!$A:$BS,15,FALSE)/12),0)+_xlfn.IFNA((VLOOKUP($A36,HN!$A:$CZ,36,FALSE)/2),0)</f>
        <v>0</v>
      </c>
      <c r="FK36" s="315">
        <f t="shared" si="43"/>
        <v>-910.62666666666655</v>
      </c>
      <c r="FL36" s="315">
        <f t="shared" si="44"/>
        <v>-1485.0525</v>
      </c>
      <c r="FM36" s="316"/>
      <c r="FN36" s="316">
        <f>_xlfn.IFNA(VLOOKUP($A36,'Cash Advances'!$A:$S,18,FALSE),0)</f>
        <v>0</v>
      </c>
      <c r="FO36" s="316">
        <f>_xlfn.IFNA(VLOOKUP(A36,'LA Deductions'!A:AZ,25,FALSE),0)/9</f>
        <v>0</v>
      </c>
      <c r="FP36" s="315">
        <f t="shared" si="45"/>
        <v>172101.45666666667</v>
      </c>
      <c r="FQ36" s="322">
        <f t="shared" si="46"/>
        <v>174497.13583333333</v>
      </c>
      <c r="FR36" s="322"/>
      <c r="FS36" s="323"/>
      <c r="FT36" s="323">
        <f>_xlfn.IFNA((VLOOKUP($A36,HN!$A:$K,8,FALSE)/12),0)+_xlfn.IFNA((VLOOKUP($A36,HN!$A:$AF,32,FALSE)*1/12),0)</f>
        <v>0</v>
      </c>
      <c r="FU36" s="323">
        <f>_xlfn.IFNA((VLOOKUP($A36,HN!$A:$BS,14,FALSE)/12),0)+_xlfn.IFNA((VLOOKUP($A36,HN!$A:$BS,34,FALSE)/3),0)</f>
        <v>0</v>
      </c>
      <c r="FV36" s="323">
        <f>_xlfn.IFNA(VLOOKUP($A36,'Post 16'!$A:$AV,32,FALSE),0)/8</f>
        <v>0</v>
      </c>
      <c r="FW36" s="323"/>
      <c r="FX36" s="323">
        <f>_xlfn.IFNA((VLOOKUP($A36,HN!$A:$K,9,FALSE)/12),0)+_xlfn.IFNA((VLOOKUP($A36,HN!$A:$K,10,FALSE)/12),0)+_xlfn.IFNA((VLOOKUP($A36,HN!$A:$BZ,33,FALSE)/12),0)+_xlfn.IFNA((VLOOKUP($A36,HN!$A:$BZ,35,FALSE)/2),0)</f>
        <v>0</v>
      </c>
      <c r="FY36" s="323">
        <f>_xlfn.IFNA((VLOOKUP($A36,HN!$A:$BS,15,FALSE)/12),0)+_xlfn.IFNA((VLOOKUP($A36,HN!$A:$CZ,36,FALSE)/2),0)</f>
        <v>0</v>
      </c>
      <c r="FZ36" s="322">
        <f t="shared" si="47"/>
        <v>-910.62666666666655</v>
      </c>
      <c r="GA36" s="322">
        <f t="shared" si="48"/>
        <v>-1485.0525</v>
      </c>
      <c r="GB36" s="323"/>
      <c r="GC36" s="323"/>
      <c r="GD36" s="323">
        <f>_xlfn.IFNA(VLOOKUP(A36,'LA Deductions'!A:AZ,25,FALSE),0)/9</f>
        <v>0</v>
      </c>
      <c r="GE36" s="322">
        <f t="shared" si="49"/>
        <v>172101.45666666667</v>
      </c>
      <c r="GG36" s="146">
        <f t="shared" si="52"/>
        <v>2235708.2026592796</v>
      </c>
      <c r="GH36" s="146">
        <f t="shared" si="52"/>
        <v>0</v>
      </c>
      <c r="GI36" s="146">
        <f t="shared" si="52"/>
        <v>74.832132963988926</v>
      </c>
      <c r="GJ36" s="146">
        <f t="shared" si="52"/>
        <v>-10927.520000000002</v>
      </c>
      <c r="GK36" s="146">
        <f t="shared" si="52"/>
        <v>-17820.63</v>
      </c>
      <c r="GL36" s="146">
        <f t="shared" si="52"/>
        <v>-9471</v>
      </c>
      <c r="GN36" s="146">
        <f t="shared" si="53"/>
        <v>2235708.2026592796</v>
      </c>
      <c r="GO36" s="146">
        <f t="shared" si="53"/>
        <v>0</v>
      </c>
      <c r="GP36" s="146">
        <f t="shared" si="53"/>
        <v>74.832132963988926</v>
      </c>
      <c r="GQ36" s="146">
        <f t="shared" si="53"/>
        <v>-10927.520000000002</v>
      </c>
      <c r="GR36" s="146">
        <f t="shared" si="53"/>
        <v>-17820.63</v>
      </c>
      <c r="GS36" s="146">
        <f t="shared" si="53"/>
        <v>-9471</v>
      </c>
      <c r="GU36" s="146"/>
      <c r="GV36" s="57"/>
    </row>
    <row r="37" spans="1:204">
      <c r="A37" s="185">
        <v>3002</v>
      </c>
      <c r="B37" s="185">
        <v>103397</v>
      </c>
      <c r="C37" s="185" t="s">
        <v>93</v>
      </c>
      <c r="D37" s="2" t="s">
        <v>94</v>
      </c>
      <c r="E37" s="191" t="s">
        <v>32</v>
      </c>
      <c r="F37" s="191" t="s">
        <v>912</v>
      </c>
      <c r="H37" s="279">
        <f>_xlfn.IFNA(VLOOKUP($A37,ISB!$A$4:$BY$454,67,FALSE),0)</f>
        <v>1331501.6667423644</v>
      </c>
      <c r="I37" s="279">
        <f>_xlfn.IFNA(VLOOKUP($A37,ISB!$A$4:$BY$454,72,FALSE),0)</f>
        <v>-5189.92</v>
      </c>
      <c r="J37" s="279">
        <f>-_xlfn.IFNA(VLOOKUP($A37,ISB!$A$4:$BY$454,76,FALSE),0)</f>
        <v>-20015.919999999998</v>
      </c>
      <c r="K37" s="279">
        <f>_xlfn.IFNA(VLOOKUP($A37,ISB!$A$4:$BY$454,77,FALSE),0)</f>
        <v>1306295.8267423646</v>
      </c>
      <c r="M37" s="301">
        <f t="shared" si="7"/>
        <v>110958.47222853037</v>
      </c>
      <c r="N37" s="301">
        <f>VLOOKUP($A37,EY!$A:$H,8,FALSE)+(VLOOKUP($A37,EY!$A:$BS,17,FALSE)-S37)+VLOOKUP($A37,EY!$A:$BS,41,FALSE)</f>
        <v>25790.221052631579</v>
      </c>
      <c r="O37" s="302"/>
      <c r="P37" s="302">
        <f>_xlfn.IFNA((VLOOKUP($A37,HN!$A:$K,8,FALSE)/12),0)</f>
        <v>0</v>
      </c>
      <c r="Q37" s="302">
        <f>_xlfn.IFNA((VLOOKUP($A37,HN!$A:$BS,14,FALSE)/12),0)</f>
        <v>0</v>
      </c>
      <c r="R37" s="302">
        <f>_xlfn.IFNA(VLOOKUP($A37,'Post 16'!$A:$V,21,FALSE),0)/4</f>
        <v>0</v>
      </c>
      <c r="S37" s="302">
        <f>VLOOKUP($A37,EY!A:Q,15,FALSE)*80%</f>
        <v>0</v>
      </c>
      <c r="T37" s="302">
        <f>_xlfn.IFNA((VLOOKUP($A37,HN!$A:$K,9,FALSE)/12),0)+_xlfn.IFNA((VLOOKUP($A37,HN!$A:$K,10,FALSE)/12),0)</f>
        <v>0</v>
      </c>
      <c r="U37" s="302">
        <f>_xlfn.IFNA((VLOOKUP($A37,HN!$A:$BS,15,FALSE)/12),0)</f>
        <v>0</v>
      </c>
      <c r="V37" s="301">
        <f t="shared" si="8"/>
        <v>-432.49333333333334</v>
      </c>
      <c r="W37" s="301">
        <f t="shared" si="9"/>
        <v>-1667.9933333333331</v>
      </c>
      <c r="X37" s="302"/>
      <c r="Y37" s="302">
        <f>_xlfn.IFNA(VLOOKUP($A37,'Cash Advances'!$A:$S,8,FALSE),0)</f>
        <v>0</v>
      </c>
      <c r="Z37" s="301">
        <f t="shared" si="0"/>
        <v>134648.20661449526</v>
      </c>
      <c r="AA37" s="315">
        <f t="shared" si="10"/>
        <v>110958.47222853037</v>
      </c>
      <c r="AB37" s="315"/>
      <c r="AC37" s="316"/>
      <c r="AD37" s="316">
        <f>_xlfn.IFNA((VLOOKUP($A37,HN!$A:$K,8,FALSE)/12),0)</f>
        <v>0</v>
      </c>
      <c r="AE37" s="316">
        <f>_xlfn.IFNA((VLOOKUP($A37,HN!$A:$BS,14,FALSE)/12),0)</f>
        <v>0</v>
      </c>
      <c r="AF37" s="316">
        <f>_xlfn.IFNA(VLOOKUP($A37,'Post 16'!$A:$V,21,FALSE),0)/4</f>
        <v>0</v>
      </c>
      <c r="AG37" s="316"/>
      <c r="AH37" s="316">
        <f>_xlfn.IFNA((VLOOKUP($A37,HN!$A:$K,9,FALSE)/12),0)+_xlfn.IFNA((VLOOKUP($A37,HN!$A:$K,10,FALSE)/12),0)</f>
        <v>0</v>
      </c>
      <c r="AI37" s="316">
        <f>_xlfn.IFNA((VLOOKUP($A37,HN!$A:$BS,15,FALSE)/12),0)</f>
        <v>0</v>
      </c>
      <c r="AJ37" s="315">
        <f t="shared" si="11"/>
        <v>-432.49333333333334</v>
      </c>
      <c r="AK37" s="315">
        <f t="shared" si="12"/>
        <v>-1667.9933333333331</v>
      </c>
      <c r="AL37" s="316"/>
      <c r="AM37" s="316">
        <f>_xlfn.IFNA(VLOOKUP($A37,'Cash Advances'!$A:$S,9,FALSE),0)</f>
        <v>0</v>
      </c>
      <c r="AN37" s="315">
        <f t="shared" si="1"/>
        <v>108857.98556186371</v>
      </c>
      <c r="AO37" s="308">
        <f t="shared" si="13"/>
        <v>110958.47222853037</v>
      </c>
      <c r="AP37" s="308"/>
      <c r="AQ37" s="309"/>
      <c r="AR37" s="309">
        <f>_xlfn.IFNA((VLOOKUP($A37,HN!$A:$K,8,FALSE)/12),0)</f>
        <v>0</v>
      </c>
      <c r="AS37" s="309">
        <f>_xlfn.IFNA((VLOOKUP($A37,HN!$A:$BS,14,FALSE)/12),0)</f>
        <v>0</v>
      </c>
      <c r="AT37" s="309">
        <f>_xlfn.IFNA(VLOOKUP($A37,'Post 16'!$A:$V,21,FALSE),0)/4</f>
        <v>0</v>
      </c>
      <c r="AU37" s="309"/>
      <c r="AV37" s="309">
        <f>_xlfn.IFNA((VLOOKUP($A37,HN!$A:$K,9,FALSE)/12),0)+_xlfn.IFNA((VLOOKUP($A37,HN!$A:$K,10,FALSE)/12),0)+_xlfn.IFNA(VLOOKUP(A37,HN!A:V,19,FALSE),0)+_xlfn.IFNA(VLOOKUP(A37,HN!A:V,20,FALSE),0)+_xlfn.IFNA(VLOOKUP(A37,HN!A:V,21,FALSE),0)</f>
        <v>0</v>
      </c>
      <c r="AW37" s="309">
        <f>_xlfn.IFNA((VLOOKUP($A37,HN!$A:$BS,15,FALSE)/12),0)</f>
        <v>0</v>
      </c>
      <c r="AX37" s="308">
        <f t="shared" si="14"/>
        <v>-432.49333333333334</v>
      </c>
      <c r="AY37" s="308">
        <f t="shared" si="15"/>
        <v>-1667.9933333333331</v>
      </c>
      <c r="AZ37" s="309"/>
      <c r="BA37" s="309">
        <f>_xlfn.IFNA(VLOOKUP($A37,'Cash Advances'!$A:$S,10,FALSE),0)</f>
        <v>0</v>
      </c>
      <c r="BB37" s="308">
        <f t="shared" si="2"/>
        <v>108857.98556186371</v>
      </c>
      <c r="BC37" s="330">
        <f t="shared" si="16"/>
        <v>110958.47222853037</v>
      </c>
      <c r="BD37" s="330"/>
      <c r="BE37" s="331"/>
      <c r="BF37" s="331">
        <f>_xlfn.IFNA((VLOOKUP($A37,HN!$A:$K,8,FALSE)/12),0)</f>
        <v>0</v>
      </c>
      <c r="BG37" s="331">
        <f>_xlfn.IFNA((VLOOKUP($A37,HN!$A:$BS,14,FALSE)/12),0)</f>
        <v>0</v>
      </c>
      <c r="BH37" s="331">
        <f>_xlfn.IFNA(VLOOKUP($A37,'Post 16'!$A:$V,21,FALSE),0)/4</f>
        <v>0</v>
      </c>
      <c r="BI37" s="331"/>
      <c r="BJ37" s="331">
        <f>_xlfn.IFNA((VLOOKUP($A37,HN!$A:$K,9,FALSE)/12),0)+_xlfn.IFNA((VLOOKUP($A37,HN!$A:$K,10,FALSE)/12),0)</f>
        <v>0</v>
      </c>
      <c r="BK37" s="331">
        <f>_xlfn.IFNA((VLOOKUP($A37,HN!$A:$BS,15,FALSE)/12),0)</f>
        <v>0</v>
      </c>
      <c r="BL37" s="330">
        <f t="shared" si="17"/>
        <v>-432.49333333333334</v>
      </c>
      <c r="BM37" s="330">
        <f t="shared" si="18"/>
        <v>-1667.9933333333331</v>
      </c>
      <c r="BN37" s="331"/>
      <c r="BO37" s="331">
        <f>_xlfn.IFNA(VLOOKUP(A37,'Cash Advances'!A:K,11,FALSE),0)</f>
        <v>0</v>
      </c>
      <c r="BP37" s="330">
        <f t="shared" si="3"/>
        <v>108857.98556186371</v>
      </c>
      <c r="BQ37" s="322">
        <f t="shared" si="19"/>
        <v>110958.47222853037</v>
      </c>
      <c r="BR37" s="322"/>
      <c r="BS37" s="323"/>
      <c r="BT37" s="323">
        <f>_xlfn.IFNA((VLOOKUP($A37,HN!$A:$K,8,FALSE)/12),0)</f>
        <v>0</v>
      </c>
      <c r="BU37" s="323">
        <f>_xlfn.IFNA((VLOOKUP($A37,HN!$A:$BS,14,FALSE)/12),0)</f>
        <v>0</v>
      </c>
      <c r="BV37" s="323">
        <f>(_xlfn.IFNA(VLOOKUP($A37,'Post 16'!$A:$AV,32,FALSE),0)/8)+_xlfn.IFNA(VLOOKUP($A37,'Post 16'!$A:$AR,40,FALSE),0)</f>
        <v>0</v>
      </c>
      <c r="BW37" s="323"/>
      <c r="BX37" s="323">
        <f>_xlfn.IFNA((VLOOKUP($A37,HN!$A:$K,9,FALSE)/12),0)+_xlfn.IFNA((VLOOKUP($A37,HN!$A:$K,10,FALSE)/12),0)</f>
        <v>0</v>
      </c>
      <c r="BY37" s="323">
        <f>_xlfn.IFNA((VLOOKUP($A37,HN!$A:$BS,15,FALSE)/12),0)</f>
        <v>0</v>
      </c>
      <c r="BZ37" s="322">
        <f t="shared" si="20"/>
        <v>-432.49333333333334</v>
      </c>
      <c r="CA37" s="322">
        <f t="shared" si="21"/>
        <v>-1667.9933333333331</v>
      </c>
      <c r="CB37" s="323"/>
      <c r="CC37" s="323"/>
      <c r="CD37" s="322">
        <f t="shared" si="4"/>
        <v>108857.98556186371</v>
      </c>
      <c r="CE37" s="357">
        <f t="shared" si="22"/>
        <v>110958.47222853037</v>
      </c>
      <c r="CF37" s="357">
        <f>(VLOOKUP($A37,EY!$A:$BS,26,FALSE)-(VLOOKUP($A37,EY!A:CR,24,FALSE)*80%))+VLOOKUP($A37,EY!$A:$BS,42,FALSE)+(VLOOKUP($A37,EY!A:CC,74,FALSE)-VLOOKUP($A37,EY!A:CC,72,FALSE))</f>
        <v>7399.935263157894</v>
      </c>
      <c r="CG37" s="358"/>
      <c r="CH37" s="358">
        <f>_xlfn.IFNA((VLOOKUP($A37,HN!$A:$K,8,FALSE)/12),0)</f>
        <v>0</v>
      </c>
      <c r="CI37" s="358">
        <f>_xlfn.IFNA((VLOOKUP($A37,HN!$A:$BS,14,FALSE)/12),0)</f>
        <v>0</v>
      </c>
      <c r="CJ37" s="358">
        <f>(_xlfn.IFNA(VLOOKUP($A37,'Post 16'!$A:$AV,32,FALSE),0)/8)</f>
        <v>0</v>
      </c>
      <c r="CK37" s="358">
        <f>(VLOOKUP($A37,EY!A:CR,24,FALSE)*80%)+VLOOKUP($A37,EY!A:CC,72,FALSE)</f>
        <v>0</v>
      </c>
      <c r="CL37" s="358">
        <f>_xlfn.IFNA((VLOOKUP($A37,HN!$A:$K,9,FALSE)/12),0)+_xlfn.IFNA((VLOOKUP($A37,HN!$A:$K,10,FALSE)/12),0)</f>
        <v>0</v>
      </c>
      <c r="CM37" s="358">
        <f>_xlfn.IFNA((VLOOKUP($A37,HN!$A:$BS,15,FALSE)/12),0)</f>
        <v>0</v>
      </c>
      <c r="CN37" s="357">
        <f t="shared" si="23"/>
        <v>-432.49333333333334</v>
      </c>
      <c r="CO37" s="357">
        <f t="shared" si="24"/>
        <v>-1667.9933333333331</v>
      </c>
      <c r="CP37" s="358">
        <f>_xlfn.IFNA(VLOOKUP(A37,'LA Deductions'!A:W,23,FALSE),0)</f>
        <v>-5139.75</v>
      </c>
      <c r="CQ37" s="358">
        <f>_xlfn.IFNA(VLOOKUP($A37,'Cash Advances'!$A:$S,13,FALSE),0)</f>
        <v>0</v>
      </c>
      <c r="CR37" s="358">
        <f>_xlfn.IFNA(VLOOKUP(A37,'LA Deductions'!A:AZ,25,FALSE),0)/9*3</f>
        <v>0</v>
      </c>
      <c r="CS37" s="357">
        <f t="shared" si="25"/>
        <v>111118.1708250216</v>
      </c>
      <c r="CT37" s="337">
        <f t="shared" si="26"/>
        <v>110958.47222853037</v>
      </c>
      <c r="CU37" s="337"/>
      <c r="CV37" s="338">
        <f>_xlfn.IFNA(VLOOKUP(A37,'LA Deductions'!$A$6:$AN$207,34,FALSE),0)</f>
        <v>0</v>
      </c>
      <c r="CW37" s="338">
        <f>_xlfn.IFNA((VLOOKUP($A37,HN!$A:$K,8,FALSE)/12),0)</f>
        <v>0</v>
      </c>
      <c r="CX37" s="338">
        <f>_xlfn.IFNA((VLOOKUP($A37,HN!$A:$BS,14,FALSE)/12),0)</f>
        <v>0</v>
      </c>
      <c r="CY37" s="338">
        <f>_xlfn.IFNA(VLOOKUP($A37,'Post 16'!$A:$AV,32,FALSE),0)/8</f>
        <v>0</v>
      </c>
      <c r="CZ37" s="338"/>
      <c r="DA37" s="338">
        <f>_xlfn.IFNA((VLOOKUP($A37,HN!$A:$K,9,FALSE)/12),0)+_xlfn.IFNA((VLOOKUP($A37,HN!$A:$K,10,FALSE)/12),0)</f>
        <v>0</v>
      </c>
      <c r="DB37" s="338">
        <f>_xlfn.IFNA((VLOOKUP($A37,HN!$A:$BS,15,FALSE)/12),0)</f>
        <v>0</v>
      </c>
      <c r="DC37" s="337">
        <f t="shared" si="27"/>
        <v>-432.49333333333334</v>
      </c>
      <c r="DD37" s="337">
        <f t="shared" si="28"/>
        <v>-1667.9933333333331</v>
      </c>
      <c r="DE37" s="338"/>
      <c r="DF37" s="338">
        <f>_xlfn.IFNA(VLOOKUP($A37,'Cash Advances'!$A:$S,14,FALSE),0)</f>
        <v>0</v>
      </c>
      <c r="DG37" s="338">
        <f>(_xlfn.IFNA(VLOOKUP(A37,'LA Deductions'!A:AZ,25,FALSE),0)/9)+(_xlfn.IFNA(VLOOKUP(A37,'LA Deductions'!A:AZ,26,FALSE),0))</f>
        <v>0</v>
      </c>
      <c r="DH37" s="337">
        <f t="shared" si="29"/>
        <v>108857.98556186371</v>
      </c>
      <c r="DI37" s="330">
        <f t="shared" si="30"/>
        <v>110958.47222853037</v>
      </c>
      <c r="DJ37" s="330"/>
      <c r="DK37" s="331"/>
      <c r="DL37" s="331">
        <f>_xlfn.IFNA((VLOOKUP($A37,HN!$A:$K,8,FALSE)/12),0)+_xlfn.IFNA((VLOOKUP($A37,HN!$A:$AF,32,FALSE)*8/12),0)</f>
        <v>0</v>
      </c>
      <c r="DM37" s="331">
        <f>_xlfn.IFNA((VLOOKUP($A37,HN!$A:$BS,14,FALSE)/12),0)+_xlfn.IFNA(VLOOKUP($A37,HN!$A:$BS,31,FALSE),0)</f>
        <v>0</v>
      </c>
      <c r="DN37" s="331">
        <f>_xlfn.IFNA(VLOOKUP($A37,'Post 16'!$A:$AV,32,FALSE),0)/8</f>
        <v>0</v>
      </c>
      <c r="DO37" s="331"/>
      <c r="DP37" s="331">
        <f>_xlfn.IFNA((VLOOKUP($A37,HN!$A:$K,9,FALSE)/12),0)+_xlfn.IFNA((VLOOKUP($A37,HN!$A:$K,10,FALSE)/12),0)+_xlfn.IFNA((VLOOKUP($A37,HN!$A:$BZ,33,FALSE)*8/12),0)</f>
        <v>0</v>
      </c>
      <c r="DQ37" s="331">
        <f>_xlfn.IFNA((VLOOKUP($A37,HN!$A:$BS,15,FALSE)/12),0)</f>
        <v>0</v>
      </c>
      <c r="DR37" s="330">
        <f t="shared" si="31"/>
        <v>-432.49333333333334</v>
      </c>
      <c r="DS37" s="330">
        <f t="shared" si="32"/>
        <v>-1667.9933333333331</v>
      </c>
      <c r="DT37" s="331"/>
      <c r="DU37" s="331"/>
      <c r="DV37" s="331">
        <f>(_xlfn.IFNA(VLOOKUP(A37,'LA Deductions'!A:AZ,25,FALSE),0)/9)+_xlfn.IFNA(VLOOKUP(A37,'LA Deductions'!A:AZ,27,FALSE),0)</f>
        <v>0</v>
      </c>
      <c r="DW37" s="330">
        <f t="shared" si="33"/>
        <v>108857.98556186371</v>
      </c>
      <c r="DX37" s="344">
        <f t="shared" si="34"/>
        <v>110958.47222853037</v>
      </c>
      <c r="DY37" s="344"/>
      <c r="DZ37" s="345"/>
      <c r="EA37" s="345">
        <f>_xlfn.IFNA((VLOOKUP($A37,HN!$A:$K,8,FALSE)/12),0)+_xlfn.IFNA((VLOOKUP($A37,HN!$A:$AF,32,FALSE)*1/12),0)</f>
        <v>0</v>
      </c>
      <c r="EB37" s="345">
        <f>_xlfn.IFNA((VLOOKUP($A37,HN!$A:$BS,14,FALSE)/12),0)</f>
        <v>0</v>
      </c>
      <c r="EC37" s="345">
        <f>_xlfn.IFNA(VLOOKUP($A37,'Post 16'!$A:$AV,32,FALSE),0)/8</f>
        <v>0</v>
      </c>
      <c r="ED37" s="345"/>
      <c r="EE37" s="345">
        <f>_xlfn.IFNA((VLOOKUP($A37,HN!$A:$K,9,FALSE)/12),0)+_xlfn.IFNA((VLOOKUP($A37,HN!$A:$K,10,FALSE)/12),0)+_xlfn.IFNA((VLOOKUP($A37,HN!$A:$BZ,33,FALSE)/12),0)</f>
        <v>0</v>
      </c>
      <c r="EF37" s="345">
        <f>_xlfn.IFNA((VLOOKUP($A37,HN!$A:$BS,15,FALSE)/12),0)</f>
        <v>0</v>
      </c>
      <c r="EG37" s="344">
        <f t="shared" si="35"/>
        <v>-432.49333333333334</v>
      </c>
      <c r="EH37" s="344">
        <f t="shared" si="36"/>
        <v>-1667.9933333333331</v>
      </c>
      <c r="EI37" s="345"/>
      <c r="EJ37" s="345">
        <f>_xlfn.IFNA(VLOOKUP(A37,'Cash Advances'!A:P,16,FALSE),0)</f>
        <v>0</v>
      </c>
      <c r="EK37" s="345">
        <f>_xlfn.IFNA(VLOOKUP(A37,'LA Deductions'!A:AZ,25,FALSE),0)/9</f>
        <v>0</v>
      </c>
      <c r="EL37" s="344">
        <f t="shared" si="37"/>
        <v>108857.98556186371</v>
      </c>
      <c r="EM37" s="308">
        <f t="shared" si="38"/>
        <v>110958.47222853037</v>
      </c>
      <c r="EN37" s="308">
        <f>((VLOOKUP($A37,EY!$A:$BS,35,FALSE)-(VLOOKUP($A37,EY!$A:$BS,33,FALSE)*80%))+VLOOKUP($A37,EY!$A:$BS,43,FALSE))+(VLOOKUP(A37,EY!A:DF,110,FALSE)-VLOOKUP(A37,EY!A:DD,108,FALSE))+(VLOOKUP(A37,EY!A:CE,83,FALSE)-VLOOKUP(A37,EY!A:CC,81,FALSE))</f>
        <v>17570.60100277008</v>
      </c>
      <c r="EO37" s="309"/>
      <c r="EP37" s="309">
        <f>_xlfn.IFNA((VLOOKUP($A37,HN!$A:$K,8,FALSE)/12),0)+_xlfn.IFNA((VLOOKUP($A37,HN!$A:$AF,32,FALSE)*1/12),0)</f>
        <v>0</v>
      </c>
      <c r="EQ37" s="309">
        <f>_xlfn.IFNA((VLOOKUP($A37,HN!$A:$BS,14,FALSE)/12),0)+_xlfn.IFNA((VLOOKUP($A37,HN!$A:$BS,34,FALSE)/3),0)</f>
        <v>0</v>
      </c>
      <c r="ER37" s="309">
        <f>_xlfn.IFNA(VLOOKUP($A37,'Post 16'!$A:$AV,32,FALSE),0)/8</f>
        <v>0</v>
      </c>
      <c r="ES37" s="309">
        <f>((VLOOKUP($A37,EY!A:EV,33,FALSE)*80%))+VLOOKUP(A37,EY!A:DD,108,FALSE)+VLOOKUP(A37,EY!A:CC,81,FALSE)</f>
        <v>0</v>
      </c>
      <c r="ET37" s="309">
        <f>_xlfn.IFNA((VLOOKUP($A37,HN!$A:$K,9,FALSE)/12),0)+_xlfn.IFNA((VLOOKUP($A37,HN!$A:$K,10,FALSE)/12),0)+_xlfn.IFNA((VLOOKUP($A37,HN!$A:$BZ,33,FALSE)/12),0)</f>
        <v>0</v>
      </c>
      <c r="EU37" s="309">
        <f>_xlfn.IFNA((VLOOKUP($A37,HN!$A:$BS,15,FALSE)/12),0)</f>
        <v>0</v>
      </c>
      <c r="EV37" s="308">
        <f t="shared" si="39"/>
        <v>-432.49333333333334</v>
      </c>
      <c r="EW37" s="308">
        <f t="shared" si="40"/>
        <v>-1667.9933333333331</v>
      </c>
      <c r="EX37" s="309"/>
      <c r="EY37" s="309">
        <f>_xlfn.IFNA(VLOOKUP($A37,'Cash Advances'!$A:$S,17,FALSE),0)</f>
        <v>0</v>
      </c>
      <c r="EZ37" s="309">
        <f>_xlfn.IFNA(VLOOKUP(A37,'LA Deductions'!A:AZ,25,FALSE),0)/9</f>
        <v>0</v>
      </c>
      <c r="FA37" s="308">
        <f t="shared" si="41"/>
        <v>126428.58656463379</v>
      </c>
      <c r="FB37" s="315">
        <f t="shared" si="42"/>
        <v>110958.47222853037</v>
      </c>
      <c r="FC37" s="315"/>
      <c r="FD37" s="316"/>
      <c r="FE37" s="316">
        <f>_xlfn.IFNA((VLOOKUP($A37,HN!$A:$K,8,FALSE)/12),0)+_xlfn.IFNA((VLOOKUP($A37,HN!$A:$AF,32,FALSE)*1/12),0)</f>
        <v>0</v>
      </c>
      <c r="FF37" s="316">
        <f>_xlfn.IFNA((VLOOKUP($A37,HN!$A:$BS,14,FALSE)/12),0)+_xlfn.IFNA((VLOOKUP($A37,HN!$A:$BS,34,FALSE)/3),0)</f>
        <v>0</v>
      </c>
      <c r="FG37" s="316">
        <f>_xlfn.IFNA(VLOOKUP($A37,'Post 16'!$A:$AV,32,FALSE),0)/8</f>
        <v>0</v>
      </c>
      <c r="FH37" s="316"/>
      <c r="FI37" s="316">
        <f>_xlfn.IFNA((VLOOKUP($A37,HN!$A:$K,9,FALSE)/12),0)+_xlfn.IFNA((VLOOKUP($A37,HN!$A:$K,10,FALSE)/12),0)+_xlfn.IFNA((VLOOKUP($A37,HN!$A:$BZ,33,FALSE)/12),0)+_xlfn.IFNA((VLOOKUP($A37,HN!$A:$BZ,35,FALSE)/2),0)</f>
        <v>0</v>
      </c>
      <c r="FJ37" s="316">
        <f>_xlfn.IFNA((VLOOKUP($A37,HN!$A:$BS,15,FALSE)/12),0)+_xlfn.IFNA((VLOOKUP($A37,HN!$A:$CZ,36,FALSE)/2),0)</f>
        <v>0</v>
      </c>
      <c r="FK37" s="315">
        <f t="shared" si="43"/>
        <v>-432.49333333333334</v>
      </c>
      <c r="FL37" s="315">
        <f t="shared" si="44"/>
        <v>-1667.9933333333331</v>
      </c>
      <c r="FM37" s="316"/>
      <c r="FN37" s="316">
        <f>_xlfn.IFNA(VLOOKUP($A37,'Cash Advances'!$A:$S,18,FALSE),0)</f>
        <v>0</v>
      </c>
      <c r="FO37" s="316">
        <f>_xlfn.IFNA(VLOOKUP(A37,'LA Deductions'!A:AZ,25,FALSE),0)/9</f>
        <v>0</v>
      </c>
      <c r="FP37" s="315">
        <f t="shared" si="45"/>
        <v>108857.98556186371</v>
      </c>
      <c r="FQ37" s="322">
        <f t="shared" si="46"/>
        <v>110958.47222853037</v>
      </c>
      <c r="FR37" s="322"/>
      <c r="FS37" s="323"/>
      <c r="FT37" s="323">
        <f>_xlfn.IFNA((VLOOKUP($A37,HN!$A:$K,8,FALSE)/12),0)+_xlfn.IFNA((VLOOKUP($A37,HN!$A:$AF,32,FALSE)*1/12),0)</f>
        <v>0</v>
      </c>
      <c r="FU37" s="323">
        <f>_xlfn.IFNA((VLOOKUP($A37,HN!$A:$BS,14,FALSE)/12),0)+_xlfn.IFNA((VLOOKUP($A37,HN!$A:$BS,34,FALSE)/3),0)</f>
        <v>0</v>
      </c>
      <c r="FV37" s="323">
        <f>_xlfn.IFNA(VLOOKUP($A37,'Post 16'!$A:$AV,32,FALSE),0)/8</f>
        <v>0</v>
      </c>
      <c r="FW37" s="323"/>
      <c r="FX37" s="323">
        <f>_xlfn.IFNA((VLOOKUP($A37,HN!$A:$K,9,FALSE)/12),0)+_xlfn.IFNA((VLOOKUP($A37,HN!$A:$K,10,FALSE)/12),0)+_xlfn.IFNA((VLOOKUP($A37,HN!$A:$BZ,33,FALSE)/12),0)+_xlfn.IFNA((VLOOKUP($A37,HN!$A:$BZ,35,FALSE)/2),0)</f>
        <v>0</v>
      </c>
      <c r="FY37" s="323">
        <f>_xlfn.IFNA((VLOOKUP($A37,HN!$A:$BS,15,FALSE)/12),0)+_xlfn.IFNA((VLOOKUP($A37,HN!$A:$CZ,36,FALSE)/2),0)</f>
        <v>0</v>
      </c>
      <c r="FZ37" s="322">
        <f t="shared" si="47"/>
        <v>-432.49333333333334</v>
      </c>
      <c r="GA37" s="322">
        <f t="shared" si="48"/>
        <v>-1667.9933333333331</v>
      </c>
      <c r="GB37" s="323"/>
      <c r="GC37" s="323"/>
      <c r="GD37" s="323">
        <f>_xlfn.IFNA(VLOOKUP(A37,'LA Deductions'!A:AZ,25,FALSE),0)/9</f>
        <v>0</v>
      </c>
      <c r="GE37" s="322">
        <f t="shared" si="49"/>
        <v>108857.98556186371</v>
      </c>
      <c r="GG37" s="146">
        <f t="shared" si="52"/>
        <v>1382262.4240609237</v>
      </c>
      <c r="GH37" s="146">
        <f t="shared" si="52"/>
        <v>0</v>
      </c>
      <c r="GI37" s="146">
        <f t="shared" si="52"/>
        <v>0</v>
      </c>
      <c r="GJ37" s="146">
        <f t="shared" si="52"/>
        <v>-5189.92</v>
      </c>
      <c r="GK37" s="146">
        <f t="shared" si="52"/>
        <v>-20015.919999999998</v>
      </c>
      <c r="GL37" s="146">
        <f t="shared" si="52"/>
        <v>-5139.75</v>
      </c>
      <c r="GN37" s="146">
        <f t="shared" si="53"/>
        <v>1382262.4240609237</v>
      </c>
      <c r="GO37" s="146">
        <f t="shared" si="53"/>
        <v>0</v>
      </c>
      <c r="GP37" s="146">
        <f t="shared" si="53"/>
        <v>0</v>
      </c>
      <c r="GQ37" s="146">
        <f t="shared" si="53"/>
        <v>-5189.92</v>
      </c>
      <c r="GR37" s="146">
        <f t="shared" si="53"/>
        <v>-20015.919999999998</v>
      </c>
      <c r="GS37" s="146">
        <f t="shared" si="53"/>
        <v>-5139.75</v>
      </c>
      <c r="GU37" s="146"/>
      <c r="GV37" s="57"/>
    </row>
    <row r="38" spans="1:204">
      <c r="A38" s="185">
        <v>3319</v>
      </c>
      <c r="B38" s="185">
        <v>103423</v>
      </c>
      <c r="C38" s="185" t="s">
        <v>95</v>
      </c>
      <c r="D38" s="2" t="s">
        <v>96</v>
      </c>
      <c r="E38" s="191" t="s">
        <v>32</v>
      </c>
      <c r="F38" s="191" t="s">
        <v>912</v>
      </c>
      <c r="H38" s="279">
        <f>_xlfn.IFNA(VLOOKUP($A38,ISB!$A$4:$BY$454,67,FALSE),0)</f>
        <v>2107043.2137632575</v>
      </c>
      <c r="I38" s="279">
        <f>_xlfn.IFNA(VLOOKUP($A38,ISB!$A$4:$BY$454,72,FALSE),0)</f>
        <v>-9440.9599999999991</v>
      </c>
      <c r="J38" s="279">
        <f>-_xlfn.IFNA(VLOOKUP($A38,ISB!$A$4:$BY$454,76,FALSE),0)</f>
        <v>-5273.47</v>
      </c>
      <c r="K38" s="279">
        <f>_xlfn.IFNA(VLOOKUP($A38,ISB!$A$4:$BY$454,77,FALSE),0)</f>
        <v>2092328.7837632576</v>
      </c>
      <c r="M38" s="301">
        <f t="shared" si="7"/>
        <v>175586.93448027145</v>
      </c>
      <c r="N38" s="301">
        <f>VLOOKUP($A38,EY!$A:$H,8,FALSE)+(VLOOKUP($A38,EY!$A:$BS,17,FALSE)-S38)+VLOOKUP($A38,EY!$A:$BS,41,FALSE)</f>
        <v>44396.696842105266</v>
      </c>
      <c r="O38" s="302"/>
      <c r="P38" s="302">
        <f>_xlfn.IFNA((VLOOKUP($A38,HN!$A:$K,8,FALSE)/12),0)</f>
        <v>0</v>
      </c>
      <c r="Q38" s="302">
        <f>_xlfn.IFNA((VLOOKUP($A38,HN!$A:$BS,14,FALSE)/12),0)</f>
        <v>0</v>
      </c>
      <c r="R38" s="302">
        <f>_xlfn.IFNA(VLOOKUP($A38,'Post 16'!$A:$V,21,FALSE),0)/4</f>
        <v>0</v>
      </c>
      <c r="S38" s="302">
        <f>VLOOKUP($A38,EY!A:Q,15,FALSE)*80%</f>
        <v>0</v>
      </c>
      <c r="T38" s="302">
        <f>_xlfn.IFNA((VLOOKUP($A38,HN!$A:$K,9,FALSE)/12),0)+_xlfn.IFNA((VLOOKUP($A38,HN!$A:$K,10,FALSE)/12),0)</f>
        <v>0</v>
      </c>
      <c r="U38" s="302">
        <f>_xlfn.IFNA((VLOOKUP($A38,HN!$A:$BS,15,FALSE)/12),0)</f>
        <v>0</v>
      </c>
      <c r="V38" s="301">
        <f t="shared" si="8"/>
        <v>-786.74666666666656</v>
      </c>
      <c r="W38" s="301">
        <f t="shared" si="9"/>
        <v>-439.45583333333337</v>
      </c>
      <c r="X38" s="302"/>
      <c r="Y38" s="302">
        <f>_xlfn.IFNA(VLOOKUP($A38,'Cash Advances'!$A:$S,8,FALSE),0)</f>
        <v>0</v>
      </c>
      <c r="Z38" s="301">
        <f t="shared" ref="Z38:Z69" si="54">SUM(M38:Y38)</f>
        <v>218757.42882237671</v>
      </c>
      <c r="AA38" s="315">
        <f t="shared" si="10"/>
        <v>175586.93448027145</v>
      </c>
      <c r="AB38" s="315"/>
      <c r="AC38" s="316"/>
      <c r="AD38" s="316">
        <f>_xlfn.IFNA((VLOOKUP($A38,HN!$A:$K,8,FALSE)/12),0)</f>
        <v>0</v>
      </c>
      <c r="AE38" s="316">
        <f>_xlfn.IFNA((VLOOKUP($A38,HN!$A:$BS,14,FALSE)/12),0)</f>
        <v>0</v>
      </c>
      <c r="AF38" s="316">
        <f>_xlfn.IFNA(VLOOKUP($A38,'Post 16'!$A:$V,21,FALSE),0)/4</f>
        <v>0</v>
      </c>
      <c r="AG38" s="316"/>
      <c r="AH38" s="316">
        <f>_xlfn.IFNA((VLOOKUP($A38,HN!$A:$K,9,FALSE)/12),0)+_xlfn.IFNA((VLOOKUP($A38,HN!$A:$K,10,FALSE)/12),0)</f>
        <v>0</v>
      </c>
      <c r="AI38" s="316">
        <f>_xlfn.IFNA((VLOOKUP($A38,HN!$A:$BS,15,FALSE)/12),0)</f>
        <v>0</v>
      </c>
      <c r="AJ38" s="315">
        <f t="shared" si="11"/>
        <v>-786.74666666666656</v>
      </c>
      <c r="AK38" s="315">
        <f t="shared" si="12"/>
        <v>-439.45583333333337</v>
      </c>
      <c r="AL38" s="316"/>
      <c r="AM38" s="316">
        <f>_xlfn.IFNA(VLOOKUP($A38,'Cash Advances'!$A:$S,9,FALSE),0)</f>
        <v>0</v>
      </c>
      <c r="AN38" s="315">
        <f t="shared" ref="AN38:AN69" si="55">SUM(AA38:AM38)</f>
        <v>174360.73198027143</v>
      </c>
      <c r="AO38" s="308">
        <f t="shared" si="13"/>
        <v>175586.93448027145</v>
      </c>
      <c r="AP38" s="308"/>
      <c r="AQ38" s="309"/>
      <c r="AR38" s="309">
        <f>_xlfn.IFNA((VLOOKUP($A38,HN!$A:$K,8,FALSE)/12),0)</f>
        <v>0</v>
      </c>
      <c r="AS38" s="309">
        <f>_xlfn.IFNA((VLOOKUP($A38,HN!$A:$BS,14,FALSE)/12),0)</f>
        <v>0</v>
      </c>
      <c r="AT38" s="309">
        <f>_xlfn.IFNA(VLOOKUP($A38,'Post 16'!$A:$V,21,FALSE),0)/4</f>
        <v>0</v>
      </c>
      <c r="AU38" s="309"/>
      <c r="AV38" s="309">
        <f>_xlfn.IFNA((VLOOKUP($A38,HN!$A:$K,9,FALSE)/12),0)+_xlfn.IFNA((VLOOKUP($A38,HN!$A:$K,10,FALSE)/12),0)+_xlfn.IFNA(VLOOKUP(A38,HN!A:V,19,FALSE),0)+_xlfn.IFNA(VLOOKUP(A38,HN!A:V,20,FALSE),0)+_xlfn.IFNA(VLOOKUP(A38,HN!A:V,21,FALSE),0)</f>
        <v>0</v>
      </c>
      <c r="AW38" s="309">
        <f>_xlfn.IFNA((VLOOKUP($A38,HN!$A:$BS,15,FALSE)/12),0)</f>
        <v>0</v>
      </c>
      <c r="AX38" s="308">
        <f t="shared" si="14"/>
        <v>-786.74666666666656</v>
      </c>
      <c r="AY38" s="308">
        <f t="shared" si="15"/>
        <v>-439.45583333333337</v>
      </c>
      <c r="AZ38" s="309"/>
      <c r="BA38" s="309">
        <f>_xlfn.IFNA(VLOOKUP($A38,'Cash Advances'!$A:$S,10,FALSE),0)</f>
        <v>116256.72</v>
      </c>
      <c r="BB38" s="308">
        <f t="shared" ref="BB38:BB69" si="56">SUM(AO38:BA38)</f>
        <v>290617.45198027143</v>
      </c>
      <c r="BC38" s="330">
        <f t="shared" si="16"/>
        <v>175586.93448027145</v>
      </c>
      <c r="BD38" s="330"/>
      <c r="BE38" s="331"/>
      <c r="BF38" s="331">
        <f>_xlfn.IFNA((VLOOKUP($A38,HN!$A:$K,8,FALSE)/12),0)</f>
        <v>0</v>
      </c>
      <c r="BG38" s="331">
        <f>_xlfn.IFNA((VLOOKUP($A38,HN!$A:$BS,14,FALSE)/12),0)</f>
        <v>0</v>
      </c>
      <c r="BH38" s="331">
        <f>_xlfn.IFNA(VLOOKUP($A38,'Post 16'!$A:$V,21,FALSE),0)/4</f>
        <v>0</v>
      </c>
      <c r="BI38" s="331"/>
      <c r="BJ38" s="331">
        <f>_xlfn.IFNA((VLOOKUP($A38,HN!$A:$K,9,FALSE)/12),0)+_xlfn.IFNA((VLOOKUP($A38,HN!$A:$K,10,FALSE)/12),0)</f>
        <v>0</v>
      </c>
      <c r="BK38" s="331">
        <f>_xlfn.IFNA((VLOOKUP($A38,HN!$A:$BS,15,FALSE)/12),0)</f>
        <v>0</v>
      </c>
      <c r="BL38" s="330">
        <f t="shared" si="17"/>
        <v>-786.74666666666656</v>
      </c>
      <c r="BM38" s="330">
        <f t="shared" si="18"/>
        <v>-439.45583333333337</v>
      </c>
      <c r="BN38" s="331"/>
      <c r="BO38" s="331">
        <f>_xlfn.IFNA(VLOOKUP(A38,'Cash Advances'!A:K,11,FALSE),0)</f>
        <v>0</v>
      </c>
      <c r="BP38" s="330">
        <f t="shared" ref="BP38:BP69" si="57">SUM(BC38:BO38)</f>
        <v>174360.73198027143</v>
      </c>
      <c r="BQ38" s="322">
        <f t="shared" si="19"/>
        <v>175586.93448027145</v>
      </c>
      <c r="BR38" s="322"/>
      <c r="BS38" s="323"/>
      <c r="BT38" s="323">
        <f>_xlfn.IFNA((VLOOKUP($A38,HN!$A:$K,8,FALSE)/12),0)</f>
        <v>0</v>
      </c>
      <c r="BU38" s="323">
        <f>_xlfn.IFNA((VLOOKUP($A38,HN!$A:$BS,14,FALSE)/12),0)</f>
        <v>0</v>
      </c>
      <c r="BV38" s="323">
        <f>(_xlfn.IFNA(VLOOKUP($A38,'Post 16'!$A:$AV,32,FALSE),0)/8)+_xlfn.IFNA(VLOOKUP($A38,'Post 16'!$A:$AR,40,FALSE),0)</f>
        <v>0</v>
      </c>
      <c r="BW38" s="323"/>
      <c r="BX38" s="323">
        <f>_xlfn.IFNA((VLOOKUP($A38,HN!$A:$K,9,FALSE)/12),0)+_xlfn.IFNA((VLOOKUP($A38,HN!$A:$K,10,FALSE)/12),0)</f>
        <v>0</v>
      </c>
      <c r="BY38" s="323">
        <f>_xlfn.IFNA((VLOOKUP($A38,HN!$A:$BS,15,FALSE)/12),0)</f>
        <v>0</v>
      </c>
      <c r="BZ38" s="322">
        <f t="shared" si="20"/>
        <v>-786.74666666666656</v>
      </c>
      <c r="CA38" s="322">
        <f t="shared" si="21"/>
        <v>-439.45583333333337</v>
      </c>
      <c r="CB38" s="323"/>
      <c r="CC38" s="323"/>
      <c r="CD38" s="322">
        <f t="shared" ref="CD38:CD69" si="58">SUM(BQ38:CC38)</f>
        <v>174360.73198027143</v>
      </c>
      <c r="CE38" s="357">
        <f t="shared" si="22"/>
        <v>175586.93448027145</v>
      </c>
      <c r="CF38" s="357">
        <f>(VLOOKUP($A38,EY!$A:$BS,26,FALSE)-(VLOOKUP($A38,EY!A:CR,24,FALSE)*80%))+VLOOKUP($A38,EY!$A:$BS,42,FALSE)+(VLOOKUP($A38,EY!A:CC,74,FALSE)-VLOOKUP($A38,EY!A:CC,72,FALSE))</f>
        <v>54900.525789473679</v>
      </c>
      <c r="CG38" s="358"/>
      <c r="CH38" s="358">
        <f>_xlfn.IFNA((VLOOKUP($A38,HN!$A:$K,8,FALSE)/12),0)</f>
        <v>0</v>
      </c>
      <c r="CI38" s="358">
        <f>_xlfn.IFNA((VLOOKUP($A38,HN!$A:$BS,14,FALSE)/12),0)</f>
        <v>0</v>
      </c>
      <c r="CJ38" s="358">
        <f>(_xlfn.IFNA(VLOOKUP($A38,'Post 16'!$A:$AV,32,FALSE),0)/8)</f>
        <v>0</v>
      </c>
      <c r="CK38" s="358">
        <f>(VLOOKUP($A38,EY!A:CR,24,FALSE)*80%)+VLOOKUP($A38,EY!A:CC,72,FALSE)</f>
        <v>0</v>
      </c>
      <c r="CL38" s="358">
        <f>_xlfn.IFNA((VLOOKUP($A38,HN!$A:$K,9,FALSE)/12),0)+_xlfn.IFNA((VLOOKUP($A38,HN!$A:$K,10,FALSE)/12),0)</f>
        <v>0</v>
      </c>
      <c r="CM38" s="358">
        <f>_xlfn.IFNA((VLOOKUP($A38,HN!$A:$BS,15,FALSE)/12),0)</f>
        <v>0</v>
      </c>
      <c r="CN38" s="357">
        <f t="shared" si="23"/>
        <v>-786.74666666666656</v>
      </c>
      <c r="CO38" s="357">
        <f t="shared" si="24"/>
        <v>-439.45583333333337</v>
      </c>
      <c r="CP38" s="358">
        <f>_xlfn.IFNA(VLOOKUP(A38,'LA Deductions'!A:W,23,FALSE),0)</f>
        <v>-9471</v>
      </c>
      <c r="CQ38" s="358">
        <f>_xlfn.IFNA(VLOOKUP($A38,'Cash Advances'!$A:$S,13,FALSE),0)</f>
        <v>0</v>
      </c>
      <c r="CR38" s="358">
        <f>_xlfn.IFNA(VLOOKUP(A38,'LA Deductions'!A:AZ,25,FALSE),0)/9*3</f>
        <v>0</v>
      </c>
      <c r="CS38" s="357">
        <f t="shared" si="25"/>
        <v>219790.25776974511</v>
      </c>
      <c r="CT38" s="337">
        <f t="shared" si="26"/>
        <v>175586.93448027145</v>
      </c>
      <c r="CU38" s="337"/>
      <c r="CV38" s="338">
        <f>_xlfn.IFNA(VLOOKUP(A38,'LA Deductions'!$A$6:$AN$207,34,FALSE),0)</f>
        <v>0</v>
      </c>
      <c r="CW38" s="338">
        <f>_xlfn.IFNA((VLOOKUP($A38,HN!$A:$K,8,FALSE)/12),0)</f>
        <v>0</v>
      </c>
      <c r="CX38" s="338">
        <f>_xlfn.IFNA((VLOOKUP($A38,HN!$A:$BS,14,FALSE)/12),0)</f>
        <v>0</v>
      </c>
      <c r="CY38" s="338">
        <f>_xlfn.IFNA(VLOOKUP($A38,'Post 16'!$A:$AV,32,FALSE),0)/8</f>
        <v>0</v>
      </c>
      <c r="CZ38" s="338"/>
      <c r="DA38" s="338">
        <f>_xlfn.IFNA((VLOOKUP($A38,HN!$A:$K,9,FALSE)/12),0)+_xlfn.IFNA((VLOOKUP($A38,HN!$A:$K,10,FALSE)/12),0)</f>
        <v>0</v>
      </c>
      <c r="DB38" s="338">
        <f>_xlfn.IFNA((VLOOKUP($A38,HN!$A:$BS,15,FALSE)/12),0)</f>
        <v>0</v>
      </c>
      <c r="DC38" s="337">
        <f t="shared" si="27"/>
        <v>-786.74666666666656</v>
      </c>
      <c r="DD38" s="337">
        <f t="shared" si="28"/>
        <v>-439.45583333333337</v>
      </c>
      <c r="DE38" s="338"/>
      <c r="DF38" s="338">
        <f>_xlfn.IFNA(VLOOKUP($A38,'Cash Advances'!$A:$S,14,FALSE),0)</f>
        <v>0</v>
      </c>
      <c r="DG38" s="338">
        <f>(_xlfn.IFNA(VLOOKUP(A38,'LA Deductions'!A:AZ,25,FALSE),0)/9)+(_xlfn.IFNA(VLOOKUP(A38,'LA Deductions'!A:AZ,26,FALSE),0))</f>
        <v>0</v>
      </c>
      <c r="DH38" s="337">
        <f t="shared" si="29"/>
        <v>174360.73198027143</v>
      </c>
      <c r="DI38" s="330">
        <f t="shared" si="30"/>
        <v>175586.93448027145</v>
      </c>
      <c r="DJ38" s="330"/>
      <c r="DK38" s="331"/>
      <c r="DL38" s="331">
        <f>_xlfn.IFNA((VLOOKUP($A38,HN!$A:$K,8,FALSE)/12),0)+_xlfn.IFNA((VLOOKUP($A38,HN!$A:$AF,32,FALSE)*8/12),0)</f>
        <v>0</v>
      </c>
      <c r="DM38" s="331">
        <f>_xlfn.IFNA((VLOOKUP($A38,HN!$A:$BS,14,FALSE)/12),0)+_xlfn.IFNA(VLOOKUP($A38,HN!$A:$BS,31,FALSE),0)</f>
        <v>0</v>
      </c>
      <c r="DN38" s="331">
        <f>_xlfn.IFNA(VLOOKUP($A38,'Post 16'!$A:$AV,32,FALSE),0)/8</f>
        <v>0</v>
      </c>
      <c r="DO38" s="331"/>
      <c r="DP38" s="331">
        <f>_xlfn.IFNA((VLOOKUP($A38,HN!$A:$K,9,FALSE)/12),0)+_xlfn.IFNA((VLOOKUP($A38,HN!$A:$K,10,FALSE)/12),0)+_xlfn.IFNA((VLOOKUP($A38,HN!$A:$BZ,33,FALSE)*8/12),0)</f>
        <v>0</v>
      </c>
      <c r="DQ38" s="331">
        <f>_xlfn.IFNA((VLOOKUP($A38,HN!$A:$BS,15,FALSE)/12),0)</f>
        <v>0</v>
      </c>
      <c r="DR38" s="330">
        <f t="shared" si="31"/>
        <v>-786.74666666666656</v>
      </c>
      <c r="DS38" s="330">
        <f t="shared" si="32"/>
        <v>-439.45583333333337</v>
      </c>
      <c r="DT38" s="331"/>
      <c r="DU38" s="331"/>
      <c r="DV38" s="331">
        <f>(_xlfn.IFNA(VLOOKUP(A38,'LA Deductions'!A:AZ,25,FALSE),0)/9)+_xlfn.IFNA(VLOOKUP(A38,'LA Deductions'!A:AZ,27,FALSE),0)</f>
        <v>0</v>
      </c>
      <c r="DW38" s="330">
        <f t="shared" si="33"/>
        <v>174360.73198027143</v>
      </c>
      <c r="DX38" s="344">
        <f t="shared" si="34"/>
        <v>175586.93448027145</v>
      </c>
      <c r="DY38" s="344"/>
      <c r="DZ38" s="345"/>
      <c r="EA38" s="345">
        <f>_xlfn.IFNA((VLOOKUP($A38,HN!$A:$K,8,FALSE)/12),0)+_xlfn.IFNA((VLOOKUP($A38,HN!$A:$AF,32,FALSE)*1/12),0)</f>
        <v>0</v>
      </c>
      <c r="EB38" s="345">
        <f>_xlfn.IFNA((VLOOKUP($A38,HN!$A:$BS,14,FALSE)/12),0)</f>
        <v>0</v>
      </c>
      <c r="EC38" s="345">
        <f>_xlfn.IFNA(VLOOKUP($A38,'Post 16'!$A:$AV,32,FALSE),0)/8</f>
        <v>0</v>
      </c>
      <c r="ED38" s="345"/>
      <c r="EE38" s="345">
        <f>_xlfn.IFNA((VLOOKUP($A38,HN!$A:$K,9,FALSE)/12),0)+_xlfn.IFNA((VLOOKUP($A38,HN!$A:$K,10,FALSE)/12),0)+_xlfn.IFNA((VLOOKUP($A38,HN!$A:$BZ,33,FALSE)/12),0)</f>
        <v>0</v>
      </c>
      <c r="EF38" s="345">
        <f>_xlfn.IFNA((VLOOKUP($A38,HN!$A:$BS,15,FALSE)/12),0)</f>
        <v>0</v>
      </c>
      <c r="EG38" s="344">
        <f t="shared" si="35"/>
        <v>-786.74666666666656</v>
      </c>
      <c r="EH38" s="344">
        <f t="shared" si="36"/>
        <v>-439.45583333333337</v>
      </c>
      <c r="EI38" s="345"/>
      <c r="EJ38" s="345">
        <f>_xlfn.IFNA(VLOOKUP(A38,'Cash Advances'!A:P,16,FALSE),0)</f>
        <v>0</v>
      </c>
      <c r="EK38" s="345">
        <f>_xlfn.IFNA(VLOOKUP(A38,'LA Deductions'!A:AZ,25,FALSE),0)/9</f>
        <v>0</v>
      </c>
      <c r="EL38" s="344">
        <f t="shared" si="37"/>
        <v>174360.73198027143</v>
      </c>
      <c r="EM38" s="308">
        <f t="shared" si="38"/>
        <v>175586.93448027145</v>
      </c>
      <c r="EN38" s="308">
        <f>((VLOOKUP($A38,EY!$A:$BS,35,FALSE)-(VLOOKUP($A38,EY!$A:$BS,33,FALSE)*80%))+VLOOKUP($A38,EY!$A:$BS,43,FALSE))+(VLOOKUP(A38,EY!A:DF,110,FALSE)-VLOOKUP(A38,EY!A:DD,108,FALSE))+(VLOOKUP(A38,EY!A:CE,83,FALSE)-VLOOKUP(A38,EY!A:CC,81,FALSE))</f>
        <v>56844.264598337948</v>
      </c>
      <c r="EO38" s="309"/>
      <c r="EP38" s="309">
        <f>_xlfn.IFNA((VLOOKUP($A38,HN!$A:$K,8,FALSE)/12),0)+_xlfn.IFNA((VLOOKUP($A38,HN!$A:$AF,32,FALSE)*1/12),0)</f>
        <v>0</v>
      </c>
      <c r="EQ38" s="309">
        <f>_xlfn.IFNA((VLOOKUP($A38,HN!$A:$BS,14,FALSE)/12),0)+_xlfn.IFNA((VLOOKUP($A38,HN!$A:$BS,34,FALSE)/3),0)</f>
        <v>0</v>
      </c>
      <c r="ER38" s="309">
        <f>_xlfn.IFNA(VLOOKUP($A38,'Post 16'!$A:$AV,32,FALSE),0)/8</f>
        <v>0</v>
      </c>
      <c r="ES38" s="309">
        <f>((VLOOKUP($A38,EY!A:EV,33,FALSE)*80%))+VLOOKUP(A38,EY!A:DD,108,FALSE)+VLOOKUP(A38,EY!A:CC,81,FALSE)</f>
        <v>0</v>
      </c>
      <c r="ET38" s="309">
        <f>_xlfn.IFNA((VLOOKUP($A38,HN!$A:$K,9,FALSE)/12),0)+_xlfn.IFNA((VLOOKUP($A38,HN!$A:$K,10,FALSE)/12),0)+_xlfn.IFNA((VLOOKUP($A38,HN!$A:$BZ,33,FALSE)/12),0)</f>
        <v>0</v>
      </c>
      <c r="EU38" s="309">
        <f>_xlfn.IFNA((VLOOKUP($A38,HN!$A:$BS,15,FALSE)/12),0)</f>
        <v>0</v>
      </c>
      <c r="EV38" s="308">
        <f t="shared" si="39"/>
        <v>-786.74666666666656</v>
      </c>
      <c r="EW38" s="308">
        <f t="shared" si="40"/>
        <v>-439.45583333333337</v>
      </c>
      <c r="EX38" s="309"/>
      <c r="EY38" s="309">
        <f>_xlfn.IFNA(VLOOKUP($A38,'Cash Advances'!$A:$S,17,FALSE),0)</f>
        <v>0</v>
      </c>
      <c r="EZ38" s="309">
        <f>_xlfn.IFNA(VLOOKUP(A38,'LA Deductions'!A:AZ,25,FALSE),0)/9</f>
        <v>0</v>
      </c>
      <c r="FA38" s="308">
        <f t="shared" si="41"/>
        <v>231204.9965786094</v>
      </c>
      <c r="FB38" s="315">
        <f t="shared" si="42"/>
        <v>175586.93448027145</v>
      </c>
      <c r="FC38" s="315"/>
      <c r="FD38" s="316"/>
      <c r="FE38" s="316">
        <f>_xlfn.IFNA((VLOOKUP($A38,HN!$A:$K,8,FALSE)/12),0)+_xlfn.IFNA((VLOOKUP($A38,HN!$A:$AF,32,FALSE)*1/12),0)</f>
        <v>0</v>
      </c>
      <c r="FF38" s="316">
        <f>_xlfn.IFNA((VLOOKUP($A38,HN!$A:$BS,14,FALSE)/12),0)+_xlfn.IFNA((VLOOKUP($A38,HN!$A:$BS,34,FALSE)/3),0)</f>
        <v>0</v>
      </c>
      <c r="FG38" s="316">
        <f>_xlfn.IFNA(VLOOKUP($A38,'Post 16'!$A:$AV,32,FALSE),0)/8</f>
        <v>0</v>
      </c>
      <c r="FH38" s="316"/>
      <c r="FI38" s="316">
        <f>_xlfn.IFNA((VLOOKUP($A38,HN!$A:$K,9,FALSE)/12),0)+_xlfn.IFNA((VLOOKUP($A38,HN!$A:$K,10,FALSE)/12),0)+_xlfn.IFNA((VLOOKUP($A38,HN!$A:$BZ,33,FALSE)/12),0)+_xlfn.IFNA((VLOOKUP($A38,HN!$A:$BZ,35,FALSE)/2),0)</f>
        <v>0</v>
      </c>
      <c r="FJ38" s="316">
        <f>_xlfn.IFNA((VLOOKUP($A38,HN!$A:$BS,15,FALSE)/12),0)+_xlfn.IFNA((VLOOKUP($A38,HN!$A:$CZ,36,FALSE)/2),0)</f>
        <v>0</v>
      </c>
      <c r="FK38" s="315">
        <f t="shared" si="43"/>
        <v>-786.74666666666656</v>
      </c>
      <c r="FL38" s="315">
        <f t="shared" si="44"/>
        <v>-439.45583333333337</v>
      </c>
      <c r="FM38" s="316"/>
      <c r="FN38" s="316">
        <f>_xlfn.IFNA(VLOOKUP($A38,'Cash Advances'!$A:$S,18,FALSE),0)</f>
        <v>0</v>
      </c>
      <c r="FO38" s="316">
        <f>_xlfn.IFNA(VLOOKUP(A38,'LA Deductions'!A:AZ,25,FALSE),0)/9</f>
        <v>0</v>
      </c>
      <c r="FP38" s="315">
        <f t="shared" si="45"/>
        <v>174360.73198027143</v>
      </c>
      <c r="FQ38" s="322">
        <f t="shared" si="46"/>
        <v>175586.93448027145</v>
      </c>
      <c r="FR38" s="322"/>
      <c r="FS38" s="323"/>
      <c r="FT38" s="323">
        <f>_xlfn.IFNA((VLOOKUP($A38,HN!$A:$K,8,FALSE)/12),0)+_xlfn.IFNA((VLOOKUP($A38,HN!$A:$AF,32,FALSE)*1/12),0)</f>
        <v>0</v>
      </c>
      <c r="FU38" s="323">
        <f>_xlfn.IFNA((VLOOKUP($A38,HN!$A:$BS,14,FALSE)/12),0)+_xlfn.IFNA((VLOOKUP($A38,HN!$A:$BS,34,FALSE)/3),0)</f>
        <v>0</v>
      </c>
      <c r="FV38" s="323">
        <f>_xlfn.IFNA(VLOOKUP($A38,'Post 16'!$A:$AV,32,FALSE),0)/8</f>
        <v>0</v>
      </c>
      <c r="FW38" s="323"/>
      <c r="FX38" s="323">
        <f>_xlfn.IFNA((VLOOKUP($A38,HN!$A:$K,9,FALSE)/12),0)+_xlfn.IFNA((VLOOKUP($A38,HN!$A:$K,10,FALSE)/12),0)+_xlfn.IFNA((VLOOKUP($A38,HN!$A:$BZ,33,FALSE)/12),0)+_xlfn.IFNA((VLOOKUP($A38,HN!$A:$BZ,35,FALSE)/2),0)</f>
        <v>0</v>
      </c>
      <c r="FY38" s="323">
        <f>_xlfn.IFNA((VLOOKUP($A38,HN!$A:$BS,15,FALSE)/12),0)+_xlfn.IFNA((VLOOKUP($A38,HN!$A:$CZ,36,FALSE)/2),0)</f>
        <v>0</v>
      </c>
      <c r="FZ38" s="322">
        <f t="shared" si="47"/>
        <v>-786.74666666666656</v>
      </c>
      <c r="GA38" s="322">
        <f t="shared" si="48"/>
        <v>-439.45583333333337</v>
      </c>
      <c r="GB38" s="323"/>
      <c r="GC38" s="323"/>
      <c r="GD38" s="323">
        <f>_xlfn.IFNA(VLOOKUP(A38,'LA Deductions'!A:AZ,25,FALSE),0)/9</f>
        <v>0</v>
      </c>
      <c r="GE38" s="322">
        <f t="shared" si="49"/>
        <v>174360.73198027143</v>
      </c>
      <c r="GG38" s="146">
        <f t="shared" ref="GG38:GL47" si="59">SUMIFS($M38:$GE38,$M$7:$GE$7,GG$7)</f>
        <v>2263184.7009931747</v>
      </c>
      <c r="GH38" s="146">
        <f t="shared" si="59"/>
        <v>0</v>
      </c>
      <c r="GI38" s="146">
        <f t="shared" si="59"/>
        <v>0</v>
      </c>
      <c r="GJ38" s="146">
        <f t="shared" si="59"/>
        <v>-9440.9599999999991</v>
      </c>
      <c r="GK38" s="146">
        <f t="shared" si="59"/>
        <v>-5273.47</v>
      </c>
      <c r="GL38" s="146">
        <f t="shared" si="59"/>
        <v>-9471</v>
      </c>
      <c r="GN38" s="146">
        <f t="shared" ref="GN38:GS47" si="60">SUMIFS($M38:$GE38,$M$7:$GE$7,GN$7,$M$4:$GE$4,$GN$6)</f>
        <v>2263184.7009931747</v>
      </c>
      <c r="GO38" s="146">
        <f t="shared" si="60"/>
        <v>0</v>
      </c>
      <c r="GP38" s="146">
        <f t="shared" si="60"/>
        <v>0</v>
      </c>
      <c r="GQ38" s="146">
        <f t="shared" si="60"/>
        <v>-9440.9599999999991</v>
      </c>
      <c r="GR38" s="146">
        <f t="shared" si="60"/>
        <v>-5273.47</v>
      </c>
      <c r="GS38" s="146">
        <f t="shared" si="60"/>
        <v>-9471</v>
      </c>
      <c r="GU38" s="146"/>
      <c r="GV38" s="57"/>
    </row>
    <row r="39" spans="1:204">
      <c r="A39" s="185">
        <v>1100</v>
      </c>
      <c r="B39" s="185">
        <v>103146</v>
      </c>
      <c r="C39" s="185" t="s">
        <v>97</v>
      </c>
      <c r="D39" s="2" t="s">
        <v>98</v>
      </c>
      <c r="E39" s="191" t="s">
        <v>99</v>
      </c>
      <c r="F39" s="191" t="s">
        <v>912</v>
      </c>
      <c r="H39" s="279">
        <f>_xlfn.IFNA(VLOOKUP($A39,ISB!$A$4:$BY$454,67,FALSE),0)</f>
        <v>0</v>
      </c>
      <c r="I39" s="279">
        <f>_xlfn.IFNA(VLOOKUP($A39,ISB!$A$4:$BY$454,72,FALSE),0)</f>
        <v>0</v>
      </c>
      <c r="J39" s="279">
        <f>-_xlfn.IFNA(VLOOKUP($A39,ISB!$A$4:$BY$454,76,FALSE),0)</f>
        <v>0</v>
      </c>
      <c r="K39" s="279">
        <f>_xlfn.IFNA(VLOOKUP($A39,ISB!$A$4:$BY$454,77,FALSE),0)</f>
        <v>0</v>
      </c>
      <c r="M39" s="301">
        <f t="shared" si="7"/>
        <v>0</v>
      </c>
      <c r="N39" s="301">
        <f>VLOOKUP($A39,EY!$A:$H,8,FALSE)+(VLOOKUP($A39,EY!$A:$BS,17,FALSE)-S39)+VLOOKUP($A39,EY!$A:$BS,41,FALSE)</f>
        <v>0</v>
      </c>
      <c r="O39" s="302"/>
      <c r="P39" s="302">
        <f>_xlfn.IFNA((VLOOKUP($A39,HN!$A:$K,8,FALSE)/12),0)</f>
        <v>550000</v>
      </c>
      <c r="Q39" s="302">
        <f>_xlfn.IFNA((VLOOKUP($A39,HN!$A:$BS,14,FALSE)/12),0)</f>
        <v>0</v>
      </c>
      <c r="R39" s="302">
        <f>_xlfn.IFNA(VLOOKUP($A39,'Post 16'!$A:$V,21,FALSE),0)/4</f>
        <v>0</v>
      </c>
      <c r="S39" s="302">
        <f>VLOOKUP($A39,EY!A:Q,15,FALSE)*80%</f>
        <v>0</v>
      </c>
      <c r="T39" s="302">
        <f>_xlfn.IFNA((VLOOKUP($A39,HN!$A:$K,9,FALSE)/12),0)+_xlfn.IFNA((VLOOKUP($A39,HN!$A:$K,10,FALSE)/12),0)</f>
        <v>486215.63999999996</v>
      </c>
      <c r="U39" s="302">
        <f>_xlfn.IFNA((VLOOKUP($A39,HN!$A:$BS,15,FALSE)/12),0)</f>
        <v>0</v>
      </c>
      <c r="V39" s="301">
        <f t="shared" si="8"/>
        <v>0</v>
      </c>
      <c r="W39" s="301">
        <f t="shared" si="9"/>
        <v>0</v>
      </c>
      <c r="X39" s="302"/>
      <c r="Y39" s="302">
        <f>_xlfn.IFNA(VLOOKUP($A39,'Cash Advances'!$A:$S,8,FALSE),0)</f>
        <v>0</v>
      </c>
      <c r="Z39" s="301">
        <f t="shared" si="54"/>
        <v>1036215.6399999999</v>
      </c>
      <c r="AA39" s="315">
        <f t="shared" si="10"/>
        <v>0</v>
      </c>
      <c r="AB39" s="315"/>
      <c r="AC39" s="316"/>
      <c r="AD39" s="316">
        <f>_xlfn.IFNA((VLOOKUP($A39,HN!$A:$K,8,FALSE)/12),0)</f>
        <v>550000</v>
      </c>
      <c r="AE39" s="316">
        <f>_xlfn.IFNA((VLOOKUP($A39,HN!$A:$BS,14,FALSE)/12),0)</f>
        <v>0</v>
      </c>
      <c r="AF39" s="316">
        <f>_xlfn.IFNA(VLOOKUP($A39,'Post 16'!$A:$V,21,FALSE),0)/4</f>
        <v>0</v>
      </c>
      <c r="AG39" s="316"/>
      <c r="AH39" s="316">
        <f>_xlfn.IFNA((VLOOKUP($A39,HN!$A:$K,9,FALSE)/12),0)+_xlfn.IFNA((VLOOKUP($A39,HN!$A:$K,10,FALSE)/12),0)</f>
        <v>486215.63999999996</v>
      </c>
      <c r="AI39" s="316">
        <f>_xlfn.IFNA((VLOOKUP($A39,HN!$A:$BS,15,FALSE)/12),0)</f>
        <v>0</v>
      </c>
      <c r="AJ39" s="315">
        <f t="shared" si="11"/>
        <v>0</v>
      </c>
      <c r="AK39" s="315">
        <f t="shared" si="12"/>
        <v>0</v>
      </c>
      <c r="AL39" s="316"/>
      <c r="AM39" s="316">
        <f>_xlfn.IFNA(VLOOKUP($A39,'Cash Advances'!$A:$S,9,FALSE),0)</f>
        <v>0</v>
      </c>
      <c r="AN39" s="315">
        <f t="shared" si="55"/>
        <v>1036215.6399999999</v>
      </c>
      <c r="AO39" s="308">
        <f t="shared" si="13"/>
        <v>0</v>
      </c>
      <c r="AP39" s="308"/>
      <c r="AQ39" s="309"/>
      <c r="AR39" s="309">
        <f>_xlfn.IFNA((VLOOKUP($A39,HN!$A:$K,8,FALSE)/12),0)</f>
        <v>550000</v>
      </c>
      <c r="AS39" s="309">
        <f>_xlfn.IFNA((VLOOKUP($A39,HN!$A:$BS,14,FALSE)/12),0)</f>
        <v>0</v>
      </c>
      <c r="AT39" s="309">
        <f>_xlfn.IFNA(VLOOKUP($A39,'Post 16'!$A:$V,21,FALSE),0)/4</f>
        <v>0</v>
      </c>
      <c r="AU39" s="309"/>
      <c r="AV39" s="309">
        <f>_xlfn.IFNA((VLOOKUP($A39,HN!$A:$K,9,FALSE)/12),0)+_xlfn.IFNA((VLOOKUP($A39,HN!$A:$K,10,FALSE)/12),0)+_xlfn.IFNA(VLOOKUP(A39,HN!A:V,19,FALSE),0)+_xlfn.IFNA(VLOOKUP(A39,HN!A:V,20,FALSE),0)+_xlfn.IFNA(VLOOKUP(A39,HN!A:V,21,FALSE),0)</f>
        <v>486215.63999999996</v>
      </c>
      <c r="AW39" s="309">
        <f>_xlfn.IFNA((VLOOKUP($A39,HN!$A:$BS,15,FALSE)/12),0)</f>
        <v>0</v>
      </c>
      <c r="AX39" s="308">
        <f t="shared" si="14"/>
        <v>0</v>
      </c>
      <c r="AY39" s="308">
        <f t="shared" si="15"/>
        <v>0</v>
      </c>
      <c r="AZ39" s="309"/>
      <c r="BA39" s="309">
        <f>_xlfn.IFNA(VLOOKUP($A39,'Cash Advances'!$A:$S,10,FALSE),0)</f>
        <v>0</v>
      </c>
      <c r="BB39" s="308">
        <f t="shared" si="56"/>
        <v>1036215.6399999999</v>
      </c>
      <c r="BC39" s="330">
        <f t="shared" si="16"/>
        <v>0</v>
      </c>
      <c r="BD39" s="330"/>
      <c r="BE39" s="331"/>
      <c r="BF39" s="331">
        <f>_xlfn.IFNA((VLOOKUP($A39,HN!$A:$K,8,FALSE)/12),0)</f>
        <v>550000</v>
      </c>
      <c r="BG39" s="331">
        <f>_xlfn.IFNA((VLOOKUP($A39,HN!$A:$BS,14,FALSE)/12),0)</f>
        <v>0</v>
      </c>
      <c r="BH39" s="331">
        <f>_xlfn.IFNA(VLOOKUP($A39,'Post 16'!$A:$V,21,FALSE),0)/4</f>
        <v>0</v>
      </c>
      <c r="BI39" s="331"/>
      <c r="BJ39" s="331">
        <f>_xlfn.IFNA((VLOOKUP($A39,HN!$A:$K,9,FALSE)/12),0)+_xlfn.IFNA((VLOOKUP($A39,HN!$A:$K,10,FALSE)/12),0)</f>
        <v>486215.63999999996</v>
      </c>
      <c r="BK39" s="331">
        <f>_xlfn.IFNA((VLOOKUP($A39,HN!$A:$BS,15,FALSE)/12),0)</f>
        <v>0</v>
      </c>
      <c r="BL39" s="330">
        <f t="shared" si="17"/>
        <v>0</v>
      </c>
      <c r="BM39" s="330">
        <f t="shared" si="18"/>
        <v>0</v>
      </c>
      <c r="BN39" s="331"/>
      <c r="BO39" s="331">
        <f>_xlfn.IFNA(VLOOKUP(A39,'Cash Advances'!A:K,11,FALSE),0)</f>
        <v>0</v>
      </c>
      <c r="BP39" s="330">
        <f t="shared" si="57"/>
        <v>1036215.6399999999</v>
      </c>
      <c r="BQ39" s="322">
        <f t="shared" si="19"/>
        <v>0</v>
      </c>
      <c r="BR39" s="322"/>
      <c r="BS39" s="323"/>
      <c r="BT39" s="323">
        <f>_xlfn.IFNA((VLOOKUP($A39,HN!$A:$K,8,FALSE)/12),0)</f>
        <v>550000</v>
      </c>
      <c r="BU39" s="323">
        <f>_xlfn.IFNA((VLOOKUP($A39,HN!$A:$BS,14,FALSE)/12),0)</f>
        <v>0</v>
      </c>
      <c r="BV39" s="323">
        <f>(_xlfn.IFNA(VLOOKUP($A39,'Post 16'!$A:$AV,32,FALSE),0)/8)+_xlfn.IFNA(VLOOKUP($A39,'Post 16'!$A:$AR,40,FALSE),0)</f>
        <v>0</v>
      </c>
      <c r="BW39" s="323"/>
      <c r="BX39" s="323">
        <f>_xlfn.IFNA((VLOOKUP($A39,HN!$A:$K,9,FALSE)/12),0)+_xlfn.IFNA((VLOOKUP($A39,HN!$A:$K,10,FALSE)/12),0)</f>
        <v>486215.63999999996</v>
      </c>
      <c r="BY39" s="323">
        <f>_xlfn.IFNA((VLOOKUP($A39,HN!$A:$BS,15,FALSE)/12),0)</f>
        <v>0</v>
      </c>
      <c r="BZ39" s="322">
        <f t="shared" si="20"/>
        <v>0</v>
      </c>
      <c r="CA39" s="322">
        <f t="shared" si="21"/>
        <v>0</v>
      </c>
      <c r="CB39" s="323"/>
      <c r="CC39" s="323"/>
      <c r="CD39" s="322">
        <f t="shared" si="58"/>
        <v>1036215.6399999999</v>
      </c>
      <c r="CE39" s="357">
        <f t="shared" si="22"/>
        <v>0</v>
      </c>
      <c r="CF39" s="357">
        <f>(VLOOKUP($A39,EY!$A:$BS,26,FALSE)-(VLOOKUP($A39,EY!A:CR,24,FALSE)*80%))+VLOOKUP($A39,EY!$A:$BS,42,FALSE)+(VLOOKUP($A39,EY!A:CC,74,FALSE)-VLOOKUP($A39,EY!A:CC,72,FALSE))</f>
        <v>0</v>
      </c>
      <c r="CG39" s="358"/>
      <c r="CH39" s="358">
        <f>_xlfn.IFNA((VLOOKUP($A39,HN!$A:$K,8,FALSE)/12),0)</f>
        <v>550000</v>
      </c>
      <c r="CI39" s="358">
        <f>_xlfn.IFNA((VLOOKUP($A39,HN!$A:$BS,14,FALSE)/12),0)</f>
        <v>0</v>
      </c>
      <c r="CJ39" s="358">
        <f>(_xlfn.IFNA(VLOOKUP($A39,'Post 16'!$A:$AV,32,FALSE),0)/8)</f>
        <v>0</v>
      </c>
      <c r="CK39" s="358">
        <f>(VLOOKUP($A39,EY!A:CR,24,FALSE)*80%)+VLOOKUP($A39,EY!A:CC,72,FALSE)</f>
        <v>0</v>
      </c>
      <c r="CL39" s="358">
        <f>_xlfn.IFNA((VLOOKUP($A39,HN!$A:$K,9,FALSE)/12),0)+_xlfn.IFNA((VLOOKUP($A39,HN!$A:$K,10,FALSE)/12),0)</f>
        <v>486215.63999999996</v>
      </c>
      <c r="CM39" s="358">
        <f>_xlfn.IFNA((VLOOKUP($A39,HN!$A:$BS,15,FALSE)/12),0)</f>
        <v>0</v>
      </c>
      <c r="CN39" s="357">
        <f t="shared" si="23"/>
        <v>0</v>
      </c>
      <c r="CO39" s="357">
        <f t="shared" si="24"/>
        <v>0</v>
      </c>
      <c r="CP39" s="358">
        <f>_xlfn.IFNA(VLOOKUP(A39,'LA Deductions'!A:W,23,FALSE),0)</f>
        <v>-18745.650000000001</v>
      </c>
      <c r="CQ39" s="358">
        <f>_xlfn.IFNA(VLOOKUP($A39,'Cash Advances'!$A:$S,13,FALSE),0)</f>
        <v>0</v>
      </c>
      <c r="CR39" s="358">
        <f>_xlfn.IFNA(VLOOKUP(A39,'LA Deductions'!A:AZ,25,FALSE),0)/9*3</f>
        <v>0</v>
      </c>
      <c r="CS39" s="357">
        <f t="shared" si="25"/>
        <v>1017469.9899999999</v>
      </c>
      <c r="CT39" s="337">
        <f t="shared" si="26"/>
        <v>0</v>
      </c>
      <c r="CU39" s="337"/>
      <c r="CV39" s="338">
        <f>_xlfn.IFNA(VLOOKUP(A39,'LA Deductions'!$A$6:$AN$207,34,FALSE),0)</f>
        <v>0</v>
      </c>
      <c r="CW39" s="338">
        <f>_xlfn.IFNA((VLOOKUP($A39,HN!$A:$K,8,FALSE)/12),0)</f>
        <v>550000</v>
      </c>
      <c r="CX39" s="338">
        <f>_xlfn.IFNA((VLOOKUP($A39,HN!$A:$BS,14,FALSE)/12),0)</f>
        <v>0</v>
      </c>
      <c r="CY39" s="338">
        <f>_xlfn.IFNA(VLOOKUP($A39,'Post 16'!$A:$AV,32,FALSE),0)/8</f>
        <v>0</v>
      </c>
      <c r="CZ39" s="338"/>
      <c r="DA39" s="338">
        <f>_xlfn.IFNA((VLOOKUP($A39,HN!$A:$K,9,FALSE)/12),0)+_xlfn.IFNA((VLOOKUP($A39,HN!$A:$K,10,FALSE)/12),0)</f>
        <v>486215.63999999996</v>
      </c>
      <c r="DB39" s="338">
        <f>_xlfn.IFNA((VLOOKUP($A39,HN!$A:$BS,15,FALSE)/12),0)</f>
        <v>0</v>
      </c>
      <c r="DC39" s="337">
        <f t="shared" si="27"/>
        <v>0</v>
      </c>
      <c r="DD39" s="337">
        <f t="shared" si="28"/>
        <v>0</v>
      </c>
      <c r="DE39" s="338"/>
      <c r="DF39" s="338">
        <f>_xlfn.IFNA(VLOOKUP($A39,'Cash Advances'!$A:$S,14,FALSE),0)</f>
        <v>0</v>
      </c>
      <c r="DG39" s="338">
        <f>(_xlfn.IFNA(VLOOKUP(A39,'LA Deductions'!A:AZ,25,FALSE),0)/9)+(_xlfn.IFNA(VLOOKUP(A39,'LA Deductions'!A:AZ,26,FALSE),0))</f>
        <v>0</v>
      </c>
      <c r="DH39" s="337">
        <f t="shared" si="29"/>
        <v>1036215.6399999999</v>
      </c>
      <c r="DI39" s="330">
        <f t="shared" si="30"/>
        <v>0</v>
      </c>
      <c r="DJ39" s="330"/>
      <c r="DK39" s="331"/>
      <c r="DL39" s="331">
        <f>_xlfn.IFNA((VLOOKUP($A39,HN!$A:$K,8,FALSE)/12),0)+_xlfn.IFNA((VLOOKUP($A39,HN!$A:$AF,32,FALSE)*8/12),0)</f>
        <v>550000</v>
      </c>
      <c r="DM39" s="331">
        <f>_xlfn.IFNA((VLOOKUP($A39,HN!$A:$BS,14,FALSE)/12),0)+_xlfn.IFNA(VLOOKUP($A39,HN!$A:$BS,31,FALSE),0)</f>
        <v>0</v>
      </c>
      <c r="DN39" s="331">
        <f>_xlfn.IFNA(VLOOKUP($A39,'Post 16'!$A:$AV,32,FALSE),0)/8</f>
        <v>0</v>
      </c>
      <c r="DO39" s="331"/>
      <c r="DP39" s="331">
        <f>_xlfn.IFNA((VLOOKUP($A39,HN!$A:$K,9,FALSE)/12),0)+_xlfn.IFNA((VLOOKUP($A39,HN!$A:$K,10,FALSE)/12),0)+_xlfn.IFNA((VLOOKUP($A39,HN!$A:$BZ,33,FALSE)*8/12),0)</f>
        <v>486215.63999999996</v>
      </c>
      <c r="DQ39" s="331">
        <f>_xlfn.IFNA((VLOOKUP($A39,HN!$A:$BS,15,FALSE)/12),0)</f>
        <v>0</v>
      </c>
      <c r="DR39" s="330">
        <f t="shared" si="31"/>
        <v>0</v>
      </c>
      <c r="DS39" s="330">
        <f t="shared" si="32"/>
        <v>0</v>
      </c>
      <c r="DT39" s="331"/>
      <c r="DU39" s="331"/>
      <c r="DV39" s="331">
        <f>(_xlfn.IFNA(VLOOKUP(A39,'LA Deductions'!A:AZ,25,FALSE),0)/9)+_xlfn.IFNA(VLOOKUP(A39,'LA Deductions'!A:AZ,27,FALSE),0)</f>
        <v>0</v>
      </c>
      <c r="DW39" s="330">
        <f t="shared" si="33"/>
        <v>1036215.6399999999</v>
      </c>
      <c r="DX39" s="344">
        <f t="shared" si="34"/>
        <v>0</v>
      </c>
      <c r="DY39" s="344"/>
      <c r="DZ39" s="345"/>
      <c r="EA39" s="345">
        <f>_xlfn.IFNA((VLOOKUP($A39,HN!$A:$K,8,FALSE)/12),0)+_xlfn.IFNA((VLOOKUP($A39,HN!$A:$AF,32,FALSE)*1/12),0)</f>
        <v>550000</v>
      </c>
      <c r="EB39" s="345">
        <f>_xlfn.IFNA((VLOOKUP($A39,HN!$A:$BS,14,FALSE)/12),0)</f>
        <v>0</v>
      </c>
      <c r="EC39" s="345">
        <f>_xlfn.IFNA(VLOOKUP($A39,'Post 16'!$A:$AV,32,FALSE),0)/8</f>
        <v>0</v>
      </c>
      <c r="ED39" s="345"/>
      <c r="EE39" s="345">
        <f>_xlfn.IFNA((VLOOKUP($A39,HN!$A:$K,9,FALSE)/12),0)+_xlfn.IFNA((VLOOKUP($A39,HN!$A:$K,10,FALSE)/12),0)+_xlfn.IFNA((VLOOKUP($A39,HN!$A:$BZ,33,FALSE)/12),0)</f>
        <v>486215.63999999996</v>
      </c>
      <c r="EF39" s="345">
        <f>_xlfn.IFNA((VLOOKUP($A39,HN!$A:$BS,15,FALSE)/12),0)</f>
        <v>0</v>
      </c>
      <c r="EG39" s="344">
        <f t="shared" si="35"/>
        <v>0</v>
      </c>
      <c r="EH39" s="344">
        <f t="shared" si="36"/>
        <v>0</v>
      </c>
      <c r="EI39" s="345"/>
      <c r="EJ39" s="345">
        <f>_xlfn.IFNA(VLOOKUP(A39,'Cash Advances'!A:P,16,FALSE),0)</f>
        <v>0</v>
      </c>
      <c r="EK39" s="345">
        <f>_xlfn.IFNA(VLOOKUP(A39,'LA Deductions'!A:AZ,25,FALSE),0)/9</f>
        <v>0</v>
      </c>
      <c r="EL39" s="344">
        <f t="shared" si="37"/>
        <v>1036215.6399999999</v>
      </c>
      <c r="EM39" s="308">
        <f t="shared" si="38"/>
        <v>0</v>
      </c>
      <c r="EN39" s="308">
        <f>((VLOOKUP($A39,EY!$A:$BS,35,FALSE)-(VLOOKUP($A39,EY!$A:$BS,33,FALSE)*80%))+VLOOKUP($A39,EY!$A:$BS,43,FALSE))+(VLOOKUP(A39,EY!A:DF,110,FALSE)-VLOOKUP(A39,EY!A:DD,108,FALSE))+(VLOOKUP(A39,EY!A:CE,83,FALSE)-VLOOKUP(A39,EY!A:CC,81,FALSE))</f>
        <v>0</v>
      </c>
      <c r="EO39" s="309"/>
      <c r="EP39" s="309">
        <f>_xlfn.IFNA((VLOOKUP($A39,HN!$A:$K,8,FALSE)/12),0)+_xlfn.IFNA((VLOOKUP($A39,HN!$A:$AF,32,FALSE)*1/12),0)</f>
        <v>550000</v>
      </c>
      <c r="EQ39" s="309">
        <f>_xlfn.IFNA((VLOOKUP($A39,HN!$A:$BS,14,FALSE)/12),0)+_xlfn.IFNA((VLOOKUP($A39,HN!$A:$BS,34,FALSE)/3),0)</f>
        <v>0</v>
      </c>
      <c r="ER39" s="309">
        <f>_xlfn.IFNA(VLOOKUP($A39,'Post 16'!$A:$AV,32,FALSE),0)/8</f>
        <v>0</v>
      </c>
      <c r="ES39" s="309">
        <f>((VLOOKUP($A39,EY!A:EV,33,FALSE)*80%))+VLOOKUP(A39,EY!A:DD,108,FALSE)+VLOOKUP(A39,EY!A:CC,81,FALSE)</f>
        <v>0</v>
      </c>
      <c r="ET39" s="309">
        <f>_xlfn.IFNA((VLOOKUP($A39,HN!$A:$K,9,FALSE)/12),0)+_xlfn.IFNA((VLOOKUP($A39,HN!$A:$K,10,FALSE)/12),0)+_xlfn.IFNA((VLOOKUP($A39,HN!$A:$BZ,33,FALSE)/12),0)</f>
        <v>486215.63999999996</v>
      </c>
      <c r="EU39" s="309">
        <f>_xlfn.IFNA((VLOOKUP($A39,HN!$A:$BS,15,FALSE)/12),0)</f>
        <v>0</v>
      </c>
      <c r="EV39" s="308">
        <f t="shared" si="39"/>
        <v>0</v>
      </c>
      <c r="EW39" s="308">
        <f t="shared" si="40"/>
        <v>0</v>
      </c>
      <c r="EX39" s="309"/>
      <c r="EY39" s="309">
        <f>_xlfn.IFNA(VLOOKUP($A39,'Cash Advances'!$A:$S,17,FALSE),0)</f>
        <v>0</v>
      </c>
      <c r="EZ39" s="309">
        <f>_xlfn.IFNA(VLOOKUP(A39,'LA Deductions'!A:AZ,25,FALSE),0)/9</f>
        <v>0</v>
      </c>
      <c r="FA39" s="308">
        <f t="shared" si="41"/>
        <v>1036215.6399999999</v>
      </c>
      <c r="FB39" s="315">
        <f t="shared" si="42"/>
        <v>0</v>
      </c>
      <c r="FC39" s="315"/>
      <c r="FD39" s="316"/>
      <c r="FE39" s="316">
        <f>_xlfn.IFNA((VLOOKUP($A39,HN!$A:$K,8,FALSE)/12),0)+_xlfn.IFNA((VLOOKUP($A39,HN!$A:$AF,32,FALSE)*1/12),0)</f>
        <v>550000</v>
      </c>
      <c r="FF39" s="316">
        <f>_xlfn.IFNA((VLOOKUP($A39,HN!$A:$BS,14,FALSE)/12),0)+_xlfn.IFNA((VLOOKUP($A39,HN!$A:$BS,34,FALSE)/3),0)</f>
        <v>0</v>
      </c>
      <c r="FG39" s="316">
        <f>_xlfn.IFNA(VLOOKUP($A39,'Post 16'!$A:$AV,32,FALSE),0)/8</f>
        <v>0</v>
      </c>
      <c r="FH39" s="316"/>
      <c r="FI39" s="316">
        <f>_xlfn.IFNA((VLOOKUP($A39,HN!$A:$K,9,FALSE)/12),0)+_xlfn.IFNA((VLOOKUP($A39,HN!$A:$K,10,FALSE)/12),0)+_xlfn.IFNA((VLOOKUP($A39,HN!$A:$BZ,33,FALSE)/12),0)+_xlfn.IFNA((VLOOKUP($A39,HN!$A:$BZ,35,FALSE)/2),0)</f>
        <v>486215.63999999996</v>
      </c>
      <c r="FJ39" s="316">
        <f>_xlfn.IFNA((VLOOKUP($A39,HN!$A:$BS,15,FALSE)/12),0)+_xlfn.IFNA((VLOOKUP($A39,HN!$A:$CZ,36,FALSE)/2),0)</f>
        <v>0</v>
      </c>
      <c r="FK39" s="315">
        <f t="shared" si="43"/>
        <v>0</v>
      </c>
      <c r="FL39" s="315">
        <f t="shared" si="44"/>
        <v>0</v>
      </c>
      <c r="FM39" s="316"/>
      <c r="FN39" s="316">
        <f>_xlfn.IFNA(VLOOKUP($A39,'Cash Advances'!$A:$S,18,FALSE),0)</f>
        <v>0</v>
      </c>
      <c r="FO39" s="316">
        <f>_xlfn.IFNA(VLOOKUP(A39,'LA Deductions'!A:AZ,25,FALSE),0)/9</f>
        <v>0</v>
      </c>
      <c r="FP39" s="315">
        <f t="shared" si="45"/>
        <v>1036215.6399999999</v>
      </c>
      <c r="FQ39" s="322">
        <f t="shared" si="46"/>
        <v>0</v>
      </c>
      <c r="FR39" s="322"/>
      <c r="FS39" s="323"/>
      <c r="FT39" s="323">
        <f>_xlfn.IFNA((VLOOKUP($A39,HN!$A:$K,8,FALSE)/12),0)+_xlfn.IFNA((VLOOKUP($A39,HN!$A:$AF,32,FALSE)*1/12),0)</f>
        <v>550000</v>
      </c>
      <c r="FU39" s="323">
        <f>_xlfn.IFNA((VLOOKUP($A39,HN!$A:$BS,14,FALSE)/12),0)+_xlfn.IFNA((VLOOKUP($A39,HN!$A:$BS,34,FALSE)/3),0)</f>
        <v>0</v>
      </c>
      <c r="FV39" s="323">
        <f>_xlfn.IFNA(VLOOKUP($A39,'Post 16'!$A:$AV,32,FALSE),0)/8</f>
        <v>0</v>
      </c>
      <c r="FW39" s="323"/>
      <c r="FX39" s="323">
        <f>_xlfn.IFNA((VLOOKUP($A39,HN!$A:$K,9,FALSE)/12),0)+_xlfn.IFNA((VLOOKUP($A39,HN!$A:$K,10,FALSE)/12),0)+_xlfn.IFNA((VLOOKUP($A39,HN!$A:$BZ,33,FALSE)/12),0)+_xlfn.IFNA((VLOOKUP($A39,HN!$A:$BZ,35,FALSE)/2),0)</f>
        <v>486215.63999999996</v>
      </c>
      <c r="FY39" s="323">
        <f>_xlfn.IFNA((VLOOKUP($A39,HN!$A:$BS,15,FALSE)/12),0)+_xlfn.IFNA((VLOOKUP($A39,HN!$A:$CZ,36,FALSE)/2),0)</f>
        <v>0</v>
      </c>
      <c r="FZ39" s="322">
        <f t="shared" si="47"/>
        <v>0</v>
      </c>
      <c r="GA39" s="322">
        <f t="shared" si="48"/>
        <v>0</v>
      </c>
      <c r="GB39" s="323"/>
      <c r="GC39" s="323"/>
      <c r="GD39" s="323">
        <f>_xlfn.IFNA(VLOOKUP(A39,'LA Deductions'!A:AZ,25,FALSE),0)/9</f>
        <v>0</v>
      </c>
      <c r="GE39" s="322">
        <f t="shared" si="49"/>
        <v>1036215.6399999999</v>
      </c>
      <c r="GG39" s="146">
        <f t="shared" si="59"/>
        <v>6600000</v>
      </c>
      <c r="GH39" s="146">
        <f t="shared" si="59"/>
        <v>0</v>
      </c>
      <c r="GI39" s="146">
        <f t="shared" si="59"/>
        <v>5834587.6799999988</v>
      </c>
      <c r="GJ39" s="146">
        <f t="shared" si="59"/>
        <v>0</v>
      </c>
      <c r="GK39" s="146">
        <f t="shared" si="59"/>
        <v>0</v>
      </c>
      <c r="GL39" s="146">
        <f t="shared" si="59"/>
        <v>-18745.650000000001</v>
      </c>
      <c r="GN39" s="146">
        <f t="shared" si="60"/>
        <v>6600000</v>
      </c>
      <c r="GO39" s="146">
        <f t="shared" si="60"/>
        <v>0</v>
      </c>
      <c r="GP39" s="146">
        <f t="shared" si="60"/>
        <v>5834587.6799999988</v>
      </c>
      <c r="GQ39" s="146">
        <f t="shared" si="60"/>
        <v>0</v>
      </c>
      <c r="GR39" s="146">
        <f t="shared" si="60"/>
        <v>0</v>
      </c>
      <c r="GS39" s="146">
        <f t="shared" si="60"/>
        <v>-18745.650000000001</v>
      </c>
      <c r="GU39" s="146"/>
      <c r="GV39" s="57"/>
    </row>
    <row r="40" spans="1:204">
      <c r="A40" s="185">
        <v>3432</v>
      </c>
      <c r="B40" s="185">
        <v>134840</v>
      </c>
      <c r="C40" s="185" t="s">
        <v>100</v>
      </c>
      <c r="D40" s="2" t="s">
        <v>101</v>
      </c>
      <c r="E40" s="191" t="s">
        <v>32</v>
      </c>
      <c r="F40" s="191" t="s">
        <v>912</v>
      </c>
      <c r="H40" s="279">
        <f>_xlfn.IFNA(VLOOKUP($A40,ISB!$A$4:$BY$454,67,FALSE),0)</f>
        <v>5578717.3646148462</v>
      </c>
      <c r="I40" s="279">
        <f>_xlfn.IFNA(VLOOKUP($A40,ISB!$A$4:$BY$454,72,FALSE),0)</f>
        <v>-21150.879999999997</v>
      </c>
      <c r="J40" s="279">
        <f>-_xlfn.IFNA(VLOOKUP($A40,ISB!$A$4:$BY$454,76,FALSE),0)</f>
        <v>-32329.8</v>
      </c>
      <c r="K40" s="279">
        <f>_xlfn.IFNA(VLOOKUP($A40,ISB!$A$4:$BY$454,77,FALSE),0)</f>
        <v>5525236.6846148465</v>
      </c>
      <c r="M40" s="301">
        <f t="shared" si="7"/>
        <v>464893.11371790385</v>
      </c>
      <c r="N40" s="301">
        <f>VLOOKUP($A40,EY!$A:$H,8,FALSE)+(VLOOKUP($A40,EY!$A:$BS,17,FALSE)-S40)+VLOOKUP($A40,EY!$A:$BS,41,FALSE)</f>
        <v>100696.44000000002</v>
      </c>
      <c r="O40" s="302"/>
      <c r="P40" s="302">
        <f>_xlfn.IFNA((VLOOKUP($A40,HN!$A:$K,8,FALSE)/12),0)</f>
        <v>0</v>
      </c>
      <c r="Q40" s="302">
        <f>_xlfn.IFNA((VLOOKUP($A40,HN!$A:$BS,14,FALSE)/12),0)</f>
        <v>0</v>
      </c>
      <c r="R40" s="302">
        <f>_xlfn.IFNA(VLOOKUP($A40,'Post 16'!$A:$V,21,FALSE),0)/4</f>
        <v>0</v>
      </c>
      <c r="S40" s="302">
        <f>VLOOKUP($A40,EY!A:Q,15,FALSE)*80%</f>
        <v>513.43157894736839</v>
      </c>
      <c r="T40" s="302">
        <f>_xlfn.IFNA((VLOOKUP($A40,HN!$A:$K,9,FALSE)/12),0)+_xlfn.IFNA((VLOOKUP($A40,HN!$A:$K,10,FALSE)/12),0)</f>
        <v>0</v>
      </c>
      <c r="U40" s="302">
        <f>_xlfn.IFNA((VLOOKUP($A40,HN!$A:$BS,15,FALSE)/12),0)</f>
        <v>0</v>
      </c>
      <c r="V40" s="301">
        <f t="shared" si="8"/>
        <v>-1762.573333333333</v>
      </c>
      <c r="W40" s="301">
        <f t="shared" si="9"/>
        <v>-2694.15</v>
      </c>
      <c r="X40" s="302"/>
      <c r="Y40" s="302">
        <f>_xlfn.IFNA(VLOOKUP($A40,'Cash Advances'!$A:$S,8,FALSE),0)</f>
        <v>0</v>
      </c>
      <c r="Z40" s="301">
        <f t="shared" si="54"/>
        <v>561646.26196351787</v>
      </c>
      <c r="AA40" s="315">
        <f t="shared" si="10"/>
        <v>464893.11371790385</v>
      </c>
      <c r="AB40" s="315"/>
      <c r="AC40" s="316"/>
      <c r="AD40" s="316">
        <f>_xlfn.IFNA((VLOOKUP($A40,HN!$A:$K,8,FALSE)/12),0)</f>
        <v>0</v>
      </c>
      <c r="AE40" s="316">
        <f>_xlfn.IFNA((VLOOKUP($A40,HN!$A:$BS,14,FALSE)/12),0)</f>
        <v>0</v>
      </c>
      <c r="AF40" s="316">
        <f>_xlfn.IFNA(VLOOKUP($A40,'Post 16'!$A:$V,21,FALSE),0)/4</f>
        <v>0</v>
      </c>
      <c r="AG40" s="316"/>
      <c r="AH40" s="316">
        <f>_xlfn.IFNA((VLOOKUP($A40,HN!$A:$K,9,FALSE)/12),0)+_xlfn.IFNA((VLOOKUP($A40,HN!$A:$K,10,FALSE)/12),0)</f>
        <v>0</v>
      </c>
      <c r="AI40" s="316">
        <f>_xlfn.IFNA((VLOOKUP($A40,HN!$A:$BS,15,FALSE)/12),0)</f>
        <v>0</v>
      </c>
      <c r="AJ40" s="315">
        <f t="shared" si="11"/>
        <v>-1762.573333333333</v>
      </c>
      <c r="AK40" s="315">
        <f t="shared" si="12"/>
        <v>-2694.15</v>
      </c>
      <c r="AL40" s="316"/>
      <c r="AM40" s="316">
        <f>_xlfn.IFNA(VLOOKUP($A40,'Cash Advances'!$A:$S,9,FALSE),0)</f>
        <v>0</v>
      </c>
      <c r="AN40" s="315">
        <f t="shared" si="55"/>
        <v>460436.39038457052</v>
      </c>
      <c r="AO40" s="308">
        <f t="shared" si="13"/>
        <v>464893.11371790385</v>
      </c>
      <c r="AP40" s="308"/>
      <c r="AQ40" s="309"/>
      <c r="AR40" s="309">
        <f>_xlfn.IFNA((VLOOKUP($A40,HN!$A:$K,8,FALSE)/12),0)</f>
        <v>0</v>
      </c>
      <c r="AS40" s="309">
        <f>_xlfn.IFNA((VLOOKUP($A40,HN!$A:$BS,14,FALSE)/12),0)</f>
        <v>0</v>
      </c>
      <c r="AT40" s="309">
        <f>_xlfn.IFNA(VLOOKUP($A40,'Post 16'!$A:$V,21,FALSE),0)/4</f>
        <v>0</v>
      </c>
      <c r="AU40" s="309"/>
      <c r="AV40" s="309">
        <f>_xlfn.IFNA((VLOOKUP($A40,HN!$A:$K,9,FALSE)/12),0)+_xlfn.IFNA((VLOOKUP($A40,HN!$A:$K,10,FALSE)/12),0)+_xlfn.IFNA(VLOOKUP(A40,HN!A:V,19,FALSE),0)+_xlfn.IFNA(VLOOKUP(A40,HN!A:V,20,FALSE),0)+_xlfn.IFNA(VLOOKUP(A40,HN!A:V,21,FALSE),0)</f>
        <v>0</v>
      </c>
      <c r="AW40" s="309">
        <f>_xlfn.IFNA((VLOOKUP($A40,HN!$A:$BS,15,FALSE)/12),0)</f>
        <v>0</v>
      </c>
      <c r="AX40" s="308">
        <f t="shared" si="14"/>
        <v>-1762.573333333333</v>
      </c>
      <c r="AY40" s="308">
        <f t="shared" si="15"/>
        <v>-2694.15</v>
      </c>
      <c r="AZ40" s="309"/>
      <c r="BA40" s="309">
        <f>_xlfn.IFNA(VLOOKUP($A40,'Cash Advances'!$A:$S,10,FALSE),0)</f>
        <v>0</v>
      </c>
      <c r="BB40" s="308">
        <f t="shared" si="56"/>
        <v>460436.39038457052</v>
      </c>
      <c r="BC40" s="330">
        <f t="shared" si="16"/>
        <v>464893.11371790385</v>
      </c>
      <c r="BD40" s="330"/>
      <c r="BE40" s="331"/>
      <c r="BF40" s="331">
        <f>_xlfn.IFNA((VLOOKUP($A40,HN!$A:$K,8,FALSE)/12),0)</f>
        <v>0</v>
      </c>
      <c r="BG40" s="331">
        <f>_xlfn.IFNA((VLOOKUP($A40,HN!$A:$BS,14,FALSE)/12),0)</f>
        <v>0</v>
      </c>
      <c r="BH40" s="331">
        <f>_xlfn.IFNA(VLOOKUP($A40,'Post 16'!$A:$V,21,FALSE),0)/4</f>
        <v>0</v>
      </c>
      <c r="BI40" s="331"/>
      <c r="BJ40" s="331">
        <f>_xlfn.IFNA((VLOOKUP($A40,HN!$A:$K,9,FALSE)/12),0)+_xlfn.IFNA((VLOOKUP($A40,HN!$A:$K,10,FALSE)/12),0)</f>
        <v>0</v>
      </c>
      <c r="BK40" s="331">
        <f>_xlfn.IFNA((VLOOKUP($A40,HN!$A:$BS,15,FALSE)/12),0)</f>
        <v>0</v>
      </c>
      <c r="BL40" s="330">
        <f t="shared" si="17"/>
        <v>-1762.573333333333</v>
      </c>
      <c r="BM40" s="330">
        <f t="shared" si="18"/>
        <v>-2694.15</v>
      </c>
      <c r="BN40" s="331"/>
      <c r="BO40" s="331">
        <f>_xlfn.IFNA(VLOOKUP(A40,'Cash Advances'!A:K,11,FALSE),0)</f>
        <v>0</v>
      </c>
      <c r="BP40" s="330">
        <f t="shared" si="57"/>
        <v>460436.39038457052</v>
      </c>
      <c r="BQ40" s="322">
        <f t="shared" si="19"/>
        <v>464893.11371790385</v>
      </c>
      <c r="BR40" s="322"/>
      <c r="BS40" s="323"/>
      <c r="BT40" s="323">
        <f>_xlfn.IFNA((VLOOKUP($A40,HN!$A:$K,8,FALSE)/12),0)</f>
        <v>0</v>
      </c>
      <c r="BU40" s="323">
        <f>_xlfn.IFNA((VLOOKUP($A40,HN!$A:$BS,14,FALSE)/12),0)</f>
        <v>0</v>
      </c>
      <c r="BV40" s="323">
        <f>(_xlfn.IFNA(VLOOKUP($A40,'Post 16'!$A:$AV,32,FALSE),0)/8)+_xlfn.IFNA(VLOOKUP($A40,'Post 16'!$A:$AR,40,FALSE),0)</f>
        <v>0</v>
      </c>
      <c r="BW40" s="323"/>
      <c r="BX40" s="323">
        <f>_xlfn.IFNA((VLOOKUP($A40,HN!$A:$K,9,FALSE)/12),0)+_xlfn.IFNA((VLOOKUP($A40,HN!$A:$K,10,FALSE)/12),0)</f>
        <v>0</v>
      </c>
      <c r="BY40" s="323">
        <f>_xlfn.IFNA((VLOOKUP($A40,HN!$A:$BS,15,FALSE)/12),0)</f>
        <v>0</v>
      </c>
      <c r="BZ40" s="322">
        <f t="shared" si="20"/>
        <v>-1762.573333333333</v>
      </c>
      <c r="CA40" s="322">
        <f t="shared" si="21"/>
        <v>-2694.15</v>
      </c>
      <c r="CB40" s="323"/>
      <c r="CC40" s="323"/>
      <c r="CD40" s="322">
        <f t="shared" si="58"/>
        <v>460436.39038457052</v>
      </c>
      <c r="CE40" s="357">
        <f t="shared" si="22"/>
        <v>464893.11371790385</v>
      </c>
      <c r="CF40" s="357">
        <f>(VLOOKUP($A40,EY!$A:$BS,26,FALSE)-(VLOOKUP($A40,EY!A:CR,24,FALSE)*80%))+VLOOKUP($A40,EY!$A:$BS,42,FALSE)+(VLOOKUP($A40,EY!A:CC,74,FALSE)-VLOOKUP($A40,EY!A:CC,72,FALSE))</f>
        <v>78897.448157894745</v>
      </c>
      <c r="CG40" s="358"/>
      <c r="CH40" s="358">
        <f>_xlfn.IFNA((VLOOKUP($A40,HN!$A:$K,8,FALSE)/12),0)</f>
        <v>0</v>
      </c>
      <c r="CI40" s="358">
        <f>_xlfn.IFNA((VLOOKUP($A40,HN!$A:$BS,14,FALSE)/12),0)</f>
        <v>0</v>
      </c>
      <c r="CJ40" s="358">
        <f>(_xlfn.IFNA(VLOOKUP($A40,'Post 16'!$A:$AV,32,FALSE),0)/8)</f>
        <v>0</v>
      </c>
      <c r="CK40" s="358">
        <f>(VLOOKUP($A40,EY!A:CR,24,FALSE)*80%)+VLOOKUP($A40,EY!A:CC,72,FALSE)</f>
        <v>-513.43157894736839</v>
      </c>
      <c r="CL40" s="358">
        <f>_xlfn.IFNA((VLOOKUP($A40,HN!$A:$K,9,FALSE)/12),0)+_xlfn.IFNA((VLOOKUP($A40,HN!$A:$K,10,FALSE)/12),0)</f>
        <v>0</v>
      </c>
      <c r="CM40" s="358">
        <f>_xlfn.IFNA((VLOOKUP($A40,HN!$A:$BS,15,FALSE)/12),0)</f>
        <v>0</v>
      </c>
      <c r="CN40" s="357">
        <f t="shared" si="23"/>
        <v>-1762.573333333333</v>
      </c>
      <c r="CO40" s="357">
        <f t="shared" si="24"/>
        <v>-2694.15</v>
      </c>
      <c r="CP40" s="358">
        <f>_xlfn.IFNA(VLOOKUP(A40,'LA Deductions'!A:W,23,FALSE),0)</f>
        <v>-22801.5</v>
      </c>
      <c r="CQ40" s="358">
        <f>_xlfn.IFNA(VLOOKUP($A40,'Cash Advances'!$A:$S,13,FALSE),0)</f>
        <v>0</v>
      </c>
      <c r="CR40" s="358">
        <f>_xlfn.IFNA(VLOOKUP(A40,'LA Deductions'!A:AZ,25,FALSE),0)/9*3</f>
        <v>0</v>
      </c>
      <c r="CS40" s="357">
        <f t="shared" si="25"/>
        <v>516018.90696351789</v>
      </c>
      <c r="CT40" s="337">
        <f t="shared" si="26"/>
        <v>464893.11371790385</v>
      </c>
      <c r="CU40" s="337"/>
      <c r="CV40" s="338">
        <f>_xlfn.IFNA(VLOOKUP(A40,'LA Deductions'!$A$6:$AN$207,34,FALSE),0)</f>
        <v>0</v>
      </c>
      <c r="CW40" s="338">
        <f>_xlfn.IFNA((VLOOKUP($A40,HN!$A:$K,8,FALSE)/12),0)</f>
        <v>0</v>
      </c>
      <c r="CX40" s="338">
        <f>_xlfn.IFNA((VLOOKUP($A40,HN!$A:$BS,14,FALSE)/12),0)</f>
        <v>0</v>
      </c>
      <c r="CY40" s="338">
        <f>_xlfn.IFNA(VLOOKUP($A40,'Post 16'!$A:$AV,32,FALSE),0)/8</f>
        <v>0</v>
      </c>
      <c r="CZ40" s="338"/>
      <c r="DA40" s="338">
        <f>_xlfn.IFNA((VLOOKUP($A40,HN!$A:$K,9,FALSE)/12),0)+_xlfn.IFNA((VLOOKUP($A40,HN!$A:$K,10,FALSE)/12),0)</f>
        <v>0</v>
      </c>
      <c r="DB40" s="338">
        <f>_xlfn.IFNA((VLOOKUP($A40,HN!$A:$BS,15,FALSE)/12),0)</f>
        <v>0</v>
      </c>
      <c r="DC40" s="337">
        <f t="shared" si="27"/>
        <v>-1762.573333333333</v>
      </c>
      <c r="DD40" s="337">
        <f t="shared" si="28"/>
        <v>-2694.15</v>
      </c>
      <c r="DE40" s="338"/>
      <c r="DF40" s="338">
        <f>_xlfn.IFNA(VLOOKUP($A40,'Cash Advances'!$A:$S,14,FALSE),0)</f>
        <v>0</v>
      </c>
      <c r="DG40" s="338">
        <f>(_xlfn.IFNA(VLOOKUP(A40,'LA Deductions'!A:AZ,25,FALSE),0)/9)+(_xlfn.IFNA(VLOOKUP(A40,'LA Deductions'!A:AZ,26,FALSE),0))</f>
        <v>0</v>
      </c>
      <c r="DH40" s="337">
        <f t="shared" si="29"/>
        <v>460436.39038457052</v>
      </c>
      <c r="DI40" s="330">
        <f t="shared" si="30"/>
        <v>464893.11371790385</v>
      </c>
      <c r="DJ40" s="330"/>
      <c r="DK40" s="331"/>
      <c r="DL40" s="331">
        <f>_xlfn.IFNA((VLOOKUP($A40,HN!$A:$K,8,FALSE)/12),0)+_xlfn.IFNA((VLOOKUP($A40,HN!$A:$AF,32,FALSE)*8/12),0)</f>
        <v>0</v>
      </c>
      <c r="DM40" s="331">
        <f>_xlfn.IFNA((VLOOKUP($A40,HN!$A:$BS,14,FALSE)/12),0)+_xlfn.IFNA(VLOOKUP($A40,HN!$A:$BS,31,FALSE),0)</f>
        <v>0</v>
      </c>
      <c r="DN40" s="331">
        <f>_xlfn.IFNA(VLOOKUP($A40,'Post 16'!$A:$AV,32,FALSE),0)/8</f>
        <v>0</v>
      </c>
      <c r="DO40" s="331"/>
      <c r="DP40" s="331">
        <f>_xlfn.IFNA((VLOOKUP($A40,HN!$A:$K,9,FALSE)/12),0)+_xlfn.IFNA((VLOOKUP($A40,HN!$A:$K,10,FALSE)/12),0)+_xlfn.IFNA((VLOOKUP($A40,HN!$A:$BZ,33,FALSE)*8/12),0)</f>
        <v>0</v>
      </c>
      <c r="DQ40" s="331">
        <f>_xlfn.IFNA((VLOOKUP($A40,HN!$A:$BS,15,FALSE)/12),0)</f>
        <v>0</v>
      </c>
      <c r="DR40" s="330">
        <f t="shared" si="31"/>
        <v>-1762.573333333333</v>
      </c>
      <c r="DS40" s="330">
        <f t="shared" si="32"/>
        <v>-2694.15</v>
      </c>
      <c r="DT40" s="331"/>
      <c r="DU40" s="331"/>
      <c r="DV40" s="331">
        <f>(_xlfn.IFNA(VLOOKUP(A40,'LA Deductions'!A:AZ,25,FALSE),0)/9)+_xlfn.IFNA(VLOOKUP(A40,'LA Deductions'!A:AZ,27,FALSE),0)</f>
        <v>0</v>
      </c>
      <c r="DW40" s="330">
        <f t="shared" si="33"/>
        <v>460436.39038457052</v>
      </c>
      <c r="DX40" s="344">
        <f t="shared" si="34"/>
        <v>464893.11371790385</v>
      </c>
      <c r="DY40" s="344"/>
      <c r="DZ40" s="345"/>
      <c r="EA40" s="345">
        <f>_xlfn.IFNA((VLOOKUP($A40,HN!$A:$K,8,FALSE)/12),0)+_xlfn.IFNA((VLOOKUP($A40,HN!$A:$AF,32,FALSE)*1/12),0)</f>
        <v>0</v>
      </c>
      <c r="EB40" s="345">
        <f>_xlfn.IFNA((VLOOKUP($A40,HN!$A:$BS,14,FALSE)/12),0)</f>
        <v>0</v>
      </c>
      <c r="EC40" s="345">
        <f>_xlfn.IFNA(VLOOKUP($A40,'Post 16'!$A:$AV,32,FALSE),0)/8</f>
        <v>0</v>
      </c>
      <c r="ED40" s="345"/>
      <c r="EE40" s="345">
        <f>_xlfn.IFNA((VLOOKUP($A40,HN!$A:$K,9,FALSE)/12),0)+_xlfn.IFNA((VLOOKUP($A40,HN!$A:$K,10,FALSE)/12),0)+_xlfn.IFNA((VLOOKUP($A40,HN!$A:$BZ,33,FALSE)/12),0)</f>
        <v>0</v>
      </c>
      <c r="EF40" s="345">
        <f>_xlfn.IFNA((VLOOKUP($A40,HN!$A:$BS,15,FALSE)/12),0)</f>
        <v>0</v>
      </c>
      <c r="EG40" s="344">
        <f t="shared" si="35"/>
        <v>-1762.573333333333</v>
      </c>
      <c r="EH40" s="344">
        <f t="shared" si="36"/>
        <v>-2694.15</v>
      </c>
      <c r="EI40" s="345"/>
      <c r="EJ40" s="345">
        <f>_xlfn.IFNA(VLOOKUP(A40,'Cash Advances'!A:P,16,FALSE),0)</f>
        <v>0</v>
      </c>
      <c r="EK40" s="345">
        <f>_xlfn.IFNA(VLOOKUP(A40,'LA Deductions'!A:AZ,25,FALSE),0)/9</f>
        <v>0</v>
      </c>
      <c r="EL40" s="344">
        <f t="shared" si="37"/>
        <v>460436.39038457052</v>
      </c>
      <c r="EM40" s="308">
        <f t="shared" si="38"/>
        <v>464893.11371790385</v>
      </c>
      <c r="EN40" s="308">
        <f>((VLOOKUP($A40,EY!$A:$BS,35,FALSE)-(VLOOKUP($A40,EY!$A:$BS,33,FALSE)*80%))+VLOOKUP($A40,EY!$A:$BS,43,FALSE))+(VLOOKUP(A40,EY!A:DF,110,FALSE)-VLOOKUP(A40,EY!A:DD,108,FALSE))+(VLOOKUP(A40,EY!A:CE,83,FALSE)-VLOOKUP(A40,EY!A:CC,81,FALSE))</f>
        <v>69621.128795013821</v>
      </c>
      <c r="EO40" s="309"/>
      <c r="EP40" s="309">
        <f>_xlfn.IFNA((VLOOKUP($A40,HN!$A:$K,8,FALSE)/12),0)+_xlfn.IFNA((VLOOKUP($A40,HN!$A:$AF,32,FALSE)*1/12),0)</f>
        <v>0</v>
      </c>
      <c r="EQ40" s="309">
        <f>_xlfn.IFNA((VLOOKUP($A40,HN!$A:$BS,14,FALSE)/12),0)+_xlfn.IFNA((VLOOKUP($A40,HN!$A:$BS,34,FALSE)/3),0)</f>
        <v>0</v>
      </c>
      <c r="ER40" s="309">
        <f>_xlfn.IFNA(VLOOKUP($A40,'Post 16'!$A:$AV,32,FALSE),0)/8</f>
        <v>0</v>
      </c>
      <c r="ES40" s="309">
        <f>((VLOOKUP($A40,EY!A:EV,33,FALSE)*80%))+VLOOKUP(A40,EY!A:DD,108,FALSE)+VLOOKUP(A40,EY!A:CC,81,FALSE)</f>
        <v>4368</v>
      </c>
      <c r="ET40" s="309">
        <f>_xlfn.IFNA((VLOOKUP($A40,HN!$A:$K,9,FALSE)/12),0)+_xlfn.IFNA((VLOOKUP($A40,HN!$A:$K,10,FALSE)/12),0)+_xlfn.IFNA((VLOOKUP($A40,HN!$A:$BZ,33,FALSE)/12),0)</f>
        <v>0</v>
      </c>
      <c r="EU40" s="309">
        <f>_xlfn.IFNA((VLOOKUP($A40,HN!$A:$BS,15,FALSE)/12),0)</f>
        <v>0</v>
      </c>
      <c r="EV40" s="308">
        <f t="shared" si="39"/>
        <v>-1762.573333333333</v>
      </c>
      <c r="EW40" s="308">
        <f t="shared" si="40"/>
        <v>-2694.15</v>
      </c>
      <c r="EX40" s="309"/>
      <c r="EY40" s="309">
        <f>_xlfn.IFNA(VLOOKUP($A40,'Cash Advances'!$A:$S,17,FALSE),0)</f>
        <v>0</v>
      </c>
      <c r="EZ40" s="309">
        <f>_xlfn.IFNA(VLOOKUP(A40,'LA Deductions'!A:AZ,25,FALSE),0)/9</f>
        <v>0</v>
      </c>
      <c r="FA40" s="308">
        <f t="shared" si="41"/>
        <v>534425.51917958423</v>
      </c>
      <c r="FB40" s="315">
        <f t="shared" si="42"/>
        <v>464893.11371790385</v>
      </c>
      <c r="FC40" s="315"/>
      <c r="FD40" s="316"/>
      <c r="FE40" s="316">
        <f>_xlfn.IFNA((VLOOKUP($A40,HN!$A:$K,8,FALSE)/12),0)+_xlfn.IFNA((VLOOKUP($A40,HN!$A:$AF,32,FALSE)*1/12),0)</f>
        <v>0</v>
      </c>
      <c r="FF40" s="316">
        <f>_xlfn.IFNA((VLOOKUP($A40,HN!$A:$BS,14,FALSE)/12),0)+_xlfn.IFNA((VLOOKUP($A40,HN!$A:$BS,34,FALSE)/3),0)</f>
        <v>0</v>
      </c>
      <c r="FG40" s="316">
        <f>_xlfn.IFNA(VLOOKUP($A40,'Post 16'!$A:$AV,32,FALSE),0)/8</f>
        <v>0</v>
      </c>
      <c r="FH40" s="316"/>
      <c r="FI40" s="316">
        <f>_xlfn.IFNA((VLOOKUP($A40,HN!$A:$K,9,FALSE)/12),0)+_xlfn.IFNA((VLOOKUP($A40,HN!$A:$K,10,FALSE)/12),0)+_xlfn.IFNA((VLOOKUP($A40,HN!$A:$BZ,33,FALSE)/12),0)+_xlfn.IFNA((VLOOKUP($A40,HN!$A:$BZ,35,FALSE)/2),0)</f>
        <v>0</v>
      </c>
      <c r="FJ40" s="316">
        <f>_xlfn.IFNA((VLOOKUP($A40,HN!$A:$BS,15,FALSE)/12),0)+_xlfn.IFNA((VLOOKUP($A40,HN!$A:$CZ,36,FALSE)/2),0)</f>
        <v>0</v>
      </c>
      <c r="FK40" s="315">
        <f t="shared" si="43"/>
        <v>-1762.573333333333</v>
      </c>
      <c r="FL40" s="315">
        <f t="shared" si="44"/>
        <v>-2694.15</v>
      </c>
      <c r="FM40" s="316"/>
      <c r="FN40" s="316">
        <f>_xlfn.IFNA(VLOOKUP($A40,'Cash Advances'!$A:$S,18,FALSE),0)</f>
        <v>0</v>
      </c>
      <c r="FO40" s="316">
        <f>_xlfn.IFNA(VLOOKUP(A40,'LA Deductions'!A:AZ,25,FALSE),0)/9</f>
        <v>0</v>
      </c>
      <c r="FP40" s="315">
        <f t="shared" si="45"/>
        <v>460436.39038457052</v>
      </c>
      <c r="FQ40" s="322">
        <f t="shared" si="46"/>
        <v>464893.11371790385</v>
      </c>
      <c r="FR40" s="322"/>
      <c r="FS40" s="323"/>
      <c r="FT40" s="323">
        <f>_xlfn.IFNA((VLOOKUP($A40,HN!$A:$K,8,FALSE)/12),0)+_xlfn.IFNA((VLOOKUP($A40,HN!$A:$AF,32,FALSE)*1/12),0)</f>
        <v>0</v>
      </c>
      <c r="FU40" s="323">
        <f>_xlfn.IFNA((VLOOKUP($A40,HN!$A:$BS,14,FALSE)/12),0)+_xlfn.IFNA((VLOOKUP($A40,HN!$A:$BS,34,FALSE)/3),0)</f>
        <v>0</v>
      </c>
      <c r="FV40" s="323">
        <f>_xlfn.IFNA(VLOOKUP($A40,'Post 16'!$A:$AV,32,FALSE),0)/8</f>
        <v>0</v>
      </c>
      <c r="FW40" s="323"/>
      <c r="FX40" s="323">
        <f>_xlfn.IFNA((VLOOKUP($A40,HN!$A:$K,9,FALSE)/12),0)+_xlfn.IFNA((VLOOKUP($A40,HN!$A:$K,10,FALSE)/12),0)+_xlfn.IFNA((VLOOKUP($A40,HN!$A:$BZ,33,FALSE)/12),0)+_xlfn.IFNA((VLOOKUP($A40,HN!$A:$BZ,35,FALSE)/2),0)</f>
        <v>0</v>
      </c>
      <c r="FY40" s="323">
        <f>_xlfn.IFNA((VLOOKUP($A40,HN!$A:$BS,15,FALSE)/12),0)+_xlfn.IFNA((VLOOKUP($A40,HN!$A:$CZ,36,FALSE)/2),0)</f>
        <v>0</v>
      </c>
      <c r="FZ40" s="322">
        <f t="shared" si="47"/>
        <v>-1762.573333333333</v>
      </c>
      <c r="GA40" s="322">
        <f t="shared" si="48"/>
        <v>-2694.15</v>
      </c>
      <c r="GB40" s="323"/>
      <c r="GC40" s="323"/>
      <c r="GD40" s="323">
        <f>_xlfn.IFNA(VLOOKUP(A40,'LA Deductions'!A:AZ,25,FALSE),0)/9</f>
        <v>0</v>
      </c>
      <c r="GE40" s="322">
        <f t="shared" si="49"/>
        <v>460436.39038457052</v>
      </c>
      <c r="GG40" s="146">
        <f t="shared" si="59"/>
        <v>5827932.3815677557</v>
      </c>
      <c r="GH40" s="146">
        <f t="shared" si="59"/>
        <v>0</v>
      </c>
      <c r="GI40" s="146">
        <f t="shared" si="59"/>
        <v>4368</v>
      </c>
      <c r="GJ40" s="146">
        <f t="shared" si="59"/>
        <v>-21150.880000000001</v>
      </c>
      <c r="GK40" s="146">
        <f t="shared" si="59"/>
        <v>-32329.800000000007</v>
      </c>
      <c r="GL40" s="146">
        <f t="shared" si="59"/>
        <v>-22801.5</v>
      </c>
      <c r="GN40" s="146">
        <f t="shared" si="60"/>
        <v>5827932.3815677557</v>
      </c>
      <c r="GO40" s="146">
        <f t="shared" si="60"/>
        <v>0</v>
      </c>
      <c r="GP40" s="146">
        <f t="shared" si="60"/>
        <v>4368</v>
      </c>
      <c r="GQ40" s="146">
        <f t="shared" si="60"/>
        <v>-21150.880000000001</v>
      </c>
      <c r="GR40" s="146">
        <f t="shared" si="60"/>
        <v>-32329.800000000007</v>
      </c>
      <c r="GS40" s="146">
        <f t="shared" si="60"/>
        <v>-22801.5</v>
      </c>
      <c r="GU40" s="146"/>
      <c r="GV40" s="57"/>
    </row>
    <row r="41" spans="1:204">
      <c r="A41" s="185">
        <v>2289</v>
      </c>
      <c r="B41" s="185">
        <v>103315</v>
      </c>
      <c r="C41" s="185" t="s">
        <v>102</v>
      </c>
      <c r="D41" s="2" t="s">
        <v>103</v>
      </c>
      <c r="E41" s="191" t="s">
        <v>32</v>
      </c>
      <c r="F41" s="191" t="s">
        <v>912</v>
      </c>
      <c r="H41" s="279">
        <f>_xlfn.IFNA(VLOOKUP($A41,ISB!$A$4:$BY$454,67,FALSE),0)</f>
        <v>2253344.462859611</v>
      </c>
      <c r="I41" s="279">
        <f>_xlfn.IFNA(VLOOKUP($A41,ISB!$A$4:$BY$454,72,FALSE),0)</f>
        <v>-10771.039999999999</v>
      </c>
      <c r="J41" s="279">
        <f>-_xlfn.IFNA(VLOOKUP($A41,ISB!$A$4:$BY$454,76,FALSE),0)</f>
        <v>-18982.84</v>
      </c>
      <c r="K41" s="279">
        <f>_xlfn.IFNA(VLOOKUP($A41,ISB!$A$4:$BY$454,77,FALSE),0)</f>
        <v>2223590.5828596111</v>
      </c>
      <c r="M41" s="301">
        <f t="shared" si="7"/>
        <v>187778.70523830093</v>
      </c>
      <c r="N41" s="301">
        <f>VLOOKUP($A41,EY!$A:$H,8,FALSE)+(VLOOKUP($A41,EY!$A:$BS,17,FALSE)-S41)+VLOOKUP($A41,EY!$A:$BS,41,FALSE)</f>
        <v>0</v>
      </c>
      <c r="O41" s="302"/>
      <c r="P41" s="302">
        <f>_xlfn.IFNA((VLOOKUP($A41,HN!$A:$K,8,FALSE)/12),0)</f>
        <v>0</v>
      </c>
      <c r="Q41" s="302">
        <f>_xlfn.IFNA((VLOOKUP($A41,HN!$A:$BS,14,FALSE)/12),0)</f>
        <v>0</v>
      </c>
      <c r="R41" s="302">
        <f>_xlfn.IFNA(VLOOKUP($A41,'Post 16'!$A:$V,21,FALSE),0)/4</f>
        <v>0</v>
      </c>
      <c r="S41" s="302">
        <f>VLOOKUP($A41,EY!A:Q,15,FALSE)*80%</f>
        <v>0</v>
      </c>
      <c r="T41" s="302">
        <f>_xlfn.IFNA((VLOOKUP($A41,HN!$A:$K,9,FALSE)/12),0)+_xlfn.IFNA((VLOOKUP($A41,HN!$A:$K,10,FALSE)/12),0)</f>
        <v>0</v>
      </c>
      <c r="U41" s="302">
        <f>_xlfn.IFNA((VLOOKUP($A41,HN!$A:$BS,15,FALSE)/12),0)</f>
        <v>0</v>
      </c>
      <c r="V41" s="301">
        <f t="shared" si="8"/>
        <v>-897.58666666666659</v>
      </c>
      <c r="W41" s="301">
        <f t="shared" si="9"/>
        <v>-1581.9033333333334</v>
      </c>
      <c r="X41" s="302"/>
      <c r="Y41" s="302">
        <f>_xlfn.IFNA(VLOOKUP($A41,'Cash Advances'!$A:$S,8,FALSE),0)</f>
        <v>0</v>
      </c>
      <c r="Z41" s="301">
        <f t="shared" si="54"/>
        <v>185299.21523830094</v>
      </c>
      <c r="AA41" s="315">
        <f t="shared" si="10"/>
        <v>187778.70523830093</v>
      </c>
      <c r="AB41" s="315"/>
      <c r="AC41" s="316"/>
      <c r="AD41" s="316">
        <f>_xlfn.IFNA((VLOOKUP($A41,HN!$A:$K,8,FALSE)/12),0)</f>
        <v>0</v>
      </c>
      <c r="AE41" s="316">
        <f>_xlfn.IFNA((VLOOKUP($A41,HN!$A:$BS,14,FALSE)/12),0)</f>
        <v>0</v>
      </c>
      <c r="AF41" s="316">
        <f>_xlfn.IFNA(VLOOKUP($A41,'Post 16'!$A:$V,21,FALSE),0)/4</f>
        <v>0</v>
      </c>
      <c r="AG41" s="316"/>
      <c r="AH41" s="316">
        <f>_xlfn.IFNA((VLOOKUP($A41,HN!$A:$K,9,FALSE)/12),0)+_xlfn.IFNA((VLOOKUP($A41,HN!$A:$K,10,FALSE)/12),0)</f>
        <v>0</v>
      </c>
      <c r="AI41" s="316">
        <f>_xlfn.IFNA((VLOOKUP($A41,HN!$A:$BS,15,FALSE)/12),0)</f>
        <v>0</v>
      </c>
      <c r="AJ41" s="315">
        <f t="shared" si="11"/>
        <v>-897.58666666666659</v>
      </c>
      <c r="AK41" s="315">
        <f t="shared" si="12"/>
        <v>-1581.9033333333334</v>
      </c>
      <c r="AL41" s="316"/>
      <c r="AM41" s="316">
        <f>_xlfn.IFNA(VLOOKUP($A41,'Cash Advances'!$A:$S,9,FALSE),0)</f>
        <v>0</v>
      </c>
      <c r="AN41" s="315">
        <f t="shared" si="55"/>
        <v>185299.21523830094</v>
      </c>
      <c r="AO41" s="308">
        <f t="shared" si="13"/>
        <v>187778.70523830093</v>
      </c>
      <c r="AP41" s="308"/>
      <c r="AQ41" s="309"/>
      <c r="AR41" s="309">
        <f>_xlfn.IFNA((VLOOKUP($A41,HN!$A:$K,8,FALSE)/12),0)</f>
        <v>0</v>
      </c>
      <c r="AS41" s="309">
        <f>_xlfn.IFNA((VLOOKUP($A41,HN!$A:$BS,14,FALSE)/12),0)</f>
        <v>0</v>
      </c>
      <c r="AT41" s="309">
        <f>_xlfn.IFNA(VLOOKUP($A41,'Post 16'!$A:$V,21,FALSE),0)/4</f>
        <v>0</v>
      </c>
      <c r="AU41" s="309"/>
      <c r="AV41" s="309">
        <f>_xlfn.IFNA((VLOOKUP($A41,HN!$A:$K,9,FALSE)/12),0)+_xlfn.IFNA((VLOOKUP($A41,HN!$A:$K,10,FALSE)/12),0)+_xlfn.IFNA(VLOOKUP(A41,HN!A:V,19,FALSE),0)+_xlfn.IFNA(VLOOKUP(A41,HN!A:V,20,FALSE),0)+_xlfn.IFNA(VLOOKUP(A41,HN!A:V,21,FALSE),0)</f>
        <v>0</v>
      </c>
      <c r="AW41" s="309">
        <f>_xlfn.IFNA((VLOOKUP($A41,HN!$A:$BS,15,FALSE)/12),0)</f>
        <v>0</v>
      </c>
      <c r="AX41" s="308">
        <f t="shared" si="14"/>
        <v>-897.58666666666659</v>
      </c>
      <c r="AY41" s="308">
        <f t="shared" si="15"/>
        <v>-1581.9033333333334</v>
      </c>
      <c r="AZ41" s="309"/>
      <c r="BA41" s="309">
        <f>_xlfn.IFNA(VLOOKUP($A41,'Cash Advances'!$A:$S,10,FALSE),0)</f>
        <v>0</v>
      </c>
      <c r="BB41" s="308">
        <f t="shared" si="56"/>
        <v>185299.21523830094</v>
      </c>
      <c r="BC41" s="330">
        <f t="shared" si="16"/>
        <v>187778.70523830093</v>
      </c>
      <c r="BD41" s="330"/>
      <c r="BE41" s="331"/>
      <c r="BF41" s="331">
        <f>_xlfn.IFNA((VLOOKUP($A41,HN!$A:$K,8,FALSE)/12),0)</f>
        <v>0</v>
      </c>
      <c r="BG41" s="331">
        <f>_xlfn.IFNA((VLOOKUP($A41,HN!$A:$BS,14,FALSE)/12),0)</f>
        <v>0</v>
      </c>
      <c r="BH41" s="331">
        <f>_xlfn.IFNA(VLOOKUP($A41,'Post 16'!$A:$V,21,FALSE),0)/4</f>
        <v>0</v>
      </c>
      <c r="BI41" s="331"/>
      <c r="BJ41" s="331">
        <f>_xlfn.IFNA((VLOOKUP($A41,HN!$A:$K,9,FALSE)/12),0)+_xlfn.IFNA((VLOOKUP($A41,HN!$A:$K,10,FALSE)/12),0)</f>
        <v>0</v>
      </c>
      <c r="BK41" s="331">
        <f>_xlfn.IFNA((VLOOKUP($A41,HN!$A:$BS,15,FALSE)/12),0)</f>
        <v>0</v>
      </c>
      <c r="BL41" s="330">
        <f t="shared" si="17"/>
        <v>-897.58666666666659</v>
      </c>
      <c r="BM41" s="330">
        <f t="shared" si="18"/>
        <v>-1581.9033333333334</v>
      </c>
      <c r="BN41" s="331"/>
      <c r="BO41" s="331">
        <f>_xlfn.IFNA(VLOOKUP(A41,'Cash Advances'!A:K,11,FALSE),0)</f>
        <v>0</v>
      </c>
      <c r="BP41" s="330">
        <f t="shared" si="57"/>
        <v>185299.21523830094</v>
      </c>
      <c r="BQ41" s="322">
        <f t="shared" si="19"/>
        <v>187778.70523830093</v>
      </c>
      <c r="BR41" s="322"/>
      <c r="BS41" s="323"/>
      <c r="BT41" s="323">
        <f>_xlfn.IFNA((VLOOKUP($A41,HN!$A:$K,8,FALSE)/12),0)</f>
        <v>0</v>
      </c>
      <c r="BU41" s="323">
        <f>_xlfn.IFNA((VLOOKUP($A41,HN!$A:$BS,14,FALSE)/12),0)</f>
        <v>0</v>
      </c>
      <c r="BV41" s="323">
        <f>(_xlfn.IFNA(VLOOKUP($A41,'Post 16'!$A:$AV,32,FALSE),0)/8)+_xlfn.IFNA(VLOOKUP($A41,'Post 16'!$A:$AR,40,FALSE),0)</f>
        <v>0</v>
      </c>
      <c r="BW41" s="323"/>
      <c r="BX41" s="323">
        <f>_xlfn.IFNA((VLOOKUP($A41,HN!$A:$K,9,FALSE)/12),0)+_xlfn.IFNA((VLOOKUP($A41,HN!$A:$K,10,FALSE)/12),0)</f>
        <v>0</v>
      </c>
      <c r="BY41" s="323">
        <f>_xlfn.IFNA((VLOOKUP($A41,HN!$A:$BS,15,FALSE)/12),0)</f>
        <v>0</v>
      </c>
      <c r="BZ41" s="322">
        <f t="shared" si="20"/>
        <v>-897.58666666666659</v>
      </c>
      <c r="CA41" s="322">
        <f t="shared" si="21"/>
        <v>-1581.9033333333334</v>
      </c>
      <c r="CB41" s="323"/>
      <c r="CC41" s="323"/>
      <c r="CD41" s="322">
        <f t="shared" si="58"/>
        <v>185299.21523830094</v>
      </c>
      <c r="CE41" s="357">
        <f t="shared" si="22"/>
        <v>187778.70523830093</v>
      </c>
      <c r="CF41" s="357">
        <f>(VLOOKUP($A41,EY!$A:$BS,26,FALSE)-(VLOOKUP($A41,EY!A:CR,24,FALSE)*80%))+VLOOKUP($A41,EY!$A:$BS,42,FALSE)+(VLOOKUP($A41,EY!A:CC,74,FALSE)-VLOOKUP($A41,EY!A:CC,72,FALSE))</f>
        <v>0</v>
      </c>
      <c r="CG41" s="358"/>
      <c r="CH41" s="358">
        <f>_xlfn.IFNA((VLOOKUP($A41,HN!$A:$K,8,FALSE)/12),0)</f>
        <v>0</v>
      </c>
      <c r="CI41" s="358">
        <f>_xlfn.IFNA((VLOOKUP($A41,HN!$A:$BS,14,FALSE)/12),0)</f>
        <v>0</v>
      </c>
      <c r="CJ41" s="358">
        <f>(_xlfn.IFNA(VLOOKUP($A41,'Post 16'!$A:$AV,32,FALSE),0)/8)</f>
        <v>0</v>
      </c>
      <c r="CK41" s="358">
        <f>(VLOOKUP($A41,EY!A:CR,24,FALSE)*80%)+VLOOKUP($A41,EY!A:CC,72,FALSE)</f>
        <v>0</v>
      </c>
      <c r="CL41" s="358">
        <f>_xlfn.IFNA((VLOOKUP($A41,HN!$A:$K,9,FALSE)/12),0)+_xlfn.IFNA((VLOOKUP($A41,HN!$A:$K,10,FALSE)/12),0)</f>
        <v>0</v>
      </c>
      <c r="CM41" s="358">
        <f>_xlfn.IFNA((VLOOKUP($A41,HN!$A:$BS,15,FALSE)/12),0)</f>
        <v>0</v>
      </c>
      <c r="CN41" s="357">
        <f t="shared" si="23"/>
        <v>-897.58666666666659</v>
      </c>
      <c r="CO41" s="357">
        <f t="shared" si="24"/>
        <v>-1581.9033333333334</v>
      </c>
      <c r="CP41" s="358">
        <f>_xlfn.IFNA(VLOOKUP(A41,'LA Deductions'!A:W,23,FALSE),0)</f>
        <v>-9471</v>
      </c>
      <c r="CQ41" s="358">
        <f>_xlfn.IFNA(VLOOKUP($A41,'Cash Advances'!$A:$S,13,FALSE),0)</f>
        <v>0</v>
      </c>
      <c r="CR41" s="358">
        <f>_xlfn.IFNA(VLOOKUP(A41,'LA Deductions'!A:AZ,25,FALSE),0)/9*3</f>
        <v>0</v>
      </c>
      <c r="CS41" s="357">
        <f t="shared" si="25"/>
        <v>175828.21523830094</v>
      </c>
      <c r="CT41" s="337">
        <f t="shared" si="26"/>
        <v>187778.70523830093</v>
      </c>
      <c r="CU41" s="337"/>
      <c r="CV41" s="338">
        <f>_xlfn.IFNA(VLOOKUP(A41,'LA Deductions'!$A$6:$AN$207,34,FALSE),0)</f>
        <v>0</v>
      </c>
      <c r="CW41" s="338">
        <f>_xlfn.IFNA((VLOOKUP($A41,HN!$A:$K,8,FALSE)/12),0)</f>
        <v>0</v>
      </c>
      <c r="CX41" s="338">
        <f>_xlfn.IFNA((VLOOKUP($A41,HN!$A:$BS,14,FALSE)/12),0)</f>
        <v>0</v>
      </c>
      <c r="CY41" s="338">
        <f>_xlfn.IFNA(VLOOKUP($A41,'Post 16'!$A:$AV,32,FALSE),0)/8</f>
        <v>0</v>
      </c>
      <c r="CZ41" s="338"/>
      <c r="DA41" s="338">
        <f>_xlfn.IFNA((VLOOKUP($A41,HN!$A:$K,9,FALSE)/12),0)+_xlfn.IFNA((VLOOKUP($A41,HN!$A:$K,10,FALSE)/12),0)</f>
        <v>0</v>
      </c>
      <c r="DB41" s="338">
        <f>_xlfn.IFNA((VLOOKUP($A41,HN!$A:$BS,15,FALSE)/12),0)</f>
        <v>0</v>
      </c>
      <c r="DC41" s="337">
        <f t="shared" si="27"/>
        <v>-897.58666666666659</v>
      </c>
      <c r="DD41" s="337">
        <f t="shared" si="28"/>
        <v>-1581.9033333333334</v>
      </c>
      <c r="DE41" s="338"/>
      <c r="DF41" s="338">
        <f>_xlfn.IFNA(VLOOKUP($A41,'Cash Advances'!$A:$S,14,FALSE),0)</f>
        <v>0</v>
      </c>
      <c r="DG41" s="338">
        <f>(_xlfn.IFNA(VLOOKUP(A41,'LA Deductions'!A:AZ,25,FALSE),0)/9)+(_xlfn.IFNA(VLOOKUP(A41,'LA Deductions'!A:AZ,26,FALSE),0))</f>
        <v>0</v>
      </c>
      <c r="DH41" s="337">
        <f t="shared" si="29"/>
        <v>185299.21523830094</v>
      </c>
      <c r="DI41" s="330">
        <f t="shared" si="30"/>
        <v>187778.70523830093</v>
      </c>
      <c r="DJ41" s="330"/>
      <c r="DK41" s="331"/>
      <c r="DL41" s="331">
        <f>_xlfn.IFNA((VLOOKUP($A41,HN!$A:$K,8,FALSE)/12),0)+_xlfn.IFNA((VLOOKUP($A41,HN!$A:$AF,32,FALSE)*8/12),0)</f>
        <v>0</v>
      </c>
      <c r="DM41" s="331">
        <f>_xlfn.IFNA((VLOOKUP($A41,HN!$A:$BS,14,FALSE)/12),0)+_xlfn.IFNA(VLOOKUP($A41,HN!$A:$BS,31,FALSE),0)</f>
        <v>0</v>
      </c>
      <c r="DN41" s="331">
        <f>_xlfn.IFNA(VLOOKUP($A41,'Post 16'!$A:$AV,32,FALSE),0)/8</f>
        <v>0</v>
      </c>
      <c r="DO41" s="331"/>
      <c r="DP41" s="331">
        <f>_xlfn.IFNA((VLOOKUP($A41,HN!$A:$K,9,FALSE)/12),0)+_xlfn.IFNA((VLOOKUP($A41,HN!$A:$K,10,FALSE)/12),0)+_xlfn.IFNA((VLOOKUP($A41,HN!$A:$BZ,33,FALSE)*8/12),0)</f>
        <v>0</v>
      </c>
      <c r="DQ41" s="331">
        <f>_xlfn.IFNA((VLOOKUP($A41,HN!$A:$BS,15,FALSE)/12),0)</f>
        <v>0</v>
      </c>
      <c r="DR41" s="330">
        <f t="shared" si="31"/>
        <v>-897.58666666666659</v>
      </c>
      <c r="DS41" s="330">
        <f t="shared" si="32"/>
        <v>-1581.9033333333334</v>
      </c>
      <c r="DT41" s="331"/>
      <c r="DU41" s="331"/>
      <c r="DV41" s="331">
        <f>(_xlfn.IFNA(VLOOKUP(A41,'LA Deductions'!A:AZ,25,FALSE),0)/9)+_xlfn.IFNA(VLOOKUP(A41,'LA Deductions'!A:AZ,27,FALSE),0)</f>
        <v>0</v>
      </c>
      <c r="DW41" s="330">
        <f t="shared" si="33"/>
        <v>185299.21523830094</v>
      </c>
      <c r="DX41" s="344">
        <f t="shared" si="34"/>
        <v>187778.70523830093</v>
      </c>
      <c r="DY41" s="344"/>
      <c r="DZ41" s="345"/>
      <c r="EA41" s="345">
        <f>_xlfn.IFNA((VLOOKUP($A41,HN!$A:$K,8,FALSE)/12),0)+_xlfn.IFNA((VLOOKUP($A41,HN!$A:$AF,32,FALSE)*1/12),0)</f>
        <v>0</v>
      </c>
      <c r="EB41" s="345">
        <f>_xlfn.IFNA((VLOOKUP($A41,HN!$A:$BS,14,FALSE)/12),0)</f>
        <v>0</v>
      </c>
      <c r="EC41" s="345">
        <f>_xlfn.IFNA(VLOOKUP($A41,'Post 16'!$A:$AV,32,FALSE),0)/8</f>
        <v>0</v>
      </c>
      <c r="ED41" s="345"/>
      <c r="EE41" s="345">
        <f>_xlfn.IFNA((VLOOKUP($A41,HN!$A:$K,9,FALSE)/12),0)+_xlfn.IFNA((VLOOKUP($A41,HN!$A:$K,10,FALSE)/12),0)+_xlfn.IFNA((VLOOKUP($A41,HN!$A:$BZ,33,FALSE)/12),0)</f>
        <v>0</v>
      </c>
      <c r="EF41" s="345">
        <f>_xlfn.IFNA((VLOOKUP($A41,HN!$A:$BS,15,FALSE)/12),0)</f>
        <v>0</v>
      </c>
      <c r="EG41" s="344">
        <f t="shared" si="35"/>
        <v>-897.58666666666659</v>
      </c>
      <c r="EH41" s="344">
        <f t="shared" si="36"/>
        <v>-1581.9033333333334</v>
      </c>
      <c r="EI41" s="345"/>
      <c r="EJ41" s="345">
        <f>_xlfn.IFNA(VLOOKUP(A41,'Cash Advances'!A:P,16,FALSE),0)</f>
        <v>0</v>
      </c>
      <c r="EK41" s="345">
        <f>_xlfn.IFNA(VLOOKUP(A41,'LA Deductions'!A:AZ,25,FALSE),0)/9</f>
        <v>0</v>
      </c>
      <c r="EL41" s="344">
        <f t="shared" si="37"/>
        <v>185299.21523830094</v>
      </c>
      <c r="EM41" s="308">
        <f t="shared" si="38"/>
        <v>187778.70523830093</v>
      </c>
      <c r="EN41" s="308">
        <f>((VLOOKUP($A41,EY!$A:$BS,35,FALSE)-(VLOOKUP($A41,EY!$A:$BS,33,FALSE)*80%))+VLOOKUP($A41,EY!$A:$BS,43,FALSE))+(VLOOKUP(A41,EY!A:DF,110,FALSE)-VLOOKUP(A41,EY!A:DD,108,FALSE))+(VLOOKUP(A41,EY!A:CE,83,FALSE)-VLOOKUP(A41,EY!A:CC,81,FALSE))</f>
        <v>0</v>
      </c>
      <c r="EO41" s="309"/>
      <c r="EP41" s="309">
        <f>_xlfn.IFNA((VLOOKUP($A41,HN!$A:$K,8,FALSE)/12),0)+_xlfn.IFNA((VLOOKUP($A41,HN!$A:$AF,32,FALSE)*1/12),0)</f>
        <v>0</v>
      </c>
      <c r="EQ41" s="309">
        <f>_xlfn.IFNA((VLOOKUP($A41,HN!$A:$BS,14,FALSE)/12),0)+_xlfn.IFNA((VLOOKUP($A41,HN!$A:$BS,34,FALSE)/3),0)</f>
        <v>0</v>
      </c>
      <c r="ER41" s="309">
        <f>_xlfn.IFNA(VLOOKUP($A41,'Post 16'!$A:$AV,32,FALSE),0)/8</f>
        <v>0</v>
      </c>
      <c r="ES41" s="309">
        <f>((VLOOKUP($A41,EY!A:EV,33,FALSE)*80%))+VLOOKUP(A41,EY!A:DD,108,FALSE)+VLOOKUP(A41,EY!A:CC,81,FALSE)</f>
        <v>0</v>
      </c>
      <c r="ET41" s="309">
        <f>_xlfn.IFNA((VLOOKUP($A41,HN!$A:$K,9,FALSE)/12),0)+_xlfn.IFNA((VLOOKUP($A41,HN!$A:$K,10,FALSE)/12),0)+_xlfn.IFNA((VLOOKUP($A41,HN!$A:$BZ,33,FALSE)/12),0)</f>
        <v>0</v>
      </c>
      <c r="EU41" s="309">
        <f>_xlfn.IFNA((VLOOKUP($A41,HN!$A:$BS,15,FALSE)/12),0)</f>
        <v>0</v>
      </c>
      <c r="EV41" s="308">
        <f t="shared" si="39"/>
        <v>-897.58666666666659</v>
      </c>
      <c r="EW41" s="308">
        <f t="shared" si="40"/>
        <v>-1581.9033333333334</v>
      </c>
      <c r="EX41" s="309"/>
      <c r="EY41" s="309">
        <f>_xlfn.IFNA(VLOOKUP($A41,'Cash Advances'!$A:$S,17,FALSE),0)</f>
        <v>0</v>
      </c>
      <c r="EZ41" s="309">
        <f>_xlfn.IFNA(VLOOKUP(A41,'LA Deductions'!A:AZ,25,FALSE),0)/9</f>
        <v>0</v>
      </c>
      <c r="FA41" s="308">
        <f t="shared" si="41"/>
        <v>185299.21523830094</v>
      </c>
      <c r="FB41" s="315">
        <f t="shared" si="42"/>
        <v>187778.70523830093</v>
      </c>
      <c r="FC41" s="315"/>
      <c r="FD41" s="316"/>
      <c r="FE41" s="316">
        <f>_xlfn.IFNA((VLOOKUP($A41,HN!$A:$K,8,FALSE)/12),0)+_xlfn.IFNA((VLOOKUP($A41,HN!$A:$AF,32,FALSE)*1/12),0)</f>
        <v>0</v>
      </c>
      <c r="FF41" s="316">
        <f>_xlfn.IFNA((VLOOKUP($A41,HN!$A:$BS,14,FALSE)/12),0)+_xlfn.IFNA((VLOOKUP($A41,HN!$A:$BS,34,FALSE)/3),0)</f>
        <v>0</v>
      </c>
      <c r="FG41" s="316">
        <f>_xlfn.IFNA(VLOOKUP($A41,'Post 16'!$A:$AV,32,FALSE),0)/8</f>
        <v>0</v>
      </c>
      <c r="FH41" s="316"/>
      <c r="FI41" s="316">
        <f>_xlfn.IFNA((VLOOKUP($A41,HN!$A:$K,9,FALSE)/12),0)+_xlfn.IFNA((VLOOKUP($A41,HN!$A:$K,10,FALSE)/12),0)+_xlfn.IFNA((VLOOKUP($A41,HN!$A:$BZ,33,FALSE)/12),0)+_xlfn.IFNA((VLOOKUP($A41,HN!$A:$BZ,35,FALSE)/2),0)</f>
        <v>0</v>
      </c>
      <c r="FJ41" s="316">
        <f>_xlfn.IFNA((VLOOKUP($A41,HN!$A:$BS,15,FALSE)/12),0)+_xlfn.IFNA((VLOOKUP($A41,HN!$A:$CZ,36,FALSE)/2),0)</f>
        <v>0</v>
      </c>
      <c r="FK41" s="315">
        <f t="shared" si="43"/>
        <v>-897.58666666666659</v>
      </c>
      <c r="FL41" s="315">
        <f t="shared" si="44"/>
        <v>-1581.9033333333334</v>
      </c>
      <c r="FM41" s="316"/>
      <c r="FN41" s="316">
        <f>_xlfn.IFNA(VLOOKUP($A41,'Cash Advances'!$A:$S,18,FALSE),0)</f>
        <v>0</v>
      </c>
      <c r="FO41" s="316">
        <f>_xlfn.IFNA(VLOOKUP(A41,'LA Deductions'!A:AZ,25,FALSE),0)/9</f>
        <v>0</v>
      </c>
      <c r="FP41" s="315">
        <f t="shared" si="45"/>
        <v>185299.21523830094</v>
      </c>
      <c r="FQ41" s="322">
        <f t="shared" si="46"/>
        <v>187778.70523830093</v>
      </c>
      <c r="FR41" s="322"/>
      <c r="FS41" s="323"/>
      <c r="FT41" s="323">
        <f>_xlfn.IFNA((VLOOKUP($A41,HN!$A:$K,8,FALSE)/12),0)+_xlfn.IFNA((VLOOKUP($A41,HN!$A:$AF,32,FALSE)*1/12),0)</f>
        <v>0</v>
      </c>
      <c r="FU41" s="323">
        <f>_xlfn.IFNA((VLOOKUP($A41,HN!$A:$BS,14,FALSE)/12),0)+_xlfn.IFNA((VLOOKUP($A41,HN!$A:$BS,34,FALSE)/3),0)</f>
        <v>0</v>
      </c>
      <c r="FV41" s="323">
        <f>_xlfn.IFNA(VLOOKUP($A41,'Post 16'!$A:$AV,32,FALSE),0)/8</f>
        <v>0</v>
      </c>
      <c r="FW41" s="323"/>
      <c r="FX41" s="323">
        <f>_xlfn.IFNA((VLOOKUP($A41,HN!$A:$K,9,FALSE)/12),0)+_xlfn.IFNA((VLOOKUP($A41,HN!$A:$K,10,FALSE)/12),0)+_xlfn.IFNA((VLOOKUP($A41,HN!$A:$BZ,33,FALSE)/12),0)+_xlfn.IFNA((VLOOKUP($A41,HN!$A:$BZ,35,FALSE)/2),0)</f>
        <v>0</v>
      </c>
      <c r="FY41" s="323">
        <f>_xlfn.IFNA((VLOOKUP($A41,HN!$A:$BS,15,FALSE)/12),0)+_xlfn.IFNA((VLOOKUP($A41,HN!$A:$CZ,36,FALSE)/2),0)</f>
        <v>0</v>
      </c>
      <c r="FZ41" s="322">
        <f t="shared" si="47"/>
        <v>-897.58666666666659</v>
      </c>
      <c r="GA41" s="322">
        <f t="shared" si="48"/>
        <v>-1581.9033333333334</v>
      </c>
      <c r="GB41" s="323"/>
      <c r="GC41" s="323"/>
      <c r="GD41" s="323">
        <f>_xlfn.IFNA(VLOOKUP(A41,'LA Deductions'!A:AZ,25,FALSE),0)/9</f>
        <v>0</v>
      </c>
      <c r="GE41" s="322">
        <f t="shared" si="49"/>
        <v>185299.21523830094</v>
      </c>
      <c r="GG41" s="146">
        <f t="shared" si="59"/>
        <v>2253344.4628596106</v>
      </c>
      <c r="GH41" s="146">
        <f t="shared" si="59"/>
        <v>0</v>
      </c>
      <c r="GI41" s="146">
        <f t="shared" si="59"/>
        <v>0</v>
      </c>
      <c r="GJ41" s="146">
        <f t="shared" si="59"/>
        <v>-10771.039999999995</v>
      </c>
      <c r="GK41" s="146">
        <f t="shared" si="59"/>
        <v>-18982.84</v>
      </c>
      <c r="GL41" s="146">
        <f t="shared" si="59"/>
        <v>-9471</v>
      </c>
      <c r="GN41" s="146">
        <f t="shared" si="60"/>
        <v>2253344.4628596106</v>
      </c>
      <c r="GO41" s="146">
        <f t="shared" si="60"/>
        <v>0</v>
      </c>
      <c r="GP41" s="146">
        <f t="shared" si="60"/>
        <v>0</v>
      </c>
      <c r="GQ41" s="146">
        <f t="shared" si="60"/>
        <v>-10771.039999999995</v>
      </c>
      <c r="GR41" s="146">
        <f t="shared" si="60"/>
        <v>-18982.84</v>
      </c>
      <c r="GS41" s="146">
        <f t="shared" si="60"/>
        <v>-9471</v>
      </c>
      <c r="GU41" s="146"/>
      <c r="GV41" s="57"/>
    </row>
    <row r="42" spans="1:204">
      <c r="A42" s="185">
        <v>2185</v>
      </c>
      <c r="B42" s="185">
        <v>103263</v>
      </c>
      <c r="C42" s="185" t="s">
        <v>104</v>
      </c>
      <c r="D42" s="2" t="s">
        <v>105</v>
      </c>
      <c r="E42" s="191" t="s">
        <v>32</v>
      </c>
      <c r="F42" s="191" t="s">
        <v>912</v>
      </c>
      <c r="H42" s="279">
        <f>_xlfn.IFNA(VLOOKUP($A42,ISB!$A$4:$BY$454,67,FALSE),0)</f>
        <v>2348813.1342566665</v>
      </c>
      <c r="I42" s="279">
        <f>_xlfn.IFNA(VLOOKUP($A42,ISB!$A$4:$BY$454,72,FALSE),0)</f>
        <v>-11005.759999999998</v>
      </c>
      <c r="J42" s="279">
        <f>-_xlfn.IFNA(VLOOKUP($A42,ISB!$A$4:$BY$454,76,FALSE),0)</f>
        <v>-23760.83</v>
      </c>
      <c r="K42" s="279">
        <f>_xlfn.IFNA(VLOOKUP($A42,ISB!$A$4:$BY$454,77,FALSE),0)</f>
        <v>2314046.5442566667</v>
      </c>
      <c r="M42" s="301">
        <f t="shared" si="7"/>
        <v>195734.42785472222</v>
      </c>
      <c r="N42" s="301">
        <f>VLOOKUP($A42,EY!$A:$H,8,FALSE)+(VLOOKUP($A42,EY!$A:$BS,17,FALSE)-S42)+VLOOKUP($A42,EY!$A:$BS,41,FALSE)</f>
        <v>45154.2</v>
      </c>
      <c r="O42" s="302"/>
      <c r="P42" s="302">
        <f>_xlfn.IFNA((VLOOKUP($A42,HN!$A:$K,8,FALSE)/12),0)</f>
        <v>0</v>
      </c>
      <c r="Q42" s="302">
        <f>_xlfn.IFNA((VLOOKUP($A42,HN!$A:$BS,14,FALSE)/12),0)</f>
        <v>0</v>
      </c>
      <c r="R42" s="302">
        <f>_xlfn.IFNA(VLOOKUP($A42,'Post 16'!$A:$V,21,FALSE),0)/4</f>
        <v>0</v>
      </c>
      <c r="S42" s="302">
        <f>VLOOKUP($A42,EY!A:Q,15,FALSE)*80%</f>
        <v>0</v>
      </c>
      <c r="T42" s="302">
        <f>_xlfn.IFNA((VLOOKUP($A42,HN!$A:$K,9,FALSE)/12),0)+_xlfn.IFNA((VLOOKUP($A42,HN!$A:$K,10,FALSE)/12),0)</f>
        <v>0</v>
      </c>
      <c r="U42" s="302">
        <f>_xlfn.IFNA((VLOOKUP($A42,HN!$A:$BS,15,FALSE)/12),0)</f>
        <v>0</v>
      </c>
      <c r="V42" s="301">
        <f t="shared" si="8"/>
        <v>-917.14666666666653</v>
      </c>
      <c r="W42" s="301">
        <f t="shared" si="9"/>
        <v>-1980.0691666666669</v>
      </c>
      <c r="X42" s="302"/>
      <c r="Y42" s="302">
        <f>_xlfn.IFNA(VLOOKUP($A42,'Cash Advances'!$A:$S,8,FALSE),0)</f>
        <v>0</v>
      </c>
      <c r="Z42" s="301">
        <f t="shared" si="54"/>
        <v>237991.41202138888</v>
      </c>
      <c r="AA42" s="315">
        <f t="shared" si="10"/>
        <v>195734.42785472222</v>
      </c>
      <c r="AB42" s="315"/>
      <c r="AC42" s="316"/>
      <c r="AD42" s="316">
        <f>_xlfn.IFNA((VLOOKUP($A42,HN!$A:$K,8,FALSE)/12),0)</f>
        <v>0</v>
      </c>
      <c r="AE42" s="316">
        <f>_xlfn.IFNA((VLOOKUP($A42,HN!$A:$BS,14,FALSE)/12),0)</f>
        <v>0</v>
      </c>
      <c r="AF42" s="316">
        <f>_xlfn.IFNA(VLOOKUP($A42,'Post 16'!$A:$V,21,FALSE),0)/4</f>
        <v>0</v>
      </c>
      <c r="AG42" s="316"/>
      <c r="AH42" s="316">
        <f>_xlfn.IFNA((VLOOKUP($A42,HN!$A:$K,9,FALSE)/12),0)+_xlfn.IFNA((VLOOKUP($A42,HN!$A:$K,10,FALSE)/12),0)</f>
        <v>0</v>
      </c>
      <c r="AI42" s="316">
        <f>_xlfn.IFNA((VLOOKUP($A42,HN!$A:$BS,15,FALSE)/12),0)</f>
        <v>0</v>
      </c>
      <c r="AJ42" s="315">
        <f t="shared" si="11"/>
        <v>-917.14666666666653</v>
      </c>
      <c r="AK42" s="315">
        <f t="shared" si="12"/>
        <v>-1980.0691666666669</v>
      </c>
      <c r="AL42" s="316"/>
      <c r="AM42" s="316">
        <f>_xlfn.IFNA(VLOOKUP($A42,'Cash Advances'!$A:$S,9,FALSE),0)</f>
        <v>0</v>
      </c>
      <c r="AN42" s="315">
        <f t="shared" si="55"/>
        <v>192837.2120213889</v>
      </c>
      <c r="AO42" s="308">
        <f t="shared" si="13"/>
        <v>195734.42785472222</v>
      </c>
      <c r="AP42" s="308"/>
      <c r="AQ42" s="309"/>
      <c r="AR42" s="309">
        <f>_xlfn.IFNA((VLOOKUP($A42,HN!$A:$K,8,FALSE)/12),0)</f>
        <v>0</v>
      </c>
      <c r="AS42" s="309">
        <f>_xlfn.IFNA((VLOOKUP($A42,HN!$A:$BS,14,FALSE)/12),0)</f>
        <v>0</v>
      </c>
      <c r="AT42" s="309">
        <f>_xlfn.IFNA(VLOOKUP($A42,'Post 16'!$A:$V,21,FALSE),0)/4</f>
        <v>0</v>
      </c>
      <c r="AU42" s="309"/>
      <c r="AV42" s="309">
        <f>_xlfn.IFNA((VLOOKUP($A42,HN!$A:$K,9,FALSE)/12),0)+_xlfn.IFNA((VLOOKUP($A42,HN!$A:$K,10,FALSE)/12),0)+_xlfn.IFNA(VLOOKUP(A42,HN!A:V,19,FALSE),0)+_xlfn.IFNA(VLOOKUP(A42,HN!A:V,20,FALSE),0)+_xlfn.IFNA(VLOOKUP(A42,HN!A:V,21,FALSE),0)</f>
        <v>0</v>
      </c>
      <c r="AW42" s="309">
        <f>_xlfn.IFNA((VLOOKUP($A42,HN!$A:$BS,15,FALSE)/12),0)</f>
        <v>0</v>
      </c>
      <c r="AX42" s="308">
        <f t="shared" si="14"/>
        <v>-917.14666666666653</v>
      </c>
      <c r="AY42" s="308">
        <f t="shared" si="15"/>
        <v>-1980.0691666666669</v>
      </c>
      <c r="AZ42" s="309"/>
      <c r="BA42" s="309">
        <f>_xlfn.IFNA(VLOOKUP($A42,'Cash Advances'!$A:$S,10,FALSE),0)</f>
        <v>0</v>
      </c>
      <c r="BB42" s="308">
        <f t="shared" si="56"/>
        <v>192837.2120213889</v>
      </c>
      <c r="BC42" s="330">
        <f t="shared" si="16"/>
        <v>195734.42785472222</v>
      </c>
      <c r="BD42" s="330"/>
      <c r="BE42" s="331"/>
      <c r="BF42" s="331">
        <f>_xlfn.IFNA((VLOOKUP($A42,HN!$A:$K,8,FALSE)/12),0)</f>
        <v>0</v>
      </c>
      <c r="BG42" s="331">
        <f>_xlfn.IFNA((VLOOKUP($A42,HN!$A:$BS,14,FALSE)/12),0)</f>
        <v>0</v>
      </c>
      <c r="BH42" s="331">
        <f>_xlfn.IFNA(VLOOKUP($A42,'Post 16'!$A:$V,21,FALSE),0)/4</f>
        <v>0</v>
      </c>
      <c r="BI42" s="331"/>
      <c r="BJ42" s="331">
        <f>_xlfn.IFNA((VLOOKUP($A42,HN!$A:$K,9,FALSE)/12),0)+_xlfn.IFNA((VLOOKUP($A42,HN!$A:$K,10,FALSE)/12),0)</f>
        <v>0</v>
      </c>
      <c r="BK42" s="331">
        <f>_xlfn.IFNA((VLOOKUP($A42,HN!$A:$BS,15,FALSE)/12),0)</f>
        <v>0</v>
      </c>
      <c r="BL42" s="330">
        <f t="shared" si="17"/>
        <v>-917.14666666666653</v>
      </c>
      <c r="BM42" s="330">
        <f t="shared" si="18"/>
        <v>-1980.0691666666669</v>
      </c>
      <c r="BN42" s="331"/>
      <c r="BO42" s="331">
        <f>_xlfn.IFNA(VLOOKUP(A42,'Cash Advances'!A:K,11,FALSE),0)</f>
        <v>0</v>
      </c>
      <c r="BP42" s="330">
        <f t="shared" si="57"/>
        <v>192837.2120213889</v>
      </c>
      <c r="BQ42" s="322">
        <f t="shared" si="19"/>
        <v>195734.42785472222</v>
      </c>
      <c r="BR42" s="322"/>
      <c r="BS42" s="323"/>
      <c r="BT42" s="323">
        <f>_xlfn.IFNA((VLOOKUP($A42,HN!$A:$K,8,FALSE)/12),0)</f>
        <v>0</v>
      </c>
      <c r="BU42" s="323">
        <f>_xlfn.IFNA((VLOOKUP($A42,HN!$A:$BS,14,FALSE)/12),0)</f>
        <v>0</v>
      </c>
      <c r="BV42" s="323">
        <f>(_xlfn.IFNA(VLOOKUP($A42,'Post 16'!$A:$AV,32,FALSE),0)/8)+_xlfn.IFNA(VLOOKUP($A42,'Post 16'!$A:$AR,40,FALSE),0)</f>
        <v>0</v>
      </c>
      <c r="BW42" s="323"/>
      <c r="BX42" s="323">
        <f>_xlfn.IFNA((VLOOKUP($A42,HN!$A:$K,9,FALSE)/12),0)+_xlfn.IFNA((VLOOKUP($A42,HN!$A:$K,10,FALSE)/12),0)</f>
        <v>0</v>
      </c>
      <c r="BY42" s="323">
        <f>_xlfn.IFNA((VLOOKUP($A42,HN!$A:$BS,15,FALSE)/12),0)</f>
        <v>0</v>
      </c>
      <c r="BZ42" s="322">
        <f t="shared" si="20"/>
        <v>-917.14666666666653</v>
      </c>
      <c r="CA42" s="322">
        <f t="shared" si="21"/>
        <v>-1980.0691666666669</v>
      </c>
      <c r="CB42" s="323"/>
      <c r="CC42" s="323"/>
      <c r="CD42" s="322">
        <f t="shared" si="58"/>
        <v>192837.2120213889</v>
      </c>
      <c r="CE42" s="357">
        <f t="shared" si="22"/>
        <v>195734.42785472222</v>
      </c>
      <c r="CF42" s="357">
        <f>(VLOOKUP($A42,EY!$A:$BS,26,FALSE)-(VLOOKUP($A42,EY!A:CR,24,FALSE)*80%))+VLOOKUP($A42,EY!$A:$BS,42,FALSE)+(VLOOKUP($A42,EY!A:CC,74,FALSE)-VLOOKUP($A42,EY!A:CC,72,FALSE))</f>
        <v>40649.008947368442</v>
      </c>
      <c r="CG42" s="358"/>
      <c r="CH42" s="358">
        <f>_xlfn.IFNA((VLOOKUP($A42,HN!$A:$K,8,FALSE)/12),0)</f>
        <v>0</v>
      </c>
      <c r="CI42" s="358">
        <f>_xlfn.IFNA((VLOOKUP($A42,HN!$A:$BS,14,FALSE)/12),0)</f>
        <v>0</v>
      </c>
      <c r="CJ42" s="358">
        <f>(_xlfn.IFNA(VLOOKUP($A42,'Post 16'!$A:$AV,32,FALSE),0)/8)</f>
        <v>0</v>
      </c>
      <c r="CK42" s="358">
        <f>(VLOOKUP($A42,EY!A:CR,24,FALSE)*80%)+VLOOKUP($A42,EY!A:CC,72,FALSE)</f>
        <v>0</v>
      </c>
      <c r="CL42" s="358">
        <f>_xlfn.IFNA((VLOOKUP($A42,HN!$A:$K,9,FALSE)/12),0)+_xlfn.IFNA((VLOOKUP($A42,HN!$A:$K,10,FALSE)/12),0)</f>
        <v>0</v>
      </c>
      <c r="CM42" s="358">
        <f>_xlfn.IFNA((VLOOKUP($A42,HN!$A:$BS,15,FALSE)/12),0)</f>
        <v>0</v>
      </c>
      <c r="CN42" s="357">
        <f t="shared" si="23"/>
        <v>-917.14666666666653</v>
      </c>
      <c r="CO42" s="357">
        <f t="shared" si="24"/>
        <v>-1980.0691666666669</v>
      </c>
      <c r="CP42" s="358">
        <f>_xlfn.IFNA(VLOOKUP(A42,'LA Deductions'!A:W,23,FALSE),0)</f>
        <v>-9471</v>
      </c>
      <c r="CQ42" s="358">
        <f>_xlfn.IFNA(VLOOKUP($A42,'Cash Advances'!$A:$S,13,FALSE),0)</f>
        <v>0</v>
      </c>
      <c r="CR42" s="358">
        <f>_xlfn.IFNA(VLOOKUP(A42,'LA Deductions'!A:AZ,25,FALSE),0)/9*3</f>
        <v>0</v>
      </c>
      <c r="CS42" s="357">
        <f t="shared" si="25"/>
        <v>224015.22096875735</v>
      </c>
      <c r="CT42" s="337">
        <f t="shared" si="26"/>
        <v>195734.42785472222</v>
      </c>
      <c r="CU42" s="337"/>
      <c r="CV42" s="338">
        <f>_xlfn.IFNA(VLOOKUP(A42,'LA Deductions'!$A$6:$AN$207,34,FALSE),0)</f>
        <v>0</v>
      </c>
      <c r="CW42" s="338">
        <f>_xlfn.IFNA((VLOOKUP($A42,HN!$A:$K,8,FALSE)/12),0)</f>
        <v>0</v>
      </c>
      <c r="CX42" s="338">
        <f>_xlfn.IFNA((VLOOKUP($A42,HN!$A:$BS,14,FALSE)/12),0)</f>
        <v>0</v>
      </c>
      <c r="CY42" s="338">
        <f>_xlfn.IFNA(VLOOKUP($A42,'Post 16'!$A:$AV,32,FALSE),0)/8</f>
        <v>0</v>
      </c>
      <c r="CZ42" s="338"/>
      <c r="DA42" s="338">
        <f>_xlfn.IFNA((VLOOKUP($A42,HN!$A:$K,9,FALSE)/12),0)+_xlfn.IFNA((VLOOKUP($A42,HN!$A:$K,10,FALSE)/12),0)</f>
        <v>0</v>
      </c>
      <c r="DB42" s="338">
        <f>_xlfn.IFNA((VLOOKUP($A42,HN!$A:$BS,15,FALSE)/12),0)</f>
        <v>0</v>
      </c>
      <c r="DC42" s="337">
        <f t="shared" si="27"/>
        <v>-917.14666666666653</v>
      </c>
      <c r="DD42" s="337">
        <f t="shared" si="28"/>
        <v>-1980.0691666666669</v>
      </c>
      <c r="DE42" s="338"/>
      <c r="DF42" s="338">
        <f>_xlfn.IFNA(VLOOKUP($A42,'Cash Advances'!$A:$S,14,FALSE),0)</f>
        <v>0</v>
      </c>
      <c r="DG42" s="338">
        <f>(_xlfn.IFNA(VLOOKUP(A42,'LA Deductions'!A:AZ,25,FALSE),0)/9)+(_xlfn.IFNA(VLOOKUP(A42,'LA Deductions'!A:AZ,26,FALSE),0))</f>
        <v>0</v>
      </c>
      <c r="DH42" s="337">
        <f t="shared" si="29"/>
        <v>192837.2120213889</v>
      </c>
      <c r="DI42" s="330">
        <f t="shared" si="30"/>
        <v>195734.42785472222</v>
      </c>
      <c r="DJ42" s="330"/>
      <c r="DK42" s="331"/>
      <c r="DL42" s="331">
        <f>_xlfn.IFNA((VLOOKUP($A42,HN!$A:$K,8,FALSE)/12),0)+_xlfn.IFNA((VLOOKUP($A42,HN!$A:$AF,32,FALSE)*8/12),0)</f>
        <v>0</v>
      </c>
      <c r="DM42" s="331">
        <f>_xlfn.IFNA((VLOOKUP($A42,HN!$A:$BS,14,FALSE)/12),0)+_xlfn.IFNA(VLOOKUP($A42,HN!$A:$BS,31,FALSE),0)</f>
        <v>0</v>
      </c>
      <c r="DN42" s="331">
        <f>_xlfn.IFNA(VLOOKUP($A42,'Post 16'!$A:$AV,32,FALSE),0)/8</f>
        <v>0</v>
      </c>
      <c r="DO42" s="331"/>
      <c r="DP42" s="331">
        <f>_xlfn.IFNA((VLOOKUP($A42,HN!$A:$K,9,FALSE)/12),0)+_xlfn.IFNA((VLOOKUP($A42,HN!$A:$K,10,FALSE)/12),0)+_xlfn.IFNA((VLOOKUP($A42,HN!$A:$BZ,33,FALSE)*8/12),0)</f>
        <v>0</v>
      </c>
      <c r="DQ42" s="331">
        <f>_xlfn.IFNA((VLOOKUP($A42,HN!$A:$BS,15,FALSE)/12),0)</f>
        <v>0</v>
      </c>
      <c r="DR42" s="330">
        <f t="shared" si="31"/>
        <v>-917.14666666666653</v>
      </c>
      <c r="DS42" s="330">
        <f t="shared" si="32"/>
        <v>-1980.0691666666669</v>
      </c>
      <c r="DT42" s="331"/>
      <c r="DU42" s="331"/>
      <c r="DV42" s="331">
        <f>(_xlfn.IFNA(VLOOKUP(A42,'LA Deductions'!A:AZ,25,FALSE),0)/9)+_xlfn.IFNA(VLOOKUP(A42,'LA Deductions'!A:AZ,27,FALSE),0)</f>
        <v>0</v>
      </c>
      <c r="DW42" s="330">
        <f t="shared" si="33"/>
        <v>192837.2120213889</v>
      </c>
      <c r="DX42" s="344">
        <f t="shared" si="34"/>
        <v>195734.42785472222</v>
      </c>
      <c r="DY42" s="344"/>
      <c r="DZ42" s="345"/>
      <c r="EA42" s="345">
        <f>_xlfn.IFNA((VLOOKUP($A42,HN!$A:$K,8,FALSE)/12),0)+_xlfn.IFNA((VLOOKUP($A42,HN!$A:$AF,32,FALSE)*1/12),0)</f>
        <v>0</v>
      </c>
      <c r="EB42" s="345">
        <f>_xlfn.IFNA((VLOOKUP($A42,HN!$A:$BS,14,FALSE)/12),0)</f>
        <v>0</v>
      </c>
      <c r="EC42" s="345">
        <f>_xlfn.IFNA(VLOOKUP($A42,'Post 16'!$A:$AV,32,FALSE),0)/8</f>
        <v>0</v>
      </c>
      <c r="ED42" s="345"/>
      <c r="EE42" s="345">
        <f>_xlfn.IFNA((VLOOKUP($A42,HN!$A:$K,9,FALSE)/12),0)+_xlfn.IFNA((VLOOKUP($A42,HN!$A:$K,10,FALSE)/12),0)+_xlfn.IFNA((VLOOKUP($A42,HN!$A:$BZ,33,FALSE)/12),0)</f>
        <v>0</v>
      </c>
      <c r="EF42" s="345">
        <f>_xlfn.IFNA((VLOOKUP($A42,HN!$A:$BS,15,FALSE)/12),0)</f>
        <v>0</v>
      </c>
      <c r="EG42" s="344">
        <f t="shared" si="35"/>
        <v>-917.14666666666653</v>
      </c>
      <c r="EH42" s="344">
        <f t="shared" si="36"/>
        <v>-1980.0691666666669</v>
      </c>
      <c r="EI42" s="345"/>
      <c r="EJ42" s="345">
        <f>_xlfn.IFNA(VLOOKUP(A42,'Cash Advances'!A:P,16,FALSE),0)</f>
        <v>0</v>
      </c>
      <c r="EK42" s="345">
        <f>_xlfn.IFNA(VLOOKUP(A42,'LA Deductions'!A:AZ,25,FALSE),0)/9</f>
        <v>0</v>
      </c>
      <c r="EL42" s="344">
        <f t="shared" si="37"/>
        <v>192837.2120213889</v>
      </c>
      <c r="EM42" s="308">
        <f t="shared" si="38"/>
        <v>195734.42785472222</v>
      </c>
      <c r="EN42" s="308">
        <f>((VLOOKUP($A42,EY!$A:$BS,35,FALSE)-(VLOOKUP($A42,EY!$A:$BS,33,FALSE)*80%))+VLOOKUP($A42,EY!$A:$BS,43,FALSE))+(VLOOKUP(A42,EY!A:DF,110,FALSE)-VLOOKUP(A42,EY!A:DD,108,FALSE))+(VLOOKUP(A42,EY!A:CE,83,FALSE)-VLOOKUP(A42,EY!A:CC,81,FALSE))</f>
        <v>55885.514736842109</v>
      </c>
      <c r="EO42" s="309"/>
      <c r="EP42" s="309">
        <f>_xlfn.IFNA((VLOOKUP($A42,HN!$A:$K,8,FALSE)/12),0)+_xlfn.IFNA((VLOOKUP($A42,HN!$A:$AF,32,FALSE)*1/12),0)</f>
        <v>0</v>
      </c>
      <c r="EQ42" s="309">
        <f>_xlfn.IFNA((VLOOKUP($A42,HN!$A:$BS,14,FALSE)/12),0)+_xlfn.IFNA((VLOOKUP($A42,HN!$A:$BS,34,FALSE)/3),0)</f>
        <v>0</v>
      </c>
      <c r="ER42" s="309">
        <f>_xlfn.IFNA(VLOOKUP($A42,'Post 16'!$A:$AV,32,FALSE),0)/8</f>
        <v>0</v>
      </c>
      <c r="ES42" s="309">
        <f>((VLOOKUP($A42,EY!A:EV,33,FALSE)*80%))+VLOOKUP(A42,EY!A:DD,108,FALSE)+VLOOKUP(A42,EY!A:CC,81,FALSE)</f>
        <v>0</v>
      </c>
      <c r="ET42" s="309">
        <f>_xlfn.IFNA((VLOOKUP($A42,HN!$A:$K,9,FALSE)/12),0)+_xlfn.IFNA((VLOOKUP($A42,HN!$A:$K,10,FALSE)/12),0)+_xlfn.IFNA((VLOOKUP($A42,HN!$A:$BZ,33,FALSE)/12),0)</f>
        <v>0</v>
      </c>
      <c r="EU42" s="309">
        <f>_xlfn.IFNA((VLOOKUP($A42,HN!$A:$BS,15,FALSE)/12),0)</f>
        <v>0</v>
      </c>
      <c r="EV42" s="308">
        <f t="shared" si="39"/>
        <v>-917.14666666666653</v>
      </c>
      <c r="EW42" s="308">
        <f t="shared" si="40"/>
        <v>-1980.0691666666669</v>
      </c>
      <c r="EX42" s="309"/>
      <c r="EY42" s="309">
        <f>_xlfn.IFNA(VLOOKUP($A42,'Cash Advances'!$A:$S,17,FALSE),0)</f>
        <v>0</v>
      </c>
      <c r="EZ42" s="309">
        <f>_xlfn.IFNA(VLOOKUP(A42,'LA Deductions'!A:AZ,25,FALSE),0)/9</f>
        <v>0</v>
      </c>
      <c r="FA42" s="308">
        <f t="shared" si="41"/>
        <v>248722.726758231</v>
      </c>
      <c r="FB42" s="315">
        <f t="shared" si="42"/>
        <v>195734.42785472222</v>
      </c>
      <c r="FC42" s="315"/>
      <c r="FD42" s="316"/>
      <c r="FE42" s="316">
        <f>_xlfn.IFNA((VLOOKUP($A42,HN!$A:$K,8,FALSE)/12),0)+_xlfn.IFNA((VLOOKUP($A42,HN!$A:$AF,32,FALSE)*1/12),0)</f>
        <v>0</v>
      </c>
      <c r="FF42" s="316">
        <f>_xlfn.IFNA((VLOOKUP($A42,HN!$A:$BS,14,FALSE)/12),0)+_xlfn.IFNA((VLOOKUP($A42,HN!$A:$BS,34,FALSE)/3),0)</f>
        <v>0</v>
      </c>
      <c r="FG42" s="316">
        <f>_xlfn.IFNA(VLOOKUP($A42,'Post 16'!$A:$AV,32,FALSE),0)/8</f>
        <v>0</v>
      </c>
      <c r="FH42" s="316"/>
      <c r="FI42" s="316">
        <f>_xlfn.IFNA((VLOOKUP($A42,HN!$A:$K,9,FALSE)/12),0)+_xlfn.IFNA((VLOOKUP($A42,HN!$A:$K,10,FALSE)/12),0)+_xlfn.IFNA((VLOOKUP($A42,HN!$A:$BZ,33,FALSE)/12),0)+_xlfn.IFNA((VLOOKUP($A42,HN!$A:$BZ,35,FALSE)/2),0)</f>
        <v>0</v>
      </c>
      <c r="FJ42" s="316">
        <f>_xlfn.IFNA((VLOOKUP($A42,HN!$A:$BS,15,FALSE)/12),0)+_xlfn.IFNA((VLOOKUP($A42,HN!$A:$CZ,36,FALSE)/2),0)</f>
        <v>0</v>
      </c>
      <c r="FK42" s="315">
        <f t="shared" si="43"/>
        <v>-917.14666666666653</v>
      </c>
      <c r="FL42" s="315">
        <f t="shared" si="44"/>
        <v>-1980.0691666666669</v>
      </c>
      <c r="FM42" s="316"/>
      <c r="FN42" s="316">
        <f>_xlfn.IFNA(VLOOKUP($A42,'Cash Advances'!$A:$S,18,FALSE),0)</f>
        <v>0</v>
      </c>
      <c r="FO42" s="316">
        <f>_xlfn.IFNA(VLOOKUP(A42,'LA Deductions'!A:AZ,25,FALSE),0)/9</f>
        <v>0</v>
      </c>
      <c r="FP42" s="315">
        <f t="shared" si="45"/>
        <v>192837.2120213889</v>
      </c>
      <c r="FQ42" s="322">
        <f t="shared" si="46"/>
        <v>195734.42785472222</v>
      </c>
      <c r="FR42" s="322"/>
      <c r="FS42" s="323"/>
      <c r="FT42" s="323">
        <f>_xlfn.IFNA((VLOOKUP($A42,HN!$A:$K,8,FALSE)/12),0)+_xlfn.IFNA((VLOOKUP($A42,HN!$A:$AF,32,FALSE)*1/12),0)</f>
        <v>0</v>
      </c>
      <c r="FU42" s="323">
        <f>_xlfn.IFNA((VLOOKUP($A42,HN!$A:$BS,14,FALSE)/12),0)+_xlfn.IFNA((VLOOKUP($A42,HN!$A:$BS,34,FALSE)/3),0)</f>
        <v>0</v>
      </c>
      <c r="FV42" s="323">
        <f>_xlfn.IFNA(VLOOKUP($A42,'Post 16'!$A:$AV,32,FALSE),0)/8</f>
        <v>0</v>
      </c>
      <c r="FW42" s="323"/>
      <c r="FX42" s="323">
        <f>_xlfn.IFNA((VLOOKUP($A42,HN!$A:$K,9,FALSE)/12),0)+_xlfn.IFNA((VLOOKUP($A42,HN!$A:$K,10,FALSE)/12),0)+_xlfn.IFNA((VLOOKUP($A42,HN!$A:$BZ,33,FALSE)/12),0)+_xlfn.IFNA((VLOOKUP($A42,HN!$A:$BZ,35,FALSE)/2),0)</f>
        <v>0</v>
      </c>
      <c r="FY42" s="323">
        <f>_xlfn.IFNA((VLOOKUP($A42,HN!$A:$BS,15,FALSE)/12),0)+_xlfn.IFNA((VLOOKUP($A42,HN!$A:$CZ,36,FALSE)/2),0)</f>
        <v>0</v>
      </c>
      <c r="FZ42" s="322">
        <f t="shared" si="47"/>
        <v>-917.14666666666653</v>
      </c>
      <c r="GA42" s="322">
        <f t="shared" si="48"/>
        <v>-1980.0691666666669</v>
      </c>
      <c r="GB42" s="323"/>
      <c r="GC42" s="323"/>
      <c r="GD42" s="323">
        <f>_xlfn.IFNA(VLOOKUP(A42,'LA Deductions'!A:AZ,25,FALSE),0)/9</f>
        <v>0</v>
      </c>
      <c r="GE42" s="322">
        <f t="shared" si="49"/>
        <v>192837.2120213889</v>
      </c>
      <c r="GG42" s="146">
        <f t="shared" si="59"/>
        <v>2490501.8579408773</v>
      </c>
      <c r="GH42" s="146">
        <f t="shared" si="59"/>
        <v>0</v>
      </c>
      <c r="GI42" s="146">
        <f t="shared" si="59"/>
        <v>0</v>
      </c>
      <c r="GJ42" s="146">
        <f t="shared" si="59"/>
        <v>-11005.760000000002</v>
      </c>
      <c r="GK42" s="146">
        <f t="shared" si="59"/>
        <v>-23760.830000000005</v>
      </c>
      <c r="GL42" s="146">
        <f t="shared" si="59"/>
        <v>-9471</v>
      </c>
      <c r="GN42" s="146">
        <f t="shared" si="60"/>
        <v>2490501.8579408773</v>
      </c>
      <c r="GO42" s="146">
        <f t="shared" si="60"/>
        <v>0</v>
      </c>
      <c r="GP42" s="146">
        <f t="shared" si="60"/>
        <v>0</v>
      </c>
      <c r="GQ42" s="146">
        <f t="shared" si="60"/>
        <v>-11005.760000000002</v>
      </c>
      <c r="GR42" s="146">
        <f t="shared" si="60"/>
        <v>-23760.830000000005</v>
      </c>
      <c r="GS42" s="146">
        <f t="shared" si="60"/>
        <v>-9471</v>
      </c>
      <c r="GU42" s="146"/>
      <c r="GV42" s="57"/>
    </row>
    <row r="43" spans="1:204">
      <c r="A43" s="185">
        <v>5416</v>
      </c>
      <c r="B43" s="185">
        <v>103563</v>
      </c>
      <c r="C43" s="185" t="s">
        <v>106</v>
      </c>
      <c r="D43" s="2" t="s">
        <v>107</v>
      </c>
      <c r="E43" s="191" t="s">
        <v>58</v>
      </c>
      <c r="F43" s="191" t="s">
        <v>912</v>
      </c>
      <c r="H43" s="279">
        <f>_xlfn.IFNA(VLOOKUP($A43,ISB!$A$4:$BY$454,67,FALSE),0)</f>
        <v>9215981.4148669075</v>
      </c>
      <c r="I43" s="279">
        <f>_xlfn.IFNA(VLOOKUP($A43,ISB!$A$4:$BY$454,72,FALSE),0)</f>
        <v>-23209.89</v>
      </c>
      <c r="J43" s="279">
        <f>-_xlfn.IFNA(VLOOKUP($A43,ISB!$A$4:$BY$454,76,FALSE),0)</f>
        <v>-8691.94</v>
      </c>
      <c r="K43" s="279">
        <f>_xlfn.IFNA(VLOOKUP($A43,ISB!$A$4:$BY$454,77,FALSE),0)</f>
        <v>9184079.5848669074</v>
      </c>
      <c r="M43" s="301">
        <f t="shared" si="7"/>
        <v>767998.45123890892</v>
      </c>
      <c r="N43" s="301">
        <f>VLOOKUP($A43,EY!$A:$H,8,FALSE)+(VLOOKUP($A43,EY!$A:$BS,17,FALSE)-S43)+VLOOKUP($A43,EY!$A:$BS,41,FALSE)</f>
        <v>0</v>
      </c>
      <c r="O43" s="302"/>
      <c r="P43" s="302">
        <f>_xlfn.IFNA((VLOOKUP($A43,HN!$A:$K,8,FALSE)/12),0)</f>
        <v>0</v>
      </c>
      <c r="Q43" s="302">
        <f>_xlfn.IFNA((VLOOKUP($A43,HN!$A:$BS,14,FALSE)/12),0)</f>
        <v>0</v>
      </c>
      <c r="R43" s="302">
        <f>_xlfn.IFNA(VLOOKUP($A43,'Post 16'!$A:$V,21,FALSE),0)/4</f>
        <v>27352.75</v>
      </c>
      <c r="S43" s="302">
        <f>VLOOKUP($A43,EY!A:Q,15,FALSE)*80%</f>
        <v>0</v>
      </c>
      <c r="T43" s="302">
        <f>_xlfn.IFNA((VLOOKUP($A43,HN!$A:$K,9,FALSE)/12),0)+_xlfn.IFNA((VLOOKUP($A43,HN!$A:$K,10,FALSE)/12),0)</f>
        <v>0</v>
      </c>
      <c r="U43" s="302">
        <f>_xlfn.IFNA((VLOOKUP($A43,HN!$A:$BS,15,FALSE)/12),0)</f>
        <v>0</v>
      </c>
      <c r="V43" s="301">
        <f t="shared" si="8"/>
        <v>-1934.1575</v>
      </c>
      <c r="W43" s="301">
        <f t="shared" si="9"/>
        <v>-724.32833333333338</v>
      </c>
      <c r="X43" s="302"/>
      <c r="Y43" s="302">
        <f>_xlfn.IFNA(VLOOKUP($A43,'Cash Advances'!$A:$S,8,FALSE),0)</f>
        <v>0</v>
      </c>
      <c r="Z43" s="301">
        <f t="shared" si="54"/>
        <v>792692.71540557558</v>
      </c>
      <c r="AA43" s="315">
        <f t="shared" si="10"/>
        <v>767998.45123890892</v>
      </c>
      <c r="AB43" s="315"/>
      <c r="AC43" s="316"/>
      <c r="AD43" s="316">
        <f>_xlfn.IFNA((VLOOKUP($A43,HN!$A:$K,8,FALSE)/12),0)</f>
        <v>0</v>
      </c>
      <c r="AE43" s="316">
        <f>_xlfn.IFNA((VLOOKUP($A43,HN!$A:$BS,14,FALSE)/12),0)</f>
        <v>0</v>
      </c>
      <c r="AF43" s="316">
        <f>_xlfn.IFNA(VLOOKUP($A43,'Post 16'!$A:$V,21,FALSE),0)/4</f>
        <v>27352.75</v>
      </c>
      <c r="AG43" s="316"/>
      <c r="AH43" s="316">
        <f>_xlfn.IFNA((VLOOKUP($A43,HN!$A:$K,9,FALSE)/12),0)+_xlfn.IFNA((VLOOKUP($A43,HN!$A:$K,10,FALSE)/12),0)</f>
        <v>0</v>
      </c>
      <c r="AI43" s="316">
        <f>_xlfn.IFNA((VLOOKUP($A43,HN!$A:$BS,15,FALSE)/12),0)</f>
        <v>0</v>
      </c>
      <c r="AJ43" s="315">
        <f t="shared" si="11"/>
        <v>-1934.1575</v>
      </c>
      <c r="AK43" s="315">
        <f t="shared" si="12"/>
        <v>-724.32833333333338</v>
      </c>
      <c r="AL43" s="316"/>
      <c r="AM43" s="316">
        <f>_xlfn.IFNA(VLOOKUP($A43,'Cash Advances'!$A:$S,9,FALSE),0)</f>
        <v>0</v>
      </c>
      <c r="AN43" s="315">
        <f t="shared" si="55"/>
        <v>792692.71540557558</v>
      </c>
      <c r="AO43" s="308">
        <f t="shared" si="13"/>
        <v>767998.45123890892</v>
      </c>
      <c r="AP43" s="308"/>
      <c r="AQ43" s="309"/>
      <c r="AR43" s="309">
        <f>_xlfn.IFNA((VLOOKUP($A43,HN!$A:$K,8,FALSE)/12),0)</f>
        <v>0</v>
      </c>
      <c r="AS43" s="309">
        <f>_xlfn.IFNA((VLOOKUP($A43,HN!$A:$BS,14,FALSE)/12),0)</f>
        <v>0</v>
      </c>
      <c r="AT43" s="309">
        <f>_xlfn.IFNA(VLOOKUP($A43,'Post 16'!$A:$V,21,FALSE),0)/4</f>
        <v>27352.75</v>
      </c>
      <c r="AU43" s="309"/>
      <c r="AV43" s="309">
        <f>_xlfn.IFNA((VLOOKUP($A43,HN!$A:$K,9,FALSE)/12),0)+_xlfn.IFNA((VLOOKUP($A43,HN!$A:$K,10,FALSE)/12),0)+_xlfn.IFNA(VLOOKUP(A43,HN!A:V,19,FALSE),0)+_xlfn.IFNA(VLOOKUP(A43,HN!A:V,20,FALSE),0)+_xlfn.IFNA(VLOOKUP(A43,HN!A:V,21,FALSE),0)</f>
        <v>0</v>
      </c>
      <c r="AW43" s="309">
        <f>_xlfn.IFNA((VLOOKUP($A43,HN!$A:$BS,15,FALSE)/12),0)</f>
        <v>0</v>
      </c>
      <c r="AX43" s="308">
        <f t="shared" si="14"/>
        <v>-1934.1575</v>
      </c>
      <c r="AY43" s="308">
        <f t="shared" si="15"/>
        <v>-724.32833333333338</v>
      </c>
      <c r="AZ43" s="309"/>
      <c r="BA43" s="309">
        <f>_xlfn.IFNA(VLOOKUP($A43,'Cash Advances'!$A:$S,10,FALSE),0)</f>
        <v>0</v>
      </c>
      <c r="BB43" s="308">
        <f t="shared" si="56"/>
        <v>792692.71540557558</v>
      </c>
      <c r="BC43" s="330">
        <f t="shared" si="16"/>
        <v>767998.45123890892</v>
      </c>
      <c r="BD43" s="330"/>
      <c r="BE43" s="331"/>
      <c r="BF43" s="331">
        <f>_xlfn.IFNA((VLOOKUP($A43,HN!$A:$K,8,FALSE)/12),0)</f>
        <v>0</v>
      </c>
      <c r="BG43" s="331">
        <f>_xlfn.IFNA((VLOOKUP($A43,HN!$A:$BS,14,FALSE)/12),0)</f>
        <v>0</v>
      </c>
      <c r="BH43" s="331">
        <f>_xlfn.IFNA(VLOOKUP($A43,'Post 16'!$A:$V,21,FALSE),0)/4</f>
        <v>27352.75</v>
      </c>
      <c r="BI43" s="331"/>
      <c r="BJ43" s="331">
        <f>_xlfn.IFNA((VLOOKUP($A43,HN!$A:$K,9,FALSE)/12),0)+_xlfn.IFNA((VLOOKUP($A43,HN!$A:$K,10,FALSE)/12),0)</f>
        <v>0</v>
      </c>
      <c r="BK43" s="331">
        <f>_xlfn.IFNA((VLOOKUP($A43,HN!$A:$BS,15,FALSE)/12),0)</f>
        <v>0</v>
      </c>
      <c r="BL43" s="330">
        <f t="shared" si="17"/>
        <v>-1934.1575</v>
      </c>
      <c r="BM43" s="330">
        <f t="shared" si="18"/>
        <v>-724.32833333333338</v>
      </c>
      <c r="BN43" s="331"/>
      <c r="BO43" s="331">
        <f>_xlfn.IFNA(VLOOKUP(A43,'Cash Advances'!A:K,11,FALSE),0)</f>
        <v>0</v>
      </c>
      <c r="BP43" s="330">
        <f t="shared" si="57"/>
        <v>792692.71540557558</v>
      </c>
      <c r="BQ43" s="322">
        <f t="shared" si="19"/>
        <v>767998.45123890892</v>
      </c>
      <c r="BR43" s="322"/>
      <c r="BS43" s="323"/>
      <c r="BT43" s="323">
        <f>_xlfn.IFNA((VLOOKUP($A43,HN!$A:$K,8,FALSE)/12),0)</f>
        <v>0</v>
      </c>
      <c r="BU43" s="323">
        <f>_xlfn.IFNA((VLOOKUP($A43,HN!$A:$BS,14,FALSE)/12),0)</f>
        <v>0</v>
      </c>
      <c r="BV43" s="323">
        <f>(_xlfn.IFNA(VLOOKUP($A43,'Post 16'!$A:$AV,32,FALSE),0)/8)+_xlfn.IFNA(VLOOKUP($A43,'Post 16'!$A:$AR,40,FALSE),0)</f>
        <v>28396.166666666664</v>
      </c>
      <c r="BW43" s="323"/>
      <c r="BX43" s="323">
        <f>_xlfn.IFNA((VLOOKUP($A43,HN!$A:$K,9,FALSE)/12),0)+_xlfn.IFNA((VLOOKUP($A43,HN!$A:$K,10,FALSE)/12),0)</f>
        <v>0</v>
      </c>
      <c r="BY43" s="323">
        <f>_xlfn.IFNA((VLOOKUP($A43,HN!$A:$BS,15,FALSE)/12),0)</f>
        <v>0</v>
      </c>
      <c r="BZ43" s="322">
        <f t="shared" si="20"/>
        <v>-1934.1575</v>
      </c>
      <c r="CA43" s="322">
        <f t="shared" si="21"/>
        <v>-724.32833333333338</v>
      </c>
      <c r="CB43" s="323"/>
      <c r="CC43" s="323"/>
      <c r="CD43" s="322">
        <f t="shared" si="58"/>
        <v>793736.13207224221</v>
      </c>
      <c r="CE43" s="357">
        <f t="shared" si="22"/>
        <v>767998.45123890892</v>
      </c>
      <c r="CF43" s="357">
        <f>(VLOOKUP($A43,EY!$A:$BS,26,FALSE)-(VLOOKUP($A43,EY!A:CR,24,FALSE)*80%))+VLOOKUP($A43,EY!$A:$BS,42,FALSE)+(VLOOKUP($A43,EY!A:CC,74,FALSE)-VLOOKUP($A43,EY!A:CC,72,FALSE))</f>
        <v>0</v>
      </c>
      <c r="CG43" s="358"/>
      <c r="CH43" s="358">
        <f>_xlfn.IFNA((VLOOKUP($A43,HN!$A:$K,8,FALSE)/12),0)</f>
        <v>0</v>
      </c>
      <c r="CI43" s="358">
        <f>_xlfn.IFNA((VLOOKUP($A43,HN!$A:$BS,14,FALSE)/12),0)</f>
        <v>0</v>
      </c>
      <c r="CJ43" s="358">
        <f>(_xlfn.IFNA(VLOOKUP($A43,'Post 16'!$A:$AV,32,FALSE),0)/8)</f>
        <v>28396.166666666664</v>
      </c>
      <c r="CK43" s="358">
        <f>(VLOOKUP($A43,EY!A:CR,24,FALSE)*80%)+VLOOKUP($A43,EY!A:CC,72,FALSE)</f>
        <v>0</v>
      </c>
      <c r="CL43" s="358">
        <f>_xlfn.IFNA((VLOOKUP($A43,HN!$A:$K,9,FALSE)/12),0)+_xlfn.IFNA((VLOOKUP($A43,HN!$A:$K,10,FALSE)/12),0)</f>
        <v>0</v>
      </c>
      <c r="CM43" s="358">
        <f>_xlfn.IFNA((VLOOKUP($A43,HN!$A:$BS,15,FALSE)/12),0)</f>
        <v>0</v>
      </c>
      <c r="CN43" s="357">
        <f t="shared" si="23"/>
        <v>-1934.1575</v>
      </c>
      <c r="CO43" s="357">
        <f t="shared" si="24"/>
        <v>-724.32833333333338</v>
      </c>
      <c r="CP43" s="358">
        <f>_xlfn.IFNA(VLOOKUP(A43,'LA Deductions'!A:W,23,FALSE),0)</f>
        <v>-32697</v>
      </c>
      <c r="CQ43" s="358">
        <f>_xlfn.IFNA(VLOOKUP($A43,'Cash Advances'!$A:$S,13,FALSE),0)</f>
        <v>0</v>
      </c>
      <c r="CR43" s="358">
        <f>_xlfn.IFNA(VLOOKUP(A43,'LA Deductions'!A:AZ,25,FALSE),0)/9*3</f>
        <v>0</v>
      </c>
      <c r="CS43" s="357">
        <f t="shared" si="25"/>
        <v>761039.13207224221</v>
      </c>
      <c r="CT43" s="337">
        <f t="shared" si="26"/>
        <v>767998.45123890892</v>
      </c>
      <c r="CU43" s="337"/>
      <c r="CV43" s="338">
        <f>_xlfn.IFNA(VLOOKUP(A43,'LA Deductions'!$A$6:$AN$207,34,FALSE),0)</f>
        <v>-3746.3824166666664</v>
      </c>
      <c r="CW43" s="338">
        <f>_xlfn.IFNA((VLOOKUP($A43,HN!$A:$K,8,FALSE)/12),0)</f>
        <v>0</v>
      </c>
      <c r="CX43" s="338">
        <f>_xlfn.IFNA((VLOOKUP($A43,HN!$A:$BS,14,FALSE)/12),0)</f>
        <v>0</v>
      </c>
      <c r="CY43" s="338">
        <f>_xlfn.IFNA(VLOOKUP($A43,'Post 16'!$A:$AV,32,FALSE),0)/8</f>
        <v>28396.166666666664</v>
      </c>
      <c r="CZ43" s="338"/>
      <c r="DA43" s="338">
        <f>_xlfn.IFNA((VLOOKUP($A43,HN!$A:$K,9,FALSE)/12),0)+_xlfn.IFNA((VLOOKUP($A43,HN!$A:$K,10,FALSE)/12),0)</f>
        <v>0</v>
      </c>
      <c r="DB43" s="338">
        <f>_xlfn.IFNA((VLOOKUP($A43,HN!$A:$BS,15,FALSE)/12),0)</f>
        <v>0</v>
      </c>
      <c r="DC43" s="337">
        <f t="shared" si="27"/>
        <v>-1934.1575</v>
      </c>
      <c r="DD43" s="337">
        <f t="shared" si="28"/>
        <v>-724.32833333333338</v>
      </c>
      <c r="DE43" s="338"/>
      <c r="DF43" s="338">
        <f>_xlfn.IFNA(VLOOKUP($A43,'Cash Advances'!$A:$S,14,FALSE),0)</f>
        <v>0</v>
      </c>
      <c r="DG43" s="338">
        <f>(_xlfn.IFNA(VLOOKUP(A43,'LA Deductions'!A:AZ,25,FALSE),0)/9)+(_xlfn.IFNA(VLOOKUP(A43,'LA Deductions'!A:AZ,26,FALSE),0))</f>
        <v>0</v>
      </c>
      <c r="DH43" s="337">
        <f t="shared" si="29"/>
        <v>789989.74965557549</v>
      </c>
      <c r="DI43" s="330">
        <f t="shared" si="30"/>
        <v>767998.45123890892</v>
      </c>
      <c r="DJ43" s="330"/>
      <c r="DK43" s="331"/>
      <c r="DL43" s="331">
        <f>_xlfn.IFNA((VLOOKUP($A43,HN!$A:$K,8,FALSE)/12),0)+_xlfn.IFNA((VLOOKUP($A43,HN!$A:$AF,32,FALSE)*8/12),0)</f>
        <v>0</v>
      </c>
      <c r="DM43" s="331">
        <f>_xlfn.IFNA((VLOOKUP($A43,HN!$A:$BS,14,FALSE)/12),0)+_xlfn.IFNA(VLOOKUP($A43,HN!$A:$BS,31,FALSE),0)</f>
        <v>0</v>
      </c>
      <c r="DN43" s="331">
        <f>_xlfn.IFNA(VLOOKUP($A43,'Post 16'!$A:$AV,32,FALSE),0)/8</f>
        <v>28396.166666666664</v>
      </c>
      <c r="DO43" s="331"/>
      <c r="DP43" s="331">
        <f>_xlfn.IFNA((VLOOKUP($A43,HN!$A:$K,9,FALSE)/12),0)+_xlfn.IFNA((VLOOKUP($A43,HN!$A:$K,10,FALSE)/12),0)+_xlfn.IFNA((VLOOKUP($A43,HN!$A:$BZ,33,FALSE)*8/12),0)</f>
        <v>0</v>
      </c>
      <c r="DQ43" s="331">
        <f>_xlfn.IFNA((VLOOKUP($A43,HN!$A:$BS,15,FALSE)/12),0)</f>
        <v>0</v>
      </c>
      <c r="DR43" s="330">
        <f t="shared" si="31"/>
        <v>-1934.1575</v>
      </c>
      <c r="DS43" s="330">
        <f t="shared" si="32"/>
        <v>-724.32833333333338</v>
      </c>
      <c r="DT43" s="331"/>
      <c r="DU43" s="331"/>
      <c r="DV43" s="331">
        <f>(_xlfn.IFNA(VLOOKUP(A43,'LA Deductions'!A:AZ,25,FALSE),0)/9)+_xlfn.IFNA(VLOOKUP(A43,'LA Deductions'!A:AZ,27,FALSE),0)</f>
        <v>0</v>
      </c>
      <c r="DW43" s="330">
        <f t="shared" si="33"/>
        <v>793736.13207224221</v>
      </c>
      <c r="DX43" s="344">
        <f t="shared" si="34"/>
        <v>767998.45123890892</v>
      </c>
      <c r="DY43" s="344"/>
      <c r="DZ43" s="345"/>
      <c r="EA43" s="345">
        <f>_xlfn.IFNA((VLOOKUP($A43,HN!$A:$K,8,FALSE)/12),0)+_xlfn.IFNA((VLOOKUP($A43,HN!$A:$AF,32,FALSE)*1/12),0)</f>
        <v>0</v>
      </c>
      <c r="EB43" s="345">
        <f>_xlfn.IFNA((VLOOKUP($A43,HN!$A:$BS,14,FALSE)/12),0)</f>
        <v>0</v>
      </c>
      <c r="EC43" s="345">
        <f>_xlfn.IFNA(VLOOKUP($A43,'Post 16'!$A:$AV,32,FALSE),0)/8</f>
        <v>28396.166666666664</v>
      </c>
      <c r="ED43" s="345"/>
      <c r="EE43" s="345">
        <f>_xlfn.IFNA((VLOOKUP($A43,HN!$A:$K,9,FALSE)/12),0)+_xlfn.IFNA((VLOOKUP($A43,HN!$A:$K,10,FALSE)/12),0)+_xlfn.IFNA((VLOOKUP($A43,HN!$A:$BZ,33,FALSE)/12),0)</f>
        <v>0</v>
      </c>
      <c r="EF43" s="345">
        <f>_xlfn.IFNA((VLOOKUP($A43,HN!$A:$BS,15,FALSE)/12),0)</f>
        <v>0</v>
      </c>
      <c r="EG43" s="344">
        <f t="shared" si="35"/>
        <v>-1934.1575</v>
      </c>
      <c r="EH43" s="344">
        <f t="shared" si="36"/>
        <v>-724.32833333333338</v>
      </c>
      <c r="EI43" s="345"/>
      <c r="EJ43" s="345">
        <f>_xlfn.IFNA(VLOOKUP(A43,'Cash Advances'!A:P,16,FALSE),0)</f>
        <v>0</v>
      </c>
      <c r="EK43" s="345">
        <f>_xlfn.IFNA(VLOOKUP(A43,'LA Deductions'!A:AZ,25,FALSE),0)/9</f>
        <v>0</v>
      </c>
      <c r="EL43" s="344">
        <f t="shared" si="37"/>
        <v>793736.13207224221</v>
      </c>
      <c r="EM43" s="308">
        <f t="shared" si="38"/>
        <v>767998.45123890892</v>
      </c>
      <c r="EN43" s="308">
        <f>((VLOOKUP($A43,EY!$A:$BS,35,FALSE)-(VLOOKUP($A43,EY!$A:$BS,33,FALSE)*80%))+VLOOKUP($A43,EY!$A:$BS,43,FALSE))+(VLOOKUP(A43,EY!A:DF,110,FALSE)-VLOOKUP(A43,EY!A:DD,108,FALSE))+(VLOOKUP(A43,EY!A:CE,83,FALSE)-VLOOKUP(A43,EY!A:CC,81,FALSE))</f>
        <v>0</v>
      </c>
      <c r="EO43" s="309"/>
      <c r="EP43" s="309">
        <f>_xlfn.IFNA((VLOOKUP($A43,HN!$A:$K,8,FALSE)/12),0)+_xlfn.IFNA((VLOOKUP($A43,HN!$A:$AF,32,FALSE)*1/12),0)</f>
        <v>0</v>
      </c>
      <c r="EQ43" s="309">
        <f>_xlfn.IFNA((VLOOKUP($A43,HN!$A:$BS,14,FALSE)/12),0)+_xlfn.IFNA((VLOOKUP($A43,HN!$A:$BS,34,FALSE)/3),0)</f>
        <v>0</v>
      </c>
      <c r="ER43" s="309">
        <f>_xlfn.IFNA(VLOOKUP($A43,'Post 16'!$A:$AV,32,FALSE),0)/8</f>
        <v>28396.166666666664</v>
      </c>
      <c r="ES43" s="309">
        <f>((VLOOKUP($A43,EY!A:EV,33,FALSE)*80%))+VLOOKUP(A43,EY!A:DD,108,FALSE)+VLOOKUP(A43,EY!A:CC,81,FALSE)</f>
        <v>0</v>
      </c>
      <c r="ET43" s="309">
        <f>_xlfn.IFNA((VLOOKUP($A43,HN!$A:$K,9,FALSE)/12),0)+_xlfn.IFNA((VLOOKUP($A43,HN!$A:$K,10,FALSE)/12),0)+_xlfn.IFNA((VLOOKUP($A43,HN!$A:$BZ,33,FALSE)/12),0)</f>
        <v>0</v>
      </c>
      <c r="EU43" s="309">
        <f>_xlfn.IFNA((VLOOKUP($A43,HN!$A:$BS,15,FALSE)/12),0)</f>
        <v>0</v>
      </c>
      <c r="EV43" s="308">
        <f t="shared" si="39"/>
        <v>-1934.1575</v>
      </c>
      <c r="EW43" s="308">
        <f t="shared" si="40"/>
        <v>-724.32833333333338</v>
      </c>
      <c r="EX43" s="309"/>
      <c r="EY43" s="309">
        <f>_xlfn.IFNA(VLOOKUP($A43,'Cash Advances'!$A:$S,17,FALSE),0)</f>
        <v>0</v>
      </c>
      <c r="EZ43" s="309">
        <f>_xlfn.IFNA(VLOOKUP(A43,'LA Deductions'!A:AZ,25,FALSE),0)/9</f>
        <v>0</v>
      </c>
      <c r="FA43" s="308">
        <f t="shared" si="41"/>
        <v>793736.13207224221</v>
      </c>
      <c r="FB43" s="315">
        <f t="shared" si="42"/>
        <v>767998.45123890892</v>
      </c>
      <c r="FC43" s="315"/>
      <c r="FD43" s="316"/>
      <c r="FE43" s="316">
        <f>_xlfn.IFNA((VLOOKUP($A43,HN!$A:$K,8,FALSE)/12),0)+_xlfn.IFNA((VLOOKUP($A43,HN!$A:$AF,32,FALSE)*1/12),0)</f>
        <v>0</v>
      </c>
      <c r="FF43" s="316">
        <f>_xlfn.IFNA((VLOOKUP($A43,HN!$A:$BS,14,FALSE)/12),0)+_xlfn.IFNA((VLOOKUP($A43,HN!$A:$BS,34,FALSE)/3),0)</f>
        <v>0</v>
      </c>
      <c r="FG43" s="316">
        <f>_xlfn.IFNA(VLOOKUP($A43,'Post 16'!$A:$AV,32,FALSE),0)/8</f>
        <v>28396.166666666664</v>
      </c>
      <c r="FH43" s="316"/>
      <c r="FI43" s="316">
        <f>_xlfn.IFNA((VLOOKUP($A43,HN!$A:$K,9,FALSE)/12),0)+_xlfn.IFNA((VLOOKUP($A43,HN!$A:$K,10,FALSE)/12),0)+_xlfn.IFNA((VLOOKUP($A43,HN!$A:$BZ,33,FALSE)/12),0)+_xlfn.IFNA((VLOOKUP($A43,HN!$A:$BZ,35,FALSE)/2),0)</f>
        <v>0</v>
      </c>
      <c r="FJ43" s="316">
        <f>_xlfn.IFNA((VLOOKUP($A43,HN!$A:$BS,15,FALSE)/12),0)+_xlfn.IFNA((VLOOKUP($A43,HN!$A:$CZ,36,FALSE)/2),0)</f>
        <v>0</v>
      </c>
      <c r="FK43" s="315">
        <f t="shared" si="43"/>
        <v>-1934.1575</v>
      </c>
      <c r="FL43" s="315">
        <f t="shared" si="44"/>
        <v>-724.32833333333338</v>
      </c>
      <c r="FM43" s="316"/>
      <c r="FN43" s="316">
        <f>_xlfn.IFNA(VLOOKUP($A43,'Cash Advances'!$A:$S,18,FALSE),0)</f>
        <v>0</v>
      </c>
      <c r="FO43" s="316">
        <f>_xlfn.IFNA(VLOOKUP(A43,'LA Deductions'!A:AZ,25,FALSE),0)/9</f>
        <v>0</v>
      </c>
      <c r="FP43" s="315">
        <f t="shared" si="45"/>
        <v>793736.13207224221</v>
      </c>
      <c r="FQ43" s="322">
        <f t="shared" si="46"/>
        <v>767998.45123890892</v>
      </c>
      <c r="FR43" s="322"/>
      <c r="FS43" s="323"/>
      <c r="FT43" s="323">
        <f>_xlfn.IFNA((VLOOKUP($A43,HN!$A:$K,8,FALSE)/12),0)+_xlfn.IFNA((VLOOKUP($A43,HN!$A:$AF,32,FALSE)*1/12),0)</f>
        <v>0</v>
      </c>
      <c r="FU43" s="323">
        <f>_xlfn.IFNA((VLOOKUP($A43,HN!$A:$BS,14,FALSE)/12),0)+_xlfn.IFNA((VLOOKUP($A43,HN!$A:$BS,34,FALSE)/3),0)</f>
        <v>0</v>
      </c>
      <c r="FV43" s="323">
        <f>_xlfn.IFNA(VLOOKUP($A43,'Post 16'!$A:$AV,32,FALSE),0)/8</f>
        <v>28396.166666666664</v>
      </c>
      <c r="FW43" s="323"/>
      <c r="FX43" s="323">
        <f>_xlfn.IFNA((VLOOKUP($A43,HN!$A:$K,9,FALSE)/12),0)+_xlfn.IFNA((VLOOKUP($A43,HN!$A:$K,10,FALSE)/12),0)+_xlfn.IFNA((VLOOKUP($A43,HN!$A:$BZ,33,FALSE)/12),0)+_xlfn.IFNA((VLOOKUP($A43,HN!$A:$BZ,35,FALSE)/2),0)</f>
        <v>0</v>
      </c>
      <c r="FY43" s="323">
        <f>_xlfn.IFNA((VLOOKUP($A43,HN!$A:$BS,15,FALSE)/12),0)+_xlfn.IFNA((VLOOKUP($A43,HN!$A:$CZ,36,FALSE)/2),0)</f>
        <v>0</v>
      </c>
      <c r="FZ43" s="322">
        <f t="shared" si="47"/>
        <v>-1934.1575</v>
      </c>
      <c r="GA43" s="322">
        <f t="shared" si="48"/>
        <v>-724.32833333333338</v>
      </c>
      <c r="GB43" s="323"/>
      <c r="GC43" s="323"/>
      <c r="GD43" s="323">
        <f>_xlfn.IFNA(VLOOKUP(A43,'LA Deductions'!A:AZ,25,FALSE),0)/9</f>
        <v>0</v>
      </c>
      <c r="GE43" s="322">
        <f t="shared" si="49"/>
        <v>793736.13207224221</v>
      </c>
      <c r="GG43" s="146">
        <f t="shared" si="59"/>
        <v>9212235.032450242</v>
      </c>
      <c r="GH43" s="146">
        <f t="shared" si="59"/>
        <v>336580.33333333331</v>
      </c>
      <c r="GI43" s="146">
        <f t="shared" si="59"/>
        <v>0</v>
      </c>
      <c r="GJ43" s="146">
        <f t="shared" si="59"/>
        <v>-23209.890000000003</v>
      </c>
      <c r="GK43" s="146">
        <f t="shared" si="59"/>
        <v>-8691.9399999999987</v>
      </c>
      <c r="GL43" s="146">
        <f t="shared" si="59"/>
        <v>-32697</v>
      </c>
      <c r="GN43" s="146">
        <f t="shared" si="60"/>
        <v>9212235.032450242</v>
      </c>
      <c r="GO43" s="146">
        <f t="shared" si="60"/>
        <v>336580.33333333331</v>
      </c>
      <c r="GP43" s="146">
        <f t="shared" si="60"/>
        <v>0</v>
      </c>
      <c r="GQ43" s="146">
        <f t="shared" si="60"/>
        <v>-23209.890000000003</v>
      </c>
      <c r="GR43" s="146">
        <f t="shared" si="60"/>
        <v>-8691.9399999999987</v>
      </c>
      <c r="GS43" s="146">
        <f t="shared" si="60"/>
        <v>-32697</v>
      </c>
      <c r="GU43" s="146"/>
      <c r="GV43" s="57"/>
    </row>
    <row r="44" spans="1:204">
      <c r="A44" s="185">
        <v>2054</v>
      </c>
      <c r="B44" s="185">
        <v>103189</v>
      </c>
      <c r="C44" s="185" t="s">
        <v>108</v>
      </c>
      <c r="D44" s="2" t="s">
        <v>109</v>
      </c>
      <c r="E44" s="191" t="s">
        <v>32</v>
      </c>
      <c r="F44" s="191" t="s">
        <v>912</v>
      </c>
      <c r="H44" s="279">
        <f>_xlfn.IFNA(VLOOKUP($A44,ISB!$A$4:$BY$454,67,FALSE),0)</f>
        <v>1894068.837977716</v>
      </c>
      <c r="I44" s="279">
        <f>_xlfn.IFNA(VLOOKUP($A44,ISB!$A$4:$BY$454,72,FALSE),0)</f>
        <v>-9388.7999999999993</v>
      </c>
      <c r="J44" s="279">
        <f>-_xlfn.IFNA(VLOOKUP($A44,ISB!$A$4:$BY$454,76,FALSE),0)</f>
        <v>-14233.07</v>
      </c>
      <c r="K44" s="279">
        <f>_xlfn.IFNA(VLOOKUP($A44,ISB!$A$4:$BY$454,77,FALSE),0)</f>
        <v>1870446.9679777159</v>
      </c>
      <c r="M44" s="301">
        <f t="shared" si="7"/>
        <v>157839.06983147634</v>
      </c>
      <c r="N44" s="301">
        <f>VLOOKUP($A44,EY!$A:$H,8,FALSE)+(VLOOKUP($A44,EY!$A:$BS,17,FALSE)-S44)+VLOOKUP($A44,EY!$A:$BS,41,FALSE)</f>
        <v>46683.328421052633</v>
      </c>
      <c r="O44" s="302"/>
      <c r="P44" s="302">
        <f>_xlfn.IFNA((VLOOKUP($A44,HN!$A:$K,8,FALSE)/12),0)</f>
        <v>0</v>
      </c>
      <c r="Q44" s="302">
        <f>_xlfn.IFNA((VLOOKUP($A44,HN!$A:$BS,14,FALSE)/12),0)</f>
        <v>0</v>
      </c>
      <c r="R44" s="302">
        <f>_xlfn.IFNA(VLOOKUP($A44,'Post 16'!$A:$V,21,FALSE),0)/4</f>
        <v>0</v>
      </c>
      <c r="S44" s="302">
        <f>VLOOKUP($A44,EY!A:Q,15,FALSE)*80%</f>
        <v>0</v>
      </c>
      <c r="T44" s="302">
        <f>_xlfn.IFNA((VLOOKUP($A44,HN!$A:$K,9,FALSE)/12),0)+_xlfn.IFNA((VLOOKUP($A44,HN!$A:$K,10,FALSE)/12),0)</f>
        <v>0</v>
      </c>
      <c r="U44" s="302">
        <f>_xlfn.IFNA((VLOOKUP($A44,HN!$A:$BS,15,FALSE)/12),0)</f>
        <v>0</v>
      </c>
      <c r="V44" s="301">
        <f t="shared" si="8"/>
        <v>-782.4</v>
      </c>
      <c r="W44" s="301">
        <f t="shared" si="9"/>
        <v>-1186.0891666666666</v>
      </c>
      <c r="X44" s="302"/>
      <c r="Y44" s="302">
        <f>_xlfn.IFNA(VLOOKUP($A44,'Cash Advances'!$A:$S,8,FALSE),0)</f>
        <v>0</v>
      </c>
      <c r="Z44" s="301">
        <f t="shared" si="54"/>
        <v>202553.90908586231</v>
      </c>
      <c r="AA44" s="315">
        <f t="shared" si="10"/>
        <v>157839.06983147634</v>
      </c>
      <c r="AB44" s="315"/>
      <c r="AC44" s="316"/>
      <c r="AD44" s="316">
        <f>_xlfn.IFNA((VLOOKUP($A44,HN!$A:$K,8,FALSE)/12),0)</f>
        <v>0</v>
      </c>
      <c r="AE44" s="316">
        <f>_xlfn.IFNA((VLOOKUP($A44,HN!$A:$BS,14,FALSE)/12),0)</f>
        <v>0</v>
      </c>
      <c r="AF44" s="316">
        <f>_xlfn.IFNA(VLOOKUP($A44,'Post 16'!$A:$V,21,FALSE),0)/4</f>
        <v>0</v>
      </c>
      <c r="AG44" s="316"/>
      <c r="AH44" s="316">
        <f>_xlfn.IFNA((VLOOKUP($A44,HN!$A:$K,9,FALSE)/12),0)+_xlfn.IFNA((VLOOKUP($A44,HN!$A:$K,10,FALSE)/12),0)</f>
        <v>0</v>
      </c>
      <c r="AI44" s="316">
        <f>_xlfn.IFNA((VLOOKUP($A44,HN!$A:$BS,15,FALSE)/12),0)</f>
        <v>0</v>
      </c>
      <c r="AJ44" s="315">
        <f t="shared" si="11"/>
        <v>-782.4</v>
      </c>
      <c r="AK44" s="315">
        <f t="shared" si="12"/>
        <v>-1186.0891666666666</v>
      </c>
      <c r="AL44" s="316"/>
      <c r="AM44" s="316">
        <f>_xlfn.IFNA(VLOOKUP($A44,'Cash Advances'!$A:$S,9,FALSE),0)</f>
        <v>0</v>
      </c>
      <c r="AN44" s="315">
        <f t="shared" si="55"/>
        <v>155870.58066480968</v>
      </c>
      <c r="AO44" s="308">
        <f t="shared" si="13"/>
        <v>157839.06983147634</v>
      </c>
      <c r="AP44" s="308"/>
      <c r="AQ44" s="309"/>
      <c r="AR44" s="309">
        <f>_xlfn.IFNA((VLOOKUP($A44,HN!$A:$K,8,FALSE)/12),0)</f>
        <v>0</v>
      </c>
      <c r="AS44" s="309">
        <f>_xlfn.IFNA((VLOOKUP($A44,HN!$A:$BS,14,FALSE)/12),0)</f>
        <v>0</v>
      </c>
      <c r="AT44" s="309">
        <f>_xlfn.IFNA(VLOOKUP($A44,'Post 16'!$A:$V,21,FALSE),0)/4</f>
        <v>0</v>
      </c>
      <c r="AU44" s="309"/>
      <c r="AV44" s="309">
        <f>_xlfn.IFNA((VLOOKUP($A44,HN!$A:$K,9,FALSE)/12),0)+_xlfn.IFNA((VLOOKUP($A44,HN!$A:$K,10,FALSE)/12),0)+_xlfn.IFNA(VLOOKUP(A44,HN!A:V,19,FALSE),0)+_xlfn.IFNA(VLOOKUP(A44,HN!A:V,20,FALSE),0)+_xlfn.IFNA(VLOOKUP(A44,HN!A:V,21,FALSE),0)</f>
        <v>0</v>
      </c>
      <c r="AW44" s="309">
        <f>_xlfn.IFNA((VLOOKUP($A44,HN!$A:$BS,15,FALSE)/12),0)</f>
        <v>0</v>
      </c>
      <c r="AX44" s="308">
        <f t="shared" si="14"/>
        <v>-782.4</v>
      </c>
      <c r="AY44" s="308">
        <f t="shared" si="15"/>
        <v>-1186.0891666666666</v>
      </c>
      <c r="AZ44" s="309"/>
      <c r="BA44" s="309">
        <f>_xlfn.IFNA(VLOOKUP($A44,'Cash Advances'!$A:$S,10,FALSE),0)</f>
        <v>0</v>
      </c>
      <c r="BB44" s="308">
        <f t="shared" si="56"/>
        <v>155870.58066480968</v>
      </c>
      <c r="BC44" s="330">
        <f t="shared" si="16"/>
        <v>157839.06983147634</v>
      </c>
      <c r="BD44" s="330"/>
      <c r="BE44" s="331"/>
      <c r="BF44" s="331">
        <f>_xlfn.IFNA((VLOOKUP($A44,HN!$A:$K,8,FALSE)/12),0)</f>
        <v>0</v>
      </c>
      <c r="BG44" s="331">
        <f>_xlfn.IFNA((VLOOKUP($A44,HN!$A:$BS,14,FALSE)/12),0)</f>
        <v>0</v>
      </c>
      <c r="BH44" s="331">
        <f>_xlfn.IFNA(VLOOKUP($A44,'Post 16'!$A:$V,21,FALSE),0)/4</f>
        <v>0</v>
      </c>
      <c r="BI44" s="331"/>
      <c r="BJ44" s="331">
        <f>_xlfn.IFNA((VLOOKUP($A44,HN!$A:$K,9,FALSE)/12),0)+_xlfn.IFNA((VLOOKUP($A44,HN!$A:$K,10,FALSE)/12),0)</f>
        <v>0</v>
      </c>
      <c r="BK44" s="331">
        <f>_xlfn.IFNA((VLOOKUP($A44,HN!$A:$BS,15,FALSE)/12),0)</f>
        <v>0</v>
      </c>
      <c r="BL44" s="330">
        <f t="shared" si="17"/>
        <v>-782.4</v>
      </c>
      <c r="BM44" s="330">
        <f t="shared" si="18"/>
        <v>-1186.0891666666666</v>
      </c>
      <c r="BN44" s="331"/>
      <c r="BO44" s="331">
        <f>_xlfn.IFNA(VLOOKUP(A44,'Cash Advances'!A:K,11,FALSE),0)</f>
        <v>0</v>
      </c>
      <c r="BP44" s="330">
        <f t="shared" si="57"/>
        <v>155870.58066480968</v>
      </c>
      <c r="BQ44" s="322">
        <f t="shared" si="19"/>
        <v>157839.06983147634</v>
      </c>
      <c r="BR44" s="322"/>
      <c r="BS44" s="323"/>
      <c r="BT44" s="323">
        <f>_xlfn.IFNA((VLOOKUP($A44,HN!$A:$K,8,FALSE)/12),0)</f>
        <v>0</v>
      </c>
      <c r="BU44" s="323">
        <f>_xlfn.IFNA((VLOOKUP($A44,HN!$A:$BS,14,FALSE)/12),0)</f>
        <v>0</v>
      </c>
      <c r="BV44" s="323">
        <f>(_xlfn.IFNA(VLOOKUP($A44,'Post 16'!$A:$AV,32,FALSE),0)/8)+_xlfn.IFNA(VLOOKUP($A44,'Post 16'!$A:$AR,40,FALSE),0)</f>
        <v>0</v>
      </c>
      <c r="BW44" s="323"/>
      <c r="BX44" s="323">
        <f>_xlfn.IFNA((VLOOKUP($A44,HN!$A:$K,9,FALSE)/12),0)+_xlfn.IFNA((VLOOKUP($A44,HN!$A:$K,10,FALSE)/12),0)</f>
        <v>0</v>
      </c>
      <c r="BY44" s="323">
        <f>_xlfn.IFNA((VLOOKUP($A44,HN!$A:$BS,15,FALSE)/12),0)</f>
        <v>0</v>
      </c>
      <c r="BZ44" s="322">
        <f t="shared" si="20"/>
        <v>-782.4</v>
      </c>
      <c r="CA44" s="322">
        <f t="shared" si="21"/>
        <v>-1186.0891666666666</v>
      </c>
      <c r="CB44" s="323"/>
      <c r="CC44" s="323"/>
      <c r="CD44" s="322">
        <f t="shared" si="58"/>
        <v>155870.58066480968</v>
      </c>
      <c r="CE44" s="357">
        <f t="shared" si="22"/>
        <v>157839.06983147634</v>
      </c>
      <c r="CF44" s="357">
        <f>(VLOOKUP($A44,EY!$A:$BS,26,FALSE)-(VLOOKUP($A44,EY!A:CR,24,FALSE)*80%))+VLOOKUP($A44,EY!$A:$BS,42,FALSE)+(VLOOKUP($A44,EY!A:CC,74,FALSE)-VLOOKUP($A44,EY!A:CC,72,FALSE))</f>
        <v>55634.888947368425</v>
      </c>
      <c r="CG44" s="358"/>
      <c r="CH44" s="358">
        <f>_xlfn.IFNA((VLOOKUP($A44,HN!$A:$K,8,FALSE)/12),0)</f>
        <v>0</v>
      </c>
      <c r="CI44" s="358">
        <f>_xlfn.IFNA((VLOOKUP($A44,HN!$A:$BS,14,FALSE)/12),0)</f>
        <v>0</v>
      </c>
      <c r="CJ44" s="358">
        <f>(_xlfn.IFNA(VLOOKUP($A44,'Post 16'!$A:$AV,32,FALSE),0)/8)</f>
        <v>0</v>
      </c>
      <c r="CK44" s="358">
        <f>(VLOOKUP($A44,EY!A:CR,24,FALSE)*80%)+VLOOKUP($A44,EY!A:CC,72,FALSE)</f>
        <v>0</v>
      </c>
      <c r="CL44" s="358">
        <f>_xlfn.IFNA((VLOOKUP($A44,HN!$A:$K,9,FALSE)/12),0)+_xlfn.IFNA((VLOOKUP($A44,HN!$A:$K,10,FALSE)/12),0)</f>
        <v>0</v>
      </c>
      <c r="CM44" s="358">
        <f>_xlfn.IFNA((VLOOKUP($A44,HN!$A:$BS,15,FALSE)/12),0)</f>
        <v>0</v>
      </c>
      <c r="CN44" s="357">
        <f t="shared" si="23"/>
        <v>-782.4</v>
      </c>
      <c r="CO44" s="357">
        <f t="shared" si="24"/>
        <v>-1186.0891666666666</v>
      </c>
      <c r="CP44" s="358">
        <f>_xlfn.IFNA(VLOOKUP(A44,'LA Deductions'!A:W,23,FALSE),0)</f>
        <v>-9471</v>
      </c>
      <c r="CQ44" s="358">
        <f>_xlfn.IFNA(VLOOKUP($A44,'Cash Advances'!$A:$S,13,FALSE),0)</f>
        <v>0</v>
      </c>
      <c r="CR44" s="358">
        <f>_xlfn.IFNA(VLOOKUP(A44,'LA Deductions'!A:AZ,25,FALSE),0)/9*3</f>
        <v>0</v>
      </c>
      <c r="CS44" s="357">
        <f t="shared" si="25"/>
        <v>202034.4696121781</v>
      </c>
      <c r="CT44" s="337">
        <f t="shared" si="26"/>
        <v>157839.06983147634</v>
      </c>
      <c r="CU44" s="337"/>
      <c r="CV44" s="338">
        <f>_xlfn.IFNA(VLOOKUP(A44,'LA Deductions'!$A$6:$AN$207,34,FALSE),0)</f>
        <v>0</v>
      </c>
      <c r="CW44" s="338">
        <f>_xlfn.IFNA((VLOOKUP($A44,HN!$A:$K,8,FALSE)/12),0)</f>
        <v>0</v>
      </c>
      <c r="CX44" s="338">
        <f>_xlfn.IFNA((VLOOKUP($A44,HN!$A:$BS,14,FALSE)/12),0)</f>
        <v>0</v>
      </c>
      <c r="CY44" s="338">
        <f>_xlfn.IFNA(VLOOKUP($A44,'Post 16'!$A:$AV,32,FALSE),0)/8</f>
        <v>0</v>
      </c>
      <c r="CZ44" s="338"/>
      <c r="DA44" s="338">
        <f>_xlfn.IFNA((VLOOKUP($A44,HN!$A:$K,9,FALSE)/12),0)+_xlfn.IFNA((VLOOKUP($A44,HN!$A:$K,10,FALSE)/12),0)</f>
        <v>0</v>
      </c>
      <c r="DB44" s="338">
        <f>_xlfn.IFNA((VLOOKUP($A44,HN!$A:$BS,15,FALSE)/12),0)</f>
        <v>0</v>
      </c>
      <c r="DC44" s="337">
        <f t="shared" si="27"/>
        <v>-782.4</v>
      </c>
      <c r="DD44" s="337">
        <f t="shared" si="28"/>
        <v>-1186.0891666666666</v>
      </c>
      <c r="DE44" s="338"/>
      <c r="DF44" s="338">
        <f>_xlfn.IFNA(VLOOKUP($A44,'Cash Advances'!$A:$S,14,FALSE),0)</f>
        <v>0</v>
      </c>
      <c r="DG44" s="338">
        <f>(_xlfn.IFNA(VLOOKUP(A44,'LA Deductions'!A:AZ,25,FALSE),0)/9)+(_xlfn.IFNA(VLOOKUP(A44,'LA Deductions'!A:AZ,26,FALSE),0))</f>
        <v>0</v>
      </c>
      <c r="DH44" s="337">
        <f t="shared" si="29"/>
        <v>155870.58066480968</v>
      </c>
      <c r="DI44" s="330">
        <f t="shared" si="30"/>
        <v>157839.06983147634</v>
      </c>
      <c r="DJ44" s="330"/>
      <c r="DK44" s="331"/>
      <c r="DL44" s="331">
        <f>_xlfn.IFNA((VLOOKUP($A44,HN!$A:$K,8,FALSE)/12),0)+_xlfn.IFNA((VLOOKUP($A44,HN!$A:$AF,32,FALSE)*8/12),0)</f>
        <v>0</v>
      </c>
      <c r="DM44" s="331">
        <f>_xlfn.IFNA((VLOOKUP($A44,HN!$A:$BS,14,FALSE)/12),0)+_xlfn.IFNA(VLOOKUP($A44,HN!$A:$BS,31,FALSE),0)</f>
        <v>0</v>
      </c>
      <c r="DN44" s="331">
        <f>_xlfn.IFNA(VLOOKUP($A44,'Post 16'!$A:$AV,32,FALSE),0)/8</f>
        <v>0</v>
      </c>
      <c r="DO44" s="331"/>
      <c r="DP44" s="331">
        <f>_xlfn.IFNA((VLOOKUP($A44,HN!$A:$K,9,FALSE)/12),0)+_xlfn.IFNA((VLOOKUP($A44,HN!$A:$K,10,FALSE)/12),0)+_xlfn.IFNA((VLOOKUP($A44,HN!$A:$BZ,33,FALSE)*8/12),0)</f>
        <v>0</v>
      </c>
      <c r="DQ44" s="331">
        <f>_xlfn.IFNA((VLOOKUP($A44,HN!$A:$BS,15,FALSE)/12),0)</f>
        <v>0</v>
      </c>
      <c r="DR44" s="330">
        <f t="shared" si="31"/>
        <v>-782.4</v>
      </c>
      <c r="DS44" s="330">
        <f t="shared" si="32"/>
        <v>-1186.0891666666666</v>
      </c>
      <c r="DT44" s="331"/>
      <c r="DU44" s="331"/>
      <c r="DV44" s="331">
        <f>(_xlfn.IFNA(VLOOKUP(A44,'LA Deductions'!A:AZ,25,FALSE),0)/9)+_xlfn.IFNA(VLOOKUP(A44,'LA Deductions'!A:AZ,27,FALSE),0)</f>
        <v>0</v>
      </c>
      <c r="DW44" s="330">
        <f t="shared" si="33"/>
        <v>155870.58066480968</v>
      </c>
      <c r="DX44" s="344">
        <f t="shared" si="34"/>
        <v>157839.06983147634</v>
      </c>
      <c r="DY44" s="344"/>
      <c r="DZ44" s="345"/>
      <c r="EA44" s="345">
        <f>_xlfn.IFNA((VLOOKUP($A44,HN!$A:$K,8,FALSE)/12),0)+_xlfn.IFNA((VLOOKUP($A44,HN!$A:$AF,32,FALSE)*1/12),0)</f>
        <v>0</v>
      </c>
      <c r="EB44" s="345">
        <f>_xlfn.IFNA((VLOOKUP($A44,HN!$A:$BS,14,FALSE)/12),0)</f>
        <v>0</v>
      </c>
      <c r="EC44" s="345">
        <f>_xlfn.IFNA(VLOOKUP($A44,'Post 16'!$A:$AV,32,FALSE),0)/8</f>
        <v>0</v>
      </c>
      <c r="ED44" s="345"/>
      <c r="EE44" s="345">
        <f>_xlfn.IFNA((VLOOKUP($A44,HN!$A:$K,9,FALSE)/12),0)+_xlfn.IFNA((VLOOKUP($A44,HN!$A:$K,10,FALSE)/12),0)+_xlfn.IFNA((VLOOKUP($A44,HN!$A:$BZ,33,FALSE)/12),0)</f>
        <v>0</v>
      </c>
      <c r="EF44" s="345">
        <f>_xlfn.IFNA((VLOOKUP($A44,HN!$A:$BS,15,FALSE)/12),0)</f>
        <v>0</v>
      </c>
      <c r="EG44" s="344">
        <f t="shared" si="35"/>
        <v>-782.4</v>
      </c>
      <c r="EH44" s="344">
        <f t="shared" si="36"/>
        <v>-1186.0891666666666</v>
      </c>
      <c r="EI44" s="345"/>
      <c r="EJ44" s="345">
        <f>_xlfn.IFNA(VLOOKUP(A44,'Cash Advances'!A:P,16,FALSE),0)</f>
        <v>0</v>
      </c>
      <c r="EK44" s="345">
        <f>_xlfn.IFNA(VLOOKUP(A44,'LA Deductions'!A:AZ,25,FALSE),0)/9</f>
        <v>0</v>
      </c>
      <c r="EL44" s="344">
        <f t="shared" si="37"/>
        <v>155870.58066480968</v>
      </c>
      <c r="EM44" s="308">
        <f t="shared" si="38"/>
        <v>157839.06983147634</v>
      </c>
      <c r="EN44" s="308">
        <f>((VLOOKUP($A44,EY!$A:$BS,35,FALSE)-(VLOOKUP($A44,EY!$A:$BS,33,FALSE)*80%))+VLOOKUP($A44,EY!$A:$BS,43,FALSE))+(VLOOKUP(A44,EY!A:DF,110,FALSE)-VLOOKUP(A44,EY!A:DD,108,FALSE))+(VLOOKUP(A44,EY!A:CE,83,FALSE)-VLOOKUP(A44,EY!A:CC,81,FALSE))</f>
        <v>51299.207119113562</v>
      </c>
      <c r="EO44" s="309"/>
      <c r="EP44" s="309">
        <f>_xlfn.IFNA((VLOOKUP($A44,HN!$A:$K,8,FALSE)/12),0)+_xlfn.IFNA((VLOOKUP($A44,HN!$A:$AF,32,FALSE)*1/12),0)</f>
        <v>0</v>
      </c>
      <c r="EQ44" s="309">
        <f>_xlfn.IFNA((VLOOKUP($A44,HN!$A:$BS,14,FALSE)/12),0)+_xlfn.IFNA((VLOOKUP($A44,HN!$A:$BS,34,FALSE)/3),0)</f>
        <v>0</v>
      </c>
      <c r="ER44" s="309">
        <f>_xlfn.IFNA(VLOOKUP($A44,'Post 16'!$A:$AV,32,FALSE),0)/8</f>
        <v>0</v>
      </c>
      <c r="ES44" s="309">
        <f>((VLOOKUP($A44,EY!A:EV,33,FALSE)*80%))+VLOOKUP(A44,EY!A:DD,108,FALSE)+VLOOKUP(A44,EY!A:CC,81,FALSE)</f>
        <v>1012.8321329639889</v>
      </c>
      <c r="ET44" s="309">
        <f>_xlfn.IFNA((VLOOKUP($A44,HN!$A:$K,9,FALSE)/12),0)+_xlfn.IFNA((VLOOKUP($A44,HN!$A:$K,10,FALSE)/12),0)+_xlfn.IFNA((VLOOKUP($A44,HN!$A:$BZ,33,FALSE)/12),0)</f>
        <v>0</v>
      </c>
      <c r="EU44" s="309">
        <f>_xlfn.IFNA((VLOOKUP($A44,HN!$A:$BS,15,FALSE)/12),0)</f>
        <v>0</v>
      </c>
      <c r="EV44" s="308">
        <f t="shared" si="39"/>
        <v>-782.4</v>
      </c>
      <c r="EW44" s="308">
        <f t="shared" si="40"/>
        <v>-1186.0891666666666</v>
      </c>
      <c r="EX44" s="309"/>
      <c r="EY44" s="309">
        <f>_xlfn.IFNA(VLOOKUP($A44,'Cash Advances'!$A:$S,17,FALSE),0)</f>
        <v>0</v>
      </c>
      <c r="EZ44" s="309">
        <f>_xlfn.IFNA(VLOOKUP(A44,'LA Deductions'!A:AZ,25,FALSE),0)/9</f>
        <v>0</v>
      </c>
      <c r="FA44" s="308">
        <f t="shared" si="41"/>
        <v>208182.61991688723</v>
      </c>
      <c r="FB44" s="315">
        <f t="shared" si="42"/>
        <v>157839.06983147634</v>
      </c>
      <c r="FC44" s="315"/>
      <c r="FD44" s="316"/>
      <c r="FE44" s="316">
        <f>_xlfn.IFNA((VLOOKUP($A44,HN!$A:$K,8,FALSE)/12),0)+_xlfn.IFNA((VLOOKUP($A44,HN!$A:$AF,32,FALSE)*1/12),0)</f>
        <v>0</v>
      </c>
      <c r="FF44" s="316">
        <f>_xlfn.IFNA((VLOOKUP($A44,HN!$A:$BS,14,FALSE)/12),0)+_xlfn.IFNA((VLOOKUP($A44,HN!$A:$BS,34,FALSE)/3),0)</f>
        <v>0</v>
      </c>
      <c r="FG44" s="316">
        <f>_xlfn.IFNA(VLOOKUP($A44,'Post 16'!$A:$AV,32,FALSE),0)/8</f>
        <v>0</v>
      </c>
      <c r="FH44" s="316"/>
      <c r="FI44" s="316">
        <f>_xlfn.IFNA((VLOOKUP($A44,HN!$A:$K,9,FALSE)/12),0)+_xlfn.IFNA((VLOOKUP($A44,HN!$A:$K,10,FALSE)/12),0)+_xlfn.IFNA((VLOOKUP($A44,HN!$A:$BZ,33,FALSE)/12),0)+_xlfn.IFNA((VLOOKUP($A44,HN!$A:$BZ,35,FALSE)/2),0)</f>
        <v>0</v>
      </c>
      <c r="FJ44" s="316">
        <f>_xlfn.IFNA((VLOOKUP($A44,HN!$A:$BS,15,FALSE)/12),0)+_xlfn.IFNA((VLOOKUP($A44,HN!$A:$CZ,36,FALSE)/2),0)</f>
        <v>0</v>
      </c>
      <c r="FK44" s="315">
        <f t="shared" si="43"/>
        <v>-782.4</v>
      </c>
      <c r="FL44" s="315">
        <f t="shared" si="44"/>
        <v>-1186.0891666666666</v>
      </c>
      <c r="FM44" s="316"/>
      <c r="FN44" s="316">
        <f>_xlfn.IFNA(VLOOKUP($A44,'Cash Advances'!$A:$S,18,FALSE),0)</f>
        <v>0</v>
      </c>
      <c r="FO44" s="316">
        <f>_xlfn.IFNA(VLOOKUP(A44,'LA Deductions'!A:AZ,25,FALSE),0)/9</f>
        <v>0</v>
      </c>
      <c r="FP44" s="315">
        <f t="shared" si="45"/>
        <v>155870.58066480968</v>
      </c>
      <c r="FQ44" s="322">
        <f t="shared" si="46"/>
        <v>157839.06983147634</v>
      </c>
      <c r="FR44" s="322"/>
      <c r="FS44" s="323"/>
      <c r="FT44" s="323">
        <f>_xlfn.IFNA((VLOOKUP($A44,HN!$A:$K,8,FALSE)/12),0)+_xlfn.IFNA((VLOOKUP($A44,HN!$A:$AF,32,FALSE)*1/12),0)</f>
        <v>0</v>
      </c>
      <c r="FU44" s="323">
        <f>_xlfn.IFNA((VLOOKUP($A44,HN!$A:$BS,14,FALSE)/12),0)+_xlfn.IFNA((VLOOKUP($A44,HN!$A:$BS,34,FALSE)/3),0)</f>
        <v>0</v>
      </c>
      <c r="FV44" s="323">
        <f>_xlfn.IFNA(VLOOKUP($A44,'Post 16'!$A:$AV,32,FALSE),0)/8</f>
        <v>0</v>
      </c>
      <c r="FW44" s="323"/>
      <c r="FX44" s="323">
        <f>_xlfn.IFNA((VLOOKUP($A44,HN!$A:$K,9,FALSE)/12),0)+_xlfn.IFNA((VLOOKUP($A44,HN!$A:$K,10,FALSE)/12),0)+_xlfn.IFNA((VLOOKUP($A44,HN!$A:$BZ,33,FALSE)/12),0)+_xlfn.IFNA((VLOOKUP($A44,HN!$A:$BZ,35,FALSE)/2),0)</f>
        <v>0</v>
      </c>
      <c r="FY44" s="323">
        <f>_xlfn.IFNA((VLOOKUP($A44,HN!$A:$BS,15,FALSE)/12),0)+_xlfn.IFNA((VLOOKUP($A44,HN!$A:$CZ,36,FALSE)/2),0)</f>
        <v>0</v>
      </c>
      <c r="FZ44" s="322">
        <f t="shared" si="47"/>
        <v>-782.4</v>
      </c>
      <c r="GA44" s="322">
        <f t="shared" si="48"/>
        <v>-1186.0891666666666</v>
      </c>
      <c r="GB44" s="323"/>
      <c r="GC44" s="323"/>
      <c r="GD44" s="323">
        <f>_xlfn.IFNA(VLOOKUP(A44,'LA Deductions'!A:AZ,25,FALSE),0)/9</f>
        <v>0</v>
      </c>
      <c r="GE44" s="322">
        <f t="shared" si="49"/>
        <v>155870.58066480968</v>
      </c>
      <c r="GG44" s="146">
        <f t="shared" si="59"/>
        <v>2047686.2624652504</v>
      </c>
      <c r="GH44" s="146">
        <f t="shared" si="59"/>
        <v>0</v>
      </c>
      <c r="GI44" s="146">
        <f t="shared" si="59"/>
        <v>1012.8321329639889</v>
      </c>
      <c r="GJ44" s="146">
        <f t="shared" si="59"/>
        <v>-9388.7999999999975</v>
      </c>
      <c r="GK44" s="146">
        <f t="shared" si="59"/>
        <v>-14233.07</v>
      </c>
      <c r="GL44" s="146">
        <f t="shared" si="59"/>
        <v>-9471</v>
      </c>
      <c r="GN44" s="146">
        <f t="shared" si="60"/>
        <v>2047686.2624652504</v>
      </c>
      <c r="GO44" s="146">
        <f t="shared" si="60"/>
        <v>0</v>
      </c>
      <c r="GP44" s="146">
        <f t="shared" si="60"/>
        <v>1012.8321329639889</v>
      </c>
      <c r="GQ44" s="146">
        <f t="shared" si="60"/>
        <v>-9388.7999999999975</v>
      </c>
      <c r="GR44" s="146">
        <f t="shared" si="60"/>
        <v>-14233.07</v>
      </c>
      <c r="GS44" s="146">
        <f t="shared" si="60"/>
        <v>-9471</v>
      </c>
      <c r="GU44" s="146"/>
      <c r="GV44" s="57"/>
    </row>
    <row r="45" spans="1:204">
      <c r="A45" s="185">
        <v>2053</v>
      </c>
      <c r="B45" s="185">
        <v>103188</v>
      </c>
      <c r="C45" s="185" t="s">
        <v>110</v>
      </c>
      <c r="D45" s="2" t="s">
        <v>111</v>
      </c>
      <c r="E45" s="191" t="s">
        <v>32</v>
      </c>
      <c r="F45" s="191" t="s">
        <v>912</v>
      </c>
      <c r="H45" s="279">
        <f>_xlfn.IFNA(VLOOKUP($A45,ISB!$A$4:$BY$454,67,FALSE),0)</f>
        <v>2460045.8410799624</v>
      </c>
      <c r="I45" s="279">
        <f>_xlfn.IFNA(VLOOKUP($A45,ISB!$A$4:$BY$454,72,FALSE),0)</f>
        <v>-12518.4</v>
      </c>
      <c r="J45" s="279">
        <f>-_xlfn.IFNA(VLOOKUP($A45,ISB!$A$4:$BY$454,76,FALSE),0)</f>
        <v>-20481.73</v>
      </c>
      <c r="K45" s="279">
        <f>_xlfn.IFNA(VLOOKUP($A45,ISB!$A$4:$BY$454,77,FALSE),0)</f>
        <v>2427045.7110799626</v>
      </c>
      <c r="M45" s="301">
        <f t="shared" si="7"/>
        <v>205003.82008999688</v>
      </c>
      <c r="N45" s="301">
        <f>VLOOKUP($A45,EY!$A:$H,8,FALSE)+(VLOOKUP($A45,EY!$A:$BS,17,FALSE)-S45)+VLOOKUP($A45,EY!$A:$BS,41,FALSE)</f>
        <v>0</v>
      </c>
      <c r="O45" s="302"/>
      <c r="P45" s="302">
        <f>_xlfn.IFNA((VLOOKUP($A45,HN!$A:$K,8,FALSE)/12),0)</f>
        <v>0</v>
      </c>
      <c r="Q45" s="302">
        <f>_xlfn.IFNA((VLOOKUP($A45,HN!$A:$BS,14,FALSE)/12),0)</f>
        <v>0</v>
      </c>
      <c r="R45" s="302">
        <f>_xlfn.IFNA(VLOOKUP($A45,'Post 16'!$A:$V,21,FALSE),0)/4</f>
        <v>0</v>
      </c>
      <c r="S45" s="302">
        <f>VLOOKUP($A45,EY!A:Q,15,FALSE)*80%</f>
        <v>0</v>
      </c>
      <c r="T45" s="302">
        <f>_xlfn.IFNA((VLOOKUP($A45,HN!$A:$K,9,FALSE)/12),0)+_xlfn.IFNA((VLOOKUP($A45,HN!$A:$K,10,FALSE)/12),0)</f>
        <v>0</v>
      </c>
      <c r="U45" s="302">
        <f>_xlfn.IFNA((VLOOKUP($A45,HN!$A:$BS,15,FALSE)/12),0)</f>
        <v>0</v>
      </c>
      <c r="V45" s="301">
        <f t="shared" si="8"/>
        <v>-1043.2</v>
      </c>
      <c r="W45" s="301">
        <f t="shared" si="9"/>
        <v>-1706.8108333333332</v>
      </c>
      <c r="X45" s="302"/>
      <c r="Y45" s="302">
        <f>_xlfn.IFNA(VLOOKUP($A45,'Cash Advances'!$A:$S,8,FALSE),0)</f>
        <v>0</v>
      </c>
      <c r="Z45" s="301">
        <f t="shared" si="54"/>
        <v>202253.80925666355</v>
      </c>
      <c r="AA45" s="315">
        <f t="shared" si="10"/>
        <v>205003.82008999688</v>
      </c>
      <c r="AB45" s="315"/>
      <c r="AC45" s="316"/>
      <c r="AD45" s="316">
        <f>_xlfn.IFNA((VLOOKUP($A45,HN!$A:$K,8,FALSE)/12),0)</f>
        <v>0</v>
      </c>
      <c r="AE45" s="316">
        <f>_xlfn.IFNA((VLOOKUP($A45,HN!$A:$BS,14,FALSE)/12),0)</f>
        <v>0</v>
      </c>
      <c r="AF45" s="316">
        <f>_xlfn.IFNA(VLOOKUP($A45,'Post 16'!$A:$V,21,FALSE),0)/4</f>
        <v>0</v>
      </c>
      <c r="AG45" s="316"/>
      <c r="AH45" s="316">
        <f>_xlfn.IFNA((VLOOKUP($A45,HN!$A:$K,9,FALSE)/12),0)+_xlfn.IFNA((VLOOKUP($A45,HN!$A:$K,10,FALSE)/12),0)</f>
        <v>0</v>
      </c>
      <c r="AI45" s="316">
        <f>_xlfn.IFNA((VLOOKUP($A45,HN!$A:$BS,15,FALSE)/12),0)</f>
        <v>0</v>
      </c>
      <c r="AJ45" s="315">
        <f t="shared" si="11"/>
        <v>-1043.2</v>
      </c>
      <c r="AK45" s="315">
        <f t="shared" si="12"/>
        <v>-1706.8108333333332</v>
      </c>
      <c r="AL45" s="316"/>
      <c r="AM45" s="316">
        <f>_xlfn.IFNA(VLOOKUP($A45,'Cash Advances'!$A:$S,9,FALSE),0)</f>
        <v>0</v>
      </c>
      <c r="AN45" s="315">
        <f t="shared" si="55"/>
        <v>202253.80925666355</v>
      </c>
      <c r="AO45" s="308">
        <f t="shared" si="13"/>
        <v>205003.82008999688</v>
      </c>
      <c r="AP45" s="308"/>
      <c r="AQ45" s="309"/>
      <c r="AR45" s="309">
        <f>_xlfn.IFNA((VLOOKUP($A45,HN!$A:$K,8,FALSE)/12),0)</f>
        <v>0</v>
      </c>
      <c r="AS45" s="309">
        <f>_xlfn.IFNA((VLOOKUP($A45,HN!$A:$BS,14,FALSE)/12),0)</f>
        <v>0</v>
      </c>
      <c r="AT45" s="309">
        <f>_xlfn.IFNA(VLOOKUP($A45,'Post 16'!$A:$V,21,FALSE),0)/4</f>
        <v>0</v>
      </c>
      <c r="AU45" s="309"/>
      <c r="AV45" s="309">
        <f>_xlfn.IFNA((VLOOKUP($A45,HN!$A:$K,9,FALSE)/12),0)+_xlfn.IFNA((VLOOKUP($A45,HN!$A:$K,10,FALSE)/12),0)+_xlfn.IFNA(VLOOKUP(A45,HN!A:V,19,FALSE),0)+_xlfn.IFNA(VLOOKUP(A45,HN!A:V,20,FALSE),0)+_xlfn.IFNA(VLOOKUP(A45,HN!A:V,21,FALSE),0)</f>
        <v>0</v>
      </c>
      <c r="AW45" s="309">
        <f>_xlfn.IFNA((VLOOKUP($A45,HN!$A:$BS,15,FALSE)/12),0)</f>
        <v>0</v>
      </c>
      <c r="AX45" s="308">
        <f t="shared" si="14"/>
        <v>-1043.2</v>
      </c>
      <c r="AY45" s="308">
        <f t="shared" si="15"/>
        <v>-1706.8108333333332</v>
      </c>
      <c r="AZ45" s="309"/>
      <c r="BA45" s="309">
        <f>_xlfn.IFNA(VLOOKUP($A45,'Cash Advances'!$A:$S,10,FALSE),0)</f>
        <v>0</v>
      </c>
      <c r="BB45" s="308">
        <f t="shared" si="56"/>
        <v>202253.80925666355</v>
      </c>
      <c r="BC45" s="330">
        <f t="shared" si="16"/>
        <v>205003.82008999688</v>
      </c>
      <c r="BD45" s="330"/>
      <c r="BE45" s="331"/>
      <c r="BF45" s="331">
        <f>_xlfn.IFNA((VLOOKUP($A45,HN!$A:$K,8,FALSE)/12),0)</f>
        <v>0</v>
      </c>
      <c r="BG45" s="331">
        <f>_xlfn.IFNA((VLOOKUP($A45,HN!$A:$BS,14,FALSE)/12),0)</f>
        <v>0</v>
      </c>
      <c r="BH45" s="331">
        <f>_xlfn.IFNA(VLOOKUP($A45,'Post 16'!$A:$V,21,FALSE),0)/4</f>
        <v>0</v>
      </c>
      <c r="BI45" s="331"/>
      <c r="BJ45" s="331">
        <f>_xlfn.IFNA((VLOOKUP($A45,HN!$A:$K,9,FALSE)/12),0)+_xlfn.IFNA((VLOOKUP($A45,HN!$A:$K,10,FALSE)/12),0)</f>
        <v>0</v>
      </c>
      <c r="BK45" s="331">
        <f>_xlfn.IFNA((VLOOKUP($A45,HN!$A:$BS,15,FALSE)/12),0)</f>
        <v>0</v>
      </c>
      <c r="BL45" s="330">
        <f t="shared" si="17"/>
        <v>-1043.2</v>
      </c>
      <c r="BM45" s="330">
        <f t="shared" si="18"/>
        <v>-1706.8108333333332</v>
      </c>
      <c r="BN45" s="331"/>
      <c r="BO45" s="331">
        <f>_xlfn.IFNA(VLOOKUP(A45,'Cash Advances'!A:K,11,FALSE),0)</f>
        <v>0</v>
      </c>
      <c r="BP45" s="330">
        <f t="shared" si="57"/>
        <v>202253.80925666355</v>
      </c>
      <c r="BQ45" s="322">
        <f t="shared" si="19"/>
        <v>205003.82008999688</v>
      </c>
      <c r="BR45" s="322"/>
      <c r="BS45" s="323"/>
      <c r="BT45" s="323">
        <f>_xlfn.IFNA((VLOOKUP($A45,HN!$A:$K,8,FALSE)/12),0)</f>
        <v>0</v>
      </c>
      <c r="BU45" s="323">
        <f>_xlfn.IFNA((VLOOKUP($A45,HN!$A:$BS,14,FALSE)/12),0)</f>
        <v>0</v>
      </c>
      <c r="BV45" s="323">
        <f>(_xlfn.IFNA(VLOOKUP($A45,'Post 16'!$A:$AV,32,FALSE),0)/8)+_xlfn.IFNA(VLOOKUP($A45,'Post 16'!$A:$AR,40,FALSE),0)</f>
        <v>0</v>
      </c>
      <c r="BW45" s="323"/>
      <c r="BX45" s="323">
        <f>_xlfn.IFNA((VLOOKUP($A45,HN!$A:$K,9,FALSE)/12),0)+_xlfn.IFNA((VLOOKUP($A45,HN!$A:$K,10,FALSE)/12),0)</f>
        <v>0</v>
      </c>
      <c r="BY45" s="323">
        <f>_xlfn.IFNA((VLOOKUP($A45,HN!$A:$BS,15,FALSE)/12),0)</f>
        <v>0</v>
      </c>
      <c r="BZ45" s="322">
        <f t="shared" si="20"/>
        <v>-1043.2</v>
      </c>
      <c r="CA45" s="322">
        <f t="shared" si="21"/>
        <v>-1706.8108333333332</v>
      </c>
      <c r="CB45" s="323"/>
      <c r="CC45" s="323"/>
      <c r="CD45" s="322">
        <f t="shared" si="58"/>
        <v>202253.80925666355</v>
      </c>
      <c r="CE45" s="357">
        <f t="shared" si="22"/>
        <v>205003.82008999688</v>
      </c>
      <c r="CF45" s="357">
        <f>(VLOOKUP($A45,EY!$A:$BS,26,FALSE)-(VLOOKUP($A45,EY!A:CR,24,FALSE)*80%))+VLOOKUP($A45,EY!$A:$BS,42,FALSE)+(VLOOKUP($A45,EY!A:CC,74,FALSE)-VLOOKUP($A45,EY!A:CC,72,FALSE))</f>
        <v>0</v>
      </c>
      <c r="CG45" s="358"/>
      <c r="CH45" s="358">
        <f>_xlfn.IFNA((VLOOKUP($A45,HN!$A:$K,8,FALSE)/12),0)</f>
        <v>0</v>
      </c>
      <c r="CI45" s="358">
        <f>_xlfn.IFNA((VLOOKUP($A45,HN!$A:$BS,14,FALSE)/12),0)</f>
        <v>0</v>
      </c>
      <c r="CJ45" s="358">
        <f>(_xlfn.IFNA(VLOOKUP($A45,'Post 16'!$A:$AV,32,FALSE),0)/8)</f>
        <v>0</v>
      </c>
      <c r="CK45" s="358">
        <f>(VLOOKUP($A45,EY!A:CR,24,FALSE)*80%)+VLOOKUP($A45,EY!A:CC,72,FALSE)</f>
        <v>0</v>
      </c>
      <c r="CL45" s="358">
        <f>_xlfn.IFNA((VLOOKUP($A45,HN!$A:$K,9,FALSE)/12),0)+_xlfn.IFNA((VLOOKUP($A45,HN!$A:$K,10,FALSE)/12),0)</f>
        <v>0</v>
      </c>
      <c r="CM45" s="358">
        <f>_xlfn.IFNA((VLOOKUP($A45,HN!$A:$BS,15,FALSE)/12),0)</f>
        <v>0</v>
      </c>
      <c r="CN45" s="357">
        <f t="shared" si="23"/>
        <v>-1043.2</v>
      </c>
      <c r="CO45" s="357">
        <f t="shared" si="24"/>
        <v>-1706.8108333333332</v>
      </c>
      <c r="CP45" s="358">
        <f>_xlfn.IFNA(VLOOKUP(A45,'LA Deductions'!A:W,23,FALSE),0)</f>
        <v>-12566.4</v>
      </c>
      <c r="CQ45" s="358">
        <f>_xlfn.IFNA(VLOOKUP($A45,'Cash Advances'!$A:$S,13,FALSE),0)</f>
        <v>0</v>
      </c>
      <c r="CR45" s="358">
        <f>_xlfn.IFNA(VLOOKUP(A45,'LA Deductions'!A:AZ,25,FALSE),0)/9*3</f>
        <v>0</v>
      </c>
      <c r="CS45" s="357">
        <f t="shared" si="25"/>
        <v>189687.40925666355</v>
      </c>
      <c r="CT45" s="337">
        <f t="shared" si="26"/>
        <v>205003.82008999688</v>
      </c>
      <c r="CU45" s="337"/>
      <c r="CV45" s="338">
        <f>_xlfn.IFNA(VLOOKUP(A45,'LA Deductions'!$A$6:$AN$207,34,FALSE),0)</f>
        <v>0</v>
      </c>
      <c r="CW45" s="338">
        <f>_xlfn.IFNA((VLOOKUP($A45,HN!$A:$K,8,FALSE)/12),0)</f>
        <v>0</v>
      </c>
      <c r="CX45" s="338">
        <f>_xlfn.IFNA((VLOOKUP($A45,HN!$A:$BS,14,FALSE)/12),0)</f>
        <v>0</v>
      </c>
      <c r="CY45" s="338">
        <f>_xlfn.IFNA(VLOOKUP($A45,'Post 16'!$A:$AV,32,FALSE),0)/8</f>
        <v>0</v>
      </c>
      <c r="CZ45" s="338"/>
      <c r="DA45" s="338">
        <f>_xlfn.IFNA((VLOOKUP($A45,HN!$A:$K,9,FALSE)/12),0)+_xlfn.IFNA((VLOOKUP($A45,HN!$A:$K,10,FALSE)/12),0)</f>
        <v>0</v>
      </c>
      <c r="DB45" s="338">
        <f>_xlfn.IFNA((VLOOKUP($A45,HN!$A:$BS,15,FALSE)/12),0)</f>
        <v>0</v>
      </c>
      <c r="DC45" s="337">
        <f t="shared" si="27"/>
        <v>-1043.2</v>
      </c>
      <c r="DD45" s="337">
        <f t="shared" si="28"/>
        <v>-1706.8108333333332</v>
      </c>
      <c r="DE45" s="338"/>
      <c r="DF45" s="338">
        <f>_xlfn.IFNA(VLOOKUP($A45,'Cash Advances'!$A:$S,14,FALSE),0)</f>
        <v>0</v>
      </c>
      <c r="DG45" s="338">
        <f>(_xlfn.IFNA(VLOOKUP(A45,'LA Deductions'!A:AZ,25,FALSE),0)/9)+(_xlfn.IFNA(VLOOKUP(A45,'LA Deductions'!A:AZ,26,FALSE),0))</f>
        <v>0</v>
      </c>
      <c r="DH45" s="337">
        <f t="shared" si="29"/>
        <v>202253.80925666355</v>
      </c>
      <c r="DI45" s="330">
        <f t="shared" si="30"/>
        <v>205003.82008999688</v>
      </c>
      <c r="DJ45" s="330"/>
      <c r="DK45" s="331"/>
      <c r="DL45" s="331">
        <f>_xlfn.IFNA((VLOOKUP($A45,HN!$A:$K,8,FALSE)/12),0)+_xlfn.IFNA((VLOOKUP($A45,HN!$A:$AF,32,FALSE)*8/12),0)</f>
        <v>0</v>
      </c>
      <c r="DM45" s="331">
        <f>_xlfn.IFNA((VLOOKUP($A45,HN!$A:$BS,14,FALSE)/12),0)+_xlfn.IFNA(VLOOKUP($A45,HN!$A:$BS,31,FALSE),0)</f>
        <v>0</v>
      </c>
      <c r="DN45" s="331">
        <f>_xlfn.IFNA(VLOOKUP($A45,'Post 16'!$A:$AV,32,FALSE),0)/8</f>
        <v>0</v>
      </c>
      <c r="DO45" s="331"/>
      <c r="DP45" s="331">
        <f>_xlfn.IFNA((VLOOKUP($A45,HN!$A:$K,9,FALSE)/12),0)+_xlfn.IFNA((VLOOKUP($A45,HN!$A:$K,10,FALSE)/12),0)+_xlfn.IFNA((VLOOKUP($A45,HN!$A:$BZ,33,FALSE)*8/12),0)</f>
        <v>0</v>
      </c>
      <c r="DQ45" s="331">
        <f>_xlfn.IFNA((VLOOKUP($A45,HN!$A:$BS,15,FALSE)/12),0)</f>
        <v>0</v>
      </c>
      <c r="DR45" s="330">
        <f t="shared" si="31"/>
        <v>-1043.2</v>
      </c>
      <c r="DS45" s="330">
        <f t="shared" si="32"/>
        <v>-1706.8108333333332</v>
      </c>
      <c r="DT45" s="331"/>
      <c r="DU45" s="331"/>
      <c r="DV45" s="331">
        <f>(_xlfn.IFNA(VLOOKUP(A45,'LA Deductions'!A:AZ,25,FALSE),0)/9)+_xlfn.IFNA(VLOOKUP(A45,'LA Deductions'!A:AZ,27,FALSE),0)</f>
        <v>0</v>
      </c>
      <c r="DW45" s="330">
        <f t="shared" si="33"/>
        <v>202253.80925666355</v>
      </c>
      <c r="DX45" s="344">
        <f t="shared" si="34"/>
        <v>205003.82008999688</v>
      </c>
      <c r="DY45" s="344"/>
      <c r="DZ45" s="345"/>
      <c r="EA45" s="345">
        <f>_xlfn.IFNA((VLOOKUP($A45,HN!$A:$K,8,FALSE)/12),0)+_xlfn.IFNA((VLOOKUP($A45,HN!$A:$AF,32,FALSE)*1/12),0)</f>
        <v>0</v>
      </c>
      <c r="EB45" s="345">
        <f>_xlfn.IFNA((VLOOKUP($A45,HN!$A:$BS,14,FALSE)/12),0)</f>
        <v>0</v>
      </c>
      <c r="EC45" s="345">
        <f>_xlfn.IFNA(VLOOKUP($A45,'Post 16'!$A:$AV,32,FALSE),0)/8</f>
        <v>0</v>
      </c>
      <c r="ED45" s="345"/>
      <c r="EE45" s="345">
        <f>_xlfn.IFNA((VLOOKUP($A45,HN!$A:$K,9,FALSE)/12),0)+_xlfn.IFNA((VLOOKUP($A45,HN!$A:$K,10,FALSE)/12),0)+_xlfn.IFNA((VLOOKUP($A45,HN!$A:$BZ,33,FALSE)/12),0)</f>
        <v>0</v>
      </c>
      <c r="EF45" s="345">
        <f>_xlfn.IFNA((VLOOKUP($A45,HN!$A:$BS,15,FALSE)/12),0)</f>
        <v>0</v>
      </c>
      <c r="EG45" s="344">
        <f t="shared" si="35"/>
        <v>-1043.2</v>
      </c>
      <c r="EH45" s="344">
        <f t="shared" si="36"/>
        <v>-1706.8108333333332</v>
      </c>
      <c r="EI45" s="345"/>
      <c r="EJ45" s="345">
        <f>_xlfn.IFNA(VLOOKUP(A45,'Cash Advances'!A:P,16,FALSE),0)</f>
        <v>0</v>
      </c>
      <c r="EK45" s="345">
        <f>_xlfn.IFNA(VLOOKUP(A45,'LA Deductions'!A:AZ,25,FALSE),0)/9</f>
        <v>0</v>
      </c>
      <c r="EL45" s="344">
        <f t="shared" si="37"/>
        <v>202253.80925666355</v>
      </c>
      <c r="EM45" s="308">
        <f t="shared" si="38"/>
        <v>205003.82008999688</v>
      </c>
      <c r="EN45" s="308">
        <f>((VLOOKUP($A45,EY!$A:$BS,35,FALSE)-(VLOOKUP($A45,EY!$A:$BS,33,FALSE)*80%))+VLOOKUP($A45,EY!$A:$BS,43,FALSE))+(VLOOKUP(A45,EY!A:DF,110,FALSE)-VLOOKUP(A45,EY!A:DD,108,FALSE))+(VLOOKUP(A45,EY!A:CE,83,FALSE)-VLOOKUP(A45,EY!A:CC,81,FALSE))</f>
        <v>0</v>
      </c>
      <c r="EO45" s="309"/>
      <c r="EP45" s="309">
        <f>_xlfn.IFNA((VLOOKUP($A45,HN!$A:$K,8,FALSE)/12),0)+_xlfn.IFNA((VLOOKUP($A45,HN!$A:$AF,32,FALSE)*1/12),0)</f>
        <v>0</v>
      </c>
      <c r="EQ45" s="309">
        <f>_xlfn.IFNA((VLOOKUP($A45,HN!$A:$BS,14,FALSE)/12),0)+_xlfn.IFNA((VLOOKUP($A45,HN!$A:$BS,34,FALSE)/3),0)</f>
        <v>0</v>
      </c>
      <c r="ER45" s="309">
        <f>_xlfn.IFNA(VLOOKUP($A45,'Post 16'!$A:$AV,32,FALSE),0)/8</f>
        <v>0</v>
      </c>
      <c r="ES45" s="309">
        <f>((VLOOKUP($A45,EY!A:EV,33,FALSE)*80%))+VLOOKUP(A45,EY!A:DD,108,FALSE)+VLOOKUP(A45,EY!A:CC,81,FALSE)</f>
        <v>0</v>
      </c>
      <c r="ET45" s="309">
        <f>_xlfn.IFNA((VLOOKUP($A45,HN!$A:$K,9,FALSE)/12),0)+_xlfn.IFNA((VLOOKUP($A45,HN!$A:$K,10,FALSE)/12),0)+_xlfn.IFNA((VLOOKUP($A45,HN!$A:$BZ,33,FALSE)/12),0)</f>
        <v>0</v>
      </c>
      <c r="EU45" s="309">
        <f>_xlfn.IFNA((VLOOKUP($A45,HN!$A:$BS,15,FALSE)/12),0)</f>
        <v>0</v>
      </c>
      <c r="EV45" s="308">
        <f t="shared" si="39"/>
        <v>-1043.2</v>
      </c>
      <c r="EW45" s="308">
        <f t="shared" si="40"/>
        <v>-1706.8108333333332</v>
      </c>
      <c r="EX45" s="309"/>
      <c r="EY45" s="309">
        <f>_xlfn.IFNA(VLOOKUP($A45,'Cash Advances'!$A:$S,17,FALSE),0)</f>
        <v>0</v>
      </c>
      <c r="EZ45" s="309">
        <f>_xlfn.IFNA(VLOOKUP(A45,'LA Deductions'!A:AZ,25,FALSE),0)/9</f>
        <v>0</v>
      </c>
      <c r="FA45" s="308">
        <f t="shared" si="41"/>
        <v>202253.80925666355</v>
      </c>
      <c r="FB45" s="315">
        <f t="shared" si="42"/>
        <v>205003.82008999688</v>
      </c>
      <c r="FC45" s="315"/>
      <c r="FD45" s="316"/>
      <c r="FE45" s="316">
        <f>_xlfn.IFNA((VLOOKUP($A45,HN!$A:$K,8,FALSE)/12),0)+_xlfn.IFNA((VLOOKUP($A45,HN!$A:$AF,32,FALSE)*1/12),0)</f>
        <v>0</v>
      </c>
      <c r="FF45" s="316">
        <f>_xlfn.IFNA((VLOOKUP($A45,HN!$A:$BS,14,FALSE)/12),0)+_xlfn.IFNA((VLOOKUP($A45,HN!$A:$BS,34,FALSE)/3),0)</f>
        <v>0</v>
      </c>
      <c r="FG45" s="316">
        <f>_xlfn.IFNA(VLOOKUP($A45,'Post 16'!$A:$AV,32,FALSE),0)/8</f>
        <v>0</v>
      </c>
      <c r="FH45" s="316"/>
      <c r="FI45" s="316">
        <f>_xlfn.IFNA((VLOOKUP($A45,HN!$A:$K,9,FALSE)/12),0)+_xlfn.IFNA((VLOOKUP($A45,HN!$A:$K,10,FALSE)/12),0)+_xlfn.IFNA((VLOOKUP($A45,HN!$A:$BZ,33,FALSE)/12),0)+_xlfn.IFNA((VLOOKUP($A45,HN!$A:$BZ,35,FALSE)/2),0)</f>
        <v>0</v>
      </c>
      <c r="FJ45" s="316">
        <f>_xlfn.IFNA((VLOOKUP($A45,HN!$A:$BS,15,FALSE)/12),0)+_xlfn.IFNA((VLOOKUP($A45,HN!$A:$CZ,36,FALSE)/2),0)</f>
        <v>0</v>
      </c>
      <c r="FK45" s="315">
        <f t="shared" si="43"/>
        <v>-1043.2</v>
      </c>
      <c r="FL45" s="315">
        <f t="shared" si="44"/>
        <v>-1706.8108333333332</v>
      </c>
      <c r="FM45" s="316"/>
      <c r="FN45" s="316">
        <f>_xlfn.IFNA(VLOOKUP($A45,'Cash Advances'!$A:$S,18,FALSE),0)</f>
        <v>0</v>
      </c>
      <c r="FO45" s="316">
        <f>_xlfn.IFNA(VLOOKUP(A45,'LA Deductions'!A:AZ,25,FALSE),0)/9</f>
        <v>0</v>
      </c>
      <c r="FP45" s="315">
        <f t="shared" si="45"/>
        <v>202253.80925666355</v>
      </c>
      <c r="FQ45" s="322">
        <f t="shared" si="46"/>
        <v>205003.82008999688</v>
      </c>
      <c r="FR45" s="322"/>
      <c r="FS45" s="323"/>
      <c r="FT45" s="323">
        <f>_xlfn.IFNA((VLOOKUP($A45,HN!$A:$K,8,FALSE)/12),0)+_xlfn.IFNA((VLOOKUP($A45,HN!$A:$AF,32,FALSE)*1/12),0)</f>
        <v>0</v>
      </c>
      <c r="FU45" s="323">
        <f>_xlfn.IFNA((VLOOKUP($A45,HN!$A:$BS,14,FALSE)/12),0)+_xlfn.IFNA((VLOOKUP($A45,HN!$A:$BS,34,FALSE)/3),0)</f>
        <v>0</v>
      </c>
      <c r="FV45" s="323">
        <f>_xlfn.IFNA(VLOOKUP($A45,'Post 16'!$A:$AV,32,FALSE),0)/8</f>
        <v>0</v>
      </c>
      <c r="FW45" s="323"/>
      <c r="FX45" s="323">
        <f>_xlfn.IFNA((VLOOKUP($A45,HN!$A:$K,9,FALSE)/12),0)+_xlfn.IFNA((VLOOKUP($A45,HN!$A:$K,10,FALSE)/12),0)+_xlfn.IFNA((VLOOKUP($A45,HN!$A:$BZ,33,FALSE)/12),0)+_xlfn.IFNA((VLOOKUP($A45,HN!$A:$BZ,35,FALSE)/2),0)</f>
        <v>0</v>
      </c>
      <c r="FY45" s="323">
        <f>_xlfn.IFNA((VLOOKUP($A45,HN!$A:$BS,15,FALSE)/12),0)+_xlfn.IFNA((VLOOKUP($A45,HN!$A:$CZ,36,FALSE)/2),0)</f>
        <v>0</v>
      </c>
      <c r="FZ45" s="322">
        <f t="shared" si="47"/>
        <v>-1043.2</v>
      </c>
      <c r="GA45" s="322">
        <f t="shared" si="48"/>
        <v>-1706.8108333333332</v>
      </c>
      <c r="GB45" s="323"/>
      <c r="GC45" s="323"/>
      <c r="GD45" s="323">
        <f>_xlfn.IFNA(VLOOKUP(A45,'LA Deductions'!A:AZ,25,FALSE),0)/9</f>
        <v>0</v>
      </c>
      <c r="GE45" s="322">
        <f t="shared" si="49"/>
        <v>202253.80925666355</v>
      </c>
      <c r="GG45" s="146">
        <f t="shared" si="59"/>
        <v>2460045.841079962</v>
      </c>
      <c r="GH45" s="146">
        <f t="shared" si="59"/>
        <v>0</v>
      </c>
      <c r="GI45" s="146">
        <f t="shared" si="59"/>
        <v>0</v>
      </c>
      <c r="GJ45" s="146">
        <f t="shared" si="59"/>
        <v>-12518.400000000003</v>
      </c>
      <c r="GK45" s="146">
        <f t="shared" si="59"/>
        <v>-20481.73</v>
      </c>
      <c r="GL45" s="146">
        <f t="shared" si="59"/>
        <v>-12566.4</v>
      </c>
      <c r="GN45" s="146">
        <f t="shared" si="60"/>
        <v>2460045.841079962</v>
      </c>
      <c r="GO45" s="146">
        <f t="shared" si="60"/>
        <v>0</v>
      </c>
      <c r="GP45" s="146">
        <f t="shared" si="60"/>
        <v>0</v>
      </c>
      <c r="GQ45" s="146">
        <f t="shared" si="60"/>
        <v>-12518.400000000003</v>
      </c>
      <c r="GR45" s="146">
        <f t="shared" si="60"/>
        <v>-20481.73</v>
      </c>
      <c r="GS45" s="146">
        <f t="shared" si="60"/>
        <v>-12566.4</v>
      </c>
      <c r="GU45" s="146"/>
      <c r="GV45" s="57"/>
    </row>
    <row r="46" spans="1:204">
      <c r="A46" s="185">
        <v>3320</v>
      </c>
      <c r="B46" s="185">
        <v>103424</v>
      </c>
      <c r="C46" s="185" t="s">
        <v>112</v>
      </c>
      <c r="D46" s="2" t="s">
        <v>113</v>
      </c>
      <c r="E46" s="191" t="s">
        <v>32</v>
      </c>
      <c r="F46" s="191" t="s">
        <v>912</v>
      </c>
      <c r="H46" s="279">
        <f>_xlfn.IFNA(VLOOKUP($A46,ISB!$A$4:$BY$454,67,FALSE),0)</f>
        <v>2420328.6010741638</v>
      </c>
      <c r="I46" s="279">
        <f>_xlfn.IFNA(VLOOKUP($A46,ISB!$A$4:$BY$454,72,FALSE),0)</f>
        <v>-10484.16</v>
      </c>
      <c r="J46" s="279">
        <f>-_xlfn.IFNA(VLOOKUP($A46,ISB!$A$4:$BY$454,76,FALSE),0)</f>
        <v>-3868.98</v>
      </c>
      <c r="K46" s="279">
        <f>_xlfn.IFNA(VLOOKUP($A46,ISB!$A$4:$BY$454,77,FALSE),0)</f>
        <v>2405975.4610741637</v>
      </c>
      <c r="M46" s="301">
        <f t="shared" si="7"/>
        <v>201694.05008951365</v>
      </c>
      <c r="N46" s="301">
        <f>VLOOKUP($A46,EY!$A:$H,8,FALSE)+(VLOOKUP($A46,EY!$A:$BS,17,FALSE)-S46)+VLOOKUP($A46,EY!$A:$BS,41,FALSE)</f>
        <v>0</v>
      </c>
      <c r="O46" s="302"/>
      <c r="P46" s="302">
        <f>_xlfn.IFNA((VLOOKUP($A46,HN!$A:$K,8,FALSE)/12),0)</f>
        <v>0</v>
      </c>
      <c r="Q46" s="302">
        <f>_xlfn.IFNA((VLOOKUP($A46,HN!$A:$BS,14,FALSE)/12),0)</f>
        <v>0</v>
      </c>
      <c r="R46" s="302">
        <f>_xlfn.IFNA(VLOOKUP($A46,'Post 16'!$A:$V,21,FALSE),0)/4</f>
        <v>0</v>
      </c>
      <c r="S46" s="302">
        <f>VLOOKUP($A46,EY!A:Q,15,FALSE)*80%</f>
        <v>0</v>
      </c>
      <c r="T46" s="302">
        <f>_xlfn.IFNA((VLOOKUP($A46,HN!$A:$K,9,FALSE)/12),0)+_xlfn.IFNA((VLOOKUP($A46,HN!$A:$K,10,FALSE)/12),0)</f>
        <v>0</v>
      </c>
      <c r="U46" s="302">
        <f>_xlfn.IFNA((VLOOKUP($A46,HN!$A:$BS,15,FALSE)/12),0)</f>
        <v>0</v>
      </c>
      <c r="V46" s="301">
        <f t="shared" si="8"/>
        <v>-873.68</v>
      </c>
      <c r="W46" s="301">
        <f t="shared" si="9"/>
        <v>-322.41500000000002</v>
      </c>
      <c r="X46" s="302"/>
      <c r="Y46" s="302">
        <f>_xlfn.IFNA(VLOOKUP($A46,'Cash Advances'!$A:$S,8,FALSE),0)</f>
        <v>0</v>
      </c>
      <c r="Z46" s="301">
        <f t="shared" si="54"/>
        <v>200497.95508951365</v>
      </c>
      <c r="AA46" s="315">
        <f t="shared" si="10"/>
        <v>201694.05008951365</v>
      </c>
      <c r="AB46" s="315"/>
      <c r="AC46" s="316"/>
      <c r="AD46" s="316">
        <f>_xlfn.IFNA((VLOOKUP($A46,HN!$A:$K,8,FALSE)/12),0)</f>
        <v>0</v>
      </c>
      <c r="AE46" s="316">
        <f>_xlfn.IFNA((VLOOKUP($A46,HN!$A:$BS,14,FALSE)/12),0)</f>
        <v>0</v>
      </c>
      <c r="AF46" s="316">
        <f>_xlfn.IFNA(VLOOKUP($A46,'Post 16'!$A:$V,21,FALSE),0)/4</f>
        <v>0</v>
      </c>
      <c r="AG46" s="316"/>
      <c r="AH46" s="316">
        <f>_xlfn.IFNA((VLOOKUP($A46,HN!$A:$K,9,FALSE)/12),0)+_xlfn.IFNA((VLOOKUP($A46,HN!$A:$K,10,FALSE)/12),0)</f>
        <v>0</v>
      </c>
      <c r="AI46" s="316">
        <f>_xlfn.IFNA((VLOOKUP($A46,HN!$A:$BS,15,FALSE)/12),0)</f>
        <v>0</v>
      </c>
      <c r="AJ46" s="315">
        <f t="shared" si="11"/>
        <v>-873.68</v>
      </c>
      <c r="AK46" s="315">
        <f t="shared" si="12"/>
        <v>-322.41500000000002</v>
      </c>
      <c r="AL46" s="316"/>
      <c r="AM46" s="316">
        <f>_xlfn.IFNA(VLOOKUP($A46,'Cash Advances'!$A:$S,9,FALSE),0)</f>
        <v>0</v>
      </c>
      <c r="AN46" s="315">
        <f t="shared" si="55"/>
        <v>200497.95508951365</v>
      </c>
      <c r="AO46" s="308">
        <f t="shared" si="13"/>
        <v>201694.05008951365</v>
      </c>
      <c r="AP46" s="308"/>
      <c r="AQ46" s="309"/>
      <c r="AR46" s="309">
        <f>_xlfn.IFNA((VLOOKUP($A46,HN!$A:$K,8,FALSE)/12),0)</f>
        <v>0</v>
      </c>
      <c r="AS46" s="309">
        <f>_xlfn.IFNA((VLOOKUP($A46,HN!$A:$BS,14,FALSE)/12),0)</f>
        <v>0</v>
      </c>
      <c r="AT46" s="309">
        <f>_xlfn.IFNA(VLOOKUP($A46,'Post 16'!$A:$V,21,FALSE),0)/4</f>
        <v>0</v>
      </c>
      <c r="AU46" s="309"/>
      <c r="AV46" s="309">
        <f>_xlfn.IFNA((VLOOKUP($A46,HN!$A:$K,9,FALSE)/12),0)+_xlfn.IFNA((VLOOKUP($A46,HN!$A:$K,10,FALSE)/12),0)+_xlfn.IFNA(VLOOKUP(A46,HN!A:V,19,FALSE),0)+_xlfn.IFNA(VLOOKUP(A46,HN!A:V,20,FALSE),0)+_xlfn.IFNA(VLOOKUP(A46,HN!A:V,21,FALSE),0)</f>
        <v>0</v>
      </c>
      <c r="AW46" s="309">
        <f>_xlfn.IFNA((VLOOKUP($A46,HN!$A:$BS,15,FALSE)/12),0)</f>
        <v>0</v>
      </c>
      <c r="AX46" s="308">
        <f t="shared" si="14"/>
        <v>-873.68</v>
      </c>
      <c r="AY46" s="308">
        <f t="shared" si="15"/>
        <v>-322.41500000000002</v>
      </c>
      <c r="AZ46" s="309"/>
      <c r="BA46" s="309">
        <f>_xlfn.IFNA(VLOOKUP($A46,'Cash Advances'!$A:$S,10,FALSE),0)</f>
        <v>0</v>
      </c>
      <c r="BB46" s="308">
        <f t="shared" si="56"/>
        <v>200497.95508951365</v>
      </c>
      <c r="BC46" s="330">
        <f t="shared" si="16"/>
        <v>201694.05008951365</v>
      </c>
      <c r="BD46" s="330"/>
      <c r="BE46" s="331"/>
      <c r="BF46" s="331">
        <f>_xlfn.IFNA((VLOOKUP($A46,HN!$A:$K,8,FALSE)/12),0)</f>
        <v>0</v>
      </c>
      <c r="BG46" s="331">
        <f>_xlfn.IFNA((VLOOKUP($A46,HN!$A:$BS,14,FALSE)/12),0)</f>
        <v>0</v>
      </c>
      <c r="BH46" s="331">
        <f>_xlfn.IFNA(VLOOKUP($A46,'Post 16'!$A:$V,21,FALSE),0)/4</f>
        <v>0</v>
      </c>
      <c r="BI46" s="331"/>
      <c r="BJ46" s="331">
        <f>_xlfn.IFNA((VLOOKUP($A46,HN!$A:$K,9,FALSE)/12),0)+_xlfn.IFNA((VLOOKUP($A46,HN!$A:$K,10,FALSE)/12),0)</f>
        <v>0</v>
      </c>
      <c r="BK46" s="331">
        <f>_xlfn.IFNA((VLOOKUP($A46,HN!$A:$BS,15,FALSE)/12),0)</f>
        <v>0</v>
      </c>
      <c r="BL46" s="330">
        <f t="shared" si="17"/>
        <v>-873.68</v>
      </c>
      <c r="BM46" s="330">
        <f t="shared" si="18"/>
        <v>-322.41500000000002</v>
      </c>
      <c r="BN46" s="331"/>
      <c r="BO46" s="331">
        <f>_xlfn.IFNA(VLOOKUP(A46,'Cash Advances'!A:K,11,FALSE),0)</f>
        <v>0</v>
      </c>
      <c r="BP46" s="330">
        <f t="shared" si="57"/>
        <v>200497.95508951365</v>
      </c>
      <c r="BQ46" s="322">
        <f t="shared" si="19"/>
        <v>201694.05008951365</v>
      </c>
      <c r="BR46" s="322"/>
      <c r="BS46" s="323"/>
      <c r="BT46" s="323">
        <f>_xlfn.IFNA((VLOOKUP($A46,HN!$A:$K,8,FALSE)/12),0)</f>
        <v>0</v>
      </c>
      <c r="BU46" s="323">
        <f>_xlfn.IFNA((VLOOKUP($A46,HN!$A:$BS,14,FALSE)/12),0)</f>
        <v>0</v>
      </c>
      <c r="BV46" s="323">
        <f>(_xlfn.IFNA(VLOOKUP($A46,'Post 16'!$A:$AV,32,FALSE),0)/8)+_xlfn.IFNA(VLOOKUP($A46,'Post 16'!$A:$AR,40,FALSE),0)</f>
        <v>0</v>
      </c>
      <c r="BW46" s="323"/>
      <c r="BX46" s="323">
        <f>_xlfn.IFNA((VLOOKUP($A46,HN!$A:$K,9,FALSE)/12),0)+_xlfn.IFNA((VLOOKUP($A46,HN!$A:$K,10,FALSE)/12),0)</f>
        <v>0</v>
      </c>
      <c r="BY46" s="323">
        <f>_xlfn.IFNA((VLOOKUP($A46,HN!$A:$BS,15,FALSE)/12),0)</f>
        <v>0</v>
      </c>
      <c r="BZ46" s="322">
        <f t="shared" si="20"/>
        <v>-873.68</v>
      </c>
      <c r="CA46" s="322">
        <f t="shared" si="21"/>
        <v>-322.41500000000002</v>
      </c>
      <c r="CB46" s="323"/>
      <c r="CC46" s="323"/>
      <c r="CD46" s="322">
        <f t="shared" si="58"/>
        <v>200497.95508951365</v>
      </c>
      <c r="CE46" s="357">
        <f t="shared" si="22"/>
        <v>201694.05008951365</v>
      </c>
      <c r="CF46" s="357">
        <f>(VLOOKUP($A46,EY!$A:$BS,26,FALSE)-(VLOOKUP($A46,EY!A:CR,24,FALSE)*80%))+VLOOKUP($A46,EY!$A:$BS,42,FALSE)+(VLOOKUP($A46,EY!A:CC,74,FALSE)-VLOOKUP($A46,EY!A:CC,72,FALSE))</f>
        <v>0</v>
      </c>
      <c r="CG46" s="358"/>
      <c r="CH46" s="358">
        <f>_xlfn.IFNA((VLOOKUP($A46,HN!$A:$K,8,FALSE)/12),0)</f>
        <v>0</v>
      </c>
      <c r="CI46" s="358">
        <f>_xlfn.IFNA((VLOOKUP($A46,HN!$A:$BS,14,FALSE)/12),0)</f>
        <v>0</v>
      </c>
      <c r="CJ46" s="358">
        <f>(_xlfn.IFNA(VLOOKUP($A46,'Post 16'!$A:$AV,32,FALSE),0)/8)</f>
        <v>0</v>
      </c>
      <c r="CK46" s="358">
        <f>(VLOOKUP($A46,EY!A:CR,24,FALSE)*80%)+VLOOKUP($A46,EY!A:CC,72,FALSE)</f>
        <v>0</v>
      </c>
      <c r="CL46" s="358">
        <f>_xlfn.IFNA((VLOOKUP($A46,HN!$A:$K,9,FALSE)/12),0)+_xlfn.IFNA((VLOOKUP($A46,HN!$A:$K,10,FALSE)/12),0)</f>
        <v>0</v>
      </c>
      <c r="CM46" s="358">
        <f>_xlfn.IFNA((VLOOKUP($A46,HN!$A:$BS,15,FALSE)/12),0)</f>
        <v>0</v>
      </c>
      <c r="CN46" s="357">
        <f t="shared" si="23"/>
        <v>-873.68</v>
      </c>
      <c r="CO46" s="357">
        <f t="shared" si="24"/>
        <v>-322.41500000000002</v>
      </c>
      <c r="CP46" s="358">
        <f>_xlfn.IFNA(VLOOKUP(A46,'LA Deductions'!A:W,23,FALSE),0)</f>
        <v>0</v>
      </c>
      <c r="CQ46" s="358">
        <f>_xlfn.IFNA(VLOOKUP($A46,'Cash Advances'!$A:$S,13,FALSE),0)</f>
        <v>0</v>
      </c>
      <c r="CR46" s="358">
        <f>_xlfn.IFNA(VLOOKUP(A46,'LA Deductions'!A:AZ,25,FALSE),0)/9*3</f>
        <v>0</v>
      </c>
      <c r="CS46" s="357">
        <f t="shared" si="25"/>
        <v>200497.95508951365</v>
      </c>
      <c r="CT46" s="337">
        <f t="shared" si="26"/>
        <v>201694.05008951365</v>
      </c>
      <c r="CU46" s="337"/>
      <c r="CV46" s="338">
        <f>_xlfn.IFNA(VLOOKUP(A46,'LA Deductions'!$A$6:$AN$207,34,FALSE),0)</f>
        <v>0</v>
      </c>
      <c r="CW46" s="338">
        <f>_xlfn.IFNA((VLOOKUP($A46,HN!$A:$K,8,FALSE)/12),0)</f>
        <v>0</v>
      </c>
      <c r="CX46" s="338">
        <f>_xlfn.IFNA((VLOOKUP($A46,HN!$A:$BS,14,FALSE)/12),0)</f>
        <v>0</v>
      </c>
      <c r="CY46" s="338">
        <f>_xlfn.IFNA(VLOOKUP($A46,'Post 16'!$A:$AV,32,FALSE),0)/8</f>
        <v>0</v>
      </c>
      <c r="CZ46" s="338"/>
      <c r="DA46" s="338">
        <f>_xlfn.IFNA((VLOOKUP($A46,HN!$A:$K,9,FALSE)/12),0)+_xlfn.IFNA((VLOOKUP($A46,HN!$A:$K,10,FALSE)/12),0)</f>
        <v>0</v>
      </c>
      <c r="DB46" s="338">
        <f>_xlfn.IFNA((VLOOKUP($A46,HN!$A:$BS,15,FALSE)/12),0)</f>
        <v>0</v>
      </c>
      <c r="DC46" s="337">
        <f t="shared" si="27"/>
        <v>-873.68</v>
      </c>
      <c r="DD46" s="337">
        <f t="shared" si="28"/>
        <v>-322.41500000000002</v>
      </c>
      <c r="DE46" s="338"/>
      <c r="DF46" s="338">
        <f>_xlfn.IFNA(VLOOKUP($A46,'Cash Advances'!$A:$S,14,FALSE),0)</f>
        <v>0</v>
      </c>
      <c r="DG46" s="338">
        <f>(_xlfn.IFNA(VLOOKUP(A46,'LA Deductions'!A:AZ,25,FALSE),0)/9)+(_xlfn.IFNA(VLOOKUP(A46,'LA Deductions'!A:AZ,26,FALSE),0))</f>
        <v>0</v>
      </c>
      <c r="DH46" s="337">
        <f t="shared" si="29"/>
        <v>200497.95508951365</v>
      </c>
      <c r="DI46" s="330">
        <f t="shared" si="30"/>
        <v>201694.05008951365</v>
      </c>
      <c r="DJ46" s="330"/>
      <c r="DK46" s="331"/>
      <c r="DL46" s="331">
        <f>_xlfn.IFNA((VLOOKUP($A46,HN!$A:$K,8,FALSE)/12),0)+_xlfn.IFNA((VLOOKUP($A46,HN!$A:$AF,32,FALSE)*8/12),0)</f>
        <v>0</v>
      </c>
      <c r="DM46" s="331">
        <f>_xlfn.IFNA((VLOOKUP($A46,HN!$A:$BS,14,FALSE)/12),0)+_xlfn.IFNA(VLOOKUP($A46,HN!$A:$BS,31,FALSE),0)</f>
        <v>0</v>
      </c>
      <c r="DN46" s="331">
        <f>_xlfn.IFNA(VLOOKUP($A46,'Post 16'!$A:$AV,32,FALSE),0)/8</f>
        <v>0</v>
      </c>
      <c r="DO46" s="331"/>
      <c r="DP46" s="331">
        <f>_xlfn.IFNA((VLOOKUP($A46,HN!$A:$K,9,FALSE)/12),0)+_xlfn.IFNA((VLOOKUP($A46,HN!$A:$K,10,FALSE)/12),0)+_xlfn.IFNA((VLOOKUP($A46,HN!$A:$BZ,33,FALSE)*8/12),0)</f>
        <v>0</v>
      </c>
      <c r="DQ46" s="331">
        <f>_xlfn.IFNA((VLOOKUP($A46,HN!$A:$BS,15,FALSE)/12),0)</f>
        <v>0</v>
      </c>
      <c r="DR46" s="330">
        <f t="shared" si="31"/>
        <v>-873.68</v>
      </c>
      <c r="DS46" s="330">
        <f t="shared" si="32"/>
        <v>-322.41500000000002</v>
      </c>
      <c r="DT46" s="331"/>
      <c r="DU46" s="331"/>
      <c r="DV46" s="331">
        <f>(_xlfn.IFNA(VLOOKUP(A46,'LA Deductions'!A:AZ,25,FALSE),0)/9)+_xlfn.IFNA(VLOOKUP(A46,'LA Deductions'!A:AZ,27,FALSE),0)</f>
        <v>0</v>
      </c>
      <c r="DW46" s="330">
        <f t="shared" si="33"/>
        <v>200497.95508951365</v>
      </c>
      <c r="DX46" s="344">
        <f t="shared" si="34"/>
        <v>201694.05008951365</v>
      </c>
      <c r="DY46" s="344"/>
      <c r="DZ46" s="345"/>
      <c r="EA46" s="345">
        <f>_xlfn.IFNA((VLOOKUP($A46,HN!$A:$K,8,FALSE)/12),0)+_xlfn.IFNA((VLOOKUP($A46,HN!$A:$AF,32,FALSE)*1/12),0)</f>
        <v>0</v>
      </c>
      <c r="EB46" s="345">
        <f>_xlfn.IFNA((VLOOKUP($A46,HN!$A:$BS,14,FALSE)/12),0)</f>
        <v>0</v>
      </c>
      <c r="EC46" s="345">
        <f>_xlfn.IFNA(VLOOKUP($A46,'Post 16'!$A:$AV,32,FALSE),0)/8</f>
        <v>0</v>
      </c>
      <c r="ED46" s="345"/>
      <c r="EE46" s="345">
        <f>_xlfn.IFNA((VLOOKUP($A46,HN!$A:$K,9,FALSE)/12),0)+_xlfn.IFNA((VLOOKUP($A46,HN!$A:$K,10,FALSE)/12),0)+_xlfn.IFNA((VLOOKUP($A46,HN!$A:$BZ,33,FALSE)/12),0)</f>
        <v>0</v>
      </c>
      <c r="EF46" s="345">
        <f>_xlfn.IFNA((VLOOKUP($A46,HN!$A:$BS,15,FALSE)/12),0)</f>
        <v>0</v>
      </c>
      <c r="EG46" s="344">
        <f t="shared" si="35"/>
        <v>-873.68</v>
      </c>
      <c r="EH46" s="344">
        <f t="shared" si="36"/>
        <v>-322.41500000000002</v>
      </c>
      <c r="EI46" s="345"/>
      <c r="EJ46" s="345">
        <f>_xlfn.IFNA(VLOOKUP(A46,'Cash Advances'!A:P,16,FALSE),0)</f>
        <v>0</v>
      </c>
      <c r="EK46" s="345">
        <f>_xlfn.IFNA(VLOOKUP(A46,'LA Deductions'!A:AZ,25,FALSE),0)/9</f>
        <v>0</v>
      </c>
      <c r="EL46" s="344">
        <f t="shared" si="37"/>
        <v>200497.95508951365</v>
      </c>
      <c r="EM46" s="308">
        <f t="shared" si="38"/>
        <v>201694.05008951365</v>
      </c>
      <c r="EN46" s="308">
        <f>((VLOOKUP($A46,EY!$A:$BS,35,FALSE)-(VLOOKUP($A46,EY!$A:$BS,33,FALSE)*80%))+VLOOKUP($A46,EY!$A:$BS,43,FALSE))+(VLOOKUP(A46,EY!A:DF,110,FALSE)-VLOOKUP(A46,EY!A:DD,108,FALSE))+(VLOOKUP(A46,EY!A:CE,83,FALSE)-VLOOKUP(A46,EY!A:CC,81,FALSE))</f>
        <v>0</v>
      </c>
      <c r="EO46" s="309"/>
      <c r="EP46" s="309">
        <f>_xlfn.IFNA((VLOOKUP($A46,HN!$A:$K,8,FALSE)/12),0)+_xlfn.IFNA((VLOOKUP($A46,HN!$A:$AF,32,FALSE)*1/12),0)</f>
        <v>0</v>
      </c>
      <c r="EQ46" s="309">
        <f>_xlfn.IFNA((VLOOKUP($A46,HN!$A:$BS,14,FALSE)/12),0)+_xlfn.IFNA((VLOOKUP($A46,HN!$A:$BS,34,FALSE)/3),0)</f>
        <v>0</v>
      </c>
      <c r="ER46" s="309">
        <f>_xlfn.IFNA(VLOOKUP($A46,'Post 16'!$A:$AV,32,FALSE),0)/8</f>
        <v>0</v>
      </c>
      <c r="ES46" s="309">
        <f>((VLOOKUP($A46,EY!A:EV,33,FALSE)*80%))+VLOOKUP(A46,EY!A:DD,108,FALSE)+VLOOKUP(A46,EY!A:CC,81,FALSE)</f>
        <v>0</v>
      </c>
      <c r="ET46" s="309">
        <f>_xlfn.IFNA((VLOOKUP($A46,HN!$A:$K,9,FALSE)/12),0)+_xlfn.IFNA((VLOOKUP($A46,HN!$A:$K,10,FALSE)/12),0)+_xlfn.IFNA((VLOOKUP($A46,HN!$A:$BZ,33,FALSE)/12),0)</f>
        <v>0</v>
      </c>
      <c r="EU46" s="309">
        <f>_xlfn.IFNA((VLOOKUP($A46,HN!$A:$BS,15,FALSE)/12),0)</f>
        <v>0</v>
      </c>
      <c r="EV46" s="308">
        <f t="shared" si="39"/>
        <v>-873.68</v>
      </c>
      <c r="EW46" s="308">
        <f t="shared" si="40"/>
        <v>-322.41500000000002</v>
      </c>
      <c r="EX46" s="309"/>
      <c r="EY46" s="309">
        <f>_xlfn.IFNA(VLOOKUP($A46,'Cash Advances'!$A:$S,17,FALSE),0)</f>
        <v>0</v>
      </c>
      <c r="EZ46" s="309">
        <f>_xlfn.IFNA(VLOOKUP(A46,'LA Deductions'!A:AZ,25,FALSE),0)/9</f>
        <v>0</v>
      </c>
      <c r="FA46" s="308">
        <f t="shared" si="41"/>
        <v>200497.95508951365</v>
      </c>
      <c r="FB46" s="315">
        <f t="shared" si="42"/>
        <v>201694.05008951365</v>
      </c>
      <c r="FC46" s="315"/>
      <c r="FD46" s="316"/>
      <c r="FE46" s="316">
        <f>_xlfn.IFNA((VLOOKUP($A46,HN!$A:$K,8,FALSE)/12),0)+_xlfn.IFNA((VLOOKUP($A46,HN!$A:$AF,32,FALSE)*1/12),0)</f>
        <v>0</v>
      </c>
      <c r="FF46" s="316">
        <f>_xlfn.IFNA((VLOOKUP($A46,HN!$A:$BS,14,FALSE)/12),0)+_xlfn.IFNA((VLOOKUP($A46,HN!$A:$BS,34,FALSE)/3),0)</f>
        <v>0</v>
      </c>
      <c r="FG46" s="316">
        <f>_xlfn.IFNA(VLOOKUP($A46,'Post 16'!$A:$AV,32,FALSE),0)/8</f>
        <v>0</v>
      </c>
      <c r="FH46" s="316"/>
      <c r="FI46" s="316">
        <f>_xlfn.IFNA((VLOOKUP($A46,HN!$A:$K,9,FALSE)/12),0)+_xlfn.IFNA((VLOOKUP($A46,HN!$A:$K,10,FALSE)/12),0)+_xlfn.IFNA((VLOOKUP($A46,HN!$A:$BZ,33,FALSE)/12),0)+_xlfn.IFNA((VLOOKUP($A46,HN!$A:$BZ,35,FALSE)/2),0)</f>
        <v>0</v>
      </c>
      <c r="FJ46" s="316">
        <f>_xlfn.IFNA((VLOOKUP($A46,HN!$A:$BS,15,FALSE)/12),0)+_xlfn.IFNA((VLOOKUP($A46,HN!$A:$CZ,36,FALSE)/2),0)</f>
        <v>0</v>
      </c>
      <c r="FK46" s="315">
        <f t="shared" si="43"/>
        <v>-873.68</v>
      </c>
      <c r="FL46" s="315">
        <f t="shared" si="44"/>
        <v>-322.41500000000002</v>
      </c>
      <c r="FM46" s="316"/>
      <c r="FN46" s="316">
        <f>_xlfn.IFNA(VLOOKUP($A46,'Cash Advances'!$A:$S,18,FALSE),0)</f>
        <v>0</v>
      </c>
      <c r="FO46" s="316">
        <f>_xlfn.IFNA(VLOOKUP(A46,'LA Deductions'!A:AZ,25,FALSE),0)/9</f>
        <v>0</v>
      </c>
      <c r="FP46" s="315">
        <f t="shared" si="45"/>
        <v>200497.95508951365</v>
      </c>
      <c r="FQ46" s="322">
        <f t="shared" si="46"/>
        <v>201694.05008951365</v>
      </c>
      <c r="FR46" s="322"/>
      <c r="FS46" s="323"/>
      <c r="FT46" s="323">
        <f>_xlfn.IFNA((VLOOKUP($A46,HN!$A:$K,8,FALSE)/12),0)+_xlfn.IFNA((VLOOKUP($A46,HN!$A:$AF,32,FALSE)*1/12),0)</f>
        <v>0</v>
      </c>
      <c r="FU46" s="323">
        <f>_xlfn.IFNA((VLOOKUP($A46,HN!$A:$BS,14,FALSE)/12),0)+_xlfn.IFNA((VLOOKUP($A46,HN!$A:$BS,34,FALSE)/3),0)</f>
        <v>0</v>
      </c>
      <c r="FV46" s="323">
        <f>_xlfn.IFNA(VLOOKUP($A46,'Post 16'!$A:$AV,32,FALSE),0)/8</f>
        <v>0</v>
      </c>
      <c r="FW46" s="323"/>
      <c r="FX46" s="323">
        <f>_xlfn.IFNA((VLOOKUP($A46,HN!$A:$K,9,FALSE)/12),0)+_xlfn.IFNA((VLOOKUP($A46,HN!$A:$K,10,FALSE)/12),0)+_xlfn.IFNA((VLOOKUP($A46,HN!$A:$BZ,33,FALSE)/12),0)+_xlfn.IFNA((VLOOKUP($A46,HN!$A:$BZ,35,FALSE)/2),0)</f>
        <v>0</v>
      </c>
      <c r="FY46" s="323">
        <f>_xlfn.IFNA((VLOOKUP($A46,HN!$A:$BS,15,FALSE)/12),0)+_xlfn.IFNA((VLOOKUP($A46,HN!$A:$CZ,36,FALSE)/2),0)</f>
        <v>0</v>
      </c>
      <c r="FZ46" s="322">
        <f t="shared" si="47"/>
        <v>-873.68</v>
      </c>
      <c r="GA46" s="322">
        <f t="shared" si="48"/>
        <v>-322.41500000000002</v>
      </c>
      <c r="GB46" s="323"/>
      <c r="GC46" s="323"/>
      <c r="GD46" s="323">
        <f>_xlfn.IFNA(VLOOKUP(A46,'LA Deductions'!A:AZ,25,FALSE),0)/9</f>
        <v>0</v>
      </c>
      <c r="GE46" s="322">
        <f t="shared" si="49"/>
        <v>200497.95508951365</v>
      </c>
      <c r="GG46" s="146">
        <f t="shared" si="59"/>
        <v>2420328.6010741638</v>
      </c>
      <c r="GH46" s="146">
        <f t="shared" si="59"/>
        <v>0</v>
      </c>
      <c r="GI46" s="146">
        <f t="shared" si="59"/>
        <v>0</v>
      </c>
      <c r="GJ46" s="146">
        <f t="shared" si="59"/>
        <v>-10484.160000000002</v>
      </c>
      <c r="GK46" s="146">
        <f t="shared" si="59"/>
        <v>-3868.98</v>
      </c>
      <c r="GL46" s="146">
        <f t="shared" si="59"/>
        <v>0</v>
      </c>
      <c r="GN46" s="146">
        <f t="shared" si="60"/>
        <v>2420328.6010741638</v>
      </c>
      <c r="GO46" s="146">
        <f t="shared" si="60"/>
        <v>0</v>
      </c>
      <c r="GP46" s="146">
        <f t="shared" si="60"/>
        <v>0</v>
      </c>
      <c r="GQ46" s="146">
        <f t="shared" si="60"/>
        <v>-10484.160000000002</v>
      </c>
      <c r="GR46" s="146">
        <f t="shared" si="60"/>
        <v>-3868.98</v>
      </c>
      <c r="GS46" s="146">
        <f t="shared" si="60"/>
        <v>0</v>
      </c>
      <c r="GU46" s="146"/>
      <c r="GV46" s="57"/>
    </row>
    <row r="47" spans="1:204">
      <c r="A47" s="185">
        <v>2055</v>
      </c>
      <c r="B47" s="185">
        <v>103190</v>
      </c>
      <c r="C47" s="185" t="s">
        <v>114</v>
      </c>
      <c r="D47" s="2" t="s">
        <v>115</v>
      </c>
      <c r="E47" s="191" t="s">
        <v>32</v>
      </c>
      <c r="F47" s="191" t="s">
        <v>912</v>
      </c>
      <c r="H47" s="279">
        <f>_xlfn.IFNA(VLOOKUP($A47,ISB!$A$4:$BY$454,67,FALSE),0)</f>
        <v>2215524.4668252985</v>
      </c>
      <c r="I47" s="279">
        <f>_xlfn.IFNA(VLOOKUP($A47,ISB!$A$4:$BY$454,72,FALSE),0)</f>
        <v>-10797.119999999999</v>
      </c>
      <c r="J47" s="279">
        <f>-_xlfn.IFNA(VLOOKUP($A47,ISB!$A$4:$BY$454,76,FALSE),0)</f>
        <v>-27824.83</v>
      </c>
      <c r="K47" s="279">
        <f>_xlfn.IFNA(VLOOKUP($A47,ISB!$A$4:$BY$454,77,FALSE),0)</f>
        <v>2176902.5168252983</v>
      </c>
      <c r="M47" s="301">
        <f t="shared" si="7"/>
        <v>184627.03890210821</v>
      </c>
      <c r="N47" s="301">
        <f>VLOOKUP($A47,EY!$A:$H,8,FALSE)+(VLOOKUP($A47,EY!$A:$BS,17,FALSE)-S47)+VLOOKUP($A47,EY!$A:$BS,41,FALSE)</f>
        <v>42018.912000000004</v>
      </c>
      <c r="O47" s="302"/>
      <c r="P47" s="302">
        <f>_xlfn.IFNA((VLOOKUP($A47,HN!$A:$K,8,FALSE)/12),0)</f>
        <v>0</v>
      </c>
      <c r="Q47" s="302">
        <f>_xlfn.IFNA((VLOOKUP($A47,HN!$A:$BS,14,FALSE)/12),0)</f>
        <v>0</v>
      </c>
      <c r="R47" s="302">
        <f>_xlfn.IFNA(VLOOKUP($A47,'Post 16'!$A:$V,21,FALSE),0)/4</f>
        <v>0</v>
      </c>
      <c r="S47" s="302">
        <f>VLOOKUP($A47,EY!A:Q,15,FALSE)*80%</f>
        <v>0</v>
      </c>
      <c r="T47" s="302">
        <f>_xlfn.IFNA((VLOOKUP($A47,HN!$A:$K,9,FALSE)/12),0)+_xlfn.IFNA((VLOOKUP($A47,HN!$A:$K,10,FALSE)/12),0)</f>
        <v>0</v>
      </c>
      <c r="U47" s="302">
        <f>_xlfn.IFNA((VLOOKUP($A47,HN!$A:$BS,15,FALSE)/12),0)</f>
        <v>0</v>
      </c>
      <c r="V47" s="301">
        <f t="shared" si="8"/>
        <v>-899.75999999999988</v>
      </c>
      <c r="W47" s="301">
        <f t="shared" si="9"/>
        <v>-2318.7358333333336</v>
      </c>
      <c r="X47" s="302"/>
      <c r="Y47" s="302">
        <f>_xlfn.IFNA(VLOOKUP($A47,'Cash Advances'!$A:$S,8,FALSE),0)</f>
        <v>0</v>
      </c>
      <c r="Z47" s="301">
        <f t="shared" si="54"/>
        <v>223427.45506877487</v>
      </c>
      <c r="AA47" s="315">
        <f t="shared" si="10"/>
        <v>184627.03890210821</v>
      </c>
      <c r="AB47" s="315"/>
      <c r="AC47" s="316"/>
      <c r="AD47" s="316">
        <f>_xlfn.IFNA((VLOOKUP($A47,HN!$A:$K,8,FALSE)/12),0)</f>
        <v>0</v>
      </c>
      <c r="AE47" s="316">
        <f>_xlfn.IFNA((VLOOKUP($A47,HN!$A:$BS,14,FALSE)/12),0)</f>
        <v>0</v>
      </c>
      <c r="AF47" s="316">
        <f>_xlfn.IFNA(VLOOKUP($A47,'Post 16'!$A:$V,21,FALSE),0)/4</f>
        <v>0</v>
      </c>
      <c r="AG47" s="316"/>
      <c r="AH47" s="316">
        <f>_xlfn.IFNA((VLOOKUP($A47,HN!$A:$K,9,FALSE)/12),0)+_xlfn.IFNA((VLOOKUP($A47,HN!$A:$K,10,FALSE)/12),0)</f>
        <v>0</v>
      </c>
      <c r="AI47" s="316">
        <f>_xlfn.IFNA((VLOOKUP($A47,HN!$A:$BS,15,FALSE)/12),0)</f>
        <v>0</v>
      </c>
      <c r="AJ47" s="315">
        <f t="shared" si="11"/>
        <v>-899.75999999999988</v>
      </c>
      <c r="AK47" s="315">
        <f t="shared" si="12"/>
        <v>-2318.7358333333336</v>
      </c>
      <c r="AL47" s="316"/>
      <c r="AM47" s="316">
        <f>_xlfn.IFNA(VLOOKUP($A47,'Cash Advances'!$A:$S,9,FALSE),0)</f>
        <v>0</v>
      </c>
      <c r="AN47" s="315">
        <f t="shared" si="55"/>
        <v>181408.54306877486</v>
      </c>
      <c r="AO47" s="308">
        <f t="shared" si="13"/>
        <v>184627.03890210821</v>
      </c>
      <c r="AP47" s="308"/>
      <c r="AQ47" s="309"/>
      <c r="AR47" s="309">
        <f>_xlfn.IFNA((VLOOKUP($A47,HN!$A:$K,8,FALSE)/12),0)</f>
        <v>0</v>
      </c>
      <c r="AS47" s="309">
        <f>_xlfn.IFNA((VLOOKUP($A47,HN!$A:$BS,14,FALSE)/12),0)</f>
        <v>0</v>
      </c>
      <c r="AT47" s="309">
        <f>_xlfn.IFNA(VLOOKUP($A47,'Post 16'!$A:$V,21,FALSE),0)/4</f>
        <v>0</v>
      </c>
      <c r="AU47" s="309"/>
      <c r="AV47" s="309">
        <f>_xlfn.IFNA((VLOOKUP($A47,HN!$A:$K,9,FALSE)/12),0)+_xlfn.IFNA((VLOOKUP($A47,HN!$A:$K,10,FALSE)/12),0)+_xlfn.IFNA(VLOOKUP(A47,HN!A:V,19,FALSE),0)+_xlfn.IFNA(VLOOKUP(A47,HN!A:V,20,FALSE),0)+_xlfn.IFNA(VLOOKUP(A47,HN!A:V,21,FALSE),0)</f>
        <v>0</v>
      </c>
      <c r="AW47" s="309">
        <f>_xlfn.IFNA((VLOOKUP($A47,HN!$A:$BS,15,FALSE)/12),0)</f>
        <v>0</v>
      </c>
      <c r="AX47" s="308">
        <f t="shared" si="14"/>
        <v>-899.75999999999988</v>
      </c>
      <c r="AY47" s="308">
        <f t="shared" si="15"/>
        <v>-2318.7358333333336</v>
      </c>
      <c r="AZ47" s="309"/>
      <c r="BA47" s="309">
        <f>_xlfn.IFNA(VLOOKUP($A47,'Cash Advances'!$A:$S,10,FALSE),0)</f>
        <v>0</v>
      </c>
      <c r="BB47" s="308">
        <f t="shared" si="56"/>
        <v>181408.54306877486</v>
      </c>
      <c r="BC47" s="330">
        <f t="shared" si="16"/>
        <v>184627.03890210821</v>
      </c>
      <c r="BD47" s="330"/>
      <c r="BE47" s="331"/>
      <c r="BF47" s="331">
        <f>_xlfn.IFNA((VLOOKUP($A47,HN!$A:$K,8,FALSE)/12),0)</f>
        <v>0</v>
      </c>
      <c r="BG47" s="331">
        <f>_xlfn.IFNA((VLOOKUP($A47,HN!$A:$BS,14,FALSE)/12),0)</f>
        <v>0</v>
      </c>
      <c r="BH47" s="331">
        <f>_xlfn.IFNA(VLOOKUP($A47,'Post 16'!$A:$V,21,FALSE),0)/4</f>
        <v>0</v>
      </c>
      <c r="BI47" s="331"/>
      <c r="BJ47" s="331">
        <f>_xlfn.IFNA((VLOOKUP($A47,HN!$A:$K,9,FALSE)/12),0)+_xlfn.IFNA((VLOOKUP($A47,HN!$A:$K,10,FALSE)/12),0)</f>
        <v>0</v>
      </c>
      <c r="BK47" s="331">
        <f>_xlfn.IFNA((VLOOKUP($A47,HN!$A:$BS,15,FALSE)/12),0)</f>
        <v>0</v>
      </c>
      <c r="BL47" s="330">
        <f t="shared" si="17"/>
        <v>-899.75999999999988</v>
      </c>
      <c r="BM47" s="330">
        <f t="shared" si="18"/>
        <v>-2318.7358333333336</v>
      </c>
      <c r="BN47" s="331"/>
      <c r="BO47" s="331">
        <f>_xlfn.IFNA(VLOOKUP(A47,'Cash Advances'!A:K,11,FALSE),0)</f>
        <v>0</v>
      </c>
      <c r="BP47" s="330">
        <f t="shared" si="57"/>
        <v>181408.54306877486</v>
      </c>
      <c r="BQ47" s="322">
        <f t="shared" si="19"/>
        <v>184627.03890210821</v>
      </c>
      <c r="BR47" s="322"/>
      <c r="BS47" s="323"/>
      <c r="BT47" s="323">
        <f>_xlfn.IFNA((VLOOKUP($A47,HN!$A:$K,8,FALSE)/12),0)</f>
        <v>0</v>
      </c>
      <c r="BU47" s="323">
        <f>_xlfn.IFNA((VLOOKUP($A47,HN!$A:$BS,14,FALSE)/12),0)</f>
        <v>0</v>
      </c>
      <c r="BV47" s="323">
        <f>(_xlfn.IFNA(VLOOKUP($A47,'Post 16'!$A:$AV,32,FALSE),0)/8)+_xlfn.IFNA(VLOOKUP($A47,'Post 16'!$A:$AR,40,FALSE),0)</f>
        <v>0</v>
      </c>
      <c r="BW47" s="323"/>
      <c r="BX47" s="323">
        <f>_xlfn.IFNA((VLOOKUP($A47,HN!$A:$K,9,FALSE)/12),0)+_xlfn.IFNA((VLOOKUP($A47,HN!$A:$K,10,FALSE)/12),0)</f>
        <v>0</v>
      </c>
      <c r="BY47" s="323">
        <f>_xlfn.IFNA((VLOOKUP($A47,HN!$A:$BS,15,FALSE)/12),0)</f>
        <v>0</v>
      </c>
      <c r="BZ47" s="322">
        <f t="shared" si="20"/>
        <v>-899.75999999999988</v>
      </c>
      <c r="CA47" s="322">
        <f t="shared" si="21"/>
        <v>-2318.7358333333336</v>
      </c>
      <c r="CB47" s="323"/>
      <c r="CC47" s="323"/>
      <c r="CD47" s="322">
        <f t="shared" si="58"/>
        <v>181408.54306877486</v>
      </c>
      <c r="CE47" s="357">
        <f t="shared" si="22"/>
        <v>184627.03890210821</v>
      </c>
      <c r="CF47" s="357">
        <f>(VLOOKUP($A47,EY!$A:$BS,26,FALSE)-(VLOOKUP($A47,EY!A:CR,24,FALSE)*80%))+VLOOKUP($A47,EY!$A:$BS,42,FALSE)+(VLOOKUP($A47,EY!A:CC,74,FALSE)-VLOOKUP($A47,EY!A:CC,72,FALSE))</f>
        <v>54946.788</v>
      </c>
      <c r="CG47" s="358"/>
      <c r="CH47" s="358">
        <f>_xlfn.IFNA((VLOOKUP($A47,HN!$A:$K,8,FALSE)/12),0)</f>
        <v>0</v>
      </c>
      <c r="CI47" s="358">
        <f>_xlfn.IFNA((VLOOKUP($A47,HN!$A:$BS,14,FALSE)/12),0)</f>
        <v>0</v>
      </c>
      <c r="CJ47" s="358">
        <f>(_xlfn.IFNA(VLOOKUP($A47,'Post 16'!$A:$AV,32,FALSE),0)/8)</f>
        <v>0</v>
      </c>
      <c r="CK47" s="358">
        <f>(VLOOKUP($A47,EY!A:CR,24,FALSE)*80%)+VLOOKUP($A47,EY!A:CC,72,FALSE)</f>
        <v>0</v>
      </c>
      <c r="CL47" s="358">
        <f>_xlfn.IFNA((VLOOKUP($A47,HN!$A:$K,9,FALSE)/12),0)+_xlfn.IFNA((VLOOKUP($A47,HN!$A:$K,10,FALSE)/12),0)</f>
        <v>0</v>
      </c>
      <c r="CM47" s="358">
        <f>_xlfn.IFNA((VLOOKUP($A47,HN!$A:$BS,15,FALSE)/12),0)</f>
        <v>0</v>
      </c>
      <c r="CN47" s="357">
        <f t="shared" si="23"/>
        <v>-899.75999999999988</v>
      </c>
      <c r="CO47" s="357">
        <f t="shared" si="24"/>
        <v>-2318.7358333333336</v>
      </c>
      <c r="CP47" s="358">
        <f>_xlfn.IFNA(VLOOKUP(A47,'LA Deductions'!A:W,23,FALSE),0)</f>
        <v>-11880</v>
      </c>
      <c r="CQ47" s="358">
        <f>_xlfn.IFNA(VLOOKUP($A47,'Cash Advances'!$A:$S,13,FALSE),0)</f>
        <v>0</v>
      </c>
      <c r="CR47" s="358">
        <f>_xlfn.IFNA(VLOOKUP(A47,'LA Deductions'!A:AZ,25,FALSE),0)/9*3</f>
        <v>0</v>
      </c>
      <c r="CS47" s="357">
        <f t="shared" si="25"/>
        <v>224475.33106877486</v>
      </c>
      <c r="CT47" s="337">
        <f t="shared" si="26"/>
        <v>184627.03890210821</v>
      </c>
      <c r="CU47" s="337"/>
      <c r="CV47" s="338">
        <f>_xlfn.IFNA(VLOOKUP(A47,'LA Deductions'!$A$6:$AN$207,34,FALSE),0)</f>
        <v>0</v>
      </c>
      <c r="CW47" s="338">
        <f>_xlfn.IFNA((VLOOKUP($A47,HN!$A:$K,8,FALSE)/12),0)</f>
        <v>0</v>
      </c>
      <c r="CX47" s="338">
        <f>_xlfn.IFNA((VLOOKUP($A47,HN!$A:$BS,14,FALSE)/12),0)</f>
        <v>0</v>
      </c>
      <c r="CY47" s="338">
        <f>_xlfn.IFNA(VLOOKUP($A47,'Post 16'!$A:$AV,32,FALSE),0)/8</f>
        <v>0</v>
      </c>
      <c r="CZ47" s="338"/>
      <c r="DA47" s="338">
        <f>_xlfn.IFNA((VLOOKUP($A47,HN!$A:$K,9,FALSE)/12),0)+_xlfn.IFNA((VLOOKUP($A47,HN!$A:$K,10,FALSE)/12),0)</f>
        <v>0</v>
      </c>
      <c r="DB47" s="338">
        <f>_xlfn.IFNA((VLOOKUP($A47,HN!$A:$BS,15,FALSE)/12),0)</f>
        <v>0</v>
      </c>
      <c r="DC47" s="337">
        <f t="shared" si="27"/>
        <v>-899.75999999999988</v>
      </c>
      <c r="DD47" s="337">
        <f t="shared" si="28"/>
        <v>-2318.7358333333336</v>
      </c>
      <c r="DE47" s="338"/>
      <c r="DF47" s="338">
        <f>_xlfn.IFNA(VLOOKUP($A47,'Cash Advances'!$A:$S,14,FALSE),0)</f>
        <v>0</v>
      </c>
      <c r="DG47" s="338">
        <f>(_xlfn.IFNA(VLOOKUP(A47,'LA Deductions'!A:AZ,25,FALSE),0)/9)+(_xlfn.IFNA(VLOOKUP(A47,'LA Deductions'!A:AZ,26,FALSE),0))</f>
        <v>0</v>
      </c>
      <c r="DH47" s="337">
        <f t="shared" si="29"/>
        <v>181408.54306877486</v>
      </c>
      <c r="DI47" s="330">
        <f t="shared" si="30"/>
        <v>184627.03890210821</v>
      </c>
      <c r="DJ47" s="330"/>
      <c r="DK47" s="331"/>
      <c r="DL47" s="331">
        <f>_xlfn.IFNA((VLOOKUP($A47,HN!$A:$K,8,FALSE)/12),0)+_xlfn.IFNA((VLOOKUP($A47,HN!$A:$AF,32,FALSE)*8/12),0)</f>
        <v>0</v>
      </c>
      <c r="DM47" s="331">
        <f>_xlfn.IFNA((VLOOKUP($A47,HN!$A:$BS,14,FALSE)/12),0)+_xlfn.IFNA(VLOOKUP($A47,HN!$A:$BS,31,FALSE),0)</f>
        <v>0</v>
      </c>
      <c r="DN47" s="331">
        <f>_xlfn.IFNA(VLOOKUP($A47,'Post 16'!$A:$AV,32,FALSE),0)/8</f>
        <v>0</v>
      </c>
      <c r="DO47" s="331"/>
      <c r="DP47" s="331">
        <f>_xlfn.IFNA((VLOOKUP($A47,HN!$A:$K,9,FALSE)/12),0)+_xlfn.IFNA((VLOOKUP($A47,HN!$A:$K,10,FALSE)/12),0)+_xlfn.IFNA((VLOOKUP($A47,HN!$A:$BZ,33,FALSE)*8/12),0)</f>
        <v>0</v>
      </c>
      <c r="DQ47" s="331">
        <f>_xlfn.IFNA((VLOOKUP($A47,HN!$A:$BS,15,FALSE)/12),0)</f>
        <v>0</v>
      </c>
      <c r="DR47" s="330">
        <f t="shared" si="31"/>
        <v>-899.75999999999988</v>
      </c>
      <c r="DS47" s="330">
        <f t="shared" si="32"/>
        <v>-2318.7358333333336</v>
      </c>
      <c r="DT47" s="331"/>
      <c r="DU47" s="331"/>
      <c r="DV47" s="331">
        <f>(_xlfn.IFNA(VLOOKUP(A47,'LA Deductions'!A:AZ,25,FALSE),0)/9)+_xlfn.IFNA(VLOOKUP(A47,'LA Deductions'!A:AZ,27,FALSE),0)</f>
        <v>0</v>
      </c>
      <c r="DW47" s="330">
        <f t="shared" si="33"/>
        <v>181408.54306877486</v>
      </c>
      <c r="DX47" s="344">
        <f t="shared" si="34"/>
        <v>184627.03890210821</v>
      </c>
      <c r="DY47" s="344"/>
      <c r="DZ47" s="345"/>
      <c r="EA47" s="345">
        <f>_xlfn.IFNA((VLOOKUP($A47,HN!$A:$K,8,FALSE)/12),0)+_xlfn.IFNA((VLOOKUP($A47,HN!$A:$AF,32,FALSE)*1/12),0)</f>
        <v>0</v>
      </c>
      <c r="EB47" s="345">
        <f>_xlfn.IFNA((VLOOKUP($A47,HN!$A:$BS,14,FALSE)/12),0)</f>
        <v>0</v>
      </c>
      <c r="EC47" s="345">
        <f>_xlfn.IFNA(VLOOKUP($A47,'Post 16'!$A:$AV,32,FALSE),0)/8</f>
        <v>0</v>
      </c>
      <c r="ED47" s="345"/>
      <c r="EE47" s="345">
        <f>_xlfn.IFNA((VLOOKUP($A47,HN!$A:$K,9,FALSE)/12),0)+_xlfn.IFNA((VLOOKUP($A47,HN!$A:$K,10,FALSE)/12),0)+_xlfn.IFNA((VLOOKUP($A47,HN!$A:$BZ,33,FALSE)/12),0)</f>
        <v>0</v>
      </c>
      <c r="EF47" s="345">
        <f>_xlfn.IFNA((VLOOKUP($A47,HN!$A:$BS,15,FALSE)/12),0)</f>
        <v>0</v>
      </c>
      <c r="EG47" s="344">
        <f t="shared" si="35"/>
        <v>-899.75999999999988</v>
      </c>
      <c r="EH47" s="344">
        <f t="shared" si="36"/>
        <v>-2318.7358333333336</v>
      </c>
      <c r="EI47" s="345"/>
      <c r="EJ47" s="345">
        <f>_xlfn.IFNA(VLOOKUP(A47,'Cash Advances'!A:P,16,FALSE),0)</f>
        <v>0</v>
      </c>
      <c r="EK47" s="345">
        <f>_xlfn.IFNA(VLOOKUP(A47,'LA Deductions'!A:AZ,25,FALSE),0)/9</f>
        <v>0</v>
      </c>
      <c r="EL47" s="344">
        <f t="shared" si="37"/>
        <v>181408.54306877486</v>
      </c>
      <c r="EM47" s="308">
        <f t="shared" si="38"/>
        <v>184627.03890210821</v>
      </c>
      <c r="EN47" s="308">
        <f>((VLOOKUP($A47,EY!$A:$BS,35,FALSE)-(VLOOKUP($A47,EY!$A:$BS,33,FALSE)*80%))+VLOOKUP($A47,EY!$A:$BS,43,FALSE))+(VLOOKUP(A47,EY!A:DF,110,FALSE)-VLOOKUP(A47,EY!A:DD,108,FALSE))+(VLOOKUP(A47,EY!A:CE,83,FALSE)-VLOOKUP(A47,EY!A:CC,81,FALSE))</f>
        <v>43609.227157894748</v>
      </c>
      <c r="EO47" s="309"/>
      <c r="EP47" s="309">
        <f>_xlfn.IFNA((VLOOKUP($A47,HN!$A:$K,8,FALSE)/12),0)+_xlfn.IFNA((VLOOKUP($A47,HN!$A:$AF,32,FALSE)*1/12),0)</f>
        <v>0</v>
      </c>
      <c r="EQ47" s="309">
        <f>_xlfn.IFNA((VLOOKUP($A47,HN!$A:$BS,14,FALSE)/12),0)+_xlfn.IFNA((VLOOKUP($A47,HN!$A:$BS,34,FALSE)/3),0)</f>
        <v>0</v>
      </c>
      <c r="ER47" s="309">
        <f>_xlfn.IFNA(VLOOKUP($A47,'Post 16'!$A:$AV,32,FALSE),0)/8</f>
        <v>0</v>
      </c>
      <c r="ES47" s="309">
        <f>((VLOOKUP($A47,EY!A:EV,33,FALSE)*80%))+VLOOKUP(A47,EY!A:DD,108,FALSE)+VLOOKUP(A47,EY!A:CC,81,FALSE)</f>
        <v>0</v>
      </c>
      <c r="ET47" s="309">
        <f>_xlfn.IFNA((VLOOKUP($A47,HN!$A:$K,9,FALSE)/12),0)+_xlfn.IFNA((VLOOKUP($A47,HN!$A:$K,10,FALSE)/12),0)+_xlfn.IFNA((VLOOKUP($A47,HN!$A:$BZ,33,FALSE)/12),0)</f>
        <v>0</v>
      </c>
      <c r="EU47" s="309">
        <f>_xlfn.IFNA((VLOOKUP($A47,HN!$A:$BS,15,FALSE)/12),0)</f>
        <v>0</v>
      </c>
      <c r="EV47" s="308">
        <f t="shared" si="39"/>
        <v>-899.75999999999988</v>
      </c>
      <c r="EW47" s="308">
        <f t="shared" si="40"/>
        <v>-2318.7358333333336</v>
      </c>
      <c r="EX47" s="309"/>
      <c r="EY47" s="309">
        <f>_xlfn.IFNA(VLOOKUP($A47,'Cash Advances'!$A:$S,17,FALSE),0)</f>
        <v>0</v>
      </c>
      <c r="EZ47" s="309">
        <f>_xlfn.IFNA(VLOOKUP(A47,'LA Deductions'!A:AZ,25,FALSE),0)/9</f>
        <v>0</v>
      </c>
      <c r="FA47" s="308">
        <f t="shared" si="41"/>
        <v>225017.77022666961</v>
      </c>
      <c r="FB47" s="315">
        <f t="shared" si="42"/>
        <v>184627.03890210821</v>
      </c>
      <c r="FC47" s="315"/>
      <c r="FD47" s="316"/>
      <c r="FE47" s="316">
        <f>_xlfn.IFNA((VLOOKUP($A47,HN!$A:$K,8,FALSE)/12),0)+_xlfn.IFNA((VLOOKUP($A47,HN!$A:$AF,32,FALSE)*1/12),0)</f>
        <v>0</v>
      </c>
      <c r="FF47" s="316">
        <f>_xlfn.IFNA((VLOOKUP($A47,HN!$A:$BS,14,FALSE)/12),0)+_xlfn.IFNA((VLOOKUP($A47,HN!$A:$BS,34,FALSE)/3),0)</f>
        <v>0</v>
      </c>
      <c r="FG47" s="316">
        <f>_xlfn.IFNA(VLOOKUP($A47,'Post 16'!$A:$AV,32,FALSE),0)/8</f>
        <v>0</v>
      </c>
      <c r="FH47" s="316"/>
      <c r="FI47" s="316">
        <f>_xlfn.IFNA((VLOOKUP($A47,HN!$A:$K,9,FALSE)/12),0)+_xlfn.IFNA((VLOOKUP($A47,HN!$A:$K,10,FALSE)/12),0)+_xlfn.IFNA((VLOOKUP($A47,HN!$A:$BZ,33,FALSE)/12),0)+_xlfn.IFNA((VLOOKUP($A47,HN!$A:$BZ,35,FALSE)/2),0)</f>
        <v>0</v>
      </c>
      <c r="FJ47" s="316">
        <f>_xlfn.IFNA((VLOOKUP($A47,HN!$A:$BS,15,FALSE)/12),0)+_xlfn.IFNA((VLOOKUP($A47,HN!$A:$CZ,36,FALSE)/2),0)</f>
        <v>0</v>
      </c>
      <c r="FK47" s="315">
        <f t="shared" si="43"/>
        <v>-899.75999999999988</v>
      </c>
      <c r="FL47" s="315">
        <f t="shared" si="44"/>
        <v>-2318.7358333333336</v>
      </c>
      <c r="FM47" s="316"/>
      <c r="FN47" s="316">
        <f>_xlfn.IFNA(VLOOKUP($A47,'Cash Advances'!$A:$S,18,FALSE),0)</f>
        <v>0</v>
      </c>
      <c r="FO47" s="316">
        <f>_xlfn.IFNA(VLOOKUP(A47,'LA Deductions'!A:AZ,25,FALSE),0)/9</f>
        <v>0</v>
      </c>
      <c r="FP47" s="315">
        <f t="shared" si="45"/>
        <v>181408.54306877486</v>
      </c>
      <c r="FQ47" s="322">
        <f t="shared" si="46"/>
        <v>184627.03890210821</v>
      </c>
      <c r="FR47" s="322"/>
      <c r="FS47" s="323"/>
      <c r="FT47" s="323">
        <f>_xlfn.IFNA((VLOOKUP($A47,HN!$A:$K,8,FALSE)/12),0)+_xlfn.IFNA((VLOOKUP($A47,HN!$A:$AF,32,FALSE)*1/12),0)</f>
        <v>0</v>
      </c>
      <c r="FU47" s="323">
        <f>_xlfn.IFNA((VLOOKUP($A47,HN!$A:$BS,14,FALSE)/12),0)+_xlfn.IFNA((VLOOKUP($A47,HN!$A:$BS,34,FALSE)/3),0)</f>
        <v>0</v>
      </c>
      <c r="FV47" s="323">
        <f>_xlfn.IFNA(VLOOKUP($A47,'Post 16'!$A:$AV,32,FALSE),0)/8</f>
        <v>0</v>
      </c>
      <c r="FW47" s="323"/>
      <c r="FX47" s="323">
        <f>_xlfn.IFNA((VLOOKUP($A47,HN!$A:$K,9,FALSE)/12),0)+_xlfn.IFNA((VLOOKUP($A47,HN!$A:$K,10,FALSE)/12),0)+_xlfn.IFNA((VLOOKUP($A47,HN!$A:$BZ,33,FALSE)/12),0)+_xlfn.IFNA((VLOOKUP($A47,HN!$A:$BZ,35,FALSE)/2),0)</f>
        <v>0</v>
      </c>
      <c r="FY47" s="323">
        <f>_xlfn.IFNA((VLOOKUP($A47,HN!$A:$BS,15,FALSE)/12),0)+_xlfn.IFNA((VLOOKUP($A47,HN!$A:$CZ,36,FALSE)/2),0)</f>
        <v>0</v>
      </c>
      <c r="FZ47" s="322">
        <f t="shared" si="47"/>
        <v>-899.75999999999988</v>
      </c>
      <c r="GA47" s="322">
        <f t="shared" si="48"/>
        <v>-2318.7358333333336</v>
      </c>
      <c r="GB47" s="323"/>
      <c r="GC47" s="323"/>
      <c r="GD47" s="323">
        <f>_xlfn.IFNA(VLOOKUP(A47,'LA Deductions'!A:AZ,25,FALSE),0)/9</f>
        <v>0</v>
      </c>
      <c r="GE47" s="322">
        <f t="shared" si="49"/>
        <v>181408.54306877486</v>
      </c>
      <c r="GG47" s="146">
        <f t="shared" si="59"/>
        <v>2356099.3939831927</v>
      </c>
      <c r="GH47" s="146">
        <f t="shared" si="59"/>
        <v>0</v>
      </c>
      <c r="GI47" s="146">
        <f t="shared" si="59"/>
        <v>0</v>
      </c>
      <c r="GJ47" s="146">
        <f t="shared" si="59"/>
        <v>-10797.12</v>
      </c>
      <c r="GK47" s="146">
        <f t="shared" si="59"/>
        <v>-27824.829999999998</v>
      </c>
      <c r="GL47" s="146">
        <f t="shared" si="59"/>
        <v>-11880</v>
      </c>
      <c r="GN47" s="146">
        <f t="shared" si="60"/>
        <v>2356099.3939831927</v>
      </c>
      <c r="GO47" s="146">
        <f t="shared" si="60"/>
        <v>0</v>
      </c>
      <c r="GP47" s="146">
        <f t="shared" si="60"/>
        <v>0</v>
      </c>
      <c r="GQ47" s="146">
        <f t="shared" si="60"/>
        <v>-10797.12</v>
      </c>
      <c r="GR47" s="146">
        <f t="shared" si="60"/>
        <v>-27824.829999999998</v>
      </c>
      <c r="GS47" s="146">
        <f t="shared" si="60"/>
        <v>-11880</v>
      </c>
      <c r="GU47" s="146"/>
      <c r="GV47" s="57"/>
    </row>
    <row r="48" spans="1:204">
      <c r="A48" s="185">
        <v>2454</v>
      </c>
      <c r="B48" s="185">
        <v>103381</v>
      </c>
      <c r="C48" s="185" t="s">
        <v>116</v>
      </c>
      <c r="D48" s="2" t="s">
        <v>117</v>
      </c>
      <c r="E48" s="191" t="s">
        <v>32</v>
      </c>
      <c r="F48" s="191" t="s">
        <v>912</v>
      </c>
      <c r="H48" s="279">
        <f>_xlfn.IFNA(VLOOKUP($A48,ISB!$A$4:$BY$454,67,FALSE),0)</f>
        <v>2380941.0462590163</v>
      </c>
      <c r="I48" s="279">
        <f>_xlfn.IFNA(VLOOKUP($A48,ISB!$A$4:$BY$454,72,FALSE),0)</f>
        <v>-9701.76</v>
      </c>
      <c r="J48" s="279">
        <f>-_xlfn.IFNA(VLOOKUP($A48,ISB!$A$4:$BY$454,76,FALSE),0)</f>
        <v>-30475.86</v>
      </c>
      <c r="K48" s="279">
        <f>_xlfn.IFNA(VLOOKUP($A48,ISB!$A$4:$BY$454,77,FALSE),0)</f>
        <v>2340763.4262590166</v>
      </c>
      <c r="M48" s="301">
        <f t="shared" si="7"/>
        <v>198411.75385491803</v>
      </c>
      <c r="N48" s="301">
        <f>VLOOKUP($A48,EY!$A:$H,8,FALSE)+(VLOOKUP($A48,EY!$A:$BS,17,FALSE)-S48)+VLOOKUP($A48,EY!$A:$BS,41,FALSE)</f>
        <v>54069.189473684208</v>
      </c>
      <c r="O48" s="302"/>
      <c r="P48" s="302">
        <f>_xlfn.IFNA((VLOOKUP($A48,HN!$A:$K,8,FALSE)/12),0)</f>
        <v>0</v>
      </c>
      <c r="Q48" s="302">
        <f>_xlfn.IFNA((VLOOKUP($A48,HN!$A:$BS,14,FALSE)/12),0)</f>
        <v>0</v>
      </c>
      <c r="R48" s="302">
        <f>_xlfn.IFNA(VLOOKUP($A48,'Post 16'!$A:$V,21,FALSE),0)/4</f>
        <v>0</v>
      </c>
      <c r="S48" s="302">
        <f>VLOOKUP($A48,EY!A:Q,15,FALSE)*80%</f>
        <v>0</v>
      </c>
      <c r="T48" s="302">
        <f>_xlfn.IFNA((VLOOKUP($A48,HN!$A:$K,9,FALSE)/12),0)+_xlfn.IFNA((VLOOKUP($A48,HN!$A:$K,10,FALSE)/12),0)</f>
        <v>0</v>
      </c>
      <c r="U48" s="302">
        <f>_xlfn.IFNA((VLOOKUP($A48,HN!$A:$BS,15,FALSE)/12),0)</f>
        <v>0</v>
      </c>
      <c r="V48" s="301">
        <f t="shared" si="8"/>
        <v>-808.48</v>
      </c>
      <c r="W48" s="301">
        <f t="shared" si="9"/>
        <v>-2539.6550000000002</v>
      </c>
      <c r="X48" s="302"/>
      <c r="Y48" s="302">
        <f>_xlfn.IFNA(VLOOKUP($A48,'Cash Advances'!$A:$S,8,FALSE),0)</f>
        <v>0</v>
      </c>
      <c r="Z48" s="301">
        <f t="shared" si="54"/>
        <v>249132.80832860223</v>
      </c>
      <c r="AA48" s="315">
        <f t="shared" si="10"/>
        <v>198411.75385491803</v>
      </c>
      <c r="AB48" s="315"/>
      <c r="AC48" s="316"/>
      <c r="AD48" s="316">
        <f>_xlfn.IFNA((VLOOKUP($A48,HN!$A:$K,8,FALSE)/12),0)</f>
        <v>0</v>
      </c>
      <c r="AE48" s="316">
        <f>_xlfn.IFNA((VLOOKUP($A48,HN!$A:$BS,14,FALSE)/12),0)</f>
        <v>0</v>
      </c>
      <c r="AF48" s="316">
        <f>_xlfn.IFNA(VLOOKUP($A48,'Post 16'!$A:$V,21,FALSE),0)/4</f>
        <v>0</v>
      </c>
      <c r="AG48" s="316"/>
      <c r="AH48" s="316">
        <f>_xlfn.IFNA((VLOOKUP($A48,HN!$A:$K,9,FALSE)/12),0)+_xlfn.IFNA((VLOOKUP($A48,HN!$A:$K,10,FALSE)/12),0)</f>
        <v>0</v>
      </c>
      <c r="AI48" s="316">
        <f>_xlfn.IFNA((VLOOKUP($A48,HN!$A:$BS,15,FALSE)/12),0)</f>
        <v>0</v>
      </c>
      <c r="AJ48" s="315">
        <f t="shared" si="11"/>
        <v>-808.48</v>
      </c>
      <c r="AK48" s="315">
        <f t="shared" si="12"/>
        <v>-2539.6550000000002</v>
      </c>
      <c r="AL48" s="316"/>
      <c r="AM48" s="316">
        <f>_xlfn.IFNA(VLOOKUP($A48,'Cash Advances'!$A:$S,9,FALSE),0)</f>
        <v>0</v>
      </c>
      <c r="AN48" s="315">
        <f t="shared" si="55"/>
        <v>195063.61885491802</v>
      </c>
      <c r="AO48" s="308">
        <f t="shared" si="13"/>
        <v>198411.75385491803</v>
      </c>
      <c r="AP48" s="308"/>
      <c r="AQ48" s="309"/>
      <c r="AR48" s="309">
        <f>_xlfn.IFNA((VLOOKUP($A48,HN!$A:$K,8,FALSE)/12),0)</f>
        <v>0</v>
      </c>
      <c r="AS48" s="309">
        <f>_xlfn.IFNA((VLOOKUP($A48,HN!$A:$BS,14,FALSE)/12),0)</f>
        <v>0</v>
      </c>
      <c r="AT48" s="309">
        <f>_xlfn.IFNA(VLOOKUP($A48,'Post 16'!$A:$V,21,FALSE),0)/4</f>
        <v>0</v>
      </c>
      <c r="AU48" s="309"/>
      <c r="AV48" s="309">
        <f>_xlfn.IFNA((VLOOKUP($A48,HN!$A:$K,9,FALSE)/12),0)+_xlfn.IFNA((VLOOKUP($A48,HN!$A:$K,10,FALSE)/12),0)+_xlfn.IFNA(VLOOKUP(A48,HN!A:V,19,FALSE),0)+_xlfn.IFNA(VLOOKUP(A48,HN!A:V,20,FALSE),0)+_xlfn.IFNA(VLOOKUP(A48,HN!A:V,21,FALSE),0)</f>
        <v>0</v>
      </c>
      <c r="AW48" s="309">
        <f>_xlfn.IFNA((VLOOKUP($A48,HN!$A:$BS,15,FALSE)/12),0)</f>
        <v>0</v>
      </c>
      <c r="AX48" s="308">
        <f t="shared" si="14"/>
        <v>-808.48</v>
      </c>
      <c r="AY48" s="308">
        <f t="shared" si="15"/>
        <v>-2539.6550000000002</v>
      </c>
      <c r="AZ48" s="309"/>
      <c r="BA48" s="309">
        <f>_xlfn.IFNA(VLOOKUP($A48,'Cash Advances'!$A:$S,10,FALSE),0)</f>
        <v>0</v>
      </c>
      <c r="BB48" s="308">
        <f t="shared" si="56"/>
        <v>195063.61885491802</v>
      </c>
      <c r="BC48" s="330">
        <f t="shared" si="16"/>
        <v>198411.75385491803</v>
      </c>
      <c r="BD48" s="330"/>
      <c r="BE48" s="331"/>
      <c r="BF48" s="331">
        <f>_xlfn.IFNA((VLOOKUP($A48,HN!$A:$K,8,FALSE)/12),0)</f>
        <v>0</v>
      </c>
      <c r="BG48" s="331">
        <f>_xlfn.IFNA((VLOOKUP($A48,HN!$A:$BS,14,FALSE)/12),0)</f>
        <v>0</v>
      </c>
      <c r="BH48" s="331">
        <f>_xlfn.IFNA(VLOOKUP($A48,'Post 16'!$A:$V,21,FALSE),0)/4</f>
        <v>0</v>
      </c>
      <c r="BI48" s="331"/>
      <c r="BJ48" s="331">
        <f>_xlfn.IFNA((VLOOKUP($A48,HN!$A:$K,9,FALSE)/12),0)+_xlfn.IFNA((VLOOKUP($A48,HN!$A:$K,10,FALSE)/12),0)</f>
        <v>0</v>
      </c>
      <c r="BK48" s="331">
        <f>_xlfn.IFNA((VLOOKUP($A48,HN!$A:$BS,15,FALSE)/12),0)</f>
        <v>0</v>
      </c>
      <c r="BL48" s="330">
        <f t="shared" si="17"/>
        <v>-808.48</v>
      </c>
      <c r="BM48" s="330">
        <f t="shared" si="18"/>
        <v>-2539.6550000000002</v>
      </c>
      <c r="BN48" s="331"/>
      <c r="BO48" s="331">
        <f>_xlfn.IFNA(VLOOKUP(A48,'Cash Advances'!A:K,11,FALSE),0)</f>
        <v>0</v>
      </c>
      <c r="BP48" s="330">
        <f t="shared" si="57"/>
        <v>195063.61885491802</v>
      </c>
      <c r="BQ48" s="322">
        <f t="shared" si="19"/>
        <v>198411.75385491803</v>
      </c>
      <c r="BR48" s="322"/>
      <c r="BS48" s="323"/>
      <c r="BT48" s="323">
        <f>_xlfn.IFNA((VLOOKUP($A48,HN!$A:$K,8,FALSE)/12),0)</f>
        <v>0</v>
      </c>
      <c r="BU48" s="323">
        <f>_xlfn.IFNA((VLOOKUP($A48,HN!$A:$BS,14,FALSE)/12),0)</f>
        <v>0</v>
      </c>
      <c r="BV48" s="323">
        <f>(_xlfn.IFNA(VLOOKUP($A48,'Post 16'!$A:$AV,32,FALSE),0)/8)+_xlfn.IFNA(VLOOKUP($A48,'Post 16'!$A:$AR,40,FALSE),0)</f>
        <v>0</v>
      </c>
      <c r="BW48" s="323"/>
      <c r="BX48" s="323">
        <f>_xlfn.IFNA((VLOOKUP($A48,HN!$A:$K,9,FALSE)/12),0)+_xlfn.IFNA((VLOOKUP($A48,HN!$A:$K,10,FALSE)/12),0)</f>
        <v>0</v>
      </c>
      <c r="BY48" s="323">
        <f>_xlfn.IFNA((VLOOKUP($A48,HN!$A:$BS,15,FALSE)/12),0)</f>
        <v>0</v>
      </c>
      <c r="BZ48" s="322">
        <f t="shared" si="20"/>
        <v>-808.48</v>
      </c>
      <c r="CA48" s="322">
        <f t="shared" si="21"/>
        <v>-2539.6550000000002</v>
      </c>
      <c r="CB48" s="323"/>
      <c r="CC48" s="323"/>
      <c r="CD48" s="322">
        <f t="shared" si="58"/>
        <v>195063.61885491802</v>
      </c>
      <c r="CE48" s="357">
        <f t="shared" si="22"/>
        <v>198411.75385491803</v>
      </c>
      <c r="CF48" s="357">
        <f>(VLOOKUP($A48,EY!$A:$BS,26,FALSE)-(VLOOKUP($A48,EY!A:CR,24,FALSE)*80%))+VLOOKUP($A48,EY!$A:$BS,42,FALSE)+(VLOOKUP($A48,EY!A:CC,74,FALSE)-VLOOKUP($A48,EY!A:CC,72,FALSE))</f>
        <v>66067.751578947369</v>
      </c>
      <c r="CG48" s="358"/>
      <c r="CH48" s="358">
        <f>_xlfn.IFNA((VLOOKUP($A48,HN!$A:$K,8,FALSE)/12),0)</f>
        <v>0</v>
      </c>
      <c r="CI48" s="358">
        <f>_xlfn.IFNA((VLOOKUP($A48,HN!$A:$BS,14,FALSE)/12),0)</f>
        <v>0</v>
      </c>
      <c r="CJ48" s="358">
        <f>(_xlfn.IFNA(VLOOKUP($A48,'Post 16'!$A:$AV,32,FALSE),0)/8)</f>
        <v>0</v>
      </c>
      <c r="CK48" s="358">
        <f>(VLOOKUP($A48,EY!A:CR,24,FALSE)*80%)+VLOOKUP($A48,EY!A:CC,72,FALSE)</f>
        <v>0</v>
      </c>
      <c r="CL48" s="358">
        <f>_xlfn.IFNA((VLOOKUP($A48,HN!$A:$K,9,FALSE)/12),0)+_xlfn.IFNA((VLOOKUP($A48,HN!$A:$K,10,FALSE)/12),0)</f>
        <v>0</v>
      </c>
      <c r="CM48" s="358">
        <f>_xlfn.IFNA((VLOOKUP($A48,HN!$A:$BS,15,FALSE)/12),0)</f>
        <v>0</v>
      </c>
      <c r="CN48" s="357">
        <f t="shared" si="23"/>
        <v>-808.48</v>
      </c>
      <c r="CO48" s="357">
        <f t="shared" si="24"/>
        <v>-2539.6550000000002</v>
      </c>
      <c r="CP48" s="358">
        <f>_xlfn.IFNA(VLOOKUP(A48,'LA Deductions'!A:W,23,FALSE),0)</f>
        <v>-9471</v>
      </c>
      <c r="CQ48" s="358">
        <f>_xlfn.IFNA(VLOOKUP($A48,'Cash Advances'!$A:$S,13,FALSE),0)</f>
        <v>0</v>
      </c>
      <c r="CR48" s="358">
        <f>_xlfn.IFNA(VLOOKUP(A48,'LA Deductions'!A:AZ,25,FALSE),0)/9*3</f>
        <v>0</v>
      </c>
      <c r="CS48" s="357">
        <f t="shared" si="25"/>
        <v>251660.37043386544</v>
      </c>
      <c r="CT48" s="337">
        <f t="shared" si="26"/>
        <v>198411.75385491803</v>
      </c>
      <c r="CU48" s="337"/>
      <c r="CV48" s="338">
        <f>_xlfn.IFNA(VLOOKUP(A48,'LA Deductions'!$A$6:$AN$207,34,FALSE),0)</f>
        <v>0</v>
      </c>
      <c r="CW48" s="338">
        <f>_xlfn.IFNA((VLOOKUP($A48,HN!$A:$K,8,FALSE)/12),0)</f>
        <v>0</v>
      </c>
      <c r="CX48" s="338">
        <f>_xlfn.IFNA((VLOOKUP($A48,HN!$A:$BS,14,FALSE)/12),0)</f>
        <v>0</v>
      </c>
      <c r="CY48" s="338">
        <f>_xlfn.IFNA(VLOOKUP($A48,'Post 16'!$A:$AV,32,FALSE),0)/8</f>
        <v>0</v>
      </c>
      <c r="CZ48" s="338"/>
      <c r="DA48" s="338">
        <f>_xlfn.IFNA((VLOOKUP($A48,HN!$A:$K,9,FALSE)/12),0)+_xlfn.IFNA((VLOOKUP($A48,HN!$A:$K,10,FALSE)/12),0)</f>
        <v>0</v>
      </c>
      <c r="DB48" s="338">
        <f>_xlfn.IFNA((VLOOKUP($A48,HN!$A:$BS,15,FALSE)/12),0)</f>
        <v>0</v>
      </c>
      <c r="DC48" s="337">
        <f t="shared" si="27"/>
        <v>-808.48</v>
      </c>
      <c r="DD48" s="337">
        <f t="shared" si="28"/>
        <v>-2539.6550000000002</v>
      </c>
      <c r="DE48" s="338"/>
      <c r="DF48" s="338">
        <f>_xlfn.IFNA(VLOOKUP($A48,'Cash Advances'!$A:$S,14,FALSE),0)</f>
        <v>0</v>
      </c>
      <c r="DG48" s="338">
        <f>(_xlfn.IFNA(VLOOKUP(A48,'LA Deductions'!A:AZ,25,FALSE),0)/9)+(_xlfn.IFNA(VLOOKUP(A48,'LA Deductions'!A:AZ,26,FALSE),0))</f>
        <v>0</v>
      </c>
      <c r="DH48" s="337">
        <f t="shared" si="29"/>
        <v>195063.61885491802</v>
      </c>
      <c r="DI48" s="330">
        <f t="shared" si="30"/>
        <v>198411.75385491803</v>
      </c>
      <c r="DJ48" s="330"/>
      <c r="DK48" s="331"/>
      <c r="DL48" s="331">
        <f>_xlfn.IFNA((VLOOKUP($A48,HN!$A:$K,8,FALSE)/12),0)+_xlfn.IFNA((VLOOKUP($A48,HN!$A:$AF,32,FALSE)*8/12),0)</f>
        <v>0</v>
      </c>
      <c r="DM48" s="331">
        <f>_xlfn.IFNA((VLOOKUP($A48,HN!$A:$BS,14,FALSE)/12),0)+_xlfn.IFNA(VLOOKUP($A48,HN!$A:$BS,31,FALSE),0)</f>
        <v>0</v>
      </c>
      <c r="DN48" s="331">
        <f>_xlfn.IFNA(VLOOKUP($A48,'Post 16'!$A:$AV,32,FALSE),0)/8</f>
        <v>0</v>
      </c>
      <c r="DO48" s="331"/>
      <c r="DP48" s="331">
        <f>_xlfn.IFNA((VLOOKUP($A48,HN!$A:$K,9,FALSE)/12),0)+_xlfn.IFNA((VLOOKUP($A48,HN!$A:$K,10,FALSE)/12),0)+_xlfn.IFNA((VLOOKUP($A48,HN!$A:$BZ,33,FALSE)*8/12),0)</f>
        <v>0</v>
      </c>
      <c r="DQ48" s="331">
        <f>_xlfn.IFNA((VLOOKUP($A48,HN!$A:$BS,15,FALSE)/12),0)</f>
        <v>0</v>
      </c>
      <c r="DR48" s="330">
        <f t="shared" si="31"/>
        <v>-808.48</v>
      </c>
      <c r="DS48" s="330">
        <f t="shared" si="32"/>
        <v>-2539.6550000000002</v>
      </c>
      <c r="DT48" s="331"/>
      <c r="DU48" s="331"/>
      <c r="DV48" s="331">
        <f>(_xlfn.IFNA(VLOOKUP(A48,'LA Deductions'!A:AZ,25,FALSE),0)/9)+_xlfn.IFNA(VLOOKUP(A48,'LA Deductions'!A:AZ,27,FALSE),0)</f>
        <v>0</v>
      </c>
      <c r="DW48" s="330">
        <f t="shared" si="33"/>
        <v>195063.61885491802</v>
      </c>
      <c r="DX48" s="344">
        <f t="shared" si="34"/>
        <v>198411.75385491803</v>
      </c>
      <c r="DY48" s="344"/>
      <c r="DZ48" s="345"/>
      <c r="EA48" s="345">
        <f>_xlfn.IFNA((VLOOKUP($A48,HN!$A:$K,8,FALSE)/12),0)+_xlfn.IFNA((VLOOKUP($A48,HN!$A:$AF,32,FALSE)*1/12),0)</f>
        <v>0</v>
      </c>
      <c r="EB48" s="345">
        <f>_xlfn.IFNA((VLOOKUP($A48,HN!$A:$BS,14,FALSE)/12),0)</f>
        <v>0</v>
      </c>
      <c r="EC48" s="345">
        <f>_xlfn.IFNA(VLOOKUP($A48,'Post 16'!$A:$AV,32,FALSE),0)/8</f>
        <v>0</v>
      </c>
      <c r="ED48" s="345"/>
      <c r="EE48" s="345">
        <f>_xlfn.IFNA((VLOOKUP($A48,HN!$A:$K,9,FALSE)/12),0)+_xlfn.IFNA((VLOOKUP($A48,HN!$A:$K,10,FALSE)/12),0)+_xlfn.IFNA((VLOOKUP($A48,HN!$A:$BZ,33,FALSE)/12),0)</f>
        <v>0</v>
      </c>
      <c r="EF48" s="345">
        <f>_xlfn.IFNA((VLOOKUP($A48,HN!$A:$BS,15,FALSE)/12),0)</f>
        <v>0</v>
      </c>
      <c r="EG48" s="344">
        <f t="shared" si="35"/>
        <v>-808.48</v>
      </c>
      <c r="EH48" s="344">
        <f t="shared" si="36"/>
        <v>-2539.6550000000002</v>
      </c>
      <c r="EI48" s="345"/>
      <c r="EJ48" s="345">
        <f>_xlfn.IFNA(VLOOKUP(A48,'Cash Advances'!A:P,16,FALSE),0)</f>
        <v>0</v>
      </c>
      <c r="EK48" s="345">
        <f>_xlfn.IFNA(VLOOKUP(A48,'LA Deductions'!A:AZ,25,FALSE),0)/9</f>
        <v>0</v>
      </c>
      <c r="EL48" s="344">
        <f t="shared" si="37"/>
        <v>195063.61885491802</v>
      </c>
      <c r="EM48" s="308">
        <f t="shared" si="38"/>
        <v>198411.75385491803</v>
      </c>
      <c r="EN48" s="308">
        <f>((VLOOKUP($A48,EY!$A:$BS,35,FALSE)-(VLOOKUP($A48,EY!$A:$BS,33,FALSE)*80%))+VLOOKUP($A48,EY!$A:$BS,43,FALSE))+(VLOOKUP(A48,EY!A:DF,110,FALSE)-VLOOKUP(A48,EY!A:DD,108,FALSE))+(VLOOKUP(A48,EY!A:CE,83,FALSE)-VLOOKUP(A48,EY!A:CC,81,FALSE))</f>
        <v>27135.826011080328</v>
      </c>
      <c r="EO48" s="309"/>
      <c r="EP48" s="309">
        <f>_xlfn.IFNA((VLOOKUP($A48,HN!$A:$K,8,FALSE)/12),0)+_xlfn.IFNA((VLOOKUP($A48,HN!$A:$AF,32,FALSE)*1/12),0)</f>
        <v>0</v>
      </c>
      <c r="EQ48" s="309">
        <f>_xlfn.IFNA((VLOOKUP($A48,HN!$A:$BS,14,FALSE)/12),0)+_xlfn.IFNA((VLOOKUP($A48,HN!$A:$BS,34,FALSE)/3),0)</f>
        <v>0</v>
      </c>
      <c r="ER48" s="309">
        <f>_xlfn.IFNA(VLOOKUP($A48,'Post 16'!$A:$AV,32,FALSE),0)/8</f>
        <v>0</v>
      </c>
      <c r="ES48" s="309">
        <f>((VLOOKUP($A48,EY!A:EV,33,FALSE)*80%))+VLOOKUP(A48,EY!A:DD,108,FALSE)+VLOOKUP(A48,EY!A:CC,81,FALSE)</f>
        <v>0</v>
      </c>
      <c r="ET48" s="309">
        <f>_xlfn.IFNA((VLOOKUP($A48,HN!$A:$K,9,FALSE)/12),0)+_xlfn.IFNA((VLOOKUP($A48,HN!$A:$K,10,FALSE)/12),0)+_xlfn.IFNA((VLOOKUP($A48,HN!$A:$BZ,33,FALSE)/12),0)</f>
        <v>0</v>
      </c>
      <c r="EU48" s="309">
        <f>_xlfn.IFNA((VLOOKUP($A48,HN!$A:$BS,15,FALSE)/12),0)</f>
        <v>0</v>
      </c>
      <c r="EV48" s="308">
        <f t="shared" si="39"/>
        <v>-808.48</v>
      </c>
      <c r="EW48" s="308">
        <f t="shared" si="40"/>
        <v>-2539.6550000000002</v>
      </c>
      <c r="EX48" s="309"/>
      <c r="EY48" s="309">
        <f>_xlfn.IFNA(VLOOKUP($A48,'Cash Advances'!$A:$S,17,FALSE),0)</f>
        <v>0</v>
      </c>
      <c r="EZ48" s="309">
        <f>_xlfn.IFNA(VLOOKUP(A48,'LA Deductions'!A:AZ,25,FALSE),0)/9</f>
        <v>0</v>
      </c>
      <c r="FA48" s="308">
        <f t="shared" si="41"/>
        <v>222199.44486599835</v>
      </c>
      <c r="FB48" s="315">
        <f t="shared" si="42"/>
        <v>198411.75385491803</v>
      </c>
      <c r="FC48" s="315"/>
      <c r="FD48" s="316"/>
      <c r="FE48" s="316">
        <f>_xlfn.IFNA((VLOOKUP($A48,HN!$A:$K,8,FALSE)/12),0)+_xlfn.IFNA((VLOOKUP($A48,HN!$A:$AF,32,FALSE)*1/12),0)</f>
        <v>0</v>
      </c>
      <c r="FF48" s="316">
        <f>_xlfn.IFNA((VLOOKUP($A48,HN!$A:$BS,14,FALSE)/12),0)+_xlfn.IFNA((VLOOKUP($A48,HN!$A:$BS,34,FALSE)/3),0)</f>
        <v>0</v>
      </c>
      <c r="FG48" s="316">
        <f>_xlfn.IFNA(VLOOKUP($A48,'Post 16'!$A:$AV,32,FALSE),0)/8</f>
        <v>0</v>
      </c>
      <c r="FH48" s="316"/>
      <c r="FI48" s="316">
        <f>_xlfn.IFNA((VLOOKUP($A48,HN!$A:$K,9,FALSE)/12),0)+_xlfn.IFNA((VLOOKUP($A48,HN!$A:$K,10,FALSE)/12),0)+_xlfn.IFNA((VLOOKUP($A48,HN!$A:$BZ,33,FALSE)/12),0)+_xlfn.IFNA((VLOOKUP($A48,HN!$A:$BZ,35,FALSE)/2),0)</f>
        <v>0</v>
      </c>
      <c r="FJ48" s="316">
        <f>_xlfn.IFNA((VLOOKUP($A48,HN!$A:$BS,15,FALSE)/12),0)+_xlfn.IFNA((VLOOKUP($A48,HN!$A:$CZ,36,FALSE)/2),0)</f>
        <v>0</v>
      </c>
      <c r="FK48" s="315">
        <f t="shared" si="43"/>
        <v>-808.48</v>
      </c>
      <c r="FL48" s="315">
        <f t="shared" si="44"/>
        <v>-2539.6550000000002</v>
      </c>
      <c r="FM48" s="316"/>
      <c r="FN48" s="316">
        <f>_xlfn.IFNA(VLOOKUP($A48,'Cash Advances'!$A:$S,18,FALSE),0)</f>
        <v>0</v>
      </c>
      <c r="FO48" s="316">
        <f>_xlfn.IFNA(VLOOKUP(A48,'LA Deductions'!A:AZ,25,FALSE),0)/9</f>
        <v>0</v>
      </c>
      <c r="FP48" s="315">
        <f t="shared" si="45"/>
        <v>195063.61885491802</v>
      </c>
      <c r="FQ48" s="322">
        <f t="shared" si="46"/>
        <v>198411.75385491803</v>
      </c>
      <c r="FR48" s="322"/>
      <c r="FS48" s="323"/>
      <c r="FT48" s="323">
        <f>_xlfn.IFNA((VLOOKUP($A48,HN!$A:$K,8,FALSE)/12),0)+_xlfn.IFNA((VLOOKUP($A48,HN!$A:$AF,32,FALSE)*1/12),0)</f>
        <v>0</v>
      </c>
      <c r="FU48" s="323">
        <f>_xlfn.IFNA((VLOOKUP($A48,HN!$A:$BS,14,FALSE)/12),0)+_xlfn.IFNA((VLOOKUP($A48,HN!$A:$BS,34,FALSE)/3),0)</f>
        <v>0</v>
      </c>
      <c r="FV48" s="323">
        <f>_xlfn.IFNA(VLOOKUP($A48,'Post 16'!$A:$AV,32,FALSE),0)/8</f>
        <v>0</v>
      </c>
      <c r="FW48" s="323"/>
      <c r="FX48" s="323">
        <f>_xlfn.IFNA((VLOOKUP($A48,HN!$A:$K,9,FALSE)/12),0)+_xlfn.IFNA((VLOOKUP($A48,HN!$A:$K,10,FALSE)/12),0)+_xlfn.IFNA((VLOOKUP($A48,HN!$A:$BZ,33,FALSE)/12),0)+_xlfn.IFNA((VLOOKUP($A48,HN!$A:$BZ,35,FALSE)/2),0)</f>
        <v>0</v>
      </c>
      <c r="FY48" s="323">
        <f>_xlfn.IFNA((VLOOKUP($A48,HN!$A:$BS,15,FALSE)/12),0)+_xlfn.IFNA((VLOOKUP($A48,HN!$A:$CZ,36,FALSE)/2),0)</f>
        <v>0</v>
      </c>
      <c r="FZ48" s="322">
        <f t="shared" si="47"/>
        <v>-808.48</v>
      </c>
      <c r="GA48" s="322">
        <f t="shared" si="48"/>
        <v>-2539.6550000000002</v>
      </c>
      <c r="GB48" s="323"/>
      <c r="GC48" s="323"/>
      <c r="GD48" s="323">
        <f>_xlfn.IFNA(VLOOKUP(A48,'LA Deductions'!A:AZ,25,FALSE),0)/9</f>
        <v>0</v>
      </c>
      <c r="GE48" s="322">
        <f t="shared" si="49"/>
        <v>195063.61885491802</v>
      </c>
      <c r="GG48" s="146">
        <f t="shared" ref="GG48:GL57" si="61">SUMIFS($M48:$GE48,$M$7:$GE$7,GG$7)</f>
        <v>2528213.813322728</v>
      </c>
      <c r="GH48" s="146">
        <f t="shared" si="61"/>
        <v>0</v>
      </c>
      <c r="GI48" s="146">
        <f t="shared" si="61"/>
        <v>0</v>
      </c>
      <c r="GJ48" s="146">
        <f t="shared" si="61"/>
        <v>-9701.7599999999984</v>
      </c>
      <c r="GK48" s="146">
        <f t="shared" si="61"/>
        <v>-30475.859999999997</v>
      </c>
      <c r="GL48" s="146">
        <f t="shared" si="61"/>
        <v>-9471</v>
      </c>
      <c r="GN48" s="146">
        <f t="shared" ref="GN48:GS57" si="62">SUMIFS($M48:$GE48,$M$7:$GE$7,GN$7,$M$4:$GE$4,$GN$6)</f>
        <v>2528213.813322728</v>
      </c>
      <c r="GO48" s="146">
        <f t="shared" si="62"/>
        <v>0</v>
      </c>
      <c r="GP48" s="146">
        <f t="shared" si="62"/>
        <v>0</v>
      </c>
      <c r="GQ48" s="146">
        <f t="shared" si="62"/>
        <v>-9701.7599999999984</v>
      </c>
      <c r="GR48" s="146">
        <f t="shared" si="62"/>
        <v>-30475.859999999997</v>
      </c>
      <c r="GS48" s="146">
        <f t="shared" si="62"/>
        <v>-9471</v>
      </c>
      <c r="GU48" s="146"/>
      <c r="GV48" s="57"/>
    </row>
    <row r="49" spans="1:204">
      <c r="A49" s="185">
        <v>3321</v>
      </c>
      <c r="B49" s="185">
        <v>103425</v>
      </c>
      <c r="C49" s="185" t="s">
        <v>118</v>
      </c>
      <c r="D49" s="2" t="s">
        <v>119</v>
      </c>
      <c r="E49" s="191" t="s">
        <v>32</v>
      </c>
      <c r="F49" s="191" t="s">
        <v>912</v>
      </c>
      <c r="H49" s="279">
        <f>_xlfn.IFNA(VLOOKUP($A49,ISB!$A$4:$BY$454,67,FALSE),0)</f>
        <v>2044500.5958213268</v>
      </c>
      <c r="I49" s="279">
        <f>_xlfn.IFNA(VLOOKUP($A49,ISB!$A$4:$BY$454,72,FALSE),0)</f>
        <v>-9075.84</v>
      </c>
      <c r="J49" s="279">
        <f>-_xlfn.IFNA(VLOOKUP($A49,ISB!$A$4:$BY$454,76,FALSE),0)</f>
        <v>-3815.97</v>
      </c>
      <c r="K49" s="279">
        <f>_xlfn.IFNA(VLOOKUP($A49,ISB!$A$4:$BY$454,77,FALSE),0)</f>
        <v>2031608.7858213268</v>
      </c>
      <c r="M49" s="301">
        <f t="shared" si="7"/>
        <v>170375.04965177723</v>
      </c>
      <c r="N49" s="301">
        <f>VLOOKUP($A49,EY!$A:$H,8,FALSE)+(VLOOKUP($A49,EY!$A:$BS,17,FALSE)-S49)+VLOOKUP($A49,EY!$A:$BS,41,FALSE)</f>
        <v>0</v>
      </c>
      <c r="O49" s="302"/>
      <c r="P49" s="302">
        <f>_xlfn.IFNA((VLOOKUP($A49,HN!$A:$K,8,FALSE)/12),0)</f>
        <v>0</v>
      </c>
      <c r="Q49" s="302">
        <f>_xlfn.IFNA((VLOOKUP($A49,HN!$A:$BS,14,FALSE)/12),0)</f>
        <v>0</v>
      </c>
      <c r="R49" s="302">
        <f>_xlfn.IFNA(VLOOKUP($A49,'Post 16'!$A:$V,21,FALSE),0)/4</f>
        <v>0</v>
      </c>
      <c r="S49" s="302">
        <f>VLOOKUP($A49,EY!A:Q,15,FALSE)*80%</f>
        <v>0</v>
      </c>
      <c r="T49" s="302">
        <f>_xlfn.IFNA((VLOOKUP($A49,HN!$A:$K,9,FALSE)/12),0)+_xlfn.IFNA((VLOOKUP($A49,HN!$A:$K,10,FALSE)/12),0)</f>
        <v>0</v>
      </c>
      <c r="U49" s="302">
        <f>_xlfn.IFNA((VLOOKUP($A49,HN!$A:$BS,15,FALSE)/12),0)</f>
        <v>0</v>
      </c>
      <c r="V49" s="301">
        <f t="shared" si="8"/>
        <v>-756.32</v>
      </c>
      <c r="W49" s="301">
        <f t="shared" si="9"/>
        <v>-317.9975</v>
      </c>
      <c r="X49" s="302"/>
      <c r="Y49" s="302">
        <f>_xlfn.IFNA(VLOOKUP($A49,'Cash Advances'!$A:$S,8,FALSE),0)</f>
        <v>0</v>
      </c>
      <c r="Z49" s="301">
        <f t="shared" si="54"/>
        <v>169300.73215177722</v>
      </c>
      <c r="AA49" s="315">
        <f t="shared" si="10"/>
        <v>170375.04965177723</v>
      </c>
      <c r="AB49" s="315"/>
      <c r="AC49" s="316"/>
      <c r="AD49" s="316">
        <f>_xlfn.IFNA((VLOOKUP($A49,HN!$A:$K,8,FALSE)/12),0)</f>
        <v>0</v>
      </c>
      <c r="AE49" s="316">
        <f>_xlfn.IFNA((VLOOKUP($A49,HN!$A:$BS,14,FALSE)/12),0)</f>
        <v>0</v>
      </c>
      <c r="AF49" s="316">
        <f>_xlfn.IFNA(VLOOKUP($A49,'Post 16'!$A:$V,21,FALSE),0)/4</f>
        <v>0</v>
      </c>
      <c r="AG49" s="316"/>
      <c r="AH49" s="316">
        <f>_xlfn.IFNA((VLOOKUP($A49,HN!$A:$K,9,FALSE)/12),0)+_xlfn.IFNA((VLOOKUP($A49,HN!$A:$K,10,FALSE)/12),0)</f>
        <v>0</v>
      </c>
      <c r="AI49" s="316">
        <f>_xlfn.IFNA((VLOOKUP($A49,HN!$A:$BS,15,FALSE)/12),0)</f>
        <v>0</v>
      </c>
      <c r="AJ49" s="315">
        <f t="shared" si="11"/>
        <v>-756.32</v>
      </c>
      <c r="AK49" s="315">
        <f t="shared" si="12"/>
        <v>-317.9975</v>
      </c>
      <c r="AL49" s="316"/>
      <c r="AM49" s="316">
        <f>_xlfn.IFNA(VLOOKUP($A49,'Cash Advances'!$A:$S,9,FALSE),0)</f>
        <v>0</v>
      </c>
      <c r="AN49" s="315">
        <f t="shared" si="55"/>
        <v>169300.73215177722</v>
      </c>
      <c r="AO49" s="308">
        <f t="shared" si="13"/>
        <v>170375.04965177723</v>
      </c>
      <c r="AP49" s="308"/>
      <c r="AQ49" s="309"/>
      <c r="AR49" s="309">
        <f>_xlfn.IFNA((VLOOKUP($A49,HN!$A:$K,8,FALSE)/12),0)</f>
        <v>0</v>
      </c>
      <c r="AS49" s="309">
        <f>_xlfn.IFNA((VLOOKUP($A49,HN!$A:$BS,14,FALSE)/12),0)</f>
        <v>0</v>
      </c>
      <c r="AT49" s="309">
        <f>_xlfn.IFNA(VLOOKUP($A49,'Post 16'!$A:$V,21,FALSE),0)/4</f>
        <v>0</v>
      </c>
      <c r="AU49" s="309"/>
      <c r="AV49" s="309">
        <f>_xlfn.IFNA((VLOOKUP($A49,HN!$A:$K,9,FALSE)/12),0)+_xlfn.IFNA((VLOOKUP($A49,HN!$A:$K,10,FALSE)/12),0)+_xlfn.IFNA(VLOOKUP(A49,HN!A:V,19,FALSE),0)+_xlfn.IFNA(VLOOKUP(A49,HN!A:V,20,FALSE),0)+_xlfn.IFNA(VLOOKUP(A49,HN!A:V,21,FALSE),0)</f>
        <v>0</v>
      </c>
      <c r="AW49" s="309">
        <f>_xlfn.IFNA((VLOOKUP($A49,HN!$A:$BS,15,FALSE)/12),0)</f>
        <v>0</v>
      </c>
      <c r="AX49" s="308">
        <f t="shared" si="14"/>
        <v>-756.32</v>
      </c>
      <c r="AY49" s="308">
        <f t="shared" si="15"/>
        <v>-317.9975</v>
      </c>
      <c r="AZ49" s="309"/>
      <c r="BA49" s="309">
        <f>_xlfn.IFNA(VLOOKUP($A49,'Cash Advances'!$A:$S,10,FALSE),0)</f>
        <v>0</v>
      </c>
      <c r="BB49" s="308">
        <f t="shared" si="56"/>
        <v>169300.73215177722</v>
      </c>
      <c r="BC49" s="330">
        <f t="shared" si="16"/>
        <v>170375.04965177723</v>
      </c>
      <c r="BD49" s="330"/>
      <c r="BE49" s="331"/>
      <c r="BF49" s="331">
        <f>_xlfn.IFNA((VLOOKUP($A49,HN!$A:$K,8,FALSE)/12),0)</f>
        <v>0</v>
      </c>
      <c r="BG49" s="331">
        <f>_xlfn.IFNA((VLOOKUP($A49,HN!$A:$BS,14,FALSE)/12),0)</f>
        <v>0</v>
      </c>
      <c r="BH49" s="331">
        <f>_xlfn.IFNA(VLOOKUP($A49,'Post 16'!$A:$V,21,FALSE),0)/4</f>
        <v>0</v>
      </c>
      <c r="BI49" s="331"/>
      <c r="BJ49" s="331">
        <f>_xlfn.IFNA((VLOOKUP($A49,HN!$A:$K,9,FALSE)/12),0)+_xlfn.IFNA((VLOOKUP($A49,HN!$A:$K,10,FALSE)/12),0)</f>
        <v>0</v>
      </c>
      <c r="BK49" s="331">
        <f>_xlfn.IFNA((VLOOKUP($A49,HN!$A:$BS,15,FALSE)/12),0)</f>
        <v>0</v>
      </c>
      <c r="BL49" s="330">
        <f t="shared" si="17"/>
        <v>-756.32</v>
      </c>
      <c r="BM49" s="330">
        <f t="shared" si="18"/>
        <v>-317.9975</v>
      </c>
      <c r="BN49" s="331"/>
      <c r="BO49" s="331">
        <f>_xlfn.IFNA(VLOOKUP(A49,'Cash Advances'!A:K,11,FALSE),0)</f>
        <v>0</v>
      </c>
      <c r="BP49" s="330">
        <f t="shared" si="57"/>
        <v>169300.73215177722</v>
      </c>
      <c r="BQ49" s="322">
        <f t="shared" si="19"/>
        <v>170375.04965177723</v>
      </c>
      <c r="BR49" s="322"/>
      <c r="BS49" s="323"/>
      <c r="BT49" s="323">
        <f>_xlfn.IFNA((VLOOKUP($A49,HN!$A:$K,8,FALSE)/12),0)</f>
        <v>0</v>
      </c>
      <c r="BU49" s="323">
        <f>_xlfn.IFNA((VLOOKUP($A49,HN!$A:$BS,14,FALSE)/12),0)</f>
        <v>0</v>
      </c>
      <c r="BV49" s="323">
        <f>(_xlfn.IFNA(VLOOKUP($A49,'Post 16'!$A:$AV,32,FALSE),0)/8)+_xlfn.IFNA(VLOOKUP($A49,'Post 16'!$A:$AR,40,FALSE),0)</f>
        <v>0</v>
      </c>
      <c r="BW49" s="323"/>
      <c r="BX49" s="323">
        <f>_xlfn.IFNA((VLOOKUP($A49,HN!$A:$K,9,FALSE)/12),0)+_xlfn.IFNA((VLOOKUP($A49,HN!$A:$K,10,FALSE)/12),0)</f>
        <v>0</v>
      </c>
      <c r="BY49" s="323">
        <f>_xlfn.IFNA((VLOOKUP($A49,HN!$A:$BS,15,FALSE)/12),0)</f>
        <v>0</v>
      </c>
      <c r="BZ49" s="322">
        <f t="shared" si="20"/>
        <v>-756.32</v>
      </c>
      <c r="CA49" s="322">
        <f t="shared" si="21"/>
        <v>-317.9975</v>
      </c>
      <c r="CB49" s="323"/>
      <c r="CC49" s="323"/>
      <c r="CD49" s="322">
        <f t="shared" si="58"/>
        <v>169300.73215177722</v>
      </c>
      <c r="CE49" s="357">
        <f t="shared" si="22"/>
        <v>170375.04965177723</v>
      </c>
      <c r="CF49" s="357">
        <f>(VLOOKUP($A49,EY!$A:$BS,26,FALSE)-(VLOOKUP($A49,EY!A:CR,24,FALSE)*80%))+VLOOKUP($A49,EY!$A:$BS,42,FALSE)+(VLOOKUP($A49,EY!A:CC,74,FALSE)-VLOOKUP($A49,EY!A:CC,72,FALSE))</f>
        <v>0</v>
      </c>
      <c r="CG49" s="358"/>
      <c r="CH49" s="358">
        <f>_xlfn.IFNA((VLOOKUP($A49,HN!$A:$K,8,FALSE)/12),0)</f>
        <v>0</v>
      </c>
      <c r="CI49" s="358">
        <f>_xlfn.IFNA((VLOOKUP($A49,HN!$A:$BS,14,FALSE)/12),0)</f>
        <v>0</v>
      </c>
      <c r="CJ49" s="358">
        <f>(_xlfn.IFNA(VLOOKUP($A49,'Post 16'!$A:$AV,32,FALSE),0)/8)</f>
        <v>0</v>
      </c>
      <c r="CK49" s="358">
        <f>(VLOOKUP($A49,EY!A:CR,24,FALSE)*80%)+VLOOKUP($A49,EY!A:CC,72,FALSE)</f>
        <v>0</v>
      </c>
      <c r="CL49" s="358">
        <f>_xlfn.IFNA((VLOOKUP($A49,HN!$A:$K,9,FALSE)/12),0)+_xlfn.IFNA((VLOOKUP($A49,HN!$A:$K,10,FALSE)/12),0)</f>
        <v>0</v>
      </c>
      <c r="CM49" s="358">
        <f>_xlfn.IFNA((VLOOKUP($A49,HN!$A:$BS,15,FALSE)/12),0)</f>
        <v>0</v>
      </c>
      <c r="CN49" s="357">
        <f t="shared" si="23"/>
        <v>-756.32</v>
      </c>
      <c r="CO49" s="357">
        <f t="shared" si="24"/>
        <v>-317.9975</v>
      </c>
      <c r="CP49" s="358">
        <f>_xlfn.IFNA(VLOOKUP(A49,'LA Deductions'!A:W,23,FALSE),0)</f>
        <v>-9471</v>
      </c>
      <c r="CQ49" s="358">
        <f>_xlfn.IFNA(VLOOKUP($A49,'Cash Advances'!$A:$S,13,FALSE),0)</f>
        <v>0</v>
      </c>
      <c r="CR49" s="358">
        <f>_xlfn.IFNA(VLOOKUP(A49,'LA Deductions'!A:AZ,25,FALSE),0)/9*3</f>
        <v>0</v>
      </c>
      <c r="CS49" s="357">
        <f t="shared" si="25"/>
        <v>159829.73215177722</v>
      </c>
      <c r="CT49" s="337">
        <f t="shared" si="26"/>
        <v>170375.04965177723</v>
      </c>
      <c r="CU49" s="337"/>
      <c r="CV49" s="338">
        <f>_xlfn.IFNA(VLOOKUP(A49,'LA Deductions'!$A$6:$AN$207,34,FALSE),0)</f>
        <v>0</v>
      </c>
      <c r="CW49" s="338">
        <f>_xlfn.IFNA((VLOOKUP($A49,HN!$A:$K,8,FALSE)/12),0)</f>
        <v>0</v>
      </c>
      <c r="CX49" s="338">
        <f>_xlfn.IFNA((VLOOKUP($A49,HN!$A:$BS,14,FALSE)/12),0)</f>
        <v>0</v>
      </c>
      <c r="CY49" s="338">
        <f>_xlfn.IFNA(VLOOKUP($A49,'Post 16'!$A:$AV,32,FALSE),0)/8</f>
        <v>0</v>
      </c>
      <c r="CZ49" s="338"/>
      <c r="DA49" s="338">
        <f>_xlfn.IFNA((VLOOKUP($A49,HN!$A:$K,9,FALSE)/12),0)+_xlfn.IFNA((VLOOKUP($A49,HN!$A:$K,10,FALSE)/12),0)</f>
        <v>0</v>
      </c>
      <c r="DB49" s="338">
        <f>_xlfn.IFNA((VLOOKUP($A49,HN!$A:$BS,15,FALSE)/12),0)</f>
        <v>0</v>
      </c>
      <c r="DC49" s="337">
        <f t="shared" si="27"/>
        <v>-756.32</v>
      </c>
      <c r="DD49" s="337">
        <f t="shared" si="28"/>
        <v>-317.9975</v>
      </c>
      <c r="DE49" s="338"/>
      <c r="DF49" s="338">
        <f>_xlfn.IFNA(VLOOKUP($A49,'Cash Advances'!$A:$S,14,FALSE),0)</f>
        <v>0</v>
      </c>
      <c r="DG49" s="338">
        <f>(_xlfn.IFNA(VLOOKUP(A49,'LA Deductions'!A:AZ,25,FALSE),0)/9)+(_xlfn.IFNA(VLOOKUP(A49,'LA Deductions'!A:AZ,26,FALSE),0))</f>
        <v>0</v>
      </c>
      <c r="DH49" s="337">
        <f t="shared" si="29"/>
        <v>169300.73215177722</v>
      </c>
      <c r="DI49" s="330">
        <f t="shared" si="30"/>
        <v>170375.04965177723</v>
      </c>
      <c r="DJ49" s="330"/>
      <c r="DK49" s="331"/>
      <c r="DL49" s="331">
        <f>_xlfn.IFNA((VLOOKUP($A49,HN!$A:$K,8,FALSE)/12),0)+_xlfn.IFNA((VLOOKUP($A49,HN!$A:$AF,32,FALSE)*8/12),0)</f>
        <v>0</v>
      </c>
      <c r="DM49" s="331">
        <f>_xlfn.IFNA((VLOOKUP($A49,HN!$A:$BS,14,FALSE)/12),0)+_xlfn.IFNA(VLOOKUP($A49,HN!$A:$BS,31,FALSE),0)</f>
        <v>0</v>
      </c>
      <c r="DN49" s="331">
        <f>_xlfn.IFNA(VLOOKUP($A49,'Post 16'!$A:$AV,32,FALSE),0)/8</f>
        <v>0</v>
      </c>
      <c r="DO49" s="331"/>
      <c r="DP49" s="331">
        <f>_xlfn.IFNA((VLOOKUP($A49,HN!$A:$K,9,FALSE)/12),0)+_xlfn.IFNA((VLOOKUP($A49,HN!$A:$K,10,FALSE)/12),0)+_xlfn.IFNA((VLOOKUP($A49,HN!$A:$BZ,33,FALSE)*8/12),0)</f>
        <v>0</v>
      </c>
      <c r="DQ49" s="331">
        <f>_xlfn.IFNA((VLOOKUP($A49,HN!$A:$BS,15,FALSE)/12),0)</f>
        <v>0</v>
      </c>
      <c r="DR49" s="330">
        <f t="shared" si="31"/>
        <v>-756.32</v>
      </c>
      <c r="DS49" s="330">
        <f t="shared" si="32"/>
        <v>-317.9975</v>
      </c>
      <c r="DT49" s="331"/>
      <c r="DU49" s="331"/>
      <c r="DV49" s="331">
        <f>(_xlfn.IFNA(VLOOKUP(A49,'LA Deductions'!A:AZ,25,FALSE),0)/9)+_xlfn.IFNA(VLOOKUP(A49,'LA Deductions'!A:AZ,27,FALSE),0)</f>
        <v>0</v>
      </c>
      <c r="DW49" s="330">
        <f t="shared" si="33"/>
        <v>169300.73215177722</v>
      </c>
      <c r="DX49" s="344">
        <f t="shared" si="34"/>
        <v>170375.04965177723</v>
      </c>
      <c r="DY49" s="344"/>
      <c r="DZ49" s="345"/>
      <c r="EA49" s="345">
        <f>_xlfn.IFNA((VLOOKUP($A49,HN!$A:$K,8,FALSE)/12),0)+_xlfn.IFNA((VLOOKUP($A49,HN!$A:$AF,32,FALSE)*1/12),0)</f>
        <v>0</v>
      </c>
      <c r="EB49" s="345">
        <f>_xlfn.IFNA((VLOOKUP($A49,HN!$A:$BS,14,FALSE)/12),0)</f>
        <v>0</v>
      </c>
      <c r="EC49" s="345">
        <f>_xlfn.IFNA(VLOOKUP($A49,'Post 16'!$A:$AV,32,FALSE),0)/8</f>
        <v>0</v>
      </c>
      <c r="ED49" s="345"/>
      <c r="EE49" s="345">
        <f>_xlfn.IFNA((VLOOKUP($A49,HN!$A:$K,9,FALSE)/12),0)+_xlfn.IFNA((VLOOKUP($A49,HN!$A:$K,10,FALSE)/12),0)+_xlfn.IFNA((VLOOKUP($A49,HN!$A:$BZ,33,FALSE)/12),0)</f>
        <v>0</v>
      </c>
      <c r="EF49" s="345">
        <f>_xlfn.IFNA((VLOOKUP($A49,HN!$A:$BS,15,FALSE)/12),0)</f>
        <v>0</v>
      </c>
      <c r="EG49" s="344">
        <f t="shared" si="35"/>
        <v>-756.32</v>
      </c>
      <c r="EH49" s="344">
        <f t="shared" si="36"/>
        <v>-317.9975</v>
      </c>
      <c r="EI49" s="345"/>
      <c r="EJ49" s="345">
        <f>_xlfn.IFNA(VLOOKUP(A49,'Cash Advances'!A:P,16,FALSE),0)</f>
        <v>0</v>
      </c>
      <c r="EK49" s="345">
        <f>_xlfn.IFNA(VLOOKUP(A49,'LA Deductions'!A:AZ,25,FALSE),0)/9</f>
        <v>0</v>
      </c>
      <c r="EL49" s="344">
        <f t="shared" si="37"/>
        <v>169300.73215177722</v>
      </c>
      <c r="EM49" s="308">
        <f t="shared" si="38"/>
        <v>170375.04965177723</v>
      </c>
      <c r="EN49" s="308">
        <f>((VLOOKUP($A49,EY!$A:$BS,35,FALSE)-(VLOOKUP($A49,EY!$A:$BS,33,FALSE)*80%))+VLOOKUP($A49,EY!$A:$BS,43,FALSE))+(VLOOKUP(A49,EY!A:DF,110,FALSE)-VLOOKUP(A49,EY!A:DD,108,FALSE))+(VLOOKUP(A49,EY!A:CE,83,FALSE)-VLOOKUP(A49,EY!A:CC,81,FALSE))</f>
        <v>0</v>
      </c>
      <c r="EO49" s="309"/>
      <c r="EP49" s="309">
        <f>_xlfn.IFNA((VLOOKUP($A49,HN!$A:$K,8,FALSE)/12),0)+_xlfn.IFNA((VLOOKUP($A49,HN!$A:$AF,32,FALSE)*1/12),0)</f>
        <v>0</v>
      </c>
      <c r="EQ49" s="309">
        <f>_xlfn.IFNA((VLOOKUP($A49,HN!$A:$BS,14,FALSE)/12),0)+_xlfn.IFNA((VLOOKUP($A49,HN!$A:$BS,34,FALSE)/3),0)</f>
        <v>0</v>
      </c>
      <c r="ER49" s="309">
        <f>_xlfn.IFNA(VLOOKUP($A49,'Post 16'!$A:$AV,32,FALSE),0)/8</f>
        <v>0</v>
      </c>
      <c r="ES49" s="309">
        <f>((VLOOKUP($A49,EY!A:EV,33,FALSE)*80%))+VLOOKUP(A49,EY!A:DD,108,FALSE)+VLOOKUP(A49,EY!A:CC,81,FALSE)</f>
        <v>0</v>
      </c>
      <c r="ET49" s="309">
        <f>_xlfn.IFNA((VLOOKUP($A49,HN!$A:$K,9,FALSE)/12),0)+_xlfn.IFNA((VLOOKUP($A49,HN!$A:$K,10,FALSE)/12),0)+_xlfn.IFNA((VLOOKUP($A49,HN!$A:$BZ,33,FALSE)/12),0)</f>
        <v>0</v>
      </c>
      <c r="EU49" s="309">
        <f>_xlfn.IFNA((VLOOKUP($A49,HN!$A:$BS,15,FALSE)/12),0)</f>
        <v>0</v>
      </c>
      <c r="EV49" s="308">
        <f t="shared" si="39"/>
        <v>-756.32</v>
      </c>
      <c r="EW49" s="308">
        <f t="shared" si="40"/>
        <v>-317.9975</v>
      </c>
      <c r="EX49" s="309"/>
      <c r="EY49" s="309">
        <f>_xlfn.IFNA(VLOOKUP($A49,'Cash Advances'!$A:$S,17,FALSE),0)</f>
        <v>0</v>
      </c>
      <c r="EZ49" s="309">
        <f>_xlfn.IFNA(VLOOKUP(A49,'LA Deductions'!A:AZ,25,FALSE),0)/9</f>
        <v>0</v>
      </c>
      <c r="FA49" s="308">
        <f t="shared" si="41"/>
        <v>169300.73215177722</v>
      </c>
      <c r="FB49" s="315">
        <f t="shared" si="42"/>
        <v>170375.04965177723</v>
      </c>
      <c r="FC49" s="315"/>
      <c r="FD49" s="316"/>
      <c r="FE49" s="316">
        <f>_xlfn.IFNA((VLOOKUP($A49,HN!$A:$K,8,FALSE)/12),0)+_xlfn.IFNA((VLOOKUP($A49,HN!$A:$AF,32,FALSE)*1/12),0)</f>
        <v>0</v>
      </c>
      <c r="FF49" s="316">
        <f>_xlfn.IFNA((VLOOKUP($A49,HN!$A:$BS,14,FALSE)/12),0)+_xlfn.IFNA((VLOOKUP($A49,HN!$A:$BS,34,FALSE)/3),0)</f>
        <v>0</v>
      </c>
      <c r="FG49" s="316">
        <f>_xlfn.IFNA(VLOOKUP($A49,'Post 16'!$A:$AV,32,FALSE),0)/8</f>
        <v>0</v>
      </c>
      <c r="FH49" s="316"/>
      <c r="FI49" s="316">
        <f>_xlfn.IFNA((VLOOKUP($A49,HN!$A:$K,9,FALSE)/12),0)+_xlfn.IFNA((VLOOKUP($A49,HN!$A:$K,10,FALSE)/12),0)+_xlfn.IFNA((VLOOKUP($A49,HN!$A:$BZ,33,FALSE)/12),0)+_xlfn.IFNA((VLOOKUP($A49,HN!$A:$BZ,35,FALSE)/2),0)</f>
        <v>0</v>
      </c>
      <c r="FJ49" s="316">
        <f>_xlfn.IFNA((VLOOKUP($A49,HN!$A:$BS,15,FALSE)/12),0)+_xlfn.IFNA((VLOOKUP($A49,HN!$A:$CZ,36,FALSE)/2),0)</f>
        <v>0</v>
      </c>
      <c r="FK49" s="315">
        <f t="shared" si="43"/>
        <v>-756.32</v>
      </c>
      <c r="FL49" s="315">
        <f t="shared" si="44"/>
        <v>-317.9975</v>
      </c>
      <c r="FM49" s="316"/>
      <c r="FN49" s="316">
        <f>_xlfn.IFNA(VLOOKUP($A49,'Cash Advances'!$A:$S,18,FALSE),0)</f>
        <v>0</v>
      </c>
      <c r="FO49" s="316">
        <f>_xlfn.IFNA(VLOOKUP(A49,'LA Deductions'!A:AZ,25,FALSE),0)/9</f>
        <v>0</v>
      </c>
      <c r="FP49" s="315">
        <f t="shared" si="45"/>
        <v>169300.73215177722</v>
      </c>
      <c r="FQ49" s="322">
        <f t="shared" si="46"/>
        <v>170375.04965177723</v>
      </c>
      <c r="FR49" s="322"/>
      <c r="FS49" s="323"/>
      <c r="FT49" s="323">
        <f>_xlfn.IFNA((VLOOKUP($A49,HN!$A:$K,8,FALSE)/12),0)+_xlfn.IFNA((VLOOKUP($A49,HN!$A:$AF,32,FALSE)*1/12),0)</f>
        <v>0</v>
      </c>
      <c r="FU49" s="323">
        <f>_xlfn.IFNA((VLOOKUP($A49,HN!$A:$BS,14,FALSE)/12),0)+_xlfn.IFNA((VLOOKUP($A49,HN!$A:$BS,34,FALSE)/3),0)</f>
        <v>0</v>
      </c>
      <c r="FV49" s="323">
        <f>_xlfn.IFNA(VLOOKUP($A49,'Post 16'!$A:$AV,32,FALSE),0)/8</f>
        <v>0</v>
      </c>
      <c r="FW49" s="323"/>
      <c r="FX49" s="323">
        <f>_xlfn.IFNA((VLOOKUP($A49,HN!$A:$K,9,FALSE)/12),0)+_xlfn.IFNA((VLOOKUP($A49,HN!$A:$K,10,FALSE)/12),0)+_xlfn.IFNA((VLOOKUP($A49,HN!$A:$BZ,33,FALSE)/12),0)+_xlfn.IFNA((VLOOKUP($A49,HN!$A:$BZ,35,FALSE)/2),0)</f>
        <v>0</v>
      </c>
      <c r="FY49" s="323">
        <f>_xlfn.IFNA((VLOOKUP($A49,HN!$A:$BS,15,FALSE)/12),0)+_xlfn.IFNA((VLOOKUP($A49,HN!$A:$CZ,36,FALSE)/2),0)</f>
        <v>0</v>
      </c>
      <c r="FZ49" s="322">
        <f t="shared" si="47"/>
        <v>-756.32</v>
      </c>
      <c r="GA49" s="322">
        <f t="shared" si="48"/>
        <v>-317.9975</v>
      </c>
      <c r="GB49" s="323"/>
      <c r="GC49" s="323"/>
      <c r="GD49" s="323">
        <f>_xlfn.IFNA(VLOOKUP(A49,'LA Deductions'!A:AZ,25,FALSE),0)/9</f>
        <v>0</v>
      </c>
      <c r="GE49" s="322">
        <f t="shared" si="49"/>
        <v>169300.73215177722</v>
      </c>
      <c r="GG49" s="146">
        <f t="shared" si="61"/>
        <v>2044500.5958213264</v>
      </c>
      <c r="GH49" s="146">
        <f t="shared" si="61"/>
        <v>0</v>
      </c>
      <c r="GI49" s="146">
        <f t="shared" si="61"/>
        <v>0</v>
      </c>
      <c r="GJ49" s="146">
        <f t="shared" si="61"/>
        <v>-9075.8399999999983</v>
      </c>
      <c r="GK49" s="146">
        <f t="shared" si="61"/>
        <v>-3815.97</v>
      </c>
      <c r="GL49" s="146">
        <f t="shared" si="61"/>
        <v>-9471</v>
      </c>
      <c r="GN49" s="146">
        <f t="shared" si="62"/>
        <v>2044500.5958213264</v>
      </c>
      <c r="GO49" s="146">
        <f t="shared" si="62"/>
        <v>0</v>
      </c>
      <c r="GP49" s="146">
        <f t="shared" si="62"/>
        <v>0</v>
      </c>
      <c r="GQ49" s="146">
        <f t="shared" si="62"/>
        <v>-9075.8399999999983</v>
      </c>
      <c r="GR49" s="146">
        <f t="shared" si="62"/>
        <v>-3815.97</v>
      </c>
      <c r="GS49" s="146">
        <f t="shared" si="62"/>
        <v>-9471</v>
      </c>
      <c r="GU49" s="146"/>
      <c r="GV49" s="57"/>
    </row>
    <row r="50" spans="1:204">
      <c r="A50" s="185">
        <v>1026</v>
      </c>
      <c r="B50" s="185">
        <v>103139</v>
      </c>
      <c r="C50" s="185" t="s">
        <v>120</v>
      </c>
      <c r="D50" s="2" t="s">
        <v>121</v>
      </c>
      <c r="E50" s="191" t="s">
        <v>29</v>
      </c>
      <c r="F50" s="191" t="s">
        <v>912</v>
      </c>
      <c r="H50" s="279">
        <f>_xlfn.IFNA(VLOOKUP($A50,ISB!$A$4:$BY$454,67,FALSE),0)</f>
        <v>0</v>
      </c>
      <c r="I50" s="279">
        <f>_xlfn.IFNA(VLOOKUP($A50,ISB!$A$4:$BY$454,72,FALSE),0)</f>
        <v>0</v>
      </c>
      <c r="J50" s="279">
        <f>-_xlfn.IFNA(VLOOKUP($A50,ISB!$A$4:$BY$454,76,FALSE),0)</f>
        <v>0</v>
      </c>
      <c r="K50" s="279">
        <f>_xlfn.IFNA(VLOOKUP($A50,ISB!$A$4:$BY$454,77,FALSE),0)</f>
        <v>0</v>
      </c>
      <c r="M50" s="301">
        <f t="shared" si="7"/>
        <v>0</v>
      </c>
      <c r="N50" s="301">
        <f>VLOOKUP($A50,EY!$A:$H,8,FALSE)+(VLOOKUP($A50,EY!$A:$BS,17,FALSE)-S50)+VLOOKUP($A50,EY!$A:$BS,41,FALSE)</f>
        <v>430802.50448846543</v>
      </c>
      <c r="O50" s="302"/>
      <c r="P50" s="302">
        <f>_xlfn.IFNA((VLOOKUP($A50,HN!$A:$K,8,FALSE)/12),0)</f>
        <v>0</v>
      </c>
      <c r="Q50" s="302">
        <f>_xlfn.IFNA((VLOOKUP($A50,HN!$A:$BS,14,FALSE)/12),0)</f>
        <v>0</v>
      </c>
      <c r="R50" s="302">
        <f>_xlfn.IFNA(VLOOKUP($A50,'Post 16'!$A:$V,21,FALSE),0)/4</f>
        <v>0</v>
      </c>
      <c r="S50" s="302">
        <f>VLOOKUP($A50,EY!A:Q,15,FALSE)*80%</f>
        <v>1283.578947368421</v>
      </c>
      <c r="T50" s="302">
        <f>_xlfn.IFNA((VLOOKUP($A50,HN!$A:$K,9,FALSE)/12),0)+_xlfn.IFNA((VLOOKUP($A50,HN!$A:$K,10,FALSE)/12),0)</f>
        <v>0</v>
      </c>
      <c r="U50" s="302">
        <f>_xlfn.IFNA((VLOOKUP($A50,HN!$A:$BS,15,FALSE)/12),0)</f>
        <v>0</v>
      </c>
      <c r="V50" s="301">
        <f t="shared" si="8"/>
        <v>0</v>
      </c>
      <c r="W50" s="301">
        <f t="shared" si="9"/>
        <v>0</v>
      </c>
      <c r="X50" s="302"/>
      <c r="Y50" s="302">
        <f>_xlfn.IFNA(VLOOKUP($A50,'Cash Advances'!$A:$S,8,FALSE),0)</f>
        <v>0</v>
      </c>
      <c r="Z50" s="301">
        <f t="shared" si="54"/>
        <v>432086.08343583386</v>
      </c>
      <c r="AA50" s="315">
        <f t="shared" si="10"/>
        <v>0</v>
      </c>
      <c r="AB50" s="315"/>
      <c r="AC50" s="316"/>
      <c r="AD50" s="316">
        <f>_xlfn.IFNA((VLOOKUP($A50,HN!$A:$K,8,FALSE)/12),0)</f>
        <v>0</v>
      </c>
      <c r="AE50" s="316">
        <f>_xlfn.IFNA((VLOOKUP($A50,HN!$A:$BS,14,FALSE)/12),0)</f>
        <v>0</v>
      </c>
      <c r="AF50" s="316">
        <f>_xlfn.IFNA(VLOOKUP($A50,'Post 16'!$A:$V,21,FALSE),0)/4</f>
        <v>0</v>
      </c>
      <c r="AG50" s="316"/>
      <c r="AH50" s="316">
        <f>_xlfn.IFNA((VLOOKUP($A50,HN!$A:$K,9,FALSE)/12),0)+_xlfn.IFNA((VLOOKUP($A50,HN!$A:$K,10,FALSE)/12),0)</f>
        <v>0</v>
      </c>
      <c r="AI50" s="316">
        <f>_xlfn.IFNA((VLOOKUP($A50,HN!$A:$BS,15,FALSE)/12),0)</f>
        <v>0</v>
      </c>
      <c r="AJ50" s="315">
        <f t="shared" si="11"/>
        <v>0</v>
      </c>
      <c r="AK50" s="315">
        <f t="shared" si="12"/>
        <v>0</v>
      </c>
      <c r="AL50" s="316"/>
      <c r="AM50" s="316">
        <f>_xlfn.IFNA(VLOOKUP($A50,'Cash Advances'!$A:$S,9,FALSE),0)</f>
        <v>0</v>
      </c>
      <c r="AN50" s="315">
        <f t="shared" si="55"/>
        <v>0</v>
      </c>
      <c r="AO50" s="308">
        <f t="shared" si="13"/>
        <v>0</v>
      </c>
      <c r="AP50" s="308"/>
      <c r="AQ50" s="309"/>
      <c r="AR50" s="309">
        <f>_xlfn.IFNA((VLOOKUP($A50,HN!$A:$K,8,FALSE)/12),0)</f>
        <v>0</v>
      </c>
      <c r="AS50" s="309">
        <f>_xlfn.IFNA((VLOOKUP($A50,HN!$A:$BS,14,FALSE)/12),0)</f>
        <v>0</v>
      </c>
      <c r="AT50" s="309">
        <f>_xlfn.IFNA(VLOOKUP($A50,'Post 16'!$A:$V,21,FALSE),0)/4</f>
        <v>0</v>
      </c>
      <c r="AU50" s="309"/>
      <c r="AV50" s="309">
        <f>_xlfn.IFNA((VLOOKUP($A50,HN!$A:$K,9,FALSE)/12),0)+_xlfn.IFNA((VLOOKUP($A50,HN!$A:$K,10,FALSE)/12),0)+_xlfn.IFNA(VLOOKUP(A50,HN!A:V,19,FALSE),0)+_xlfn.IFNA(VLOOKUP(A50,HN!A:V,20,FALSE),0)+_xlfn.IFNA(VLOOKUP(A50,HN!A:V,21,FALSE),0)</f>
        <v>0</v>
      </c>
      <c r="AW50" s="309">
        <f>_xlfn.IFNA((VLOOKUP($A50,HN!$A:$BS,15,FALSE)/12),0)</f>
        <v>0</v>
      </c>
      <c r="AX50" s="308">
        <f t="shared" si="14"/>
        <v>0</v>
      </c>
      <c r="AY50" s="308">
        <f t="shared" si="15"/>
        <v>0</v>
      </c>
      <c r="AZ50" s="309"/>
      <c r="BA50" s="309">
        <f>_xlfn.IFNA(VLOOKUP($A50,'Cash Advances'!$A:$S,10,FALSE),0)</f>
        <v>0</v>
      </c>
      <c r="BB50" s="308">
        <f t="shared" si="56"/>
        <v>0</v>
      </c>
      <c r="BC50" s="330">
        <f t="shared" si="16"/>
        <v>0</v>
      </c>
      <c r="BD50" s="330"/>
      <c r="BE50" s="331"/>
      <c r="BF50" s="331">
        <f>_xlfn.IFNA((VLOOKUP($A50,HN!$A:$K,8,FALSE)/12),0)</f>
        <v>0</v>
      </c>
      <c r="BG50" s="331">
        <f>_xlfn.IFNA((VLOOKUP($A50,HN!$A:$BS,14,FALSE)/12),0)</f>
        <v>0</v>
      </c>
      <c r="BH50" s="331">
        <f>_xlfn.IFNA(VLOOKUP($A50,'Post 16'!$A:$V,21,FALSE),0)/4</f>
        <v>0</v>
      </c>
      <c r="BI50" s="331"/>
      <c r="BJ50" s="331">
        <f>_xlfn.IFNA((VLOOKUP($A50,HN!$A:$K,9,FALSE)/12),0)+_xlfn.IFNA((VLOOKUP($A50,HN!$A:$K,10,FALSE)/12),0)</f>
        <v>0</v>
      </c>
      <c r="BK50" s="331">
        <f>_xlfn.IFNA((VLOOKUP($A50,HN!$A:$BS,15,FALSE)/12),0)</f>
        <v>0</v>
      </c>
      <c r="BL50" s="330">
        <f t="shared" si="17"/>
        <v>0</v>
      </c>
      <c r="BM50" s="330">
        <f t="shared" si="18"/>
        <v>0</v>
      </c>
      <c r="BN50" s="331"/>
      <c r="BO50" s="331">
        <f>_xlfn.IFNA(VLOOKUP(A50,'Cash Advances'!A:K,11,FALSE),0)</f>
        <v>0</v>
      </c>
      <c r="BP50" s="330">
        <f t="shared" si="57"/>
        <v>0</v>
      </c>
      <c r="BQ50" s="322">
        <f t="shared" si="19"/>
        <v>0</v>
      </c>
      <c r="BR50" s="322"/>
      <c r="BS50" s="323"/>
      <c r="BT50" s="323">
        <f>_xlfn.IFNA((VLOOKUP($A50,HN!$A:$K,8,FALSE)/12),0)</f>
        <v>0</v>
      </c>
      <c r="BU50" s="323">
        <f>_xlfn.IFNA((VLOOKUP($A50,HN!$A:$BS,14,FALSE)/12),0)</f>
        <v>0</v>
      </c>
      <c r="BV50" s="323">
        <f>(_xlfn.IFNA(VLOOKUP($A50,'Post 16'!$A:$AV,32,FALSE),0)/8)+_xlfn.IFNA(VLOOKUP($A50,'Post 16'!$A:$AR,40,FALSE),0)</f>
        <v>0</v>
      </c>
      <c r="BW50" s="323"/>
      <c r="BX50" s="323">
        <f>_xlfn.IFNA((VLOOKUP($A50,HN!$A:$K,9,FALSE)/12),0)+_xlfn.IFNA((VLOOKUP($A50,HN!$A:$K,10,FALSE)/12),0)</f>
        <v>0</v>
      </c>
      <c r="BY50" s="323">
        <f>_xlfn.IFNA((VLOOKUP($A50,HN!$A:$BS,15,FALSE)/12),0)</f>
        <v>0</v>
      </c>
      <c r="BZ50" s="322">
        <f t="shared" si="20"/>
        <v>0</v>
      </c>
      <c r="CA50" s="322">
        <f t="shared" si="21"/>
        <v>0</v>
      </c>
      <c r="CB50" s="323"/>
      <c r="CC50" s="323"/>
      <c r="CD50" s="322">
        <f t="shared" si="58"/>
        <v>0</v>
      </c>
      <c r="CE50" s="357">
        <f t="shared" si="22"/>
        <v>0</v>
      </c>
      <c r="CF50" s="357">
        <f>(VLOOKUP($A50,EY!$A:$BS,26,FALSE)-(VLOOKUP($A50,EY!A:CR,24,FALSE)*80%))+VLOOKUP($A50,EY!$A:$BS,42,FALSE)+(VLOOKUP($A50,EY!A:CC,74,FALSE)-VLOOKUP($A50,EY!A:CC,72,FALSE))</f>
        <v>174194.09680776572</v>
      </c>
      <c r="CG50" s="358"/>
      <c r="CH50" s="358">
        <f>_xlfn.IFNA((VLOOKUP($A50,HN!$A:$K,8,FALSE)/12),0)</f>
        <v>0</v>
      </c>
      <c r="CI50" s="358">
        <f>_xlfn.IFNA((VLOOKUP($A50,HN!$A:$BS,14,FALSE)/12),0)</f>
        <v>0</v>
      </c>
      <c r="CJ50" s="358">
        <f>(_xlfn.IFNA(VLOOKUP($A50,'Post 16'!$A:$AV,32,FALSE),0)/8)</f>
        <v>0</v>
      </c>
      <c r="CK50" s="358">
        <f>(VLOOKUP($A50,EY!A:CR,24,FALSE)*80%)+VLOOKUP($A50,EY!A:CC,72,FALSE)</f>
        <v>1091.0184210526315</v>
      </c>
      <c r="CL50" s="358">
        <f>_xlfn.IFNA((VLOOKUP($A50,HN!$A:$K,9,FALSE)/12),0)+_xlfn.IFNA((VLOOKUP($A50,HN!$A:$K,10,FALSE)/12),0)</f>
        <v>0</v>
      </c>
      <c r="CM50" s="358">
        <f>_xlfn.IFNA((VLOOKUP($A50,HN!$A:$BS,15,FALSE)/12),0)</f>
        <v>0</v>
      </c>
      <c r="CN50" s="357">
        <f t="shared" si="23"/>
        <v>0</v>
      </c>
      <c r="CO50" s="357">
        <f t="shared" si="24"/>
        <v>0</v>
      </c>
      <c r="CP50" s="358">
        <f>_xlfn.IFNA(VLOOKUP(A50,'LA Deductions'!A:W,23,FALSE),0)</f>
        <v>-3291.75</v>
      </c>
      <c r="CQ50" s="358">
        <f>_xlfn.IFNA(VLOOKUP($A50,'Cash Advances'!$A:$S,13,FALSE),0)</f>
        <v>0</v>
      </c>
      <c r="CR50" s="358">
        <f>_xlfn.IFNA(VLOOKUP(A50,'LA Deductions'!A:AZ,25,FALSE),0)/9*3</f>
        <v>0</v>
      </c>
      <c r="CS50" s="357">
        <f t="shared" si="25"/>
        <v>171993.36522881835</v>
      </c>
      <c r="CT50" s="337">
        <f t="shared" si="26"/>
        <v>0</v>
      </c>
      <c r="CU50" s="337"/>
      <c r="CV50" s="338">
        <f>_xlfn.IFNA(VLOOKUP(A50,'LA Deductions'!$A$6:$AN$207,34,FALSE),0)</f>
        <v>0</v>
      </c>
      <c r="CW50" s="338">
        <f>_xlfn.IFNA((VLOOKUP($A50,HN!$A:$K,8,FALSE)/12),0)</f>
        <v>0</v>
      </c>
      <c r="CX50" s="338">
        <f>_xlfn.IFNA((VLOOKUP($A50,HN!$A:$BS,14,FALSE)/12),0)</f>
        <v>0</v>
      </c>
      <c r="CY50" s="338">
        <f>_xlfn.IFNA(VLOOKUP($A50,'Post 16'!$A:$AV,32,FALSE),0)/8</f>
        <v>0</v>
      </c>
      <c r="CZ50" s="338"/>
      <c r="DA50" s="338">
        <f>_xlfn.IFNA((VLOOKUP($A50,HN!$A:$K,9,FALSE)/12),0)+_xlfn.IFNA((VLOOKUP($A50,HN!$A:$K,10,FALSE)/12),0)</f>
        <v>0</v>
      </c>
      <c r="DB50" s="338">
        <f>_xlfn.IFNA((VLOOKUP($A50,HN!$A:$BS,15,FALSE)/12),0)</f>
        <v>0</v>
      </c>
      <c r="DC50" s="337">
        <f t="shared" si="27"/>
        <v>0</v>
      </c>
      <c r="DD50" s="337">
        <f t="shared" si="28"/>
        <v>0</v>
      </c>
      <c r="DE50" s="338"/>
      <c r="DF50" s="338">
        <f>_xlfn.IFNA(VLOOKUP($A50,'Cash Advances'!$A:$S,14,FALSE),0)</f>
        <v>0</v>
      </c>
      <c r="DG50" s="338">
        <f>(_xlfn.IFNA(VLOOKUP(A50,'LA Deductions'!A:AZ,25,FALSE),0)/9)+(_xlfn.IFNA(VLOOKUP(A50,'LA Deductions'!A:AZ,26,FALSE),0))</f>
        <v>0</v>
      </c>
      <c r="DH50" s="337">
        <f t="shared" si="29"/>
        <v>0</v>
      </c>
      <c r="DI50" s="330">
        <f t="shared" si="30"/>
        <v>0</v>
      </c>
      <c r="DJ50" s="330"/>
      <c r="DK50" s="331"/>
      <c r="DL50" s="331">
        <f>_xlfn.IFNA((VLOOKUP($A50,HN!$A:$K,8,FALSE)/12),0)+_xlfn.IFNA((VLOOKUP($A50,HN!$A:$AF,32,FALSE)*8/12),0)</f>
        <v>0</v>
      </c>
      <c r="DM50" s="331">
        <f>_xlfn.IFNA((VLOOKUP($A50,HN!$A:$BS,14,FALSE)/12),0)+_xlfn.IFNA(VLOOKUP($A50,HN!$A:$BS,31,FALSE),0)</f>
        <v>0</v>
      </c>
      <c r="DN50" s="331">
        <f>_xlfn.IFNA(VLOOKUP($A50,'Post 16'!$A:$AV,32,FALSE),0)/8</f>
        <v>0</v>
      </c>
      <c r="DO50" s="331"/>
      <c r="DP50" s="331">
        <f>_xlfn.IFNA((VLOOKUP($A50,HN!$A:$K,9,FALSE)/12),0)+_xlfn.IFNA((VLOOKUP($A50,HN!$A:$K,10,FALSE)/12),0)+_xlfn.IFNA((VLOOKUP($A50,HN!$A:$BZ,33,FALSE)*8/12),0)</f>
        <v>0</v>
      </c>
      <c r="DQ50" s="331">
        <f>_xlfn.IFNA((VLOOKUP($A50,HN!$A:$BS,15,FALSE)/12),0)</f>
        <v>0</v>
      </c>
      <c r="DR50" s="330">
        <f t="shared" si="31"/>
        <v>0</v>
      </c>
      <c r="DS50" s="330">
        <f t="shared" si="32"/>
        <v>0</v>
      </c>
      <c r="DT50" s="331"/>
      <c r="DU50" s="331"/>
      <c r="DV50" s="331">
        <f>(_xlfn.IFNA(VLOOKUP(A50,'LA Deductions'!A:AZ,25,FALSE),0)/9)+_xlfn.IFNA(VLOOKUP(A50,'LA Deductions'!A:AZ,27,FALSE),0)</f>
        <v>0</v>
      </c>
      <c r="DW50" s="330">
        <f t="shared" si="33"/>
        <v>0</v>
      </c>
      <c r="DX50" s="344">
        <f t="shared" si="34"/>
        <v>0</v>
      </c>
      <c r="DY50" s="344"/>
      <c r="DZ50" s="345"/>
      <c r="EA50" s="345">
        <f>_xlfn.IFNA((VLOOKUP($A50,HN!$A:$K,8,FALSE)/12),0)+_xlfn.IFNA((VLOOKUP($A50,HN!$A:$AF,32,FALSE)*1/12),0)</f>
        <v>0</v>
      </c>
      <c r="EB50" s="345">
        <f>_xlfn.IFNA((VLOOKUP($A50,HN!$A:$BS,14,FALSE)/12),0)</f>
        <v>0</v>
      </c>
      <c r="EC50" s="345">
        <f>_xlfn.IFNA(VLOOKUP($A50,'Post 16'!$A:$AV,32,FALSE),0)/8</f>
        <v>0</v>
      </c>
      <c r="ED50" s="345"/>
      <c r="EE50" s="345">
        <f>_xlfn.IFNA((VLOOKUP($A50,HN!$A:$K,9,FALSE)/12),0)+_xlfn.IFNA((VLOOKUP($A50,HN!$A:$K,10,FALSE)/12),0)+_xlfn.IFNA((VLOOKUP($A50,HN!$A:$BZ,33,FALSE)/12),0)</f>
        <v>0</v>
      </c>
      <c r="EF50" s="345">
        <f>_xlfn.IFNA((VLOOKUP($A50,HN!$A:$BS,15,FALSE)/12),0)</f>
        <v>0</v>
      </c>
      <c r="EG50" s="344">
        <f t="shared" si="35"/>
        <v>0</v>
      </c>
      <c r="EH50" s="344">
        <f t="shared" si="36"/>
        <v>0</v>
      </c>
      <c r="EI50" s="345"/>
      <c r="EJ50" s="345">
        <f>_xlfn.IFNA(VLOOKUP(A50,'Cash Advances'!A:P,16,FALSE),0)</f>
        <v>0</v>
      </c>
      <c r="EK50" s="345">
        <f>_xlfn.IFNA(VLOOKUP(A50,'LA Deductions'!A:AZ,25,FALSE),0)/9</f>
        <v>0</v>
      </c>
      <c r="EL50" s="344">
        <f t="shared" si="37"/>
        <v>0</v>
      </c>
      <c r="EM50" s="308">
        <f t="shared" si="38"/>
        <v>0</v>
      </c>
      <c r="EN50" s="308">
        <f>((VLOOKUP($A50,EY!$A:$BS,35,FALSE)-(VLOOKUP($A50,EY!$A:$BS,33,FALSE)*80%))+VLOOKUP($A50,EY!$A:$BS,43,FALSE))+(VLOOKUP(A50,EY!A:DF,110,FALSE)-VLOOKUP(A50,EY!A:DD,108,FALSE))+(VLOOKUP(A50,EY!A:CE,83,FALSE)-VLOOKUP(A50,EY!A:CC,81,FALSE))</f>
        <v>134355.06240997234</v>
      </c>
      <c r="EO50" s="309"/>
      <c r="EP50" s="309">
        <f>_xlfn.IFNA((VLOOKUP($A50,HN!$A:$K,8,FALSE)/12),0)+_xlfn.IFNA((VLOOKUP($A50,HN!$A:$AF,32,FALSE)*1/12),0)</f>
        <v>0</v>
      </c>
      <c r="EQ50" s="309">
        <f>_xlfn.IFNA((VLOOKUP($A50,HN!$A:$BS,14,FALSE)/12),0)+_xlfn.IFNA((VLOOKUP($A50,HN!$A:$BS,34,FALSE)/3),0)</f>
        <v>0</v>
      </c>
      <c r="ER50" s="309">
        <f>_xlfn.IFNA(VLOOKUP($A50,'Post 16'!$A:$AV,32,FALSE),0)/8</f>
        <v>0</v>
      </c>
      <c r="ES50" s="309">
        <f>((VLOOKUP($A50,EY!A:EV,33,FALSE)*80%))+VLOOKUP(A50,EY!A:DD,108,FALSE)+VLOOKUP(A50,EY!A:CC,81,FALSE)</f>
        <v>4939.7239612188368</v>
      </c>
      <c r="ET50" s="309">
        <f>_xlfn.IFNA((VLOOKUP($A50,HN!$A:$K,9,FALSE)/12),0)+_xlfn.IFNA((VLOOKUP($A50,HN!$A:$K,10,FALSE)/12),0)+_xlfn.IFNA((VLOOKUP($A50,HN!$A:$BZ,33,FALSE)/12),0)</f>
        <v>0</v>
      </c>
      <c r="EU50" s="309">
        <f>_xlfn.IFNA((VLOOKUP($A50,HN!$A:$BS,15,FALSE)/12),0)</f>
        <v>0</v>
      </c>
      <c r="EV50" s="308">
        <f t="shared" si="39"/>
        <v>0</v>
      </c>
      <c r="EW50" s="308">
        <f t="shared" si="40"/>
        <v>0</v>
      </c>
      <c r="EX50" s="309"/>
      <c r="EY50" s="309">
        <f>_xlfn.IFNA(VLOOKUP($A50,'Cash Advances'!$A:$S,17,FALSE),0)</f>
        <v>0</v>
      </c>
      <c r="EZ50" s="309">
        <f>_xlfn.IFNA(VLOOKUP(A50,'LA Deductions'!A:AZ,25,FALSE),0)/9</f>
        <v>0</v>
      </c>
      <c r="FA50" s="308">
        <f t="shared" si="41"/>
        <v>139294.78637119118</v>
      </c>
      <c r="FB50" s="315">
        <f t="shared" si="42"/>
        <v>0</v>
      </c>
      <c r="FC50" s="315"/>
      <c r="FD50" s="316"/>
      <c r="FE50" s="316">
        <f>_xlfn.IFNA((VLOOKUP($A50,HN!$A:$K,8,FALSE)/12),0)+_xlfn.IFNA((VLOOKUP($A50,HN!$A:$AF,32,FALSE)*1/12),0)</f>
        <v>0</v>
      </c>
      <c r="FF50" s="316">
        <f>_xlfn.IFNA((VLOOKUP($A50,HN!$A:$BS,14,FALSE)/12),0)+_xlfn.IFNA((VLOOKUP($A50,HN!$A:$BS,34,FALSE)/3),0)</f>
        <v>0</v>
      </c>
      <c r="FG50" s="316">
        <f>_xlfn.IFNA(VLOOKUP($A50,'Post 16'!$A:$AV,32,FALSE),0)/8</f>
        <v>0</v>
      </c>
      <c r="FH50" s="316"/>
      <c r="FI50" s="316">
        <f>_xlfn.IFNA((VLOOKUP($A50,HN!$A:$K,9,FALSE)/12),0)+_xlfn.IFNA((VLOOKUP($A50,HN!$A:$K,10,FALSE)/12),0)+_xlfn.IFNA((VLOOKUP($A50,HN!$A:$BZ,33,FALSE)/12),0)+_xlfn.IFNA((VLOOKUP($A50,HN!$A:$BZ,35,FALSE)/2),0)</f>
        <v>0</v>
      </c>
      <c r="FJ50" s="316">
        <f>_xlfn.IFNA((VLOOKUP($A50,HN!$A:$BS,15,FALSE)/12),0)+_xlfn.IFNA((VLOOKUP($A50,HN!$A:$CZ,36,FALSE)/2),0)</f>
        <v>0</v>
      </c>
      <c r="FK50" s="315">
        <f t="shared" si="43"/>
        <v>0</v>
      </c>
      <c r="FL50" s="315">
        <f t="shared" si="44"/>
        <v>0</v>
      </c>
      <c r="FM50" s="316"/>
      <c r="FN50" s="316">
        <f>_xlfn.IFNA(VLOOKUP($A50,'Cash Advances'!$A:$S,18,FALSE),0)</f>
        <v>0</v>
      </c>
      <c r="FO50" s="316">
        <f>_xlfn.IFNA(VLOOKUP(A50,'LA Deductions'!A:AZ,25,FALSE),0)/9</f>
        <v>0</v>
      </c>
      <c r="FP50" s="315">
        <f t="shared" si="45"/>
        <v>0</v>
      </c>
      <c r="FQ50" s="322">
        <f t="shared" si="46"/>
        <v>0</v>
      </c>
      <c r="FR50" s="322"/>
      <c r="FS50" s="323"/>
      <c r="FT50" s="323">
        <f>_xlfn.IFNA((VLOOKUP($A50,HN!$A:$K,8,FALSE)/12),0)+_xlfn.IFNA((VLOOKUP($A50,HN!$A:$AF,32,FALSE)*1/12),0)</f>
        <v>0</v>
      </c>
      <c r="FU50" s="323">
        <f>_xlfn.IFNA((VLOOKUP($A50,HN!$A:$BS,14,FALSE)/12),0)+_xlfn.IFNA((VLOOKUP($A50,HN!$A:$BS,34,FALSE)/3),0)</f>
        <v>0</v>
      </c>
      <c r="FV50" s="323">
        <f>_xlfn.IFNA(VLOOKUP($A50,'Post 16'!$A:$AV,32,FALSE),0)/8</f>
        <v>0</v>
      </c>
      <c r="FW50" s="323"/>
      <c r="FX50" s="323">
        <f>_xlfn.IFNA((VLOOKUP($A50,HN!$A:$K,9,FALSE)/12),0)+_xlfn.IFNA((VLOOKUP($A50,HN!$A:$K,10,FALSE)/12),0)+_xlfn.IFNA((VLOOKUP($A50,HN!$A:$BZ,33,FALSE)/12),0)+_xlfn.IFNA((VLOOKUP($A50,HN!$A:$BZ,35,FALSE)/2),0)</f>
        <v>0</v>
      </c>
      <c r="FY50" s="323">
        <f>_xlfn.IFNA((VLOOKUP($A50,HN!$A:$BS,15,FALSE)/12),0)+_xlfn.IFNA((VLOOKUP($A50,HN!$A:$CZ,36,FALSE)/2),0)</f>
        <v>0</v>
      </c>
      <c r="FZ50" s="322">
        <f t="shared" si="47"/>
        <v>0</v>
      </c>
      <c r="GA50" s="322">
        <f t="shared" si="48"/>
        <v>0</v>
      </c>
      <c r="GB50" s="323"/>
      <c r="GC50" s="323"/>
      <c r="GD50" s="323">
        <f>_xlfn.IFNA(VLOOKUP(A50,'LA Deductions'!A:AZ,25,FALSE),0)/9</f>
        <v>0</v>
      </c>
      <c r="GE50" s="322">
        <f t="shared" si="49"/>
        <v>0</v>
      </c>
      <c r="GG50" s="146">
        <f t="shared" si="61"/>
        <v>739351.66370620346</v>
      </c>
      <c r="GH50" s="146">
        <f t="shared" si="61"/>
        <v>0</v>
      </c>
      <c r="GI50" s="146">
        <f t="shared" si="61"/>
        <v>7314.3213296398899</v>
      </c>
      <c r="GJ50" s="146">
        <f t="shared" si="61"/>
        <v>0</v>
      </c>
      <c r="GK50" s="146">
        <f t="shared" si="61"/>
        <v>0</v>
      </c>
      <c r="GL50" s="146">
        <f t="shared" si="61"/>
        <v>-3291.75</v>
      </c>
      <c r="GN50" s="146">
        <f t="shared" si="62"/>
        <v>739351.66370620346</v>
      </c>
      <c r="GO50" s="146">
        <f t="shared" si="62"/>
        <v>0</v>
      </c>
      <c r="GP50" s="146">
        <f t="shared" si="62"/>
        <v>7314.3213296398899</v>
      </c>
      <c r="GQ50" s="146">
        <f t="shared" si="62"/>
        <v>0</v>
      </c>
      <c r="GR50" s="146">
        <f t="shared" si="62"/>
        <v>0</v>
      </c>
      <c r="GS50" s="146">
        <f t="shared" si="62"/>
        <v>-3291.75</v>
      </c>
      <c r="GU50" s="146"/>
      <c r="GV50" s="57"/>
    </row>
    <row r="51" spans="1:204">
      <c r="A51" s="185">
        <v>2294</v>
      </c>
      <c r="B51" s="185">
        <v>103318</v>
      </c>
      <c r="C51" s="185" t="s">
        <v>122</v>
      </c>
      <c r="D51" s="2" t="s">
        <v>123</v>
      </c>
      <c r="E51" s="191" t="s">
        <v>32</v>
      </c>
      <c r="F51" s="191" t="s">
        <v>912</v>
      </c>
      <c r="H51" s="279">
        <f>_xlfn.IFNA(VLOOKUP($A51,ISB!$A$4:$BY$454,67,FALSE),0)</f>
        <v>2493444.5930000003</v>
      </c>
      <c r="I51" s="279">
        <f>_xlfn.IFNA(VLOOKUP($A51,ISB!$A$4:$BY$454,72,FALSE),0)</f>
        <v>-10953.599999999999</v>
      </c>
      <c r="J51" s="279">
        <f>-_xlfn.IFNA(VLOOKUP($A51,ISB!$A$4:$BY$454,76,FALSE),0)</f>
        <v>-28089.83</v>
      </c>
      <c r="K51" s="279">
        <f>_xlfn.IFNA(VLOOKUP($A51,ISB!$A$4:$BY$454,77,FALSE),0)</f>
        <v>2454401.1630000002</v>
      </c>
      <c r="M51" s="301">
        <f t="shared" si="7"/>
        <v>207787.0494166667</v>
      </c>
      <c r="N51" s="301">
        <f>VLOOKUP($A51,EY!$A:$H,8,FALSE)+(VLOOKUP($A51,EY!$A:$BS,17,FALSE)-S51)+VLOOKUP($A51,EY!$A:$BS,41,FALSE)</f>
        <v>0</v>
      </c>
      <c r="O51" s="302"/>
      <c r="P51" s="302">
        <f>_xlfn.IFNA((VLOOKUP($A51,HN!$A:$K,8,FALSE)/12),0)</f>
        <v>0</v>
      </c>
      <c r="Q51" s="302">
        <f>_xlfn.IFNA((VLOOKUP($A51,HN!$A:$BS,14,FALSE)/12),0)</f>
        <v>0</v>
      </c>
      <c r="R51" s="302">
        <f>_xlfn.IFNA(VLOOKUP($A51,'Post 16'!$A:$V,21,FALSE),0)/4</f>
        <v>0</v>
      </c>
      <c r="S51" s="302">
        <f>VLOOKUP($A51,EY!A:Q,15,FALSE)*80%</f>
        <v>0</v>
      </c>
      <c r="T51" s="302">
        <f>_xlfn.IFNA((VLOOKUP($A51,HN!$A:$K,9,FALSE)/12),0)+_xlfn.IFNA((VLOOKUP($A51,HN!$A:$K,10,FALSE)/12),0)</f>
        <v>0</v>
      </c>
      <c r="U51" s="302">
        <f>_xlfn.IFNA((VLOOKUP($A51,HN!$A:$BS,15,FALSE)/12),0)</f>
        <v>0</v>
      </c>
      <c r="V51" s="301">
        <f t="shared" si="8"/>
        <v>-912.79999999999984</v>
      </c>
      <c r="W51" s="301">
        <f t="shared" si="9"/>
        <v>-2340.8191666666667</v>
      </c>
      <c r="X51" s="302"/>
      <c r="Y51" s="302">
        <f>_xlfn.IFNA(VLOOKUP($A51,'Cash Advances'!$A:$S,8,FALSE),0)</f>
        <v>0</v>
      </c>
      <c r="Z51" s="301">
        <f t="shared" si="54"/>
        <v>204533.43025000006</v>
      </c>
      <c r="AA51" s="315">
        <f t="shared" si="10"/>
        <v>207787.0494166667</v>
      </c>
      <c r="AB51" s="315"/>
      <c r="AC51" s="316"/>
      <c r="AD51" s="316">
        <f>_xlfn.IFNA((VLOOKUP($A51,HN!$A:$K,8,FALSE)/12),0)</f>
        <v>0</v>
      </c>
      <c r="AE51" s="316">
        <f>_xlfn.IFNA((VLOOKUP($A51,HN!$A:$BS,14,FALSE)/12),0)</f>
        <v>0</v>
      </c>
      <c r="AF51" s="316">
        <f>_xlfn.IFNA(VLOOKUP($A51,'Post 16'!$A:$V,21,FALSE),0)/4</f>
        <v>0</v>
      </c>
      <c r="AG51" s="316"/>
      <c r="AH51" s="316">
        <f>_xlfn.IFNA((VLOOKUP($A51,HN!$A:$K,9,FALSE)/12),0)+_xlfn.IFNA((VLOOKUP($A51,HN!$A:$K,10,FALSE)/12),0)</f>
        <v>0</v>
      </c>
      <c r="AI51" s="316">
        <f>_xlfn.IFNA((VLOOKUP($A51,HN!$A:$BS,15,FALSE)/12),0)</f>
        <v>0</v>
      </c>
      <c r="AJ51" s="315">
        <f t="shared" si="11"/>
        <v>-912.79999999999984</v>
      </c>
      <c r="AK51" s="315">
        <f t="shared" si="12"/>
        <v>-2340.8191666666667</v>
      </c>
      <c r="AL51" s="316"/>
      <c r="AM51" s="316">
        <f>_xlfn.IFNA(VLOOKUP($A51,'Cash Advances'!$A:$S,9,FALSE),0)</f>
        <v>0</v>
      </c>
      <c r="AN51" s="315">
        <f t="shared" si="55"/>
        <v>204533.43025000006</v>
      </c>
      <c r="AO51" s="308">
        <f t="shared" si="13"/>
        <v>207787.0494166667</v>
      </c>
      <c r="AP51" s="308"/>
      <c r="AQ51" s="309"/>
      <c r="AR51" s="309">
        <f>_xlfn.IFNA((VLOOKUP($A51,HN!$A:$K,8,FALSE)/12),0)</f>
        <v>0</v>
      </c>
      <c r="AS51" s="309">
        <f>_xlfn.IFNA((VLOOKUP($A51,HN!$A:$BS,14,FALSE)/12),0)</f>
        <v>0</v>
      </c>
      <c r="AT51" s="309">
        <f>_xlfn.IFNA(VLOOKUP($A51,'Post 16'!$A:$V,21,FALSE),0)/4</f>
        <v>0</v>
      </c>
      <c r="AU51" s="309"/>
      <c r="AV51" s="309">
        <f>_xlfn.IFNA((VLOOKUP($A51,HN!$A:$K,9,FALSE)/12),0)+_xlfn.IFNA((VLOOKUP($A51,HN!$A:$K,10,FALSE)/12),0)+_xlfn.IFNA(VLOOKUP(A51,HN!A:V,19,FALSE),0)+_xlfn.IFNA(VLOOKUP(A51,HN!A:V,20,FALSE),0)+_xlfn.IFNA(VLOOKUP(A51,HN!A:V,21,FALSE),0)</f>
        <v>0</v>
      </c>
      <c r="AW51" s="309">
        <f>_xlfn.IFNA((VLOOKUP($A51,HN!$A:$BS,15,FALSE)/12),0)</f>
        <v>0</v>
      </c>
      <c r="AX51" s="308">
        <f t="shared" si="14"/>
        <v>-912.79999999999984</v>
      </c>
      <c r="AY51" s="308">
        <f t="shared" si="15"/>
        <v>-2340.8191666666667</v>
      </c>
      <c r="AZ51" s="309"/>
      <c r="BA51" s="309">
        <f>_xlfn.IFNA(VLOOKUP($A51,'Cash Advances'!$A:$S,10,FALSE),0)</f>
        <v>0</v>
      </c>
      <c r="BB51" s="308">
        <f t="shared" si="56"/>
        <v>204533.43025000006</v>
      </c>
      <c r="BC51" s="330">
        <f t="shared" si="16"/>
        <v>207787.0494166667</v>
      </c>
      <c r="BD51" s="330"/>
      <c r="BE51" s="331"/>
      <c r="BF51" s="331">
        <f>_xlfn.IFNA((VLOOKUP($A51,HN!$A:$K,8,FALSE)/12),0)</f>
        <v>0</v>
      </c>
      <c r="BG51" s="331">
        <f>_xlfn.IFNA((VLOOKUP($A51,HN!$A:$BS,14,FALSE)/12),0)</f>
        <v>0</v>
      </c>
      <c r="BH51" s="331">
        <f>_xlfn.IFNA(VLOOKUP($A51,'Post 16'!$A:$V,21,FALSE),0)/4</f>
        <v>0</v>
      </c>
      <c r="BI51" s="331"/>
      <c r="BJ51" s="331">
        <f>_xlfn.IFNA((VLOOKUP($A51,HN!$A:$K,9,FALSE)/12),0)+_xlfn.IFNA((VLOOKUP($A51,HN!$A:$K,10,FALSE)/12),0)</f>
        <v>0</v>
      </c>
      <c r="BK51" s="331">
        <f>_xlfn.IFNA((VLOOKUP($A51,HN!$A:$BS,15,FALSE)/12),0)</f>
        <v>0</v>
      </c>
      <c r="BL51" s="330">
        <f t="shared" si="17"/>
        <v>-912.79999999999984</v>
      </c>
      <c r="BM51" s="330">
        <f t="shared" si="18"/>
        <v>-2340.8191666666667</v>
      </c>
      <c r="BN51" s="331"/>
      <c r="BO51" s="331">
        <f>_xlfn.IFNA(VLOOKUP(A51,'Cash Advances'!A:K,11,FALSE),0)</f>
        <v>0</v>
      </c>
      <c r="BP51" s="330">
        <f t="shared" si="57"/>
        <v>204533.43025000006</v>
      </c>
      <c r="BQ51" s="322">
        <f t="shared" si="19"/>
        <v>207787.0494166667</v>
      </c>
      <c r="BR51" s="322"/>
      <c r="BS51" s="323"/>
      <c r="BT51" s="323">
        <f>_xlfn.IFNA((VLOOKUP($A51,HN!$A:$K,8,FALSE)/12),0)</f>
        <v>0</v>
      </c>
      <c r="BU51" s="323">
        <f>_xlfn.IFNA((VLOOKUP($A51,HN!$A:$BS,14,FALSE)/12),0)</f>
        <v>0</v>
      </c>
      <c r="BV51" s="323">
        <f>(_xlfn.IFNA(VLOOKUP($A51,'Post 16'!$A:$AV,32,FALSE),0)/8)+_xlfn.IFNA(VLOOKUP($A51,'Post 16'!$A:$AR,40,FALSE),0)</f>
        <v>0</v>
      </c>
      <c r="BW51" s="323"/>
      <c r="BX51" s="323">
        <f>_xlfn.IFNA((VLOOKUP($A51,HN!$A:$K,9,FALSE)/12),0)+_xlfn.IFNA((VLOOKUP($A51,HN!$A:$K,10,FALSE)/12),0)</f>
        <v>0</v>
      </c>
      <c r="BY51" s="323">
        <f>_xlfn.IFNA((VLOOKUP($A51,HN!$A:$BS,15,FALSE)/12),0)</f>
        <v>0</v>
      </c>
      <c r="BZ51" s="322">
        <f t="shared" si="20"/>
        <v>-912.79999999999984</v>
      </c>
      <c r="CA51" s="322">
        <f t="shared" si="21"/>
        <v>-2340.8191666666667</v>
      </c>
      <c r="CB51" s="323"/>
      <c r="CC51" s="323"/>
      <c r="CD51" s="322">
        <f t="shared" si="58"/>
        <v>204533.43025000006</v>
      </c>
      <c r="CE51" s="357">
        <f t="shared" si="22"/>
        <v>207787.0494166667</v>
      </c>
      <c r="CF51" s="357">
        <f>(VLOOKUP($A51,EY!$A:$BS,26,FALSE)-(VLOOKUP($A51,EY!A:CR,24,FALSE)*80%))+VLOOKUP($A51,EY!$A:$BS,42,FALSE)+(VLOOKUP($A51,EY!A:CC,74,FALSE)-VLOOKUP($A51,EY!A:CC,72,FALSE))</f>
        <v>0</v>
      </c>
      <c r="CG51" s="358"/>
      <c r="CH51" s="358">
        <f>_xlfn.IFNA((VLOOKUP($A51,HN!$A:$K,8,FALSE)/12),0)</f>
        <v>0</v>
      </c>
      <c r="CI51" s="358">
        <f>_xlfn.IFNA((VLOOKUP($A51,HN!$A:$BS,14,FALSE)/12),0)</f>
        <v>0</v>
      </c>
      <c r="CJ51" s="358">
        <f>(_xlfn.IFNA(VLOOKUP($A51,'Post 16'!$A:$AV,32,FALSE),0)/8)</f>
        <v>0</v>
      </c>
      <c r="CK51" s="358">
        <f>(VLOOKUP($A51,EY!A:CR,24,FALSE)*80%)+VLOOKUP($A51,EY!A:CC,72,FALSE)</f>
        <v>0</v>
      </c>
      <c r="CL51" s="358">
        <f>_xlfn.IFNA((VLOOKUP($A51,HN!$A:$K,9,FALSE)/12),0)+_xlfn.IFNA((VLOOKUP($A51,HN!$A:$K,10,FALSE)/12),0)</f>
        <v>0</v>
      </c>
      <c r="CM51" s="358">
        <f>_xlfn.IFNA((VLOOKUP($A51,HN!$A:$BS,15,FALSE)/12),0)</f>
        <v>0</v>
      </c>
      <c r="CN51" s="357">
        <f t="shared" si="23"/>
        <v>-912.79999999999984</v>
      </c>
      <c r="CO51" s="357">
        <f t="shared" si="24"/>
        <v>-2340.8191666666667</v>
      </c>
      <c r="CP51" s="358">
        <f>_xlfn.IFNA(VLOOKUP(A51,'LA Deductions'!A:W,23,FALSE),0)</f>
        <v>-9471</v>
      </c>
      <c r="CQ51" s="358">
        <f>_xlfn.IFNA(VLOOKUP($A51,'Cash Advances'!$A:$S,13,FALSE),0)</f>
        <v>0</v>
      </c>
      <c r="CR51" s="358">
        <f>_xlfn.IFNA(VLOOKUP(A51,'LA Deductions'!A:AZ,25,FALSE),0)/9*3</f>
        <v>0</v>
      </c>
      <c r="CS51" s="357">
        <f t="shared" si="25"/>
        <v>195062.43025000006</v>
      </c>
      <c r="CT51" s="337">
        <f t="shared" si="26"/>
        <v>207787.0494166667</v>
      </c>
      <c r="CU51" s="337"/>
      <c r="CV51" s="338">
        <f>_xlfn.IFNA(VLOOKUP(A51,'LA Deductions'!$A$6:$AN$207,34,FALSE),0)</f>
        <v>-11999.6242</v>
      </c>
      <c r="CW51" s="338">
        <f>_xlfn.IFNA((VLOOKUP($A51,HN!$A:$K,8,FALSE)/12),0)</f>
        <v>0</v>
      </c>
      <c r="CX51" s="338">
        <f>_xlfn.IFNA((VLOOKUP($A51,HN!$A:$BS,14,FALSE)/12),0)</f>
        <v>0</v>
      </c>
      <c r="CY51" s="338">
        <f>_xlfn.IFNA(VLOOKUP($A51,'Post 16'!$A:$AV,32,FALSE),0)/8</f>
        <v>0</v>
      </c>
      <c r="CZ51" s="338"/>
      <c r="DA51" s="338">
        <f>_xlfn.IFNA((VLOOKUP($A51,HN!$A:$K,9,FALSE)/12),0)+_xlfn.IFNA((VLOOKUP($A51,HN!$A:$K,10,FALSE)/12),0)</f>
        <v>0</v>
      </c>
      <c r="DB51" s="338">
        <f>_xlfn.IFNA((VLOOKUP($A51,HN!$A:$BS,15,FALSE)/12),0)</f>
        <v>0</v>
      </c>
      <c r="DC51" s="337">
        <f t="shared" si="27"/>
        <v>-912.79999999999984</v>
      </c>
      <c r="DD51" s="337">
        <f t="shared" si="28"/>
        <v>-2340.8191666666667</v>
      </c>
      <c r="DE51" s="338"/>
      <c r="DF51" s="338">
        <f>_xlfn.IFNA(VLOOKUP($A51,'Cash Advances'!$A:$S,14,FALSE),0)</f>
        <v>0</v>
      </c>
      <c r="DG51" s="338">
        <f>(_xlfn.IFNA(VLOOKUP(A51,'LA Deductions'!A:AZ,25,FALSE),0)/9)+(_xlfn.IFNA(VLOOKUP(A51,'LA Deductions'!A:AZ,26,FALSE),0))</f>
        <v>0</v>
      </c>
      <c r="DH51" s="337">
        <f t="shared" si="29"/>
        <v>192533.80605000007</v>
      </c>
      <c r="DI51" s="330">
        <f t="shared" si="30"/>
        <v>207787.0494166667</v>
      </c>
      <c r="DJ51" s="330"/>
      <c r="DK51" s="331"/>
      <c r="DL51" s="331">
        <f>_xlfn.IFNA((VLOOKUP($A51,HN!$A:$K,8,FALSE)/12),0)+_xlfn.IFNA((VLOOKUP($A51,HN!$A:$AF,32,FALSE)*8/12),0)</f>
        <v>0</v>
      </c>
      <c r="DM51" s="331">
        <f>_xlfn.IFNA((VLOOKUP($A51,HN!$A:$BS,14,FALSE)/12),0)+_xlfn.IFNA(VLOOKUP($A51,HN!$A:$BS,31,FALSE),0)</f>
        <v>0</v>
      </c>
      <c r="DN51" s="331">
        <f>_xlfn.IFNA(VLOOKUP($A51,'Post 16'!$A:$AV,32,FALSE),0)/8</f>
        <v>0</v>
      </c>
      <c r="DO51" s="331"/>
      <c r="DP51" s="331">
        <f>_xlfn.IFNA((VLOOKUP($A51,HN!$A:$K,9,FALSE)/12),0)+_xlfn.IFNA((VLOOKUP($A51,HN!$A:$K,10,FALSE)/12),0)+_xlfn.IFNA((VLOOKUP($A51,HN!$A:$BZ,33,FALSE)*8/12),0)</f>
        <v>0</v>
      </c>
      <c r="DQ51" s="331">
        <f>_xlfn.IFNA((VLOOKUP($A51,HN!$A:$BS,15,FALSE)/12),0)</f>
        <v>0</v>
      </c>
      <c r="DR51" s="330">
        <f t="shared" si="31"/>
        <v>-912.79999999999984</v>
      </c>
      <c r="DS51" s="330">
        <f t="shared" si="32"/>
        <v>-2340.8191666666667</v>
      </c>
      <c r="DT51" s="331"/>
      <c r="DU51" s="331"/>
      <c r="DV51" s="331">
        <f>(_xlfn.IFNA(VLOOKUP(A51,'LA Deductions'!A:AZ,25,FALSE),0)/9)+_xlfn.IFNA(VLOOKUP(A51,'LA Deductions'!A:AZ,27,FALSE),0)</f>
        <v>0</v>
      </c>
      <c r="DW51" s="330">
        <f t="shared" si="33"/>
        <v>204533.43025000006</v>
      </c>
      <c r="DX51" s="344">
        <f t="shared" si="34"/>
        <v>207787.0494166667</v>
      </c>
      <c r="DY51" s="344"/>
      <c r="DZ51" s="345"/>
      <c r="EA51" s="345">
        <f>_xlfn.IFNA((VLOOKUP($A51,HN!$A:$K,8,FALSE)/12),0)+_xlfn.IFNA((VLOOKUP($A51,HN!$A:$AF,32,FALSE)*1/12),0)</f>
        <v>0</v>
      </c>
      <c r="EB51" s="345">
        <f>_xlfn.IFNA((VLOOKUP($A51,HN!$A:$BS,14,FALSE)/12),0)</f>
        <v>0</v>
      </c>
      <c r="EC51" s="345">
        <f>_xlfn.IFNA(VLOOKUP($A51,'Post 16'!$A:$AV,32,FALSE),0)/8</f>
        <v>0</v>
      </c>
      <c r="ED51" s="345"/>
      <c r="EE51" s="345">
        <f>_xlfn.IFNA((VLOOKUP($A51,HN!$A:$K,9,FALSE)/12),0)+_xlfn.IFNA((VLOOKUP($A51,HN!$A:$K,10,FALSE)/12),0)+_xlfn.IFNA((VLOOKUP($A51,HN!$A:$BZ,33,FALSE)/12),0)</f>
        <v>0</v>
      </c>
      <c r="EF51" s="345">
        <f>_xlfn.IFNA((VLOOKUP($A51,HN!$A:$BS,15,FALSE)/12),0)</f>
        <v>0</v>
      </c>
      <c r="EG51" s="344">
        <f t="shared" si="35"/>
        <v>-912.79999999999984</v>
      </c>
      <c r="EH51" s="344">
        <f t="shared" si="36"/>
        <v>-2340.8191666666667</v>
      </c>
      <c r="EI51" s="345"/>
      <c r="EJ51" s="345">
        <f>_xlfn.IFNA(VLOOKUP(A51,'Cash Advances'!A:P,16,FALSE),0)</f>
        <v>0</v>
      </c>
      <c r="EK51" s="345">
        <f>_xlfn.IFNA(VLOOKUP(A51,'LA Deductions'!A:AZ,25,FALSE),0)/9</f>
        <v>0</v>
      </c>
      <c r="EL51" s="344">
        <f t="shared" si="37"/>
        <v>204533.43025000006</v>
      </c>
      <c r="EM51" s="308">
        <f t="shared" si="38"/>
        <v>207787.0494166667</v>
      </c>
      <c r="EN51" s="308">
        <f>((VLOOKUP($A51,EY!$A:$BS,35,FALSE)-(VLOOKUP($A51,EY!$A:$BS,33,FALSE)*80%))+VLOOKUP($A51,EY!$A:$BS,43,FALSE))+(VLOOKUP(A51,EY!A:DF,110,FALSE)-VLOOKUP(A51,EY!A:DD,108,FALSE))+(VLOOKUP(A51,EY!A:CE,83,FALSE)-VLOOKUP(A51,EY!A:CC,81,FALSE))</f>
        <v>0</v>
      </c>
      <c r="EO51" s="309"/>
      <c r="EP51" s="309">
        <f>_xlfn.IFNA((VLOOKUP($A51,HN!$A:$K,8,FALSE)/12),0)+_xlfn.IFNA((VLOOKUP($A51,HN!$A:$AF,32,FALSE)*1/12),0)</f>
        <v>0</v>
      </c>
      <c r="EQ51" s="309">
        <f>_xlfn.IFNA((VLOOKUP($A51,HN!$A:$BS,14,FALSE)/12),0)+_xlfn.IFNA((VLOOKUP($A51,HN!$A:$BS,34,FALSE)/3),0)</f>
        <v>0</v>
      </c>
      <c r="ER51" s="309">
        <f>_xlfn.IFNA(VLOOKUP($A51,'Post 16'!$A:$AV,32,FALSE),0)/8</f>
        <v>0</v>
      </c>
      <c r="ES51" s="309">
        <f>((VLOOKUP($A51,EY!A:EV,33,FALSE)*80%))+VLOOKUP(A51,EY!A:DD,108,FALSE)+VLOOKUP(A51,EY!A:CC,81,FALSE)</f>
        <v>0</v>
      </c>
      <c r="ET51" s="309">
        <f>_xlfn.IFNA((VLOOKUP($A51,HN!$A:$K,9,FALSE)/12),0)+_xlfn.IFNA((VLOOKUP($A51,HN!$A:$K,10,FALSE)/12),0)+_xlfn.IFNA((VLOOKUP($A51,HN!$A:$BZ,33,FALSE)/12),0)</f>
        <v>0</v>
      </c>
      <c r="EU51" s="309">
        <f>_xlfn.IFNA((VLOOKUP($A51,HN!$A:$BS,15,FALSE)/12),0)</f>
        <v>0</v>
      </c>
      <c r="EV51" s="308">
        <f t="shared" si="39"/>
        <v>-912.79999999999984</v>
      </c>
      <c r="EW51" s="308">
        <f t="shared" si="40"/>
        <v>-2340.8191666666667</v>
      </c>
      <c r="EX51" s="309"/>
      <c r="EY51" s="309">
        <f>_xlfn.IFNA(VLOOKUP($A51,'Cash Advances'!$A:$S,17,FALSE),0)</f>
        <v>0</v>
      </c>
      <c r="EZ51" s="309">
        <f>_xlfn.IFNA(VLOOKUP(A51,'LA Deductions'!A:AZ,25,FALSE),0)/9</f>
        <v>0</v>
      </c>
      <c r="FA51" s="308">
        <f t="shared" si="41"/>
        <v>204533.43025000006</v>
      </c>
      <c r="FB51" s="315">
        <f t="shared" si="42"/>
        <v>207787.0494166667</v>
      </c>
      <c r="FC51" s="315"/>
      <c r="FD51" s="316"/>
      <c r="FE51" s="316">
        <f>_xlfn.IFNA((VLOOKUP($A51,HN!$A:$K,8,FALSE)/12),0)+_xlfn.IFNA((VLOOKUP($A51,HN!$A:$AF,32,FALSE)*1/12),0)</f>
        <v>0</v>
      </c>
      <c r="FF51" s="316">
        <f>_xlfn.IFNA((VLOOKUP($A51,HN!$A:$BS,14,FALSE)/12),0)+_xlfn.IFNA((VLOOKUP($A51,HN!$A:$BS,34,FALSE)/3),0)</f>
        <v>0</v>
      </c>
      <c r="FG51" s="316">
        <f>_xlfn.IFNA(VLOOKUP($A51,'Post 16'!$A:$AV,32,FALSE),0)/8</f>
        <v>0</v>
      </c>
      <c r="FH51" s="316"/>
      <c r="FI51" s="316">
        <f>_xlfn.IFNA((VLOOKUP($A51,HN!$A:$K,9,FALSE)/12),0)+_xlfn.IFNA((VLOOKUP($A51,HN!$A:$K,10,FALSE)/12),0)+_xlfn.IFNA((VLOOKUP($A51,HN!$A:$BZ,33,FALSE)/12),0)+_xlfn.IFNA((VLOOKUP($A51,HN!$A:$BZ,35,FALSE)/2),0)</f>
        <v>0</v>
      </c>
      <c r="FJ51" s="316">
        <f>_xlfn.IFNA((VLOOKUP($A51,HN!$A:$BS,15,FALSE)/12),0)+_xlfn.IFNA((VLOOKUP($A51,HN!$A:$CZ,36,FALSE)/2),0)</f>
        <v>0</v>
      </c>
      <c r="FK51" s="315">
        <f t="shared" si="43"/>
        <v>-912.79999999999984</v>
      </c>
      <c r="FL51" s="315">
        <f t="shared" si="44"/>
        <v>-2340.8191666666667</v>
      </c>
      <c r="FM51" s="316"/>
      <c r="FN51" s="316">
        <f>_xlfn.IFNA(VLOOKUP($A51,'Cash Advances'!$A:$S,18,FALSE),0)</f>
        <v>0</v>
      </c>
      <c r="FO51" s="316">
        <f>_xlfn.IFNA(VLOOKUP(A51,'LA Deductions'!A:AZ,25,FALSE),0)/9</f>
        <v>0</v>
      </c>
      <c r="FP51" s="315">
        <f t="shared" si="45"/>
        <v>204533.43025000006</v>
      </c>
      <c r="FQ51" s="322">
        <f t="shared" si="46"/>
        <v>207787.0494166667</v>
      </c>
      <c r="FR51" s="322"/>
      <c r="FS51" s="323"/>
      <c r="FT51" s="323">
        <f>_xlfn.IFNA((VLOOKUP($A51,HN!$A:$K,8,FALSE)/12),0)+_xlfn.IFNA((VLOOKUP($A51,HN!$A:$AF,32,FALSE)*1/12),0)</f>
        <v>0</v>
      </c>
      <c r="FU51" s="323">
        <f>_xlfn.IFNA((VLOOKUP($A51,HN!$A:$BS,14,FALSE)/12),0)+_xlfn.IFNA((VLOOKUP($A51,HN!$A:$BS,34,FALSE)/3),0)</f>
        <v>0</v>
      </c>
      <c r="FV51" s="323">
        <f>_xlfn.IFNA(VLOOKUP($A51,'Post 16'!$A:$AV,32,FALSE),0)/8</f>
        <v>0</v>
      </c>
      <c r="FW51" s="323"/>
      <c r="FX51" s="323">
        <f>_xlfn.IFNA((VLOOKUP($A51,HN!$A:$K,9,FALSE)/12),0)+_xlfn.IFNA((VLOOKUP($A51,HN!$A:$K,10,FALSE)/12),0)+_xlfn.IFNA((VLOOKUP($A51,HN!$A:$BZ,33,FALSE)/12),0)+_xlfn.IFNA((VLOOKUP($A51,HN!$A:$BZ,35,FALSE)/2),0)</f>
        <v>0</v>
      </c>
      <c r="FY51" s="323">
        <f>_xlfn.IFNA((VLOOKUP($A51,HN!$A:$BS,15,FALSE)/12),0)+_xlfn.IFNA((VLOOKUP($A51,HN!$A:$CZ,36,FALSE)/2),0)</f>
        <v>0</v>
      </c>
      <c r="FZ51" s="322">
        <f t="shared" si="47"/>
        <v>-912.79999999999984</v>
      </c>
      <c r="GA51" s="322">
        <f t="shared" si="48"/>
        <v>-2340.8191666666667</v>
      </c>
      <c r="GB51" s="323"/>
      <c r="GC51" s="323"/>
      <c r="GD51" s="323">
        <f>_xlfn.IFNA(VLOOKUP(A51,'LA Deductions'!A:AZ,25,FALSE),0)/9</f>
        <v>0</v>
      </c>
      <c r="GE51" s="322">
        <f t="shared" si="49"/>
        <v>204533.43025000006</v>
      </c>
      <c r="GG51" s="146">
        <f t="shared" si="61"/>
        <v>2481444.9688000004</v>
      </c>
      <c r="GH51" s="146">
        <f t="shared" si="61"/>
        <v>0</v>
      </c>
      <c r="GI51" s="146">
        <f t="shared" si="61"/>
        <v>0</v>
      </c>
      <c r="GJ51" s="146">
        <f t="shared" si="61"/>
        <v>-10953.599999999997</v>
      </c>
      <c r="GK51" s="146">
        <f t="shared" si="61"/>
        <v>-28089.830000000005</v>
      </c>
      <c r="GL51" s="146">
        <f t="shared" si="61"/>
        <v>-9471</v>
      </c>
      <c r="GN51" s="146">
        <f t="shared" si="62"/>
        <v>2481444.9688000004</v>
      </c>
      <c r="GO51" s="146">
        <f t="shared" si="62"/>
        <v>0</v>
      </c>
      <c r="GP51" s="146">
        <f t="shared" si="62"/>
        <v>0</v>
      </c>
      <c r="GQ51" s="146">
        <f t="shared" si="62"/>
        <v>-10953.599999999997</v>
      </c>
      <c r="GR51" s="146">
        <f t="shared" si="62"/>
        <v>-28089.830000000005</v>
      </c>
      <c r="GS51" s="146">
        <f t="shared" si="62"/>
        <v>-9471</v>
      </c>
      <c r="GU51" s="146"/>
      <c r="GV51" s="57"/>
    </row>
    <row r="52" spans="1:204">
      <c r="A52" s="185">
        <v>2486</v>
      </c>
      <c r="B52" s="185">
        <v>133759</v>
      </c>
      <c r="C52" s="185" t="s">
        <v>124</v>
      </c>
      <c r="D52" s="2" t="s">
        <v>125</v>
      </c>
      <c r="E52" s="191" t="s">
        <v>32</v>
      </c>
      <c r="F52" s="191" t="s">
        <v>912</v>
      </c>
      <c r="H52" s="279">
        <f>_xlfn.IFNA(VLOOKUP($A52,ISB!$A$4:$BY$454,67,FALSE),0)</f>
        <v>1343114.9999659897</v>
      </c>
      <c r="I52" s="279">
        <f>_xlfn.IFNA(VLOOKUP($A52,ISB!$A$4:$BY$454,72,FALSE),0)</f>
        <v>-4876.96</v>
      </c>
      <c r="J52" s="279">
        <f>-_xlfn.IFNA(VLOOKUP($A52,ISB!$A$4:$BY$454,76,FALSE),0)</f>
        <v>-14979.66</v>
      </c>
      <c r="K52" s="279">
        <f>_xlfn.IFNA(VLOOKUP($A52,ISB!$A$4:$BY$454,77,FALSE),0)</f>
        <v>1323258.3799659899</v>
      </c>
      <c r="M52" s="301">
        <f t="shared" si="7"/>
        <v>111926.24999716581</v>
      </c>
      <c r="N52" s="301">
        <f>VLOOKUP($A52,EY!$A:$H,8,FALSE)+(VLOOKUP($A52,EY!$A:$BS,17,FALSE)-S52)+VLOOKUP($A52,EY!$A:$BS,41,FALSE)</f>
        <v>19925.031578947368</v>
      </c>
      <c r="O52" s="302"/>
      <c r="P52" s="302">
        <f>_xlfn.IFNA((VLOOKUP($A52,HN!$A:$K,8,FALSE)/12),0)</f>
        <v>0</v>
      </c>
      <c r="Q52" s="302">
        <f>_xlfn.IFNA((VLOOKUP($A52,HN!$A:$BS,14,FALSE)/12),0)</f>
        <v>0</v>
      </c>
      <c r="R52" s="302">
        <f>_xlfn.IFNA(VLOOKUP($A52,'Post 16'!$A:$V,21,FALSE),0)/4</f>
        <v>0</v>
      </c>
      <c r="S52" s="302">
        <f>VLOOKUP($A52,EY!A:Q,15,FALSE)*80%</f>
        <v>0</v>
      </c>
      <c r="T52" s="302">
        <f>_xlfn.IFNA((VLOOKUP($A52,HN!$A:$K,9,FALSE)/12),0)+_xlfn.IFNA((VLOOKUP($A52,HN!$A:$K,10,FALSE)/12),0)</f>
        <v>0</v>
      </c>
      <c r="U52" s="302">
        <f>_xlfn.IFNA((VLOOKUP($A52,HN!$A:$BS,15,FALSE)/12),0)</f>
        <v>0</v>
      </c>
      <c r="V52" s="301">
        <f t="shared" si="8"/>
        <v>-406.41333333333336</v>
      </c>
      <c r="W52" s="301">
        <f t="shared" si="9"/>
        <v>-1248.3050000000001</v>
      </c>
      <c r="X52" s="302"/>
      <c r="Y52" s="302">
        <f>_xlfn.IFNA(VLOOKUP($A52,'Cash Advances'!$A:$S,8,FALSE),0)</f>
        <v>0</v>
      </c>
      <c r="Z52" s="301">
        <f t="shared" si="54"/>
        <v>130196.56324277987</v>
      </c>
      <c r="AA52" s="315">
        <f t="shared" si="10"/>
        <v>111926.24999716581</v>
      </c>
      <c r="AB52" s="315"/>
      <c r="AC52" s="316"/>
      <c r="AD52" s="316">
        <f>_xlfn.IFNA((VLOOKUP($A52,HN!$A:$K,8,FALSE)/12),0)</f>
        <v>0</v>
      </c>
      <c r="AE52" s="316">
        <f>_xlfn.IFNA((VLOOKUP($A52,HN!$A:$BS,14,FALSE)/12),0)</f>
        <v>0</v>
      </c>
      <c r="AF52" s="316">
        <f>_xlfn.IFNA(VLOOKUP($A52,'Post 16'!$A:$V,21,FALSE),0)/4</f>
        <v>0</v>
      </c>
      <c r="AG52" s="316"/>
      <c r="AH52" s="316">
        <f>_xlfn.IFNA((VLOOKUP($A52,HN!$A:$K,9,FALSE)/12),0)+_xlfn.IFNA((VLOOKUP($A52,HN!$A:$K,10,FALSE)/12),0)</f>
        <v>0</v>
      </c>
      <c r="AI52" s="316">
        <f>_xlfn.IFNA((VLOOKUP($A52,HN!$A:$BS,15,FALSE)/12),0)</f>
        <v>0</v>
      </c>
      <c r="AJ52" s="315">
        <f t="shared" si="11"/>
        <v>-406.41333333333336</v>
      </c>
      <c r="AK52" s="315">
        <f t="shared" si="12"/>
        <v>-1248.3050000000001</v>
      </c>
      <c r="AL52" s="316"/>
      <c r="AM52" s="316">
        <f>_xlfn.IFNA(VLOOKUP($A52,'Cash Advances'!$A:$S,9,FALSE),0)</f>
        <v>0</v>
      </c>
      <c r="AN52" s="315">
        <f t="shared" si="55"/>
        <v>110271.53166383249</v>
      </c>
      <c r="AO52" s="308">
        <f t="shared" si="13"/>
        <v>111926.24999716581</v>
      </c>
      <c r="AP52" s="308"/>
      <c r="AQ52" s="309"/>
      <c r="AR52" s="309">
        <f>_xlfn.IFNA((VLOOKUP($A52,HN!$A:$K,8,FALSE)/12),0)</f>
        <v>0</v>
      </c>
      <c r="AS52" s="309">
        <f>_xlfn.IFNA((VLOOKUP($A52,HN!$A:$BS,14,FALSE)/12),0)</f>
        <v>0</v>
      </c>
      <c r="AT52" s="309">
        <f>_xlfn.IFNA(VLOOKUP($A52,'Post 16'!$A:$V,21,FALSE),0)/4</f>
        <v>0</v>
      </c>
      <c r="AU52" s="309"/>
      <c r="AV52" s="309">
        <f>_xlfn.IFNA((VLOOKUP($A52,HN!$A:$K,9,FALSE)/12),0)+_xlfn.IFNA((VLOOKUP($A52,HN!$A:$K,10,FALSE)/12),0)+_xlfn.IFNA(VLOOKUP(A52,HN!A:V,19,FALSE),0)+_xlfn.IFNA(VLOOKUP(A52,HN!A:V,20,FALSE),0)+_xlfn.IFNA(VLOOKUP(A52,HN!A:V,21,FALSE),0)</f>
        <v>0</v>
      </c>
      <c r="AW52" s="309">
        <f>_xlfn.IFNA((VLOOKUP($A52,HN!$A:$BS,15,FALSE)/12),0)</f>
        <v>0</v>
      </c>
      <c r="AX52" s="308">
        <f t="shared" si="14"/>
        <v>-406.41333333333336</v>
      </c>
      <c r="AY52" s="308">
        <f t="shared" si="15"/>
        <v>-1248.3050000000001</v>
      </c>
      <c r="AZ52" s="309"/>
      <c r="BA52" s="309">
        <f>_xlfn.IFNA(VLOOKUP($A52,'Cash Advances'!$A:$S,10,FALSE),0)</f>
        <v>0</v>
      </c>
      <c r="BB52" s="308">
        <f t="shared" si="56"/>
        <v>110271.53166383249</v>
      </c>
      <c r="BC52" s="330">
        <f t="shared" si="16"/>
        <v>111926.24999716581</v>
      </c>
      <c r="BD52" s="330"/>
      <c r="BE52" s="331"/>
      <c r="BF52" s="331">
        <f>_xlfn.IFNA((VLOOKUP($A52,HN!$A:$K,8,FALSE)/12),0)</f>
        <v>0</v>
      </c>
      <c r="BG52" s="331">
        <f>_xlfn.IFNA((VLOOKUP($A52,HN!$A:$BS,14,FALSE)/12),0)</f>
        <v>0</v>
      </c>
      <c r="BH52" s="331">
        <f>_xlfn.IFNA(VLOOKUP($A52,'Post 16'!$A:$V,21,FALSE),0)/4</f>
        <v>0</v>
      </c>
      <c r="BI52" s="331"/>
      <c r="BJ52" s="331">
        <f>_xlfn.IFNA((VLOOKUP($A52,HN!$A:$K,9,FALSE)/12),0)+_xlfn.IFNA((VLOOKUP($A52,HN!$A:$K,10,FALSE)/12),0)</f>
        <v>0</v>
      </c>
      <c r="BK52" s="331">
        <f>_xlfn.IFNA((VLOOKUP($A52,HN!$A:$BS,15,FALSE)/12),0)</f>
        <v>0</v>
      </c>
      <c r="BL52" s="330">
        <f t="shared" si="17"/>
        <v>-406.41333333333336</v>
      </c>
      <c r="BM52" s="330">
        <f t="shared" si="18"/>
        <v>-1248.3050000000001</v>
      </c>
      <c r="BN52" s="331"/>
      <c r="BO52" s="331">
        <f>_xlfn.IFNA(VLOOKUP(A52,'Cash Advances'!A:K,11,FALSE),0)</f>
        <v>0</v>
      </c>
      <c r="BP52" s="330">
        <f t="shared" si="57"/>
        <v>110271.53166383249</v>
      </c>
      <c r="BQ52" s="322">
        <f t="shared" si="19"/>
        <v>111926.24999716581</v>
      </c>
      <c r="BR52" s="322"/>
      <c r="BS52" s="323"/>
      <c r="BT52" s="323">
        <f>_xlfn.IFNA((VLOOKUP($A52,HN!$A:$K,8,FALSE)/12),0)</f>
        <v>0</v>
      </c>
      <c r="BU52" s="323">
        <f>_xlfn.IFNA((VLOOKUP($A52,HN!$A:$BS,14,FALSE)/12),0)</f>
        <v>0</v>
      </c>
      <c r="BV52" s="323">
        <f>(_xlfn.IFNA(VLOOKUP($A52,'Post 16'!$A:$AV,32,FALSE),0)/8)+_xlfn.IFNA(VLOOKUP($A52,'Post 16'!$A:$AR,40,FALSE),0)</f>
        <v>0</v>
      </c>
      <c r="BW52" s="323"/>
      <c r="BX52" s="323">
        <f>_xlfn.IFNA((VLOOKUP($A52,HN!$A:$K,9,FALSE)/12),0)+_xlfn.IFNA((VLOOKUP($A52,HN!$A:$K,10,FALSE)/12),0)</f>
        <v>0</v>
      </c>
      <c r="BY52" s="323">
        <f>_xlfn.IFNA((VLOOKUP($A52,HN!$A:$BS,15,FALSE)/12),0)</f>
        <v>0</v>
      </c>
      <c r="BZ52" s="322">
        <f t="shared" si="20"/>
        <v>-406.41333333333336</v>
      </c>
      <c r="CA52" s="322">
        <f t="shared" si="21"/>
        <v>-1248.3050000000001</v>
      </c>
      <c r="CB52" s="323"/>
      <c r="CC52" s="323"/>
      <c r="CD52" s="322">
        <f t="shared" si="58"/>
        <v>110271.53166383249</v>
      </c>
      <c r="CE52" s="357">
        <f t="shared" si="22"/>
        <v>111926.24999716581</v>
      </c>
      <c r="CF52" s="357">
        <f>(VLOOKUP($A52,EY!$A:$BS,26,FALSE)-(VLOOKUP($A52,EY!A:CR,24,FALSE)*80%))+VLOOKUP($A52,EY!$A:$BS,42,FALSE)+(VLOOKUP($A52,EY!A:CC,74,FALSE)-VLOOKUP($A52,EY!A:CC,72,FALSE))</f>
        <v>18068.371578947368</v>
      </c>
      <c r="CG52" s="358"/>
      <c r="CH52" s="358">
        <f>_xlfn.IFNA((VLOOKUP($A52,HN!$A:$K,8,FALSE)/12),0)</f>
        <v>0</v>
      </c>
      <c r="CI52" s="358">
        <f>_xlfn.IFNA((VLOOKUP($A52,HN!$A:$BS,14,FALSE)/12),0)</f>
        <v>0</v>
      </c>
      <c r="CJ52" s="358">
        <f>(_xlfn.IFNA(VLOOKUP($A52,'Post 16'!$A:$AV,32,FALSE),0)/8)</f>
        <v>0</v>
      </c>
      <c r="CK52" s="358">
        <f>(VLOOKUP($A52,EY!A:CR,24,FALSE)*80%)+VLOOKUP($A52,EY!A:CC,72,FALSE)</f>
        <v>0</v>
      </c>
      <c r="CL52" s="358">
        <f>_xlfn.IFNA((VLOOKUP($A52,HN!$A:$K,9,FALSE)/12),0)+_xlfn.IFNA((VLOOKUP($A52,HN!$A:$K,10,FALSE)/12),0)</f>
        <v>0</v>
      </c>
      <c r="CM52" s="358">
        <f>_xlfn.IFNA((VLOOKUP($A52,HN!$A:$BS,15,FALSE)/12),0)</f>
        <v>0</v>
      </c>
      <c r="CN52" s="357">
        <f t="shared" si="23"/>
        <v>-406.41333333333336</v>
      </c>
      <c r="CO52" s="357">
        <f t="shared" si="24"/>
        <v>-1248.3050000000001</v>
      </c>
      <c r="CP52" s="358">
        <f>_xlfn.IFNA(VLOOKUP(A52,'LA Deductions'!A:W,23,FALSE),0)</f>
        <v>-5049</v>
      </c>
      <c r="CQ52" s="358">
        <f>_xlfn.IFNA(VLOOKUP($A52,'Cash Advances'!$A:$S,13,FALSE),0)</f>
        <v>0</v>
      </c>
      <c r="CR52" s="358">
        <f>_xlfn.IFNA(VLOOKUP(A52,'LA Deductions'!A:AZ,25,FALSE),0)/9*3</f>
        <v>0</v>
      </c>
      <c r="CS52" s="357">
        <f t="shared" si="25"/>
        <v>123290.90324277985</v>
      </c>
      <c r="CT52" s="337">
        <f t="shared" si="26"/>
        <v>111926.24999716581</v>
      </c>
      <c r="CU52" s="337"/>
      <c r="CV52" s="338">
        <f>_xlfn.IFNA(VLOOKUP(A52,'LA Deductions'!$A$6:$AN$207,34,FALSE),0)</f>
        <v>-8042.0828000000001</v>
      </c>
      <c r="CW52" s="338">
        <f>_xlfn.IFNA((VLOOKUP($A52,HN!$A:$K,8,FALSE)/12),0)</f>
        <v>0</v>
      </c>
      <c r="CX52" s="338">
        <f>_xlfn.IFNA((VLOOKUP($A52,HN!$A:$BS,14,FALSE)/12),0)</f>
        <v>0</v>
      </c>
      <c r="CY52" s="338">
        <f>_xlfn.IFNA(VLOOKUP($A52,'Post 16'!$A:$AV,32,FALSE),0)/8</f>
        <v>0</v>
      </c>
      <c r="CZ52" s="338"/>
      <c r="DA52" s="338">
        <f>_xlfn.IFNA((VLOOKUP($A52,HN!$A:$K,9,FALSE)/12),0)+_xlfn.IFNA((VLOOKUP($A52,HN!$A:$K,10,FALSE)/12),0)</f>
        <v>0</v>
      </c>
      <c r="DB52" s="338">
        <f>_xlfn.IFNA((VLOOKUP($A52,HN!$A:$BS,15,FALSE)/12),0)</f>
        <v>0</v>
      </c>
      <c r="DC52" s="337">
        <f t="shared" si="27"/>
        <v>-406.41333333333336</v>
      </c>
      <c r="DD52" s="337">
        <f t="shared" si="28"/>
        <v>-1248.3050000000001</v>
      </c>
      <c r="DE52" s="338"/>
      <c r="DF52" s="338">
        <f>_xlfn.IFNA(VLOOKUP($A52,'Cash Advances'!$A:$S,14,FALSE),0)</f>
        <v>0</v>
      </c>
      <c r="DG52" s="338">
        <f>(_xlfn.IFNA(VLOOKUP(A52,'LA Deductions'!A:AZ,25,FALSE),0)/9)+(_xlfn.IFNA(VLOOKUP(A52,'LA Deductions'!A:AZ,26,FALSE),0))</f>
        <v>0</v>
      </c>
      <c r="DH52" s="337">
        <f t="shared" si="29"/>
        <v>102229.44886383248</v>
      </c>
      <c r="DI52" s="330">
        <f t="shared" si="30"/>
        <v>111926.24999716581</v>
      </c>
      <c r="DJ52" s="330"/>
      <c r="DK52" s="331"/>
      <c r="DL52" s="331">
        <f>_xlfn.IFNA((VLOOKUP($A52,HN!$A:$K,8,FALSE)/12),0)+_xlfn.IFNA((VLOOKUP($A52,HN!$A:$AF,32,FALSE)*8/12),0)</f>
        <v>0</v>
      </c>
      <c r="DM52" s="331">
        <f>_xlfn.IFNA((VLOOKUP($A52,HN!$A:$BS,14,FALSE)/12),0)+_xlfn.IFNA(VLOOKUP($A52,HN!$A:$BS,31,FALSE),0)</f>
        <v>0</v>
      </c>
      <c r="DN52" s="331">
        <f>_xlfn.IFNA(VLOOKUP($A52,'Post 16'!$A:$AV,32,FALSE),0)/8</f>
        <v>0</v>
      </c>
      <c r="DO52" s="331"/>
      <c r="DP52" s="331">
        <f>_xlfn.IFNA((VLOOKUP($A52,HN!$A:$K,9,FALSE)/12),0)+_xlfn.IFNA((VLOOKUP($A52,HN!$A:$K,10,FALSE)/12),0)+_xlfn.IFNA((VLOOKUP($A52,HN!$A:$BZ,33,FALSE)*8/12),0)</f>
        <v>0</v>
      </c>
      <c r="DQ52" s="331">
        <f>_xlfn.IFNA((VLOOKUP($A52,HN!$A:$BS,15,FALSE)/12),0)</f>
        <v>0</v>
      </c>
      <c r="DR52" s="330">
        <f t="shared" si="31"/>
        <v>-406.41333333333336</v>
      </c>
      <c r="DS52" s="330">
        <f t="shared" si="32"/>
        <v>-1248.3050000000001</v>
      </c>
      <c r="DT52" s="331"/>
      <c r="DU52" s="331"/>
      <c r="DV52" s="331">
        <f>(_xlfn.IFNA(VLOOKUP(A52,'LA Deductions'!A:AZ,25,FALSE),0)/9)+_xlfn.IFNA(VLOOKUP(A52,'LA Deductions'!A:AZ,27,FALSE),0)</f>
        <v>0</v>
      </c>
      <c r="DW52" s="330">
        <f t="shared" si="33"/>
        <v>110271.53166383249</v>
      </c>
      <c r="DX52" s="344">
        <f t="shared" si="34"/>
        <v>111926.24999716581</v>
      </c>
      <c r="DY52" s="344"/>
      <c r="DZ52" s="345"/>
      <c r="EA52" s="345">
        <f>_xlfn.IFNA((VLOOKUP($A52,HN!$A:$K,8,FALSE)/12),0)+_xlfn.IFNA((VLOOKUP($A52,HN!$A:$AF,32,FALSE)*1/12),0)</f>
        <v>0</v>
      </c>
      <c r="EB52" s="345">
        <f>_xlfn.IFNA((VLOOKUP($A52,HN!$A:$BS,14,FALSE)/12),0)</f>
        <v>0</v>
      </c>
      <c r="EC52" s="345">
        <f>_xlfn.IFNA(VLOOKUP($A52,'Post 16'!$A:$AV,32,FALSE),0)/8</f>
        <v>0</v>
      </c>
      <c r="ED52" s="345"/>
      <c r="EE52" s="345">
        <f>_xlfn.IFNA((VLOOKUP($A52,HN!$A:$K,9,FALSE)/12),0)+_xlfn.IFNA((VLOOKUP($A52,HN!$A:$K,10,FALSE)/12),0)+_xlfn.IFNA((VLOOKUP($A52,HN!$A:$BZ,33,FALSE)/12),0)</f>
        <v>0</v>
      </c>
      <c r="EF52" s="345">
        <f>_xlfn.IFNA((VLOOKUP($A52,HN!$A:$BS,15,FALSE)/12),0)</f>
        <v>0</v>
      </c>
      <c r="EG52" s="344">
        <f t="shared" si="35"/>
        <v>-406.41333333333336</v>
      </c>
      <c r="EH52" s="344">
        <f t="shared" si="36"/>
        <v>-1248.3050000000001</v>
      </c>
      <c r="EI52" s="345"/>
      <c r="EJ52" s="345">
        <f>_xlfn.IFNA(VLOOKUP(A52,'Cash Advances'!A:P,16,FALSE),0)</f>
        <v>0</v>
      </c>
      <c r="EK52" s="345">
        <f>_xlfn.IFNA(VLOOKUP(A52,'LA Deductions'!A:AZ,25,FALSE),0)/9</f>
        <v>0</v>
      </c>
      <c r="EL52" s="344">
        <f t="shared" si="37"/>
        <v>110271.53166383249</v>
      </c>
      <c r="EM52" s="308">
        <f t="shared" si="38"/>
        <v>111926.24999716581</v>
      </c>
      <c r="EN52" s="308">
        <f>((VLOOKUP($A52,EY!$A:$BS,35,FALSE)-(VLOOKUP($A52,EY!$A:$BS,33,FALSE)*80%))+VLOOKUP($A52,EY!$A:$BS,43,FALSE))+(VLOOKUP(A52,EY!A:DF,110,FALSE)-VLOOKUP(A52,EY!A:DD,108,FALSE))+(VLOOKUP(A52,EY!A:CE,83,FALSE)-VLOOKUP(A52,EY!A:CC,81,FALSE))</f>
        <v>18189.514016620498</v>
      </c>
      <c r="EO52" s="309"/>
      <c r="EP52" s="309">
        <f>_xlfn.IFNA((VLOOKUP($A52,HN!$A:$K,8,FALSE)/12),0)+_xlfn.IFNA((VLOOKUP($A52,HN!$A:$AF,32,FALSE)*1/12),0)</f>
        <v>0</v>
      </c>
      <c r="EQ52" s="309">
        <f>_xlfn.IFNA((VLOOKUP($A52,HN!$A:$BS,14,FALSE)/12),0)+_xlfn.IFNA((VLOOKUP($A52,HN!$A:$BS,34,FALSE)/3),0)</f>
        <v>0</v>
      </c>
      <c r="ER52" s="309">
        <f>_xlfn.IFNA(VLOOKUP($A52,'Post 16'!$A:$AV,32,FALSE),0)/8</f>
        <v>0</v>
      </c>
      <c r="ES52" s="309">
        <f>((VLOOKUP($A52,EY!A:EV,33,FALSE)*80%))+VLOOKUP(A52,EY!A:DD,108,FALSE)+VLOOKUP(A52,EY!A:CC,81,FALSE)</f>
        <v>0</v>
      </c>
      <c r="ET52" s="309">
        <f>_xlfn.IFNA((VLOOKUP($A52,HN!$A:$K,9,FALSE)/12),0)+_xlfn.IFNA((VLOOKUP($A52,HN!$A:$K,10,FALSE)/12),0)+_xlfn.IFNA((VLOOKUP($A52,HN!$A:$BZ,33,FALSE)/12),0)</f>
        <v>0</v>
      </c>
      <c r="EU52" s="309">
        <f>_xlfn.IFNA((VLOOKUP($A52,HN!$A:$BS,15,FALSE)/12),0)</f>
        <v>0</v>
      </c>
      <c r="EV52" s="308">
        <f t="shared" si="39"/>
        <v>-406.41333333333336</v>
      </c>
      <c r="EW52" s="308">
        <f t="shared" si="40"/>
        <v>-1248.3050000000001</v>
      </c>
      <c r="EX52" s="309"/>
      <c r="EY52" s="309">
        <f>_xlfn.IFNA(VLOOKUP($A52,'Cash Advances'!$A:$S,17,FALSE),0)</f>
        <v>0</v>
      </c>
      <c r="EZ52" s="309">
        <f>_xlfn.IFNA(VLOOKUP(A52,'LA Deductions'!A:AZ,25,FALSE),0)/9</f>
        <v>0</v>
      </c>
      <c r="FA52" s="308">
        <f t="shared" si="41"/>
        <v>128461.04568045298</v>
      </c>
      <c r="FB52" s="315">
        <f t="shared" si="42"/>
        <v>111926.24999716581</v>
      </c>
      <c r="FC52" s="315"/>
      <c r="FD52" s="316"/>
      <c r="FE52" s="316">
        <f>_xlfn.IFNA((VLOOKUP($A52,HN!$A:$K,8,FALSE)/12),0)+_xlfn.IFNA((VLOOKUP($A52,HN!$A:$AF,32,FALSE)*1/12),0)</f>
        <v>0</v>
      </c>
      <c r="FF52" s="316">
        <f>_xlfn.IFNA((VLOOKUP($A52,HN!$A:$BS,14,FALSE)/12),0)+_xlfn.IFNA((VLOOKUP($A52,HN!$A:$BS,34,FALSE)/3),0)</f>
        <v>0</v>
      </c>
      <c r="FG52" s="316">
        <f>_xlfn.IFNA(VLOOKUP($A52,'Post 16'!$A:$AV,32,FALSE),0)/8</f>
        <v>0</v>
      </c>
      <c r="FH52" s="316"/>
      <c r="FI52" s="316">
        <f>_xlfn.IFNA((VLOOKUP($A52,HN!$A:$K,9,FALSE)/12),0)+_xlfn.IFNA((VLOOKUP($A52,HN!$A:$K,10,FALSE)/12),0)+_xlfn.IFNA((VLOOKUP($A52,HN!$A:$BZ,33,FALSE)/12),0)+_xlfn.IFNA((VLOOKUP($A52,HN!$A:$BZ,35,FALSE)/2),0)</f>
        <v>0</v>
      </c>
      <c r="FJ52" s="316">
        <f>_xlfn.IFNA((VLOOKUP($A52,HN!$A:$BS,15,FALSE)/12),0)+_xlfn.IFNA((VLOOKUP($A52,HN!$A:$CZ,36,FALSE)/2),0)</f>
        <v>0</v>
      </c>
      <c r="FK52" s="315">
        <f t="shared" si="43"/>
        <v>-406.41333333333336</v>
      </c>
      <c r="FL52" s="315">
        <f t="shared" si="44"/>
        <v>-1248.3050000000001</v>
      </c>
      <c r="FM52" s="316"/>
      <c r="FN52" s="316">
        <f>_xlfn.IFNA(VLOOKUP($A52,'Cash Advances'!$A:$S,18,FALSE),0)</f>
        <v>0</v>
      </c>
      <c r="FO52" s="316">
        <f>_xlfn.IFNA(VLOOKUP(A52,'LA Deductions'!A:AZ,25,FALSE),0)/9</f>
        <v>0</v>
      </c>
      <c r="FP52" s="315">
        <f t="shared" si="45"/>
        <v>110271.53166383249</v>
      </c>
      <c r="FQ52" s="322">
        <f t="shared" si="46"/>
        <v>111926.24999716581</v>
      </c>
      <c r="FR52" s="322"/>
      <c r="FS52" s="323"/>
      <c r="FT52" s="323">
        <f>_xlfn.IFNA((VLOOKUP($A52,HN!$A:$K,8,FALSE)/12),0)+_xlfn.IFNA((VLOOKUP($A52,HN!$A:$AF,32,FALSE)*1/12),0)</f>
        <v>0</v>
      </c>
      <c r="FU52" s="323">
        <f>_xlfn.IFNA((VLOOKUP($A52,HN!$A:$BS,14,FALSE)/12),0)+_xlfn.IFNA((VLOOKUP($A52,HN!$A:$BS,34,FALSE)/3),0)</f>
        <v>0</v>
      </c>
      <c r="FV52" s="323">
        <f>_xlfn.IFNA(VLOOKUP($A52,'Post 16'!$A:$AV,32,FALSE),0)/8</f>
        <v>0</v>
      </c>
      <c r="FW52" s="323"/>
      <c r="FX52" s="323">
        <f>_xlfn.IFNA((VLOOKUP($A52,HN!$A:$K,9,FALSE)/12),0)+_xlfn.IFNA((VLOOKUP($A52,HN!$A:$K,10,FALSE)/12),0)+_xlfn.IFNA((VLOOKUP($A52,HN!$A:$BZ,33,FALSE)/12),0)+_xlfn.IFNA((VLOOKUP($A52,HN!$A:$BZ,35,FALSE)/2),0)</f>
        <v>0</v>
      </c>
      <c r="FY52" s="323">
        <f>_xlfn.IFNA((VLOOKUP($A52,HN!$A:$BS,15,FALSE)/12),0)+_xlfn.IFNA((VLOOKUP($A52,HN!$A:$CZ,36,FALSE)/2),0)</f>
        <v>0</v>
      </c>
      <c r="FZ52" s="322">
        <f t="shared" si="47"/>
        <v>-406.41333333333336</v>
      </c>
      <c r="GA52" s="322">
        <f t="shared" si="48"/>
        <v>-1248.3050000000001</v>
      </c>
      <c r="GB52" s="323"/>
      <c r="GC52" s="323"/>
      <c r="GD52" s="323">
        <f>_xlfn.IFNA(VLOOKUP(A52,'LA Deductions'!A:AZ,25,FALSE),0)/9</f>
        <v>0</v>
      </c>
      <c r="GE52" s="322">
        <f t="shared" si="49"/>
        <v>110271.53166383249</v>
      </c>
      <c r="GG52" s="146">
        <f t="shared" si="61"/>
        <v>1391255.8343405048</v>
      </c>
      <c r="GH52" s="146">
        <f t="shared" si="61"/>
        <v>0</v>
      </c>
      <c r="GI52" s="146">
        <f t="shared" si="61"/>
        <v>0</v>
      </c>
      <c r="GJ52" s="146">
        <f t="shared" si="61"/>
        <v>-4876.96</v>
      </c>
      <c r="GK52" s="146">
        <f t="shared" si="61"/>
        <v>-14979.660000000002</v>
      </c>
      <c r="GL52" s="146">
        <f t="shared" si="61"/>
        <v>-5049</v>
      </c>
      <c r="GN52" s="146">
        <f t="shared" si="62"/>
        <v>1391255.8343405048</v>
      </c>
      <c r="GO52" s="146">
        <f t="shared" si="62"/>
        <v>0</v>
      </c>
      <c r="GP52" s="146">
        <f t="shared" si="62"/>
        <v>0</v>
      </c>
      <c r="GQ52" s="146">
        <f t="shared" si="62"/>
        <v>-4876.96</v>
      </c>
      <c r="GR52" s="146">
        <f t="shared" si="62"/>
        <v>-14979.660000000002</v>
      </c>
      <c r="GS52" s="146">
        <f t="shared" si="62"/>
        <v>-5049</v>
      </c>
      <c r="GU52" s="146"/>
      <c r="GV52" s="57"/>
    </row>
    <row r="53" spans="1:204">
      <c r="A53" s="185">
        <v>3435</v>
      </c>
      <c r="B53" s="185">
        <v>131920</v>
      </c>
      <c r="C53" s="185" t="s">
        <v>126</v>
      </c>
      <c r="D53" s="2" t="s">
        <v>127</v>
      </c>
      <c r="E53" s="191" t="s">
        <v>32</v>
      </c>
      <c r="F53" s="191" t="s">
        <v>912</v>
      </c>
      <c r="H53" s="279">
        <f>_xlfn.IFNA(VLOOKUP($A53,ISB!$A$4:$BY$454,67,FALSE),0)</f>
        <v>2086293.97</v>
      </c>
      <c r="I53" s="279">
        <f>_xlfn.IFNA(VLOOKUP($A53,ISB!$A$4:$BY$454,72,FALSE),0)</f>
        <v>-10953.599999999999</v>
      </c>
      <c r="J53" s="279">
        <f>-_xlfn.IFNA(VLOOKUP($A53,ISB!$A$4:$BY$454,76,FALSE),0)</f>
        <v>-5193.97</v>
      </c>
      <c r="K53" s="279">
        <f>_xlfn.IFNA(VLOOKUP($A53,ISB!$A$4:$BY$454,77,FALSE),0)</f>
        <v>2070146.4</v>
      </c>
      <c r="M53" s="301">
        <f t="shared" si="7"/>
        <v>173857.83083333334</v>
      </c>
      <c r="N53" s="301">
        <f>VLOOKUP($A53,EY!$A:$H,8,FALSE)+(VLOOKUP($A53,EY!$A:$BS,17,FALSE)-S53)+VLOOKUP($A53,EY!$A:$BS,41,FALSE)</f>
        <v>0</v>
      </c>
      <c r="O53" s="302"/>
      <c r="P53" s="302">
        <f>_xlfn.IFNA((VLOOKUP($A53,HN!$A:$K,8,FALSE)/12),0)</f>
        <v>0</v>
      </c>
      <c r="Q53" s="302">
        <f>_xlfn.IFNA((VLOOKUP($A53,HN!$A:$BS,14,FALSE)/12),0)</f>
        <v>0</v>
      </c>
      <c r="R53" s="302">
        <f>_xlfn.IFNA(VLOOKUP($A53,'Post 16'!$A:$V,21,FALSE),0)/4</f>
        <v>0</v>
      </c>
      <c r="S53" s="302">
        <f>VLOOKUP($A53,EY!A:Q,15,FALSE)*80%</f>
        <v>0</v>
      </c>
      <c r="T53" s="302">
        <f>_xlfn.IFNA((VLOOKUP($A53,HN!$A:$K,9,FALSE)/12),0)+_xlfn.IFNA((VLOOKUP($A53,HN!$A:$K,10,FALSE)/12),0)</f>
        <v>0</v>
      </c>
      <c r="U53" s="302">
        <f>_xlfn.IFNA((VLOOKUP($A53,HN!$A:$BS,15,FALSE)/12),0)</f>
        <v>0</v>
      </c>
      <c r="V53" s="301">
        <f t="shared" si="8"/>
        <v>-912.79999999999984</v>
      </c>
      <c r="W53" s="301">
        <f t="shared" si="9"/>
        <v>-432.83083333333337</v>
      </c>
      <c r="X53" s="302"/>
      <c r="Y53" s="302">
        <f>_xlfn.IFNA(VLOOKUP($A53,'Cash Advances'!$A:$S,8,FALSE),0)</f>
        <v>0</v>
      </c>
      <c r="Z53" s="301">
        <f t="shared" si="54"/>
        <v>172512.2</v>
      </c>
      <c r="AA53" s="315">
        <f t="shared" si="10"/>
        <v>173857.83083333334</v>
      </c>
      <c r="AB53" s="315"/>
      <c r="AC53" s="316"/>
      <c r="AD53" s="316">
        <f>_xlfn.IFNA((VLOOKUP($A53,HN!$A:$K,8,FALSE)/12),0)</f>
        <v>0</v>
      </c>
      <c r="AE53" s="316">
        <f>_xlfn.IFNA((VLOOKUP($A53,HN!$A:$BS,14,FALSE)/12),0)</f>
        <v>0</v>
      </c>
      <c r="AF53" s="316">
        <f>_xlfn.IFNA(VLOOKUP($A53,'Post 16'!$A:$V,21,FALSE),0)/4</f>
        <v>0</v>
      </c>
      <c r="AG53" s="316"/>
      <c r="AH53" s="316">
        <f>_xlfn.IFNA((VLOOKUP($A53,HN!$A:$K,9,FALSE)/12),0)+_xlfn.IFNA((VLOOKUP($A53,HN!$A:$K,10,FALSE)/12),0)</f>
        <v>0</v>
      </c>
      <c r="AI53" s="316">
        <f>_xlfn.IFNA((VLOOKUP($A53,HN!$A:$BS,15,FALSE)/12),0)</f>
        <v>0</v>
      </c>
      <c r="AJ53" s="315">
        <f t="shared" si="11"/>
        <v>-912.79999999999984</v>
      </c>
      <c r="AK53" s="315">
        <f t="shared" si="12"/>
        <v>-432.83083333333337</v>
      </c>
      <c r="AL53" s="316"/>
      <c r="AM53" s="316">
        <f>_xlfn.IFNA(VLOOKUP($A53,'Cash Advances'!$A:$S,9,FALSE),0)</f>
        <v>0</v>
      </c>
      <c r="AN53" s="315">
        <f t="shared" si="55"/>
        <v>172512.2</v>
      </c>
      <c r="AO53" s="308">
        <f t="shared" si="13"/>
        <v>173857.83083333334</v>
      </c>
      <c r="AP53" s="308"/>
      <c r="AQ53" s="309"/>
      <c r="AR53" s="309">
        <f>_xlfn.IFNA((VLOOKUP($A53,HN!$A:$K,8,FALSE)/12),0)</f>
        <v>0</v>
      </c>
      <c r="AS53" s="309">
        <f>_xlfn.IFNA((VLOOKUP($A53,HN!$A:$BS,14,FALSE)/12),0)</f>
        <v>0</v>
      </c>
      <c r="AT53" s="309">
        <f>_xlfn.IFNA(VLOOKUP($A53,'Post 16'!$A:$V,21,FALSE),0)/4</f>
        <v>0</v>
      </c>
      <c r="AU53" s="309"/>
      <c r="AV53" s="309">
        <f>_xlfn.IFNA((VLOOKUP($A53,HN!$A:$K,9,FALSE)/12),0)+_xlfn.IFNA((VLOOKUP($A53,HN!$A:$K,10,FALSE)/12),0)+_xlfn.IFNA(VLOOKUP(A53,HN!A:V,19,FALSE),0)+_xlfn.IFNA(VLOOKUP(A53,HN!A:V,20,FALSE),0)+_xlfn.IFNA(VLOOKUP(A53,HN!A:V,21,FALSE),0)</f>
        <v>0</v>
      </c>
      <c r="AW53" s="309">
        <f>_xlfn.IFNA((VLOOKUP($A53,HN!$A:$BS,15,FALSE)/12),0)</f>
        <v>0</v>
      </c>
      <c r="AX53" s="308">
        <f t="shared" si="14"/>
        <v>-912.79999999999984</v>
      </c>
      <c r="AY53" s="308">
        <f t="shared" si="15"/>
        <v>-432.83083333333337</v>
      </c>
      <c r="AZ53" s="309"/>
      <c r="BA53" s="309">
        <f>_xlfn.IFNA(VLOOKUP($A53,'Cash Advances'!$A:$S,10,FALSE),0)</f>
        <v>0</v>
      </c>
      <c r="BB53" s="308">
        <f t="shared" si="56"/>
        <v>172512.2</v>
      </c>
      <c r="BC53" s="330">
        <f t="shared" si="16"/>
        <v>173857.83083333334</v>
      </c>
      <c r="BD53" s="330"/>
      <c r="BE53" s="331"/>
      <c r="BF53" s="331">
        <f>_xlfn.IFNA((VLOOKUP($A53,HN!$A:$K,8,FALSE)/12),0)</f>
        <v>0</v>
      </c>
      <c r="BG53" s="331">
        <f>_xlfn.IFNA((VLOOKUP($A53,HN!$A:$BS,14,FALSE)/12),0)</f>
        <v>0</v>
      </c>
      <c r="BH53" s="331">
        <f>_xlfn.IFNA(VLOOKUP($A53,'Post 16'!$A:$V,21,FALSE),0)/4</f>
        <v>0</v>
      </c>
      <c r="BI53" s="331"/>
      <c r="BJ53" s="331">
        <f>_xlfn.IFNA((VLOOKUP($A53,HN!$A:$K,9,FALSE)/12),0)+_xlfn.IFNA((VLOOKUP($A53,HN!$A:$K,10,FALSE)/12),0)</f>
        <v>0</v>
      </c>
      <c r="BK53" s="331">
        <f>_xlfn.IFNA((VLOOKUP($A53,HN!$A:$BS,15,FALSE)/12),0)</f>
        <v>0</v>
      </c>
      <c r="BL53" s="330">
        <f t="shared" si="17"/>
        <v>-912.79999999999984</v>
      </c>
      <c r="BM53" s="330">
        <f t="shared" si="18"/>
        <v>-432.83083333333337</v>
      </c>
      <c r="BN53" s="331"/>
      <c r="BO53" s="331">
        <f>_xlfn.IFNA(VLOOKUP(A53,'Cash Advances'!A:K,11,FALSE),0)</f>
        <v>0</v>
      </c>
      <c r="BP53" s="330">
        <f t="shared" si="57"/>
        <v>172512.2</v>
      </c>
      <c r="BQ53" s="322">
        <f t="shared" si="19"/>
        <v>173857.83083333334</v>
      </c>
      <c r="BR53" s="322"/>
      <c r="BS53" s="323"/>
      <c r="BT53" s="323">
        <f>_xlfn.IFNA((VLOOKUP($A53,HN!$A:$K,8,FALSE)/12),0)</f>
        <v>0</v>
      </c>
      <c r="BU53" s="323">
        <f>_xlfn.IFNA((VLOOKUP($A53,HN!$A:$BS,14,FALSE)/12),0)</f>
        <v>0</v>
      </c>
      <c r="BV53" s="323">
        <f>(_xlfn.IFNA(VLOOKUP($A53,'Post 16'!$A:$AV,32,FALSE),0)/8)+_xlfn.IFNA(VLOOKUP($A53,'Post 16'!$A:$AR,40,FALSE),0)</f>
        <v>0</v>
      </c>
      <c r="BW53" s="323"/>
      <c r="BX53" s="323">
        <f>_xlfn.IFNA((VLOOKUP($A53,HN!$A:$K,9,FALSE)/12),0)+_xlfn.IFNA((VLOOKUP($A53,HN!$A:$K,10,FALSE)/12),0)</f>
        <v>0</v>
      </c>
      <c r="BY53" s="323">
        <f>_xlfn.IFNA((VLOOKUP($A53,HN!$A:$BS,15,FALSE)/12),0)</f>
        <v>0</v>
      </c>
      <c r="BZ53" s="322">
        <f t="shared" si="20"/>
        <v>-912.79999999999984</v>
      </c>
      <c r="CA53" s="322">
        <f t="shared" si="21"/>
        <v>-432.83083333333337</v>
      </c>
      <c r="CB53" s="323"/>
      <c r="CC53" s="323"/>
      <c r="CD53" s="322">
        <f t="shared" si="58"/>
        <v>172512.2</v>
      </c>
      <c r="CE53" s="357">
        <f t="shared" si="22"/>
        <v>173857.83083333334</v>
      </c>
      <c r="CF53" s="357">
        <f>(VLOOKUP($A53,EY!$A:$BS,26,FALSE)-(VLOOKUP($A53,EY!A:CR,24,FALSE)*80%))+VLOOKUP($A53,EY!$A:$BS,42,FALSE)+(VLOOKUP($A53,EY!A:CC,74,FALSE)-VLOOKUP($A53,EY!A:CC,72,FALSE))</f>
        <v>0</v>
      </c>
      <c r="CG53" s="358"/>
      <c r="CH53" s="358">
        <f>_xlfn.IFNA((VLOOKUP($A53,HN!$A:$K,8,FALSE)/12),0)</f>
        <v>0</v>
      </c>
      <c r="CI53" s="358">
        <f>_xlfn.IFNA((VLOOKUP($A53,HN!$A:$BS,14,FALSE)/12),0)</f>
        <v>0</v>
      </c>
      <c r="CJ53" s="358">
        <f>(_xlfn.IFNA(VLOOKUP($A53,'Post 16'!$A:$AV,32,FALSE),0)/8)</f>
        <v>0</v>
      </c>
      <c r="CK53" s="358">
        <f>(VLOOKUP($A53,EY!A:CR,24,FALSE)*80%)+VLOOKUP($A53,EY!A:CC,72,FALSE)</f>
        <v>0</v>
      </c>
      <c r="CL53" s="358">
        <f>_xlfn.IFNA((VLOOKUP($A53,HN!$A:$K,9,FALSE)/12),0)+_xlfn.IFNA((VLOOKUP($A53,HN!$A:$K,10,FALSE)/12),0)</f>
        <v>0</v>
      </c>
      <c r="CM53" s="358">
        <f>_xlfn.IFNA((VLOOKUP($A53,HN!$A:$BS,15,FALSE)/12),0)</f>
        <v>0</v>
      </c>
      <c r="CN53" s="357">
        <f t="shared" si="23"/>
        <v>-912.79999999999984</v>
      </c>
      <c r="CO53" s="357">
        <f t="shared" si="24"/>
        <v>-432.83083333333337</v>
      </c>
      <c r="CP53" s="358">
        <f>_xlfn.IFNA(VLOOKUP(A53,'LA Deductions'!A:W,23,FALSE),0)</f>
        <v>-11340</v>
      </c>
      <c r="CQ53" s="358">
        <f>_xlfn.IFNA(VLOOKUP($A53,'Cash Advances'!$A:$S,13,FALSE),0)</f>
        <v>0</v>
      </c>
      <c r="CR53" s="358">
        <f>_xlfn.IFNA(VLOOKUP(A53,'LA Deductions'!A:AZ,25,FALSE),0)/9*3</f>
        <v>0</v>
      </c>
      <c r="CS53" s="357">
        <f t="shared" si="25"/>
        <v>161172.20000000001</v>
      </c>
      <c r="CT53" s="337">
        <f t="shared" si="26"/>
        <v>173857.83083333334</v>
      </c>
      <c r="CU53" s="337"/>
      <c r="CV53" s="338">
        <f>_xlfn.IFNA(VLOOKUP(A53,'LA Deductions'!$A$6:$AN$207,34,FALSE),0)</f>
        <v>0</v>
      </c>
      <c r="CW53" s="338">
        <f>_xlfn.IFNA((VLOOKUP($A53,HN!$A:$K,8,FALSE)/12),0)</f>
        <v>0</v>
      </c>
      <c r="CX53" s="338">
        <f>_xlfn.IFNA((VLOOKUP($A53,HN!$A:$BS,14,FALSE)/12),0)</f>
        <v>0</v>
      </c>
      <c r="CY53" s="338">
        <f>_xlfn.IFNA(VLOOKUP($A53,'Post 16'!$A:$AV,32,FALSE),0)/8</f>
        <v>0</v>
      </c>
      <c r="CZ53" s="338"/>
      <c r="DA53" s="338">
        <f>_xlfn.IFNA((VLOOKUP($A53,HN!$A:$K,9,FALSE)/12),0)+_xlfn.IFNA((VLOOKUP($A53,HN!$A:$K,10,FALSE)/12),0)</f>
        <v>0</v>
      </c>
      <c r="DB53" s="338">
        <f>_xlfn.IFNA((VLOOKUP($A53,HN!$A:$BS,15,FALSE)/12),0)</f>
        <v>0</v>
      </c>
      <c r="DC53" s="337">
        <f t="shared" si="27"/>
        <v>-912.79999999999984</v>
      </c>
      <c r="DD53" s="337">
        <f t="shared" si="28"/>
        <v>-432.83083333333337</v>
      </c>
      <c r="DE53" s="338"/>
      <c r="DF53" s="338">
        <f>_xlfn.IFNA(VLOOKUP($A53,'Cash Advances'!$A:$S,14,FALSE),0)</f>
        <v>0</v>
      </c>
      <c r="DG53" s="338">
        <f>(_xlfn.IFNA(VLOOKUP(A53,'LA Deductions'!A:AZ,25,FALSE),0)/9)+(_xlfn.IFNA(VLOOKUP(A53,'LA Deductions'!A:AZ,26,FALSE),0))</f>
        <v>0</v>
      </c>
      <c r="DH53" s="337">
        <f t="shared" si="29"/>
        <v>172512.2</v>
      </c>
      <c r="DI53" s="330">
        <f t="shared" si="30"/>
        <v>173857.83083333334</v>
      </c>
      <c r="DJ53" s="330"/>
      <c r="DK53" s="331"/>
      <c r="DL53" s="331">
        <f>_xlfn.IFNA((VLOOKUP($A53,HN!$A:$K,8,FALSE)/12),0)+_xlfn.IFNA((VLOOKUP($A53,HN!$A:$AF,32,FALSE)*8/12),0)</f>
        <v>0</v>
      </c>
      <c r="DM53" s="331">
        <f>_xlfn.IFNA((VLOOKUP($A53,HN!$A:$BS,14,FALSE)/12),0)+_xlfn.IFNA(VLOOKUP($A53,HN!$A:$BS,31,FALSE),0)</f>
        <v>0</v>
      </c>
      <c r="DN53" s="331">
        <f>_xlfn.IFNA(VLOOKUP($A53,'Post 16'!$A:$AV,32,FALSE),0)/8</f>
        <v>0</v>
      </c>
      <c r="DO53" s="331"/>
      <c r="DP53" s="331">
        <f>_xlfn.IFNA((VLOOKUP($A53,HN!$A:$K,9,FALSE)/12),0)+_xlfn.IFNA((VLOOKUP($A53,HN!$A:$K,10,FALSE)/12),0)+_xlfn.IFNA((VLOOKUP($A53,HN!$A:$BZ,33,FALSE)*8/12),0)</f>
        <v>0</v>
      </c>
      <c r="DQ53" s="331">
        <f>_xlfn.IFNA((VLOOKUP($A53,HN!$A:$BS,15,FALSE)/12),0)</f>
        <v>0</v>
      </c>
      <c r="DR53" s="330">
        <f t="shared" si="31"/>
        <v>-912.79999999999984</v>
      </c>
      <c r="DS53" s="330">
        <f t="shared" si="32"/>
        <v>-432.83083333333337</v>
      </c>
      <c r="DT53" s="331"/>
      <c r="DU53" s="331"/>
      <c r="DV53" s="331">
        <f>(_xlfn.IFNA(VLOOKUP(A53,'LA Deductions'!A:AZ,25,FALSE),0)/9)+_xlfn.IFNA(VLOOKUP(A53,'LA Deductions'!A:AZ,27,FALSE),0)</f>
        <v>0</v>
      </c>
      <c r="DW53" s="330">
        <f t="shared" si="33"/>
        <v>172512.2</v>
      </c>
      <c r="DX53" s="344">
        <f t="shared" si="34"/>
        <v>173857.83083333334</v>
      </c>
      <c r="DY53" s="344"/>
      <c r="DZ53" s="345"/>
      <c r="EA53" s="345">
        <f>_xlfn.IFNA((VLOOKUP($A53,HN!$A:$K,8,FALSE)/12),0)+_xlfn.IFNA((VLOOKUP($A53,HN!$A:$AF,32,FALSE)*1/12),0)</f>
        <v>0</v>
      </c>
      <c r="EB53" s="345">
        <f>_xlfn.IFNA((VLOOKUP($A53,HN!$A:$BS,14,FALSE)/12),0)</f>
        <v>0</v>
      </c>
      <c r="EC53" s="345">
        <f>_xlfn.IFNA(VLOOKUP($A53,'Post 16'!$A:$AV,32,FALSE),0)/8</f>
        <v>0</v>
      </c>
      <c r="ED53" s="345"/>
      <c r="EE53" s="345">
        <f>_xlfn.IFNA((VLOOKUP($A53,HN!$A:$K,9,FALSE)/12),0)+_xlfn.IFNA((VLOOKUP($A53,HN!$A:$K,10,FALSE)/12),0)+_xlfn.IFNA((VLOOKUP($A53,HN!$A:$BZ,33,FALSE)/12),0)</f>
        <v>0</v>
      </c>
      <c r="EF53" s="345">
        <f>_xlfn.IFNA((VLOOKUP($A53,HN!$A:$BS,15,FALSE)/12),0)</f>
        <v>0</v>
      </c>
      <c r="EG53" s="344">
        <f t="shared" si="35"/>
        <v>-912.79999999999984</v>
      </c>
      <c r="EH53" s="344">
        <f t="shared" si="36"/>
        <v>-432.83083333333337</v>
      </c>
      <c r="EI53" s="345"/>
      <c r="EJ53" s="345">
        <f>_xlfn.IFNA(VLOOKUP(A53,'Cash Advances'!A:P,16,FALSE),0)</f>
        <v>0</v>
      </c>
      <c r="EK53" s="345">
        <f>_xlfn.IFNA(VLOOKUP(A53,'LA Deductions'!A:AZ,25,FALSE),0)/9</f>
        <v>0</v>
      </c>
      <c r="EL53" s="344">
        <f t="shared" si="37"/>
        <v>172512.2</v>
      </c>
      <c r="EM53" s="308">
        <f t="shared" si="38"/>
        <v>173857.83083333334</v>
      </c>
      <c r="EN53" s="308">
        <f>((VLOOKUP($A53,EY!$A:$BS,35,FALSE)-(VLOOKUP($A53,EY!$A:$BS,33,FALSE)*80%))+VLOOKUP($A53,EY!$A:$BS,43,FALSE))+(VLOOKUP(A53,EY!A:DF,110,FALSE)-VLOOKUP(A53,EY!A:DD,108,FALSE))+(VLOOKUP(A53,EY!A:CE,83,FALSE)-VLOOKUP(A53,EY!A:CC,81,FALSE))</f>
        <v>0</v>
      </c>
      <c r="EO53" s="309"/>
      <c r="EP53" s="309">
        <f>_xlfn.IFNA((VLOOKUP($A53,HN!$A:$K,8,FALSE)/12),0)+_xlfn.IFNA((VLOOKUP($A53,HN!$A:$AF,32,FALSE)*1/12),0)</f>
        <v>0</v>
      </c>
      <c r="EQ53" s="309">
        <f>_xlfn.IFNA((VLOOKUP($A53,HN!$A:$BS,14,FALSE)/12),0)+_xlfn.IFNA((VLOOKUP($A53,HN!$A:$BS,34,FALSE)/3),0)</f>
        <v>0</v>
      </c>
      <c r="ER53" s="309">
        <f>_xlfn.IFNA(VLOOKUP($A53,'Post 16'!$A:$AV,32,FALSE),0)/8</f>
        <v>0</v>
      </c>
      <c r="ES53" s="309">
        <f>((VLOOKUP($A53,EY!A:EV,33,FALSE)*80%))+VLOOKUP(A53,EY!A:DD,108,FALSE)+VLOOKUP(A53,EY!A:CC,81,FALSE)</f>
        <v>0</v>
      </c>
      <c r="ET53" s="309">
        <f>_xlfn.IFNA((VLOOKUP($A53,HN!$A:$K,9,FALSE)/12),0)+_xlfn.IFNA((VLOOKUP($A53,HN!$A:$K,10,FALSE)/12),0)+_xlfn.IFNA((VLOOKUP($A53,HN!$A:$BZ,33,FALSE)/12),0)</f>
        <v>0</v>
      </c>
      <c r="EU53" s="309">
        <f>_xlfn.IFNA((VLOOKUP($A53,HN!$A:$BS,15,FALSE)/12),0)</f>
        <v>0</v>
      </c>
      <c r="EV53" s="308">
        <f t="shared" si="39"/>
        <v>-912.79999999999984</v>
      </c>
      <c r="EW53" s="308">
        <f t="shared" si="40"/>
        <v>-432.83083333333337</v>
      </c>
      <c r="EX53" s="309"/>
      <c r="EY53" s="309">
        <f>_xlfn.IFNA(VLOOKUP($A53,'Cash Advances'!$A:$S,17,FALSE),0)</f>
        <v>0</v>
      </c>
      <c r="EZ53" s="309">
        <f>_xlfn.IFNA(VLOOKUP(A53,'LA Deductions'!A:AZ,25,FALSE),0)/9</f>
        <v>0</v>
      </c>
      <c r="FA53" s="308">
        <f t="shared" si="41"/>
        <v>172512.2</v>
      </c>
      <c r="FB53" s="315">
        <f t="shared" si="42"/>
        <v>173857.83083333334</v>
      </c>
      <c r="FC53" s="315"/>
      <c r="FD53" s="316"/>
      <c r="FE53" s="316">
        <f>_xlfn.IFNA((VLOOKUP($A53,HN!$A:$K,8,FALSE)/12),0)+_xlfn.IFNA((VLOOKUP($A53,HN!$A:$AF,32,FALSE)*1/12),0)</f>
        <v>0</v>
      </c>
      <c r="FF53" s="316">
        <f>_xlfn.IFNA((VLOOKUP($A53,HN!$A:$BS,14,FALSE)/12),0)+_xlfn.IFNA((VLOOKUP($A53,HN!$A:$BS,34,FALSE)/3),0)</f>
        <v>0</v>
      </c>
      <c r="FG53" s="316">
        <f>_xlfn.IFNA(VLOOKUP($A53,'Post 16'!$A:$AV,32,FALSE),0)/8</f>
        <v>0</v>
      </c>
      <c r="FH53" s="316"/>
      <c r="FI53" s="316">
        <f>_xlfn.IFNA((VLOOKUP($A53,HN!$A:$K,9,FALSE)/12),0)+_xlfn.IFNA((VLOOKUP($A53,HN!$A:$K,10,FALSE)/12),0)+_xlfn.IFNA((VLOOKUP($A53,HN!$A:$BZ,33,FALSE)/12),0)+_xlfn.IFNA((VLOOKUP($A53,HN!$A:$BZ,35,FALSE)/2),0)</f>
        <v>0</v>
      </c>
      <c r="FJ53" s="316">
        <f>_xlfn.IFNA((VLOOKUP($A53,HN!$A:$BS,15,FALSE)/12),0)+_xlfn.IFNA((VLOOKUP($A53,HN!$A:$CZ,36,FALSE)/2),0)</f>
        <v>0</v>
      </c>
      <c r="FK53" s="315">
        <f t="shared" si="43"/>
        <v>-912.79999999999984</v>
      </c>
      <c r="FL53" s="315">
        <f t="shared" si="44"/>
        <v>-432.83083333333337</v>
      </c>
      <c r="FM53" s="316"/>
      <c r="FN53" s="316">
        <f>_xlfn.IFNA(VLOOKUP($A53,'Cash Advances'!$A:$S,18,FALSE),0)</f>
        <v>0</v>
      </c>
      <c r="FO53" s="316">
        <f>_xlfn.IFNA(VLOOKUP(A53,'LA Deductions'!A:AZ,25,FALSE),0)/9</f>
        <v>0</v>
      </c>
      <c r="FP53" s="315">
        <f t="shared" si="45"/>
        <v>172512.2</v>
      </c>
      <c r="FQ53" s="322">
        <f t="shared" si="46"/>
        <v>173857.83083333334</v>
      </c>
      <c r="FR53" s="322"/>
      <c r="FS53" s="323"/>
      <c r="FT53" s="323">
        <f>_xlfn.IFNA((VLOOKUP($A53,HN!$A:$K,8,FALSE)/12),0)+_xlfn.IFNA((VLOOKUP($A53,HN!$A:$AF,32,FALSE)*1/12),0)</f>
        <v>0</v>
      </c>
      <c r="FU53" s="323">
        <f>_xlfn.IFNA((VLOOKUP($A53,HN!$A:$BS,14,FALSE)/12),0)+_xlfn.IFNA((VLOOKUP($A53,HN!$A:$BS,34,FALSE)/3),0)</f>
        <v>0</v>
      </c>
      <c r="FV53" s="323">
        <f>_xlfn.IFNA(VLOOKUP($A53,'Post 16'!$A:$AV,32,FALSE),0)/8</f>
        <v>0</v>
      </c>
      <c r="FW53" s="323"/>
      <c r="FX53" s="323">
        <f>_xlfn.IFNA((VLOOKUP($A53,HN!$A:$K,9,FALSE)/12),0)+_xlfn.IFNA((VLOOKUP($A53,HN!$A:$K,10,FALSE)/12),0)+_xlfn.IFNA((VLOOKUP($A53,HN!$A:$BZ,33,FALSE)/12),0)+_xlfn.IFNA((VLOOKUP($A53,HN!$A:$BZ,35,FALSE)/2),0)</f>
        <v>0</v>
      </c>
      <c r="FY53" s="323">
        <f>_xlfn.IFNA((VLOOKUP($A53,HN!$A:$BS,15,FALSE)/12),0)+_xlfn.IFNA((VLOOKUP($A53,HN!$A:$CZ,36,FALSE)/2),0)</f>
        <v>0</v>
      </c>
      <c r="FZ53" s="322">
        <f t="shared" si="47"/>
        <v>-912.79999999999984</v>
      </c>
      <c r="GA53" s="322">
        <f t="shared" si="48"/>
        <v>-432.83083333333337</v>
      </c>
      <c r="GB53" s="323"/>
      <c r="GC53" s="323"/>
      <c r="GD53" s="323">
        <f>_xlfn.IFNA(VLOOKUP(A53,'LA Deductions'!A:AZ,25,FALSE),0)/9</f>
        <v>0</v>
      </c>
      <c r="GE53" s="322">
        <f t="shared" si="49"/>
        <v>172512.2</v>
      </c>
      <c r="GG53" s="146">
        <f t="shared" si="61"/>
        <v>2086293.97</v>
      </c>
      <c r="GH53" s="146">
        <f t="shared" si="61"/>
        <v>0</v>
      </c>
      <c r="GI53" s="146">
        <f t="shared" si="61"/>
        <v>0</v>
      </c>
      <c r="GJ53" s="146">
        <f t="shared" si="61"/>
        <v>-10953.599999999997</v>
      </c>
      <c r="GK53" s="146">
        <f t="shared" si="61"/>
        <v>-5193.97</v>
      </c>
      <c r="GL53" s="146">
        <f t="shared" si="61"/>
        <v>-11340</v>
      </c>
      <c r="GN53" s="146">
        <f t="shared" si="62"/>
        <v>2086293.97</v>
      </c>
      <c r="GO53" s="146">
        <f t="shared" si="62"/>
        <v>0</v>
      </c>
      <c r="GP53" s="146">
        <f t="shared" si="62"/>
        <v>0</v>
      </c>
      <c r="GQ53" s="146">
        <f t="shared" si="62"/>
        <v>-10953.599999999997</v>
      </c>
      <c r="GR53" s="146">
        <f t="shared" si="62"/>
        <v>-5193.97</v>
      </c>
      <c r="GS53" s="146">
        <f t="shared" si="62"/>
        <v>-11340</v>
      </c>
      <c r="GU53" s="146"/>
      <c r="GV53" s="57"/>
    </row>
    <row r="54" spans="1:204">
      <c r="A54" s="185">
        <v>7050</v>
      </c>
      <c r="B54" s="185">
        <v>103625</v>
      </c>
      <c r="C54" s="185" t="s">
        <v>128</v>
      </c>
      <c r="D54" s="2" t="s">
        <v>129</v>
      </c>
      <c r="E54" s="191" t="s">
        <v>47</v>
      </c>
      <c r="F54" s="191" t="s">
        <v>912</v>
      </c>
      <c r="H54" s="279">
        <f>_xlfn.IFNA(VLOOKUP($A54,ISB!$A$4:$BY$454,67,FALSE),0)</f>
        <v>0</v>
      </c>
      <c r="I54" s="279">
        <f>_xlfn.IFNA(VLOOKUP($A54,ISB!$A$4:$BY$454,72,FALSE),0)</f>
        <v>0</v>
      </c>
      <c r="J54" s="279">
        <f>-_xlfn.IFNA(VLOOKUP($A54,ISB!$A$4:$BY$454,76,FALSE),0)</f>
        <v>0</v>
      </c>
      <c r="K54" s="279">
        <f>_xlfn.IFNA(VLOOKUP($A54,ISB!$A$4:$BY$454,77,FALSE),0)</f>
        <v>0</v>
      </c>
      <c r="M54" s="301">
        <f t="shared" si="7"/>
        <v>0</v>
      </c>
      <c r="N54" s="301">
        <f>VLOOKUP($A54,EY!$A:$H,8,FALSE)+(VLOOKUP($A54,EY!$A:$BS,17,FALSE)-S54)+VLOOKUP($A54,EY!$A:$BS,41,FALSE)</f>
        <v>0</v>
      </c>
      <c r="O54" s="302"/>
      <c r="P54" s="302">
        <f>_xlfn.IFNA((VLOOKUP($A54,HN!$A:$K,8,FALSE)/12),0)</f>
        <v>101874.89583333336</v>
      </c>
      <c r="Q54" s="302">
        <f>_xlfn.IFNA((VLOOKUP($A54,HN!$A:$BS,14,FALSE)/12),0)</f>
        <v>0</v>
      </c>
      <c r="R54" s="302">
        <f>_xlfn.IFNA(VLOOKUP($A54,'Post 16'!$A:$V,21,FALSE),0)/4</f>
        <v>0</v>
      </c>
      <c r="S54" s="302">
        <f>VLOOKUP($A54,EY!A:Q,15,FALSE)*80%</f>
        <v>0</v>
      </c>
      <c r="T54" s="302">
        <f>_xlfn.IFNA((VLOOKUP($A54,HN!$A:$K,9,FALSE)/12),0)+_xlfn.IFNA((VLOOKUP($A54,HN!$A:$K,10,FALSE)/12),0)</f>
        <v>78415.219962123156</v>
      </c>
      <c r="U54" s="302">
        <f>_xlfn.IFNA((VLOOKUP($A54,HN!$A:$BS,15,FALSE)/12),0)</f>
        <v>0</v>
      </c>
      <c r="V54" s="301">
        <f t="shared" si="8"/>
        <v>0</v>
      </c>
      <c r="W54" s="301">
        <f t="shared" si="9"/>
        <v>0</v>
      </c>
      <c r="X54" s="302"/>
      <c r="Y54" s="302">
        <f>_xlfn.IFNA(VLOOKUP($A54,'Cash Advances'!$A:$S,8,FALSE),0)</f>
        <v>0</v>
      </c>
      <c r="Z54" s="301">
        <f t="shared" si="54"/>
        <v>180290.11579545651</v>
      </c>
      <c r="AA54" s="315">
        <f t="shared" si="10"/>
        <v>0</v>
      </c>
      <c r="AB54" s="315"/>
      <c r="AC54" s="316"/>
      <c r="AD54" s="316">
        <f>_xlfn.IFNA((VLOOKUP($A54,HN!$A:$K,8,FALSE)/12),0)</f>
        <v>101874.89583333336</v>
      </c>
      <c r="AE54" s="316">
        <f>_xlfn.IFNA((VLOOKUP($A54,HN!$A:$BS,14,FALSE)/12),0)</f>
        <v>0</v>
      </c>
      <c r="AF54" s="316">
        <f>_xlfn.IFNA(VLOOKUP($A54,'Post 16'!$A:$V,21,FALSE),0)/4</f>
        <v>0</v>
      </c>
      <c r="AG54" s="316"/>
      <c r="AH54" s="316">
        <f>_xlfn.IFNA((VLOOKUP($A54,HN!$A:$K,9,FALSE)/12),0)+_xlfn.IFNA((VLOOKUP($A54,HN!$A:$K,10,FALSE)/12),0)</f>
        <v>78415.219962123156</v>
      </c>
      <c r="AI54" s="316">
        <f>_xlfn.IFNA((VLOOKUP($A54,HN!$A:$BS,15,FALSE)/12),0)</f>
        <v>0</v>
      </c>
      <c r="AJ54" s="315">
        <f t="shared" si="11"/>
        <v>0</v>
      </c>
      <c r="AK54" s="315">
        <f t="shared" si="12"/>
        <v>0</v>
      </c>
      <c r="AL54" s="316"/>
      <c r="AM54" s="316">
        <f>_xlfn.IFNA(VLOOKUP($A54,'Cash Advances'!$A:$S,9,FALSE),0)</f>
        <v>0</v>
      </c>
      <c r="AN54" s="315">
        <f t="shared" si="55"/>
        <v>180290.11579545651</v>
      </c>
      <c r="AO54" s="308">
        <f t="shared" si="13"/>
        <v>0</v>
      </c>
      <c r="AP54" s="308"/>
      <c r="AQ54" s="309"/>
      <c r="AR54" s="309">
        <f>_xlfn.IFNA((VLOOKUP($A54,HN!$A:$K,8,FALSE)/12),0)</f>
        <v>101874.89583333336</v>
      </c>
      <c r="AS54" s="309">
        <f>_xlfn.IFNA((VLOOKUP($A54,HN!$A:$BS,14,FALSE)/12),0)</f>
        <v>0</v>
      </c>
      <c r="AT54" s="309">
        <f>_xlfn.IFNA(VLOOKUP($A54,'Post 16'!$A:$V,21,FALSE),0)/4</f>
        <v>0</v>
      </c>
      <c r="AU54" s="309"/>
      <c r="AV54" s="309">
        <f>_xlfn.IFNA((VLOOKUP($A54,HN!$A:$K,9,FALSE)/12),0)+_xlfn.IFNA((VLOOKUP($A54,HN!$A:$K,10,FALSE)/12),0)+_xlfn.IFNA(VLOOKUP(A54,HN!A:V,19,FALSE),0)+_xlfn.IFNA(VLOOKUP(A54,HN!A:V,20,FALSE),0)+_xlfn.IFNA(VLOOKUP(A54,HN!A:V,21,FALSE),0)</f>
        <v>679970.14303904632</v>
      </c>
      <c r="AW54" s="309">
        <f>_xlfn.IFNA((VLOOKUP($A54,HN!$A:$BS,15,FALSE)/12),0)</f>
        <v>0</v>
      </c>
      <c r="AX54" s="308">
        <f t="shared" si="14"/>
        <v>0</v>
      </c>
      <c r="AY54" s="308">
        <f t="shared" si="15"/>
        <v>0</v>
      </c>
      <c r="AZ54" s="309"/>
      <c r="BA54" s="309">
        <f>_xlfn.IFNA(VLOOKUP($A54,'Cash Advances'!$A:$S,10,FALSE),0)</f>
        <v>0</v>
      </c>
      <c r="BB54" s="308">
        <f t="shared" si="56"/>
        <v>781845.03887237969</v>
      </c>
      <c r="BC54" s="330">
        <f t="shared" si="16"/>
        <v>0</v>
      </c>
      <c r="BD54" s="330"/>
      <c r="BE54" s="331"/>
      <c r="BF54" s="331">
        <f>_xlfn.IFNA((VLOOKUP($A54,HN!$A:$K,8,FALSE)/12),0)</f>
        <v>101874.89583333336</v>
      </c>
      <c r="BG54" s="331">
        <f>_xlfn.IFNA((VLOOKUP($A54,HN!$A:$BS,14,FALSE)/12),0)</f>
        <v>0</v>
      </c>
      <c r="BH54" s="331">
        <f>_xlfn.IFNA(VLOOKUP($A54,'Post 16'!$A:$V,21,FALSE),0)/4</f>
        <v>0</v>
      </c>
      <c r="BI54" s="331"/>
      <c r="BJ54" s="331">
        <f>_xlfn.IFNA((VLOOKUP($A54,HN!$A:$K,9,FALSE)/12),0)+_xlfn.IFNA((VLOOKUP($A54,HN!$A:$K,10,FALSE)/12),0)</f>
        <v>78415.219962123156</v>
      </c>
      <c r="BK54" s="331">
        <f>_xlfn.IFNA((VLOOKUP($A54,HN!$A:$BS,15,FALSE)/12),0)</f>
        <v>0</v>
      </c>
      <c r="BL54" s="330">
        <f t="shared" si="17"/>
        <v>0</v>
      </c>
      <c r="BM54" s="330">
        <f t="shared" si="18"/>
        <v>0</v>
      </c>
      <c r="BN54" s="331"/>
      <c r="BO54" s="331">
        <f>_xlfn.IFNA(VLOOKUP(A54,'Cash Advances'!A:K,11,FALSE),0)</f>
        <v>0</v>
      </c>
      <c r="BP54" s="330">
        <f t="shared" si="57"/>
        <v>180290.11579545651</v>
      </c>
      <c r="BQ54" s="322">
        <f t="shared" si="19"/>
        <v>0</v>
      </c>
      <c r="BR54" s="322"/>
      <c r="BS54" s="323"/>
      <c r="BT54" s="323">
        <f>_xlfn.IFNA((VLOOKUP($A54,HN!$A:$K,8,FALSE)/12),0)</f>
        <v>101874.89583333336</v>
      </c>
      <c r="BU54" s="323">
        <f>_xlfn.IFNA((VLOOKUP($A54,HN!$A:$BS,14,FALSE)/12),0)</f>
        <v>0</v>
      </c>
      <c r="BV54" s="323">
        <f>(_xlfn.IFNA(VLOOKUP($A54,'Post 16'!$A:$AV,32,FALSE),0)/8)+_xlfn.IFNA(VLOOKUP($A54,'Post 16'!$A:$AR,40,FALSE),0)</f>
        <v>0</v>
      </c>
      <c r="BW54" s="323"/>
      <c r="BX54" s="323">
        <f>_xlfn.IFNA((VLOOKUP($A54,HN!$A:$K,9,FALSE)/12),0)+_xlfn.IFNA((VLOOKUP($A54,HN!$A:$K,10,FALSE)/12),0)</f>
        <v>78415.219962123156</v>
      </c>
      <c r="BY54" s="323">
        <f>_xlfn.IFNA((VLOOKUP($A54,HN!$A:$BS,15,FALSE)/12),0)</f>
        <v>0</v>
      </c>
      <c r="BZ54" s="322">
        <f t="shared" si="20"/>
        <v>0</v>
      </c>
      <c r="CA54" s="322">
        <f t="shared" si="21"/>
        <v>0</v>
      </c>
      <c r="CB54" s="323"/>
      <c r="CC54" s="323"/>
      <c r="CD54" s="322">
        <f t="shared" si="58"/>
        <v>180290.11579545651</v>
      </c>
      <c r="CE54" s="357">
        <f t="shared" si="22"/>
        <v>0</v>
      </c>
      <c r="CF54" s="357">
        <f>(VLOOKUP($A54,EY!$A:$BS,26,FALSE)-(VLOOKUP($A54,EY!A:CR,24,FALSE)*80%))+VLOOKUP($A54,EY!$A:$BS,42,FALSE)+(VLOOKUP($A54,EY!A:CC,74,FALSE)-VLOOKUP($A54,EY!A:CC,72,FALSE))</f>
        <v>0</v>
      </c>
      <c r="CG54" s="358"/>
      <c r="CH54" s="358">
        <f>_xlfn.IFNA((VLOOKUP($A54,HN!$A:$K,8,FALSE)/12),0)</f>
        <v>101874.89583333336</v>
      </c>
      <c r="CI54" s="358">
        <f>_xlfn.IFNA((VLOOKUP($A54,HN!$A:$BS,14,FALSE)/12),0)</f>
        <v>0</v>
      </c>
      <c r="CJ54" s="358">
        <f>(_xlfn.IFNA(VLOOKUP($A54,'Post 16'!$A:$AV,32,FALSE),0)/8)</f>
        <v>0</v>
      </c>
      <c r="CK54" s="358">
        <f>(VLOOKUP($A54,EY!A:CR,24,FALSE)*80%)+VLOOKUP($A54,EY!A:CC,72,FALSE)</f>
        <v>0</v>
      </c>
      <c r="CL54" s="358">
        <f>_xlfn.IFNA((VLOOKUP($A54,HN!$A:$K,9,FALSE)/12),0)+_xlfn.IFNA((VLOOKUP($A54,HN!$A:$K,10,FALSE)/12),0)</f>
        <v>78415.219962123156</v>
      </c>
      <c r="CM54" s="358">
        <f>_xlfn.IFNA((VLOOKUP($A54,HN!$A:$BS,15,FALSE)/12),0)</f>
        <v>0</v>
      </c>
      <c r="CN54" s="357">
        <f t="shared" si="23"/>
        <v>0</v>
      </c>
      <c r="CO54" s="357">
        <f t="shared" si="24"/>
        <v>0</v>
      </c>
      <c r="CP54" s="358">
        <f>_xlfn.IFNA(VLOOKUP(A54,'LA Deductions'!A:W,23,FALSE),0)</f>
        <v>-3291.75</v>
      </c>
      <c r="CQ54" s="358">
        <f>_xlfn.IFNA(VLOOKUP($A54,'Cash Advances'!$A:$S,13,FALSE),0)</f>
        <v>0</v>
      </c>
      <c r="CR54" s="358">
        <f>_xlfn.IFNA(VLOOKUP(A54,'LA Deductions'!A:AZ,25,FALSE),0)/9*3</f>
        <v>0</v>
      </c>
      <c r="CS54" s="357">
        <f t="shared" si="25"/>
        <v>176998.36579545651</v>
      </c>
      <c r="CT54" s="337">
        <f t="shared" si="26"/>
        <v>0</v>
      </c>
      <c r="CU54" s="337"/>
      <c r="CV54" s="338">
        <f>_xlfn.IFNA(VLOOKUP(A54,'LA Deductions'!$A$6:$AN$207,34,FALSE),0)</f>
        <v>0</v>
      </c>
      <c r="CW54" s="338">
        <f>_xlfn.IFNA((VLOOKUP($A54,HN!$A:$K,8,FALSE)/12),0)</f>
        <v>101874.89583333336</v>
      </c>
      <c r="CX54" s="338">
        <f>_xlfn.IFNA((VLOOKUP($A54,HN!$A:$BS,14,FALSE)/12),0)</f>
        <v>0</v>
      </c>
      <c r="CY54" s="338">
        <f>_xlfn.IFNA(VLOOKUP($A54,'Post 16'!$A:$AV,32,FALSE),0)/8</f>
        <v>0</v>
      </c>
      <c r="CZ54" s="338"/>
      <c r="DA54" s="338">
        <f>_xlfn.IFNA((VLOOKUP($A54,HN!$A:$K,9,FALSE)/12),0)+_xlfn.IFNA((VLOOKUP($A54,HN!$A:$K,10,FALSE)/12),0)</f>
        <v>78415.219962123156</v>
      </c>
      <c r="DB54" s="338">
        <f>_xlfn.IFNA((VLOOKUP($A54,HN!$A:$BS,15,FALSE)/12),0)</f>
        <v>0</v>
      </c>
      <c r="DC54" s="337">
        <f t="shared" si="27"/>
        <v>0</v>
      </c>
      <c r="DD54" s="337">
        <f t="shared" si="28"/>
        <v>0</v>
      </c>
      <c r="DE54" s="338"/>
      <c r="DF54" s="338">
        <f>_xlfn.IFNA(VLOOKUP($A54,'Cash Advances'!$A:$S,14,FALSE),0)</f>
        <v>0</v>
      </c>
      <c r="DG54" s="338">
        <f>(_xlfn.IFNA(VLOOKUP(A54,'LA Deductions'!A:AZ,25,FALSE),0)/9)+(_xlfn.IFNA(VLOOKUP(A54,'LA Deductions'!A:AZ,26,FALSE),0))</f>
        <v>0</v>
      </c>
      <c r="DH54" s="337">
        <f t="shared" si="29"/>
        <v>180290.11579545651</v>
      </c>
      <c r="DI54" s="330">
        <f t="shared" si="30"/>
        <v>0</v>
      </c>
      <c r="DJ54" s="330"/>
      <c r="DK54" s="331"/>
      <c r="DL54" s="331">
        <f>_xlfn.IFNA((VLOOKUP($A54,HN!$A:$K,8,FALSE)/12),0)+_xlfn.IFNA((VLOOKUP($A54,HN!$A:$AF,32,FALSE)*8/12),0)</f>
        <v>104945.72916666669</v>
      </c>
      <c r="DM54" s="331">
        <f>_xlfn.IFNA((VLOOKUP($A54,HN!$A:$BS,14,FALSE)/12),0)+_xlfn.IFNA(VLOOKUP($A54,HN!$A:$BS,31,FALSE),0)</f>
        <v>0</v>
      </c>
      <c r="DN54" s="331">
        <f>_xlfn.IFNA(VLOOKUP($A54,'Post 16'!$A:$AV,32,FALSE),0)/8</f>
        <v>0</v>
      </c>
      <c r="DO54" s="331"/>
      <c r="DP54" s="331">
        <f>_xlfn.IFNA((VLOOKUP($A54,HN!$A:$K,9,FALSE)/12),0)+_xlfn.IFNA((VLOOKUP($A54,HN!$A:$K,10,FALSE)/12),0)+_xlfn.IFNA((VLOOKUP($A54,HN!$A:$BZ,33,FALSE)*8/12),0)</f>
        <v>230447.38915376068</v>
      </c>
      <c r="DQ54" s="331">
        <f>_xlfn.IFNA((VLOOKUP($A54,HN!$A:$BS,15,FALSE)/12),0)</f>
        <v>0</v>
      </c>
      <c r="DR54" s="330">
        <f t="shared" si="31"/>
        <v>0</v>
      </c>
      <c r="DS54" s="330">
        <f t="shared" si="32"/>
        <v>0</v>
      </c>
      <c r="DT54" s="331"/>
      <c r="DU54" s="331"/>
      <c r="DV54" s="331">
        <f>(_xlfn.IFNA(VLOOKUP(A54,'LA Deductions'!A:AZ,25,FALSE),0)/9)+_xlfn.IFNA(VLOOKUP(A54,'LA Deductions'!A:AZ,27,FALSE),0)</f>
        <v>0</v>
      </c>
      <c r="DW54" s="330">
        <f t="shared" si="33"/>
        <v>335393.11832042737</v>
      </c>
      <c r="DX54" s="344">
        <f t="shared" si="34"/>
        <v>0</v>
      </c>
      <c r="DY54" s="344"/>
      <c r="DZ54" s="345"/>
      <c r="EA54" s="345">
        <f>_xlfn.IFNA((VLOOKUP($A54,HN!$A:$K,8,FALSE)/12),0)+_xlfn.IFNA((VLOOKUP($A54,HN!$A:$AF,32,FALSE)*1/12),0)</f>
        <v>102258.75000000003</v>
      </c>
      <c r="EB54" s="345">
        <f>_xlfn.IFNA((VLOOKUP($A54,HN!$A:$BS,14,FALSE)/12),0)</f>
        <v>0</v>
      </c>
      <c r="EC54" s="345">
        <f>_xlfn.IFNA(VLOOKUP($A54,'Post 16'!$A:$AV,32,FALSE),0)/8</f>
        <v>0</v>
      </c>
      <c r="ED54" s="345"/>
      <c r="EE54" s="345">
        <f>_xlfn.IFNA((VLOOKUP($A54,HN!$A:$K,9,FALSE)/12),0)+_xlfn.IFNA((VLOOKUP($A54,HN!$A:$K,10,FALSE)/12),0)+_xlfn.IFNA((VLOOKUP($A54,HN!$A:$BZ,33,FALSE)/12),0)</f>
        <v>97419.241111077848</v>
      </c>
      <c r="EF54" s="345">
        <f>_xlfn.IFNA((VLOOKUP($A54,HN!$A:$BS,15,FALSE)/12),0)</f>
        <v>0</v>
      </c>
      <c r="EG54" s="344">
        <f t="shared" si="35"/>
        <v>0</v>
      </c>
      <c r="EH54" s="344">
        <f t="shared" si="36"/>
        <v>0</v>
      </c>
      <c r="EI54" s="345"/>
      <c r="EJ54" s="345">
        <f>_xlfn.IFNA(VLOOKUP(A54,'Cash Advances'!A:P,16,FALSE),0)</f>
        <v>0</v>
      </c>
      <c r="EK54" s="345">
        <f>_xlfn.IFNA(VLOOKUP(A54,'LA Deductions'!A:AZ,25,FALSE),0)/9</f>
        <v>0</v>
      </c>
      <c r="EL54" s="344">
        <f t="shared" si="37"/>
        <v>199677.99111107789</v>
      </c>
      <c r="EM54" s="308">
        <f t="shared" si="38"/>
        <v>0</v>
      </c>
      <c r="EN54" s="308">
        <f>((VLOOKUP($A54,EY!$A:$BS,35,FALSE)-(VLOOKUP($A54,EY!$A:$BS,33,FALSE)*80%))+VLOOKUP($A54,EY!$A:$BS,43,FALSE))+(VLOOKUP(A54,EY!A:DF,110,FALSE)-VLOOKUP(A54,EY!A:DD,108,FALSE))+(VLOOKUP(A54,EY!A:CE,83,FALSE)-VLOOKUP(A54,EY!A:CC,81,FALSE))</f>
        <v>0</v>
      </c>
      <c r="EO54" s="309"/>
      <c r="EP54" s="309">
        <f>_xlfn.IFNA((VLOOKUP($A54,HN!$A:$K,8,FALSE)/12),0)+_xlfn.IFNA((VLOOKUP($A54,HN!$A:$AF,32,FALSE)*1/12),0)</f>
        <v>102258.75000000003</v>
      </c>
      <c r="EQ54" s="309">
        <f>_xlfn.IFNA((VLOOKUP($A54,HN!$A:$BS,14,FALSE)/12),0)+_xlfn.IFNA((VLOOKUP($A54,HN!$A:$BS,34,FALSE)/3),0)</f>
        <v>0</v>
      </c>
      <c r="ER54" s="309">
        <f>_xlfn.IFNA(VLOOKUP($A54,'Post 16'!$A:$AV,32,FALSE),0)/8</f>
        <v>0</v>
      </c>
      <c r="ES54" s="309">
        <f>((VLOOKUP($A54,EY!A:EV,33,FALSE)*80%))+VLOOKUP(A54,EY!A:DD,108,FALSE)+VLOOKUP(A54,EY!A:CC,81,FALSE)</f>
        <v>0</v>
      </c>
      <c r="ET54" s="309">
        <f>_xlfn.IFNA((VLOOKUP($A54,HN!$A:$K,9,FALSE)/12),0)+_xlfn.IFNA((VLOOKUP($A54,HN!$A:$K,10,FALSE)/12),0)+_xlfn.IFNA((VLOOKUP($A54,HN!$A:$BZ,33,FALSE)/12),0)</f>
        <v>97419.241111077848</v>
      </c>
      <c r="EU54" s="309">
        <f>_xlfn.IFNA((VLOOKUP($A54,HN!$A:$BS,15,FALSE)/12),0)</f>
        <v>0</v>
      </c>
      <c r="EV54" s="308">
        <f t="shared" si="39"/>
        <v>0</v>
      </c>
      <c r="EW54" s="308">
        <f t="shared" si="40"/>
        <v>0</v>
      </c>
      <c r="EX54" s="309"/>
      <c r="EY54" s="309">
        <f>_xlfn.IFNA(VLOOKUP($A54,'Cash Advances'!$A:$S,17,FALSE),0)</f>
        <v>0</v>
      </c>
      <c r="EZ54" s="309">
        <f>_xlfn.IFNA(VLOOKUP(A54,'LA Deductions'!A:AZ,25,FALSE),0)/9</f>
        <v>0</v>
      </c>
      <c r="FA54" s="308">
        <f t="shared" si="41"/>
        <v>199677.99111107789</v>
      </c>
      <c r="FB54" s="315">
        <f t="shared" si="42"/>
        <v>0</v>
      </c>
      <c r="FC54" s="315"/>
      <c r="FD54" s="316"/>
      <c r="FE54" s="316">
        <f>_xlfn.IFNA((VLOOKUP($A54,HN!$A:$K,8,FALSE)/12),0)+_xlfn.IFNA((VLOOKUP($A54,HN!$A:$AF,32,FALSE)*1/12),0)</f>
        <v>102258.75000000003</v>
      </c>
      <c r="FF54" s="316">
        <f>_xlfn.IFNA((VLOOKUP($A54,HN!$A:$BS,14,FALSE)/12),0)+_xlfn.IFNA((VLOOKUP($A54,HN!$A:$BS,34,FALSE)/3),0)</f>
        <v>0</v>
      </c>
      <c r="FG54" s="316">
        <f>_xlfn.IFNA(VLOOKUP($A54,'Post 16'!$A:$AV,32,FALSE),0)/8</f>
        <v>0</v>
      </c>
      <c r="FH54" s="316"/>
      <c r="FI54" s="316">
        <f>_xlfn.IFNA((VLOOKUP($A54,HN!$A:$K,9,FALSE)/12),0)+_xlfn.IFNA((VLOOKUP($A54,HN!$A:$K,10,FALSE)/12),0)+_xlfn.IFNA((VLOOKUP($A54,HN!$A:$BZ,33,FALSE)/12),0)+_xlfn.IFNA((VLOOKUP($A54,HN!$A:$BZ,35,FALSE)/2),0)</f>
        <v>97419.241111077848</v>
      </c>
      <c r="FJ54" s="316">
        <f>_xlfn.IFNA((VLOOKUP($A54,HN!$A:$BS,15,FALSE)/12),0)+_xlfn.IFNA((VLOOKUP($A54,HN!$A:$CZ,36,FALSE)/2),0)</f>
        <v>0</v>
      </c>
      <c r="FK54" s="315">
        <f t="shared" si="43"/>
        <v>0</v>
      </c>
      <c r="FL54" s="315">
        <f t="shared" si="44"/>
        <v>0</v>
      </c>
      <c r="FM54" s="316"/>
      <c r="FN54" s="316">
        <f>_xlfn.IFNA(VLOOKUP($A54,'Cash Advances'!$A:$S,18,FALSE),0)</f>
        <v>0</v>
      </c>
      <c r="FO54" s="316">
        <f>_xlfn.IFNA(VLOOKUP(A54,'LA Deductions'!A:AZ,25,FALSE),0)/9</f>
        <v>0</v>
      </c>
      <c r="FP54" s="315">
        <f t="shared" si="45"/>
        <v>199677.99111107789</v>
      </c>
      <c r="FQ54" s="322">
        <f t="shared" si="46"/>
        <v>0</v>
      </c>
      <c r="FR54" s="322"/>
      <c r="FS54" s="323"/>
      <c r="FT54" s="323">
        <f>_xlfn.IFNA((VLOOKUP($A54,HN!$A:$K,8,FALSE)/12),0)+_xlfn.IFNA((VLOOKUP($A54,HN!$A:$AF,32,FALSE)*1/12),0)</f>
        <v>102258.75000000003</v>
      </c>
      <c r="FU54" s="323">
        <f>_xlfn.IFNA((VLOOKUP($A54,HN!$A:$BS,14,FALSE)/12),0)+_xlfn.IFNA((VLOOKUP($A54,HN!$A:$BS,34,FALSE)/3),0)</f>
        <v>0</v>
      </c>
      <c r="FV54" s="323">
        <f>_xlfn.IFNA(VLOOKUP($A54,'Post 16'!$A:$AV,32,FALSE),0)/8</f>
        <v>0</v>
      </c>
      <c r="FW54" s="323"/>
      <c r="FX54" s="323">
        <f>_xlfn.IFNA((VLOOKUP($A54,HN!$A:$K,9,FALSE)/12),0)+_xlfn.IFNA((VLOOKUP($A54,HN!$A:$K,10,FALSE)/12),0)+_xlfn.IFNA((VLOOKUP($A54,HN!$A:$BZ,33,FALSE)/12),0)+_xlfn.IFNA((VLOOKUP($A54,HN!$A:$BZ,35,FALSE)/2),0)</f>
        <v>97419.241111077848</v>
      </c>
      <c r="FY54" s="323">
        <f>_xlfn.IFNA((VLOOKUP($A54,HN!$A:$BS,15,FALSE)/12),0)+_xlfn.IFNA((VLOOKUP($A54,HN!$A:$CZ,36,FALSE)/2),0)</f>
        <v>0</v>
      </c>
      <c r="FZ54" s="322">
        <f t="shared" si="47"/>
        <v>0</v>
      </c>
      <c r="GA54" s="322">
        <f t="shared" si="48"/>
        <v>0</v>
      </c>
      <c r="GB54" s="323"/>
      <c r="GC54" s="323"/>
      <c r="GD54" s="323">
        <f>_xlfn.IFNA(VLOOKUP(A54,'LA Deductions'!A:AZ,25,FALSE),0)/9</f>
        <v>0</v>
      </c>
      <c r="GE54" s="322">
        <f t="shared" si="49"/>
        <v>199677.99111107789</v>
      </c>
      <c r="GG54" s="146">
        <f t="shared" si="61"/>
        <v>1227105.0000000002</v>
      </c>
      <c r="GH54" s="146">
        <f t="shared" si="61"/>
        <v>0</v>
      </c>
      <c r="GI54" s="146">
        <f t="shared" si="61"/>
        <v>1770585.8164098572</v>
      </c>
      <c r="GJ54" s="146">
        <f t="shared" si="61"/>
        <v>0</v>
      </c>
      <c r="GK54" s="146">
        <f t="shared" si="61"/>
        <v>0</v>
      </c>
      <c r="GL54" s="146">
        <f t="shared" si="61"/>
        <v>-3291.75</v>
      </c>
      <c r="GN54" s="146">
        <f t="shared" si="62"/>
        <v>1227105.0000000002</v>
      </c>
      <c r="GO54" s="146">
        <f t="shared" si="62"/>
        <v>0</v>
      </c>
      <c r="GP54" s="146">
        <f t="shared" si="62"/>
        <v>1770585.8164098572</v>
      </c>
      <c r="GQ54" s="146">
        <f t="shared" si="62"/>
        <v>0</v>
      </c>
      <c r="GR54" s="146">
        <f t="shared" si="62"/>
        <v>0</v>
      </c>
      <c r="GS54" s="146">
        <f t="shared" si="62"/>
        <v>-3291.75</v>
      </c>
      <c r="GU54" s="146"/>
      <c r="GV54" s="57"/>
    </row>
    <row r="55" spans="1:204">
      <c r="A55" s="185">
        <v>1006</v>
      </c>
      <c r="B55" s="185">
        <v>103122</v>
      </c>
      <c r="C55" s="185" t="s">
        <v>130</v>
      </c>
      <c r="D55" s="2" t="s">
        <v>131</v>
      </c>
      <c r="E55" s="191" t="s">
        <v>29</v>
      </c>
      <c r="F55" s="191" t="s">
        <v>912</v>
      </c>
      <c r="H55" s="279">
        <f>_xlfn.IFNA(VLOOKUP($A55,ISB!$A$4:$BY$454,67,FALSE),0)</f>
        <v>0</v>
      </c>
      <c r="I55" s="279">
        <f>_xlfn.IFNA(VLOOKUP($A55,ISB!$A$4:$BY$454,72,FALSE),0)</f>
        <v>0</v>
      </c>
      <c r="J55" s="279">
        <f>-_xlfn.IFNA(VLOOKUP($A55,ISB!$A$4:$BY$454,76,FALSE),0)</f>
        <v>0</v>
      </c>
      <c r="K55" s="279">
        <f>_xlfn.IFNA(VLOOKUP($A55,ISB!$A$4:$BY$454,77,FALSE),0)</f>
        <v>0</v>
      </c>
      <c r="M55" s="301">
        <f t="shared" si="7"/>
        <v>0</v>
      </c>
      <c r="N55" s="301">
        <f>VLOOKUP($A55,EY!$A:$H,8,FALSE)+(VLOOKUP($A55,EY!$A:$BS,17,FALSE)-S55)+VLOOKUP($A55,EY!$A:$BS,41,FALSE)</f>
        <v>287995.30801733508</v>
      </c>
      <c r="O55" s="302"/>
      <c r="P55" s="302">
        <f>_xlfn.IFNA((VLOOKUP($A55,HN!$A:$K,8,FALSE)/12),0)</f>
        <v>0</v>
      </c>
      <c r="Q55" s="302">
        <f>_xlfn.IFNA((VLOOKUP($A55,HN!$A:$BS,14,FALSE)/12),0)</f>
        <v>3333.3333333333335</v>
      </c>
      <c r="R55" s="302">
        <f>_xlfn.IFNA(VLOOKUP($A55,'Post 16'!$A:$V,21,FALSE),0)/4</f>
        <v>0</v>
      </c>
      <c r="S55" s="302">
        <f>VLOOKUP($A55,EY!A:Q,15,FALSE)*80%</f>
        <v>1797.0105263157893</v>
      </c>
      <c r="T55" s="302">
        <f>_xlfn.IFNA((VLOOKUP($A55,HN!$A:$K,9,FALSE)/12),0)+_xlfn.IFNA((VLOOKUP($A55,HN!$A:$K,10,FALSE)/12),0)</f>
        <v>0</v>
      </c>
      <c r="U55" s="302">
        <f>_xlfn.IFNA((VLOOKUP($A55,HN!$A:$BS,15,FALSE)/12),0)</f>
        <v>4413.3166666666666</v>
      </c>
      <c r="V55" s="301">
        <f t="shared" si="8"/>
        <v>0</v>
      </c>
      <c r="W55" s="301">
        <f t="shared" si="9"/>
        <v>0</v>
      </c>
      <c r="X55" s="302"/>
      <c r="Y55" s="302">
        <f>_xlfn.IFNA(VLOOKUP($A55,'Cash Advances'!$A:$S,8,FALSE),0)</f>
        <v>0</v>
      </c>
      <c r="Z55" s="301">
        <f t="shared" si="54"/>
        <v>297538.96854365082</v>
      </c>
      <c r="AA55" s="315">
        <f t="shared" si="10"/>
        <v>0</v>
      </c>
      <c r="AB55" s="315"/>
      <c r="AC55" s="316"/>
      <c r="AD55" s="316">
        <f>_xlfn.IFNA((VLOOKUP($A55,HN!$A:$K,8,FALSE)/12),0)</f>
        <v>0</v>
      </c>
      <c r="AE55" s="316">
        <f>_xlfn.IFNA((VLOOKUP($A55,HN!$A:$BS,14,FALSE)/12),0)</f>
        <v>3333.3333333333335</v>
      </c>
      <c r="AF55" s="316">
        <f>_xlfn.IFNA(VLOOKUP($A55,'Post 16'!$A:$V,21,FALSE),0)/4</f>
        <v>0</v>
      </c>
      <c r="AG55" s="316"/>
      <c r="AH55" s="316">
        <f>_xlfn.IFNA((VLOOKUP($A55,HN!$A:$K,9,FALSE)/12),0)+_xlfn.IFNA((VLOOKUP($A55,HN!$A:$K,10,FALSE)/12),0)</f>
        <v>0</v>
      </c>
      <c r="AI55" s="316">
        <f>_xlfn.IFNA((VLOOKUP($A55,HN!$A:$BS,15,FALSE)/12),0)</f>
        <v>4413.3166666666666</v>
      </c>
      <c r="AJ55" s="315">
        <f t="shared" si="11"/>
        <v>0</v>
      </c>
      <c r="AK55" s="315">
        <f t="shared" si="12"/>
        <v>0</v>
      </c>
      <c r="AL55" s="316"/>
      <c r="AM55" s="316">
        <f>_xlfn.IFNA(VLOOKUP($A55,'Cash Advances'!$A:$S,9,FALSE),0)</f>
        <v>0</v>
      </c>
      <c r="AN55" s="315">
        <f t="shared" si="55"/>
        <v>7746.65</v>
      </c>
      <c r="AO55" s="308">
        <f t="shared" si="13"/>
        <v>0</v>
      </c>
      <c r="AP55" s="308"/>
      <c r="AQ55" s="309"/>
      <c r="AR55" s="309">
        <f>_xlfn.IFNA((VLOOKUP($A55,HN!$A:$K,8,FALSE)/12),0)</f>
        <v>0</v>
      </c>
      <c r="AS55" s="309">
        <f>_xlfn.IFNA((VLOOKUP($A55,HN!$A:$BS,14,FALSE)/12),0)</f>
        <v>3333.3333333333335</v>
      </c>
      <c r="AT55" s="309">
        <f>_xlfn.IFNA(VLOOKUP($A55,'Post 16'!$A:$V,21,FALSE),0)/4</f>
        <v>0</v>
      </c>
      <c r="AU55" s="309"/>
      <c r="AV55" s="309">
        <f>_xlfn.IFNA((VLOOKUP($A55,HN!$A:$K,9,FALSE)/12),0)+_xlfn.IFNA((VLOOKUP($A55,HN!$A:$K,10,FALSE)/12),0)+_xlfn.IFNA(VLOOKUP(A55,HN!A:V,19,FALSE),0)+_xlfn.IFNA(VLOOKUP(A55,HN!A:V,20,FALSE),0)+_xlfn.IFNA(VLOOKUP(A55,HN!A:V,21,FALSE),0)</f>
        <v>0</v>
      </c>
      <c r="AW55" s="309">
        <f>_xlfn.IFNA((VLOOKUP($A55,HN!$A:$BS,15,FALSE)/12),0)</f>
        <v>4413.3166666666666</v>
      </c>
      <c r="AX55" s="308">
        <f t="shared" si="14"/>
        <v>0</v>
      </c>
      <c r="AY55" s="308">
        <f t="shared" si="15"/>
        <v>0</v>
      </c>
      <c r="AZ55" s="309"/>
      <c r="BA55" s="309">
        <f>_xlfn.IFNA(VLOOKUP($A55,'Cash Advances'!$A:$S,10,FALSE),0)</f>
        <v>0</v>
      </c>
      <c r="BB55" s="308">
        <f t="shared" si="56"/>
        <v>7746.65</v>
      </c>
      <c r="BC55" s="330">
        <f t="shared" si="16"/>
        <v>0</v>
      </c>
      <c r="BD55" s="330"/>
      <c r="BE55" s="331"/>
      <c r="BF55" s="331">
        <f>_xlfn.IFNA((VLOOKUP($A55,HN!$A:$K,8,FALSE)/12),0)</f>
        <v>0</v>
      </c>
      <c r="BG55" s="331">
        <f>_xlfn.IFNA((VLOOKUP($A55,HN!$A:$BS,14,FALSE)/12),0)</f>
        <v>3333.3333333333335</v>
      </c>
      <c r="BH55" s="331">
        <f>_xlfn.IFNA(VLOOKUP($A55,'Post 16'!$A:$V,21,FALSE),0)/4</f>
        <v>0</v>
      </c>
      <c r="BI55" s="331"/>
      <c r="BJ55" s="331">
        <f>_xlfn.IFNA((VLOOKUP($A55,HN!$A:$K,9,FALSE)/12),0)+_xlfn.IFNA((VLOOKUP($A55,HN!$A:$K,10,FALSE)/12),0)</f>
        <v>0</v>
      </c>
      <c r="BK55" s="331">
        <f>_xlfn.IFNA((VLOOKUP($A55,HN!$A:$BS,15,FALSE)/12),0)</f>
        <v>4413.3166666666666</v>
      </c>
      <c r="BL55" s="330">
        <f t="shared" si="17"/>
        <v>0</v>
      </c>
      <c r="BM55" s="330">
        <f t="shared" si="18"/>
        <v>0</v>
      </c>
      <c r="BN55" s="331"/>
      <c r="BO55" s="331">
        <f>_xlfn.IFNA(VLOOKUP(A55,'Cash Advances'!A:K,11,FALSE),0)</f>
        <v>0</v>
      </c>
      <c r="BP55" s="330">
        <f t="shared" si="57"/>
        <v>7746.65</v>
      </c>
      <c r="BQ55" s="322">
        <f t="shared" si="19"/>
        <v>0</v>
      </c>
      <c r="BR55" s="322"/>
      <c r="BS55" s="323"/>
      <c r="BT55" s="323">
        <f>_xlfn.IFNA((VLOOKUP($A55,HN!$A:$K,8,FALSE)/12),0)</f>
        <v>0</v>
      </c>
      <c r="BU55" s="323">
        <f>_xlfn.IFNA((VLOOKUP($A55,HN!$A:$BS,14,FALSE)/12),0)</f>
        <v>3333.3333333333335</v>
      </c>
      <c r="BV55" s="323">
        <f>(_xlfn.IFNA(VLOOKUP($A55,'Post 16'!$A:$AV,32,FALSE),0)/8)+_xlfn.IFNA(VLOOKUP($A55,'Post 16'!$A:$AR,40,FALSE),0)</f>
        <v>0</v>
      </c>
      <c r="BW55" s="323"/>
      <c r="BX55" s="323">
        <f>_xlfn.IFNA((VLOOKUP($A55,HN!$A:$K,9,FALSE)/12),0)+_xlfn.IFNA((VLOOKUP($A55,HN!$A:$K,10,FALSE)/12),0)</f>
        <v>0</v>
      </c>
      <c r="BY55" s="323">
        <f>_xlfn.IFNA((VLOOKUP($A55,HN!$A:$BS,15,FALSE)/12),0)</f>
        <v>4413.3166666666666</v>
      </c>
      <c r="BZ55" s="322">
        <f t="shared" si="20"/>
        <v>0</v>
      </c>
      <c r="CA55" s="322">
        <f t="shared" si="21"/>
        <v>0</v>
      </c>
      <c r="CB55" s="323"/>
      <c r="CC55" s="323"/>
      <c r="CD55" s="322">
        <f t="shared" si="58"/>
        <v>7746.65</v>
      </c>
      <c r="CE55" s="357">
        <f t="shared" si="22"/>
        <v>0</v>
      </c>
      <c r="CF55" s="357">
        <f>(VLOOKUP($A55,EY!$A:$BS,26,FALSE)-(VLOOKUP($A55,EY!A:CR,24,FALSE)*80%))+VLOOKUP($A55,EY!$A:$BS,42,FALSE)+(VLOOKUP($A55,EY!A:CC,74,FALSE)-VLOOKUP($A55,EY!A:CC,72,FALSE))</f>
        <v>114502.74774771818</v>
      </c>
      <c r="CG55" s="358"/>
      <c r="CH55" s="358">
        <f>_xlfn.IFNA((VLOOKUP($A55,HN!$A:$K,8,FALSE)/12),0)</f>
        <v>0</v>
      </c>
      <c r="CI55" s="358">
        <f>_xlfn.IFNA((VLOOKUP($A55,HN!$A:$BS,14,FALSE)/12),0)</f>
        <v>3333.3333333333335</v>
      </c>
      <c r="CJ55" s="358">
        <f>(_xlfn.IFNA(VLOOKUP($A55,'Post 16'!$A:$AV,32,FALSE),0)/8)</f>
        <v>0</v>
      </c>
      <c r="CK55" s="358">
        <f>(VLOOKUP($A55,EY!A:CR,24,FALSE)*80%)+VLOOKUP($A55,EY!A:CC,72,FALSE)</f>
        <v>2631.294210526316</v>
      </c>
      <c r="CL55" s="358">
        <f>_xlfn.IFNA((VLOOKUP($A55,HN!$A:$K,9,FALSE)/12),0)+_xlfn.IFNA((VLOOKUP($A55,HN!$A:$K,10,FALSE)/12),0)</f>
        <v>0</v>
      </c>
      <c r="CM55" s="358">
        <f>_xlfn.IFNA((VLOOKUP($A55,HN!$A:$BS,15,FALSE)/12),0)</f>
        <v>4413.3166666666666</v>
      </c>
      <c r="CN55" s="357">
        <f t="shared" si="23"/>
        <v>0</v>
      </c>
      <c r="CO55" s="357">
        <f t="shared" si="24"/>
        <v>0</v>
      </c>
      <c r="CP55" s="358">
        <f>_xlfn.IFNA(VLOOKUP(A55,'LA Deductions'!A:W,23,FALSE),0)</f>
        <v>-3291.75</v>
      </c>
      <c r="CQ55" s="358">
        <f>_xlfn.IFNA(VLOOKUP($A55,'Cash Advances'!$A:$S,13,FALSE),0)</f>
        <v>0</v>
      </c>
      <c r="CR55" s="358">
        <f>_xlfn.IFNA(VLOOKUP(A55,'LA Deductions'!A:AZ,25,FALSE),0)/9*3</f>
        <v>0</v>
      </c>
      <c r="CS55" s="357">
        <f t="shared" si="25"/>
        <v>121588.9419582445</v>
      </c>
      <c r="CT55" s="337">
        <f t="shared" si="26"/>
        <v>0</v>
      </c>
      <c r="CU55" s="337"/>
      <c r="CV55" s="338">
        <f>_xlfn.IFNA(VLOOKUP(A55,'LA Deductions'!$A$6:$AN$207,34,FALSE),0)</f>
        <v>0</v>
      </c>
      <c r="CW55" s="338">
        <f>_xlfn.IFNA((VLOOKUP($A55,HN!$A:$K,8,FALSE)/12),0)</f>
        <v>0</v>
      </c>
      <c r="CX55" s="338">
        <f>_xlfn.IFNA((VLOOKUP($A55,HN!$A:$BS,14,FALSE)/12),0)</f>
        <v>3333.3333333333335</v>
      </c>
      <c r="CY55" s="338">
        <f>_xlfn.IFNA(VLOOKUP($A55,'Post 16'!$A:$AV,32,FALSE),0)/8</f>
        <v>0</v>
      </c>
      <c r="CZ55" s="338"/>
      <c r="DA55" s="338">
        <f>_xlfn.IFNA((VLOOKUP($A55,HN!$A:$K,9,FALSE)/12),0)+_xlfn.IFNA((VLOOKUP($A55,HN!$A:$K,10,FALSE)/12),0)</f>
        <v>0</v>
      </c>
      <c r="DB55" s="338">
        <f>_xlfn.IFNA((VLOOKUP($A55,HN!$A:$BS,15,FALSE)/12),0)</f>
        <v>4413.3166666666666</v>
      </c>
      <c r="DC55" s="337">
        <f t="shared" si="27"/>
        <v>0</v>
      </c>
      <c r="DD55" s="337">
        <f t="shared" si="28"/>
        <v>0</v>
      </c>
      <c r="DE55" s="338"/>
      <c r="DF55" s="338">
        <f>_xlfn.IFNA(VLOOKUP($A55,'Cash Advances'!$A:$S,14,FALSE),0)</f>
        <v>0</v>
      </c>
      <c r="DG55" s="338">
        <f>(_xlfn.IFNA(VLOOKUP(A55,'LA Deductions'!A:AZ,25,FALSE),0)/9)+(_xlfn.IFNA(VLOOKUP(A55,'LA Deductions'!A:AZ,26,FALSE),0))</f>
        <v>0</v>
      </c>
      <c r="DH55" s="337">
        <f t="shared" si="29"/>
        <v>7746.65</v>
      </c>
      <c r="DI55" s="330">
        <f t="shared" si="30"/>
        <v>0</v>
      </c>
      <c r="DJ55" s="330"/>
      <c r="DK55" s="331"/>
      <c r="DL55" s="331">
        <f>_xlfn.IFNA((VLOOKUP($A55,HN!$A:$K,8,FALSE)/12),0)+_xlfn.IFNA((VLOOKUP($A55,HN!$A:$AF,32,FALSE)*8/12),0)</f>
        <v>0</v>
      </c>
      <c r="DM55" s="331">
        <f>_xlfn.IFNA((VLOOKUP($A55,HN!$A:$BS,14,FALSE)/12),0)+_xlfn.IFNA(VLOOKUP($A55,HN!$A:$BS,31,FALSE),0)</f>
        <v>23333.333333333332</v>
      </c>
      <c r="DN55" s="331">
        <f>_xlfn.IFNA(VLOOKUP($A55,'Post 16'!$A:$AV,32,FALSE),0)/8</f>
        <v>0</v>
      </c>
      <c r="DO55" s="331"/>
      <c r="DP55" s="331">
        <f>_xlfn.IFNA((VLOOKUP($A55,HN!$A:$K,9,FALSE)/12),0)+_xlfn.IFNA((VLOOKUP($A55,HN!$A:$K,10,FALSE)/12),0)+_xlfn.IFNA((VLOOKUP($A55,HN!$A:$BZ,33,FALSE)*8/12),0)</f>
        <v>0</v>
      </c>
      <c r="DQ55" s="331">
        <f>_xlfn.IFNA((VLOOKUP($A55,HN!$A:$BS,15,FALSE)/12),0)</f>
        <v>4413.3166666666666</v>
      </c>
      <c r="DR55" s="330">
        <f t="shared" si="31"/>
        <v>0</v>
      </c>
      <c r="DS55" s="330">
        <f t="shared" si="32"/>
        <v>0</v>
      </c>
      <c r="DT55" s="331"/>
      <c r="DU55" s="331"/>
      <c r="DV55" s="331">
        <f>(_xlfn.IFNA(VLOOKUP(A55,'LA Deductions'!A:AZ,25,FALSE),0)/9)+_xlfn.IFNA(VLOOKUP(A55,'LA Deductions'!A:AZ,27,FALSE),0)</f>
        <v>0</v>
      </c>
      <c r="DW55" s="330">
        <f t="shared" si="33"/>
        <v>27746.649999999998</v>
      </c>
      <c r="DX55" s="344">
        <f t="shared" si="34"/>
        <v>0</v>
      </c>
      <c r="DY55" s="344"/>
      <c r="DZ55" s="345"/>
      <c r="EA55" s="345">
        <f>_xlfn.IFNA((VLOOKUP($A55,HN!$A:$K,8,FALSE)/12),0)+_xlfn.IFNA((VLOOKUP($A55,HN!$A:$AF,32,FALSE)*1/12),0)</f>
        <v>0</v>
      </c>
      <c r="EB55" s="345">
        <f>_xlfn.IFNA((VLOOKUP($A55,HN!$A:$BS,14,FALSE)/12),0)</f>
        <v>3333.3333333333335</v>
      </c>
      <c r="EC55" s="345">
        <f>_xlfn.IFNA(VLOOKUP($A55,'Post 16'!$A:$AV,32,FALSE),0)/8</f>
        <v>0</v>
      </c>
      <c r="ED55" s="345"/>
      <c r="EE55" s="345">
        <f>_xlfn.IFNA((VLOOKUP($A55,HN!$A:$K,9,FALSE)/12),0)+_xlfn.IFNA((VLOOKUP($A55,HN!$A:$K,10,FALSE)/12),0)+_xlfn.IFNA((VLOOKUP($A55,HN!$A:$BZ,33,FALSE)/12),0)</f>
        <v>0</v>
      </c>
      <c r="EF55" s="345">
        <f>_xlfn.IFNA((VLOOKUP($A55,HN!$A:$BS,15,FALSE)/12),0)</f>
        <v>4413.3166666666666</v>
      </c>
      <c r="EG55" s="344">
        <f t="shared" si="35"/>
        <v>0</v>
      </c>
      <c r="EH55" s="344">
        <f t="shared" si="36"/>
        <v>0</v>
      </c>
      <c r="EI55" s="345"/>
      <c r="EJ55" s="345">
        <f>_xlfn.IFNA(VLOOKUP(A55,'Cash Advances'!A:P,16,FALSE),0)</f>
        <v>0</v>
      </c>
      <c r="EK55" s="345">
        <f>_xlfn.IFNA(VLOOKUP(A55,'LA Deductions'!A:AZ,25,FALSE),0)/9</f>
        <v>0</v>
      </c>
      <c r="EL55" s="344">
        <f t="shared" si="37"/>
        <v>7746.65</v>
      </c>
      <c r="EM55" s="308">
        <f t="shared" si="38"/>
        <v>0</v>
      </c>
      <c r="EN55" s="308">
        <f>((VLOOKUP($A55,EY!$A:$BS,35,FALSE)-(VLOOKUP($A55,EY!$A:$BS,33,FALSE)*80%))+VLOOKUP($A55,EY!$A:$BS,43,FALSE))+(VLOOKUP(A55,EY!A:DF,110,FALSE)-VLOOKUP(A55,EY!A:DD,108,FALSE))+(VLOOKUP(A55,EY!A:CE,83,FALSE)-VLOOKUP(A55,EY!A:CC,81,FALSE))</f>
        <v>120780.90961218836</v>
      </c>
      <c r="EO55" s="309"/>
      <c r="EP55" s="309">
        <f>_xlfn.IFNA((VLOOKUP($A55,HN!$A:$K,8,FALSE)/12),0)+_xlfn.IFNA((VLOOKUP($A55,HN!$A:$AF,32,FALSE)*1/12),0)</f>
        <v>0</v>
      </c>
      <c r="EQ55" s="309">
        <f>_xlfn.IFNA((VLOOKUP($A55,HN!$A:$BS,14,FALSE)/12),0)+_xlfn.IFNA((VLOOKUP($A55,HN!$A:$BS,34,FALSE)/3),0)</f>
        <v>3333.3333333333335</v>
      </c>
      <c r="ER55" s="309">
        <f>_xlfn.IFNA(VLOOKUP($A55,'Post 16'!$A:$AV,32,FALSE),0)/8</f>
        <v>0</v>
      </c>
      <c r="ES55" s="309">
        <f>((VLOOKUP($A55,EY!A:EV,33,FALSE)*80%))+VLOOKUP(A55,EY!A:DD,108,FALSE)+VLOOKUP(A55,EY!A:CC,81,FALSE)</f>
        <v>12939.505789473684</v>
      </c>
      <c r="ET55" s="309">
        <f>_xlfn.IFNA((VLOOKUP($A55,HN!$A:$K,9,FALSE)/12),0)+_xlfn.IFNA((VLOOKUP($A55,HN!$A:$K,10,FALSE)/12),0)+_xlfn.IFNA((VLOOKUP($A55,HN!$A:$BZ,33,FALSE)/12),0)</f>
        <v>0</v>
      </c>
      <c r="EU55" s="309">
        <f>_xlfn.IFNA((VLOOKUP($A55,HN!$A:$BS,15,FALSE)/12),0)</f>
        <v>4413.3166666666666</v>
      </c>
      <c r="EV55" s="308">
        <f t="shared" si="39"/>
        <v>0</v>
      </c>
      <c r="EW55" s="308">
        <f t="shared" si="40"/>
        <v>0</v>
      </c>
      <c r="EX55" s="309"/>
      <c r="EY55" s="309">
        <f>_xlfn.IFNA(VLOOKUP($A55,'Cash Advances'!$A:$S,17,FALSE),0)</f>
        <v>0</v>
      </c>
      <c r="EZ55" s="309">
        <f>_xlfn.IFNA(VLOOKUP(A55,'LA Deductions'!A:AZ,25,FALSE),0)/9</f>
        <v>0</v>
      </c>
      <c r="FA55" s="308">
        <f t="shared" si="41"/>
        <v>141467.06540166205</v>
      </c>
      <c r="FB55" s="315">
        <f t="shared" si="42"/>
        <v>0</v>
      </c>
      <c r="FC55" s="315"/>
      <c r="FD55" s="316"/>
      <c r="FE55" s="316">
        <f>_xlfn.IFNA((VLOOKUP($A55,HN!$A:$K,8,FALSE)/12),0)+_xlfn.IFNA((VLOOKUP($A55,HN!$A:$AF,32,FALSE)*1/12),0)</f>
        <v>0</v>
      </c>
      <c r="FF55" s="316">
        <f>_xlfn.IFNA((VLOOKUP($A55,HN!$A:$BS,14,FALSE)/12),0)+_xlfn.IFNA((VLOOKUP($A55,HN!$A:$BS,34,FALSE)/3),0)</f>
        <v>3333.3333333333335</v>
      </c>
      <c r="FG55" s="316">
        <f>_xlfn.IFNA(VLOOKUP($A55,'Post 16'!$A:$AV,32,FALSE),0)/8</f>
        <v>0</v>
      </c>
      <c r="FH55" s="316"/>
      <c r="FI55" s="316">
        <f>_xlfn.IFNA((VLOOKUP($A55,HN!$A:$K,9,FALSE)/12),0)+_xlfn.IFNA((VLOOKUP($A55,HN!$A:$K,10,FALSE)/12),0)+_xlfn.IFNA((VLOOKUP($A55,HN!$A:$BZ,33,FALSE)/12),0)+_xlfn.IFNA((VLOOKUP($A55,HN!$A:$BZ,35,FALSE)/2),0)</f>
        <v>0</v>
      </c>
      <c r="FJ55" s="316">
        <f>_xlfn.IFNA((VLOOKUP($A55,HN!$A:$BS,15,FALSE)/12),0)+_xlfn.IFNA((VLOOKUP($A55,HN!$A:$CZ,36,FALSE)/2),0)</f>
        <v>6690.6016666666665</v>
      </c>
      <c r="FK55" s="315">
        <f t="shared" si="43"/>
        <v>0</v>
      </c>
      <c r="FL55" s="315">
        <f t="shared" si="44"/>
        <v>0</v>
      </c>
      <c r="FM55" s="316"/>
      <c r="FN55" s="316">
        <f>_xlfn.IFNA(VLOOKUP($A55,'Cash Advances'!$A:$S,18,FALSE),0)</f>
        <v>0</v>
      </c>
      <c r="FO55" s="316">
        <f>_xlfn.IFNA(VLOOKUP(A55,'LA Deductions'!A:AZ,25,FALSE),0)/9</f>
        <v>0</v>
      </c>
      <c r="FP55" s="315">
        <f t="shared" si="45"/>
        <v>10023.934999999999</v>
      </c>
      <c r="FQ55" s="322">
        <f t="shared" si="46"/>
        <v>0</v>
      </c>
      <c r="FR55" s="322"/>
      <c r="FS55" s="323"/>
      <c r="FT55" s="323">
        <f>_xlfn.IFNA((VLOOKUP($A55,HN!$A:$K,8,FALSE)/12),0)+_xlfn.IFNA((VLOOKUP($A55,HN!$A:$AF,32,FALSE)*1/12),0)</f>
        <v>0</v>
      </c>
      <c r="FU55" s="323">
        <f>_xlfn.IFNA((VLOOKUP($A55,HN!$A:$BS,14,FALSE)/12),0)+_xlfn.IFNA((VLOOKUP($A55,HN!$A:$BS,34,FALSE)/3),0)</f>
        <v>3333.3333333333335</v>
      </c>
      <c r="FV55" s="323">
        <f>_xlfn.IFNA(VLOOKUP($A55,'Post 16'!$A:$AV,32,FALSE),0)/8</f>
        <v>0</v>
      </c>
      <c r="FW55" s="323"/>
      <c r="FX55" s="323">
        <f>_xlfn.IFNA((VLOOKUP($A55,HN!$A:$K,9,FALSE)/12),0)+_xlfn.IFNA((VLOOKUP($A55,HN!$A:$K,10,FALSE)/12),0)+_xlfn.IFNA((VLOOKUP($A55,HN!$A:$BZ,33,FALSE)/12),0)+_xlfn.IFNA((VLOOKUP($A55,HN!$A:$BZ,35,FALSE)/2),0)</f>
        <v>0</v>
      </c>
      <c r="FY55" s="323">
        <f>_xlfn.IFNA((VLOOKUP($A55,HN!$A:$BS,15,FALSE)/12),0)+_xlfn.IFNA((VLOOKUP($A55,HN!$A:$CZ,36,FALSE)/2),0)</f>
        <v>6690.6016666666665</v>
      </c>
      <c r="FZ55" s="322">
        <f t="shared" si="47"/>
        <v>0</v>
      </c>
      <c r="GA55" s="322">
        <f t="shared" si="48"/>
        <v>0</v>
      </c>
      <c r="GB55" s="323"/>
      <c r="GC55" s="323"/>
      <c r="GD55" s="323">
        <f>_xlfn.IFNA(VLOOKUP(A55,'LA Deductions'!A:AZ,25,FALSE),0)/9</f>
        <v>0</v>
      </c>
      <c r="GE55" s="322">
        <f t="shared" si="49"/>
        <v>10023.934999999999</v>
      </c>
      <c r="GG55" s="146">
        <f t="shared" si="61"/>
        <v>583278.96537724161</v>
      </c>
      <c r="GH55" s="146">
        <f t="shared" si="61"/>
        <v>0</v>
      </c>
      <c r="GI55" s="146">
        <f t="shared" si="61"/>
        <v>74882.180526315788</v>
      </c>
      <c r="GJ55" s="146">
        <f t="shared" si="61"/>
        <v>0</v>
      </c>
      <c r="GK55" s="146">
        <f t="shared" si="61"/>
        <v>0</v>
      </c>
      <c r="GL55" s="146">
        <f t="shared" si="61"/>
        <v>-3291.75</v>
      </c>
      <c r="GN55" s="146">
        <f t="shared" si="62"/>
        <v>583278.96537724161</v>
      </c>
      <c r="GO55" s="146">
        <f t="shared" si="62"/>
        <v>0</v>
      </c>
      <c r="GP55" s="146">
        <f t="shared" si="62"/>
        <v>74882.180526315788</v>
      </c>
      <c r="GQ55" s="146">
        <f t="shared" si="62"/>
        <v>0</v>
      </c>
      <c r="GR55" s="146">
        <f t="shared" si="62"/>
        <v>0</v>
      </c>
      <c r="GS55" s="146">
        <f t="shared" si="62"/>
        <v>-3291.75</v>
      </c>
      <c r="GU55" s="146"/>
      <c r="GV55" s="57"/>
    </row>
    <row r="56" spans="1:204">
      <c r="A56" s="185">
        <v>2081</v>
      </c>
      <c r="B56" s="185">
        <v>103201</v>
      </c>
      <c r="C56" s="185" t="s">
        <v>132</v>
      </c>
      <c r="D56" s="2" t="s">
        <v>133</v>
      </c>
      <c r="E56" s="191" t="s">
        <v>32</v>
      </c>
      <c r="F56" s="191" t="s">
        <v>912</v>
      </c>
      <c r="H56" s="279">
        <f>_xlfn.IFNA(VLOOKUP($A56,ISB!$A$4:$BY$454,67,FALSE),0)</f>
        <v>2197762.5943344743</v>
      </c>
      <c r="I56" s="279">
        <f>_xlfn.IFNA(VLOOKUP($A56,ISB!$A$4:$BY$454,72,FALSE),0)</f>
        <v>-10875.359999999999</v>
      </c>
      <c r="J56" s="279">
        <f>-_xlfn.IFNA(VLOOKUP($A56,ISB!$A$4:$BY$454,76,FALSE),0)</f>
        <v>-41339.75</v>
      </c>
      <c r="K56" s="279">
        <f>_xlfn.IFNA(VLOOKUP($A56,ISB!$A$4:$BY$454,77,FALSE),0)</f>
        <v>2145547.4843344744</v>
      </c>
      <c r="M56" s="301">
        <f t="shared" si="7"/>
        <v>183146.88286120619</v>
      </c>
      <c r="N56" s="301">
        <f>VLOOKUP($A56,EY!$A:$H,8,FALSE)+(VLOOKUP($A56,EY!$A:$BS,17,FALSE)-S56)+VLOOKUP($A56,EY!$A:$BS,41,FALSE)</f>
        <v>0</v>
      </c>
      <c r="O56" s="302"/>
      <c r="P56" s="302">
        <f>_xlfn.IFNA((VLOOKUP($A56,HN!$A:$K,8,FALSE)/12),0)</f>
        <v>0</v>
      </c>
      <c r="Q56" s="302">
        <f>_xlfn.IFNA((VLOOKUP($A56,HN!$A:$BS,14,FALSE)/12),0)</f>
        <v>0</v>
      </c>
      <c r="R56" s="302">
        <f>_xlfn.IFNA(VLOOKUP($A56,'Post 16'!$A:$V,21,FALSE),0)/4</f>
        <v>0</v>
      </c>
      <c r="S56" s="302">
        <f>VLOOKUP($A56,EY!A:Q,15,FALSE)*80%</f>
        <v>0</v>
      </c>
      <c r="T56" s="302">
        <f>_xlfn.IFNA((VLOOKUP($A56,HN!$A:$K,9,FALSE)/12),0)+_xlfn.IFNA((VLOOKUP($A56,HN!$A:$K,10,FALSE)/12),0)</f>
        <v>0</v>
      </c>
      <c r="U56" s="302">
        <f>_xlfn.IFNA((VLOOKUP($A56,HN!$A:$BS,15,FALSE)/12),0)</f>
        <v>0</v>
      </c>
      <c r="V56" s="301">
        <f t="shared" si="8"/>
        <v>-906.27999999999986</v>
      </c>
      <c r="W56" s="301">
        <f t="shared" si="9"/>
        <v>-3444.9791666666665</v>
      </c>
      <c r="X56" s="302"/>
      <c r="Y56" s="302">
        <f>_xlfn.IFNA(VLOOKUP($A56,'Cash Advances'!$A:$S,8,FALSE),0)</f>
        <v>0</v>
      </c>
      <c r="Z56" s="301">
        <f t="shared" si="54"/>
        <v>178795.62369453954</v>
      </c>
      <c r="AA56" s="315">
        <f t="shared" si="10"/>
        <v>183146.88286120619</v>
      </c>
      <c r="AB56" s="315"/>
      <c r="AC56" s="316"/>
      <c r="AD56" s="316">
        <f>_xlfn.IFNA((VLOOKUP($A56,HN!$A:$K,8,FALSE)/12),0)</f>
        <v>0</v>
      </c>
      <c r="AE56" s="316">
        <f>_xlfn.IFNA((VLOOKUP($A56,HN!$A:$BS,14,FALSE)/12),0)</f>
        <v>0</v>
      </c>
      <c r="AF56" s="316">
        <f>_xlfn.IFNA(VLOOKUP($A56,'Post 16'!$A:$V,21,FALSE),0)/4</f>
        <v>0</v>
      </c>
      <c r="AG56" s="316"/>
      <c r="AH56" s="316">
        <f>_xlfn.IFNA((VLOOKUP($A56,HN!$A:$K,9,FALSE)/12),0)+_xlfn.IFNA((VLOOKUP($A56,HN!$A:$K,10,FALSE)/12),0)</f>
        <v>0</v>
      </c>
      <c r="AI56" s="316">
        <f>_xlfn.IFNA((VLOOKUP($A56,HN!$A:$BS,15,FALSE)/12),0)</f>
        <v>0</v>
      </c>
      <c r="AJ56" s="315">
        <f t="shared" si="11"/>
        <v>-906.27999999999986</v>
      </c>
      <c r="AK56" s="315">
        <f t="shared" si="12"/>
        <v>-3444.9791666666665</v>
      </c>
      <c r="AL56" s="316"/>
      <c r="AM56" s="316">
        <f>_xlfn.IFNA(VLOOKUP($A56,'Cash Advances'!$A:$S,9,FALSE),0)</f>
        <v>0</v>
      </c>
      <c r="AN56" s="315">
        <f t="shared" si="55"/>
        <v>178795.62369453954</v>
      </c>
      <c r="AO56" s="308">
        <f t="shared" si="13"/>
        <v>183146.88286120619</v>
      </c>
      <c r="AP56" s="308"/>
      <c r="AQ56" s="309"/>
      <c r="AR56" s="309">
        <f>_xlfn.IFNA((VLOOKUP($A56,HN!$A:$K,8,FALSE)/12),0)</f>
        <v>0</v>
      </c>
      <c r="AS56" s="309">
        <f>_xlfn.IFNA((VLOOKUP($A56,HN!$A:$BS,14,FALSE)/12),0)</f>
        <v>0</v>
      </c>
      <c r="AT56" s="309">
        <f>_xlfn.IFNA(VLOOKUP($A56,'Post 16'!$A:$V,21,FALSE),0)/4</f>
        <v>0</v>
      </c>
      <c r="AU56" s="309"/>
      <c r="AV56" s="309">
        <f>_xlfn.IFNA((VLOOKUP($A56,HN!$A:$K,9,FALSE)/12),0)+_xlfn.IFNA((VLOOKUP($A56,HN!$A:$K,10,FALSE)/12),0)+_xlfn.IFNA(VLOOKUP(A56,HN!A:V,19,FALSE),0)+_xlfn.IFNA(VLOOKUP(A56,HN!A:V,20,FALSE),0)+_xlfn.IFNA(VLOOKUP(A56,HN!A:V,21,FALSE),0)</f>
        <v>0</v>
      </c>
      <c r="AW56" s="309">
        <f>_xlfn.IFNA((VLOOKUP($A56,HN!$A:$BS,15,FALSE)/12),0)</f>
        <v>0</v>
      </c>
      <c r="AX56" s="308">
        <f t="shared" si="14"/>
        <v>-906.27999999999986</v>
      </c>
      <c r="AY56" s="308">
        <f t="shared" si="15"/>
        <v>-3444.9791666666665</v>
      </c>
      <c r="AZ56" s="309"/>
      <c r="BA56" s="309">
        <f>_xlfn.IFNA(VLOOKUP($A56,'Cash Advances'!$A:$S,10,FALSE),0)</f>
        <v>0</v>
      </c>
      <c r="BB56" s="308">
        <f t="shared" si="56"/>
        <v>178795.62369453954</v>
      </c>
      <c r="BC56" s="330">
        <f t="shared" si="16"/>
        <v>183146.88286120619</v>
      </c>
      <c r="BD56" s="330"/>
      <c r="BE56" s="331"/>
      <c r="BF56" s="331">
        <f>_xlfn.IFNA((VLOOKUP($A56,HN!$A:$K,8,FALSE)/12),0)</f>
        <v>0</v>
      </c>
      <c r="BG56" s="331">
        <f>_xlfn.IFNA((VLOOKUP($A56,HN!$A:$BS,14,FALSE)/12),0)</f>
        <v>0</v>
      </c>
      <c r="BH56" s="331">
        <f>_xlfn.IFNA(VLOOKUP($A56,'Post 16'!$A:$V,21,FALSE),0)/4</f>
        <v>0</v>
      </c>
      <c r="BI56" s="331"/>
      <c r="BJ56" s="331">
        <f>_xlfn.IFNA((VLOOKUP($A56,HN!$A:$K,9,FALSE)/12),0)+_xlfn.IFNA((VLOOKUP($A56,HN!$A:$K,10,FALSE)/12),0)</f>
        <v>0</v>
      </c>
      <c r="BK56" s="331">
        <f>_xlfn.IFNA((VLOOKUP($A56,HN!$A:$BS,15,FALSE)/12),0)</f>
        <v>0</v>
      </c>
      <c r="BL56" s="330">
        <f t="shared" si="17"/>
        <v>-906.27999999999986</v>
      </c>
      <c r="BM56" s="330">
        <f t="shared" si="18"/>
        <v>-3444.9791666666665</v>
      </c>
      <c r="BN56" s="331"/>
      <c r="BO56" s="331">
        <f>_xlfn.IFNA(VLOOKUP(A56,'Cash Advances'!A:K,11,FALSE),0)</f>
        <v>0</v>
      </c>
      <c r="BP56" s="330">
        <f t="shared" si="57"/>
        <v>178795.62369453954</v>
      </c>
      <c r="BQ56" s="322">
        <f t="shared" si="19"/>
        <v>183146.88286120619</v>
      </c>
      <c r="BR56" s="322"/>
      <c r="BS56" s="323"/>
      <c r="BT56" s="323">
        <f>_xlfn.IFNA((VLOOKUP($A56,HN!$A:$K,8,FALSE)/12),0)</f>
        <v>0</v>
      </c>
      <c r="BU56" s="323">
        <f>_xlfn.IFNA((VLOOKUP($A56,HN!$A:$BS,14,FALSE)/12),0)</f>
        <v>0</v>
      </c>
      <c r="BV56" s="323">
        <f>(_xlfn.IFNA(VLOOKUP($A56,'Post 16'!$A:$AV,32,FALSE),0)/8)+_xlfn.IFNA(VLOOKUP($A56,'Post 16'!$A:$AR,40,FALSE),0)</f>
        <v>0</v>
      </c>
      <c r="BW56" s="323"/>
      <c r="BX56" s="323">
        <f>_xlfn.IFNA((VLOOKUP($A56,HN!$A:$K,9,FALSE)/12),0)+_xlfn.IFNA((VLOOKUP($A56,HN!$A:$K,10,FALSE)/12),0)</f>
        <v>0</v>
      </c>
      <c r="BY56" s="323">
        <f>_xlfn.IFNA((VLOOKUP($A56,HN!$A:$BS,15,FALSE)/12),0)</f>
        <v>0</v>
      </c>
      <c r="BZ56" s="322">
        <f t="shared" si="20"/>
        <v>-906.27999999999986</v>
      </c>
      <c r="CA56" s="322">
        <f t="shared" si="21"/>
        <v>-3444.9791666666665</v>
      </c>
      <c r="CB56" s="323"/>
      <c r="CC56" s="323"/>
      <c r="CD56" s="322">
        <f t="shared" si="58"/>
        <v>178795.62369453954</v>
      </c>
      <c r="CE56" s="357">
        <f t="shared" si="22"/>
        <v>183146.88286120619</v>
      </c>
      <c r="CF56" s="357">
        <f>(VLOOKUP($A56,EY!$A:$BS,26,FALSE)-(VLOOKUP($A56,EY!A:CR,24,FALSE)*80%))+VLOOKUP($A56,EY!$A:$BS,42,FALSE)+(VLOOKUP($A56,EY!A:CC,74,FALSE)-VLOOKUP($A56,EY!A:CC,72,FALSE))</f>
        <v>0</v>
      </c>
      <c r="CG56" s="358"/>
      <c r="CH56" s="358">
        <f>_xlfn.IFNA((VLOOKUP($A56,HN!$A:$K,8,FALSE)/12),0)</f>
        <v>0</v>
      </c>
      <c r="CI56" s="358">
        <f>_xlfn.IFNA((VLOOKUP($A56,HN!$A:$BS,14,FALSE)/12),0)</f>
        <v>0</v>
      </c>
      <c r="CJ56" s="358">
        <f>(_xlfn.IFNA(VLOOKUP($A56,'Post 16'!$A:$AV,32,FALSE),0)/8)</f>
        <v>0</v>
      </c>
      <c r="CK56" s="358">
        <f>(VLOOKUP($A56,EY!A:CR,24,FALSE)*80%)+VLOOKUP($A56,EY!A:CC,72,FALSE)</f>
        <v>0</v>
      </c>
      <c r="CL56" s="358">
        <f>_xlfn.IFNA((VLOOKUP($A56,HN!$A:$K,9,FALSE)/12),0)+_xlfn.IFNA((VLOOKUP($A56,HN!$A:$K,10,FALSE)/12),0)</f>
        <v>0</v>
      </c>
      <c r="CM56" s="358">
        <f>_xlfn.IFNA((VLOOKUP($A56,HN!$A:$BS,15,FALSE)/12),0)</f>
        <v>0</v>
      </c>
      <c r="CN56" s="357">
        <f t="shared" si="23"/>
        <v>-906.27999999999986</v>
      </c>
      <c r="CO56" s="357">
        <f t="shared" si="24"/>
        <v>-3444.9791666666665</v>
      </c>
      <c r="CP56" s="358">
        <f>_xlfn.IFNA(VLOOKUP(A56,'LA Deductions'!A:W,23,FALSE),0)</f>
        <v>-9471</v>
      </c>
      <c r="CQ56" s="358">
        <f>_xlfn.IFNA(VLOOKUP($A56,'Cash Advances'!$A:$S,13,FALSE),0)</f>
        <v>0</v>
      </c>
      <c r="CR56" s="358">
        <f>_xlfn.IFNA(VLOOKUP(A56,'LA Deductions'!A:AZ,25,FALSE),0)/9*3</f>
        <v>0</v>
      </c>
      <c r="CS56" s="357">
        <f t="shared" si="25"/>
        <v>169324.62369453954</v>
      </c>
      <c r="CT56" s="337">
        <f t="shared" si="26"/>
        <v>183146.88286120619</v>
      </c>
      <c r="CU56" s="337"/>
      <c r="CV56" s="338">
        <f>_xlfn.IFNA(VLOOKUP(A56,'LA Deductions'!$A$6:$AN$207,34,FALSE),0)</f>
        <v>0</v>
      </c>
      <c r="CW56" s="338">
        <f>_xlfn.IFNA((VLOOKUP($A56,HN!$A:$K,8,FALSE)/12),0)</f>
        <v>0</v>
      </c>
      <c r="CX56" s="338">
        <f>_xlfn.IFNA((VLOOKUP($A56,HN!$A:$BS,14,FALSE)/12),0)</f>
        <v>0</v>
      </c>
      <c r="CY56" s="338">
        <f>_xlfn.IFNA(VLOOKUP($A56,'Post 16'!$A:$AV,32,FALSE),0)/8</f>
        <v>0</v>
      </c>
      <c r="CZ56" s="338"/>
      <c r="DA56" s="338">
        <f>_xlfn.IFNA((VLOOKUP($A56,HN!$A:$K,9,FALSE)/12),0)+_xlfn.IFNA((VLOOKUP($A56,HN!$A:$K,10,FALSE)/12),0)</f>
        <v>0</v>
      </c>
      <c r="DB56" s="338">
        <f>_xlfn.IFNA((VLOOKUP($A56,HN!$A:$BS,15,FALSE)/12),0)</f>
        <v>0</v>
      </c>
      <c r="DC56" s="337">
        <f t="shared" si="27"/>
        <v>-906.27999999999986</v>
      </c>
      <c r="DD56" s="337">
        <f t="shared" si="28"/>
        <v>-3444.9791666666665</v>
      </c>
      <c r="DE56" s="338"/>
      <c r="DF56" s="338">
        <f>_xlfn.IFNA(VLOOKUP($A56,'Cash Advances'!$A:$S,14,FALSE),0)</f>
        <v>0</v>
      </c>
      <c r="DG56" s="338">
        <f>(_xlfn.IFNA(VLOOKUP(A56,'LA Deductions'!A:AZ,25,FALSE),0)/9)+(_xlfn.IFNA(VLOOKUP(A56,'LA Deductions'!A:AZ,26,FALSE),0))</f>
        <v>0</v>
      </c>
      <c r="DH56" s="337">
        <f t="shared" si="29"/>
        <v>178795.62369453954</v>
      </c>
      <c r="DI56" s="330">
        <f t="shared" si="30"/>
        <v>183146.88286120619</v>
      </c>
      <c r="DJ56" s="330"/>
      <c r="DK56" s="331"/>
      <c r="DL56" s="331">
        <f>_xlfn.IFNA((VLOOKUP($A56,HN!$A:$K,8,FALSE)/12),0)+_xlfn.IFNA((VLOOKUP($A56,HN!$A:$AF,32,FALSE)*8/12),0)</f>
        <v>0</v>
      </c>
      <c r="DM56" s="331">
        <f>_xlfn.IFNA((VLOOKUP($A56,HN!$A:$BS,14,FALSE)/12),0)+_xlfn.IFNA(VLOOKUP($A56,HN!$A:$BS,31,FALSE),0)</f>
        <v>0</v>
      </c>
      <c r="DN56" s="331">
        <f>_xlfn.IFNA(VLOOKUP($A56,'Post 16'!$A:$AV,32,FALSE),0)/8</f>
        <v>0</v>
      </c>
      <c r="DO56" s="331"/>
      <c r="DP56" s="331">
        <f>_xlfn.IFNA((VLOOKUP($A56,HN!$A:$K,9,FALSE)/12),0)+_xlfn.IFNA((VLOOKUP($A56,HN!$A:$K,10,FALSE)/12),0)+_xlfn.IFNA((VLOOKUP($A56,HN!$A:$BZ,33,FALSE)*8/12),0)</f>
        <v>0</v>
      </c>
      <c r="DQ56" s="331">
        <f>_xlfn.IFNA((VLOOKUP($A56,HN!$A:$BS,15,FALSE)/12),0)</f>
        <v>0</v>
      </c>
      <c r="DR56" s="330">
        <f t="shared" si="31"/>
        <v>-906.27999999999986</v>
      </c>
      <c r="DS56" s="330">
        <f t="shared" si="32"/>
        <v>-3444.9791666666665</v>
      </c>
      <c r="DT56" s="331"/>
      <c r="DU56" s="331"/>
      <c r="DV56" s="331">
        <f>(_xlfn.IFNA(VLOOKUP(A56,'LA Deductions'!A:AZ,25,FALSE),0)/9)+_xlfn.IFNA(VLOOKUP(A56,'LA Deductions'!A:AZ,27,FALSE),0)</f>
        <v>0</v>
      </c>
      <c r="DW56" s="330">
        <f t="shared" si="33"/>
        <v>178795.62369453954</v>
      </c>
      <c r="DX56" s="344">
        <f t="shared" si="34"/>
        <v>183146.88286120619</v>
      </c>
      <c r="DY56" s="344"/>
      <c r="DZ56" s="345"/>
      <c r="EA56" s="345">
        <f>_xlfn.IFNA((VLOOKUP($A56,HN!$A:$K,8,FALSE)/12),0)+_xlfn.IFNA((VLOOKUP($A56,HN!$A:$AF,32,FALSE)*1/12),0)</f>
        <v>0</v>
      </c>
      <c r="EB56" s="345">
        <f>_xlfn.IFNA((VLOOKUP($A56,HN!$A:$BS,14,FALSE)/12),0)</f>
        <v>0</v>
      </c>
      <c r="EC56" s="345">
        <f>_xlfn.IFNA(VLOOKUP($A56,'Post 16'!$A:$AV,32,FALSE),0)/8</f>
        <v>0</v>
      </c>
      <c r="ED56" s="345"/>
      <c r="EE56" s="345">
        <f>_xlfn.IFNA((VLOOKUP($A56,HN!$A:$K,9,FALSE)/12),0)+_xlfn.IFNA((VLOOKUP($A56,HN!$A:$K,10,FALSE)/12),0)+_xlfn.IFNA((VLOOKUP($A56,HN!$A:$BZ,33,FALSE)/12),0)</f>
        <v>0</v>
      </c>
      <c r="EF56" s="345">
        <f>_xlfn.IFNA((VLOOKUP($A56,HN!$A:$BS,15,FALSE)/12),0)</f>
        <v>0</v>
      </c>
      <c r="EG56" s="344">
        <f t="shared" si="35"/>
        <v>-906.27999999999986</v>
      </c>
      <c r="EH56" s="344">
        <f t="shared" si="36"/>
        <v>-3444.9791666666665</v>
      </c>
      <c r="EI56" s="345"/>
      <c r="EJ56" s="345">
        <f>_xlfn.IFNA(VLOOKUP(A56,'Cash Advances'!A:P,16,FALSE),0)</f>
        <v>0</v>
      </c>
      <c r="EK56" s="345">
        <f>_xlfn.IFNA(VLOOKUP(A56,'LA Deductions'!A:AZ,25,FALSE),0)/9</f>
        <v>0</v>
      </c>
      <c r="EL56" s="344">
        <f t="shared" si="37"/>
        <v>178795.62369453954</v>
      </c>
      <c r="EM56" s="308">
        <f t="shared" si="38"/>
        <v>183146.88286120619</v>
      </c>
      <c r="EN56" s="308">
        <f>((VLOOKUP($A56,EY!$A:$BS,35,FALSE)-(VLOOKUP($A56,EY!$A:$BS,33,FALSE)*80%))+VLOOKUP($A56,EY!$A:$BS,43,FALSE))+(VLOOKUP(A56,EY!A:DF,110,FALSE)-VLOOKUP(A56,EY!A:DD,108,FALSE))+(VLOOKUP(A56,EY!A:CE,83,FALSE)-VLOOKUP(A56,EY!A:CC,81,FALSE))</f>
        <v>0</v>
      </c>
      <c r="EO56" s="309"/>
      <c r="EP56" s="309">
        <f>_xlfn.IFNA((VLOOKUP($A56,HN!$A:$K,8,FALSE)/12),0)+_xlfn.IFNA((VLOOKUP($A56,HN!$A:$AF,32,FALSE)*1/12),0)</f>
        <v>0</v>
      </c>
      <c r="EQ56" s="309">
        <f>_xlfn.IFNA((VLOOKUP($A56,HN!$A:$BS,14,FALSE)/12),0)+_xlfn.IFNA((VLOOKUP($A56,HN!$A:$BS,34,FALSE)/3),0)</f>
        <v>0</v>
      </c>
      <c r="ER56" s="309">
        <f>_xlfn.IFNA(VLOOKUP($A56,'Post 16'!$A:$AV,32,FALSE),0)/8</f>
        <v>0</v>
      </c>
      <c r="ES56" s="309">
        <f>((VLOOKUP($A56,EY!A:EV,33,FALSE)*80%))+VLOOKUP(A56,EY!A:DD,108,FALSE)+VLOOKUP(A56,EY!A:CC,81,FALSE)</f>
        <v>0</v>
      </c>
      <c r="ET56" s="309">
        <f>_xlfn.IFNA((VLOOKUP($A56,HN!$A:$K,9,FALSE)/12),0)+_xlfn.IFNA((VLOOKUP($A56,HN!$A:$K,10,FALSE)/12),0)+_xlfn.IFNA((VLOOKUP($A56,HN!$A:$BZ,33,FALSE)/12),0)</f>
        <v>0</v>
      </c>
      <c r="EU56" s="309">
        <f>_xlfn.IFNA((VLOOKUP($A56,HN!$A:$BS,15,FALSE)/12),0)</f>
        <v>0</v>
      </c>
      <c r="EV56" s="308">
        <f t="shared" si="39"/>
        <v>-906.27999999999986</v>
      </c>
      <c r="EW56" s="308">
        <f t="shared" si="40"/>
        <v>-3444.9791666666665</v>
      </c>
      <c r="EX56" s="309"/>
      <c r="EY56" s="309">
        <f>_xlfn.IFNA(VLOOKUP($A56,'Cash Advances'!$A:$S,17,FALSE),0)</f>
        <v>0</v>
      </c>
      <c r="EZ56" s="309">
        <f>_xlfn.IFNA(VLOOKUP(A56,'LA Deductions'!A:AZ,25,FALSE),0)/9</f>
        <v>0</v>
      </c>
      <c r="FA56" s="308">
        <f t="shared" si="41"/>
        <v>178795.62369453954</v>
      </c>
      <c r="FB56" s="315">
        <f t="shared" si="42"/>
        <v>183146.88286120619</v>
      </c>
      <c r="FC56" s="315"/>
      <c r="FD56" s="316"/>
      <c r="FE56" s="316">
        <f>_xlfn.IFNA((VLOOKUP($A56,HN!$A:$K,8,FALSE)/12),0)+_xlfn.IFNA((VLOOKUP($A56,HN!$A:$AF,32,FALSE)*1/12),0)</f>
        <v>0</v>
      </c>
      <c r="FF56" s="316">
        <f>_xlfn.IFNA((VLOOKUP($A56,HN!$A:$BS,14,FALSE)/12),0)+_xlfn.IFNA((VLOOKUP($A56,HN!$A:$BS,34,FALSE)/3),0)</f>
        <v>0</v>
      </c>
      <c r="FG56" s="316">
        <f>_xlfn.IFNA(VLOOKUP($A56,'Post 16'!$A:$AV,32,FALSE),0)/8</f>
        <v>0</v>
      </c>
      <c r="FH56" s="316"/>
      <c r="FI56" s="316">
        <f>_xlfn.IFNA((VLOOKUP($A56,HN!$A:$K,9,FALSE)/12),0)+_xlfn.IFNA((VLOOKUP($A56,HN!$A:$K,10,FALSE)/12),0)+_xlfn.IFNA((VLOOKUP($A56,HN!$A:$BZ,33,FALSE)/12),0)+_xlfn.IFNA((VLOOKUP($A56,HN!$A:$BZ,35,FALSE)/2),0)</f>
        <v>0</v>
      </c>
      <c r="FJ56" s="316">
        <f>_xlfn.IFNA((VLOOKUP($A56,HN!$A:$BS,15,FALSE)/12),0)+_xlfn.IFNA((VLOOKUP($A56,HN!$A:$CZ,36,FALSE)/2),0)</f>
        <v>0</v>
      </c>
      <c r="FK56" s="315">
        <f t="shared" si="43"/>
        <v>-906.27999999999986</v>
      </c>
      <c r="FL56" s="315">
        <f t="shared" si="44"/>
        <v>-3444.9791666666665</v>
      </c>
      <c r="FM56" s="316"/>
      <c r="FN56" s="316">
        <f>_xlfn.IFNA(VLOOKUP($A56,'Cash Advances'!$A:$S,18,FALSE),0)</f>
        <v>0</v>
      </c>
      <c r="FO56" s="316">
        <f>_xlfn.IFNA(VLOOKUP(A56,'LA Deductions'!A:AZ,25,FALSE),0)/9</f>
        <v>0</v>
      </c>
      <c r="FP56" s="315">
        <f t="shared" si="45"/>
        <v>178795.62369453954</v>
      </c>
      <c r="FQ56" s="322">
        <f t="shared" si="46"/>
        <v>183146.88286120619</v>
      </c>
      <c r="FR56" s="322"/>
      <c r="FS56" s="323"/>
      <c r="FT56" s="323">
        <f>_xlfn.IFNA((VLOOKUP($A56,HN!$A:$K,8,FALSE)/12),0)+_xlfn.IFNA((VLOOKUP($A56,HN!$A:$AF,32,FALSE)*1/12),0)</f>
        <v>0</v>
      </c>
      <c r="FU56" s="323">
        <f>_xlfn.IFNA((VLOOKUP($A56,HN!$A:$BS,14,FALSE)/12),0)+_xlfn.IFNA((VLOOKUP($A56,HN!$A:$BS,34,FALSE)/3),0)</f>
        <v>0</v>
      </c>
      <c r="FV56" s="323">
        <f>_xlfn.IFNA(VLOOKUP($A56,'Post 16'!$A:$AV,32,FALSE),0)/8</f>
        <v>0</v>
      </c>
      <c r="FW56" s="323"/>
      <c r="FX56" s="323">
        <f>_xlfn.IFNA((VLOOKUP($A56,HN!$A:$K,9,FALSE)/12),0)+_xlfn.IFNA((VLOOKUP($A56,HN!$A:$K,10,FALSE)/12),0)+_xlfn.IFNA((VLOOKUP($A56,HN!$A:$BZ,33,FALSE)/12),0)+_xlfn.IFNA((VLOOKUP($A56,HN!$A:$BZ,35,FALSE)/2),0)</f>
        <v>0</v>
      </c>
      <c r="FY56" s="323">
        <f>_xlfn.IFNA((VLOOKUP($A56,HN!$A:$BS,15,FALSE)/12),0)+_xlfn.IFNA((VLOOKUP($A56,HN!$A:$CZ,36,FALSE)/2),0)</f>
        <v>0</v>
      </c>
      <c r="FZ56" s="322">
        <f t="shared" si="47"/>
        <v>-906.27999999999986</v>
      </c>
      <c r="GA56" s="322">
        <f t="shared" si="48"/>
        <v>-3444.9791666666665</v>
      </c>
      <c r="GB56" s="323"/>
      <c r="GC56" s="323"/>
      <c r="GD56" s="323">
        <f>_xlfn.IFNA(VLOOKUP(A56,'LA Deductions'!A:AZ,25,FALSE),0)/9</f>
        <v>0</v>
      </c>
      <c r="GE56" s="322">
        <f t="shared" si="49"/>
        <v>178795.62369453954</v>
      </c>
      <c r="GG56" s="146">
        <f t="shared" si="61"/>
        <v>2197762.5943344748</v>
      </c>
      <c r="GH56" s="146">
        <f t="shared" si="61"/>
        <v>0</v>
      </c>
      <c r="GI56" s="146">
        <f t="shared" si="61"/>
        <v>0</v>
      </c>
      <c r="GJ56" s="146">
        <f t="shared" si="61"/>
        <v>-10875.36</v>
      </c>
      <c r="GK56" s="146">
        <f t="shared" si="61"/>
        <v>-41339.75</v>
      </c>
      <c r="GL56" s="146">
        <f t="shared" si="61"/>
        <v>-9471</v>
      </c>
      <c r="GN56" s="146">
        <f t="shared" si="62"/>
        <v>2197762.5943344748</v>
      </c>
      <c r="GO56" s="146">
        <f t="shared" si="62"/>
        <v>0</v>
      </c>
      <c r="GP56" s="146">
        <f t="shared" si="62"/>
        <v>0</v>
      </c>
      <c r="GQ56" s="146">
        <f t="shared" si="62"/>
        <v>-10875.36</v>
      </c>
      <c r="GR56" s="146">
        <f t="shared" si="62"/>
        <v>-41339.75</v>
      </c>
      <c r="GS56" s="146">
        <f t="shared" si="62"/>
        <v>-9471</v>
      </c>
      <c r="GU56" s="146"/>
      <c r="GV56" s="57"/>
    </row>
    <row r="57" spans="1:204">
      <c r="A57" s="185">
        <v>2296</v>
      </c>
      <c r="B57" s="185">
        <v>103320</v>
      </c>
      <c r="C57" s="185" t="s">
        <v>134</v>
      </c>
      <c r="D57" s="2" t="s">
        <v>135</v>
      </c>
      <c r="E57" s="191" t="s">
        <v>32</v>
      </c>
      <c r="F57" s="191" t="s">
        <v>922</v>
      </c>
      <c r="H57" s="279">
        <f>_xlfn.IFNA(VLOOKUP($A57,ISB!$A$4:$BY$454,67,FALSE),0)</f>
        <v>1503044.2674120141</v>
      </c>
      <c r="I57" s="279">
        <f>_xlfn.IFNA(VLOOKUP($A57,ISB!$A$4:$BY$454,72,FALSE),0)</f>
        <v>-6754.7199999999993</v>
      </c>
      <c r="J57" s="279">
        <f>-_xlfn.IFNA(VLOOKUP($A57,ISB!$A$4:$BY$454,76,FALSE),0)</f>
        <v>-31269.81</v>
      </c>
      <c r="K57" s="279">
        <f>_xlfn.IFNA(VLOOKUP($A57,ISB!$A$4:$BY$454,77,FALSE),0)</f>
        <v>1465019.737412014</v>
      </c>
      <c r="M57" s="301">
        <f t="shared" si="7"/>
        <v>125253.68895100117</v>
      </c>
      <c r="N57" s="301">
        <f>VLOOKUP($A57,EY!$A:$H,8,FALSE)+(VLOOKUP($A57,EY!$A:$BS,17,FALSE)-S57)+VLOOKUP($A57,EY!$A:$BS,41,FALSE)</f>
        <v>0</v>
      </c>
      <c r="O57" s="302"/>
      <c r="P57" s="302">
        <f>_xlfn.IFNA((VLOOKUP($A57,HN!$A:$K,8,FALSE)/12),0)</f>
        <v>0</v>
      </c>
      <c r="Q57" s="302">
        <f>_xlfn.IFNA((VLOOKUP($A57,HN!$A:$BS,14,FALSE)/12),0)</f>
        <v>0</v>
      </c>
      <c r="R57" s="302">
        <f>_xlfn.IFNA(VLOOKUP($A57,'Post 16'!$A:$V,21,FALSE),0)/4</f>
        <v>0</v>
      </c>
      <c r="S57" s="302">
        <f>VLOOKUP($A57,EY!A:Q,15,FALSE)*80%</f>
        <v>0</v>
      </c>
      <c r="T57" s="302">
        <f>_xlfn.IFNA((VLOOKUP($A57,HN!$A:$K,9,FALSE)/12),0)+_xlfn.IFNA((VLOOKUP($A57,HN!$A:$K,10,FALSE)/12),0)</f>
        <v>0</v>
      </c>
      <c r="U57" s="302">
        <f>_xlfn.IFNA((VLOOKUP($A57,HN!$A:$BS,15,FALSE)/12),0)</f>
        <v>0</v>
      </c>
      <c r="V57" s="301">
        <f t="shared" si="8"/>
        <v>-562.89333333333332</v>
      </c>
      <c r="W57" s="301">
        <f t="shared" si="9"/>
        <v>-2605.8175000000001</v>
      </c>
      <c r="X57" s="302"/>
      <c r="Y57" s="302">
        <f>_xlfn.IFNA(VLOOKUP($A57,'Cash Advances'!$A:$S,8,FALSE),0)</f>
        <v>0</v>
      </c>
      <c r="Z57" s="301">
        <f t="shared" si="54"/>
        <v>122084.97811766784</v>
      </c>
      <c r="AA57" s="315">
        <f t="shared" si="10"/>
        <v>125253.68895100117</v>
      </c>
      <c r="AB57" s="315"/>
      <c r="AC57" s="316"/>
      <c r="AD57" s="316">
        <f>_xlfn.IFNA((VLOOKUP($A57,HN!$A:$K,8,FALSE)/12),0)</f>
        <v>0</v>
      </c>
      <c r="AE57" s="316">
        <f>_xlfn.IFNA((VLOOKUP($A57,HN!$A:$BS,14,FALSE)/12),0)</f>
        <v>0</v>
      </c>
      <c r="AF57" s="316">
        <f>_xlfn.IFNA(VLOOKUP($A57,'Post 16'!$A:$V,21,FALSE),0)/4</f>
        <v>0</v>
      </c>
      <c r="AG57" s="316"/>
      <c r="AH57" s="316">
        <f>_xlfn.IFNA((VLOOKUP($A57,HN!$A:$K,9,FALSE)/12),0)+_xlfn.IFNA((VLOOKUP($A57,HN!$A:$K,10,FALSE)/12),0)</f>
        <v>0</v>
      </c>
      <c r="AI57" s="316">
        <f>_xlfn.IFNA((VLOOKUP($A57,HN!$A:$BS,15,FALSE)/12),0)</f>
        <v>0</v>
      </c>
      <c r="AJ57" s="315">
        <f t="shared" si="11"/>
        <v>-562.89333333333332</v>
      </c>
      <c r="AK57" s="315">
        <f t="shared" si="12"/>
        <v>-2605.8175000000001</v>
      </c>
      <c r="AL57" s="316"/>
      <c r="AM57" s="316">
        <f>_xlfn.IFNA(VLOOKUP($A57,'Cash Advances'!$A:$S,9,FALSE),0)</f>
        <v>0</v>
      </c>
      <c r="AN57" s="315">
        <f t="shared" si="55"/>
        <v>122084.97811766784</v>
      </c>
      <c r="AO57" s="308">
        <f t="shared" si="13"/>
        <v>125253.68895100117</v>
      </c>
      <c r="AP57" s="308"/>
      <c r="AQ57" s="309"/>
      <c r="AR57" s="309">
        <f>_xlfn.IFNA((VLOOKUP($A57,HN!$A:$K,8,FALSE)/12),0)</f>
        <v>0</v>
      </c>
      <c r="AS57" s="309">
        <f>_xlfn.IFNA((VLOOKUP($A57,HN!$A:$BS,14,FALSE)/12),0)</f>
        <v>0</v>
      </c>
      <c r="AT57" s="309">
        <f>_xlfn.IFNA(VLOOKUP($A57,'Post 16'!$A:$V,21,FALSE),0)/4</f>
        <v>0</v>
      </c>
      <c r="AU57" s="309"/>
      <c r="AV57" s="309">
        <f>_xlfn.IFNA((VLOOKUP($A57,HN!$A:$K,9,FALSE)/12),0)+_xlfn.IFNA((VLOOKUP($A57,HN!$A:$K,10,FALSE)/12),0)+_xlfn.IFNA(VLOOKUP(A57,HN!A:V,19,FALSE),0)+_xlfn.IFNA(VLOOKUP(A57,HN!A:V,20,FALSE),0)+_xlfn.IFNA(VLOOKUP(A57,HN!A:V,21,FALSE),0)</f>
        <v>0</v>
      </c>
      <c r="AW57" s="309">
        <f>_xlfn.IFNA((VLOOKUP($A57,HN!$A:$BS,15,FALSE)/12),0)</f>
        <v>0</v>
      </c>
      <c r="AX57" s="308">
        <f t="shared" si="14"/>
        <v>-562.89333333333332</v>
      </c>
      <c r="AY57" s="308">
        <f t="shared" si="15"/>
        <v>-2605.8175000000001</v>
      </c>
      <c r="AZ57" s="309"/>
      <c r="BA57" s="309">
        <f>_xlfn.IFNA(VLOOKUP($A57,'Cash Advances'!$A:$S,10,FALSE),0)</f>
        <v>0</v>
      </c>
      <c r="BB57" s="308">
        <f t="shared" si="56"/>
        <v>122084.97811766784</v>
      </c>
      <c r="BC57" s="330">
        <f t="shared" si="16"/>
        <v>125253.68895100117</v>
      </c>
      <c r="BD57" s="330"/>
      <c r="BE57" s="331"/>
      <c r="BF57" s="331">
        <f>_xlfn.IFNA((VLOOKUP($A57,HN!$A:$K,8,FALSE)/12),0)</f>
        <v>0</v>
      </c>
      <c r="BG57" s="331">
        <f>_xlfn.IFNA((VLOOKUP($A57,HN!$A:$BS,14,FALSE)/12),0)</f>
        <v>0</v>
      </c>
      <c r="BH57" s="331">
        <f>_xlfn.IFNA(VLOOKUP($A57,'Post 16'!$A:$V,21,FALSE),0)/4</f>
        <v>0</v>
      </c>
      <c r="BI57" s="331"/>
      <c r="BJ57" s="331">
        <f>_xlfn.IFNA((VLOOKUP($A57,HN!$A:$K,9,FALSE)/12),0)+_xlfn.IFNA((VLOOKUP($A57,HN!$A:$K,10,FALSE)/12),0)</f>
        <v>0</v>
      </c>
      <c r="BK57" s="331">
        <f>_xlfn.IFNA((VLOOKUP($A57,HN!$A:$BS,15,FALSE)/12),0)</f>
        <v>0</v>
      </c>
      <c r="BL57" s="330">
        <f t="shared" si="17"/>
        <v>-562.89333333333332</v>
      </c>
      <c r="BM57" s="330">
        <f t="shared" si="18"/>
        <v>-2605.8175000000001</v>
      </c>
      <c r="BN57" s="331"/>
      <c r="BO57" s="331">
        <f>_xlfn.IFNA(VLOOKUP(A57,'Cash Advances'!A:K,11,FALSE),0)</f>
        <v>0</v>
      </c>
      <c r="BP57" s="330">
        <f t="shared" si="57"/>
        <v>122084.97811766784</v>
      </c>
      <c r="BQ57" s="322">
        <f t="shared" si="19"/>
        <v>125253.68895100117</v>
      </c>
      <c r="BR57" s="322"/>
      <c r="BS57" s="323"/>
      <c r="BT57" s="323">
        <f>_xlfn.IFNA((VLOOKUP($A57,HN!$A:$K,8,FALSE)/12),0)</f>
        <v>0</v>
      </c>
      <c r="BU57" s="323">
        <f>_xlfn.IFNA((VLOOKUP($A57,HN!$A:$BS,14,FALSE)/12),0)</f>
        <v>0</v>
      </c>
      <c r="BV57" s="323">
        <f>(_xlfn.IFNA(VLOOKUP($A57,'Post 16'!$A:$AV,32,FALSE),0)/8)+_xlfn.IFNA(VLOOKUP($A57,'Post 16'!$A:$AR,40,FALSE),0)</f>
        <v>0</v>
      </c>
      <c r="BW57" s="323"/>
      <c r="BX57" s="323">
        <f>_xlfn.IFNA((VLOOKUP($A57,HN!$A:$K,9,FALSE)/12),0)+_xlfn.IFNA((VLOOKUP($A57,HN!$A:$K,10,FALSE)/12),0)</f>
        <v>0</v>
      </c>
      <c r="BY57" s="323">
        <f>_xlfn.IFNA((VLOOKUP($A57,HN!$A:$BS,15,FALSE)/12),0)</f>
        <v>0</v>
      </c>
      <c r="BZ57" s="322">
        <f t="shared" si="20"/>
        <v>-562.89333333333332</v>
      </c>
      <c r="CA57" s="322">
        <f t="shared" si="21"/>
        <v>-2605.8175000000001</v>
      </c>
      <c r="CB57" s="323"/>
      <c r="CC57" s="323"/>
      <c r="CD57" s="322">
        <f t="shared" si="58"/>
        <v>122084.97811766784</v>
      </c>
      <c r="CE57" s="357">
        <f t="shared" si="22"/>
        <v>125253.68895100117</v>
      </c>
      <c r="CF57" s="357">
        <f>(VLOOKUP($A57,EY!$A:$BS,26,FALSE)-(VLOOKUP($A57,EY!A:CR,24,FALSE)*80%))+VLOOKUP($A57,EY!$A:$BS,42,FALSE)+(VLOOKUP($A57,EY!A:CC,74,FALSE)-VLOOKUP($A57,EY!A:CC,72,FALSE))</f>
        <v>0</v>
      </c>
      <c r="CG57" s="358"/>
      <c r="CH57" s="358">
        <f>_xlfn.IFNA((VLOOKUP($A57,HN!$A:$K,8,FALSE)/12),0)</f>
        <v>0</v>
      </c>
      <c r="CI57" s="358">
        <f>_xlfn.IFNA((VLOOKUP($A57,HN!$A:$BS,14,FALSE)/12),0)</f>
        <v>0</v>
      </c>
      <c r="CJ57" s="358">
        <f>(_xlfn.IFNA(VLOOKUP($A57,'Post 16'!$A:$AV,32,FALSE),0)/8)</f>
        <v>0</v>
      </c>
      <c r="CK57" s="358">
        <f>(VLOOKUP($A57,EY!A:CR,24,FALSE)*80%)+VLOOKUP($A57,EY!A:CC,72,FALSE)</f>
        <v>0</v>
      </c>
      <c r="CL57" s="358">
        <f>_xlfn.IFNA((VLOOKUP($A57,HN!$A:$K,9,FALSE)/12),0)+_xlfn.IFNA((VLOOKUP($A57,HN!$A:$K,10,FALSE)/12),0)</f>
        <v>0</v>
      </c>
      <c r="CM57" s="358">
        <f>_xlfn.IFNA((VLOOKUP($A57,HN!$A:$BS,15,FALSE)/12),0)</f>
        <v>0</v>
      </c>
      <c r="CN57" s="357">
        <f t="shared" si="23"/>
        <v>-562.89333333333332</v>
      </c>
      <c r="CO57" s="357">
        <f t="shared" si="24"/>
        <v>-2605.8175000000001</v>
      </c>
      <c r="CP57" s="358">
        <f>_xlfn.IFNA(VLOOKUP(A57,'LA Deductions'!A:W,23,FALSE),0)</f>
        <v>-5139.75</v>
      </c>
      <c r="CQ57" s="358">
        <f>_xlfn.IFNA(VLOOKUP($A57,'Cash Advances'!$A:$S,13,FALSE),0)</f>
        <v>0</v>
      </c>
      <c r="CR57" s="358">
        <f>_xlfn.IFNA(VLOOKUP(A57,'LA Deductions'!A:AZ,25,FALSE),0)/9*3</f>
        <v>0</v>
      </c>
      <c r="CS57" s="357">
        <f t="shared" si="25"/>
        <v>116945.22811766784</v>
      </c>
      <c r="CT57" s="337">
        <f t="shared" si="26"/>
        <v>125253.68895100117</v>
      </c>
      <c r="CU57" s="337"/>
      <c r="CV57" s="338">
        <f>_xlfn.IFNA(VLOOKUP(A57,'LA Deductions'!$A$6:$AN$207,34,FALSE),0)</f>
        <v>0</v>
      </c>
      <c r="CW57" s="338">
        <f>_xlfn.IFNA((VLOOKUP($A57,HN!$A:$K,8,FALSE)/12),0)</f>
        <v>0</v>
      </c>
      <c r="CX57" s="338">
        <f>_xlfn.IFNA((VLOOKUP($A57,HN!$A:$BS,14,FALSE)/12),0)</f>
        <v>0</v>
      </c>
      <c r="CY57" s="338">
        <f>_xlfn.IFNA(VLOOKUP($A57,'Post 16'!$A:$AV,32,FALSE),0)/8</f>
        <v>0</v>
      </c>
      <c r="CZ57" s="338"/>
      <c r="DA57" s="338">
        <f>_xlfn.IFNA((VLOOKUP($A57,HN!$A:$K,9,FALSE)/12),0)+_xlfn.IFNA((VLOOKUP($A57,HN!$A:$K,10,FALSE)/12),0)</f>
        <v>0</v>
      </c>
      <c r="DB57" s="338">
        <f>_xlfn.IFNA((VLOOKUP($A57,HN!$A:$BS,15,FALSE)/12),0)</f>
        <v>0</v>
      </c>
      <c r="DC57" s="337">
        <f t="shared" si="27"/>
        <v>-562.89333333333332</v>
      </c>
      <c r="DD57" s="337">
        <f t="shared" si="28"/>
        <v>-2605.8175000000001</v>
      </c>
      <c r="DE57" s="338"/>
      <c r="DF57" s="338">
        <f>_xlfn.IFNA(VLOOKUP($A57,'Cash Advances'!$A:$S,14,FALSE),0)</f>
        <v>0</v>
      </c>
      <c r="DG57" s="338">
        <f>(_xlfn.IFNA(VLOOKUP(A57,'LA Deductions'!A:AZ,25,FALSE),0)/9)+(_xlfn.IFNA(VLOOKUP(A57,'LA Deductions'!A:AZ,26,FALSE),0))</f>
        <v>0</v>
      </c>
      <c r="DH57" s="337">
        <f t="shared" si="29"/>
        <v>122084.97811766784</v>
      </c>
      <c r="DI57" s="330">
        <f t="shared" si="30"/>
        <v>125253.68895100117</v>
      </c>
      <c r="DJ57" s="330"/>
      <c r="DK57" s="331"/>
      <c r="DL57" s="331">
        <f>_xlfn.IFNA((VLOOKUP($A57,HN!$A:$K,8,FALSE)/12),0)+_xlfn.IFNA((VLOOKUP($A57,HN!$A:$AF,32,FALSE)*8/12),0)</f>
        <v>0</v>
      </c>
      <c r="DM57" s="331">
        <f>_xlfn.IFNA((VLOOKUP($A57,HN!$A:$BS,14,FALSE)/12),0)+_xlfn.IFNA(VLOOKUP($A57,HN!$A:$BS,31,FALSE),0)</f>
        <v>0</v>
      </c>
      <c r="DN57" s="331">
        <f>_xlfn.IFNA(VLOOKUP($A57,'Post 16'!$A:$AV,32,FALSE),0)/8</f>
        <v>0</v>
      </c>
      <c r="DO57" s="331"/>
      <c r="DP57" s="331">
        <f>_xlfn.IFNA((VLOOKUP($A57,HN!$A:$K,9,FALSE)/12),0)+_xlfn.IFNA((VLOOKUP($A57,HN!$A:$K,10,FALSE)/12),0)+_xlfn.IFNA((VLOOKUP($A57,HN!$A:$BZ,33,FALSE)*8/12),0)</f>
        <v>0</v>
      </c>
      <c r="DQ57" s="331">
        <f>_xlfn.IFNA((VLOOKUP($A57,HN!$A:$BS,15,FALSE)/12),0)</f>
        <v>0</v>
      </c>
      <c r="DR57" s="330">
        <f t="shared" si="31"/>
        <v>-562.89333333333332</v>
      </c>
      <c r="DS57" s="330">
        <f t="shared" si="32"/>
        <v>-2605.8175000000001</v>
      </c>
      <c r="DT57" s="331"/>
      <c r="DU57" s="331"/>
      <c r="DV57" s="331">
        <f>(_xlfn.IFNA(VLOOKUP(A57,'LA Deductions'!A:AZ,25,FALSE),0)/9)+_xlfn.IFNA(VLOOKUP(A57,'LA Deductions'!A:AZ,27,FALSE),0)</f>
        <v>0</v>
      </c>
      <c r="DW57" s="330">
        <f t="shared" si="33"/>
        <v>122084.97811766784</v>
      </c>
      <c r="DX57" s="344">
        <f t="shared" si="34"/>
        <v>125253.68895100117</v>
      </c>
      <c r="DY57" s="344"/>
      <c r="DZ57" s="345"/>
      <c r="EA57" s="345">
        <f>_xlfn.IFNA((VLOOKUP($A57,HN!$A:$K,8,FALSE)/12),0)+_xlfn.IFNA((VLOOKUP($A57,HN!$A:$AF,32,FALSE)*1/12),0)</f>
        <v>0</v>
      </c>
      <c r="EB57" s="345">
        <f>_xlfn.IFNA((VLOOKUP($A57,HN!$A:$BS,14,FALSE)/12),0)</f>
        <v>0</v>
      </c>
      <c r="EC57" s="345">
        <f>_xlfn.IFNA(VLOOKUP($A57,'Post 16'!$A:$AV,32,FALSE),0)/8</f>
        <v>0</v>
      </c>
      <c r="ED57" s="345"/>
      <c r="EE57" s="345">
        <f>_xlfn.IFNA((VLOOKUP($A57,HN!$A:$K,9,FALSE)/12),0)+_xlfn.IFNA((VLOOKUP($A57,HN!$A:$K,10,FALSE)/12),0)+_xlfn.IFNA((VLOOKUP($A57,HN!$A:$BZ,33,FALSE)/12),0)</f>
        <v>0</v>
      </c>
      <c r="EF57" s="345">
        <f>_xlfn.IFNA((VLOOKUP($A57,HN!$A:$BS,15,FALSE)/12),0)</f>
        <v>0</v>
      </c>
      <c r="EG57" s="344">
        <f t="shared" si="35"/>
        <v>-562.89333333333332</v>
      </c>
      <c r="EH57" s="344">
        <f t="shared" si="36"/>
        <v>-2605.8175000000001</v>
      </c>
      <c r="EI57" s="345"/>
      <c r="EJ57" s="345">
        <f>_xlfn.IFNA(VLOOKUP(A57,'Cash Advances'!A:P,16,FALSE),0)</f>
        <v>0</v>
      </c>
      <c r="EK57" s="345">
        <f>_xlfn.IFNA(VLOOKUP(A57,'LA Deductions'!A:AZ,25,FALSE),0)/9</f>
        <v>0</v>
      </c>
      <c r="EL57" s="344">
        <f t="shared" si="37"/>
        <v>122084.97811766784</v>
      </c>
      <c r="EM57" s="308">
        <f t="shared" si="38"/>
        <v>125253.68895100117</v>
      </c>
      <c r="EN57" s="308">
        <f>((VLOOKUP($A57,EY!$A:$BS,35,FALSE)-(VLOOKUP($A57,EY!$A:$BS,33,FALSE)*80%))+VLOOKUP($A57,EY!$A:$BS,43,FALSE))+(VLOOKUP(A57,EY!A:DF,110,FALSE)-VLOOKUP(A57,EY!A:DD,108,FALSE))+(VLOOKUP(A57,EY!A:CE,83,FALSE)-VLOOKUP(A57,EY!A:CC,81,FALSE))</f>
        <v>0</v>
      </c>
      <c r="EO57" s="309"/>
      <c r="EP57" s="309">
        <f>_xlfn.IFNA((VLOOKUP($A57,HN!$A:$K,8,FALSE)/12),0)+_xlfn.IFNA((VLOOKUP($A57,HN!$A:$AF,32,FALSE)*1/12),0)</f>
        <v>0</v>
      </c>
      <c r="EQ57" s="309">
        <f>_xlfn.IFNA((VLOOKUP($A57,HN!$A:$BS,14,FALSE)/12),0)+_xlfn.IFNA((VLOOKUP($A57,HN!$A:$BS,34,FALSE)/3),0)</f>
        <v>0</v>
      </c>
      <c r="ER57" s="309">
        <f>_xlfn.IFNA(VLOOKUP($A57,'Post 16'!$A:$AV,32,FALSE),0)/8</f>
        <v>0</v>
      </c>
      <c r="ES57" s="309">
        <f>((VLOOKUP($A57,EY!A:EV,33,FALSE)*80%))+VLOOKUP(A57,EY!A:DD,108,FALSE)+VLOOKUP(A57,EY!A:CC,81,FALSE)</f>
        <v>0</v>
      </c>
      <c r="ET57" s="309">
        <f>_xlfn.IFNA((VLOOKUP($A57,HN!$A:$K,9,FALSE)/12),0)+_xlfn.IFNA((VLOOKUP($A57,HN!$A:$K,10,FALSE)/12),0)+_xlfn.IFNA((VLOOKUP($A57,HN!$A:$BZ,33,FALSE)/12),0)</f>
        <v>0</v>
      </c>
      <c r="EU57" s="309">
        <f>_xlfn.IFNA((VLOOKUP($A57,HN!$A:$BS,15,FALSE)/12),0)</f>
        <v>0</v>
      </c>
      <c r="EV57" s="308">
        <f t="shared" si="39"/>
        <v>-562.89333333333332</v>
      </c>
      <c r="EW57" s="308">
        <f t="shared" si="40"/>
        <v>-2605.8175000000001</v>
      </c>
      <c r="EX57" s="309"/>
      <c r="EY57" s="309">
        <f>_xlfn.IFNA(VLOOKUP($A57,'Cash Advances'!$A:$S,17,FALSE),0)</f>
        <v>0</v>
      </c>
      <c r="EZ57" s="309">
        <f>_xlfn.IFNA(VLOOKUP(A57,'LA Deductions'!A:AZ,25,FALSE),0)/9</f>
        <v>0</v>
      </c>
      <c r="FA57" s="308">
        <f t="shared" si="41"/>
        <v>122084.97811766784</v>
      </c>
      <c r="FB57" s="315">
        <f t="shared" si="42"/>
        <v>125253.68895100117</v>
      </c>
      <c r="FC57" s="315"/>
      <c r="FD57" s="316"/>
      <c r="FE57" s="316">
        <f>_xlfn.IFNA((VLOOKUP($A57,HN!$A:$K,8,FALSE)/12),0)+_xlfn.IFNA((VLOOKUP($A57,HN!$A:$AF,32,FALSE)*1/12),0)</f>
        <v>0</v>
      </c>
      <c r="FF57" s="316">
        <f>_xlfn.IFNA((VLOOKUP($A57,HN!$A:$BS,14,FALSE)/12),0)+_xlfn.IFNA((VLOOKUP($A57,HN!$A:$BS,34,FALSE)/3),0)</f>
        <v>0</v>
      </c>
      <c r="FG57" s="316">
        <f>_xlfn.IFNA(VLOOKUP($A57,'Post 16'!$A:$AV,32,FALSE),0)/8</f>
        <v>0</v>
      </c>
      <c r="FH57" s="316"/>
      <c r="FI57" s="316">
        <f>_xlfn.IFNA((VLOOKUP($A57,HN!$A:$K,9,FALSE)/12),0)+_xlfn.IFNA((VLOOKUP($A57,HN!$A:$K,10,FALSE)/12),0)+_xlfn.IFNA((VLOOKUP($A57,HN!$A:$BZ,33,FALSE)/12),0)+_xlfn.IFNA((VLOOKUP($A57,HN!$A:$BZ,35,FALSE)/2),0)</f>
        <v>0</v>
      </c>
      <c r="FJ57" s="316">
        <f>_xlfn.IFNA((VLOOKUP($A57,HN!$A:$BS,15,FALSE)/12),0)+_xlfn.IFNA((VLOOKUP($A57,HN!$A:$CZ,36,FALSE)/2),0)</f>
        <v>0</v>
      </c>
      <c r="FK57" s="315">
        <f t="shared" si="43"/>
        <v>-562.89333333333332</v>
      </c>
      <c r="FL57" s="315">
        <f t="shared" si="44"/>
        <v>-2605.8175000000001</v>
      </c>
      <c r="FM57" s="316"/>
      <c r="FN57" s="316">
        <f>_xlfn.IFNA(VLOOKUP($A57,'Cash Advances'!$A:$S,18,FALSE),0)</f>
        <v>0</v>
      </c>
      <c r="FO57" s="316">
        <f>_xlfn.IFNA(VLOOKUP(A57,'LA Deductions'!A:AZ,25,FALSE),0)/9</f>
        <v>0</v>
      </c>
      <c r="FP57" s="315">
        <f t="shared" si="45"/>
        <v>122084.97811766784</v>
      </c>
      <c r="FQ57" s="322">
        <f t="shared" si="46"/>
        <v>125253.68895100117</v>
      </c>
      <c r="FR57" s="322"/>
      <c r="FS57" s="323"/>
      <c r="FT57" s="323">
        <f>_xlfn.IFNA((VLOOKUP($A57,HN!$A:$K,8,FALSE)/12),0)+_xlfn.IFNA((VLOOKUP($A57,HN!$A:$AF,32,FALSE)*1/12),0)</f>
        <v>0</v>
      </c>
      <c r="FU57" s="323">
        <f>_xlfn.IFNA((VLOOKUP($A57,HN!$A:$BS,14,FALSE)/12),0)+_xlfn.IFNA((VLOOKUP($A57,HN!$A:$BS,34,FALSE)/3),0)</f>
        <v>0</v>
      </c>
      <c r="FV57" s="323">
        <f>_xlfn.IFNA(VLOOKUP($A57,'Post 16'!$A:$AV,32,FALSE),0)/8</f>
        <v>0</v>
      </c>
      <c r="FW57" s="323"/>
      <c r="FX57" s="323">
        <f>_xlfn.IFNA((VLOOKUP($A57,HN!$A:$K,9,FALSE)/12),0)+_xlfn.IFNA((VLOOKUP($A57,HN!$A:$K,10,FALSE)/12),0)+_xlfn.IFNA((VLOOKUP($A57,HN!$A:$BZ,33,FALSE)/12),0)+_xlfn.IFNA((VLOOKUP($A57,HN!$A:$BZ,35,FALSE)/2),0)</f>
        <v>0</v>
      </c>
      <c r="FY57" s="323">
        <f>_xlfn.IFNA((VLOOKUP($A57,HN!$A:$BS,15,FALSE)/12),0)+_xlfn.IFNA((VLOOKUP($A57,HN!$A:$CZ,36,FALSE)/2),0)</f>
        <v>0</v>
      </c>
      <c r="FZ57" s="322">
        <f t="shared" si="47"/>
        <v>-562.89333333333332</v>
      </c>
      <c r="GA57" s="322">
        <f t="shared" si="48"/>
        <v>-2605.8175000000001</v>
      </c>
      <c r="GB57" s="323"/>
      <c r="GC57" s="323"/>
      <c r="GD57" s="323">
        <f>_xlfn.IFNA(VLOOKUP(A57,'LA Deductions'!A:AZ,25,FALSE),0)/9</f>
        <v>0</v>
      </c>
      <c r="GE57" s="322">
        <f t="shared" si="49"/>
        <v>122084.97811766784</v>
      </c>
      <c r="GG57" s="146">
        <f t="shared" si="61"/>
        <v>1503044.2674120143</v>
      </c>
      <c r="GH57" s="146">
        <f t="shared" si="61"/>
        <v>0</v>
      </c>
      <c r="GI57" s="146">
        <f t="shared" si="61"/>
        <v>0</v>
      </c>
      <c r="GJ57" s="146">
        <f t="shared" si="61"/>
        <v>-6754.72</v>
      </c>
      <c r="GK57" s="146">
        <f t="shared" si="61"/>
        <v>-31269.810000000009</v>
      </c>
      <c r="GL57" s="146">
        <f t="shared" si="61"/>
        <v>-5139.75</v>
      </c>
      <c r="GN57" s="146">
        <f t="shared" si="62"/>
        <v>1503044.2674120143</v>
      </c>
      <c r="GO57" s="146">
        <f t="shared" si="62"/>
        <v>0</v>
      </c>
      <c r="GP57" s="146">
        <f t="shared" si="62"/>
        <v>0</v>
      </c>
      <c r="GQ57" s="146">
        <f t="shared" si="62"/>
        <v>-6754.72</v>
      </c>
      <c r="GR57" s="146">
        <f t="shared" si="62"/>
        <v>-31269.810000000009</v>
      </c>
      <c r="GS57" s="146">
        <f t="shared" si="62"/>
        <v>-5139.75</v>
      </c>
      <c r="GU57" s="146"/>
      <c r="GV57" s="57"/>
    </row>
    <row r="58" spans="1:204">
      <c r="A58" s="185">
        <v>1015</v>
      </c>
      <c r="B58" s="185">
        <v>103128</v>
      </c>
      <c r="C58" s="185" t="s">
        <v>136</v>
      </c>
      <c r="D58" s="2" t="s">
        <v>137</v>
      </c>
      <c r="E58" s="191" t="s">
        <v>29</v>
      </c>
      <c r="F58" s="191" t="s">
        <v>912</v>
      </c>
      <c r="H58" s="279">
        <f>_xlfn.IFNA(VLOOKUP($A58,ISB!$A$4:$BY$454,67,FALSE),0)</f>
        <v>0</v>
      </c>
      <c r="I58" s="279">
        <f>_xlfn.IFNA(VLOOKUP($A58,ISB!$A$4:$BY$454,72,FALSE),0)</f>
        <v>0</v>
      </c>
      <c r="J58" s="279">
        <f>-_xlfn.IFNA(VLOOKUP($A58,ISB!$A$4:$BY$454,76,FALSE),0)</f>
        <v>0</v>
      </c>
      <c r="K58" s="279">
        <f>_xlfn.IFNA(VLOOKUP($A58,ISB!$A$4:$BY$454,77,FALSE),0)</f>
        <v>0</v>
      </c>
      <c r="M58" s="301">
        <f t="shared" si="7"/>
        <v>0</v>
      </c>
      <c r="N58" s="301">
        <f>VLOOKUP($A58,EY!$A:$H,8,FALSE)+(VLOOKUP($A58,EY!$A:$BS,17,FALSE)-S58)+VLOOKUP($A58,EY!$A:$BS,41,FALSE)</f>
        <v>383920.07272211404</v>
      </c>
      <c r="O58" s="302"/>
      <c r="P58" s="302">
        <f>_xlfn.IFNA((VLOOKUP($A58,HN!$A:$K,8,FALSE)/12),0)</f>
        <v>0</v>
      </c>
      <c r="Q58" s="302">
        <f>_xlfn.IFNA((VLOOKUP($A58,HN!$A:$BS,14,FALSE)/12),0)</f>
        <v>0</v>
      </c>
      <c r="R58" s="302">
        <f>_xlfn.IFNA(VLOOKUP($A58,'Post 16'!$A:$V,21,FALSE),0)/4</f>
        <v>0</v>
      </c>
      <c r="S58" s="302">
        <f>VLOOKUP($A58,EY!A:Q,15,FALSE)*80%</f>
        <v>1026.8631578947368</v>
      </c>
      <c r="T58" s="302">
        <f>_xlfn.IFNA((VLOOKUP($A58,HN!$A:$K,9,FALSE)/12),0)+_xlfn.IFNA((VLOOKUP($A58,HN!$A:$K,10,FALSE)/12),0)</f>
        <v>0</v>
      </c>
      <c r="U58" s="302">
        <f>_xlfn.IFNA((VLOOKUP($A58,HN!$A:$BS,15,FALSE)/12),0)</f>
        <v>0</v>
      </c>
      <c r="V58" s="301">
        <f t="shared" si="8"/>
        <v>0</v>
      </c>
      <c r="W58" s="301">
        <f t="shared" si="9"/>
        <v>0</v>
      </c>
      <c r="X58" s="302"/>
      <c r="Y58" s="302">
        <f>_xlfn.IFNA(VLOOKUP($A58,'Cash Advances'!$A:$S,8,FALSE),0)</f>
        <v>0</v>
      </c>
      <c r="Z58" s="301">
        <f t="shared" si="54"/>
        <v>384946.93588000879</v>
      </c>
      <c r="AA58" s="315">
        <f t="shared" si="10"/>
        <v>0</v>
      </c>
      <c r="AB58" s="315"/>
      <c r="AC58" s="316"/>
      <c r="AD58" s="316">
        <f>_xlfn.IFNA((VLOOKUP($A58,HN!$A:$K,8,FALSE)/12),0)</f>
        <v>0</v>
      </c>
      <c r="AE58" s="316">
        <f>_xlfn.IFNA((VLOOKUP($A58,HN!$A:$BS,14,FALSE)/12),0)</f>
        <v>0</v>
      </c>
      <c r="AF58" s="316">
        <f>_xlfn.IFNA(VLOOKUP($A58,'Post 16'!$A:$V,21,FALSE),0)/4</f>
        <v>0</v>
      </c>
      <c r="AG58" s="316"/>
      <c r="AH58" s="316">
        <f>_xlfn.IFNA((VLOOKUP($A58,HN!$A:$K,9,FALSE)/12),0)+_xlfn.IFNA((VLOOKUP($A58,HN!$A:$K,10,FALSE)/12),0)</f>
        <v>0</v>
      </c>
      <c r="AI58" s="316">
        <f>_xlfn.IFNA((VLOOKUP($A58,HN!$A:$BS,15,FALSE)/12),0)</f>
        <v>0</v>
      </c>
      <c r="AJ58" s="315">
        <f t="shared" si="11"/>
        <v>0</v>
      </c>
      <c r="AK58" s="315">
        <f t="shared" si="12"/>
        <v>0</v>
      </c>
      <c r="AL58" s="316"/>
      <c r="AM58" s="316">
        <f>_xlfn.IFNA(VLOOKUP($A58,'Cash Advances'!$A:$S,9,FALSE),0)</f>
        <v>0</v>
      </c>
      <c r="AN58" s="315">
        <f t="shared" si="55"/>
        <v>0</v>
      </c>
      <c r="AO58" s="308">
        <f t="shared" si="13"/>
        <v>0</v>
      </c>
      <c r="AP58" s="308"/>
      <c r="AQ58" s="309"/>
      <c r="AR58" s="309">
        <f>_xlfn.IFNA((VLOOKUP($A58,HN!$A:$K,8,FALSE)/12),0)</f>
        <v>0</v>
      </c>
      <c r="AS58" s="309">
        <f>_xlfn.IFNA((VLOOKUP($A58,HN!$A:$BS,14,FALSE)/12),0)</f>
        <v>0</v>
      </c>
      <c r="AT58" s="309">
        <f>_xlfn.IFNA(VLOOKUP($A58,'Post 16'!$A:$V,21,FALSE),0)/4</f>
        <v>0</v>
      </c>
      <c r="AU58" s="309"/>
      <c r="AV58" s="309">
        <f>_xlfn.IFNA((VLOOKUP($A58,HN!$A:$K,9,FALSE)/12),0)+_xlfn.IFNA((VLOOKUP($A58,HN!$A:$K,10,FALSE)/12),0)+_xlfn.IFNA(VLOOKUP(A58,HN!A:V,19,FALSE),0)+_xlfn.IFNA(VLOOKUP(A58,HN!A:V,20,FALSE),0)+_xlfn.IFNA(VLOOKUP(A58,HN!A:V,21,FALSE),0)</f>
        <v>0</v>
      </c>
      <c r="AW58" s="309">
        <f>_xlfn.IFNA((VLOOKUP($A58,HN!$A:$BS,15,FALSE)/12),0)</f>
        <v>0</v>
      </c>
      <c r="AX58" s="308">
        <f t="shared" si="14"/>
        <v>0</v>
      </c>
      <c r="AY58" s="308">
        <f t="shared" si="15"/>
        <v>0</v>
      </c>
      <c r="AZ58" s="309"/>
      <c r="BA58" s="309">
        <f>_xlfn.IFNA(VLOOKUP($A58,'Cash Advances'!$A:$S,10,FALSE),0)</f>
        <v>0</v>
      </c>
      <c r="BB58" s="308">
        <f t="shared" si="56"/>
        <v>0</v>
      </c>
      <c r="BC58" s="330">
        <f t="shared" si="16"/>
        <v>0</v>
      </c>
      <c r="BD58" s="330"/>
      <c r="BE58" s="331"/>
      <c r="BF58" s="331">
        <f>_xlfn.IFNA((VLOOKUP($A58,HN!$A:$K,8,FALSE)/12),0)</f>
        <v>0</v>
      </c>
      <c r="BG58" s="331">
        <f>_xlfn.IFNA((VLOOKUP($A58,HN!$A:$BS,14,FALSE)/12),0)</f>
        <v>0</v>
      </c>
      <c r="BH58" s="331">
        <f>_xlfn.IFNA(VLOOKUP($A58,'Post 16'!$A:$V,21,FALSE),0)/4</f>
        <v>0</v>
      </c>
      <c r="BI58" s="331"/>
      <c r="BJ58" s="331">
        <f>_xlfn.IFNA((VLOOKUP($A58,HN!$A:$K,9,FALSE)/12),0)+_xlfn.IFNA((VLOOKUP($A58,HN!$A:$K,10,FALSE)/12),0)</f>
        <v>0</v>
      </c>
      <c r="BK58" s="331">
        <f>_xlfn.IFNA((VLOOKUP($A58,HN!$A:$BS,15,FALSE)/12),0)</f>
        <v>0</v>
      </c>
      <c r="BL58" s="330">
        <f t="shared" si="17"/>
        <v>0</v>
      </c>
      <c r="BM58" s="330">
        <f t="shared" si="18"/>
        <v>0</v>
      </c>
      <c r="BN58" s="331"/>
      <c r="BO58" s="331">
        <f>_xlfn.IFNA(VLOOKUP(A58,'Cash Advances'!A:K,11,FALSE),0)</f>
        <v>0</v>
      </c>
      <c r="BP58" s="330">
        <f t="shared" si="57"/>
        <v>0</v>
      </c>
      <c r="BQ58" s="322">
        <f t="shared" si="19"/>
        <v>0</v>
      </c>
      <c r="BR58" s="322"/>
      <c r="BS58" s="323"/>
      <c r="BT58" s="323">
        <f>_xlfn.IFNA((VLOOKUP($A58,HN!$A:$K,8,FALSE)/12),0)</f>
        <v>0</v>
      </c>
      <c r="BU58" s="323">
        <f>_xlfn.IFNA((VLOOKUP($A58,HN!$A:$BS,14,FALSE)/12),0)</f>
        <v>0</v>
      </c>
      <c r="BV58" s="323">
        <f>(_xlfn.IFNA(VLOOKUP($A58,'Post 16'!$A:$AV,32,FALSE),0)/8)+_xlfn.IFNA(VLOOKUP($A58,'Post 16'!$A:$AR,40,FALSE),0)</f>
        <v>0</v>
      </c>
      <c r="BW58" s="323"/>
      <c r="BX58" s="323">
        <f>_xlfn.IFNA((VLOOKUP($A58,HN!$A:$K,9,FALSE)/12),0)+_xlfn.IFNA((VLOOKUP($A58,HN!$A:$K,10,FALSE)/12),0)</f>
        <v>0</v>
      </c>
      <c r="BY58" s="323">
        <f>_xlfn.IFNA((VLOOKUP($A58,HN!$A:$BS,15,FALSE)/12),0)</f>
        <v>0</v>
      </c>
      <c r="BZ58" s="322">
        <f t="shared" si="20"/>
        <v>0</v>
      </c>
      <c r="CA58" s="322">
        <f t="shared" si="21"/>
        <v>0</v>
      </c>
      <c r="CB58" s="323"/>
      <c r="CC58" s="323"/>
      <c r="CD58" s="322">
        <f t="shared" si="58"/>
        <v>0</v>
      </c>
      <c r="CE58" s="357">
        <f t="shared" si="22"/>
        <v>0</v>
      </c>
      <c r="CF58" s="357">
        <f>(VLOOKUP($A58,EY!$A:$BS,26,FALSE)-(VLOOKUP($A58,EY!A:CR,24,FALSE)*80%))+VLOOKUP($A58,EY!$A:$BS,42,FALSE)+(VLOOKUP($A58,EY!A:CC,74,FALSE)-VLOOKUP($A58,EY!A:CC,72,FALSE))</f>
        <v>187786.88027746318</v>
      </c>
      <c r="CG58" s="358"/>
      <c r="CH58" s="358">
        <f>_xlfn.IFNA((VLOOKUP($A58,HN!$A:$K,8,FALSE)/12),0)</f>
        <v>0</v>
      </c>
      <c r="CI58" s="358">
        <f>_xlfn.IFNA((VLOOKUP($A58,HN!$A:$BS,14,FALSE)/12),0)</f>
        <v>0</v>
      </c>
      <c r="CJ58" s="358">
        <f>(_xlfn.IFNA(VLOOKUP($A58,'Post 16'!$A:$AV,32,FALSE),0)/8)</f>
        <v>0</v>
      </c>
      <c r="CK58" s="358">
        <f>(VLOOKUP($A58,EY!A:CR,24,FALSE)*80%)+VLOOKUP($A58,EY!A:CC,72,FALSE)</f>
        <v>3722.3315789473681</v>
      </c>
      <c r="CL58" s="358">
        <f>_xlfn.IFNA((VLOOKUP($A58,HN!$A:$K,9,FALSE)/12),0)+_xlfn.IFNA((VLOOKUP($A58,HN!$A:$K,10,FALSE)/12),0)</f>
        <v>0</v>
      </c>
      <c r="CM58" s="358">
        <f>_xlfn.IFNA((VLOOKUP($A58,HN!$A:$BS,15,FALSE)/12),0)</f>
        <v>0</v>
      </c>
      <c r="CN58" s="357">
        <f t="shared" si="23"/>
        <v>0</v>
      </c>
      <c r="CO58" s="357">
        <f t="shared" si="24"/>
        <v>0</v>
      </c>
      <c r="CP58" s="358">
        <f>_xlfn.IFNA(VLOOKUP(A58,'LA Deductions'!A:W,23,FALSE),0)</f>
        <v>-3291.75</v>
      </c>
      <c r="CQ58" s="358">
        <f>_xlfn.IFNA(VLOOKUP($A58,'Cash Advances'!$A:$S,13,FALSE),0)</f>
        <v>0</v>
      </c>
      <c r="CR58" s="358">
        <f>_xlfn.IFNA(VLOOKUP(A58,'LA Deductions'!A:AZ,25,FALSE),0)/9*3</f>
        <v>0</v>
      </c>
      <c r="CS58" s="357">
        <f t="shared" si="25"/>
        <v>188217.46185641055</v>
      </c>
      <c r="CT58" s="337">
        <f t="shared" si="26"/>
        <v>0</v>
      </c>
      <c r="CU58" s="337"/>
      <c r="CV58" s="338">
        <f>_xlfn.IFNA(VLOOKUP(A58,'LA Deductions'!$A$6:$AN$207,34,FALSE),0)</f>
        <v>0</v>
      </c>
      <c r="CW58" s="338">
        <f>_xlfn.IFNA((VLOOKUP($A58,HN!$A:$K,8,FALSE)/12),0)</f>
        <v>0</v>
      </c>
      <c r="CX58" s="338">
        <f>_xlfn.IFNA((VLOOKUP($A58,HN!$A:$BS,14,FALSE)/12),0)</f>
        <v>0</v>
      </c>
      <c r="CY58" s="338">
        <f>_xlfn.IFNA(VLOOKUP($A58,'Post 16'!$A:$AV,32,FALSE),0)/8</f>
        <v>0</v>
      </c>
      <c r="CZ58" s="338"/>
      <c r="DA58" s="338">
        <f>_xlfn.IFNA((VLOOKUP($A58,HN!$A:$K,9,FALSE)/12),0)+_xlfn.IFNA((VLOOKUP($A58,HN!$A:$K,10,FALSE)/12),0)</f>
        <v>0</v>
      </c>
      <c r="DB58" s="338">
        <f>_xlfn.IFNA((VLOOKUP($A58,HN!$A:$BS,15,FALSE)/12),0)</f>
        <v>0</v>
      </c>
      <c r="DC58" s="337">
        <f t="shared" si="27"/>
        <v>0</v>
      </c>
      <c r="DD58" s="337">
        <f t="shared" si="28"/>
        <v>0</v>
      </c>
      <c r="DE58" s="338"/>
      <c r="DF58" s="338">
        <f>_xlfn.IFNA(VLOOKUP($A58,'Cash Advances'!$A:$S,14,FALSE),0)</f>
        <v>0</v>
      </c>
      <c r="DG58" s="338">
        <f>(_xlfn.IFNA(VLOOKUP(A58,'LA Deductions'!A:AZ,25,FALSE),0)/9)+(_xlfn.IFNA(VLOOKUP(A58,'LA Deductions'!A:AZ,26,FALSE),0))</f>
        <v>0</v>
      </c>
      <c r="DH58" s="337">
        <f t="shared" si="29"/>
        <v>0</v>
      </c>
      <c r="DI58" s="330">
        <f t="shared" si="30"/>
        <v>0</v>
      </c>
      <c r="DJ58" s="330"/>
      <c r="DK58" s="331"/>
      <c r="DL58" s="331">
        <f>_xlfn.IFNA((VLOOKUP($A58,HN!$A:$K,8,FALSE)/12),0)+_xlfn.IFNA((VLOOKUP($A58,HN!$A:$AF,32,FALSE)*8/12),0)</f>
        <v>0</v>
      </c>
      <c r="DM58" s="331">
        <f>_xlfn.IFNA((VLOOKUP($A58,HN!$A:$BS,14,FALSE)/12),0)+_xlfn.IFNA(VLOOKUP($A58,HN!$A:$BS,31,FALSE),0)</f>
        <v>0</v>
      </c>
      <c r="DN58" s="331">
        <f>_xlfn.IFNA(VLOOKUP($A58,'Post 16'!$A:$AV,32,FALSE),0)/8</f>
        <v>0</v>
      </c>
      <c r="DO58" s="331"/>
      <c r="DP58" s="331">
        <f>_xlfn.IFNA((VLOOKUP($A58,HN!$A:$K,9,FALSE)/12),0)+_xlfn.IFNA((VLOOKUP($A58,HN!$A:$K,10,FALSE)/12),0)+_xlfn.IFNA((VLOOKUP($A58,HN!$A:$BZ,33,FALSE)*8/12),0)</f>
        <v>0</v>
      </c>
      <c r="DQ58" s="331">
        <f>_xlfn.IFNA((VLOOKUP($A58,HN!$A:$BS,15,FALSE)/12),0)</f>
        <v>0</v>
      </c>
      <c r="DR58" s="330">
        <f t="shared" si="31"/>
        <v>0</v>
      </c>
      <c r="DS58" s="330">
        <f t="shared" si="32"/>
        <v>0</v>
      </c>
      <c r="DT58" s="331"/>
      <c r="DU58" s="331"/>
      <c r="DV58" s="331">
        <f>(_xlfn.IFNA(VLOOKUP(A58,'LA Deductions'!A:AZ,25,FALSE),0)/9)+_xlfn.IFNA(VLOOKUP(A58,'LA Deductions'!A:AZ,27,FALSE),0)</f>
        <v>0</v>
      </c>
      <c r="DW58" s="330">
        <f t="shared" si="33"/>
        <v>0</v>
      </c>
      <c r="DX58" s="344">
        <f t="shared" si="34"/>
        <v>0</v>
      </c>
      <c r="DY58" s="344"/>
      <c r="DZ58" s="345"/>
      <c r="EA58" s="345">
        <f>_xlfn.IFNA((VLOOKUP($A58,HN!$A:$K,8,FALSE)/12),0)+_xlfn.IFNA((VLOOKUP($A58,HN!$A:$AF,32,FALSE)*1/12),0)</f>
        <v>0</v>
      </c>
      <c r="EB58" s="345">
        <f>_xlfn.IFNA((VLOOKUP($A58,HN!$A:$BS,14,FALSE)/12),0)</f>
        <v>0</v>
      </c>
      <c r="EC58" s="345">
        <f>_xlfn.IFNA(VLOOKUP($A58,'Post 16'!$A:$AV,32,FALSE),0)/8</f>
        <v>0</v>
      </c>
      <c r="ED58" s="345"/>
      <c r="EE58" s="345">
        <f>_xlfn.IFNA((VLOOKUP($A58,HN!$A:$K,9,FALSE)/12),0)+_xlfn.IFNA((VLOOKUP($A58,HN!$A:$K,10,FALSE)/12),0)+_xlfn.IFNA((VLOOKUP($A58,HN!$A:$BZ,33,FALSE)/12),0)</f>
        <v>0</v>
      </c>
      <c r="EF58" s="345">
        <f>_xlfn.IFNA((VLOOKUP($A58,HN!$A:$BS,15,FALSE)/12),0)</f>
        <v>0</v>
      </c>
      <c r="EG58" s="344">
        <f t="shared" si="35"/>
        <v>0</v>
      </c>
      <c r="EH58" s="344">
        <f t="shared" si="36"/>
        <v>0</v>
      </c>
      <c r="EI58" s="345"/>
      <c r="EJ58" s="345">
        <f>_xlfn.IFNA(VLOOKUP(A58,'Cash Advances'!A:P,16,FALSE),0)</f>
        <v>0</v>
      </c>
      <c r="EK58" s="345">
        <f>_xlfn.IFNA(VLOOKUP(A58,'LA Deductions'!A:AZ,25,FALSE),0)/9</f>
        <v>0</v>
      </c>
      <c r="EL58" s="344">
        <f t="shared" si="37"/>
        <v>0</v>
      </c>
      <c r="EM58" s="308">
        <f t="shared" si="38"/>
        <v>0</v>
      </c>
      <c r="EN58" s="308">
        <f>((VLOOKUP($A58,EY!$A:$BS,35,FALSE)-(VLOOKUP($A58,EY!$A:$BS,33,FALSE)*80%))+VLOOKUP($A58,EY!$A:$BS,43,FALSE))+(VLOOKUP(A58,EY!A:DF,110,FALSE)-VLOOKUP(A58,EY!A:DD,108,FALSE))+(VLOOKUP(A58,EY!A:CE,83,FALSE)-VLOOKUP(A58,EY!A:CC,81,FALSE))</f>
        <v>167127.83606648201</v>
      </c>
      <c r="EO58" s="309"/>
      <c r="EP58" s="309">
        <f>_xlfn.IFNA((VLOOKUP($A58,HN!$A:$K,8,FALSE)/12),0)+_xlfn.IFNA((VLOOKUP($A58,HN!$A:$AF,32,FALSE)*1/12),0)</f>
        <v>0</v>
      </c>
      <c r="EQ58" s="309">
        <f>_xlfn.IFNA((VLOOKUP($A58,HN!$A:$BS,14,FALSE)/12),0)+_xlfn.IFNA((VLOOKUP($A58,HN!$A:$BS,34,FALSE)/3),0)</f>
        <v>0</v>
      </c>
      <c r="ER58" s="309">
        <f>_xlfn.IFNA(VLOOKUP($A58,'Post 16'!$A:$AV,32,FALSE),0)/8</f>
        <v>0</v>
      </c>
      <c r="ES58" s="309">
        <f>((VLOOKUP($A58,EY!A:EV,33,FALSE)*80%))+VLOOKUP(A58,EY!A:DD,108,FALSE)+VLOOKUP(A58,EY!A:CC,81,FALSE)</f>
        <v>11231.62299168975</v>
      </c>
      <c r="ET58" s="309">
        <f>_xlfn.IFNA((VLOOKUP($A58,HN!$A:$K,9,FALSE)/12),0)+_xlfn.IFNA((VLOOKUP($A58,HN!$A:$K,10,FALSE)/12),0)+_xlfn.IFNA((VLOOKUP($A58,HN!$A:$BZ,33,FALSE)/12),0)</f>
        <v>0</v>
      </c>
      <c r="EU58" s="309">
        <f>_xlfn.IFNA((VLOOKUP($A58,HN!$A:$BS,15,FALSE)/12),0)</f>
        <v>0</v>
      </c>
      <c r="EV58" s="308">
        <f t="shared" si="39"/>
        <v>0</v>
      </c>
      <c r="EW58" s="308">
        <f t="shared" si="40"/>
        <v>0</v>
      </c>
      <c r="EX58" s="309"/>
      <c r="EY58" s="309">
        <f>_xlfn.IFNA(VLOOKUP($A58,'Cash Advances'!$A:$S,17,FALSE),0)</f>
        <v>0</v>
      </c>
      <c r="EZ58" s="309">
        <f>_xlfn.IFNA(VLOOKUP(A58,'LA Deductions'!A:AZ,25,FALSE),0)/9</f>
        <v>0</v>
      </c>
      <c r="FA58" s="308">
        <f t="shared" si="41"/>
        <v>178359.45905817175</v>
      </c>
      <c r="FB58" s="315">
        <f t="shared" si="42"/>
        <v>0</v>
      </c>
      <c r="FC58" s="315"/>
      <c r="FD58" s="316"/>
      <c r="FE58" s="316">
        <f>_xlfn.IFNA((VLOOKUP($A58,HN!$A:$K,8,FALSE)/12),0)+_xlfn.IFNA((VLOOKUP($A58,HN!$A:$AF,32,FALSE)*1/12),0)</f>
        <v>0</v>
      </c>
      <c r="FF58" s="316">
        <f>_xlfn.IFNA((VLOOKUP($A58,HN!$A:$BS,14,FALSE)/12),0)+_xlfn.IFNA((VLOOKUP($A58,HN!$A:$BS,34,FALSE)/3),0)</f>
        <v>0</v>
      </c>
      <c r="FG58" s="316">
        <f>_xlfn.IFNA(VLOOKUP($A58,'Post 16'!$A:$AV,32,FALSE),0)/8</f>
        <v>0</v>
      </c>
      <c r="FH58" s="316"/>
      <c r="FI58" s="316">
        <f>_xlfn.IFNA((VLOOKUP($A58,HN!$A:$K,9,FALSE)/12),0)+_xlfn.IFNA((VLOOKUP($A58,HN!$A:$K,10,FALSE)/12),0)+_xlfn.IFNA((VLOOKUP($A58,HN!$A:$BZ,33,FALSE)/12),0)+_xlfn.IFNA((VLOOKUP($A58,HN!$A:$BZ,35,FALSE)/2),0)</f>
        <v>0</v>
      </c>
      <c r="FJ58" s="316">
        <f>_xlfn.IFNA((VLOOKUP($A58,HN!$A:$BS,15,FALSE)/12),0)+_xlfn.IFNA((VLOOKUP($A58,HN!$A:$CZ,36,FALSE)/2),0)</f>
        <v>0</v>
      </c>
      <c r="FK58" s="315">
        <f t="shared" si="43"/>
        <v>0</v>
      </c>
      <c r="FL58" s="315">
        <f t="shared" si="44"/>
        <v>0</v>
      </c>
      <c r="FM58" s="316"/>
      <c r="FN58" s="316">
        <f>_xlfn.IFNA(VLOOKUP($A58,'Cash Advances'!$A:$S,18,FALSE),0)</f>
        <v>0</v>
      </c>
      <c r="FO58" s="316">
        <f>_xlfn.IFNA(VLOOKUP(A58,'LA Deductions'!A:AZ,25,FALSE),0)/9</f>
        <v>0</v>
      </c>
      <c r="FP58" s="315">
        <f t="shared" si="45"/>
        <v>0</v>
      </c>
      <c r="FQ58" s="322">
        <f t="shared" si="46"/>
        <v>0</v>
      </c>
      <c r="FR58" s="322"/>
      <c r="FS58" s="323"/>
      <c r="FT58" s="323">
        <f>_xlfn.IFNA((VLOOKUP($A58,HN!$A:$K,8,FALSE)/12),0)+_xlfn.IFNA((VLOOKUP($A58,HN!$A:$AF,32,FALSE)*1/12),0)</f>
        <v>0</v>
      </c>
      <c r="FU58" s="323">
        <f>_xlfn.IFNA((VLOOKUP($A58,HN!$A:$BS,14,FALSE)/12),0)+_xlfn.IFNA((VLOOKUP($A58,HN!$A:$BS,34,FALSE)/3),0)</f>
        <v>0</v>
      </c>
      <c r="FV58" s="323">
        <f>_xlfn.IFNA(VLOOKUP($A58,'Post 16'!$A:$AV,32,FALSE),0)/8</f>
        <v>0</v>
      </c>
      <c r="FW58" s="323"/>
      <c r="FX58" s="323">
        <f>_xlfn.IFNA((VLOOKUP($A58,HN!$A:$K,9,FALSE)/12),0)+_xlfn.IFNA((VLOOKUP($A58,HN!$A:$K,10,FALSE)/12),0)+_xlfn.IFNA((VLOOKUP($A58,HN!$A:$BZ,33,FALSE)/12),0)+_xlfn.IFNA((VLOOKUP($A58,HN!$A:$BZ,35,FALSE)/2),0)</f>
        <v>0</v>
      </c>
      <c r="FY58" s="323">
        <f>_xlfn.IFNA((VLOOKUP($A58,HN!$A:$BS,15,FALSE)/12),0)+_xlfn.IFNA((VLOOKUP($A58,HN!$A:$CZ,36,FALSE)/2),0)</f>
        <v>0</v>
      </c>
      <c r="FZ58" s="322">
        <f t="shared" si="47"/>
        <v>0</v>
      </c>
      <c r="GA58" s="322">
        <f t="shared" si="48"/>
        <v>0</v>
      </c>
      <c r="GB58" s="323"/>
      <c r="GC58" s="323"/>
      <c r="GD58" s="323">
        <f>_xlfn.IFNA(VLOOKUP(A58,'LA Deductions'!A:AZ,25,FALSE),0)/9</f>
        <v>0</v>
      </c>
      <c r="GE58" s="322">
        <f t="shared" si="49"/>
        <v>0</v>
      </c>
      <c r="GG58" s="146">
        <f t="shared" ref="GG58:GL67" si="63">SUMIFS($M58:$GE58,$M$7:$GE$7,GG$7)</f>
        <v>738834.78906605917</v>
      </c>
      <c r="GH58" s="146">
        <f t="shared" si="63"/>
        <v>0</v>
      </c>
      <c r="GI58" s="146">
        <f t="shared" si="63"/>
        <v>15980.817728531856</v>
      </c>
      <c r="GJ58" s="146">
        <f t="shared" si="63"/>
        <v>0</v>
      </c>
      <c r="GK58" s="146">
        <f t="shared" si="63"/>
        <v>0</v>
      </c>
      <c r="GL58" s="146">
        <f t="shared" si="63"/>
        <v>-3291.75</v>
      </c>
      <c r="GN58" s="146">
        <f t="shared" ref="GN58:GS67" si="64">SUMIFS($M58:$GE58,$M$7:$GE$7,GN$7,$M$4:$GE$4,$GN$6)</f>
        <v>738834.78906605917</v>
      </c>
      <c r="GO58" s="146">
        <f t="shared" si="64"/>
        <v>0</v>
      </c>
      <c r="GP58" s="146">
        <f t="shared" si="64"/>
        <v>15980.817728531856</v>
      </c>
      <c r="GQ58" s="146">
        <f t="shared" si="64"/>
        <v>0</v>
      </c>
      <c r="GR58" s="146">
        <f t="shared" si="64"/>
        <v>0</v>
      </c>
      <c r="GS58" s="146">
        <f t="shared" si="64"/>
        <v>-3291.75</v>
      </c>
      <c r="GU58" s="146"/>
      <c r="GV58" s="57"/>
    </row>
    <row r="59" spans="1:204">
      <c r="A59" s="185">
        <v>1022</v>
      </c>
      <c r="B59" s="185">
        <v>103135</v>
      </c>
      <c r="C59" s="185" t="s">
        <v>138</v>
      </c>
      <c r="D59" s="2" t="s">
        <v>139</v>
      </c>
      <c r="E59" s="191" t="s">
        <v>29</v>
      </c>
      <c r="F59" s="191" t="s">
        <v>912</v>
      </c>
      <c r="H59" s="279">
        <f>_xlfn.IFNA(VLOOKUP($A59,ISB!$A$4:$BY$454,67,FALSE),0)</f>
        <v>0</v>
      </c>
      <c r="I59" s="279">
        <f>_xlfn.IFNA(VLOOKUP($A59,ISB!$A$4:$BY$454,72,FALSE),0)</f>
        <v>0</v>
      </c>
      <c r="J59" s="279">
        <f>-_xlfn.IFNA(VLOOKUP($A59,ISB!$A$4:$BY$454,76,FALSE),0)</f>
        <v>0</v>
      </c>
      <c r="K59" s="279">
        <f>_xlfn.IFNA(VLOOKUP($A59,ISB!$A$4:$BY$454,77,FALSE),0)</f>
        <v>0</v>
      </c>
      <c r="M59" s="301">
        <f t="shared" si="7"/>
        <v>0</v>
      </c>
      <c r="N59" s="301">
        <f>VLOOKUP($A59,EY!$A:$H,8,FALSE)+(VLOOKUP($A59,EY!$A:$BS,17,FALSE)-S59)+VLOOKUP($A59,EY!$A:$BS,41,FALSE)</f>
        <v>343706.19511220121</v>
      </c>
      <c r="O59" s="302"/>
      <c r="P59" s="302">
        <f>_xlfn.IFNA((VLOOKUP($A59,HN!$A:$K,8,FALSE)/12),0)</f>
        <v>0</v>
      </c>
      <c r="Q59" s="302">
        <f>_xlfn.IFNA((VLOOKUP($A59,HN!$A:$BS,14,FALSE)/12),0)</f>
        <v>0</v>
      </c>
      <c r="R59" s="302">
        <f>_xlfn.IFNA(VLOOKUP($A59,'Post 16'!$A:$V,21,FALSE),0)/4</f>
        <v>0</v>
      </c>
      <c r="S59" s="302">
        <f>VLOOKUP($A59,EY!A:Q,15,FALSE)*80%</f>
        <v>2823.8736842105263</v>
      </c>
      <c r="T59" s="302">
        <f>_xlfn.IFNA((VLOOKUP($A59,HN!$A:$K,9,FALSE)/12),0)+_xlfn.IFNA((VLOOKUP($A59,HN!$A:$K,10,FALSE)/12),0)</f>
        <v>0</v>
      </c>
      <c r="U59" s="302">
        <f>_xlfn.IFNA((VLOOKUP($A59,HN!$A:$BS,15,FALSE)/12),0)</f>
        <v>0</v>
      </c>
      <c r="V59" s="301">
        <f t="shared" si="8"/>
        <v>0</v>
      </c>
      <c r="W59" s="301">
        <f t="shared" si="9"/>
        <v>0</v>
      </c>
      <c r="X59" s="302"/>
      <c r="Y59" s="302">
        <f>_xlfn.IFNA(VLOOKUP($A59,'Cash Advances'!$A:$S,8,FALSE),0)</f>
        <v>0</v>
      </c>
      <c r="Z59" s="301">
        <f t="shared" si="54"/>
        <v>346530.06879641174</v>
      </c>
      <c r="AA59" s="315">
        <f t="shared" si="10"/>
        <v>0</v>
      </c>
      <c r="AB59" s="315"/>
      <c r="AC59" s="316"/>
      <c r="AD59" s="316">
        <f>_xlfn.IFNA((VLOOKUP($A59,HN!$A:$K,8,FALSE)/12),0)</f>
        <v>0</v>
      </c>
      <c r="AE59" s="316">
        <f>_xlfn.IFNA((VLOOKUP($A59,HN!$A:$BS,14,FALSE)/12),0)</f>
        <v>0</v>
      </c>
      <c r="AF59" s="316">
        <f>_xlfn.IFNA(VLOOKUP($A59,'Post 16'!$A:$V,21,FALSE),0)/4</f>
        <v>0</v>
      </c>
      <c r="AG59" s="316"/>
      <c r="AH59" s="316">
        <f>_xlfn.IFNA((VLOOKUP($A59,HN!$A:$K,9,FALSE)/12),0)+_xlfn.IFNA((VLOOKUP($A59,HN!$A:$K,10,FALSE)/12),0)</f>
        <v>0</v>
      </c>
      <c r="AI59" s="316">
        <f>_xlfn.IFNA((VLOOKUP($A59,HN!$A:$BS,15,FALSE)/12),0)</f>
        <v>0</v>
      </c>
      <c r="AJ59" s="315">
        <f t="shared" si="11"/>
        <v>0</v>
      </c>
      <c r="AK59" s="315">
        <f t="shared" si="12"/>
        <v>0</v>
      </c>
      <c r="AL59" s="316"/>
      <c r="AM59" s="316">
        <f>_xlfn.IFNA(VLOOKUP($A59,'Cash Advances'!$A:$S,9,FALSE),0)</f>
        <v>0</v>
      </c>
      <c r="AN59" s="315">
        <f t="shared" si="55"/>
        <v>0</v>
      </c>
      <c r="AO59" s="308">
        <f t="shared" si="13"/>
        <v>0</v>
      </c>
      <c r="AP59" s="308"/>
      <c r="AQ59" s="309"/>
      <c r="AR59" s="309">
        <f>_xlfn.IFNA((VLOOKUP($A59,HN!$A:$K,8,FALSE)/12),0)</f>
        <v>0</v>
      </c>
      <c r="AS59" s="309">
        <f>_xlfn.IFNA((VLOOKUP($A59,HN!$A:$BS,14,FALSE)/12),0)</f>
        <v>0</v>
      </c>
      <c r="AT59" s="309">
        <f>_xlfn.IFNA(VLOOKUP($A59,'Post 16'!$A:$V,21,FALSE),0)/4</f>
        <v>0</v>
      </c>
      <c r="AU59" s="309"/>
      <c r="AV59" s="309">
        <f>_xlfn.IFNA((VLOOKUP($A59,HN!$A:$K,9,FALSE)/12),0)+_xlfn.IFNA((VLOOKUP($A59,HN!$A:$K,10,FALSE)/12),0)+_xlfn.IFNA(VLOOKUP(A59,HN!A:V,19,FALSE),0)+_xlfn.IFNA(VLOOKUP(A59,HN!A:V,20,FALSE),0)+_xlfn.IFNA(VLOOKUP(A59,HN!A:V,21,FALSE),0)</f>
        <v>0</v>
      </c>
      <c r="AW59" s="309">
        <f>_xlfn.IFNA((VLOOKUP($A59,HN!$A:$BS,15,FALSE)/12),0)</f>
        <v>0</v>
      </c>
      <c r="AX59" s="308">
        <f t="shared" si="14"/>
        <v>0</v>
      </c>
      <c r="AY59" s="308">
        <f t="shared" si="15"/>
        <v>0</v>
      </c>
      <c r="AZ59" s="309"/>
      <c r="BA59" s="309">
        <f>_xlfn.IFNA(VLOOKUP($A59,'Cash Advances'!$A:$S,10,FALSE),0)</f>
        <v>0</v>
      </c>
      <c r="BB59" s="308">
        <f t="shared" si="56"/>
        <v>0</v>
      </c>
      <c r="BC59" s="330">
        <f t="shared" si="16"/>
        <v>0</v>
      </c>
      <c r="BD59" s="330"/>
      <c r="BE59" s="331"/>
      <c r="BF59" s="331">
        <f>_xlfn.IFNA((VLOOKUP($A59,HN!$A:$K,8,FALSE)/12),0)</f>
        <v>0</v>
      </c>
      <c r="BG59" s="331">
        <f>_xlfn.IFNA((VLOOKUP($A59,HN!$A:$BS,14,FALSE)/12),0)</f>
        <v>0</v>
      </c>
      <c r="BH59" s="331">
        <f>_xlfn.IFNA(VLOOKUP($A59,'Post 16'!$A:$V,21,FALSE),0)/4</f>
        <v>0</v>
      </c>
      <c r="BI59" s="331"/>
      <c r="BJ59" s="331">
        <f>_xlfn.IFNA((VLOOKUP($A59,HN!$A:$K,9,FALSE)/12),0)+_xlfn.IFNA((VLOOKUP($A59,HN!$A:$K,10,FALSE)/12),0)</f>
        <v>0</v>
      </c>
      <c r="BK59" s="331">
        <f>_xlfn.IFNA((VLOOKUP($A59,HN!$A:$BS,15,FALSE)/12),0)</f>
        <v>0</v>
      </c>
      <c r="BL59" s="330">
        <f t="shared" si="17"/>
        <v>0</v>
      </c>
      <c r="BM59" s="330">
        <f t="shared" si="18"/>
        <v>0</v>
      </c>
      <c r="BN59" s="331"/>
      <c r="BO59" s="331">
        <f>_xlfn.IFNA(VLOOKUP(A59,'Cash Advances'!A:K,11,FALSE),0)</f>
        <v>0</v>
      </c>
      <c r="BP59" s="330">
        <f t="shared" si="57"/>
        <v>0</v>
      </c>
      <c r="BQ59" s="322">
        <f t="shared" si="19"/>
        <v>0</v>
      </c>
      <c r="BR59" s="322"/>
      <c r="BS59" s="323"/>
      <c r="BT59" s="323">
        <f>_xlfn.IFNA((VLOOKUP($A59,HN!$A:$K,8,FALSE)/12),0)</f>
        <v>0</v>
      </c>
      <c r="BU59" s="323">
        <f>_xlfn.IFNA((VLOOKUP($A59,HN!$A:$BS,14,FALSE)/12),0)</f>
        <v>0</v>
      </c>
      <c r="BV59" s="323">
        <f>(_xlfn.IFNA(VLOOKUP($A59,'Post 16'!$A:$AV,32,FALSE),0)/8)+_xlfn.IFNA(VLOOKUP($A59,'Post 16'!$A:$AR,40,FALSE),0)</f>
        <v>0</v>
      </c>
      <c r="BW59" s="323"/>
      <c r="BX59" s="323">
        <f>_xlfn.IFNA((VLOOKUP($A59,HN!$A:$K,9,FALSE)/12),0)+_xlfn.IFNA((VLOOKUP($A59,HN!$A:$K,10,FALSE)/12),0)</f>
        <v>0</v>
      </c>
      <c r="BY59" s="323">
        <f>_xlfn.IFNA((VLOOKUP($A59,HN!$A:$BS,15,FALSE)/12),0)</f>
        <v>0</v>
      </c>
      <c r="BZ59" s="322">
        <f t="shared" si="20"/>
        <v>0</v>
      </c>
      <c r="CA59" s="322">
        <f t="shared" si="21"/>
        <v>0</v>
      </c>
      <c r="CB59" s="323"/>
      <c r="CC59" s="323"/>
      <c r="CD59" s="322">
        <f t="shared" si="58"/>
        <v>0</v>
      </c>
      <c r="CE59" s="357">
        <f t="shared" si="22"/>
        <v>0</v>
      </c>
      <c r="CF59" s="357">
        <f>(VLOOKUP($A59,EY!$A:$BS,26,FALSE)-(VLOOKUP($A59,EY!A:CR,24,FALSE)*80%))+VLOOKUP($A59,EY!$A:$BS,42,FALSE)+(VLOOKUP($A59,EY!A:CC,74,FALSE)-VLOOKUP($A59,EY!A:CC,72,FALSE))</f>
        <v>125993.16240684206</v>
      </c>
      <c r="CG59" s="358"/>
      <c r="CH59" s="358">
        <f>_xlfn.IFNA((VLOOKUP($A59,HN!$A:$K,8,FALSE)/12),0)</f>
        <v>0</v>
      </c>
      <c r="CI59" s="358">
        <f>_xlfn.IFNA((VLOOKUP($A59,HN!$A:$BS,14,FALSE)/12),0)</f>
        <v>0</v>
      </c>
      <c r="CJ59" s="358">
        <f>(_xlfn.IFNA(VLOOKUP($A59,'Post 16'!$A:$AV,32,FALSE),0)/8)</f>
        <v>0</v>
      </c>
      <c r="CK59" s="358">
        <f>(VLOOKUP($A59,EY!A:CR,24,FALSE)*80%)+VLOOKUP($A59,EY!A:CC,72,FALSE)</f>
        <v>-1219.4236842105265</v>
      </c>
      <c r="CL59" s="358">
        <f>_xlfn.IFNA((VLOOKUP($A59,HN!$A:$K,9,FALSE)/12),0)+_xlfn.IFNA((VLOOKUP($A59,HN!$A:$K,10,FALSE)/12),0)</f>
        <v>0</v>
      </c>
      <c r="CM59" s="358">
        <f>_xlfn.IFNA((VLOOKUP($A59,HN!$A:$BS,15,FALSE)/12),0)</f>
        <v>0</v>
      </c>
      <c r="CN59" s="357">
        <f t="shared" si="23"/>
        <v>0</v>
      </c>
      <c r="CO59" s="357">
        <f t="shared" si="24"/>
        <v>0</v>
      </c>
      <c r="CP59" s="358">
        <f>_xlfn.IFNA(VLOOKUP(A59,'LA Deductions'!A:W,23,FALSE),0)</f>
        <v>-3291.75</v>
      </c>
      <c r="CQ59" s="358">
        <f>_xlfn.IFNA(VLOOKUP($A59,'Cash Advances'!$A:$S,13,FALSE),0)</f>
        <v>0</v>
      </c>
      <c r="CR59" s="358">
        <f>_xlfn.IFNA(VLOOKUP(A59,'LA Deductions'!A:AZ,25,FALSE),0)/9*3</f>
        <v>0</v>
      </c>
      <c r="CS59" s="357">
        <f t="shared" si="25"/>
        <v>121481.98872263153</v>
      </c>
      <c r="CT59" s="337">
        <f t="shared" si="26"/>
        <v>0</v>
      </c>
      <c r="CU59" s="337"/>
      <c r="CV59" s="338">
        <f>_xlfn.IFNA(VLOOKUP(A59,'LA Deductions'!$A$6:$AN$207,34,FALSE),0)</f>
        <v>0</v>
      </c>
      <c r="CW59" s="338">
        <f>_xlfn.IFNA((VLOOKUP($A59,HN!$A:$K,8,FALSE)/12),0)</f>
        <v>0</v>
      </c>
      <c r="CX59" s="338">
        <f>_xlfn.IFNA((VLOOKUP($A59,HN!$A:$BS,14,FALSE)/12),0)</f>
        <v>0</v>
      </c>
      <c r="CY59" s="338">
        <f>_xlfn.IFNA(VLOOKUP($A59,'Post 16'!$A:$AV,32,FALSE),0)/8</f>
        <v>0</v>
      </c>
      <c r="CZ59" s="338"/>
      <c r="DA59" s="338">
        <f>_xlfn.IFNA((VLOOKUP($A59,HN!$A:$K,9,FALSE)/12),0)+_xlfn.IFNA((VLOOKUP($A59,HN!$A:$K,10,FALSE)/12),0)</f>
        <v>0</v>
      </c>
      <c r="DB59" s="338">
        <f>_xlfn.IFNA((VLOOKUP($A59,HN!$A:$BS,15,FALSE)/12),0)</f>
        <v>0</v>
      </c>
      <c r="DC59" s="337">
        <f t="shared" si="27"/>
        <v>0</v>
      </c>
      <c r="DD59" s="337">
        <f t="shared" si="28"/>
        <v>0</v>
      </c>
      <c r="DE59" s="338"/>
      <c r="DF59" s="338">
        <f>_xlfn.IFNA(VLOOKUP($A59,'Cash Advances'!$A:$S,14,FALSE),0)</f>
        <v>0</v>
      </c>
      <c r="DG59" s="338">
        <f>(_xlfn.IFNA(VLOOKUP(A59,'LA Deductions'!A:AZ,25,FALSE),0)/9)+(_xlfn.IFNA(VLOOKUP(A59,'LA Deductions'!A:AZ,26,FALSE),0))</f>
        <v>0</v>
      </c>
      <c r="DH59" s="337">
        <f t="shared" si="29"/>
        <v>0</v>
      </c>
      <c r="DI59" s="330">
        <f t="shared" si="30"/>
        <v>0</v>
      </c>
      <c r="DJ59" s="330"/>
      <c r="DK59" s="331"/>
      <c r="DL59" s="331">
        <f>_xlfn.IFNA((VLOOKUP($A59,HN!$A:$K,8,FALSE)/12),0)+_xlfn.IFNA((VLOOKUP($A59,HN!$A:$AF,32,FALSE)*8/12),0)</f>
        <v>0</v>
      </c>
      <c r="DM59" s="331">
        <f>_xlfn.IFNA((VLOOKUP($A59,HN!$A:$BS,14,FALSE)/12),0)+_xlfn.IFNA(VLOOKUP($A59,HN!$A:$BS,31,FALSE),0)</f>
        <v>0</v>
      </c>
      <c r="DN59" s="331">
        <f>_xlfn.IFNA(VLOOKUP($A59,'Post 16'!$A:$AV,32,FALSE),0)/8</f>
        <v>0</v>
      </c>
      <c r="DO59" s="331"/>
      <c r="DP59" s="331">
        <f>_xlfn.IFNA((VLOOKUP($A59,HN!$A:$K,9,FALSE)/12),0)+_xlfn.IFNA((VLOOKUP($A59,HN!$A:$K,10,FALSE)/12),0)+_xlfn.IFNA((VLOOKUP($A59,HN!$A:$BZ,33,FALSE)*8/12),0)</f>
        <v>0</v>
      </c>
      <c r="DQ59" s="331">
        <f>_xlfn.IFNA((VLOOKUP($A59,HN!$A:$BS,15,FALSE)/12),0)</f>
        <v>0</v>
      </c>
      <c r="DR59" s="330">
        <f t="shared" si="31"/>
        <v>0</v>
      </c>
      <c r="DS59" s="330">
        <f t="shared" si="32"/>
        <v>0</v>
      </c>
      <c r="DT59" s="331"/>
      <c r="DU59" s="331"/>
      <c r="DV59" s="331">
        <f>(_xlfn.IFNA(VLOOKUP(A59,'LA Deductions'!A:AZ,25,FALSE),0)/9)+_xlfn.IFNA(VLOOKUP(A59,'LA Deductions'!A:AZ,27,FALSE),0)</f>
        <v>0</v>
      </c>
      <c r="DW59" s="330">
        <f t="shared" si="33"/>
        <v>0</v>
      </c>
      <c r="DX59" s="344">
        <f t="shared" si="34"/>
        <v>0</v>
      </c>
      <c r="DY59" s="344"/>
      <c r="DZ59" s="345"/>
      <c r="EA59" s="345">
        <f>_xlfn.IFNA((VLOOKUP($A59,HN!$A:$K,8,FALSE)/12),0)+_xlfn.IFNA((VLOOKUP($A59,HN!$A:$AF,32,FALSE)*1/12),0)</f>
        <v>0</v>
      </c>
      <c r="EB59" s="345">
        <f>_xlfn.IFNA((VLOOKUP($A59,HN!$A:$BS,14,FALSE)/12),0)</f>
        <v>0</v>
      </c>
      <c r="EC59" s="345">
        <f>_xlfn.IFNA(VLOOKUP($A59,'Post 16'!$A:$AV,32,FALSE),0)/8</f>
        <v>0</v>
      </c>
      <c r="ED59" s="345"/>
      <c r="EE59" s="345">
        <f>_xlfn.IFNA((VLOOKUP($A59,HN!$A:$K,9,FALSE)/12),0)+_xlfn.IFNA((VLOOKUP($A59,HN!$A:$K,10,FALSE)/12),0)+_xlfn.IFNA((VLOOKUP($A59,HN!$A:$BZ,33,FALSE)/12),0)</f>
        <v>0</v>
      </c>
      <c r="EF59" s="345">
        <f>_xlfn.IFNA((VLOOKUP($A59,HN!$A:$BS,15,FALSE)/12),0)</f>
        <v>0</v>
      </c>
      <c r="EG59" s="344">
        <f t="shared" si="35"/>
        <v>0</v>
      </c>
      <c r="EH59" s="344">
        <f t="shared" si="36"/>
        <v>0</v>
      </c>
      <c r="EI59" s="345"/>
      <c r="EJ59" s="345">
        <f>_xlfn.IFNA(VLOOKUP(A59,'Cash Advances'!A:P,16,FALSE),0)</f>
        <v>0</v>
      </c>
      <c r="EK59" s="345">
        <f>_xlfn.IFNA(VLOOKUP(A59,'LA Deductions'!A:AZ,25,FALSE),0)/9</f>
        <v>0</v>
      </c>
      <c r="EL59" s="344">
        <f t="shared" si="37"/>
        <v>0</v>
      </c>
      <c r="EM59" s="308">
        <f t="shared" si="38"/>
        <v>0</v>
      </c>
      <c r="EN59" s="308">
        <f>((VLOOKUP($A59,EY!$A:$BS,35,FALSE)-(VLOOKUP($A59,EY!$A:$BS,33,FALSE)*80%))+VLOOKUP($A59,EY!$A:$BS,43,FALSE))+(VLOOKUP(A59,EY!A:DF,110,FALSE)-VLOOKUP(A59,EY!A:DD,108,FALSE))+(VLOOKUP(A59,EY!A:CE,83,FALSE)-VLOOKUP(A59,EY!A:CC,81,FALSE))</f>
        <v>166262.01210526316</v>
      </c>
      <c r="EO59" s="309"/>
      <c r="EP59" s="309">
        <f>_xlfn.IFNA((VLOOKUP($A59,HN!$A:$K,8,FALSE)/12),0)+_xlfn.IFNA((VLOOKUP($A59,HN!$A:$AF,32,FALSE)*1/12),0)</f>
        <v>0</v>
      </c>
      <c r="EQ59" s="309">
        <f>_xlfn.IFNA((VLOOKUP($A59,HN!$A:$BS,14,FALSE)/12),0)+_xlfn.IFNA((VLOOKUP($A59,HN!$A:$BS,34,FALSE)/3),0)</f>
        <v>0</v>
      </c>
      <c r="ER59" s="309">
        <f>_xlfn.IFNA(VLOOKUP($A59,'Post 16'!$A:$AV,32,FALSE),0)/8</f>
        <v>0</v>
      </c>
      <c r="ES59" s="309">
        <f>((VLOOKUP($A59,EY!A:EV,33,FALSE)*80%))+VLOOKUP(A59,EY!A:DD,108,FALSE)+VLOOKUP(A59,EY!A:CC,81,FALSE)</f>
        <v>7471.0247922437675</v>
      </c>
      <c r="ET59" s="309">
        <f>_xlfn.IFNA((VLOOKUP($A59,HN!$A:$K,9,FALSE)/12),0)+_xlfn.IFNA((VLOOKUP($A59,HN!$A:$K,10,FALSE)/12),0)+_xlfn.IFNA((VLOOKUP($A59,HN!$A:$BZ,33,FALSE)/12),0)</f>
        <v>0</v>
      </c>
      <c r="EU59" s="309">
        <f>_xlfn.IFNA((VLOOKUP($A59,HN!$A:$BS,15,FALSE)/12),0)</f>
        <v>0</v>
      </c>
      <c r="EV59" s="308">
        <f t="shared" si="39"/>
        <v>0</v>
      </c>
      <c r="EW59" s="308">
        <f t="shared" si="40"/>
        <v>0</v>
      </c>
      <c r="EX59" s="309"/>
      <c r="EY59" s="309">
        <f>_xlfn.IFNA(VLOOKUP($A59,'Cash Advances'!$A:$S,17,FALSE),0)</f>
        <v>0</v>
      </c>
      <c r="EZ59" s="309">
        <f>_xlfn.IFNA(VLOOKUP(A59,'LA Deductions'!A:AZ,25,FALSE),0)/9</f>
        <v>0</v>
      </c>
      <c r="FA59" s="308">
        <f t="shared" si="41"/>
        <v>173733.03689750691</v>
      </c>
      <c r="FB59" s="315">
        <f t="shared" si="42"/>
        <v>0</v>
      </c>
      <c r="FC59" s="315"/>
      <c r="FD59" s="316"/>
      <c r="FE59" s="316">
        <f>_xlfn.IFNA((VLOOKUP($A59,HN!$A:$K,8,FALSE)/12),0)+_xlfn.IFNA((VLOOKUP($A59,HN!$A:$AF,32,FALSE)*1/12),0)</f>
        <v>0</v>
      </c>
      <c r="FF59" s="316">
        <f>_xlfn.IFNA((VLOOKUP($A59,HN!$A:$BS,14,FALSE)/12),0)+_xlfn.IFNA((VLOOKUP($A59,HN!$A:$BS,34,FALSE)/3),0)</f>
        <v>0</v>
      </c>
      <c r="FG59" s="316">
        <f>_xlfn.IFNA(VLOOKUP($A59,'Post 16'!$A:$AV,32,FALSE),0)/8</f>
        <v>0</v>
      </c>
      <c r="FH59" s="316"/>
      <c r="FI59" s="316">
        <f>_xlfn.IFNA((VLOOKUP($A59,HN!$A:$K,9,FALSE)/12),0)+_xlfn.IFNA((VLOOKUP($A59,HN!$A:$K,10,FALSE)/12),0)+_xlfn.IFNA((VLOOKUP($A59,HN!$A:$BZ,33,FALSE)/12),0)+_xlfn.IFNA((VLOOKUP($A59,HN!$A:$BZ,35,FALSE)/2),0)</f>
        <v>0</v>
      </c>
      <c r="FJ59" s="316">
        <f>_xlfn.IFNA((VLOOKUP($A59,HN!$A:$BS,15,FALSE)/12),0)+_xlfn.IFNA((VLOOKUP($A59,HN!$A:$CZ,36,FALSE)/2),0)</f>
        <v>0</v>
      </c>
      <c r="FK59" s="315">
        <f t="shared" si="43"/>
        <v>0</v>
      </c>
      <c r="FL59" s="315">
        <f t="shared" si="44"/>
        <v>0</v>
      </c>
      <c r="FM59" s="316"/>
      <c r="FN59" s="316">
        <f>_xlfn.IFNA(VLOOKUP($A59,'Cash Advances'!$A:$S,18,FALSE),0)</f>
        <v>0</v>
      </c>
      <c r="FO59" s="316">
        <f>_xlfn.IFNA(VLOOKUP(A59,'LA Deductions'!A:AZ,25,FALSE),0)/9</f>
        <v>0</v>
      </c>
      <c r="FP59" s="315">
        <f t="shared" si="45"/>
        <v>0</v>
      </c>
      <c r="FQ59" s="322">
        <f t="shared" si="46"/>
        <v>0</v>
      </c>
      <c r="FR59" s="322"/>
      <c r="FS59" s="323"/>
      <c r="FT59" s="323">
        <f>_xlfn.IFNA((VLOOKUP($A59,HN!$A:$K,8,FALSE)/12),0)+_xlfn.IFNA((VLOOKUP($A59,HN!$A:$AF,32,FALSE)*1/12),0)</f>
        <v>0</v>
      </c>
      <c r="FU59" s="323">
        <f>_xlfn.IFNA((VLOOKUP($A59,HN!$A:$BS,14,FALSE)/12),0)+_xlfn.IFNA((VLOOKUP($A59,HN!$A:$BS,34,FALSE)/3),0)</f>
        <v>0</v>
      </c>
      <c r="FV59" s="323">
        <f>_xlfn.IFNA(VLOOKUP($A59,'Post 16'!$A:$AV,32,FALSE),0)/8</f>
        <v>0</v>
      </c>
      <c r="FW59" s="323"/>
      <c r="FX59" s="323">
        <f>_xlfn.IFNA((VLOOKUP($A59,HN!$A:$K,9,FALSE)/12),0)+_xlfn.IFNA((VLOOKUP($A59,HN!$A:$K,10,FALSE)/12),0)+_xlfn.IFNA((VLOOKUP($A59,HN!$A:$BZ,33,FALSE)/12),0)+_xlfn.IFNA((VLOOKUP($A59,HN!$A:$BZ,35,FALSE)/2),0)</f>
        <v>0</v>
      </c>
      <c r="FY59" s="323">
        <f>_xlfn.IFNA((VLOOKUP($A59,HN!$A:$BS,15,FALSE)/12),0)+_xlfn.IFNA((VLOOKUP($A59,HN!$A:$CZ,36,FALSE)/2),0)</f>
        <v>0</v>
      </c>
      <c r="FZ59" s="322">
        <f t="shared" si="47"/>
        <v>0</v>
      </c>
      <c r="GA59" s="322">
        <f t="shared" si="48"/>
        <v>0</v>
      </c>
      <c r="GB59" s="323"/>
      <c r="GC59" s="323"/>
      <c r="GD59" s="323">
        <f>_xlfn.IFNA(VLOOKUP(A59,'LA Deductions'!A:AZ,25,FALSE),0)/9</f>
        <v>0</v>
      </c>
      <c r="GE59" s="322">
        <f t="shared" si="49"/>
        <v>0</v>
      </c>
      <c r="GG59" s="146">
        <f t="shared" si="63"/>
        <v>635961.36962430645</v>
      </c>
      <c r="GH59" s="146">
        <f t="shared" si="63"/>
        <v>0</v>
      </c>
      <c r="GI59" s="146">
        <f t="shared" si="63"/>
        <v>9075.4747922437673</v>
      </c>
      <c r="GJ59" s="146">
        <f t="shared" si="63"/>
        <v>0</v>
      </c>
      <c r="GK59" s="146">
        <f t="shared" si="63"/>
        <v>0</v>
      </c>
      <c r="GL59" s="146">
        <f t="shared" si="63"/>
        <v>-3291.75</v>
      </c>
      <c r="GN59" s="146">
        <f t="shared" si="64"/>
        <v>635961.36962430645</v>
      </c>
      <c r="GO59" s="146">
        <f t="shared" si="64"/>
        <v>0</v>
      </c>
      <c r="GP59" s="146">
        <f t="shared" si="64"/>
        <v>9075.4747922437673</v>
      </c>
      <c r="GQ59" s="146">
        <f t="shared" si="64"/>
        <v>0</v>
      </c>
      <c r="GR59" s="146">
        <f t="shared" si="64"/>
        <v>0</v>
      </c>
      <c r="GS59" s="146">
        <f t="shared" si="64"/>
        <v>-3291.75</v>
      </c>
      <c r="GU59" s="146"/>
      <c r="GV59" s="57"/>
    </row>
    <row r="60" spans="1:204">
      <c r="A60" s="185">
        <v>2087</v>
      </c>
      <c r="B60" s="185">
        <v>103205</v>
      </c>
      <c r="C60" s="185" t="s">
        <v>140</v>
      </c>
      <c r="D60" s="2" t="s">
        <v>141</v>
      </c>
      <c r="E60" s="191" t="s">
        <v>32</v>
      </c>
      <c r="F60" s="191" t="s">
        <v>912</v>
      </c>
      <c r="H60" s="279">
        <f>_xlfn.IFNA(VLOOKUP($A60,ISB!$A$4:$BY$454,67,FALSE),0)</f>
        <v>2121556.2484113574</v>
      </c>
      <c r="I60" s="279">
        <f>_xlfn.IFNA(VLOOKUP($A60,ISB!$A$4:$BY$454,72,FALSE),0)</f>
        <v>-8841.119999999999</v>
      </c>
      <c r="J60" s="279">
        <f>-_xlfn.IFNA(VLOOKUP($A60,ISB!$A$4:$BY$454,76,FALSE),0)</f>
        <v>-25826.99</v>
      </c>
      <c r="K60" s="279">
        <f>_xlfn.IFNA(VLOOKUP($A60,ISB!$A$4:$BY$454,77,FALSE),0)</f>
        <v>2086888.1384113573</v>
      </c>
      <c r="M60" s="301">
        <f t="shared" si="7"/>
        <v>176796.35403427979</v>
      </c>
      <c r="N60" s="301">
        <f>VLOOKUP($A60,EY!$A:$H,8,FALSE)+(VLOOKUP($A60,EY!$A:$BS,17,FALSE)-S60)+VLOOKUP($A60,EY!$A:$BS,41,FALSE)</f>
        <v>0</v>
      </c>
      <c r="O60" s="302"/>
      <c r="P60" s="302">
        <f>_xlfn.IFNA((VLOOKUP($A60,HN!$A:$K,8,FALSE)/12),0)</f>
        <v>0</v>
      </c>
      <c r="Q60" s="302">
        <f>_xlfn.IFNA((VLOOKUP($A60,HN!$A:$BS,14,FALSE)/12),0)</f>
        <v>0</v>
      </c>
      <c r="R60" s="302">
        <f>_xlfn.IFNA(VLOOKUP($A60,'Post 16'!$A:$V,21,FALSE),0)/4</f>
        <v>0</v>
      </c>
      <c r="S60" s="302">
        <f>VLOOKUP($A60,EY!A:Q,15,FALSE)*80%</f>
        <v>0</v>
      </c>
      <c r="T60" s="302">
        <f>_xlfn.IFNA((VLOOKUP($A60,HN!$A:$K,9,FALSE)/12),0)+_xlfn.IFNA((VLOOKUP($A60,HN!$A:$K,10,FALSE)/12),0)</f>
        <v>0</v>
      </c>
      <c r="U60" s="302">
        <f>_xlfn.IFNA((VLOOKUP($A60,HN!$A:$BS,15,FALSE)/12),0)</f>
        <v>0</v>
      </c>
      <c r="V60" s="301">
        <f t="shared" si="8"/>
        <v>-736.75999999999988</v>
      </c>
      <c r="W60" s="301">
        <f t="shared" si="9"/>
        <v>-2152.249166666667</v>
      </c>
      <c r="X60" s="302"/>
      <c r="Y60" s="302">
        <f>_xlfn.IFNA(VLOOKUP($A60,'Cash Advances'!$A:$S,8,FALSE),0)</f>
        <v>0</v>
      </c>
      <c r="Z60" s="301">
        <f t="shared" si="54"/>
        <v>173907.34486761311</v>
      </c>
      <c r="AA60" s="315">
        <f t="shared" si="10"/>
        <v>176796.35403427979</v>
      </c>
      <c r="AB60" s="315"/>
      <c r="AC60" s="316"/>
      <c r="AD60" s="316">
        <f>_xlfn.IFNA((VLOOKUP($A60,HN!$A:$K,8,FALSE)/12),0)</f>
        <v>0</v>
      </c>
      <c r="AE60" s="316">
        <f>_xlfn.IFNA((VLOOKUP($A60,HN!$A:$BS,14,FALSE)/12),0)</f>
        <v>0</v>
      </c>
      <c r="AF60" s="316">
        <f>_xlfn.IFNA(VLOOKUP($A60,'Post 16'!$A:$V,21,FALSE),0)/4</f>
        <v>0</v>
      </c>
      <c r="AG60" s="316"/>
      <c r="AH60" s="316">
        <f>_xlfn.IFNA((VLOOKUP($A60,HN!$A:$K,9,FALSE)/12),0)+_xlfn.IFNA((VLOOKUP($A60,HN!$A:$K,10,FALSE)/12),0)</f>
        <v>0</v>
      </c>
      <c r="AI60" s="316">
        <f>_xlfn.IFNA((VLOOKUP($A60,HN!$A:$BS,15,FALSE)/12),0)</f>
        <v>0</v>
      </c>
      <c r="AJ60" s="315">
        <f t="shared" si="11"/>
        <v>-736.75999999999988</v>
      </c>
      <c r="AK60" s="315">
        <f t="shared" si="12"/>
        <v>-2152.249166666667</v>
      </c>
      <c r="AL60" s="316"/>
      <c r="AM60" s="316">
        <f>_xlfn.IFNA(VLOOKUP($A60,'Cash Advances'!$A:$S,9,FALSE),0)</f>
        <v>0</v>
      </c>
      <c r="AN60" s="315">
        <f t="shared" si="55"/>
        <v>173907.34486761311</v>
      </c>
      <c r="AO60" s="308">
        <f t="shared" si="13"/>
        <v>176796.35403427979</v>
      </c>
      <c r="AP60" s="308"/>
      <c r="AQ60" s="309"/>
      <c r="AR60" s="309">
        <f>_xlfn.IFNA((VLOOKUP($A60,HN!$A:$K,8,FALSE)/12),0)</f>
        <v>0</v>
      </c>
      <c r="AS60" s="309">
        <f>_xlfn.IFNA((VLOOKUP($A60,HN!$A:$BS,14,FALSE)/12),0)</f>
        <v>0</v>
      </c>
      <c r="AT60" s="309">
        <f>_xlfn.IFNA(VLOOKUP($A60,'Post 16'!$A:$V,21,FALSE),0)/4</f>
        <v>0</v>
      </c>
      <c r="AU60" s="309"/>
      <c r="AV60" s="309">
        <f>_xlfn.IFNA((VLOOKUP($A60,HN!$A:$K,9,FALSE)/12),0)+_xlfn.IFNA((VLOOKUP($A60,HN!$A:$K,10,FALSE)/12),0)+_xlfn.IFNA(VLOOKUP(A60,HN!A:V,19,FALSE),0)+_xlfn.IFNA(VLOOKUP(A60,HN!A:V,20,FALSE),0)+_xlfn.IFNA(VLOOKUP(A60,HN!A:V,21,FALSE),0)</f>
        <v>0</v>
      </c>
      <c r="AW60" s="309">
        <f>_xlfn.IFNA((VLOOKUP($A60,HN!$A:$BS,15,FALSE)/12),0)</f>
        <v>0</v>
      </c>
      <c r="AX60" s="308">
        <f t="shared" si="14"/>
        <v>-736.75999999999988</v>
      </c>
      <c r="AY60" s="308">
        <f t="shared" si="15"/>
        <v>-2152.249166666667</v>
      </c>
      <c r="AZ60" s="309"/>
      <c r="BA60" s="309">
        <f>_xlfn.IFNA(VLOOKUP($A60,'Cash Advances'!$A:$S,10,FALSE),0)</f>
        <v>0</v>
      </c>
      <c r="BB60" s="308">
        <f t="shared" si="56"/>
        <v>173907.34486761311</v>
      </c>
      <c r="BC60" s="330">
        <f t="shared" si="16"/>
        <v>176796.35403427979</v>
      </c>
      <c r="BD60" s="330"/>
      <c r="BE60" s="331"/>
      <c r="BF60" s="331">
        <f>_xlfn.IFNA((VLOOKUP($A60,HN!$A:$K,8,FALSE)/12),0)</f>
        <v>0</v>
      </c>
      <c r="BG60" s="331">
        <f>_xlfn.IFNA((VLOOKUP($A60,HN!$A:$BS,14,FALSE)/12),0)</f>
        <v>0</v>
      </c>
      <c r="BH60" s="331">
        <f>_xlfn.IFNA(VLOOKUP($A60,'Post 16'!$A:$V,21,FALSE),0)/4</f>
        <v>0</v>
      </c>
      <c r="BI60" s="331"/>
      <c r="BJ60" s="331">
        <f>_xlfn.IFNA((VLOOKUP($A60,HN!$A:$K,9,FALSE)/12),0)+_xlfn.IFNA((VLOOKUP($A60,HN!$A:$K,10,FALSE)/12),0)</f>
        <v>0</v>
      </c>
      <c r="BK60" s="331">
        <f>_xlfn.IFNA((VLOOKUP($A60,HN!$A:$BS,15,FALSE)/12),0)</f>
        <v>0</v>
      </c>
      <c r="BL60" s="330">
        <f t="shared" si="17"/>
        <v>-736.75999999999988</v>
      </c>
      <c r="BM60" s="330">
        <f t="shared" si="18"/>
        <v>-2152.249166666667</v>
      </c>
      <c r="BN60" s="331"/>
      <c r="BO60" s="331">
        <f>_xlfn.IFNA(VLOOKUP(A60,'Cash Advances'!A:K,11,FALSE),0)</f>
        <v>0</v>
      </c>
      <c r="BP60" s="330">
        <f t="shared" si="57"/>
        <v>173907.34486761311</v>
      </c>
      <c r="BQ60" s="322">
        <f t="shared" si="19"/>
        <v>176796.35403427979</v>
      </c>
      <c r="BR60" s="322"/>
      <c r="BS60" s="323"/>
      <c r="BT60" s="323">
        <f>_xlfn.IFNA((VLOOKUP($A60,HN!$A:$K,8,FALSE)/12),0)</f>
        <v>0</v>
      </c>
      <c r="BU60" s="323">
        <f>_xlfn.IFNA((VLOOKUP($A60,HN!$A:$BS,14,FALSE)/12),0)</f>
        <v>0</v>
      </c>
      <c r="BV60" s="323">
        <f>(_xlfn.IFNA(VLOOKUP($A60,'Post 16'!$A:$AV,32,FALSE),0)/8)+_xlfn.IFNA(VLOOKUP($A60,'Post 16'!$A:$AR,40,FALSE),0)</f>
        <v>0</v>
      </c>
      <c r="BW60" s="323"/>
      <c r="BX60" s="323">
        <f>_xlfn.IFNA((VLOOKUP($A60,HN!$A:$K,9,FALSE)/12),0)+_xlfn.IFNA((VLOOKUP($A60,HN!$A:$K,10,FALSE)/12),0)</f>
        <v>0</v>
      </c>
      <c r="BY60" s="323">
        <f>_xlfn.IFNA((VLOOKUP($A60,HN!$A:$BS,15,FALSE)/12),0)</f>
        <v>0</v>
      </c>
      <c r="BZ60" s="322">
        <f t="shared" si="20"/>
        <v>-736.75999999999988</v>
      </c>
      <c r="CA60" s="322">
        <f t="shared" si="21"/>
        <v>-2152.249166666667</v>
      </c>
      <c r="CB60" s="323"/>
      <c r="CC60" s="323"/>
      <c r="CD60" s="322">
        <f t="shared" si="58"/>
        <v>173907.34486761311</v>
      </c>
      <c r="CE60" s="357">
        <f t="shared" si="22"/>
        <v>176796.35403427979</v>
      </c>
      <c r="CF60" s="357">
        <f>(VLOOKUP($A60,EY!$A:$BS,26,FALSE)-(VLOOKUP($A60,EY!A:CR,24,FALSE)*80%))+VLOOKUP($A60,EY!$A:$BS,42,FALSE)+(VLOOKUP($A60,EY!A:CC,74,FALSE)-VLOOKUP($A60,EY!A:CC,72,FALSE))</f>
        <v>0</v>
      </c>
      <c r="CG60" s="358"/>
      <c r="CH60" s="358">
        <f>_xlfn.IFNA((VLOOKUP($A60,HN!$A:$K,8,FALSE)/12),0)</f>
        <v>0</v>
      </c>
      <c r="CI60" s="358">
        <f>_xlfn.IFNA((VLOOKUP($A60,HN!$A:$BS,14,FALSE)/12),0)</f>
        <v>0</v>
      </c>
      <c r="CJ60" s="358">
        <f>(_xlfn.IFNA(VLOOKUP($A60,'Post 16'!$A:$AV,32,FALSE),0)/8)</f>
        <v>0</v>
      </c>
      <c r="CK60" s="358">
        <f>(VLOOKUP($A60,EY!A:CR,24,FALSE)*80%)+VLOOKUP($A60,EY!A:CC,72,FALSE)</f>
        <v>0</v>
      </c>
      <c r="CL60" s="358">
        <f>_xlfn.IFNA((VLOOKUP($A60,HN!$A:$K,9,FALSE)/12),0)+_xlfn.IFNA((VLOOKUP($A60,HN!$A:$K,10,FALSE)/12),0)</f>
        <v>0</v>
      </c>
      <c r="CM60" s="358">
        <f>_xlfn.IFNA((VLOOKUP($A60,HN!$A:$BS,15,FALSE)/12),0)</f>
        <v>0</v>
      </c>
      <c r="CN60" s="357">
        <f t="shared" si="23"/>
        <v>-736.75999999999988</v>
      </c>
      <c r="CO60" s="357">
        <f t="shared" si="24"/>
        <v>-2152.249166666667</v>
      </c>
      <c r="CP60" s="358">
        <f>_xlfn.IFNA(VLOOKUP(A60,'LA Deductions'!A:W,23,FALSE),0)</f>
        <v>-9471</v>
      </c>
      <c r="CQ60" s="358">
        <f>_xlfn.IFNA(VLOOKUP($A60,'Cash Advances'!$A:$S,13,FALSE),0)</f>
        <v>0</v>
      </c>
      <c r="CR60" s="358">
        <f>_xlfn.IFNA(VLOOKUP(A60,'LA Deductions'!A:AZ,25,FALSE),0)/9*3</f>
        <v>0</v>
      </c>
      <c r="CS60" s="357">
        <f t="shared" si="25"/>
        <v>164436.34486761311</v>
      </c>
      <c r="CT60" s="337">
        <f t="shared" si="26"/>
        <v>176796.35403427979</v>
      </c>
      <c r="CU60" s="337"/>
      <c r="CV60" s="338">
        <f>_xlfn.IFNA(VLOOKUP(A60,'LA Deductions'!$A$6:$AN$207,34,FALSE),0)</f>
        <v>0</v>
      </c>
      <c r="CW60" s="338">
        <f>_xlfn.IFNA((VLOOKUP($A60,HN!$A:$K,8,FALSE)/12),0)</f>
        <v>0</v>
      </c>
      <c r="CX60" s="338">
        <f>_xlfn.IFNA((VLOOKUP($A60,HN!$A:$BS,14,FALSE)/12),0)</f>
        <v>0</v>
      </c>
      <c r="CY60" s="338">
        <f>_xlfn.IFNA(VLOOKUP($A60,'Post 16'!$A:$AV,32,FALSE),0)/8</f>
        <v>0</v>
      </c>
      <c r="CZ60" s="338"/>
      <c r="DA60" s="338">
        <f>_xlfn.IFNA((VLOOKUP($A60,HN!$A:$K,9,FALSE)/12),0)+_xlfn.IFNA((VLOOKUP($A60,HN!$A:$K,10,FALSE)/12),0)</f>
        <v>0</v>
      </c>
      <c r="DB60" s="338">
        <f>_xlfn.IFNA((VLOOKUP($A60,HN!$A:$BS,15,FALSE)/12),0)</f>
        <v>0</v>
      </c>
      <c r="DC60" s="337">
        <f t="shared" si="27"/>
        <v>-736.75999999999988</v>
      </c>
      <c r="DD60" s="337">
        <f t="shared" si="28"/>
        <v>-2152.249166666667</v>
      </c>
      <c r="DE60" s="338"/>
      <c r="DF60" s="338">
        <f>_xlfn.IFNA(VLOOKUP($A60,'Cash Advances'!$A:$S,14,FALSE),0)</f>
        <v>0</v>
      </c>
      <c r="DG60" s="338">
        <f>(_xlfn.IFNA(VLOOKUP(A60,'LA Deductions'!A:AZ,25,FALSE),0)/9)+(_xlfn.IFNA(VLOOKUP(A60,'LA Deductions'!A:AZ,26,FALSE),0))</f>
        <v>0</v>
      </c>
      <c r="DH60" s="337">
        <f t="shared" si="29"/>
        <v>173907.34486761311</v>
      </c>
      <c r="DI60" s="330">
        <f t="shared" si="30"/>
        <v>176796.35403427979</v>
      </c>
      <c r="DJ60" s="330"/>
      <c r="DK60" s="331"/>
      <c r="DL60" s="331">
        <f>_xlfn.IFNA((VLOOKUP($A60,HN!$A:$K,8,FALSE)/12),0)+_xlfn.IFNA((VLOOKUP($A60,HN!$A:$AF,32,FALSE)*8/12),0)</f>
        <v>0</v>
      </c>
      <c r="DM60" s="331">
        <f>_xlfn.IFNA((VLOOKUP($A60,HN!$A:$BS,14,FALSE)/12),0)+_xlfn.IFNA(VLOOKUP($A60,HN!$A:$BS,31,FALSE),0)</f>
        <v>0</v>
      </c>
      <c r="DN60" s="331">
        <f>_xlfn.IFNA(VLOOKUP($A60,'Post 16'!$A:$AV,32,FALSE),0)/8</f>
        <v>0</v>
      </c>
      <c r="DO60" s="331"/>
      <c r="DP60" s="331">
        <f>_xlfn.IFNA((VLOOKUP($A60,HN!$A:$K,9,FALSE)/12),0)+_xlfn.IFNA((VLOOKUP($A60,HN!$A:$K,10,FALSE)/12),0)+_xlfn.IFNA((VLOOKUP($A60,HN!$A:$BZ,33,FALSE)*8/12),0)</f>
        <v>0</v>
      </c>
      <c r="DQ60" s="331">
        <f>_xlfn.IFNA((VLOOKUP($A60,HN!$A:$BS,15,FALSE)/12),0)</f>
        <v>0</v>
      </c>
      <c r="DR60" s="330">
        <f t="shared" si="31"/>
        <v>-736.75999999999988</v>
      </c>
      <c r="DS60" s="330">
        <f t="shared" si="32"/>
        <v>-2152.249166666667</v>
      </c>
      <c r="DT60" s="331"/>
      <c r="DU60" s="331"/>
      <c r="DV60" s="331">
        <f>(_xlfn.IFNA(VLOOKUP(A60,'LA Deductions'!A:AZ,25,FALSE),0)/9)+_xlfn.IFNA(VLOOKUP(A60,'LA Deductions'!A:AZ,27,FALSE),0)</f>
        <v>0</v>
      </c>
      <c r="DW60" s="330">
        <f t="shared" si="33"/>
        <v>173907.34486761311</v>
      </c>
      <c r="DX60" s="344">
        <f t="shared" si="34"/>
        <v>176796.35403427979</v>
      </c>
      <c r="DY60" s="344"/>
      <c r="DZ60" s="345"/>
      <c r="EA60" s="345">
        <f>_xlfn.IFNA((VLOOKUP($A60,HN!$A:$K,8,FALSE)/12),0)+_xlfn.IFNA((VLOOKUP($A60,HN!$A:$AF,32,FALSE)*1/12),0)</f>
        <v>0</v>
      </c>
      <c r="EB60" s="345">
        <f>_xlfn.IFNA((VLOOKUP($A60,HN!$A:$BS,14,FALSE)/12),0)</f>
        <v>0</v>
      </c>
      <c r="EC60" s="345">
        <f>_xlfn.IFNA(VLOOKUP($A60,'Post 16'!$A:$AV,32,FALSE),0)/8</f>
        <v>0</v>
      </c>
      <c r="ED60" s="345"/>
      <c r="EE60" s="345">
        <f>_xlfn.IFNA((VLOOKUP($A60,HN!$A:$K,9,FALSE)/12),0)+_xlfn.IFNA((VLOOKUP($A60,HN!$A:$K,10,FALSE)/12),0)+_xlfn.IFNA((VLOOKUP($A60,HN!$A:$BZ,33,FALSE)/12),0)</f>
        <v>0</v>
      </c>
      <c r="EF60" s="345">
        <f>_xlfn.IFNA((VLOOKUP($A60,HN!$A:$BS,15,FALSE)/12),0)</f>
        <v>0</v>
      </c>
      <c r="EG60" s="344">
        <f t="shared" si="35"/>
        <v>-736.75999999999988</v>
      </c>
      <c r="EH60" s="344">
        <f t="shared" si="36"/>
        <v>-2152.249166666667</v>
      </c>
      <c r="EI60" s="345"/>
      <c r="EJ60" s="345">
        <f>_xlfn.IFNA(VLOOKUP(A60,'Cash Advances'!A:P,16,FALSE),0)</f>
        <v>0</v>
      </c>
      <c r="EK60" s="345">
        <f>_xlfn.IFNA(VLOOKUP(A60,'LA Deductions'!A:AZ,25,FALSE),0)/9</f>
        <v>0</v>
      </c>
      <c r="EL60" s="344">
        <f t="shared" si="37"/>
        <v>173907.34486761311</v>
      </c>
      <c r="EM60" s="308">
        <f t="shared" si="38"/>
        <v>176796.35403427979</v>
      </c>
      <c r="EN60" s="308">
        <f>((VLOOKUP($A60,EY!$A:$BS,35,FALSE)-(VLOOKUP($A60,EY!$A:$BS,33,FALSE)*80%))+VLOOKUP($A60,EY!$A:$BS,43,FALSE))+(VLOOKUP(A60,EY!A:DF,110,FALSE)-VLOOKUP(A60,EY!A:DD,108,FALSE))+(VLOOKUP(A60,EY!A:CE,83,FALSE)-VLOOKUP(A60,EY!A:CC,81,FALSE))</f>
        <v>0</v>
      </c>
      <c r="EO60" s="309"/>
      <c r="EP60" s="309">
        <f>_xlfn.IFNA((VLOOKUP($A60,HN!$A:$K,8,FALSE)/12),0)+_xlfn.IFNA((VLOOKUP($A60,HN!$A:$AF,32,FALSE)*1/12),0)</f>
        <v>0</v>
      </c>
      <c r="EQ60" s="309">
        <f>_xlfn.IFNA((VLOOKUP($A60,HN!$A:$BS,14,FALSE)/12),0)+_xlfn.IFNA((VLOOKUP($A60,HN!$A:$BS,34,FALSE)/3),0)</f>
        <v>0</v>
      </c>
      <c r="ER60" s="309">
        <f>_xlfn.IFNA(VLOOKUP($A60,'Post 16'!$A:$AV,32,FALSE),0)/8</f>
        <v>0</v>
      </c>
      <c r="ES60" s="309">
        <f>((VLOOKUP($A60,EY!A:EV,33,FALSE)*80%))+VLOOKUP(A60,EY!A:DD,108,FALSE)+VLOOKUP(A60,EY!A:CC,81,FALSE)</f>
        <v>0</v>
      </c>
      <c r="ET60" s="309">
        <f>_xlfn.IFNA((VLOOKUP($A60,HN!$A:$K,9,FALSE)/12),0)+_xlfn.IFNA((VLOOKUP($A60,HN!$A:$K,10,FALSE)/12),0)+_xlfn.IFNA((VLOOKUP($A60,HN!$A:$BZ,33,FALSE)/12),0)</f>
        <v>0</v>
      </c>
      <c r="EU60" s="309">
        <f>_xlfn.IFNA((VLOOKUP($A60,HN!$A:$BS,15,FALSE)/12),0)</f>
        <v>0</v>
      </c>
      <c r="EV60" s="308">
        <f t="shared" si="39"/>
        <v>-736.75999999999988</v>
      </c>
      <c r="EW60" s="308">
        <f t="shared" si="40"/>
        <v>-2152.249166666667</v>
      </c>
      <c r="EX60" s="309"/>
      <c r="EY60" s="309">
        <f>_xlfn.IFNA(VLOOKUP($A60,'Cash Advances'!$A:$S,17,FALSE),0)</f>
        <v>0</v>
      </c>
      <c r="EZ60" s="309">
        <f>_xlfn.IFNA(VLOOKUP(A60,'LA Deductions'!A:AZ,25,FALSE),0)/9</f>
        <v>0</v>
      </c>
      <c r="FA60" s="308">
        <f t="shared" si="41"/>
        <v>173907.34486761311</v>
      </c>
      <c r="FB60" s="315">
        <f t="shared" si="42"/>
        <v>176796.35403427979</v>
      </c>
      <c r="FC60" s="315"/>
      <c r="FD60" s="316"/>
      <c r="FE60" s="316">
        <f>_xlfn.IFNA((VLOOKUP($A60,HN!$A:$K,8,FALSE)/12),0)+_xlfn.IFNA((VLOOKUP($A60,HN!$A:$AF,32,FALSE)*1/12),0)</f>
        <v>0</v>
      </c>
      <c r="FF60" s="316">
        <f>_xlfn.IFNA((VLOOKUP($A60,HN!$A:$BS,14,FALSE)/12),0)+_xlfn.IFNA((VLOOKUP($A60,HN!$A:$BS,34,FALSE)/3),0)</f>
        <v>0</v>
      </c>
      <c r="FG60" s="316">
        <f>_xlfn.IFNA(VLOOKUP($A60,'Post 16'!$A:$AV,32,FALSE),0)/8</f>
        <v>0</v>
      </c>
      <c r="FH60" s="316"/>
      <c r="FI60" s="316">
        <f>_xlfn.IFNA((VLOOKUP($A60,HN!$A:$K,9,FALSE)/12),0)+_xlfn.IFNA((VLOOKUP($A60,HN!$A:$K,10,FALSE)/12),0)+_xlfn.IFNA((VLOOKUP($A60,HN!$A:$BZ,33,FALSE)/12),0)+_xlfn.IFNA((VLOOKUP($A60,HN!$A:$BZ,35,FALSE)/2),0)</f>
        <v>0</v>
      </c>
      <c r="FJ60" s="316">
        <f>_xlfn.IFNA((VLOOKUP($A60,HN!$A:$BS,15,FALSE)/12),0)+_xlfn.IFNA((VLOOKUP($A60,HN!$A:$CZ,36,FALSE)/2),0)</f>
        <v>0</v>
      </c>
      <c r="FK60" s="315">
        <f t="shared" si="43"/>
        <v>-736.75999999999988</v>
      </c>
      <c r="FL60" s="315">
        <f t="shared" si="44"/>
        <v>-2152.249166666667</v>
      </c>
      <c r="FM60" s="316"/>
      <c r="FN60" s="316">
        <f>_xlfn.IFNA(VLOOKUP($A60,'Cash Advances'!$A:$S,18,FALSE),0)</f>
        <v>0</v>
      </c>
      <c r="FO60" s="316">
        <f>_xlfn.IFNA(VLOOKUP(A60,'LA Deductions'!A:AZ,25,FALSE),0)/9</f>
        <v>0</v>
      </c>
      <c r="FP60" s="315">
        <f t="shared" si="45"/>
        <v>173907.34486761311</v>
      </c>
      <c r="FQ60" s="322">
        <f t="shared" si="46"/>
        <v>176796.35403427979</v>
      </c>
      <c r="FR60" s="322"/>
      <c r="FS60" s="323"/>
      <c r="FT60" s="323">
        <f>_xlfn.IFNA((VLOOKUP($A60,HN!$A:$K,8,FALSE)/12),0)+_xlfn.IFNA((VLOOKUP($A60,HN!$A:$AF,32,FALSE)*1/12),0)</f>
        <v>0</v>
      </c>
      <c r="FU60" s="323">
        <f>_xlfn.IFNA((VLOOKUP($A60,HN!$A:$BS,14,FALSE)/12),0)+_xlfn.IFNA((VLOOKUP($A60,HN!$A:$BS,34,FALSE)/3),0)</f>
        <v>0</v>
      </c>
      <c r="FV60" s="323">
        <f>_xlfn.IFNA(VLOOKUP($A60,'Post 16'!$A:$AV,32,FALSE),0)/8</f>
        <v>0</v>
      </c>
      <c r="FW60" s="323"/>
      <c r="FX60" s="323">
        <f>_xlfn.IFNA((VLOOKUP($A60,HN!$A:$K,9,FALSE)/12),0)+_xlfn.IFNA((VLOOKUP($A60,HN!$A:$K,10,FALSE)/12),0)+_xlfn.IFNA((VLOOKUP($A60,HN!$A:$BZ,33,FALSE)/12),0)+_xlfn.IFNA((VLOOKUP($A60,HN!$A:$BZ,35,FALSE)/2),0)</f>
        <v>0</v>
      </c>
      <c r="FY60" s="323">
        <f>_xlfn.IFNA((VLOOKUP($A60,HN!$A:$BS,15,FALSE)/12),0)+_xlfn.IFNA((VLOOKUP($A60,HN!$A:$CZ,36,FALSE)/2),0)</f>
        <v>0</v>
      </c>
      <c r="FZ60" s="322">
        <f t="shared" si="47"/>
        <v>-736.75999999999988</v>
      </c>
      <c r="GA60" s="322">
        <f t="shared" si="48"/>
        <v>-2152.249166666667</v>
      </c>
      <c r="GB60" s="323"/>
      <c r="GC60" s="323"/>
      <c r="GD60" s="323">
        <f>_xlfn.IFNA(VLOOKUP(A60,'LA Deductions'!A:AZ,25,FALSE),0)/9</f>
        <v>0</v>
      </c>
      <c r="GE60" s="322">
        <f t="shared" si="49"/>
        <v>173907.34486761311</v>
      </c>
      <c r="GG60" s="146">
        <f t="shared" si="63"/>
        <v>2121556.2484113569</v>
      </c>
      <c r="GH60" s="146">
        <f t="shared" si="63"/>
        <v>0</v>
      </c>
      <c r="GI60" s="146">
        <f t="shared" si="63"/>
        <v>0</v>
      </c>
      <c r="GJ60" s="146">
        <f t="shared" si="63"/>
        <v>-8841.1200000000008</v>
      </c>
      <c r="GK60" s="146">
        <f t="shared" si="63"/>
        <v>-25826.990000000009</v>
      </c>
      <c r="GL60" s="146">
        <f t="shared" si="63"/>
        <v>-9471</v>
      </c>
      <c r="GN60" s="146">
        <f t="shared" si="64"/>
        <v>2121556.2484113569</v>
      </c>
      <c r="GO60" s="146">
        <f t="shared" si="64"/>
        <v>0</v>
      </c>
      <c r="GP60" s="146">
        <f t="shared" si="64"/>
        <v>0</v>
      </c>
      <c r="GQ60" s="146">
        <f t="shared" si="64"/>
        <v>-8841.1200000000008</v>
      </c>
      <c r="GR60" s="146">
        <f t="shared" si="64"/>
        <v>-25826.990000000009</v>
      </c>
      <c r="GS60" s="146">
        <f t="shared" si="64"/>
        <v>-9471</v>
      </c>
      <c r="GU60" s="146"/>
      <c r="GV60" s="57"/>
    </row>
    <row r="61" spans="1:204">
      <c r="A61" s="185">
        <v>2466</v>
      </c>
      <c r="B61" s="185">
        <v>103392</v>
      </c>
      <c r="C61" s="185" t="s">
        <v>142</v>
      </c>
      <c r="D61" s="2" t="s">
        <v>143</v>
      </c>
      <c r="E61" s="191" t="s">
        <v>32</v>
      </c>
      <c r="F61" s="191" t="s">
        <v>912</v>
      </c>
      <c r="H61" s="279">
        <f>_xlfn.IFNA(VLOOKUP($A61,ISB!$A$4:$BY$454,67,FALSE),0)</f>
        <v>3662527.6129346667</v>
      </c>
      <c r="I61" s="279">
        <f>_xlfn.IFNA(VLOOKUP($A61,ISB!$A$4:$BY$454,72,FALSE),0)</f>
        <v>-15752.32</v>
      </c>
      <c r="J61" s="279">
        <f>-_xlfn.IFNA(VLOOKUP($A61,ISB!$A$4:$BY$454,76,FALSE),0)</f>
        <v>-30739.81</v>
      </c>
      <c r="K61" s="279">
        <f>_xlfn.IFNA(VLOOKUP($A61,ISB!$A$4:$BY$454,77,FALSE),0)</f>
        <v>3616035.4829346668</v>
      </c>
      <c r="M61" s="301">
        <f t="shared" si="7"/>
        <v>305210.63441122224</v>
      </c>
      <c r="N61" s="301">
        <f>VLOOKUP($A61,EY!$A:$H,8,FALSE)+(VLOOKUP($A61,EY!$A:$BS,17,FALSE)-S61)+VLOOKUP($A61,EY!$A:$BS,41,FALSE)</f>
        <v>62605.016842105259</v>
      </c>
      <c r="O61" s="302"/>
      <c r="P61" s="302">
        <f>_xlfn.IFNA((VLOOKUP($A61,HN!$A:$K,8,FALSE)/12),0)</f>
        <v>0</v>
      </c>
      <c r="Q61" s="302">
        <f>_xlfn.IFNA((VLOOKUP($A61,HN!$A:$BS,14,FALSE)/12),0)</f>
        <v>0</v>
      </c>
      <c r="R61" s="302">
        <f>_xlfn.IFNA(VLOOKUP($A61,'Post 16'!$A:$V,21,FALSE),0)/4</f>
        <v>0</v>
      </c>
      <c r="S61" s="302">
        <f>VLOOKUP($A61,EY!A:Q,15,FALSE)*80%</f>
        <v>0</v>
      </c>
      <c r="T61" s="302">
        <f>_xlfn.IFNA((VLOOKUP($A61,HN!$A:$K,9,FALSE)/12),0)+_xlfn.IFNA((VLOOKUP($A61,HN!$A:$K,10,FALSE)/12),0)</f>
        <v>0</v>
      </c>
      <c r="U61" s="302">
        <f>_xlfn.IFNA((VLOOKUP($A61,HN!$A:$BS,15,FALSE)/12),0)</f>
        <v>0</v>
      </c>
      <c r="V61" s="301">
        <f t="shared" si="8"/>
        <v>-1312.6933333333334</v>
      </c>
      <c r="W61" s="301">
        <f t="shared" si="9"/>
        <v>-2561.6508333333336</v>
      </c>
      <c r="X61" s="302"/>
      <c r="Y61" s="302">
        <f>_xlfn.IFNA(VLOOKUP($A61,'Cash Advances'!$A:$S,8,FALSE),0)</f>
        <v>0</v>
      </c>
      <c r="Z61" s="301">
        <f t="shared" si="54"/>
        <v>363941.30708666082</v>
      </c>
      <c r="AA61" s="315">
        <f t="shared" si="10"/>
        <v>305210.63441122224</v>
      </c>
      <c r="AB61" s="315"/>
      <c r="AC61" s="316"/>
      <c r="AD61" s="316">
        <f>_xlfn.IFNA((VLOOKUP($A61,HN!$A:$K,8,FALSE)/12),0)</f>
        <v>0</v>
      </c>
      <c r="AE61" s="316">
        <f>_xlfn.IFNA((VLOOKUP($A61,HN!$A:$BS,14,FALSE)/12),0)</f>
        <v>0</v>
      </c>
      <c r="AF61" s="316">
        <f>_xlfn.IFNA(VLOOKUP($A61,'Post 16'!$A:$V,21,FALSE),0)/4</f>
        <v>0</v>
      </c>
      <c r="AG61" s="316"/>
      <c r="AH61" s="316">
        <f>_xlfn.IFNA((VLOOKUP($A61,HN!$A:$K,9,FALSE)/12),0)+_xlfn.IFNA((VLOOKUP($A61,HN!$A:$K,10,FALSE)/12),0)</f>
        <v>0</v>
      </c>
      <c r="AI61" s="316">
        <f>_xlfn.IFNA((VLOOKUP($A61,HN!$A:$BS,15,FALSE)/12),0)</f>
        <v>0</v>
      </c>
      <c r="AJ61" s="315">
        <f t="shared" si="11"/>
        <v>-1312.6933333333334</v>
      </c>
      <c r="AK61" s="315">
        <f t="shared" si="12"/>
        <v>-2561.6508333333336</v>
      </c>
      <c r="AL61" s="316"/>
      <c r="AM61" s="316">
        <f>_xlfn.IFNA(VLOOKUP($A61,'Cash Advances'!$A:$S,9,FALSE),0)</f>
        <v>0</v>
      </c>
      <c r="AN61" s="315">
        <f t="shared" si="55"/>
        <v>301336.29024455557</v>
      </c>
      <c r="AO61" s="308">
        <f t="shared" si="13"/>
        <v>305210.63441122224</v>
      </c>
      <c r="AP61" s="308"/>
      <c r="AQ61" s="309"/>
      <c r="AR61" s="309">
        <f>_xlfn.IFNA((VLOOKUP($A61,HN!$A:$K,8,FALSE)/12),0)</f>
        <v>0</v>
      </c>
      <c r="AS61" s="309">
        <f>_xlfn.IFNA((VLOOKUP($A61,HN!$A:$BS,14,FALSE)/12),0)</f>
        <v>0</v>
      </c>
      <c r="AT61" s="309">
        <f>_xlfn.IFNA(VLOOKUP($A61,'Post 16'!$A:$V,21,FALSE),0)/4</f>
        <v>0</v>
      </c>
      <c r="AU61" s="309"/>
      <c r="AV61" s="309">
        <f>_xlfn.IFNA((VLOOKUP($A61,HN!$A:$K,9,FALSE)/12),0)+_xlfn.IFNA((VLOOKUP($A61,HN!$A:$K,10,FALSE)/12),0)+_xlfn.IFNA(VLOOKUP(A61,HN!A:V,19,FALSE),0)+_xlfn.IFNA(VLOOKUP(A61,HN!A:V,20,FALSE),0)+_xlfn.IFNA(VLOOKUP(A61,HN!A:V,21,FALSE),0)</f>
        <v>0</v>
      </c>
      <c r="AW61" s="309">
        <f>_xlfn.IFNA((VLOOKUP($A61,HN!$A:$BS,15,FALSE)/12),0)</f>
        <v>0</v>
      </c>
      <c r="AX61" s="308">
        <f t="shared" si="14"/>
        <v>-1312.6933333333334</v>
      </c>
      <c r="AY61" s="308">
        <f t="shared" si="15"/>
        <v>-2561.6508333333336</v>
      </c>
      <c r="AZ61" s="309"/>
      <c r="BA61" s="309">
        <f>_xlfn.IFNA(VLOOKUP($A61,'Cash Advances'!$A:$S,10,FALSE),0)</f>
        <v>0</v>
      </c>
      <c r="BB61" s="308">
        <f t="shared" si="56"/>
        <v>301336.29024455557</v>
      </c>
      <c r="BC61" s="330">
        <f t="shared" si="16"/>
        <v>305210.63441122224</v>
      </c>
      <c r="BD61" s="330"/>
      <c r="BE61" s="331"/>
      <c r="BF61" s="331">
        <f>_xlfn.IFNA((VLOOKUP($A61,HN!$A:$K,8,FALSE)/12),0)</f>
        <v>0</v>
      </c>
      <c r="BG61" s="331">
        <f>_xlfn.IFNA((VLOOKUP($A61,HN!$A:$BS,14,FALSE)/12),0)</f>
        <v>0</v>
      </c>
      <c r="BH61" s="331">
        <f>_xlfn.IFNA(VLOOKUP($A61,'Post 16'!$A:$V,21,FALSE),0)/4</f>
        <v>0</v>
      </c>
      <c r="BI61" s="331"/>
      <c r="BJ61" s="331">
        <f>_xlfn.IFNA((VLOOKUP($A61,HN!$A:$K,9,FALSE)/12),0)+_xlfn.IFNA((VLOOKUP($A61,HN!$A:$K,10,FALSE)/12),0)</f>
        <v>0</v>
      </c>
      <c r="BK61" s="331">
        <f>_xlfn.IFNA((VLOOKUP($A61,HN!$A:$BS,15,FALSE)/12),0)</f>
        <v>0</v>
      </c>
      <c r="BL61" s="330">
        <f t="shared" si="17"/>
        <v>-1312.6933333333334</v>
      </c>
      <c r="BM61" s="330">
        <f t="shared" si="18"/>
        <v>-2561.6508333333336</v>
      </c>
      <c r="BN61" s="331"/>
      <c r="BO61" s="331">
        <f>_xlfn.IFNA(VLOOKUP(A61,'Cash Advances'!A:K,11,FALSE),0)</f>
        <v>0</v>
      </c>
      <c r="BP61" s="330">
        <f t="shared" si="57"/>
        <v>301336.29024455557</v>
      </c>
      <c r="BQ61" s="322">
        <f t="shared" si="19"/>
        <v>305210.63441122224</v>
      </c>
      <c r="BR61" s="322"/>
      <c r="BS61" s="323"/>
      <c r="BT61" s="323">
        <f>_xlfn.IFNA((VLOOKUP($A61,HN!$A:$K,8,FALSE)/12),0)</f>
        <v>0</v>
      </c>
      <c r="BU61" s="323">
        <f>_xlfn.IFNA((VLOOKUP($A61,HN!$A:$BS,14,FALSE)/12),0)</f>
        <v>0</v>
      </c>
      <c r="BV61" s="323">
        <f>(_xlfn.IFNA(VLOOKUP($A61,'Post 16'!$A:$AV,32,FALSE),0)/8)+_xlfn.IFNA(VLOOKUP($A61,'Post 16'!$A:$AR,40,FALSE),0)</f>
        <v>0</v>
      </c>
      <c r="BW61" s="323"/>
      <c r="BX61" s="323">
        <f>_xlfn.IFNA((VLOOKUP($A61,HN!$A:$K,9,FALSE)/12),0)+_xlfn.IFNA((VLOOKUP($A61,HN!$A:$K,10,FALSE)/12),0)</f>
        <v>0</v>
      </c>
      <c r="BY61" s="323">
        <f>_xlfn.IFNA((VLOOKUP($A61,HN!$A:$BS,15,FALSE)/12),0)</f>
        <v>0</v>
      </c>
      <c r="BZ61" s="322">
        <f t="shared" si="20"/>
        <v>-1312.6933333333334</v>
      </c>
      <c r="CA61" s="322">
        <f t="shared" si="21"/>
        <v>-2561.6508333333336</v>
      </c>
      <c r="CB61" s="323"/>
      <c r="CC61" s="323"/>
      <c r="CD61" s="322">
        <f t="shared" si="58"/>
        <v>301336.29024455557</v>
      </c>
      <c r="CE61" s="357">
        <f t="shared" si="22"/>
        <v>305210.63441122224</v>
      </c>
      <c r="CF61" s="357">
        <f>(VLOOKUP($A61,EY!$A:$BS,26,FALSE)-(VLOOKUP($A61,EY!A:CR,24,FALSE)*80%))+VLOOKUP($A61,EY!$A:$BS,42,FALSE)+(VLOOKUP($A61,EY!A:CC,74,FALSE)-VLOOKUP($A61,EY!A:CC,72,FALSE))</f>
        <v>40070.673157894737</v>
      </c>
      <c r="CG61" s="358"/>
      <c r="CH61" s="358">
        <f>_xlfn.IFNA((VLOOKUP($A61,HN!$A:$K,8,FALSE)/12),0)</f>
        <v>0</v>
      </c>
      <c r="CI61" s="358">
        <f>_xlfn.IFNA((VLOOKUP($A61,HN!$A:$BS,14,FALSE)/12),0)</f>
        <v>0</v>
      </c>
      <c r="CJ61" s="358">
        <f>(_xlfn.IFNA(VLOOKUP($A61,'Post 16'!$A:$AV,32,FALSE),0)/8)</f>
        <v>0</v>
      </c>
      <c r="CK61" s="358">
        <f>(VLOOKUP($A61,EY!A:CR,24,FALSE)*80%)+VLOOKUP($A61,EY!A:CC,72,FALSE)</f>
        <v>0</v>
      </c>
      <c r="CL61" s="358">
        <f>_xlfn.IFNA((VLOOKUP($A61,HN!$A:$K,9,FALSE)/12),0)+_xlfn.IFNA((VLOOKUP($A61,HN!$A:$K,10,FALSE)/12),0)</f>
        <v>0</v>
      </c>
      <c r="CM61" s="358">
        <f>_xlfn.IFNA((VLOOKUP($A61,HN!$A:$BS,15,FALSE)/12),0)</f>
        <v>0</v>
      </c>
      <c r="CN61" s="357">
        <f t="shared" si="23"/>
        <v>-1312.6933333333334</v>
      </c>
      <c r="CO61" s="357">
        <f t="shared" si="24"/>
        <v>-2561.6508333333336</v>
      </c>
      <c r="CP61" s="358">
        <f>_xlfn.IFNA(VLOOKUP(A61,'LA Deductions'!A:W,23,FALSE),0)</f>
        <v>-18745.650000000001</v>
      </c>
      <c r="CQ61" s="358">
        <f>_xlfn.IFNA(VLOOKUP($A61,'Cash Advances'!$A:$S,13,FALSE),0)</f>
        <v>0</v>
      </c>
      <c r="CR61" s="358">
        <f>_xlfn.IFNA(VLOOKUP(A61,'LA Deductions'!A:AZ,25,FALSE),0)/9*3</f>
        <v>0</v>
      </c>
      <c r="CS61" s="357">
        <f t="shared" si="25"/>
        <v>322661.31340245029</v>
      </c>
      <c r="CT61" s="337">
        <f t="shared" si="26"/>
        <v>305210.63441122224</v>
      </c>
      <c r="CU61" s="337"/>
      <c r="CV61" s="338">
        <f>_xlfn.IFNA(VLOOKUP(A61,'LA Deductions'!$A$6:$AN$207,34,FALSE),0)</f>
        <v>0</v>
      </c>
      <c r="CW61" s="338">
        <f>_xlfn.IFNA((VLOOKUP($A61,HN!$A:$K,8,FALSE)/12),0)</f>
        <v>0</v>
      </c>
      <c r="CX61" s="338">
        <f>_xlfn.IFNA((VLOOKUP($A61,HN!$A:$BS,14,FALSE)/12),0)</f>
        <v>0</v>
      </c>
      <c r="CY61" s="338">
        <f>_xlfn.IFNA(VLOOKUP($A61,'Post 16'!$A:$AV,32,FALSE),0)/8</f>
        <v>0</v>
      </c>
      <c r="CZ61" s="338"/>
      <c r="DA61" s="338">
        <f>_xlfn.IFNA((VLOOKUP($A61,HN!$A:$K,9,FALSE)/12),0)+_xlfn.IFNA((VLOOKUP($A61,HN!$A:$K,10,FALSE)/12),0)</f>
        <v>0</v>
      </c>
      <c r="DB61" s="338">
        <f>_xlfn.IFNA((VLOOKUP($A61,HN!$A:$BS,15,FALSE)/12),0)</f>
        <v>0</v>
      </c>
      <c r="DC61" s="337">
        <f t="shared" si="27"/>
        <v>-1312.6933333333334</v>
      </c>
      <c r="DD61" s="337">
        <f t="shared" si="28"/>
        <v>-2561.6508333333336</v>
      </c>
      <c r="DE61" s="338"/>
      <c r="DF61" s="338">
        <f>_xlfn.IFNA(VLOOKUP($A61,'Cash Advances'!$A:$S,14,FALSE),0)</f>
        <v>0</v>
      </c>
      <c r="DG61" s="338">
        <f>(_xlfn.IFNA(VLOOKUP(A61,'LA Deductions'!A:AZ,25,FALSE),0)/9)+(_xlfn.IFNA(VLOOKUP(A61,'LA Deductions'!A:AZ,26,FALSE),0))</f>
        <v>0</v>
      </c>
      <c r="DH61" s="337">
        <f t="shared" si="29"/>
        <v>301336.29024455557</v>
      </c>
      <c r="DI61" s="330">
        <f t="shared" si="30"/>
        <v>305210.63441122224</v>
      </c>
      <c r="DJ61" s="330"/>
      <c r="DK61" s="331"/>
      <c r="DL61" s="331">
        <f>_xlfn.IFNA((VLOOKUP($A61,HN!$A:$K,8,FALSE)/12),0)+_xlfn.IFNA((VLOOKUP($A61,HN!$A:$AF,32,FALSE)*8/12),0)</f>
        <v>0</v>
      </c>
      <c r="DM61" s="331">
        <f>_xlfn.IFNA((VLOOKUP($A61,HN!$A:$BS,14,FALSE)/12),0)+_xlfn.IFNA(VLOOKUP($A61,HN!$A:$BS,31,FALSE),0)</f>
        <v>0</v>
      </c>
      <c r="DN61" s="331">
        <f>_xlfn.IFNA(VLOOKUP($A61,'Post 16'!$A:$AV,32,FALSE),0)/8</f>
        <v>0</v>
      </c>
      <c r="DO61" s="331"/>
      <c r="DP61" s="331">
        <f>_xlfn.IFNA((VLOOKUP($A61,HN!$A:$K,9,FALSE)/12),0)+_xlfn.IFNA((VLOOKUP($A61,HN!$A:$K,10,FALSE)/12),0)+_xlfn.IFNA((VLOOKUP($A61,HN!$A:$BZ,33,FALSE)*8/12),0)</f>
        <v>0</v>
      </c>
      <c r="DQ61" s="331">
        <f>_xlfn.IFNA((VLOOKUP($A61,HN!$A:$BS,15,FALSE)/12),0)</f>
        <v>0</v>
      </c>
      <c r="DR61" s="330">
        <f t="shared" si="31"/>
        <v>-1312.6933333333334</v>
      </c>
      <c r="DS61" s="330">
        <f t="shared" si="32"/>
        <v>-2561.6508333333336</v>
      </c>
      <c r="DT61" s="331"/>
      <c r="DU61" s="331"/>
      <c r="DV61" s="331">
        <f>(_xlfn.IFNA(VLOOKUP(A61,'LA Deductions'!A:AZ,25,FALSE),0)/9)+_xlfn.IFNA(VLOOKUP(A61,'LA Deductions'!A:AZ,27,FALSE),0)</f>
        <v>0</v>
      </c>
      <c r="DW61" s="330">
        <f t="shared" si="33"/>
        <v>301336.29024455557</v>
      </c>
      <c r="DX61" s="344">
        <f t="shared" si="34"/>
        <v>305210.63441122224</v>
      </c>
      <c r="DY61" s="344"/>
      <c r="DZ61" s="345"/>
      <c r="EA61" s="345">
        <f>_xlfn.IFNA((VLOOKUP($A61,HN!$A:$K,8,FALSE)/12),0)+_xlfn.IFNA((VLOOKUP($A61,HN!$A:$AF,32,FALSE)*1/12),0)</f>
        <v>0</v>
      </c>
      <c r="EB61" s="345">
        <f>_xlfn.IFNA((VLOOKUP($A61,HN!$A:$BS,14,FALSE)/12),0)</f>
        <v>0</v>
      </c>
      <c r="EC61" s="345">
        <f>_xlfn.IFNA(VLOOKUP($A61,'Post 16'!$A:$AV,32,FALSE),0)/8</f>
        <v>0</v>
      </c>
      <c r="ED61" s="345"/>
      <c r="EE61" s="345">
        <f>_xlfn.IFNA((VLOOKUP($A61,HN!$A:$K,9,FALSE)/12),0)+_xlfn.IFNA((VLOOKUP($A61,HN!$A:$K,10,FALSE)/12),0)+_xlfn.IFNA((VLOOKUP($A61,HN!$A:$BZ,33,FALSE)/12),0)</f>
        <v>0</v>
      </c>
      <c r="EF61" s="345">
        <f>_xlfn.IFNA((VLOOKUP($A61,HN!$A:$BS,15,FALSE)/12),0)</f>
        <v>0</v>
      </c>
      <c r="EG61" s="344">
        <f t="shared" si="35"/>
        <v>-1312.6933333333334</v>
      </c>
      <c r="EH61" s="344">
        <f t="shared" si="36"/>
        <v>-2561.6508333333336</v>
      </c>
      <c r="EI61" s="345"/>
      <c r="EJ61" s="345">
        <f>_xlfn.IFNA(VLOOKUP(A61,'Cash Advances'!A:P,16,FALSE),0)</f>
        <v>0</v>
      </c>
      <c r="EK61" s="345">
        <f>_xlfn.IFNA(VLOOKUP(A61,'LA Deductions'!A:AZ,25,FALSE),0)/9</f>
        <v>0</v>
      </c>
      <c r="EL61" s="344">
        <f t="shared" si="37"/>
        <v>301336.29024455557</v>
      </c>
      <c r="EM61" s="308">
        <f t="shared" si="38"/>
        <v>305210.63441122224</v>
      </c>
      <c r="EN61" s="308">
        <f>((VLOOKUP($A61,EY!$A:$BS,35,FALSE)-(VLOOKUP($A61,EY!$A:$BS,33,FALSE)*80%))+VLOOKUP($A61,EY!$A:$BS,43,FALSE))+(VLOOKUP(A61,EY!A:DF,110,FALSE)-VLOOKUP(A61,EY!A:DD,108,FALSE))+(VLOOKUP(A61,EY!A:CE,83,FALSE)-VLOOKUP(A61,EY!A:CC,81,FALSE))</f>
        <v>54636.491994459844</v>
      </c>
      <c r="EO61" s="309"/>
      <c r="EP61" s="309">
        <f>_xlfn.IFNA((VLOOKUP($A61,HN!$A:$K,8,FALSE)/12),0)+_xlfn.IFNA((VLOOKUP($A61,HN!$A:$AF,32,FALSE)*1/12),0)</f>
        <v>0</v>
      </c>
      <c r="EQ61" s="309">
        <f>_xlfn.IFNA((VLOOKUP($A61,HN!$A:$BS,14,FALSE)/12),0)+_xlfn.IFNA((VLOOKUP($A61,HN!$A:$BS,34,FALSE)/3),0)</f>
        <v>0</v>
      </c>
      <c r="ER61" s="309">
        <f>_xlfn.IFNA(VLOOKUP($A61,'Post 16'!$A:$AV,32,FALSE),0)/8</f>
        <v>0</v>
      </c>
      <c r="ES61" s="309">
        <f>((VLOOKUP($A61,EY!A:EV,33,FALSE)*80%))+VLOOKUP(A61,EY!A:DD,108,FALSE)+VLOOKUP(A61,EY!A:CC,81,FALSE)</f>
        <v>0</v>
      </c>
      <c r="ET61" s="309">
        <f>_xlfn.IFNA((VLOOKUP($A61,HN!$A:$K,9,FALSE)/12),0)+_xlfn.IFNA((VLOOKUP($A61,HN!$A:$K,10,FALSE)/12),0)+_xlfn.IFNA((VLOOKUP($A61,HN!$A:$BZ,33,FALSE)/12),0)</f>
        <v>0</v>
      </c>
      <c r="EU61" s="309">
        <f>_xlfn.IFNA((VLOOKUP($A61,HN!$A:$BS,15,FALSE)/12),0)</f>
        <v>0</v>
      </c>
      <c r="EV61" s="308">
        <f t="shared" si="39"/>
        <v>-1312.6933333333334</v>
      </c>
      <c r="EW61" s="308">
        <f t="shared" si="40"/>
        <v>-2561.6508333333336</v>
      </c>
      <c r="EX61" s="309"/>
      <c r="EY61" s="309">
        <f>_xlfn.IFNA(VLOOKUP($A61,'Cash Advances'!$A:$S,17,FALSE),0)</f>
        <v>0</v>
      </c>
      <c r="EZ61" s="309">
        <f>_xlfn.IFNA(VLOOKUP(A61,'LA Deductions'!A:AZ,25,FALSE),0)/9</f>
        <v>0</v>
      </c>
      <c r="FA61" s="308">
        <f t="shared" si="41"/>
        <v>355972.78223901539</v>
      </c>
      <c r="FB61" s="315">
        <f t="shared" si="42"/>
        <v>305210.63441122224</v>
      </c>
      <c r="FC61" s="315"/>
      <c r="FD61" s="316"/>
      <c r="FE61" s="316">
        <f>_xlfn.IFNA((VLOOKUP($A61,HN!$A:$K,8,FALSE)/12),0)+_xlfn.IFNA((VLOOKUP($A61,HN!$A:$AF,32,FALSE)*1/12),0)</f>
        <v>0</v>
      </c>
      <c r="FF61" s="316">
        <f>_xlfn.IFNA((VLOOKUP($A61,HN!$A:$BS,14,FALSE)/12),0)+_xlfn.IFNA((VLOOKUP($A61,HN!$A:$BS,34,FALSE)/3),0)</f>
        <v>0</v>
      </c>
      <c r="FG61" s="316">
        <f>_xlfn.IFNA(VLOOKUP($A61,'Post 16'!$A:$AV,32,FALSE),0)/8</f>
        <v>0</v>
      </c>
      <c r="FH61" s="316"/>
      <c r="FI61" s="316">
        <f>_xlfn.IFNA((VLOOKUP($A61,HN!$A:$K,9,FALSE)/12),0)+_xlfn.IFNA((VLOOKUP($A61,HN!$A:$K,10,FALSE)/12),0)+_xlfn.IFNA((VLOOKUP($A61,HN!$A:$BZ,33,FALSE)/12),0)+_xlfn.IFNA((VLOOKUP($A61,HN!$A:$BZ,35,FALSE)/2),0)</f>
        <v>0</v>
      </c>
      <c r="FJ61" s="316">
        <f>_xlfn.IFNA((VLOOKUP($A61,HN!$A:$BS,15,FALSE)/12),0)+_xlfn.IFNA((VLOOKUP($A61,HN!$A:$CZ,36,FALSE)/2),0)</f>
        <v>0</v>
      </c>
      <c r="FK61" s="315">
        <f t="shared" si="43"/>
        <v>-1312.6933333333334</v>
      </c>
      <c r="FL61" s="315">
        <f t="shared" si="44"/>
        <v>-2561.6508333333336</v>
      </c>
      <c r="FM61" s="316"/>
      <c r="FN61" s="316">
        <f>_xlfn.IFNA(VLOOKUP($A61,'Cash Advances'!$A:$S,18,FALSE),0)</f>
        <v>0</v>
      </c>
      <c r="FO61" s="316">
        <f>_xlfn.IFNA(VLOOKUP(A61,'LA Deductions'!A:AZ,25,FALSE),0)/9</f>
        <v>0</v>
      </c>
      <c r="FP61" s="315">
        <f t="shared" si="45"/>
        <v>301336.29024455557</v>
      </c>
      <c r="FQ61" s="322">
        <f t="shared" si="46"/>
        <v>305210.63441122224</v>
      </c>
      <c r="FR61" s="322"/>
      <c r="FS61" s="323"/>
      <c r="FT61" s="323">
        <f>_xlfn.IFNA((VLOOKUP($A61,HN!$A:$K,8,FALSE)/12),0)+_xlfn.IFNA((VLOOKUP($A61,HN!$A:$AF,32,FALSE)*1/12),0)</f>
        <v>0</v>
      </c>
      <c r="FU61" s="323">
        <f>_xlfn.IFNA((VLOOKUP($A61,HN!$A:$BS,14,FALSE)/12),0)+_xlfn.IFNA((VLOOKUP($A61,HN!$A:$BS,34,FALSE)/3),0)</f>
        <v>0</v>
      </c>
      <c r="FV61" s="323">
        <f>_xlfn.IFNA(VLOOKUP($A61,'Post 16'!$A:$AV,32,FALSE),0)/8</f>
        <v>0</v>
      </c>
      <c r="FW61" s="323"/>
      <c r="FX61" s="323">
        <f>_xlfn.IFNA((VLOOKUP($A61,HN!$A:$K,9,FALSE)/12),0)+_xlfn.IFNA((VLOOKUP($A61,HN!$A:$K,10,FALSE)/12),0)+_xlfn.IFNA((VLOOKUP($A61,HN!$A:$BZ,33,FALSE)/12),0)+_xlfn.IFNA((VLOOKUP($A61,HN!$A:$BZ,35,FALSE)/2),0)</f>
        <v>0</v>
      </c>
      <c r="FY61" s="323">
        <f>_xlfn.IFNA((VLOOKUP($A61,HN!$A:$BS,15,FALSE)/12),0)+_xlfn.IFNA((VLOOKUP($A61,HN!$A:$CZ,36,FALSE)/2),0)</f>
        <v>0</v>
      </c>
      <c r="FZ61" s="322">
        <f t="shared" si="47"/>
        <v>-1312.6933333333334</v>
      </c>
      <c r="GA61" s="322">
        <f t="shared" si="48"/>
        <v>-2561.6508333333336</v>
      </c>
      <c r="GB61" s="323"/>
      <c r="GC61" s="323"/>
      <c r="GD61" s="323">
        <f>_xlfn.IFNA(VLOOKUP(A61,'LA Deductions'!A:AZ,25,FALSE),0)/9</f>
        <v>0</v>
      </c>
      <c r="GE61" s="322">
        <f t="shared" si="49"/>
        <v>301336.29024455557</v>
      </c>
      <c r="GG61" s="146">
        <f t="shared" si="63"/>
        <v>3819839.7949291272</v>
      </c>
      <c r="GH61" s="146">
        <f t="shared" si="63"/>
        <v>0</v>
      </c>
      <c r="GI61" s="146">
        <f t="shared" si="63"/>
        <v>0</v>
      </c>
      <c r="GJ61" s="146">
        <f t="shared" si="63"/>
        <v>-15752.319999999998</v>
      </c>
      <c r="GK61" s="146">
        <f t="shared" si="63"/>
        <v>-30739.81</v>
      </c>
      <c r="GL61" s="146">
        <f t="shared" si="63"/>
        <v>-18745.650000000001</v>
      </c>
      <c r="GN61" s="146">
        <f t="shared" si="64"/>
        <v>3819839.7949291272</v>
      </c>
      <c r="GO61" s="146">
        <f t="shared" si="64"/>
        <v>0</v>
      </c>
      <c r="GP61" s="146">
        <f t="shared" si="64"/>
        <v>0</v>
      </c>
      <c r="GQ61" s="146">
        <f t="shared" si="64"/>
        <v>-15752.319999999998</v>
      </c>
      <c r="GR61" s="146">
        <f t="shared" si="64"/>
        <v>-30739.81</v>
      </c>
      <c r="GS61" s="146">
        <f t="shared" si="64"/>
        <v>-18745.650000000001</v>
      </c>
      <c r="GU61" s="146"/>
      <c r="GV61" s="57"/>
    </row>
    <row r="62" spans="1:204">
      <c r="A62" s="185">
        <v>2093</v>
      </c>
      <c r="B62" s="185">
        <v>103210</v>
      </c>
      <c r="C62" s="185" t="s">
        <v>144</v>
      </c>
      <c r="D62" s="2" t="s">
        <v>145</v>
      </c>
      <c r="E62" s="191" t="s">
        <v>32</v>
      </c>
      <c r="F62" s="191" t="s">
        <v>912</v>
      </c>
      <c r="H62" s="279">
        <f>_xlfn.IFNA(VLOOKUP($A62,ISB!$A$4:$BY$454,67,FALSE),0)</f>
        <v>1934563.9622177652</v>
      </c>
      <c r="I62" s="279">
        <f>_xlfn.IFNA(VLOOKUP($A62,ISB!$A$4:$BY$454,72,FALSE),0)</f>
        <v>-9388.7999999999993</v>
      </c>
      <c r="J62" s="279">
        <f>-_xlfn.IFNA(VLOOKUP($A62,ISB!$A$4:$BY$454,76,FALSE),0)</f>
        <v>-19886.79</v>
      </c>
      <c r="K62" s="279">
        <f>_xlfn.IFNA(VLOOKUP($A62,ISB!$A$4:$BY$454,77,FALSE),0)</f>
        <v>1905288.3722177651</v>
      </c>
      <c r="M62" s="301">
        <f t="shared" si="7"/>
        <v>161213.66351814711</v>
      </c>
      <c r="N62" s="301">
        <f>VLOOKUP($A62,EY!$A:$H,8,FALSE)+(VLOOKUP($A62,EY!$A:$BS,17,FALSE)-S62)+VLOOKUP($A62,EY!$A:$BS,41,FALSE)</f>
        <v>47101.080000000009</v>
      </c>
      <c r="O62" s="302"/>
      <c r="P62" s="302">
        <f>_xlfn.IFNA((VLOOKUP($A62,HN!$A:$K,8,FALSE)/12),0)</f>
        <v>0</v>
      </c>
      <c r="Q62" s="302">
        <f>_xlfn.IFNA((VLOOKUP($A62,HN!$A:$BS,14,FALSE)/12),0)</f>
        <v>0</v>
      </c>
      <c r="R62" s="302">
        <f>_xlfn.IFNA(VLOOKUP($A62,'Post 16'!$A:$V,21,FALSE),0)/4</f>
        <v>0</v>
      </c>
      <c r="S62" s="302">
        <f>VLOOKUP($A62,EY!A:Q,15,FALSE)*80%</f>
        <v>0</v>
      </c>
      <c r="T62" s="302">
        <f>_xlfn.IFNA((VLOOKUP($A62,HN!$A:$K,9,FALSE)/12),0)+_xlfn.IFNA((VLOOKUP($A62,HN!$A:$K,10,FALSE)/12),0)</f>
        <v>0</v>
      </c>
      <c r="U62" s="302">
        <f>_xlfn.IFNA((VLOOKUP($A62,HN!$A:$BS,15,FALSE)/12),0)</f>
        <v>0</v>
      </c>
      <c r="V62" s="301">
        <f t="shared" si="8"/>
        <v>-782.4</v>
      </c>
      <c r="W62" s="301">
        <f t="shared" si="9"/>
        <v>-1657.2325000000001</v>
      </c>
      <c r="X62" s="302"/>
      <c r="Y62" s="302">
        <f>_xlfn.IFNA(VLOOKUP($A62,'Cash Advances'!$A:$S,8,FALSE),0)</f>
        <v>0</v>
      </c>
      <c r="Z62" s="301">
        <f t="shared" si="54"/>
        <v>205875.11101814712</v>
      </c>
      <c r="AA62" s="315">
        <f t="shared" si="10"/>
        <v>161213.66351814711</v>
      </c>
      <c r="AB62" s="315"/>
      <c r="AC62" s="316"/>
      <c r="AD62" s="316">
        <f>_xlfn.IFNA((VLOOKUP($A62,HN!$A:$K,8,FALSE)/12),0)</f>
        <v>0</v>
      </c>
      <c r="AE62" s="316">
        <f>_xlfn.IFNA((VLOOKUP($A62,HN!$A:$BS,14,FALSE)/12),0)</f>
        <v>0</v>
      </c>
      <c r="AF62" s="316">
        <f>_xlfn.IFNA(VLOOKUP($A62,'Post 16'!$A:$V,21,FALSE),0)/4</f>
        <v>0</v>
      </c>
      <c r="AG62" s="316"/>
      <c r="AH62" s="316">
        <f>_xlfn.IFNA((VLOOKUP($A62,HN!$A:$K,9,FALSE)/12),0)+_xlfn.IFNA((VLOOKUP($A62,HN!$A:$K,10,FALSE)/12),0)</f>
        <v>0</v>
      </c>
      <c r="AI62" s="316">
        <f>_xlfn.IFNA((VLOOKUP($A62,HN!$A:$BS,15,FALSE)/12),0)</f>
        <v>0</v>
      </c>
      <c r="AJ62" s="315">
        <f t="shared" si="11"/>
        <v>-782.4</v>
      </c>
      <c r="AK62" s="315">
        <f t="shared" si="12"/>
        <v>-1657.2325000000001</v>
      </c>
      <c r="AL62" s="316"/>
      <c r="AM62" s="316">
        <f>_xlfn.IFNA(VLOOKUP($A62,'Cash Advances'!$A:$S,9,FALSE),0)</f>
        <v>0</v>
      </c>
      <c r="AN62" s="315">
        <f t="shared" si="55"/>
        <v>158774.0310181471</v>
      </c>
      <c r="AO62" s="308">
        <f t="shared" si="13"/>
        <v>161213.66351814711</v>
      </c>
      <c r="AP62" s="308"/>
      <c r="AQ62" s="309"/>
      <c r="AR62" s="309">
        <f>_xlfn.IFNA((VLOOKUP($A62,HN!$A:$K,8,FALSE)/12),0)</f>
        <v>0</v>
      </c>
      <c r="AS62" s="309">
        <f>_xlfn.IFNA((VLOOKUP($A62,HN!$A:$BS,14,FALSE)/12),0)</f>
        <v>0</v>
      </c>
      <c r="AT62" s="309">
        <f>_xlfn.IFNA(VLOOKUP($A62,'Post 16'!$A:$V,21,FALSE),0)/4</f>
        <v>0</v>
      </c>
      <c r="AU62" s="309"/>
      <c r="AV62" s="309">
        <f>_xlfn.IFNA((VLOOKUP($A62,HN!$A:$K,9,FALSE)/12),0)+_xlfn.IFNA((VLOOKUP($A62,HN!$A:$K,10,FALSE)/12),0)+_xlfn.IFNA(VLOOKUP(A62,HN!A:V,19,FALSE),0)+_xlfn.IFNA(VLOOKUP(A62,HN!A:V,20,FALSE),0)+_xlfn.IFNA(VLOOKUP(A62,HN!A:V,21,FALSE),0)</f>
        <v>0</v>
      </c>
      <c r="AW62" s="309">
        <f>_xlfn.IFNA((VLOOKUP($A62,HN!$A:$BS,15,FALSE)/12),0)</f>
        <v>0</v>
      </c>
      <c r="AX62" s="308">
        <f t="shared" si="14"/>
        <v>-782.4</v>
      </c>
      <c r="AY62" s="308">
        <f t="shared" si="15"/>
        <v>-1657.2325000000001</v>
      </c>
      <c r="AZ62" s="309"/>
      <c r="BA62" s="309">
        <f>_xlfn.IFNA(VLOOKUP($A62,'Cash Advances'!$A:$S,10,FALSE),0)</f>
        <v>0</v>
      </c>
      <c r="BB62" s="308">
        <f t="shared" si="56"/>
        <v>158774.0310181471</v>
      </c>
      <c r="BC62" s="330">
        <f t="shared" si="16"/>
        <v>161213.66351814711</v>
      </c>
      <c r="BD62" s="330"/>
      <c r="BE62" s="331"/>
      <c r="BF62" s="331">
        <f>_xlfn.IFNA((VLOOKUP($A62,HN!$A:$K,8,FALSE)/12),0)</f>
        <v>0</v>
      </c>
      <c r="BG62" s="331">
        <f>_xlfn.IFNA((VLOOKUP($A62,HN!$A:$BS,14,FALSE)/12),0)</f>
        <v>0</v>
      </c>
      <c r="BH62" s="331">
        <f>_xlfn.IFNA(VLOOKUP($A62,'Post 16'!$A:$V,21,FALSE),0)/4</f>
        <v>0</v>
      </c>
      <c r="BI62" s="331"/>
      <c r="BJ62" s="331">
        <f>_xlfn.IFNA((VLOOKUP($A62,HN!$A:$K,9,FALSE)/12),0)+_xlfn.IFNA((VLOOKUP($A62,HN!$A:$K,10,FALSE)/12),0)</f>
        <v>0</v>
      </c>
      <c r="BK62" s="331">
        <f>_xlfn.IFNA((VLOOKUP($A62,HN!$A:$BS,15,FALSE)/12),0)</f>
        <v>0</v>
      </c>
      <c r="BL62" s="330">
        <f t="shared" si="17"/>
        <v>-782.4</v>
      </c>
      <c r="BM62" s="330">
        <f t="shared" si="18"/>
        <v>-1657.2325000000001</v>
      </c>
      <c r="BN62" s="331"/>
      <c r="BO62" s="331">
        <f>_xlfn.IFNA(VLOOKUP(A62,'Cash Advances'!A:K,11,FALSE),0)</f>
        <v>0</v>
      </c>
      <c r="BP62" s="330">
        <f t="shared" si="57"/>
        <v>158774.0310181471</v>
      </c>
      <c r="BQ62" s="322">
        <f t="shared" si="19"/>
        <v>161213.66351814711</v>
      </c>
      <c r="BR62" s="322"/>
      <c r="BS62" s="323"/>
      <c r="BT62" s="323">
        <f>_xlfn.IFNA((VLOOKUP($A62,HN!$A:$K,8,FALSE)/12),0)</f>
        <v>0</v>
      </c>
      <c r="BU62" s="323">
        <f>_xlfn.IFNA((VLOOKUP($A62,HN!$A:$BS,14,FALSE)/12),0)</f>
        <v>0</v>
      </c>
      <c r="BV62" s="323">
        <f>(_xlfn.IFNA(VLOOKUP($A62,'Post 16'!$A:$AV,32,FALSE),0)/8)+_xlfn.IFNA(VLOOKUP($A62,'Post 16'!$A:$AR,40,FALSE),0)</f>
        <v>0</v>
      </c>
      <c r="BW62" s="323"/>
      <c r="BX62" s="323">
        <f>_xlfn.IFNA((VLOOKUP($A62,HN!$A:$K,9,FALSE)/12),0)+_xlfn.IFNA((VLOOKUP($A62,HN!$A:$K,10,FALSE)/12),0)</f>
        <v>0</v>
      </c>
      <c r="BY62" s="323">
        <f>_xlfn.IFNA((VLOOKUP($A62,HN!$A:$BS,15,FALSE)/12),0)</f>
        <v>0</v>
      </c>
      <c r="BZ62" s="322">
        <f t="shared" si="20"/>
        <v>-782.4</v>
      </c>
      <c r="CA62" s="322">
        <f t="shared" si="21"/>
        <v>-1657.2325000000001</v>
      </c>
      <c r="CB62" s="323"/>
      <c r="CC62" s="323"/>
      <c r="CD62" s="322">
        <f t="shared" si="58"/>
        <v>158774.0310181471</v>
      </c>
      <c r="CE62" s="357">
        <f t="shared" si="22"/>
        <v>161213.66351814711</v>
      </c>
      <c r="CF62" s="357">
        <f>(VLOOKUP($A62,EY!$A:$BS,26,FALSE)-(VLOOKUP($A62,EY!A:CR,24,FALSE)*80%))+VLOOKUP($A62,EY!$A:$BS,42,FALSE)+(VLOOKUP($A62,EY!A:CC,74,FALSE)-VLOOKUP($A62,EY!A:CC,72,FALSE))</f>
        <v>58346.463157894745</v>
      </c>
      <c r="CG62" s="358"/>
      <c r="CH62" s="358">
        <f>_xlfn.IFNA((VLOOKUP($A62,HN!$A:$K,8,FALSE)/12),0)</f>
        <v>0</v>
      </c>
      <c r="CI62" s="358">
        <f>_xlfn.IFNA((VLOOKUP($A62,HN!$A:$BS,14,FALSE)/12),0)</f>
        <v>0</v>
      </c>
      <c r="CJ62" s="358">
        <f>(_xlfn.IFNA(VLOOKUP($A62,'Post 16'!$A:$AV,32,FALSE),0)/8)</f>
        <v>0</v>
      </c>
      <c r="CK62" s="358">
        <f>(VLOOKUP($A62,EY!A:CR,24,FALSE)*80%)+VLOOKUP($A62,EY!A:CC,72,FALSE)</f>
        <v>0</v>
      </c>
      <c r="CL62" s="358">
        <f>_xlfn.IFNA((VLOOKUP($A62,HN!$A:$K,9,FALSE)/12),0)+_xlfn.IFNA((VLOOKUP($A62,HN!$A:$K,10,FALSE)/12),0)</f>
        <v>0</v>
      </c>
      <c r="CM62" s="358">
        <f>_xlfn.IFNA((VLOOKUP($A62,HN!$A:$BS,15,FALSE)/12),0)</f>
        <v>0</v>
      </c>
      <c r="CN62" s="357">
        <f t="shared" si="23"/>
        <v>-782.4</v>
      </c>
      <c r="CO62" s="357">
        <f t="shared" si="24"/>
        <v>-1657.2325000000001</v>
      </c>
      <c r="CP62" s="358">
        <f>_xlfn.IFNA(VLOOKUP(A62,'LA Deductions'!A:W,23,FALSE),0)</f>
        <v>0</v>
      </c>
      <c r="CQ62" s="358">
        <f>_xlfn.IFNA(VLOOKUP($A62,'Cash Advances'!$A:$S,13,FALSE),0)</f>
        <v>0</v>
      </c>
      <c r="CR62" s="358">
        <f>_xlfn.IFNA(VLOOKUP(A62,'LA Deductions'!A:AZ,25,FALSE),0)/9*3</f>
        <v>0</v>
      </c>
      <c r="CS62" s="357">
        <f t="shared" si="25"/>
        <v>217120.49417604186</v>
      </c>
      <c r="CT62" s="337">
        <f t="shared" si="26"/>
        <v>161213.66351814711</v>
      </c>
      <c r="CU62" s="337"/>
      <c r="CV62" s="338">
        <f>_xlfn.IFNA(VLOOKUP(A62,'LA Deductions'!$A$6:$AN$207,34,FALSE),0)</f>
        <v>0</v>
      </c>
      <c r="CW62" s="338">
        <f>_xlfn.IFNA((VLOOKUP($A62,HN!$A:$K,8,FALSE)/12),0)</f>
        <v>0</v>
      </c>
      <c r="CX62" s="338">
        <f>_xlfn.IFNA((VLOOKUP($A62,HN!$A:$BS,14,FALSE)/12),0)</f>
        <v>0</v>
      </c>
      <c r="CY62" s="338">
        <f>_xlfn.IFNA(VLOOKUP($A62,'Post 16'!$A:$AV,32,FALSE),0)/8</f>
        <v>0</v>
      </c>
      <c r="CZ62" s="338"/>
      <c r="DA62" s="338">
        <f>_xlfn.IFNA((VLOOKUP($A62,HN!$A:$K,9,FALSE)/12),0)+_xlfn.IFNA((VLOOKUP($A62,HN!$A:$K,10,FALSE)/12),0)</f>
        <v>0</v>
      </c>
      <c r="DB62" s="338">
        <f>_xlfn.IFNA((VLOOKUP($A62,HN!$A:$BS,15,FALSE)/12),0)</f>
        <v>0</v>
      </c>
      <c r="DC62" s="337">
        <f t="shared" si="27"/>
        <v>-782.4</v>
      </c>
      <c r="DD62" s="337">
        <f t="shared" si="28"/>
        <v>-1657.2325000000001</v>
      </c>
      <c r="DE62" s="338"/>
      <c r="DF62" s="338">
        <f>_xlfn.IFNA(VLOOKUP($A62,'Cash Advances'!$A:$S,14,FALSE),0)</f>
        <v>0</v>
      </c>
      <c r="DG62" s="338">
        <f>(_xlfn.IFNA(VLOOKUP(A62,'LA Deductions'!A:AZ,25,FALSE),0)/9)+(_xlfn.IFNA(VLOOKUP(A62,'LA Deductions'!A:AZ,26,FALSE),0))</f>
        <v>0</v>
      </c>
      <c r="DH62" s="337">
        <f t="shared" si="29"/>
        <v>158774.0310181471</v>
      </c>
      <c r="DI62" s="330">
        <f t="shared" si="30"/>
        <v>161213.66351814711</v>
      </c>
      <c r="DJ62" s="330"/>
      <c r="DK62" s="331"/>
      <c r="DL62" s="331">
        <f>_xlfn.IFNA((VLOOKUP($A62,HN!$A:$K,8,FALSE)/12),0)+_xlfn.IFNA((VLOOKUP($A62,HN!$A:$AF,32,FALSE)*8/12),0)</f>
        <v>0</v>
      </c>
      <c r="DM62" s="331">
        <f>_xlfn.IFNA((VLOOKUP($A62,HN!$A:$BS,14,FALSE)/12),0)+_xlfn.IFNA(VLOOKUP($A62,HN!$A:$BS,31,FALSE),0)</f>
        <v>0</v>
      </c>
      <c r="DN62" s="331">
        <f>_xlfn.IFNA(VLOOKUP($A62,'Post 16'!$A:$AV,32,FALSE),0)/8</f>
        <v>0</v>
      </c>
      <c r="DO62" s="331"/>
      <c r="DP62" s="331">
        <f>_xlfn.IFNA((VLOOKUP($A62,HN!$A:$K,9,FALSE)/12),0)+_xlfn.IFNA((VLOOKUP($A62,HN!$A:$K,10,FALSE)/12),0)+_xlfn.IFNA((VLOOKUP($A62,HN!$A:$BZ,33,FALSE)*8/12),0)</f>
        <v>0</v>
      </c>
      <c r="DQ62" s="331">
        <f>_xlfn.IFNA((VLOOKUP($A62,HN!$A:$BS,15,FALSE)/12),0)</f>
        <v>0</v>
      </c>
      <c r="DR62" s="330">
        <f t="shared" si="31"/>
        <v>-782.4</v>
      </c>
      <c r="DS62" s="330">
        <f t="shared" si="32"/>
        <v>-1657.2325000000001</v>
      </c>
      <c r="DT62" s="331"/>
      <c r="DU62" s="331"/>
      <c r="DV62" s="331">
        <f>(_xlfn.IFNA(VLOOKUP(A62,'LA Deductions'!A:AZ,25,FALSE),0)/9)+_xlfn.IFNA(VLOOKUP(A62,'LA Deductions'!A:AZ,27,FALSE),0)</f>
        <v>0</v>
      </c>
      <c r="DW62" s="330">
        <f t="shared" si="33"/>
        <v>158774.0310181471</v>
      </c>
      <c r="DX62" s="344">
        <f t="shared" si="34"/>
        <v>161213.66351814711</v>
      </c>
      <c r="DY62" s="344"/>
      <c r="DZ62" s="345"/>
      <c r="EA62" s="345">
        <f>_xlfn.IFNA((VLOOKUP($A62,HN!$A:$K,8,FALSE)/12),0)+_xlfn.IFNA((VLOOKUP($A62,HN!$A:$AF,32,FALSE)*1/12),0)</f>
        <v>0</v>
      </c>
      <c r="EB62" s="345">
        <f>_xlfn.IFNA((VLOOKUP($A62,HN!$A:$BS,14,FALSE)/12),0)</f>
        <v>0</v>
      </c>
      <c r="EC62" s="345">
        <f>_xlfn.IFNA(VLOOKUP($A62,'Post 16'!$A:$AV,32,FALSE),0)/8</f>
        <v>0</v>
      </c>
      <c r="ED62" s="345"/>
      <c r="EE62" s="345">
        <f>_xlfn.IFNA((VLOOKUP($A62,HN!$A:$K,9,FALSE)/12),0)+_xlfn.IFNA((VLOOKUP($A62,HN!$A:$K,10,FALSE)/12),0)+_xlfn.IFNA((VLOOKUP($A62,HN!$A:$BZ,33,FALSE)/12),0)</f>
        <v>0</v>
      </c>
      <c r="EF62" s="345">
        <f>_xlfn.IFNA((VLOOKUP($A62,HN!$A:$BS,15,FALSE)/12),0)</f>
        <v>0</v>
      </c>
      <c r="EG62" s="344">
        <f t="shared" si="35"/>
        <v>-782.4</v>
      </c>
      <c r="EH62" s="344">
        <f t="shared" si="36"/>
        <v>-1657.2325000000001</v>
      </c>
      <c r="EI62" s="345"/>
      <c r="EJ62" s="345">
        <f>_xlfn.IFNA(VLOOKUP(A62,'Cash Advances'!A:P,16,FALSE),0)</f>
        <v>0</v>
      </c>
      <c r="EK62" s="345">
        <f>_xlfn.IFNA(VLOOKUP(A62,'LA Deductions'!A:AZ,25,FALSE),0)/9</f>
        <v>0</v>
      </c>
      <c r="EL62" s="344">
        <f t="shared" si="37"/>
        <v>158774.0310181471</v>
      </c>
      <c r="EM62" s="308">
        <f t="shared" si="38"/>
        <v>161213.66351814711</v>
      </c>
      <c r="EN62" s="308">
        <f>((VLOOKUP($A62,EY!$A:$BS,35,FALSE)-(VLOOKUP($A62,EY!$A:$BS,33,FALSE)*80%))+VLOOKUP($A62,EY!$A:$BS,43,FALSE))+(VLOOKUP(A62,EY!A:DF,110,FALSE)-VLOOKUP(A62,EY!A:DD,108,FALSE))+(VLOOKUP(A62,EY!A:CE,83,FALSE)-VLOOKUP(A62,EY!A:CC,81,FALSE))</f>
        <v>53566.788033240984</v>
      </c>
      <c r="EO62" s="309"/>
      <c r="EP62" s="309">
        <f>_xlfn.IFNA((VLOOKUP($A62,HN!$A:$K,8,FALSE)/12),0)+_xlfn.IFNA((VLOOKUP($A62,HN!$A:$AF,32,FALSE)*1/12),0)</f>
        <v>0</v>
      </c>
      <c r="EQ62" s="309">
        <f>_xlfn.IFNA((VLOOKUP($A62,HN!$A:$BS,14,FALSE)/12),0)+_xlfn.IFNA((VLOOKUP($A62,HN!$A:$BS,34,FALSE)/3),0)</f>
        <v>0</v>
      </c>
      <c r="ER62" s="309">
        <f>_xlfn.IFNA(VLOOKUP($A62,'Post 16'!$A:$AV,32,FALSE),0)/8</f>
        <v>0</v>
      </c>
      <c r="ES62" s="309">
        <f>((VLOOKUP($A62,EY!A:EV,33,FALSE)*80%))+VLOOKUP(A62,EY!A:DD,108,FALSE)+VLOOKUP(A62,EY!A:CC,81,FALSE)</f>
        <v>0</v>
      </c>
      <c r="ET62" s="309">
        <f>_xlfn.IFNA((VLOOKUP($A62,HN!$A:$K,9,FALSE)/12),0)+_xlfn.IFNA((VLOOKUP($A62,HN!$A:$K,10,FALSE)/12),0)+_xlfn.IFNA((VLOOKUP($A62,HN!$A:$BZ,33,FALSE)/12),0)</f>
        <v>0</v>
      </c>
      <c r="EU62" s="309">
        <f>_xlfn.IFNA((VLOOKUP($A62,HN!$A:$BS,15,FALSE)/12),0)</f>
        <v>0</v>
      </c>
      <c r="EV62" s="308">
        <f t="shared" si="39"/>
        <v>-782.4</v>
      </c>
      <c r="EW62" s="308">
        <f t="shared" si="40"/>
        <v>-1657.2325000000001</v>
      </c>
      <c r="EX62" s="309"/>
      <c r="EY62" s="309">
        <f>_xlfn.IFNA(VLOOKUP($A62,'Cash Advances'!$A:$S,17,FALSE),0)</f>
        <v>0</v>
      </c>
      <c r="EZ62" s="309">
        <f>_xlfn.IFNA(VLOOKUP(A62,'LA Deductions'!A:AZ,25,FALSE),0)/9</f>
        <v>0</v>
      </c>
      <c r="FA62" s="308">
        <f t="shared" si="41"/>
        <v>212340.81905138807</v>
      </c>
      <c r="FB62" s="315">
        <f t="shared" si="42"/>
        <v>161213.66351814711</v>
      </c>
      <c r="FC62" s="315"/>
      <c r="FD62" s="316"/>
      <c r="FE62" s="316">
        <f>_xlfn.IFNA((VLOOKUP($A62,HN!$A:$K,8,FALSE)/12),0)+_xlfn.IFNA((VLOOKUP($A62,HN!$A:$AF,32,FALSE)*1/12),0)</f>
        <v>0</v>
      </c>
      <c r="FF62" s="316">
        <f>_xlfn.IFNA((VLOOKUP($A62,HN!$A:$BS,14,FALSE)/12),0)+_xlfn.IFNA((VLOOKUP($A62,HN!$A:$BS,34,FALSE)/3),0)</f>
        <v>0</v>
      </c>
      <c r="FG62" s="316">
        <f>_xlfn.IFNA(VLOOKUP($A62,'Post 16'!$A:$AV,32,FALSE),0)/8</f>
        <v>0</v>
      </c>
      <c r="FH62" s="316"/>
      <c r="FI62" s="316">
        <f>_xlfn.IFNA((VLOOKUP($A62,HN!$A:$K,9,FALSE)/12),0)+_xlfn.IFNA((VLOOKUP($A62,HN!$A:$K,10,FALSE)/12),0)+_xlfn.IFNA((VLOOKUP($A62,HN!$A:$BZ,33,FALSE)/12),0)+_xlfn.IFNA((VLOOKUP($A62,HN!$A:$BZ,35,FALSE)/2),0)</f>
        <v>0</v>
      </c>
      <c r="FJ62" s="316">
        <f>_xlfn.IFNA((VLOOKUP($A62,HN!$A:$BS,15,FALSE)/12),0)+_xlfn.IFNA((VLOOKUP($A62,HN!$A:$CZ,36,FALSE)/2),0)</f>
        <v>0</v>
      </c>
      <c r="FK62" s="315">
        <f t="shared" si="43"/>
        <v>-782.4</v>
      </c>
      <c r="FL62" s="315">
        <f t="shared" si="44"/>
        <v>-1657.2325000000001</v>
      </c>
      <c r="FM62" s="316"/>
      <c r="FN62" s="316">
        <f>_xlfn.IFNA(VLOOKUP($A62,'Cash Advances'!$A:$S,18,FALSE),0)</f>
        <v>0</v>
      </c>
      <c r="FO62" s="316">
        <f>_xlfn.IFNA(VLOOKUP(A62,'LA Deductions'!A:AZ,25,FALSE),0)/9</f>
        <v>0</v>
      </c>
      <c r="FP62" s="315">
        <f t="shared" si="45"/>
        <v>158774.0310181471</v>
      </c>
      <c r="FQ62" s="322">
        <f t="shared" si="46"/>
        <v>161213.66351814711</v>
      </c>
      <c r="FR62" s="322"/>
      <c r="FS62" s="323"/>
      <c r="FT62" s="323">
        <f>_xlfn.IFNA((VLOOKUP($A62,HN!$A:$K,8,FALSE)/12),0)+_xlfn.IFNA((VLOOKUP($A62,HN!$A:$AF,32,FALSE)*1/12),0)</f>
        <v>0</v>
      </c>
      <c r="FU62" s="323">
        <f>_xlfn.IFNA((VLOOKUP($A62,HN!$A:$BS,14,FALSE)/12),0)+_xlfn.IFNA((VLOOKUP($A62,HN!$A:$BS,34,FALSE)/3),0)</f>
        <v>0</v>
      </c>
      <c r="FV62" s="323">
        <f>_xlfn.IFNA(VLOOKUP($A62,'Post 16'!$A:$AV,32,FALSE),0)/8</f>
        <v>0</v>
      </c>
      <c r="FW62" s="323"/>
      <c r="FX62" s="323">
        <f>_xlfn.IFNA((VLOOKUP($A62,HN!$A:$K,9,FALSE)/12),0)+_xlfn.IFNA((VLOOKUP($A62,HN!$A:$K,10,FALSE)/12),0)+_xlfn.IFNA((VLOOKUP($A62,HN!$A:$BZ,33,FALSE)/12),0)+_xlfn.IFNA((VLOOKUP($A62,HN!$A:$BZ,35,FALSE)/2),0)</f>
        <v>0</v>
      </c>
      <c r="FY62" s="323">
        <f>_xlfn.IFNA((VLOOKUP($A62,HN!$A:$BS,15,FALSE)/12),0)+_xlfn.IFNA((VLOOKUP($A62,HN!$A:$CZ,36,FALSE)/2),0)</f>
        <v>0</v>
      </c>
      <c r="FZ62" s="322">
        <f t="shared" si="47"/>
        <v>-782.4</v>
      </c>
      <c r="GA62" s="322">
        <f t="shared" si="48"/>
        <v>-1657.2325000000001</v>
      </c>
      <c r="GB62" s="323"/>
      <c r="GC62" s="323"/>
      <c r="GD62" s="323">
        <f>_xlfn.IFNA(VLOOKUP(A62,'LA Deductions'!A:AZ,25,FALSE),0)/9</f>
        <v>0</v>
      </c>
      <c r="GE62" s="322">
        <f t="shared" si="49"/>
        <v>158774.0310181471</v>
      </c>
      <c r="GG62" s="146">
        <f t="shared" si="63"/>
        <v>2093578.2934089007</v>
      </c>
      <c r="GH62" s="146">
        <f t="shared" si="63"/>
        <v>0</v>
      </c>
      <c r="GI62" s="146">
        <f t="shared" si="63"/>
        <v>0</v>
      </c>
      <c r="GJ62" s="146">
        <f t="shared" si="63"/>
        <v>-9388.7999999999975</v>
      </c>
      <c r="GK62" s="146">
        <f t="shared" si="63"/>
        <v>-19886.79</v>
      </c>
      <c r="GL62" s="146">
        <f t="shared" si="63"/>
        <v>0</v>
      </c>
      <c r="GN62" s="146">
        <f t="shared" si="64"/>
        <v>2093578.2934089007</v>
      </c>
      <c r="GO62" s="146">
        <f t="shared" si="64"/>
        <v>0</v>
      </c>
      <c r="GP62" s="146">
        <f t="shared" si="64"/>
        <v>0</v>
      </c>
      <c r="GQ62" s="146">
        <f t="shared" si="64"/>
        <v>-9388.7999999999975</v>
      </c>
      <c r="GR62" s="146">
        <f t="shared" si="64"/>
        <v>-19886.79</v>
      </c>
      <c r="GS62" s="146">
        <f t="shared" si="64"/>
        <v>0</v>
      </c>
      <c r="GU62" s="146"/>
      <c r="GV62" s="57"/>
    </row>
    <row r="63" spans="1:204">
      <c r="A63" s="185">
        <v>2092</v>
      </c>
      <c r="B63" s="185">
        <v>103209</v>
      </c>
      <c r="C63" s="185" t="s">
        <v>146</v>
      </c>
      <c r="D63" s="2" t="s">
        <v>147</v>
      </c>
      <c r="E63" s="191" t="s">
        <v>32</v>
      </c>
      <c r="F63" s="191" t="s">
        <v>912</v>
      </c>
      <c r="H63" s="279">
        <f>_xlfn.IFNA(VLOOKUP($A63,ISB!$A$4:$BY$454,67,FALSE),0)</f>
        <v>2478566.3999341605</v>
      </c>
      <c r="I63" s="279">
        <f>_xlfn.IFNA(VLOOKUP($A63,ISB!$A$4:$BY$454,72,FALSE),0)</f>
        <v>-12622.72</v>
      </c>
      <c r="J63" s="279">
        <f>-_xlfn.IFNA(VLOOKUP($A63,ISB!$A$4:$BY$454,76,FALSE),0)</f>
        <v>-27754.63</v>
      </c>
      <c r="K63" s="279">
        <f>_xlfn.IFNA(VLOOKUP($A63,ISB!$A$4:$BY$454,77,FALSE),0)</f>
        <v>2438189.0499341604</v>
      </c>
      <c r="M63" s="301">
        <f t="shared" si="7"/>
        <v>206547.19999451339</v>
      </c>
      <c r="N63" s="301">
        <f>VLOOKUP($A63,EY!$A:$H,8,FALSE)+(VLOOKUP($A63,EY!$A:$BS,17,FALSE)-S63)+VLOOKUP($A63,EY!$A:$BS,41,FALSE)</f>
        <v>0</v>
      </c>
      <c r="O63" s="302"/>
      <c r="P63" s="302">
        <f>_xlfn.IFNA((VLOOKUP($A63,HN!$A:$K,8,FALSE)/12),0)</f>
        <v>0</v>
      </c>
      <c r="Q63" s="302">
        <f>_xlfn.IFNA((VLOOKUP($A63,HN!$A:$BS,14,FALSE)/12),0)</f>
        <v>0</v>
      </c>
      <c r="R63" s="302">
        <f>_xlfn.IFNA(VLOOKUP($A63,'Post 16'!$A:$V,21,FALSE),0)/4</f>
        <v>0</v>
      </c>
      <c r="S63" s="302">
        <f>VLOOKUP($A63,EY!A:Q,15,FALSE)*80%</f>
        <v>0</v>
      </c>
      <c r="T63" s="302">
        <f>_xlfn.IFNA((VLOOKUP($A63,HN!$A:$K,9,FALSE)/12),0)+_xlfn.IFNA((VLOOKUP($A63,HN!$A:$K,10,FALSE)/12),0)</f>
        <v>0</v>
      </c>
      <c r="U63" s="302">
        <f>_xlfn.IFNA((VLOOKUP($A63,HN!$A:$BS,15,FALSE)/12),0)</f>
        <v>0</v>
      </c>
      <c r="V63" s="301">
        <f t="shared" si="8"/>
        <v>-1051.8933333333332</v>
      </c>
      <c r="W63" s="301">
        <f t="shared" si="9"/>
        <v>-2312.8858333333333</v>
      </c>
      <c r="X63" s="302"/>
      <c r="Y63" s="302">
        <f>_xlfn.IFNA(VLOOKUP($A63,'Cash Advances'!$A:$S,8,FALSE),0)</f>
        <v>0</v>
      </c>
      <c r="Z63" s="301">
        <f t="shared" si="54"/>
        <v>203182.42082784671</v>
      </c>
      <c r="AA63" s="315">
        <f t="shared" si="10"/>
        <v>206547.19999451339</v>
      </c>
      <c r="AB63" s="315"/>
      <c r="AC63" s="316"/>
      <c r="AD63" s="316">
        <f>_xlfn.IFNA((VLOOKUP($A63,HN!$A:$K,8,FALSE)/12),0)</f>
        <v>0</v>
      </c>
      <c r="AE63" s="316">
        <f>_xlfn.IFNA((VLOOKUP($A63,HN!$A:$BS,14,FALSE)/12),0)</f>
        <v>0</v>
      </c>
      <c r="AF63" s="316">
        <f>_xlfn.IFNA(VLOOKUP($A63,'Post 16'!$A:$V,21,FALSE),0)/4</f>
        <v>0</v>
      </c>
      <c r="AG63" s="316"/>
      <c r="AH63" s="316">
        <f>_xlfn.IFNA((VLOOKUP($A63,HN!$A:$K,9,FALSE)/12),0)+_xlfn.IFNA((VLOOKUP($A63,HN!$A:$K,10,FALSE)/12),0)</f>
        <v>0</v>
      </c>
      <c r="AI63" s="316">
        <f>_xlfn.IFNA((VLOOKUP($A63,HN!$A:$BS,15,FALSE)/12),0)</f>
        <v>0</v>
      </c>
      <c r="AJ63" s="315">
        <f t="shared" si="11"/>
        <v>-1051.8933333333332</v>
      </c>
      <c r="AK63" s="315">
        <f t="shared" si="12"/>
        <v>-2312.8858333333333</v>
      </c>
      <c r="AL63" s="316"/>
      <c r="AM63" s="316">
        <f>_xlfn.IFNA(VLOOKUP($A63,'Cash Advances'!$A:$S,9,FALSE),0)</f>
        <v>0</v>
      </c>
      <c r="AN63" s="315">
        <f t="shared" si="55"/>
        <v>203182.42082784671</v>
      </c>
      <c r="AO63" s="308">
        <f t="shared" si="13"/>
        <v>206547.19999451339</v>
      </c>
      <c r="AP63" s="308"/>
      <c r="AQ63" s="309"/>
      <c r="AR63" s="309">
        <f>_xlfn.IFNA((VLOOKUP($A63,HN!$A:$K,8,FALSE)/12),0)</f>
        <v>0</v>
      </c>
      <c r="AS63" s="309">
        <f>_xlfn.IFNA((VLOOKUP($A63,HN!$A:$BS,14,FALSE)/12),0)</f>
        <v>0</v>
      </c>
      <c r="AT63" s="309">
        <f>_xlfn.IFNA(VLOOKUP($A63,'Post 16'!$A:$V,21,FALSE),0)/4</f>
        <v>0</v>
      </c>
      <c r="AU63" s="309"/>
      <c r="AV63" s="309">
        <f>_xlfn.IFNA((VLOOKUP($A63,HN!$A:$K,9,FALSE)/12),0)+_xlfn.IFNA((VLOOKUP($A63,HN!$A:$K,10,FALSE)/12),0)+_xlfn.IFNA(VLOOKUP(A63,HN!A:V,19,FALSE),0)+_xlfn.IFNA(VLOOKUP(A63,HN!A:V,20,FALSE),0)+_xlfn.IFNA(VLOOKUP(A63,HN!A:V,21,FALSE),0)</f>
        <v>0</v>
      </c>
      <c r="AW63" s="309">
        <f>_xlfn.IFNA((VLOOKUP($A63,HN!$A:$BS,15,FALSE)/12),0)</f>
        <v>0</v>
      </c>
      <c r="AX63" s="308">
        <f t="shared" si="14"/>
        <v>-1051.8933333333332</v>
      </c>
      <c r="AY63" s="308">
        <f t="shared" si="15"/>
        <v>-2312.8858333333333</v>
      </c>
      <c r="AZ63" s="309"/>
      <c r="BA63" s="309">
        <f>_xlfn.IFNA(VLOOKUP($A63,'Cash Advances'!$A:$S,10,FALSE),0)</f>
        <v>0</v>
      </c>
      <c r="BB63" s="308">
        <f t="shared" si="56"/>
        <v>203182.42082784671</v>
      </c>
      <c r="BC63" s="330">
        <f t="shared" si="16"/>
        <v>206547.19999451339</v>
      </c>
      <c r="BD63" s="330"/>
      <c r="BE63" s="331"/>
      <c r="BF63" s="331">
        <f>_xlfn.IFNA((VLOOKUP($A63,HN!$A:$K,8,FALSE)/12),0)</f>
        <v>0</v>
      </c>
      <c r="BG63" s="331">
        <f>_xlfn.IFNA((VLOOKUP($A63,HN!$A:$BS,14,FALSE)/12),0)</f>
        <v>0</v>
      </c>
      <c r="BH63" s="331">
        <f>_xlfn.IFNA(VLOOKUP($A63,'Post 16'!$A:$V,21,FALSE),0)/4</f>
        <v>0</v>
      </c>
      <c r="BI63" s="331"/>
      <c r="BJ63" s="331">
        <f>_xlfn.IFNA((VLOOKUP($A63,HN!$A:$K,9,FALSE)/12),0)+_xlfn.IFNA((VLOOKUP($A63,HN!$A:$K,10,FALSE)/12),0)</f>
        <v>0</v>
      </c>
      <c r="BK63" s="331">
        <f>_xlfn.IFNA((VLOOKUP($A63,HN!$A:$BS,15,FALSE)/12),0)</f>
        <v>0</v>
      </c>
      <c r="BL63" s="330">
        <f t="shared" si="17"/>
        <v>-1051.8933333333332</v>
      </c>
      <c r="BM63" s="330">
        <f t="shared" si="18"/>
        <v>-2312.8858333333333</v>
      </c>
      <c r="BN63" s="331"/>
      <c r="BO63" s="331">
        <f>_xlfn.IFNA(VLOOKUP(A63,'Cash Advances'!A:K,11,FALSE),0)</f>
        <v>0</v>
      </c>
      <c r="BP63" s="330">
        <f t="shared" si="57"/>
        <v>203182.42082784671</v>
      </c>
      <c r="BQ63" s="322">
        <f t="shared" si="19"/>
        <v>206547.19999451339</v>
      </c>
      <c r="BR63" s="322"/>
      <c r="BS63" s="323"/>
      <c r="BT63" s="323">
        <f>_xlfn.IFNA((VLOOKUP($A63,HN!$A:$K,8,FALSE)/12),0)</f>
        <v>0</v>
      </c>
      <c r="BU63" s="323">
        <f>_xlfn.IFNA((VLOOKUP($A63,HN!$A:$BS,14,FALSE)/12),0)</f>
        <v>0</v>
      </c>
      <c r="BV63" s="323">
        <f>(_xlfn.IFNA(VLOOKUP($A63,'Post 16'!$A:$AV,32,FALSE),0)/8)+_xlfn.IFNA(VLOOKUP($A63,'Post 16'!$A:$AR,40,FALSE),0)</f>
        <v>0</v>
      </c>
      <c r="BW63" s="323"/>
      <c r="BX63" s="323">
        <f>_xlfn.IFNA((VLOOKUP($A63,HN!$A:$K,9,FALSE)/12),0)+_xlfn.IFNA((VLOOKUP($A63,HN!$A:$K,10,FALSE)/12),0)</f>
        <v>0</v>
      </c>
      <c r="BY63" s="323">
        <f>_xlfn.IFNA((VLOOKUP($A63,HN!$A:$BS,15,FALSE)/12),0)</f>
        <v>0</v>
      </c>
      <c r="BZ63" s="322">
        <f t="shared" si="20"/>
        <v>-1051.8933333333332</v>
      </c>
      <c r="CA63" s="322">
        <f t="shared" si="21"/>
        <v>-2312.8858333333333</v>
      </c>
      <c r="CB63" s="323"/>
      <c r="CC63" s="323"/>
      <c r="CD63" s="322">
        <f t="shared" si="58"/>
        <v>203182.42082784671</v>
      </c>
      <c r="CE63" s="357">
        <f t="shared" si="22"/>
        <v>206547.19999451339</v>
      </c>
      <c r="CF63" s="357">
        <f>(VLOOKUP($A63,EY!$A:$BS,26,FALSE)-(VLOOKUP($A63,EY!A:CR,24,FALSE)*80%))+VLOOKUP($A63,EY!$A:$BS,42,FALSE)+(VLOOKUP($A63,EY!A:CC,74,FALSE)-VLOOKUP($A63,EY!A:CC,72,FALSE))</f>
        <v>0</v>
      </c>
      <c r="CG63" s="358"/>
      <c r="CH63" s="358">
        <f>_xlfn.IFNA((VLOOKUP($A63,HN!$A:$K,8,FALSE)/12),0)</f>
        <v>0</v>
      </c>
      <c r="CI63" s="358">
        <f>_xlfn.IFNA((VLOOKUP($A63,HN!$A:$BS,14,FALSE)/12),0)</f>
        <v>0</v>
      </c>
      <c r="CJ63" s="358">
        <f>(_xlfn.IFNA(VLOOKUP($A63,'Post 16'!$A:$AV,32,FALSE),0)/8)</f>
        <v>0</v>
      </c>
      <c r="CK63" s="358">
        <f>(VLOOKUP($A63,EY!A:CR,24,FALSE)*80%)+VLOOKUP($A63,EY!A:CC,72,FALSE)</f>
        <v>0</v>
      </c>
      <c r="CL63" s="358">
        <f>_xlfn.IFNA((VLOOKUP($A63,HN!$A:$K,9,FALSE)/12),0)+_xlfn.IFNA((VLOOKUP($A63,HN!$A:$K,10,FALSE)/12),0)</f>
        <v>0</v>
      </c>
      <c r="CM63" s="358">
        <f>_xlfn.IFNA((VLOOKUP($A63,HN!$A:$BS,15,FALSE)/12),0)</f>
        <v>0</v>
      </c>
      <c r="CN63" s="357">
        <f t="shared" si="23"/>
        <v>-1051.8933333333332</v>
      </c>
      <c r="CO63" s="357">
        <f t="shared" si="24"/>
        <v>-2312.8858333333333</v>
      </c>
      <c r="CP63" s="358">
        <f>_xlfn.IFNA(VLOOKUP(A63,'LA Deductions'!A:W,23,FALSE),0)</f>
        <v>-13068</v>
      </c>
      <c r="CQ63" s="358">
        <f>_xlfn.IFNA(VLOOKUP($A63,'Cash Advances'!$A:$S,13,FALSE),0)</f>
        <v>0</v>
      </c>
      <c r="CR63" s="358">
        <f>_xlfn.IFNA(VLOOKUP(A63,'LA Deductions'!A:AZ,25,FALSE),0)/9*3</f>
        <v>0</v>
      </c>
      <c r="CS63" s="357">
        <f t="shared" si="25"/>
        <v>190114.42082784671</v>
      </c>
      <c r="CT63" s="337">
        <f t="shared" si="26"/>
        <v>206547.19999451339</v>
      </c>
      <c r="CU63" s="337"/>
      <c r="CV63" s="338">
        <f>_xlfn.IFNA(VLOOKUP(A63,'LA Deductions'!$A$6:$AN$207,34,FALSE),0)</f>
        <v>0</v>
      </c>
      <c r="CW63" s="338">
        <f>_xlfn.IFNA((VLOOKUP($A63,HN!$A:$K,8,FALSE)/12),0)</f>
        <v>0</v>
      </c>
      <c r="CX63" s="338">
        <f>_xlfn.IFNA((VLOOKUP($A63,HN!$A:$BS,14,FALSE)/12),0)</f>
        <v>0</v>
      </c>
      <c r="CY63" s="338">
        <f>_xlfn.IFNA(VLOOKUP($A63,'Post 16'!$A:$AV,32,FALSE),0)/8</f>
        <v>0</v>
      </c>
      <c r="CZ63" s="338"/>
      <c r="DA63" s="338">
        <f>_xlfn.IFNA((VLOOKUP($A63,HN!$A:$K,9,FALSE)/12),0)+_xlfn.IFNA((VLOOKUP($A63,HN!$A:$K,10,FALSE)/12),0)</f>
        <v>0</v>
      </c>
      <c r="DB63" s="338">
        <f>_xlfn.IFNA((VLOOKUP($A63,HN!$A:$BS,15,FALSE)/12),0)</f>
        <v>0</v>
      </c>
      <c r="DC63" s="337">
        <f t="shared" si="27"/>
        <v>-1051.8933333333332</v>
      </c>
      <c r="DD63" s="337">
        <f t="shared" si="28"/>
        <v>-2312.8858333333333</v>
      </c>
      <c r="DE63" s="338"/>
      <c r="DF63" s="338">
        <f>_xlfn.IFNA(VLOOKUP($A63,'Cash Advances'!$A:$S,14,FALSE),0)</f>
        <v>0</v>
      </c>
      <c r="DG63" s="338">
        <f>(_xlfn.IFNA(VLOOKUP(A63,'LA Deductions'!A:AZ,25,FALSE),0)/9)+(_xlfn.IFNA(VLOOKUP(A63,'LA Deductions'!A:AZ,26,FALSE),0))</f>
        <v>0</v>
      </c>
      <c r="DH63" s="337">
        <f t="shared" si="29"/>
        <v>203182.42082784671</v>
      </c>
      <c r="DI63" s="330">
        <f t="shared" si="30"/>
        <v>206547.19999451339</v>
      </c>
      <c r="DJ63" s="330"/>
      <c r="DK63" s="331"/>
      <c r="DL63" s="331">
        <f>_xlfn.IFNA((VLOOKUP($A63,HN!$A:$K,8,FALSE)/12),0)+_xlfn.IFNA((VLOOKUP($A63,HN!$A:$AF,32,FALSE)*8/12),0)</f>
        <v>0</v>
      </c>
      <c r="DM63" s="331">
        <f>_xlfn.IFNA((VLOOKUP($A63,HN!$A:$BS,14,FALSE)/12),0)+_xlfn.IFNA(VLOOKUP($A63,HN!$A:$BS,31,FALSE),0)</f>
        <v>0</v>
      </c>
      <c r="DN63" s="331">
        <f>_xlfn.IFNA(VLOOKUP($A63,'Post 16'!$A:$AV,32,FALSE),0)/8</f>
        <v>0</v>
      </c>
      <c r="DO63" s="331"/>
      <c r="DP63" s="331">
        <f>_xlfn.IFNA((VLOOKUP($A63,HN!$A:$K,9,FALSE)/12),0)+_xlfn.IFNA((VLOOKUP($A63,HN!$A:$K,10,FALSE)/12),0)+_xlfn.IFNA((VLOOKUP($A63,HN!$A:$BZ,33,FALSE)*8/12),0)</f>
        <v>0</v>
      </c>
      <c r="DQ63" s="331">
        <f>_xlfn.IFNA((VLOOKUP($A63,HN!$A:$BS,15,FALSE)/12),0)</f>
        <v>0</v>
      </c>
      <c r="DR63" s="330">
        <f t="shared" si="31"/>
        <v>-1051.8933333333332</v>
      </c>
      <c r="DS63" s="330">
        <f t="shared" si="32"/>
        <v>-2312.8858333333333</v>
      </c>
      <c r="DT63" s="331"/>
      <c r="DU63" s="331"/>
      <c r="DV63" s="331">
        <f>(_xlfn.IFNA(VLOOKUP(A63,'LA Deductions'!A:AZ,25,FALSE),0)/9)+_xlfn.IFNA(VLOOKUP(A63,'LA Deductions'!A:AZ,27,FALSE),0)</f>
        <v>0</v>
      </c>
      <c r="DW63" s="330">
        <f t="shared" si="33"/>
        <v>203182.42082784671</v>
      </c>
      <c r="DX63" s="344">
        <f t="shared" si="34"/>
        <v>206547.19999451339</v>
      </c>
      <c r="DY63" s="344"/>
      <c r="DZ63" s="345"/>
      <c r="EA63" s="345">
        <f>_xlfn.IFNA((VLOOKUP($A63,HN!$A:$K,8,FALSE)/12),0)+_xlfn.IFNA((VLOOKUP($A63,HN!$A:$AF,32,FALSE)*1/12),0)</f>
        <v>0</v>
      </c>
      <c r="EB63" s="345">
        <f>_xlfn.IFNA((VLOOKUP($A63,HN!$A:$BS,14,FALSE)/12),0)</f>
        <v>0</v>
      </c>
      <c r="EC63" s="345">
        <f>_xlfn.IFNA(VLOOKUP($A63,'Post 16'!$A:$AV,32,FALSE),0)/8</f>
        <v>0</v>
      </c>
      <c r="ED63" s="345"/>
      <c r="EE63" s="345">
        <f>_xlfn.IFNA((VLOOKUP($A63,HN!$A:$K,9,FALSE)/12),0)+_xlfn.IFNA((VLOOKUP($A63,HN!$A:$K,10,FALSE)/12),0)+_xlfn.IFNA((VLOOKUP($A63,HN!$A:$BZ,33,FALSE)/12),0)</f>
        <v>0</v>
      </c>
      <c r="EF63" s="345">
        <f>_xlfn.IFNA((VLOOKUP($A63,HN!$A:$BS,15,FALSE)/12),0)</f>
        <v>0</v>
      </c>
      <c r="EG63" s="344">
        <f t="shared" si="35"/>
        <v>-1051.8933333333332</v>
      </c>
      <c r="EH63" s="344">
        <f t="shared" si="36"/>
        <v>-2312.8858333333333</v>
      </c>
      <c r="EI63" s="345"/>
      <c r="EJ63" s="345">
        <f>_xlfn.IFNA(VLOOKUP(A63,'Cash Advances'!A:P,16,FALSE),0)</f>
        <v>0</v>
      </c>
      <c r="EK63" s="345">
        <f>_xlfn.IFNA(VLOOKUP(A63,'LA Deductions'!A:AZ,25,FALSE),0)/9</f>
        <v>0</v>
      </c>
      <c r="EL63" s="344">
        <f t="shared" si="37"/>
        <v>203182.42082784671</v>
      </c>
      <c r="EM63" s="308">
        <f t="shared" si="38"/>
        <v>206547.19999451339</v>
      </c>
      <c r="EN63" s="308">
        <f>((VLOOKUP($A63,EY!$A:$BS,35,FALSE)-(VLOOKUP($A63,EY!$A:$BS,33,FALSE)*80%))+VLOOKUP($A63,EY!$A:$BS,43,FALSE))+(VLOOKUP(A63,EY!A:DF,110,FALSE)-VLOOKUP(A63,EY!A:DD,108,FALSE))+(VLOOKUP(A63,EY!A:CE,83,FALSE)-VLOOKUP(A63,EY!A:CC,81,FALSE))</f>
        <v>0</v>
      </c>
      <c r="EO63" s="309"/>
      <c r="EP63" s="309">
        <f>_xlfn.IFNA((VLOOKUP($A63,HN!$A:$K,8,FALSE)/12),0)+_xlfn.IFNA((VLOOKUP($A63,HN!$A:$AF,32,FALSE)*1/12),0)</f>
        <v>0</v>
      </c>
      <c r="EQ63" s="309">
        <f>_xlfn.IFNA((VLOOKUP($A63,HN!$A:$BS,14,FALSE)/12),0)+_xlfn.IFNA((VLOOKUP($A63,HN!$A:$BS,34,FALSE)/3),0)</f>
        <v>0</v>
      </c>
      <c r="ER63" s="309">
        <f>_xlfn.IFNA(VLOOKUP($A63,'Post 16'!$A:$AV,32,FALSE),0)/8</f>
        <v>0</v>
      </c>
      <c r="ES63" s="309">
        <f>((VLOOKUP($A63,EY!A:EV,33,FALSE)*80%))+VLOOKUP(A63,EY!A:DD,108,FALSE)+VLOOKUP(A63,EY!A:CC,81,FALSE)</f>
        <v>0</v>
      </c>
      <c r="ET63" s="309">
        <f>_xlfn.IFNA((VLOOKUP($A63,HN!$A:$K,9,FALSE)/12),0)+_xlfn.IFNA((VLOOKUP($A63,HN!$A:$K,10,FALSE)/12),0)+_xlfn.IFNA((VLOOKUP($A63,HN!$A:$BZ,33,FALSE)/12),0)</f>
        <v>0</v>
      </c>
      <c r="EU63" s="309">
        <f>_xlfn.IFNA((VLOOKUP($A63,HN!$A:$BS,15,FALSE)/12),0)</f>
        <v>0</v>
      </c>
      <c r="EV63" s="308">
        <f t="shared" si="39"/>
        <v>-1051.8933333333332</v>
      </c>
      <c r="EW63" s="308">
        <f t="shared" si="40"/>
        <v>-2312.8858333333333</v>
      </c>
      <c r="EX63" s="309"/>
      <c r="EY63" s="309">
        <f>_xlfn.IFNA(VLOOKUP($A63,'Cash Advances'!$A:$S,17,FALSE),0)</f>
        <v>0</v>
      </c>
      <c r="EZ63" s="309">
        <f>_xlfn.IFNA(VLOOKUP(A63,'LA Deductions'!A:AZ,25,FALSE),0)/9</f>
        <v>0</v>
      </c>
      <c r="FA63" s="308">
        <f t="shared" si="41"/>
        <v>203182.42082784671</v>
      </c>
      <c r="FB63" s="315">
        <f t="shared" si="42"/>
        <v>206547.19999451339</v>
      </c>
      <c r="FC63" s="315"/>
      <c r="FD63" s="316"/>
      <c r="FE63" s="316">
        <f>_xlfn.IFNA((VLOOKUP($A63,HN!$A:$K,8,FALSE)/12),0)+_xlfn.IFNA((VLOOKUP($A63,HN!$A:$AF,32,FALSE)*1/12),0)</f>
        <v>0</v>
      </c>
      <c r="FF63" s="316">
        <f>_xlfn.IFNA((VLOOKUP($A63,HN!$A:$BS,14,FALSE)/12),0)+_xlfn.IFNA((VLOOKUP($A63,HN!$A:$BS,34,FALSE)/3),0)</f>
        <v>0</v>
      </c>
      <c r="FG63" s="316">
        <f>_xlfn.IFNA(VLOOKUP($A63,'Post 16'!$A:$AV,32,FALSE),0)/8</f>
        <v>0</v>
      </c>
      <c r="FH63" s="316"/>
      <c r="FI63" s="316">
        <f>_xlfn.IFNA((VLOOKUP($A63,HN!$A:$K,9,FALSE)/12),0)+_xlfn.IFNA((VLOOKUP($A63,HN!$A:$K,10,FALSE)/12),0)+_xlfn.IFNA((VLOOKUP($A63,HN!$A:$BZ,33,FALSE)/12),0)+_xlfn.IFNA((VLOOKUP($A63,HN!$A:$BZ,35,FALSE)/2),0)</f>
        <v>0</v>
      </c>
      <c r="FJ63" s="316">
        <f>_xlfn.IFNA((VLOOKUP($A63,HN!$A:$BS,15,FALSE)/12),0)+_xlfn.IFNA((VLOOKUP($A63,HN!$A:$CZ,36,FALSE)/2),0)</f>
        <v>0</v>
      </c>
      <c r="FK63" s="315">
        <f t="shared" si="43"/>
        <v>-1051.8933333333332</v>
      </c>
      <c r="FL63" s="315">
        <f t="shared" si="44"/>
        <v>-2312.8858333333333</v>
      </c>
      <c r="FM63" s="316"/>
      <c r="FN63" s="316">
        <f>_xlfn.IFNA(VLOOKUP($A63,'Cash Advances'!$A:$S,18,FALSE),0)</f>
        <v>0</v>
      </c>
      <c r="FO63" s="316">
        <f>_xlfn.IFNA(VLOOKUP(A63,'LA Deductions'!A:AZ,25,FALSE),0)/9</f>
        <v>0</v>
      </c>
      <c r="FP63" s="315">
        <f t="shared" si="45"/>
        <v>203182.42082784671</v>
      </c>
      <c r="FQ63" s="322">
        <f t="shared" si="46"/>
        <v>206547.19999451339</v>
      </c>
      <c r="FR63" s="322"/>
      <c r="FS63" s="323"/>
      <c r="FT63" s="323">
        <f>_xlfn.IFNA((VLOOKUP($A63,HN!$A:$K,8,FALSE)/12),0)+_xlfn.IFNA((VLOOKUP($A63,HN!$A:$AF,32,FALSE)*1/12),0)</f>
        <v>0</v>
      </c>
      <c r="FU63" s="323">
        <f>_xlfn.IFNA((VLOOKUP($A63,HN!$A:$BS,14,FALSE)/12),0)+_xlfn.IFNA((VLOOKUP($A63,HN!$A:$BS,34,FALSE)/3),0)</f>
        <v>0</v>
      </c>
      <c r="FV63" s="323">
        <f>_xlfn.IFNA(VLOOKUP($A63,'Post 16'!$A:$AV,32,FALSE),0)/8</f>
        <v>0</v>
      </c>
      <c r="FW63" s="323"/>
      <c r="FX63" s="323">
        <f>_xlfn.IFNA((VLOOKUP($A63,HN!$A:$K,9,FALSE)/12),0)+_xlfn.IFNA((VLOOKUP($A63,HN!$A:$K,10,FALSE)/12),0)+_xlfn.IFNA((VLOOKUP($A63,HN!$A:$BZ,33,FALSE)/12),0)+_xlfn.IFNA((VLOOKUP($A63,HN!$A:$BZ,35,FALSE)/2),0)</f>
        <v>0</v>
      </c>
      <c r="FY63" s="323">
        <f>_xlfn.IFNA((VLOOKUP($A63,HN!$A:$BS,15,FALSE)/12),0)+_xlfn.IFNA((VLOOKUP($A63,HN!$A:$CZ,36,FALSE)/2),0)</f>
        <v>0</v>
      </c>
      <c r="FZ63" s="322">
        <f t="shared" si="47"/>
        <v>-1051.8933333333332</v>
      </c>
      <c r="GA63" s="322">
        <f t="shared" si="48"/>
        <v>-2312.8858333333333</v>
      </c>
      <c r="GB63" s="323"/>
      <c r="GC63" s="323"/>
      <c r="GD63" s="323">
        <f>_xlfn.IFNA(VLOOKUP(A63,'LA Deductions'!A:AZ,25,FALSE),0)/9</f>
        <v>0</v>
      </c>
      <c r="GE63" s="322">
        <f t="shared" si="49"/>
        <v>203182.42082784671</v>
      </c>
      <c r="GG63" s="146">
        <f t="shared" si="63"/>
        <v>2478566.3999341601</v>
      </c>
      <c r="GH63" s="146">
        <f t="shared" si="63"/>
        <v>0</v>
      </c>
      <c r="GI63" s="146">
        <f t="shared" si="63"/>
        <v>0</v>
      </c>
      <c r="GJ63" s="146">
        <f t="shared" si="63"/>
        <v>-12622.72</v>
      </c>
      <c r="GK63" s="146">
        <f t="shared" si="63"/>
        <v>-27754.63</v>
      </c>
      <c r="GL63" s="146">
        <f t="shared" si="63"/>
        <v>-13068</v>
      </c>
      <c r="GN63" s="146">
        <f t="shared" si="64"/>
        <v>2478566.3999341601</v>
      </c>
      <c r="GO63" s="146">
        <f t="shared" si="64"/>
        <v>0</v>
      </c>
      <c r="GP63" s="146">
        <f t="shared" si="64"/>
        <v>0</v>
      </c>
      <c r="GQ63" s="146">
        <f t="shared" si="64"/>
        <v>-12622.72</v>
      </c>
      <c r="GR63" s="146">
        <f t="shared" si="64"/>
        <v>-27754.63</v>
      </c>
      <c r="GS63" s="146">
        <f t="shared" si="64"/>
        <v>-13068</v>
      </c>
      <c r="GU63" s="146"/>
      <c r="GV63" s="57"/>
    </row>
    <row r="64" spans="1:204">
      <c r="A64" s="185">
        <v>7006</v>
      </c>
      <c r="B64" s="185">
        <v>103600</v>
      </c>
      <c r="C64" s="185" t="s">
        <v>148</v>
      </c>
      <c r="D64" s="2" t="s">
        <v>149</v>
      </c>
      <c r="E64" s="191" t="s">
        <v>47</v>
      </c>
      <c r="F64" s="191" t="s">
        <v>912</v>
      </c>
      <c r="H64" s="279">
        <f>_xlfn.IFNA(VLOOKUP($A64,ISB!$A$4:$BY$454,67,FALSE),0)</f>
        <v>0</v>
      </c>
      <c r="I64" s="279">
        <f>_xlfn.IFNA(VLOOKUP($A64,ISB!$A$4:$BY$454,72,FALSE),0)</f>
        <v>0</v>
      </c>
      <c r="J64" s="279">
        <f>-_xlfn.IFNA(VLOOKUP($A64,ISB!$A$4:$BY$454,76,FALSE),0)</f>
        <v>0</v>
      </c>
      <c r="K64" s="279">
        <f>_xlfn.IFNA(VLOOKUP($A64,ISB!$A$4:$BY$454,77,FALSE),0)</f>
        <v>0</v>
      </c>
      <c r="M64" s="301">
        <f t="shared" si="7"/>
        <v>0</v>
      </c>
      <c r="N64" s="301">
        <f>VLOOKUP($A64,EY!$A:$H,8,FALSE)+(VLOOKUP($A64,EY!$A:$BS,17,FALSE)-S64)+VLOOKUP($A64,EY!$A:$BS,41,FALSE)</f>
        <v>0</v>
      </c>
      <c r="O64" s="302"/>
      <c r="P64" s="302">
        <f>_xlfn.IFNA((VLOOKUP($A64,HN!$A:$K,8,FALSE)/12),0)</f>
        <v>174116.25</v>
      </c>
      <c r="Q64" s="302">
        <f>_xlfn.IFNA((VLOOKUP($A64,HN!$A:$BS,14,FALSE)/12),0)</f>
        <v>0</v>
      </c>
      <c r="R64" s="302">
        <f>_xlfn.IFNA(VLOOKUP($A64,'Post 16'!$A:$V,21,FALSE),0)/4</f>
        <v>0</v>
      </c>
      <c r="S64" s="302">
        <f>VLOOKUP($A64,EY!A:Q,15,FALSE)*80%</f>
        <v>0</v>
      </c>
      <c r="T64" s="302">
        <f>_xlfn.IFNA((VLOOKUP($A64,HN!$A:$K,9,FALSE)/12),0)+_xlfn.IFNA((VLOOKUP($A64,HN!$A:$K,10,FALSE)/12),0)</f>
        <v>183055.27561232619</v>
      </c>
      <c r="U64" s="302">
        <f>_xlfn.IFNA((VLOOKUP($A64,HN!$A:$BS,15,FALSE)/12),0)</f>
        <v>0</v>
      </c>
      <c r="V64" s="301">
        <f t="shared" si="8"/>
        <v>0</v>
      </c>
      <c r="W64" s="301">
        <f t="shared" si="9"/>
        <v>0</v>
      </c>
      <c r="X64" s="302"/>
      <c r="Y64" s="302">
        <f>_xlfn.IFNA(VLOOKUP($A64,'Cash Advances'!$A:$S,8,FALSE),0)</f>
        <v>0</v>
      </c>
      <c r="Z64" s="301">
        <f t="shared" si="54"/>
        <v>357171.52561232622</v>
      </c>
      <c r="AA64" s="315">
        <f t="shared" si="10"/>
        <v>0</v>
      </c>
      <c r="AB64" s="315"/>
      <c r="AC64" s="316"/>
      <c r="AD64" s="316">
        <f>_xlfn.IFNA((VLOOKUP($A64,HN!$A:$K,8,FALSE)/12),0)</f>
        <v>174116.25</v>
      </c>
      <c r="AE64" s="316">
        <f>_xlfn.IFNA((VLOOKUP($A64,HN!$A:$BS,14,FALSE)/12),0)</f>
        <v>0</v>
      </c>
      <c r="AF64" s="316">
        <f>_xlfn.IFNA(VLOOKUP($A64,'Post 16'!$A:$V,21,FALSE),0)/4</f>
        <v>0</v>
      </c>
      <c r="AG64" s="316"/>
      <c r="AH64" s="316">
        <f>_xlfn.IFNA((VLOOKUP($A64,HN!$A:$K,9,FALSE)/12),0)+_xlfn.IFNA((VLOOKUP($A64,HN!$A:$K,10,FALSE)/12),0)</f>
        <v>183055.27561232619</v>
      </c>
      <c r="AI64" s="316">
        <f>_xlfn.IFNA((VLOOKUP($A64,HN!$A:$BS,15,FALSE)/12),0)</f>
        <v>0</v>
      </c>
      <c r="AJ64" s="315">
        <f t="shared" si="11"/>
        <v>0</v>
      </c>
      <c r="AK64" s="315">
        <f t="shared" si="12"/>
        <v>0</v>
      </c>
      <c r="AL64" s="316"/>
      <c r="AM64" s="316">
        <f>_xlfn.IFNA(VLOOKUP($A64,'Cash Advances'!$A:$S,9,FALSE),0)</f>
        <v>0</v>
      </c>
      <c r="AN64" s="315">
        <f t="shared" si="55"/>
        <v>357171.52561232622</v>
      </c>
      <c r="AO64" s="308">
        <f t="shared" si="13"/>
        <v>0</v>
      </c>
      <c r="AP64" s="308"/>
      <c r="AQ64" s="309"/>
      <c r="AR64" s="309">
        <f>_xlfn.IFNA((VLOOKUP($A64,HN!$A:$K,8,FALSE)/12),0)</f>
        <v>174116.25</v>
      </c>
      <c r="AS64" s="309">
        <f>_xlfn.IFNA((VLOOKUP($A64,HN!$A:$BS,14,FALSE)/12),0)</f>
        <v>0</v>
      </c>
      <c r="AT64" s="309">
        <f>_xlfn.IFNA(VLOOKUP($A64,'Post 16'!$A:$V,21,FALSE),0)/4</f>
        <v>0</v>
      </c>
      <c r="AU64" s="309"/>
      <c r="AV64" s="309">
        <f>_xlfn.IFNA((VLOOKUP($A64,HN!$A:$K,9,FALSE)/12),0)+_xlfn.IFNA((VLOOKUP($A64,HN!$A:$K,10,FALSE)/12),0)+_xlfn.IFNA(VLOOKUP(A64,HN!A:V,19,FALSE),0)+_xlfn.IFNA(VLOOKUP(A64,HN!A:V,20,FALSE),0)+_xlfn.IFNA(VLOOKUP(A64,HN!A:V,21,FALSE),0)</f>
        <v>321516.81407386484</v>
      </c>
      <c r="AW64" s="309">
        <f>_xlfn.IFNA((VLOOKUP($A64,HN!$A:$BS,15,FALSE)/12),0)</f>
        <v>0</v>
      </c>
      <c r="AX64" s="308">
        <f t="shared" si="14"/>
        <v>0</v>
      </c>
      <c r="AY64" s="308">
        <f t="shared" si="15"/>
        <v>0</v>
      </c>
      <c r="AZ64" s="309"/>
      <c r="BA64" s="309">
        <f>_xlfn.IFNA(VLOOKUP($A64,'Cash Advances'!$A:$S,10,FALSE),0)</f>
        <v>0</v>
      </c>
      <c r="BB64" s="308">
        <f t="shared" si="56"/>
        <v>495633.06407386484</v>
      </c>
      <c r="BC64" s="330">
        <f t="shared" si="16"/>
        <v>0</v>
      </c>
      <c r="BD64" s="330"/>
      <c r="BE64" s="331"/>
      <c r="BF64" s="331">
        <f>_xlfn.IFNA((VLOOKUP($A64,HN!$A:$K,8,FALSE)/12),0)</f>
        <v>174116.25</v>
      </c>
      <c r="BG64" s="331">
        <f>_xlfn.IFNA((VLOOKUP($A64,HN!$A:$BS,14,FALSE)/12),0)</f>
        <v>0</v>
      </c>
      <c r="BH64" s="331">
        <f>_xlfn.IFNA(VLOOKUP($A64,'Post 16'!$A:$V,21,FALSE),0)/4</f>
        <v>0</v>
      </c>
      <c r="BI64" s="331"/>
      <c r="BJ64" s="331">
        <f>_xlfn.IFNA((VLOOKUP($A64,HN!$A:$K,9,FALSE)/12),0)+_xlfn.IFNA((VLOOKUP($A64,HN!$A:$K,10,FALSE)/12),0)</f>
        <v>183055.27561232619</v>
      </c>
      <c r="BK64" s="331">
        <f>_xlfn.IFNA((VLOOKUP($A64,HN!$A:$BS,15,FALSE)/12),0)</f>
        <v>0</v>
      </c>
      <c r="BL64" s="330">
        <f t="shared" si="17"/>
        <v>0</v>
      </c>
      <c r="BM64" s="330">
        <f t="shared" si="18"/>
        <v>0</v>
      </c>
      <c r="BN64" s="331"/>
      <c r="BO64" s="331">
        <f>_xlfn.IFNA(VLOOKUP(A64,'Cash Advances'!A:K,11,FALSE),0)</f>
        <v>0</v>
      </c>
      <c r="BP64" s="330">
        <f t="shared" si="57"/>
        <v>357171.52561232622</v>
      </c>
      <c r="BQ64" s="322">
        <f t="shared" si="19"/>
        <v>0</v>
      </c>
      <c r="BR64" s="322"/>
      <c r="BS64" s="323"/>
      <c r="BT64" s="323">
        <f>_xlfn.IFNA((VLOOKUP($A64,HN!$A:$K,8,FALSE)/12),0)</f>
        <v>174116.25</v>
      </c>
      <c r="BU64" s="323">
        <f>_xlfn.IFNA((VLOOKUP($A64,HN!$A:$BS,14,FALSE)/12),0)</f>
        <v>0</v>
      </c>
      <c r="BV64" s="323">
        <f>(_xlfn.IFNA(VLOOKUP($A64,'Post 16'!$A:$AV,32,FALSE),0)/8)+_xlfn.IFNA(VLOOKUP($A64,'Post 16'!$A:$AR,40,FALSE),0)</f>
        <v>0</v>
      </c>
      <c r="BW64" s="323"/>
      <c r="BX64" s="323">
        <f>_xlfn.IFNA((VLOOKUP($A64,HN!$A:$K,9,FALSE)/12),0)+_xlfn.IFNA((VLOOKUP($A64,HN!$A:$K,10,FALSE)/12),0)</f>
        <v>183055.27561232619</v>
      </c>
      <c r="BY64" s="323">
        <f>_xlfn.IFNA((VLOOKUP($A64,HN!$A:$BS,15,FALSE)/12),0)</f>
        <v>0</v>
      </c>
      <c r="BZ64" s="322">
        <f t="shared" si="20"/>
        <v>0</v>
      </c>
      <c r="CA64" s="322">
        <f t="shared" si="21"/>
        <v>0</v>
      </c>
      <c r="CB64" s="323"/>
      <c r="CC64" s="323"/>
      <c r="CD64" s="322">
        <f t="shared" si="58"/>
        <v>357171.52561232622</v>
      </c>
      <c r="CE64" s="357">
        <f t="shared" si="22"/>
        <v>0</v>
      </c>
      <c r="CF64" s="357">
        <f>(VLOOKUP($A64,EY!$A:$BS,26,FALSE)-(VLOOKUP($A64,EY!A:CR,24,FALSE)*80%))+VLOOKUP($A64,EY!$A:$BS,42,FALSE)+(VLOOKUP($A64,EY!A:CC,74,FALSE)-VLOOKUP($A64,EY!A:CC,72,FALSE))</f>
        <v>0</v>
      </c>
      <c r="CG64" s="358"/>
      <c r="CH64" s="358">
        <f>_xlfn.IFNA((VLOOKUP($A64,HN!$A:$K,8,FALSE)/12),0)</f>
        <v>174116.25</v>
      </c>
      <c r="CI64" s="358">
        <f>_xlfn.IFNA((VLOOKUP($A64,HN!$A:$BS,14,FALSE)/12),0)</f>
        <v>0</v>
      </c>
      <c r="CJ64" s="358">
        <f>(_xlfn.IFNA(VLOOKUP($A64,'Post 16'!$A:$AV,32,FALSE),0)/8)</f>
        <v>0</v>
      </c>
      <c r="CK64" s="358">
        <f>(VLOOKUP($A64,EY!A:CR,24,FALSE)*80%)+VLOOKUP($A64,EY!A:CC,72,FALSE)</f>
        <v>0</v>
      </c>
      <c r="CL64" s="358">
        <f>_xlfn.IFNA((VLOOKUP($A64,HN!$A:$K,9,FALSE)/12),0)+_xlfn.IFNA((VLOOKUP($A64,HN!$A:$K,10,FALSE)/12),0)</f>
        <v>183055.27561232619</v>
      </c>
      <c r="CM64" s="358">
        <f>_xlfn.IFNA((VLOOKUP($A64,HN!$A:$BS,15,FALSE)/12),0)</f>
        <v>0</v>
      </c>
      <c r="CN64" s="357">
        <f t="shared" si="23"/>
        <v>0</v>
      </c>
      <c r="CO64" s="357">
        <f t="shared" si="24"/>
        <v>0</v>
      </c>
      <c r="CP64" s="358">
        <f>_xlfn.IFNA(VLOOKUP(A64,'LA Deductions'!A:W,23,FALSE),0)</f>
        <v>-5139.75</v>
      </c>
      <c r="CQ64" s="358">
        <f>_xlfn.IFNA(VLOOKUP($A64,'Cash Advances'!$A:$S,13,FALSE),0)</f>
        <v>0</v>
      </c>
      <c r="CR64" s="358">
        <f>_xlfn.IFNA(VLOOKUP(A64,'LA Deductions'!A:AZ,25,FALSE),0)/9*3</f>
        <v>0</v>
      </c>
      <c r="CS64" s="357">
        <f t="shared" si="25"/>
        <v>352031.77561232622</v>
      </c>
      <c r="CT64" s="337">
        <f t="shared" si="26"/>
        <v>0</v>
      </c>
      <c r="CU64" s="337"/>
      <c r="CV64" s="338">
        <f>_xlfn.IFNA(VLOOKUP(A64,'LA Deductions'!$A$6:$AN$207,34,FALSE),0)</f>
        <v>0</v>
      </c>
      <c r="CW64" s="338">
        <f>_xlfn.IFNA((VLOOKUP($A64,HN!$A:$K,8,FALSE)/12),0)</f>
        <v>174116.25</v>
      </c>
      <c r="CX64" s="338">
        <f>_xlfn.IFNA((VLOOKUP($A64,HN!$A:$BS,14,FALSE)/12),0)</f>
        <v>0</v>
      </c>
      <c r="CY64" s="338">
        <f>_xlfn.IFNA(VLOOKUP($A64,'Post 16'!$A:$AV,32,FALSE),0)/8</f>
        <v>0</v>
      </c>
      <c r="CZ64" s="338"/>
      <c r="DA64" s="338">
        <f>_xlfn.IFNA((VLOOKUP($A64,HN!$A:$K,9,FALSE)/12),0)+_xlfn.IFNA((VLOOKUP($A64,HN!$A:$K,10,FALSE)/12),0)</f>
        <v>183055.27561232619</v>
      </c>
      <c r="DB64" s="338">
        <f>_xlfn.IFNA((VLOOKUP($A64,HN!$A:$BS,15,FALSE)/12),0)</f>
        <v>0</v>
      </c>
      <c r="DC64" s="337">
        <f t="shared" si="27"/>
        <v>0</v>
      </c>
      <c r="DD64" s="337">
        <f t="shared" si="28"/>
        <v>0</v>
      </c>
      <c r="DE64" s="338"/>
      <c r="DF64" s="338">
        <f>_xlfn.IFNA(VLOOKUP($A64,'Cash Advances'!$A:$S,14,FALSE),0)</f>
        <v>0</v>
      </c>
      <c r="DG64" s="338">
        <f>(_xlfn.IFNA(VLOOKUP(A64,'LA Deductions'!A:AZ,25,FALSE),0)/9)+(_xlfn.IFNA(VLOOKUP(A64,'LA Deductions'!A:AZ,26,FALSE),0))</f>
        <v>0</v>
      </c>
      <c r="DH64" s="337">
        <f t="shared" si="29"/>
        <v>357171.52561232622</v>
      </c>
      <c r="DI64" s="330">
        <f t="shared" si="30"/>
        <v>0</v>
      </c>
      <c r="DJ64" s="330"/>
      <c r="DK64" s="331"/>
      <c r="DL64" s="331">
        <f>_xlfn.IFNA((VLOOKUP($A64,HN!$A:$K,8,FALSE)/12),0)+_xlfn.IFNA((VLOOKUP($A64,HN!$A:$AF,32,FALSE)*8/12),0)</f>
        <v>247816.25</v>
      </c>
      <c r="DM64" s="331">
        <f>_xlfn.IFNA((VLOOKUP($A64,HN!$A:$BS,14,FALSE)/12),0)+_xlfn.IFNA(VLOOKUP($A64,HN!$A:$BS,31,FALSE),0)</f>
        <v>0</v>
      </c>
      <c r="DN64" s="331">
        <f>_xlfn.IFNA(VLOOKUP($A64,'Post 16'!$A:$AV,32,FALSE),0)/8</f>
        <v>0</v>
      </c>
      <c r="DO64" s="331"/>
      <c r="DP64" s="331">
        <f>_xlfn.IFNA((VLOOKUP($A64,HN!$A:$K,9,FALSE)/12),0)+_xlfn.IFNA((VLOOKUP($A64,HN!$A:$K,10,FALSE)/12),0)+_xlfn.IFNA((VLOOKUP($A64,HN!$A:$BZ,33,FALSE)*8/12),0)</f>
        <v>343393.69223079353</v>
      </c>
      <c r="DQ64" s="331">
        <f>_xlfn.IFNA((VLOOKUP($A64,HN!$A:$BS,15,FALSE)/12),0)</f>
        <v>0</v>
      </c>
      <c r="DR64" s="330">
        <f t="shared" si="31"/>
        <v>0</v>
      </c>
      <c r="DS64" s="330">
        <f t="shared" si="32"/>
        <v>0</v>
      </c>
      <c r="DT64" s="331"/>
      <c r="DU64" s="331"/>
      <c r="DV64" s="331">
        <f>(_xlfn.IFNA(VLOOKUP(A64,'LA Deductions'!A:AZ,25,FALSE),0)/9)+_xlfn.IFNA(VLOOKUP(A64,'LA Deductions'!A:AZ,27,FALSE),0)</f>
        <v>0</v>
      </c>
      <c r="DW64" s="330">
        <f t="shared" si="33"/>
        <v>591209.94223079353</v>
      </c>
      <c r="DX64" s="344">
        <f t="shared" si="34"/>
        <v>0</v>
      </c>
      <c r="DY64" s="344"/>
      <c r="DZ64" s="345"/>
      <c r="EA64" s="345">
        <f>_xlfn.IFNA((VLOOKUP($A64,HN!$A:$K,8,FALSE)/12),0)+_xlfn.IFNA((VLOOKUP($A64,HN!$A:$AF,32,FALSE)*1/12),0)</f>
        <v>183328.75</v>
      </c>
      <c r="EB64" s="345">
        <f>_xlfn.IFNA((VLOOKUP($A64,HN!$A:$BS,14,FALSE)/12),0)</f>
        <v>0</v>
      </c>
      <c r="EC64" s="345">
        <f>_xlfn.IFNA(VLOOKUP($A64,'Post 16'!$A:$AV,32,FALSE),0)/8</f>
        <v>0</v>
      </c>
      <c r="ED64" s="345"/>
      <c r="EE64" s="345">
        <f>_xlfn.IFNA((VLOOKUP($A64,HN!$A:$K,9,FALSE)/12),0)+_xlfn.IFNA((VLOOKUP($A64,HN!$A:$K,10,FALSE)/12),0)+_xlfn.IFNA((VLOOKUP($A64,HN!$A:$BZ,33,FALSE)/12),0)</f>
        <v>203097.57768963461</v>
      </c>
      <c r="EF64" s="345">
        <f>_xlfn.IFNA((VLOOKUP($A64,HN!$A:$BS,15,FALSE)/12),0)</f>
        <v>0</v>
      </c>
      <c r="EG64" s="344">
        <f t="shared" si="35"/>
        <v>0</v>
      </c>
      <c r="EH64" s="344">
        <f t="shared" si="36"/>
        <v>0</v>
      </c>
      <c r="EI64" s="345"/>
      <c r="EJ64" s="345">
        <f>_xlfn.IFNA(VLOOKUP(A64,'Cash Advances'!A:P,16,FALSE),0)</f>
        <v>500000</v>
      </c>
      <c r="EK64" s="345">
        <f>_xlfn.IFNA(VLOOKUP(A64,'LA Deductions'!A:AZ,25,FALSE),0)/9</f>
        <v>0</v>
      </c>
      <c r="EL64" s="344">
        <f t="shared" si="37"/>
        <v>886426.32768963464</v>
      </c>
      <c r="EM64" s="308">
        <f t="shared" si="38"/>
        <v>0</v>
      </c>
      <c r="EN64" s="308">
        <f>((VLOOKUP($A64,EY!$A:$BS,35,FALSE)-(VLOOKUP($A64,EY!$A:$BS,33,FALSE)*80%))+VLOOKUP($A64,EY!$A:$BS,43,FALSE))+(VLOOKUP(A64,EY!A:DF,110,FALSE)-VLOOKUP(A64,EY!A:DD,108,FALSE))+(VLOOKUP(A64,EY!A:CE,83,FALSE)-VLOOKUP(A64,EY!A:CC,81,FALSE))</f>
        <v>0</v>
      </c>
      <c r="EO64" s="309"/>
      <c r="EP64" s="309">
        <f>_xlfn.IFNA((VLOOKUP($A64,HN!$A:$K,8,FALSE)/12),0)+_xlfn.IFNA((VLOOKUP($A64,HN!$A:$AF,32,FALSE)*1/12),0)</f>
        <v>183328.75</v>
      </c>
      <c r="EQ64" s="309">
        <f>_xlfn.IFNA((VLOOKUP($A64,HN!$A:$BS,14,FALSE)/12),0)+_xlfn.IFNA((VLOOKUP($A64,HN!$A:$BS,34,FALSE)/3),0)</f>
        <v>0</v>
      </c>
      <c r="ER64" s="309">
        <f>_xlfn.IFNA(VLOOKUP($A64,'Post 16'!$A:$AV,32,FALSE),0)/8</f>
        <v>0</v>
      </c>
      <c r="ES64" s="309">
        <f>((VLOOKUP($A64,EY!A:EV,33,FALSE)*80%))+VLOOKUP(A64,EY!A:DD,108,FALSE)+VLOOKUP(A64,EY!A:CC,81,FALSE)</f>
        <v>0</v>
      </c>
      <c r="ET64" s="309">
        <f>_xlfn.IFNA((VLOOKUP($A64,HN!$A:$K,9,FALSE)/12),0)+_xlfn.IFNA((VLOOKUP($A64,HN!$A:$K,10,FALSE)/12),0)+_xlfn.IFNA((VLOOKUP($A64,HN!$A:$BZ,33,FALSE)/12),0)</f>
        <v>203097.57768963461</v>
      </c>
      <c r="EU64" s="309">
        <f>_xlfn.IFNA((VLOOKUP($A64,HN!$A:$BS,15,FALSE)/12),0)</f>
        <v>0</v>
      </c>
      <c r="EV64" s="308">
        <f t="shared" si="39"/>
        <v>0</v>
      </c>
      <c r="EW64" s="308">
        <f t="shared" si="40"/>
        <v>0</v>
      </c>
      <c r="EX64" s="309"/>
      <c r="EY64" s="309">
        <f>_xlfn.IFNA(VLOOKUP($A64,'Cash Advances'!$A:$S,17,FALSE),0)</f>
        <v>0</v>
      </c>
      <c r="EZ64" s="309">
        <f>_xlfn.IFNA(VLOOKUP(A64,'LA Deductions'!A:AZ,25,FALSE),0)/9</f>
        <v>0</v>
      </c>
      <c r="FA64" s="308">
        <f t="shared" si="41"/>
        <v>386426.32768963464</v>
      </c>
      <c r="FB64" s="315">
        <f t="shared" si="42"/>
        <v>0</v>
      </c>
      <c r="FC64" s="315"/>
      <c r="FD64" s="316"/>
      <c r="FE64" s="316">
        <f>_xlfn.IFNA((VLOOKUP($A64,HN!$A:$K,8,FALSE)/12),0)+_xlfn.IFNA((VLOOKUP($A64,HN!$A:$AF,32,FALSE)*1/12),0)</f>
        <v>183328.75</v>
      </c>
      <c r="FF64" s="316">
        <f>_xlfn.IFNA((VLOOKUP($A64,HN!$A:$BS,14,FALSE)/12),0)+_xlfn.IFNA((VLOOKUP($A64,HN!$A:$BS,34,FALSE)/3),0)</f>
        <v>0</v>
      </c>
      <c r="FG64" s="316">
        <f>_xlfn.IFNA(VLOOKUP($A64,'Post 16'!$A:$AV,32,FALSE),0)/8</f>
        <v>0</v>
      </c>
      <c r="FH64" s="316"/>
      <c r="FI64" s="316">
        <f>_xlfn.IFNA((VLOOKUP($A64,HN!$A:$K,9,FALSE)/12),0)+_xlfn.IFNA((VLOOKUP($A64,HN!$A:$K,10,FALSE)/12),0)+_xlfn.IFNA((VLOOKUP($A64,HN!$A:$BZ,33,FALSE)/12),0)+_xlfn.IFNA((VLOOKUP($A64,HN!$A:$BZ,35,FALSE)/2),0)</f>
        <v>213492.3826896346</v>
      </c>
      <c r="FJ64" s="316">
        <f>_xlfn.IFNA((VLOOKUP($A64,HN!$A:$BS,15,FALSE)/12),0)+_xlfn.IFNA((VLOOKUP($A64,HN!$A:$CZ,36,FALSE)/2),0)</f>
        <v>0</v>
      </c>
      <c r="FK64" s="315">
        <f t="shared" si="43"/>
        <v>0</v>
      </c>
      <c r="FL64" s="315">
        <f t="shared" si="44"/>
        <v>0</v>
      </c>
      <c r="FM64" s="316"/>
      <c r="FN64" s="316">
        <f>_xlfn.IFNA(VLOOKUP($A64,'Cash Advances'!$A:$S,18,FALSE),0)</f>
        <v>0</v>
      </c>
      <c r="FO64" s="316">
        <f>_xlfn.IFNA(VLOOKUP(A64,'LA Deductions'!A:AZ,25,FALSE),0)/9</f>
        <v>0</v>
      </c>
      <c r="FP64" s="315">
        <f t="shared" si="45"/>
        <v>396821.13268963457</v>
      </c>
      <c r="FQ64" s="322">
        <f t="shared" si="46"/>
        <v>0</v>
      </c>
      <c r="FR64" s="322"/>
      <c r="FS64" s="323"/>
      <c r="FT64" s="323">
        <f>_xlfn.IFNA((VLOOKUP($A64,HN!$A:$K,8,FALSE)/12),0)+_xlfn.IFNA((VLOOKUP($A64,HN!$A:$AF,32,FALSE)*1/12),0)</f>
        <v>183328.75</v>
      </c>
      <c r="FU64" s="323">
        <f>_xlfn.IFNA((VLOOKUP($A64,HN!$A:$BS,14,FALSE)/12),0)+_xlfn.IFNA((VLOOKUP($A64,HN!$A:$BS,34,FALSE)/3),0)</f>
        <v>0</v>
      </c>
      <c r="FV64" s="323">
        <f>_xlfn.IFNA(VLOOKUP($A64,'Post 16'!$A:$AV,32,FALSE),0)/8</f>
        <v>0</v>
      </c>
      <c r="FW64" s="323"/>
      <c r="FX64" s="323">
        <f>_xlfn.IFNA((VLOOKUP($A64,HN!$A:$K,9,FALSE)/12),0)+_xlfn.IFNA((VLOOKUP($A64,HN!$A:$K,10,FALSE)/12),0)+_xlfn.IFNA((VLOOKUP($A64,HN!$A:$BZ,33,FALSE)/12),0)+_xlfn.IFNA((VLOOKUP($A64,HN!$A:$BZ,35,FALSE)/2),0)</f>
        <v>213492.3826896346</v>
      </c>
      <c r="FY64" s="323">
        <f>_xlfn.IFNA((VLOOKUP($A64,HN!$A:$BS,15,FALSE)/12),0)+_xlfn.IFNA((VLOOKUP($A64,HN!$A:$CZ,36,FALSE)/2),0)</f>
        <v>0</v>
      </c>
      <c r="FZ64" s="322">
        <f t="shared" si="47"/>
        <v>0</v>
      </c>
      <c r="GA64" s="322">
        <f t="shared" si="48"/>
        <v>0</v>
      </c>
      <c r="GB64" s="323"/>
      <c r="GC64" s="323"/>
      <c r="GD64" s="323">
        <f>_xlfn.IFNA(VLOOKUP(A64,'LA Deductions'!A:AZ,25,FALSE),0)/9</f>
        <v>0</v>
      </c>
      <c r="GE64" s="322">
        <f t="shared" si="49"/>
        <v>396821.13268963457</v>
      </c>
      <c r="GG64" s="146">
        <f t="shared" si="63"/>
        <v>2199945</v>
      </c>
      <c r="GH64" s="146">
        <f t="shared" si="63"/>
        <v>0</v>
      </c>
      <c r="GI64" s="146">
        <f t="shared" si="63"/>
        <v>2596422.0807371545</v>
      </c>
      <c r="GJ64" s="146">
        <f t="shared" si="63"/>
        <v>0</v>
      </c>
      <c r="GK64" s="146">
        <f t="shared" si="63"/>
        <v>0</v>
      </c>
      <c r="GL64" s="146">
        <f t="shared" si="63"/>
        <v>-5139.75</v>
      </c>
      <c r="GN64" s="146">
        <f t="shared" si="64"/>
        <v>2199945</v>
      </c>
      <c r="GO64" s="146">
        <f t="shared" si="64"/>
        <v>0</v>
      </c>
      <c r="GP64" s="146">
        <f t="shared" si="64"/>
        <v>2596422.0807371545</v>
      </c>
      <c r="GQ64" s="146">
        <f t="shared" si="64"/>
        <v>0</v>
      </c>
      <c r="GR64" s="146">
        <f t="shared" si="64"/>
        <v>0</v>
      </c>
      <c r="GS64" s="146">
        <f t="shared" si="64"/>
        <v>-5139.75</v>
      </c>
      <c r="GU64" s="146"/>
      <c r="GV64" s="57"/>
    </row>
    <row r="65" spans="1:204">
      <c r="A65" s="185">
        <v>2099</v>
      </c>
      <c r="B65" s="185">
        <v>103214</v>
      </c>
      <c r="C65" s="185" t="s">
        <v>150</v>
      </c>
      <c r="D65" s="2" t="s">
        <v>151</v>
      </c>
      <c r="E65" s="191" t="s">
        <v>32</v>
      </c>
      <c r="F65" s="191" t="s">
        <v>912</v>
      </c>
      <c r="H65" s="279">
        <f>_xlfn.IFNA(VLOOKUP($A65,ISB!$A$4:$BY$454,67,FALSE),0)</f>
        <v>1421122.9971289218</v>
      </c>
      <c r="I65" s="279">
        <f>_xlfn.IFNA(VLOOKUP($A65,ISB!$A$4:$BY$454,72,FALSE),0)</f>
        <v>-5450.7199999999993</v>
      </c>
      <c r="J65" s="279">
        <f>-_xlfn.IFNA(VLOOKUP($A65,ISB!$A$4:$BY$454,76,FALSE),0)</f>
        <v>-15883.6</v>
      </c>
      <c r="K65" s="279">
        <f>_xlfn.IFNA(VLOOKUP($A65,ISB!$A$4:$BY$454,77,FALSE),0)</f>
        <v>1399788.6771289217</v>
      </c>
      <c r="M65" s="301">
        <f t="shared" si="7"/>
        <v>118426.91642741015</v>
      </c>
      <c r="N65" s="301">
        <f>VLOOKUP($A65,EY!$A:$H,8,FALSE)+(VLOOKUP($A65,EY!$A:$BS,17,FALSE)-S65)+VLOOKUP($A65,EY!$A:$BS,41,FALSE)</f>
        <v>24752.52</v>
      </c>
      <c r="O65" s="302"/>
      <c r="P65" s="302">
        <f>_xlfn.IFNA((VLOOKUP($A65,HN!$A:$K,8,FALSE)/12),0)</f>
        <v>0</v>
      </c>
      <c r="Q65" s="302">
        <f>_xlfn.IFNA((VLOOKUP($A65,HN!$A:$BS,14,FALSE)/12),0)</f>
        <v>5333.333333333333</v>
      </c>
      <c r="R65" s="302">
        <f>_xlfn.IFNA(VLOOKUP($A65,'Post 16'!$A:$V,21,FALSE),0)/4</f>
        <v>0</v>
      </c>
      <c r="S65" s="302">
        <f>VLOOKUP($A65,EY!A:Q,15,FALSE)*80%</f>
        <v>0</v>
      </c>
      <c r="T65" s="302">
        <f>_xlfn.IFNA((VLOOKUP($A65,HN!$A:$K,9,FALSE)/12),0)+_xlfn.IFNA((VLOOKUP($A65,HN!$A:$K,10,FALSE)/12),0)</f>
        <v>0</v>
      </c>
      <c r="U65" s="302">
        <f>_xlfn.IFNA((VLOOKUP($A65,HN!$A:$BS,15,FALSE)/12),0)</f>
        <v>10558.046666666665</v>
      </c>
      <c r="V65" s="301">
        <f t="shared" si="8"/>
        <v>-454.22666666666663</v>
      </c>
      <c r="W65" s="301">
        <f t="shared" si="9"/>
        <v>-1323.6333333333334</v>
      </c>
      <c r="X65" s="302"/>
      <c r="Y65" s="302">
        <f>_xlfn.IFNA(VLOOKUP($A65,'Cash Advances'!$A:$S,8,FALSE),0)</f>
        <v>0</v>
      </c>
      <c r="Z65" s="301">
        <f t="shared" si="54"/>
        <v>157292.95642741016</v>
      </c>
      <c r="AA65" s="315">
        <f t="shared" si="10"/>
        <v>118426.91642741015</v>
      </c>
      <c r="AB65" s="315"/>
      <c r="AC65" s="316"/>
      <c r="AD65" s="316">
        <f>_xlfn.IFNA((VLOOKUP($A65,HN!$A:$K,8,FALSE)/12),0)</f>
        <v>0</v>
      </c>
      <c r="AE65" s="316">
        <f>_xlfn.IFNA((VLOOKUP($A65,HN!$A:$BS,14,FALSE)/12),0)</f>
        <v>5333.333333333333</v>
      </c>
      <c r="AF65" s="316">
        <f>_xlfn.IFNA(VLOOKUP($A65,'Post 16'!$A:$V,21,FALSE),0)/4</f>
        <v>0</v>
      </c>
      <c r="AG65" s="316"/>
      <c r="AH65" s="316">
        <f>_xlfn.IFNA((VLOOKUP($A65,HN!$A:$K,9,FALSE)/12),0)+_xlfn.IFNA((VLOOKUP($A65,HN!$A:$K,10,FALSE)/12),0)</f>
        <v>0</v>
      </c>
      <c r="AI65" s="316">
        <f>_xlfn.IFNA((VLOOKUP($A65,HN!$A:$BS,15,FALSE)/12),0)</f>
        <v>10558.046666666665</v>
      </c>
      <c r="AJ65" s="315">
        <f t="shared" si="11"/>
        <v>-454.22666666666663</v>
      </c>
      <c r="AK65" s="315">
        <f t="shared" si="12"/>
        <v>-1323.6333333333334</v>
      </c>
      <c r="AL65" s="316"/>
      <c r="AM65" s="316">
        <f>_xlfn.IFNA(VLOOKUP($A65,'Cash Advances'!$A:$S,9,FALSE),0)</f>
        <v>0</v>
      </c>
      <c r="AN65" s="315">
        <f t="shared" si="55"/>
        <v>132540.43642741017</v>
      </c>
      <c r="AO65" s="308">
        <f t="shared" si="13"/>
        <v>118426.91642741015</v>
      </c>
      <c r="AP65" s="308"/>
      <c r="AQ65" s="309"/>
      <c r="AR65" s="309">
        <f>_xlfn.IFNA((VLOOKUP($A65,HN!$A:$K,8,FALSE)/12),0)</f>
        <v>0</v>
      </c>
      <c r="AS65" s="309">
        <f>_xlfn.IFNA((VLOOKUP($A65,HN!$A:$BS,14,FALSE)/12),0)</f>
        <v>5333.333333333333</v>
      </c>
      <c r="AT65" s="309">
        <f>_xlfn.IFNA(VLOOKUP($A65,'Post 16'!$A:$V,21,FALSE),0)/4</f>
        <v>0</v>
      </c>
      <c r="AU65" s="309"/>
      <c r="AV65" s="309">
        <f>_xlfn.IFNA((VLOOKUP($A65,HN!$A:$K,9,FALSE)/12),0)+_xlfn.IFNA((VLOOKUP($A65,HN!$A:$K,10,FALSE)/12),0)+_xlfn.IFNA(VLOOKUP(A65,HN!A:V,19,FALSE),0)+_xlfn.IFNA(VLOOKUP(A65,HN!A:V,20,FALSE),0)+_xlfn.IFNA(VLOOKUP(A65,HN!A:V,21,FALSE),0)</f>
        <v>0</v>
      </c>
      <c r="AW65" s="309">
        <f>_xlfn.IFNA((VLOOKUP($A65,HN!$A:$BS,15,FALSE)/12),0)</f>
        <v>10558.046666666665</v>
      </c>
      <c r="AX65" s="308">
        <f t="shared" si="14"/>
        <v>-454.22666666666663</v>
      </c>
      <c r="AY65" s="308">
        <f t="shared" si="15"/>
        <v>-1323.6333333333334</v>
      </c>
      <c r="AZ65" s="309"/>
      <c r="BA65" s="309">
        <f>_xlfn.IFNA(VLOOKUP($A65,'Cash Advances'!$A:$S,10,FALSE),0)</f>
        <v>0</v>
      </c>
      <c r="BB65" s="308">
        <f t="shared" si="56"/>
        <v>132540.43642741017</v>
      </c>
      <c r="BC65" s="330">
        <f t="shared" si="16"/>
        <v>118426.91642741015</v>
      </c>
      <c r="BD65" s="330"/>
      <c r="BE65" s="331"/>
      <c r="BF65" s="331">
        <f>_xlfn.IFNA((VLOOKUP($A65,HN!$A:$K,8,FALSE)/12),0)</f>
        <v>0</v>
      </c>
      <c r="BG65" s="331">
        <f>_xlfn.IFNA((VLOOKUP($A65,HN!$A:$BS,14,FALSE)/12),0)</f>
        <v>5333.333333333333</v>
      </c>
      <c r="BH65" s="331">
        <f>_xlfn.IFNA(VLOOKUP($A65,'Post 16'!$A:$V,21,FALSE),0)/4</f>
        <v>0</v>
      </c>
      <c r="BI65" s="331"/>
      <c r="BJ65" s="331">
        <f>_xlfn.IFNA((VLOOKUP($A65,HN!$A:$K,9,FALSE)/12),0)+_xlfn.IFNA((VLOOKUP($A65,HN!$A:$K,10,FALSE)/12),0)</f>
        <v>0</v>
      </c>
      <c r="BK65" s="331">
        <f>_xlfn.IFNA((VLOOKUP($A65,HN!$A:$BS,15,FALSE)/12),0)</f>
        <v>10558.046666666665</v>
      </c>
      <c r="BL65" s="330">
        <f t="shared" si="17"/>
        <v>-454.22666666666663</v>
      </c>
      <c r="BM65" s="330">
        <f t="shared" si="18"/>
        <v>-1323.6333333333334</v>
      </c>
      <c r="BN65" s="331"/>
      <c r="BO65" s="331">
        <f>_xlfn.IFNA(VLOOKUP(A65,'Cash Advances'!A:K,11,FALSE),0)</f>
        <v>0</v>
      </c>
      <c r="BP65" s="330">
        <f t="shared" si="57"/>
        <v>132540.43642741017</v>
      </c>
      <c r="BQ65" s="322">
        <f t="shared" si="19"/>
        <v>118426.91642741015</v>
      </c>
      <c r="BR65" s="322"/>
      <c r="BS65" s="323"/>
      <c r="BT65" s="323">
        <f>_xlfn.IFNA((VLOOKUP($A65,HN!$A:$K,8,FALSE)/12),0)</f>
        <v>0</v>
      </c>
      <c r="BU65" s="323">
        <f>_xlfn.IFNA((VLOOKUP($A65,HN!$A:$BS,14,FALSE)/12),0)</f>
        <v>5333.333333333333</v>
      </c>
      <c r="BV65" s="323">
        <f>(_xlfn.IFNA(VLOOKUP($A65,'Post 16'!$A:$AV,32,FALSE),0)/8)+_xlfn.IFNA(VLOOKUP($A65,'Post 16'!$A:$AR,40,FALSE),0)</f>
        <v>0</v>
      </c>
      <c r="BW65" s="323"/>
      <c r="BX65" s="323">
        <f>_xlfn.IFNA((VLOOKUP($A65,HN!$A:$K,9,FALSE)/12),0)+_xlfn.IFNA((VLOOKUP($A65,HN!$A:$K,10,FALSE)/12),0)</f>
        <v>0</v>
      </c>
      <c r="BY65" s="323">
        <f>_xlfn.IFNA((VLOOKUP($A65,HN!$A:$BS,15,FALSE)/12),0)</f>
        <v>10558.046666666665</v>
      </c>
      <c r="BZ65" s="322">
        <f t="shared" si="20"/>
        <v>-454.22666666666663</v>
      </c>
      <c r="CA65" s="322">
        <f t="shared" si="21"/>
        <v>-1323.6333333333334</v>
      </c>
      <c r="CB65" s="323"/>
      <c r="CC65" s="323"/>
      <c r="CD65" s="322">
        <f t="shared" si="58"/>
        <v>132540.43642741017</v>
      </c>
      <c r="CE65" s="357">
        <f t="shared" si="22"/>
        <v>118426.91642741015</v>
      </c>
      <c r="CF65" s="357">
        <f>(VLOOKUP($A65,EY!$A:$BS,26,FALSE)-(VLOOKUP($A65,EY!A:CR,24,FALSE)*80%))+VLOOKUP($A65,EY!$A:$BS,42,FALSE)+(VLOOKUP($A65,EY!A:CC,74,FALSE)-VLOOKUP($A65,EY!A:CC,72,FALSE))</f>
        <v>30259.703157894735</v>
      </c>
      <c r="CG65" s="358"/>
      <c r="CH65" s="358">
        <f>_xlfn.IFNA((VLOOKUP($A65,HN!$A:$K,8,FALSE)/12),0)</f>
        <v>0</v>
      </c>
      <c r="CI65" s="358">
        <f>_xlfn.IFNA((VLOOKUP($A65,HN!$A:$BS,14,FALSE)/12),0)</f>
        <v>5333.333333333333</v>
      </c>
      <c r="CJ65" s="358">
        <f>(_xlfn.IFNA(VLOOKUP($A65,'Post 16'!$A:$AV,32,FALSE),0)/8)</f>
        <v>0</v>
      </c>
      <c r="CK65" s="358">
        <f>(VLOOKUP($A65,EY!A:CR,24,FALSE)*80%)+VLOOKUP($A65,EY!A:CC,72,FALSE)</f>
        <v>0</v>
      </c>
      <c r="CL65" s="358">
        <f>_xlfn.IFNA((VLOOKUP($A65,HN!$A:$K,9,FALSE)/12),0)+_xlfn.IFNA((VLOOKUP($A65,HN!$A:$K,10,FALSE)/12),0)</f>
        <v>0</v>
      </c>
      <c r="CM65" s="358">
        <f>_xlfn.IFNA((VLOOKUP($A65,HN!$A:$BS,15,FALSE)/12),0)</f>
        <v>10558.046666666665</v>
      </c>
      <c r="CN65" s="357">
        <f t="shared" si="23"/>
        <v>-454.22666666666663</v>
      </c>
      <c r="CO65" s="357">
        <f t="shared" si="24"/>
        <v>-1323.6333333333334</v>
      </c>
      <c r="CP65" s="358">
        <f>_xlfn.IFNA(VLOOKUP(A65,'LA Deductions'!A:W,23,FALSE),0)</f>
        <v>-5139.75</v>
      </c>
      <c r="CQ65" s="358">
        <f>_xlfn.IFNA(VLOOKUP($A65,'Cash Advances'!$A:$S,13,FALSE),0)</f>
        <v>0</v>
      </c>
      <c r="CR65" s="358">
        <f>_xlfn.IFNA(VLOOKUP(A65,'LA Deductions'!A:AZ,25,FALSE),0)/9*3</f>
        <v>0</v>
      </c>
      <c r="CS65" s="357">
        <f t="shared" si="25"/>
        <v>157660.38958530489</v>
      </c>
      <c r="CT65" s="337">
        <f t="shared" si="26"/>
        <v>118426.91642741015</v>
      </c>
      <c r="CU65" s="337"/>
      <c r="CV65" s="338">
        <f>_xlfn.IFNA(VLOOKUP(A65,'LA Deductions'!$A$6:$AN$207,34,FALSE),0)</f>
        <v>0</v>
      </c>
      <c r="CW65" s="338">
        <f>_xlfn.IFNA((VLOOKUP($A65,HN!$A:$K,8,FALSE)/12),0)</f>
        <v>0</v>
      </c>
      <c r="CX65" s="338">
        <f>_xlfn.IFNA((VLOOKUP($A65,HN!$A:$BS,14,FALSE)/12),0)</f>
        <v>5333.333333333333</v>
      </c>
      <c r="CY65" s="338">
        <f>_xlfn.IFNA(VLOOKUP($A65,'Post 16'!$A:$AV,32,FALSE),0)/8</f>
        <v>0</v>
      </c>
      <c r="CZ65" s="338"/>
      <c r="DA65" s="338">
        <f>_xlfn.IFNA((VLOOKUP($A65,HN!$A:$K,9,FALSE)/12),0)+_xlfn.IFNA((VLOOKUP($A65,HN!$A:$K,10,FALSE)/12),0)</f>
        <v>0</v>
      </c>
      <c r="DB65" s="338">
        <f>_xlfn.IFNA((VLOOKUP($A65,HN!$A:$BS,15,FALSE)/12),0)</f>
        <v>10558.046666666665</v>
      </c>
      <c r="DC65" s="337">
        <f t="shared" si="27"/>
        <v>-454.22666666666663</v>
      </c>
      <c r="DD65" s="337">
        <f t="shared" si="28"/>
        <v>-1323.6333333333334</v>
      </c>
      <c r="DE65" s="338"/>
      <c r="DF65" s="338">
        <f>_xlfn.IFNA(VLOOKUP($A65,'Cash Advances'!$A:$S,14,FALSE),0)</f>
        <v>0</v>
      </c>
      <c r="DG65" s="338">
        <f>(_xlfn.IFNA(VLOOKUP(A65,'LA Deductions'!A:AZ,25,FALSE),0)/9)+(_xlfn.IFNA(VLOOKUP(A65,'LA Deductions'!A:AZ,26,FALSE),0))</f>
        <v>0</v>
      </c>
      <c r="DH65" s="337">
        <f t="shared" si="29"/>
        <v>132540.43642741017</v>
      </c>
      <c r="DI65" s="330">
        <f t="shared" si="30"/>
        <v>118426.91642741015</v>
      </c>
      <c r="DJ65" s="330"/>
      <c r="DK65" s="331"/>
      <c r="DL65" s="331">
        <f>_xlfn.IFNA((VLOOKUP($A65,HN!$A:$K,8,FALSE)/12),0)+_xlfn.IFNA((VLOOKUP($A65,HN!$A:$AF,32,FALSE)*8/12),0)</f>
        <v>0</v>
      </c>
      <c r="DM65" s="331">
        <f>_xlfn.IFNA((VLOOKUP($A65,HN!$A:$BS,14,FALSE)/12),0)+_xlfn.IFNA(VLOOKUP($A65,HN!$A:$BS,31,FALSE),0)</f>
        <v>5333.333333333333</v>
      </c>
      <c r="DN65" s="331">
        <f>_xlfn.IFNA(VLOOKUP($A65,'Post 16'!$A:$AV,32,FALSE),0)/8</f>
        <v>0</v>
      </c>
      <c r="DO65" s="331"/>
      <c r="DP65" s="331">
        <f>_xlfn.IFNA((VLOOKUP($A65,HN!$A:$K,9,FALSE)/12),0)+_xlfn.IFNA((VLOOKUP($A65,HN!$A:$K,10,FALSE)/12),0)+_xlfn.IFNA((VLOOKUP($A65,HN!$A:$BZ,33,FALSE)*8/12),0)</f>
        <v>0</v>
      </c>
      <c r="DQ65" s="331">
        <f>_xlfn.IFNA((VLOOKUP($A65,HN!$A:$BS,15,FALSE)/12),0)</f>
        <v>10558.046666666665</v>
      </c>
      <c r="DR65" s="330">
        <f t="shared" si="31"/>
        <v>-454.22666666666663</v>
      </c>
      <c r="DS65" s="330">
        <f t="shared" si="32"/>
        <v>-1323.6333333333334</v>
      </c>
      <c r="DT65" s="331"/>
      <c r="DU65" s="331"/>
      <c r="DV65" s="331">
        <f>(_xlfn.IFNA(VLOOKUP(A65,'LA Deductions'!A:AZ,25,FALSE),0)/9)+_xlfn.IFNA(VLOOKUP(A65,'LA Deductions'!A:AZ,27,FALSE),0)</f>
        <v>0</v>
      </c>
      <c r="DW65" s="330">
        <f t="shared" si="33"/>
        <v>132540.43642741017</v>
      </c>
      <c r="DX65" s="344">
        <f t="shared" si="34"/>
        <v>118426.91642741015</v>
      </c>
      <c r="DY65" s="344"/>
      <c r="DZ65" s="345"/>
      <c r="EA65" s="345">
        <f>_xlfn.IFNA((VLOOKUP($A65,HN!$A:$K,8,FALSE)/12),0)+_xlfn.IFNA((VLOOKUP($A65,HN!$A:$AF,32,FALSE)*1/12),0)</f>
        <v>0</v>
      </c>
      <c r="EB65" s="345">
        <f>_xlfn.IFNA((VLOOKUP($A65,HN!$A:$BS,14,FALSE)/12),0)</f>
        <v>5333.333333333333</v>
      </c>
      <c r="EC65" s="345">
        <f>_xlfn.IFNA(VLOOKUP($A65,'Post 16'!$A:$AV,32,FALSE),0)/8</f>
        <v>0</v>
      </c>
      <c r="ED65" s="345"/>
      <c r="EE65" s="345">
        <f>_xlfn.IFNA((VLOOKUP($A65,HN!$A:$K,9,FALSE)/12),0)+_xlfn.IFNA((VLOOKUP($A65,HN!$A:$K,10,FALSE)/12),0)+_xlfn.IFNA((VLOOKUP($A65,HN!$A:$BZ,33,FALSE)/12),0)</f>
        <v>0</v>
      </c>
      <c r="EF65" s="345">
        <f>_xlfn.IFNA((VLOOKUP($A65,HN!$A:$BS,15,FALSE)/12),0)</f>
        <v>10558.046666666665</v>
      </c>
      <c r="EG65" s="344">
        <f t="shared" si="35"/>
        <v>-454.22666666666663</v>
      </c>
      <c r="EH65" s="344">
        <f t="shared" si="36"/>
        <v>-1323.6333333333334</v>
      </c>
      <c r="EI65" s="345"/>
      <c r="EJ65" s="345">
        <f>_xlfn.IFNA(VLOOKUP(A65,'Cash Advances'!A:P,16,FALSE),0)</f>
        <v>0</v>
      </c>
      <c r="EK65" s="345">
        <f>_xlfn.IFNA(VLOOKUP(A65,'LA Deductions'!A:AZ,25,FALSE),0)/9</f>
        <v>0</v>
      </c>
      <c r="EL65" s="344">
        <f t="shared" si="37"/>
        <v>132540.43642741017</v>
      </c>
      <c r="EM65" s="308">
        <f t="shared" si="38"/>
        <v>118426.91642741015</v>
      </c>
      <c r="EN65" s="308">
        <f>((VLOOKUP($A65,EY!$A:$BS,35,FALSE)-(VLOOKUP($A65,EY!$A:$BS,33,FALSE)*80%))+VLOOKUP($A65,EY!$A:$BS,43,FALSE))+(VLOOKUP(A65,EY!A:DF,110,FALSE)-VLOOKUP(A65,EY!A:DD,108,FALSE))+(VLOOKUP(A65,EY!A:CE,83,FALSE)-VLOOKUP(A65,EY!A:CC,81,FALSE))</f>
        <v>13240.821689750688</v>
      </c>
      <c r="EO65" s="309"/>
      <c r="EP65" s="309">
        <f>_xlfn.IFNA((VLOOKUP($A65,HN!$A:$K,8,FALSE)/12),0)+_xlfn.IFNA((VLOOKUP($A65,HN!$A:$AF,32,FALSE)*1/12),0)</f>
        <v>0</v>
      </c>
      <c r="EQ65" s="309">
        <f>_xlfn.IFNA((VLOOKUP($A65,HN!$A:$BS,14,FALSE)/12),0)+_xlfn.IFNA((VLOOKUP($A65,HN!$A:$BS,34,FALSE)/3),0)</f>
        <v>5333.333333333333</v>
      </c>
      <c r="ER65" s="309">
        <f>_xlfn.IFNA(VLOOKUP($A65,'Post 16'!$A:$AV,32,FALSE),0)/8</f>
        <v>0</v>
      </c>
      <c r="ES65" s="309">
        <f>((VLOOKUP($A65,EY!A:EV,33,FALSE)*80%))+VLOOKUP(A65,EY!A:DD,108,FALSE)+VLOOKUP(A65,EY!A:CC,81,FALSE)</f>
        <v>0</v>
      </c>
      <c r="ET65" s="309">
        <f>_xlfn.IFNA((VLOOKUP($A65,HN!$A:$K,9,FALSE)/12),0)+_xlfn.IFNA((VLOOKUP($A65,HN!$A:$K,10,FALSE)/12),0)+_xlfn.IFNA((VLOOKUP($A65,HN!$A:$BZ,33,FALSE)/12),0)</f>
        <v>0</v>
      </c>
      <c r="EU65" s="309">
        <f>_xlfn.IFNA((VLOOKUP($A65,HN!$A:$BS,15,FALSE)/12),0)</f>
        <v>10558.046666666665</v>
      </c>
      <c r="EV65" s="308">
        <f t="shared" si="39"/>
        <v>-454.22666666666663</v>
      </c>
      <c r="EW65" s="308">
        <f t="shared" si="40"/>
        <v>-1323.6333333333334</v>
      </c>
      <c r="EX65" s="309"/>
      <c r="EY65" s="309">
        <f>_xlfn.IFNA(VLOOKUP($A65,'Cash Advances'!$A:$S,17,FALSE),0)</f>
        <v>0</v>
      </c>
      <c r="EZ65" s="309">
        <f>_xlfn.IFNA(VLOOKUP(A65,'LA Deductions'!A:AZ,25,FALSE),0)/9</f>
        <v>0</v>
      </c>
      <c r="FA65" s="308">
        <f t="shared" si="41"/>
        <v>145781.25811716085</v>
      </c>
      <c r="FB65" s="315">
        <f t="shared" si="42"/>
        <v>118426.91642741015</v>
      </c>
      <c r="FC65" s="315"/>
      <c r="FD65" s="316"/>
      <c r="FE65" s="316">
        <f>_xlfn.IFNA((VLOOKUP($A65,HN!$A:$K,8,FALSE)/12),0)+_xlfn.IFNA((VLOOKUP($A65,HN!$A:$AF,32,FALSE)*1/12),0)</f>
        <v>0</v>
      </c>
      <c r="FF65" s="316">
        <f>_xlfn.IFNA((VLOOKUP($A65,HN!$A:$BS,14,FALSE)/12),0)+_xlfn.IFNA((VLOOKUP($A65,HN!$A:$BS,34,FALSE)/3),0)</f>
        <v>5333.333333333333</v>
      </c>
      <c r="FG65" s="316">
        <f>_xlfn.IFNA(VLOOKUP($A65,'Post 16'!$A:$AV,32,FALSE),0)/8</f>
        <v>0</v>
      </c>
      <c r="FH65" s="316"/>
      <c r="FI65" s="316">
        <f>_xlfn.IFNA((VLOOKUP($A65,HN!$A:$K,9,FALSE)/12),0)+_xlfn.IFNA((VLOOKUP($A65,HN!$A:$K,10,FALSE)/12),0)+_xlfn.IFNA((VLOOKUP($A65,HN!$A:$BZ,33,FALSE)/12),0)+_xlfn.IFNA((VLOOKUP($A65,HN!$A:$BZ,35,FALSE)/2),0)</f>
        <v>0</v>
      </c>
      <c r="FJ65" s="316">
        <f>_xlfn.IFNA((VLOOKUP($A65,HN!$A:$BS,15,FALSE)/12),0)+_xlfn.IFNA((VLOOKUP($A65,HN!$A:$CZ,36,FALSE)/2),0)</f>
        <v>15772.381666666664</v>
      </c>
      <c r="FK65" s="315">
        <f t="shared" si="43"/>
        <v>-454.22666666666663</v>
      </c>
      <c r="FL65" s="315">
        <f t="shared" si="44"/>
        <v>-1323.6333333333334</v>
      </c>
      <c r="FM65" s="316"/>
      <c r="FN65" s="316">
        <f>_xlfn.IFNA(VLOOKUP($A65,'Cash Advances'!$A:$S,18,FALSE),0)</f>
        <v>0</v>
      </c>
      <c r="FO65" s="316">
        <f>_xlfn.IFNA(VLOOKUP(A65,'LA Deductions'!A:AZ,25,FALSE),0)/9</f>
        <v>0</v>
      </c>
      <c r="FP65" s="315">
        <f t="shared" si="45"/>
        <v>137754.77142741016</v>
      </c>
      <c r="FQ65" s="322">
        <f t="shared" si="46"/>
        <v>118426.91642741015</v>
      </c>
      <c r="FR65" s="322"/>
      <c r="FS65" s="323"/>
      <c r="FT65" s="323">
        <f>_xlfn.IFNA((VLOOKUP($A65,HN!$A:$K,8,FALSE)/12),0)+_xlfn.IFNA((VLOOKUP($A65,HN!$A:$AF,32,FALSE)*1/12),0)</f>
        <v>0</v>
      </c>
      <c r="FU65" s="323">
        <f>_xlfn.IFNA((VLOOKUP($A65,HN!$A:$BS,14,FALSE)/12),0)+_xlfn.IFNA((VLOOKUP($A65,HN!$A:$BS,34,FALSE)/3),0)</f>
        <v>5333.333333333333</v>
      </c>
      <c r="FV65" s="323">
        <f>_xlfn.IFNA(VLOOKUP($A65,'Post 16'!$A:$AV,32,FALSE),0)/8</f>
        <v>0</v>
      </c>
      <c r="FW65" s="323"/>
      <c r="FX65" s="323">
        <f>_xlfn.IFNA((VLOOKUP($A65,HN!$A:$K,9,FALSE)/12),0)+_xlfn.IFNA((VLOOKUP($A65,HN!$A:$K,10,FALSE)/12),0)+_xlfn.IFNA((VLOOKUP($A65,HN!$A:$BZ,33,FALSE)/12),0)+_xlfn.IFNA((VLOOKUP($A65,HN!$A:$BZ,35,FALSE)/2),0)</f>
        <v>0</v>
      </c>
      <c r="FY65" s="323">
        <f>_xlfn.IFNA((VLOOKUP($A65,HN!$A:$BS,15,FALSE)/12),0)+_xlfn.IFNA((VLOOKUP($A65,HN!$A:$CZ,36,FALSE)/2),0)</f>
        <v>15772.381666666664</v>
      </c>
      <c r="FZ65" s="322">
        <f t="shared" si="47"/>
        <v>-454.22666666666663</v>
      </c>
      <c r="GA65" s="322">
        <f t="shared" si="48"/>
        <v>-1323.6333333333334</v>
      </c>
      <c r="GB65" s="323"/>
      <c r="GC65" s="323"/>
      <c r="GD65" s="323">
        <f>_xlfn.IFNA(VLOOKUP(A65,'LA Deductions'!A:AZ,25,FALSE),0)/9</f>
        <v>0</v>
      </c>
      <c r="GE65" s="322">
        <f t="shared" si="49"/>
        <v>137754.77142741016</v>
      </c>
      <c r="GG65" s="146">
        <f t="shared" si="63"/>
        <v>1553376.0419765671</v>
      </c>
      <c r="GH65" s="146">
        <f t="shared" si="63"/>
        <v>0</v>
      </c>
      <c r="GI65" s="146">
        <f t="shared" si="63"/>
        <v>137125.22999999995</v>
      </c>
      <c r="GJ65" s="146">
        <f t="shared" si="63"/>
        <v>-5450.7199999999984</v>
      </c>
      <c r="GK65" s="146">
        <f t="shared" si="63"/>
        <v>-15883.6</v>
      </c>
      <c r="GL65" s="146">
        <f t="shared" si="63"/>
        <v>-5139.75</v>
      </c>
      <c r="GN65" s="146">
        <f t="shared" si="64"/>
        <v>1553376.0419765671</v>
      </c>
      <c r="GO65" s="146">
        <f t="shared" si="64"/>
        <v>0</v>
      </c>
      <c r="GP65" s="146">
        <f t="shared" si="64"/>
        <v>137125.22999999995</v>
      </c>
      <c r="GQ65" s="146">
        <f t="shared" si="64"/>
        <v>-5450.7199999999984</v>
      </c>
      <c r="GR65" s="146">
        <f t="shared" si="64"/>
        <v>-15883.6</v>
      </c>
      <c r="GS65" s="146">
        <f t="shared" si="64"/>
        <v>-5139.75</v>
      </c>
      <c r="GU65" s="146"/>
      <c r="GV65" s="57"/>
    </row>
    <row r="66" spans="1:204">
      <c r="A66" s="185">
        <v>1010</v>
      </c>
      <c r="B66" s="185">
        <v>103125</v>
      </c>
      <c r="C66" s="185" t="s">
        <v>152</v>
      </c>
      <c r="D66" s="2" t="s">
        <v>153</v>
      </c>
      <c r="E66" s="191" t="s">
        <v>29</v>
      </c>
      <c r="F66" s="191" t="s">
        <v>912</v>
      </c>
      <c r="H66" s="279">
        <f>_xlfn.IFNA(VLOOKUP($A66,ISB!$A$4:$BY$454,67,FALSE),0)</f>
        <v>0</v>
      </c>
      <c r="I66" s="279">
        <f>_xlfn.IFNA(VLOOKUP($A66,ISB!$A$4:$BY$454,72,FALSE),0)</f>
        <v>0</v>
      </c>
      <c r="J66" s="279">
        <f>-_xlfn.IFNA(VLOOKUP($A66,ISB!$A$4:$BY$454,76,FALSE),0)</f>
        <v>0</v>
      </c>
      <c r="K66" s="279">
        <f>_xlfn.IFNA(VLOOKUP($A66,ISB!$A$4:$BY$454,77,FALSE),0)</f>
        <v>0</v>
      </c>
      <c r="M66" s="301">
        <f t="shared" si="7"/>
        <v>0</v>
      </c>
      <c r="N66" s="301">
        <f>VLOOKUP($A66,EY!$A:$H,8,FALSE)+(VLOOKUP($A66,EY!$A:$BS,17,FALSE)-S66)+VLOOKUP($A66,EY!$A:$BS,41,FALSE)</f>
        <v>525831.08466141496</v>
      </c>
      <c r="O66" s="302"/>
      <c r="P66" s="302">
        <f>_xlfn.IFNA((VLOOKUP($A66,HN!$A:$K,8,FALSE)/12),0)</f>
        <v>0</v>
      </c>
      <c r="Q66" s="302">
        <f>_xlfn.IFNA((VLOOKUP($A66,HN!$A:$BS,14,FALSE)/12),0)</f>
        <v>0</v>
      </c>
      <c r="R66" s="302">
        <f>_xlfn.IFNA(VLOOKUP($A66,'Post 16'!$A:$V,21,FALSE),0)/4</f>
        <v>0</v>
      </c>
      <c r="S66" s="302">
        <f>VLOOKUP($A66,EY!A:Q,15,FALSE)*80%</f>
        <v>2823.8736842105263</v>
      </c>
      <c r="T66" s="302">
        <f>_xlfn.IFNA((VLOOKUP($A66,HN!$A:$K,9,FALSE)/12),0)+_xlfn.IFNA((VLOOKUP($A66,HN!$A:$K,10,FALSE)/12),0)</f>
        <v>0</v>
      </c>
      <c r="U66" s="302">
        <f>_xlfn.IFNA((VLOOKUP($A66,HN!$A:$BS,15,FALSE)/12),0)</f>
        <v>0</v>
      </c>
      <c r="V66" s="301">
        <f t="shared" si="8"/>
        <v>0</v>
      </c>
      <c r="W66" s="301">
        <f t="shared" si="9"/>
        <v>0</v>
      </c>
      <c r="X66" s="302"/>
      <c r="Y66" s="302">
        <f>_xlfn.IFNA(VLOOKUP($A66,'Cash Advances'!$A:$S,8,FALSE),0)</f>
        <v>0</v>
      </c>
      <c r="Z66" s="301">
        <f t="shared" si="54"/>
        <v>528654.95834562543</v>
      </c>
      <c r="AA66" s="315">
        <f t="shared" si="10"/>
        <v>0</v>
      </c>
      <c r="AB66" s="315"/>
      <c r="AC66" s="316"/>
      <c r="AD66" s="316">
        <f>_xlfn.IFNA((VLOOKUP($A66,HN!$A:$K,8,FALSE)/12),0)</f>
        <v>0</v>
      </c>
      <c r="AE66" s="316">
        <f>_xlfn.IFNA((VLOOKUP($A66,HN!$A:$BS,14,FALSE)/12),0)</f>
        <v>0</v>
      </c>
      <c r="AF66" s="316">
        <f>_xlfn.IFNA(VLOOKUP($A66,'Post 16'!$A:$V,21,FALSE),0)/4</f>
        <v>0</v>
      </c>
      <c r="AG66" s="316"/>
      <c r="AH66" s="316">
        <f>_xlfn.IFNA((VLOOKUP($A66,HN!$A:$K,9,FALSE)/12),0)+_xlfn.IFNA((VLOOKUP($A66,HN!$A:$K,10,FALSE)/12),0)</f>
        <v>0</v>
      </c>
      <c r="AI66" s="316">
        <f>_xlfn.IFNA((VLOOKUP($A66,HN!$A:$BS,15,FALSE)/12),0)</f>
        <v>0</v>
      </c>
      <c r="AJ66" s="315">
        <f t="shared" si="11"/>
        <v>0</v>
      </c>
      <c r="AK66" s="315">
        <f t="shared" si="12"/>
        <v>0</v>
      </c>
      <c r="AL66" s="316"/>
      <c r="AM66" s="316">
        <f>_xlfn.IFNA(VLOOKUP($A66,'Cash Advances'!$A:$S,9,FALSE),0)</f>
        <v>0</v>
      </c>
      <c r="AN66" s="315">
        <f t="shared" si="55"/>
        <v>0</v>
      </c>
      <c r="AO66" s="308">
        <f t="shared" si="13"/>
        <v>0</v>
      </c>
      <c r="AP66" s="308"/>
      <c r="AQ66" s="309"/>
      <c r="AR66" s="309">
        <f>_xlfn.IFNA((VLOOKUP($A66,HN!$A:$K,8,FALSE)/12),0)</f>
        <v>0</v>
      </c>
      <c r="AS66" s="309">
        <f>_xlfn.IFNA((VLOOKUP($A66,HN!$A:$BS,14,FALSE)/12),0)</f>
        <v>0</v>
      </c>
      <c r="AT66" s="309">
        <f>_xlfn.IFNA(VLOOKUP($A66,'Post 16'!$A:$V,21,FALSE),0)/4</f>
        <v>0</v>
      </c>
      <c r="AU66" s="309"/>
      <c r="AV66" s="309">
        <f>_xlfn.IFNA((VLOOKUP($A66,HN!$A:$K,9,FALSE)/12),0)+_xlfn.IFNA((VLOOKUP($A66,HN!$A:$K,10,FALSE)/12),0)+_xlfn.IFNA(VLOOKUP(A66,HN!A:V,19,FALSE),0)+_xlfn.IFNA(VLOOKUP(A66,HN!A:V,20,FALSE),0)+_xlfn.IFNA(VLOOKUP(A66,HN!A:V,21,FALSE),0)</f>
        <v>0</v>
      </c>
      <c r="AW66" s="309">
        <f>_xlfn.IFNA((VLOOKUP($A66,HN!$A:$BS,15,FALSE)/12),0)</f>
        <v>0</v>
      </c>
      <c r="AX66" s="308">
        <f t="shared" si="14"/>
        <v>0</v>
      </c>
      <c r="AY66" s="308">
        <f t="shared" si="15"/>
        <v>0</v>
      </c>
      <c r="AZ66" s="309"/>
      <c r="BA66" s="309">
        <f>_xlfn.IFNA(VLOOKUP($A66,'Cash Advances'!$A:$S,10,FALSE),0)</f>
        <v>0</v>
      </c>
      <c r="BB66" s="308">
        <f t="shared" si="56"/>
        <v>0</v>
      </c>
      <c r="BC66" s="330">
        <f t="shared" si="16"/>
        <v>0</v>
      </c>
      <c r="BD66" s="330"/>
      <c r="BE66" s="331"/>
      <c r="BF66" s="331">
        <f>_xlfn.IFNA((VLOOKUP($A66,HN!$A:$K,8,FALSE)/12),0)</f>
        <v>0</v>
      </c>
      <c r="BG66" s="331">
        <f>_xlfn.IFNA((VLOOKUP($A66,HN!$A:$BS,14,FALSE)/12),0)</f>
        <v>0</v>
      </c>
      <c r="BH66" s="331">
        <f>_xlfn.IFNA(VLOOKUP($A66,'Post 16'!$A:$V,21,FALSE),0)/4</f>
        <v>0</v>
      </c>
      <c r="BI66" s="331"/>
      <c r="BJ66" s="331">
        <f>_xlfn.IFNA((VLOOKUP($A66,HN!$A:$K,9,FALSE)/12),0)+_xlfn.IFNA((VLOOKUP($A66,HN!$A:$K,10,FALSE)/12),0)</f>
        <v>0</v>
      </c>
      <c r="BK66" s="331">
        <f>_xlfn.IFNA((VLOOKUP($A66,HN!$A:$BS,15,FALSE)/12),0)</f>
        <v>0</v>
      </c>
      <c r="BL66" s="330">
        <f t="shared" si="17"/>
        <v>0</v>
      </c>
      <c r="BM66" s="330">
        <f t="shared" si="18"/>
        <v>0</v>
      </c>
      <c r="BN66" s="331"/>
      <c r="BO66" s="331">
        <f>_xlfn.IFNA(VLOOKUP(A66,'Cash Advances'!A:K,11,FALSE),0)</f>
        <v>0</v>
      </c>
      <c r="BP66" s="330">
        <f t="shared" si="57"/>
        <v>0</v>
      </c>
      <c r="BQ66" s="322">
        <f t="shared" si="19"/>
        <v>0</v>
      </c>
      <c r="BR66" s="322"/>
      <c r="BS66" s="323"/>
      <c r="BT66" s="323">
        <f>_xlfn.IFNA((VLOOKUP($A66,HN!$A:$K,8,FALSE)/12),0)</f>
        <v>0</v>
      </c>
      <c r="BU66" s="323">
        <f>_xlfn.IFNA((VLOOKUP($A66,HN!$A:$BS,14,FALSE)/12),0)</f>
        <v>0</v>
      </c>
      <c r="BV66" s="323">
        <f>(_xlfn.IFNA(VLOOKUP($A66,'Post 16'!$A:$AV,32,FALSE),0)/8)+_xlfn.IFNA(VLOOKUP($A66,'Post 16'!$A:$AR,40,FALSE),0)</f>
        <v>0</v>
      </c>
      <c r="BW66" s="323"/>
      <c r="BX66" s="323">
        <f>_xlfn.IFNA((VLOOKUP($A66,HN!$A:$K,9,FALSE)/12),0)+_xlfn.IFNA((VLOOKUP($A66,HN!$A:$K,10,FALSE)/12),0)</f>
        <v>0</v>
      </c>
      <c r="BY66" s="323">
        <f>_xlfn.IFNA((VLOOKUP($A66,HN!$A:$BS,15,FALSE)/12),0)</f>
        <v>0</v>
      </c>
      <c r="BZ66" s="322">
        <f t="shared" si="20"/>
        <v>0</v>
      </c>
      <c r="CA66" s="322">
        <f t="shared" si="21"/>
        <v>0</v>
      </c>
      <c r="CB66" s="323"/>
      <c r="CC66" s="323"/>
      <c r="CD66" s="322">
        <f t="shared" si="58"/>
        <v>0</v>
      </c>
      <c r="CE66" s="357">
        <f t="shared" si="22"/>
        <v>0</v>
      </c>
      <c r="CF66" s="357">
        <f>(VLOOKUP($A66,EY!$A:$BS,26,FALSE)-(VLOOKUP($A66,EY!A:CR,24,FALSE)*80%))+VLOOKUP($A66,EY!$A:$BS,42,FALSE)+(VLOOKUP($A66,EY!A:CC,74,FALSE)-VLOOKUP($A66,EY!A:CC,72,FALSE))</f>
        <v>232223.1430640145</v>
      </c>
      <c r="CG66" s="358"/>
      <c r="CH66" s="358">
        <f>_xlfn.IFNA((VLOOKUP($A66,HN!$A:$K,8,FALSE)/12),0)</f>
        <v>0</v>
      </c>
      <c r="CI66" s="358">
        <f>_xlfn.IFNA((VLOOKUP($A66,HN!$A:$BS,14,FALSE)/12),0)</f>
        <v>0</v>
      </c>
      <c r="CJ66" s="358">
        <f>(_xlfn.IFNA(VLOOKUP($A66,'Post 16'!$A:$AV,32,FALSE),0)/8)</f>
        <v>0</v>
      </c>
      <c r="CK66" s="358">
        <f>(VLOOKUP($A66,EY!A:CR,24,FALSE)*80%)+VLOOKUP($A66,EY!A:CC,72,FALSE)</f>
        <v>2502.9268421052629</v>
      </c>
      <c r="CL66" s="358">
        <f>_xlfn.IFNA((VLOOKUP($A66,HN!$A:$K,9,FALSE)/12),0)+_xlfn.IFNA((VLOOKUP($A66,HN!$A:$K,10,FALSE)/12),0)</f>
        <v>0</v>
      </c>
      <c r="CM66" s="358">
        <f>_xlfn.IFNA((VLOOKUP($A66,HN!$A:$BS,15,FALSE)/12),0)</f>
        <v>0</v>
      </c>
      <c r="CN66" s="357">
        <f t="shared" si="23"/>
        <v>0</v>
      </c>
      <c r="CO66" s="357">
        <f t="shared" si="24"/>
        <v>0</v>
      </c>
      <c r="CP66" s="358">
        <f>_xlfn.IFNA(VLOOKUP(A66,'LA Deductions'!A:W,23,FALSE),0)</f>
        <v>-3291.75</v>
      </c>
      <c r="CQ66" s="358">
        <f>_xlfn.IFNA(VLOOKUP($A66,'Cash Advances'!$A:$S,13,FALSE),0)</f>
        <v>0</v>
      </c>
      <c r="CR66" s="358">
        <f>_xlfn.IFNA(VLOOKUP(A66,'LA Deductions'!A:AZ,25,FALSE),0)/9*3</f>
        <v>0</v>
      </c>
      <c r="CS66" s="357">
        <f t="shared" si="25"/>
        <v>231434.31990611975</v>
      </c>
      <c r="CT66" s="337">
        <f t="shared" si="26"/>
        <v>0</v>
      </c>
      <c r="CU66" s="337"/>
      <c r="CV66" s="338">
        <f>_xlfn.IFNA(VLOOKUP(A66,'LA Deductions'!$A$6:$AN$207,34,FALSE),0)</f>
        <v>0</v>
      </c>
      <c r="CW66" s="338">
        <f>_xlfn.IFNA((VLOOKUP($A66,HN!$A:$K,8,FALSE)/12),0)</f>
        <v>0</v>
      </c>
      <c r="CX66" s="338">
        <f>_xlfn.IFNA((VLOOKUP($A66,HN!$A:$BS,14,FALSE)/12),0)</f>
        <v>0</v>
      </c>
      <c r="CY66" s="338">
        <f>_xlfn.IFNA(VLOOKUP($A66,'Post 16'!$A:$AV,32,FALSE),0)/8</f>
        <v>0</v>
      </c>
      <c r="CZ66" s="338"/>
      <c r="DA66" s="338">
        <f>_xlfn.IFNA((VLOOKUP($A66,HN!$A:$K,9,FALSE)/12),0)+_xlfn.IFNA((VLOOKUP($A66,HN!$A:$K,10,FALSE)/12),0)</f>
        <v>0</v>
      </c>
      <c r="DB66" s="338">
        <f>_xlfn.IFNA((VLOOKUP($A66,HN!$A:$BS,15,FALSE)/12),0)</f>
        <v>0</v>
      </c>
      <c r="DC66" s="337">
        <f t="shared" si="27"/>
        <v>0</v>
      </c>
      <c r="DD66" s="337">
        <f t="shared" si="28"/>
        <v>0</v>
      </c>
      <c r="DE66" s="338"/>
      <c r="DF66" s="338">
        <f>_xlfn.IFNA(VLOOKUP($A66,'Cash Advances'!$A:$S,14,FALSE),0)</f>
        <v>0</v>
      </c>
      <c r="DG66" s="338">
        <f>(_xlfn.IFNA(VLOOKUP(A66,'LA Deductions'!A:AZ,25,FALSE),0)/9)+(_xlfn.IFNA(VLOOKUP(A66,'LA Deductions'!A:AZ,26,FALSE),0))</f>
        <v>0</v>
      </c>
      <c r="DH66" s="337">
        <f t="shared" si="29"/>
        <v>0</v>
      </c>
      <c r="DI66" s="330">
        <f t="shared" si="30"/>
        <v>0</v>
      </c>
      <c r="DJ66" s="330"/>
      <c r="DK66" s="331"/>
      <c r="DL66" s="331">
        <f>_xlfn.IFNA((VLOOKUP($A66,HN!$A:$K,8,FALSE)/12),0)+_xlfn.IFNA((VLOOKUP($A66,HN!$A:$AF,32,FALSE)*8/12),0)</f>
        <v>0</v>
      </c>
      <c r="DM66" s="331">
        <f>_xlfn.IFNA((VLOOKUP($A66,HN!$A:$BS,14,FALSE)/12),0)+_xlfn.IFNA(VLOOKUP($A66,HN!$A:$BS,31,FALSE),0)</f>
        <v>0</v>
      </c>
      <c r="DN66" s="331">
        <f>_xlfn.IFNA(VLOOKUP($A66,'Post 16'!$A:$AV,32,FALSE),0)/8</f>
        <v>0</v>
      </c>
      <c r="DO66" s="331"/>
      <c r="DP66" s="331">
        <f>_xlfn.IFNA((VLOOKUP($A66,HN!$A:$K,9,FALSE)/12),0)+_xlfn.IFNA((VLOOKUP($A66,HN!$A:$K,10,FALSE)/12),0)+_xlfn.IFNA((VLOOKUP($A66,HN!$A:$BZ,33,FALSE)*8/12),0)</f>
        <v>0</v>
      </c>
      <c r="DQ66" s="331">
        <f>_xlfn.IFNA((VLOOKUP($A66,HN!$A:$BS,15,FALSE)/12),0)</f>
        <v>0</v>
      </c>
      <c r="DR66" s="330">
        <f t="shared" si="31"/>
        <v>0</v>
      </c>
      <c r="DS66" s="330">
        <f t="shared" si="32"/>
        <v>0</v>
      </c>
      <c r="DT66" s="331"/>
      <c r="DU66" s="331"/>
      <c r="DV66" s="331">
        <f>(_xlfn.IFNA(VLOOKUP(A66,'LA Deductions'!A:AZ,25,FALSE),0)/9)+_xlfn.IFNA(VLOOKUP(A66,'LA Deductions'!A:AZ,27,FALSE),0)</f>
        <v>0</v>
      </c>
      <c r="DW66" s="330">
        <f t="shared" si="33"/>
        <v>0</v>
      </c>
      <c r="DX66" s="344">
        <f t="shared" si="34"/>
        <v>0</v>
      </c>
      <c r="DY66" s="344"/>
      <c r="DZ66" s="345"/>
      <c r="EA66" s="345">
        <f>_xlfn.IFNA((VLOOKUP($A66,HN!$A:$K,8,FALSE)/12),0)+_xlfn.IFNA((VLOOKUP($A66,HN!$A:$AF,32,FALSE)*1/12),0)</f>
        <v>0</v>
      </c>
      <c r="EB66" s="345">
        <f>_xlfn.IFNA((VLOOKUP($A66,HN!$A:$BS,14,FALSE)/12),0)</f>
        <v>0</v>
      </c>
      <c r="EC66" s="345">
        <f>_xlfn.IFNA(VLOOKUP($A66,'Post 16'!$A:$AV,32,FALSE),0)/8</f>
        <v>0</v>
      </c>
      <c r="ED66" s="345"/>
      <c r="EE66" s="345">
        <f>_xlfn.IFNA((VLOOKUP($A66,HN!$A:$K,9,FALSE)/12),0)+_xlfn.IFNA((VLOOKUP($A66,HN!$A:$K,10,FALSE)/12),0)+_xlfn.IFNA((VLOOKUP($A66,HN!$A:$BZ,33,FALSE)/12),0)</f>
        <v>0</v>
      </c>
      <c r="EF66" s="345">
        <f>_xlfn.IFNA((VLOOKUP($A66,HN!$A:$BS,15,FALSE)/12),0)</f>
        <v>0</v>
      </c>
      <c r="EG66" s="344">
        <f t="shared" si="35"/>
        <v>0</v>
      </c>
      <c r="EH66" s="344">
        <f t="shared" si="36"/>
        <v>0</v>
      </c>
      <c r="EI66" s="345"/>
      <c r="EJ66" s="345">
        <f>_xlfn.IFNA(VLOOKUP(A66,'Cash Advances'!A:P,16,FALSE),0)</f>
        <v>0</v>
      </c>
      <c r="EK66" s="345">
        <f>_xlfn.IFNA(VLOOKUP(A66,'LA Deductions'!A:AZ,25,FALSE),0)/9</f>
        <v>0</v>
      </c>
      <c r="EL66" s="344">
        <f t="shared" si="37"/>
        <v>0</v>
      </c>
      <c r="EM66" s="308">
        <f t="shared" si="38"/>
        <v>0</v>
      </c>
      <c r="EN66" s="308">
        <f>((VLOOKUP($A66,EY!$A:$BS,35,FALSE)-(VLOOKUP($A66,EY!$A:$BS,33,FALSE)*80%))+VLOOKUP($A66,EY!$A:$BS,43,FALSE))+(VLOOKUP(A66,EY!A:DF,110,FALSE)-VLOOKUP(A66,EY!A:DD,108,FALSE))+(VLOOKUP(A66,EY!A:CE,83,FALSE)-VLOOKUP(A66,EY!A:CC,81,FALSE))</f>
        <v>189486.42221606648</v>
      </c>
      <c r="EO66" s="309"/>
      <c r="EP66" s="309">
        <f>_xlfn.IFNA((VLOOKUP($A66,HN!$A:$K,8,FALSE)/12),0)+_xlfn.IFNA((VLOOKUP($A66,HN!$A:$AF,32,FALSE)*1/12),0)</f>
        <v>0</v>
      </c>
      <c r="EQ66" s="309">
        <f>_xlfn.IFNA((VLOOKUP($A66,HN!$A:$BS,14,FALSE)/12),0)+_xlfn.IFNA((VLOOKUP($A66,HN!$A:$BS,34,FALSE)/3),0)</f>
        <v>0</v>
      </c>
      <c r="ER66" s="309">
        <f>_xlfn.IFNA(VLOOKUP($A66,'Post 16'!$A:$AV,32,FALSE),0)/8</f>
        <v>0</v>
      </c>
      <c r="ES66" s="309">
        <f>((VLOOKUP($A66,EY!A:EV,33,FALSE)*80%))+VLOOKUP(A66,EY!A:DD,108,FALSE)+VLOOKUP(A66,EY!A:CC,81,FALSE)</f>
        <v>10464.338531855956</v>
      </c>
      <c r="ET66" s="309">
        <f>_xlfn.IFNA((VLOOKUP($A66,HN!$A:$K,9,FALSE)/12),0)+_xlfn.IFNA((VLOOKUP($A66,HN!$A:$K,10,FALSE)/12),0)+_xlfn.IFNA((VLOOKUP($A66,HN!$A:$BZ,33,FALSE)/12),0)</f>
        <v>0</v>
      </c>
      <c r="EU66" s="309">
        <f>_xlfn.IFNA((VLOOKUP($A66,HN!$A:$BS,15,FALSE)/12),0)</f>
        <v>0</v>
      </c>
      <c r="EV66" s="308">
        <f t="shared" si="39"/>
        <v>0</v>
      </c>
      <c r="EW66" s="308">
        <f t="shared" si="40"/>
        <v>0</v>
      </c>
      <c r="EX66" s="309"/>
      <c r="EY66" s="309">
        <f>_xlfn.IFNA(VLOOKUP($A66,'Cash Advances'!$A:$S,17,FALSE),0)</f>
        <v>0</v>
      </c>
      <c r="EZ66" s="309">
        <f>_xlfn.IFNA(VLOOKUP(A66,'LA Deductions'!A:AZ,25,FALSE),0)/9</f>
        <v>0</v>
      </c>
      <c r="FA66" s="308">
        <f t="shared" si="41"/>
        <v>199950.76074792244</v>
      </c>
      <c r="FB66" s="315">
        <f t="shared" si="42"/>
        <v>0</v>
      </c>
      <c r="FC66" s="315"/>
      <c r="FD66" s="316"/>
      <c r="FE66" s="316">
        <f>_xlfn.IFNA((VLOOKUP($A66,HN!$A:$K,8,FALSE)/12),0)+_xlfn.IFNA((VLOOKUP($A66,HN!$A:$AF,32,FALSE)*1/12),0)</f>
        <v>0</v>
      </c>
      <c r="FF66" s="316">
        <f>_xlfn.IFNA((VLOOKUP($A66,HN!$A:$BS,14,FALSE)/12),0)+_xlfn.IFNA((VLOOKUP($A66,HN!$A:$BS,34,FALSE)/3),0)</f>
        <v>0</v>
      </c>
      <c r="FG66" s="316">
        <f>_xlfn.IFNA(VLOOKUP($A66,'Post 16'!$A:$AV,32,FALSE),0)/8</f>
        <v>0</v>
      </c>
      <c r="FH66" s="316"/>
      <c r="FI66" s="316">
        <f>_xlfn.IFNA((VLOOKUP($A66,HN!$A:$K,9,FALSE)/12),0)+_xlfn.IFNA((VLOOKUP($A66,HN!$A:$K,10,FALSE)/12),0)+_xlfn.IFNA((VLOOKUP($A66,HN!$A:$BZ,33,FALSE)/12),0)+_xlfn.IFNA((VLOOKUP($A66,HN!$A:$BZ,35,FALSE)/2),0)</f>
        <v>0</v>
      </c>
      <c r="FJ66" s="316">
        <f>_xlfn.IFNA((VLOOKUP($A66,HN!$A:$BS,15,FALSE)/12),0)+_xlfn.IFNA((VLOOKUP($A66,HN!$A:$CZ,36,FALSE)/2),0)</f>
        <v>0</v>
      </c>
      <c r="FK66" s="315">
        <f t="shared" si="43"/>
        <v>0</v>
      </c>
      <c r="FL66" s="315">
        <f t="shared" si="44"/>
        <v>0</v>
      </c>
      <c r="FM66" s="316"/>
      <c r="FN66" s="316">
        <f>_xlfn.IFNA(VLOOKUP($A66,'Cash Advances'!$A:$S,18,FALSE),0)</f>
        <v>0</v>
      </c>
      <c r="FO66" s="316">
        <f>_xlfn.IFNA(VLOOKUP(A66,'LA Deductions'!A:AZ,25,FALSE),0)/9</f>
        <v>0</v>
      </c>
      <c r="FP66" s="315">
        <f t="shared" si="45"/>
        <v>0</v>
      </c>
      <c r="FQ66" s="322">
        <f t="shared" si="46"/>
        <v>0</v>
      </c>
      <c r="FR66" s="322"/>
      <c r="FS66" s="323"/>
      <c r="FT66" s="323">
        <f>_xlfn.IFNA((VLOOKUP($A66,HN!$A:$K,8,FALSE)/12),0)+_xlfn.IFNA((VLOOKUP($A66,HN!$A:$AF,32,FALSE)*1/12),0)</f>
        <v>0</v>
      </c>
      <c r="FU66" s="323">
        <f>_xlfn.IFNA((VLOOKUP($A66,HN!$A:$BS,14,FALSE)/12),0)+_xlfn.IFNA((VLOOKUP($A66,HN!$A:$BS,34,FALSE)/3),0)</f>
        <v>0</v>
      </c>
      <c r="FV66" s="323">
        <f>_xlfn.IFNA(VLOOKUP($A66,'Post 16'!$A:$AV,32,FALSE),0)/8</f>
        <v>0</v>
      </c>
      <c r="FW66" s="323"/>
      <c r="FX66" s="323">
        <f>_xlfn.IFNA((VLOOKUP($A66,HN!$A:$K,9,FALSE)/12),0)+_xlfn.IFNA((VLOOKUP($A66,HN!$A:$K,10,FALSE)/12),0)+_xlfn.IFNA((VLOOKUP($A66,HN!$A:$BZ,33,FALSE)/12),0)+_xlfn.IFNA((VLOOKUP($A66,HN!$A:$BZ,35,FALSE)/2),0)</f>
        <v>0</v>
      </c>
      <c r="FY66" s="323">
        <f>_xlfn.IFNA((VLOOKUP($A66,HN!$A:$BS,15,FALSE)/12),0)+_xlfn.IFNA((VLOOKUP($A66,HN!$A:$CZ,36,FALSE)/2),0)</f>
        <v>0</v>
      </c>
      <c r="FZ66" s="322">
        <f t="shared" si="47"/>
        <v>0</v>
      </c>
      <c r="GA66" s="322">
        <f t="shared" si="48"/>
        <v>0</v>
      </c>
      <c r="GB66" s="323"/>
      <c r="GC66" s="323"/>
      <c r="GD66" s="323">
        <f>_xlfn.IFNA(VLOOKUP(A66,'LA Deductions'!A:AZ,25,FALSE),0)/9</f>
        <v>0</v>
      </c>
      <c r="GE66" s="322">
        <f t="shared" si="49"/>
        <v>0</v>
      </c>
      <c r="GG66" s="146">
        <f t="shared" si="63"/>
        <v>947540.64994149597</v>
      </c>
      <c r="GH66" s="146">
        <f t="shared" si="63"/>
        <v>0</v>
      </c>
      <c r="GI66" s="146">
        <f t="shared" si="63"/>
        <v>15791.139058171746</v>
      </c>
      <c r="GJ66" s="146">
        <f t="shared" si="63"/>
        <v>0</v>
      </c>
      <c r="GK66" s="146">
        <f t="shared" si="63"/>
        <v>0</v>
      </c>
      <c r="GL66" s="146">
        <f t="shared" si="63"/>
        <v>-3291.75</v>
      </c>
      <c r="GN66" s="146">
        <f t="shared" si="64"/>
        <v>947540.64994149597</v>
      </c>
      <c r="GO66" s="146">
        <f t="shared" si="64"/>
        <v>0</v>
      </c>
      <c r="GP66" s="146">
        <f t="shared" si="64"/>
        <v>15791.139058171746</v>
      </c>
      <c r="GQ66" s="146">
        <f t="shared" si="64"/>
        <v>0</v>
      </c>
      <c r="GR66" s="146">
        <f t="shared" si="64"/>
        <v>0</v>
      </c>
      <c r="GS66" s="146">
        <f t="shared" si="64"/>
        <v>-3291.75</v>
      </c>
      <c r="GU66" s="146"/>
      <c r="GV66" s="57"/>
    </row>
    <row r="67" spans="1:204">
      <c r="A67" s="185">
        <v>1021</v>
      </c>
      <c r="B67" s="185">
        <v>103134</v>
      </c>
      <c r="C67" s="185" t="s">
        <v>154</v>
      </c>
      <c r="D67" s="2" t="s">
        <v>155</v>
      </c>
      <c r="E67" s="191" t="s">
        <v>29</v>
      </c>
      <c r="F67" s="191" t="s">
        <v>912</v>
      </c>
      <c r="H67" s="279">
        <f>_xlfn.IFNA(VLOOKUP($A67,ISB!$A$4:$BY$454,67,FALSE),0)</f>
        <v>0</v>
      </c>
      <c r="I67" s="279">
        <f>_xlfn.IFNA(VLOOKUP($A67,ISB!$A$4:$BY$454,72,FALSE),0)</f>
        <v>0</v>
      </c>
      <c r="J67" s="279">
        <f>-_xlfn.IFNA(VLOOKUP($A67,ISB!$A$4:$BY$454,76,FALSE),0)</f>
        <v>0</v>
      </c>
      <c r="K67" s="279">
        <f>_xlfn.IFNA(VLOOKUP($A67,ISB!$A$4:$BY$454,77,FALSE),0)</f>
        <v>0</v>
      </c>
      <c r="M67" s="301">
        <f t="shared" si="7"/>
        <v>0</v>
      </c>
      <c r="N67" s="301">
        <f>VLOOKUP($A67,EY!$A:$H,8,FALSE)+(VLOOKUP($A67,EY!$A:$BS,17,FALSE)-S67)+VLOOKUP($A67,EY!$A:$BS,41,FALSE)</f>
        <v>252287.12317998186</v>
      </c>
      <c r="O67" s="302"/>
      <c r="P67" s="302">
        <f>_xlfn.IFNA((VLOOKUP($A67,HN!$A:$K,8,FALSE)/12),0)</f>
        <v>0</v>
      </c>
      <c r="Q67" s="302">
        <f>_xlfn.IFNA((VLOOKUP($A67,HN!$A:$BS,14,FALSE)/12),0)</f>
        <v>0</v>
      </c>
      <c r="R67" s="302">
        <f>_xlfn.IFNA(VLOOKUP($A67,'Post 16'!$A:$V,21,FALSE),0)/4</f>
        <v>0</v>
      </c>
      <c r="S67" s="302">
        <f>VLOOKUP($A67,EY!A:Q,15,FALSE)*80%</f>
        <v>0</v>
      </c>
      <c r="T67" s="302">
        <f>_xlfn.IFNA((VLOOKUP($A67,HN!$A:$K,9,FALSE)/12),0)+_xlfn.IFNA((VLOOKUP($A67,HN!$A:$K,10,FALSE)/12),0)</f>
        <v>0</v>
      </c>
      <c r="U67" s="302">
        <f>_xlfn.IFNA((VLOOKUP($A67,HN!$A:$BS,15,FALSE)/12),0)</f>
        <v>0</v>
      </c>
      <c r="V67" s="301">
        <f t="shared" si="8"/>
        <v>0</v>
      </c>
      <c r="W67" s="301">
        <f t="shared" si="9"/>
        <v>0</v>
      </c>
      <c r="X67" s="302"/>
      <c r="Y67" s="302">
        <f>_xlfn.IFNA(VLOOKUP($A67,'Cash Advances'!$A:$S,8,FALSE),0)</f>
        <v>0</v>
      </c>
      <c r="Z67" s="301">
        <f t="shared" si="54"/>
        <v>252287.12317998186</v>
      </c>
      <c r="AA67" s="315">
        <f t="shared" si="10"/>
        <v>0</v>
      </c>
      <c r="AB67" s="315"/>
      <c r="AC67" s="316"/>
      <c r="AD67" s="316">
        <f>_xlfn.IFNA((VLOOKUP($A67,HN!$A:$K,8,FALSE)/12),0)</f>
        <v>0</v>
      </c>
      <c r="AE67" s="316">
        <f>_xlfn.IFNA((VLOOKUP($A67,HN!$A:$BS,14,FALSE)/12),0)</f>
        <v>0</v>
      </c>
      <c r="AF67" s="316">
        <f>_xlfn.IFNA(VLOOKUP($A67,'Post 16'!$A:$V,21,FALSE),0)/4</f>
        <v>0</v>
      </c>
      <c r="AG67" s="316"/>
      <c r="AH67" s="316">
        <f>_xlfn.IFNA((VLOOKUP($A67,HN!$A:$K,9,FALSE)/12),0)+_xlfn.IFNA((VLOOKUP($A67,HN!$A:$K,10,FALSE)/12),0)</f>
        <v>0</v>
      </c>
      <c r="AI67" s="316">
        <f>_xlfn.IFNA((VLOOKUP($A67,HN!$A:$BS,15,FALSE)/12),0)</f>
        <v>0</v>
      </c>
      <c r="AJ67" s="315">
        <f t="shared" si="11"/>
        <v>0</v>
      </c>
      <c r="AK67" s="315">
        <f t="shared" si="12"/>
        <v>0</v>
      </c>
      <c r="AL67" s="316"/>
      <c r="AM67" s="316">
        <f>_xlfn.IFNA(VLOOKUP($A67,'Cash Advances'!$A:$S,9,FALSE),0)</f>
        <v>0</v>
      </c>
      <c r="AN67" s="315">
        <f t="shared" si="55"/>
        <v>0</v>
      </c>
      <c r="AO67" s="308">
        <f t="shared" si="13"/>
        <v>0</v>
      </c>
      <c r="AP67" s="308"/>
      <c r="AQ67" s="309"/>
      <c r="AR67" s="309">
        <f>_xlfn.IFNA((VLOOKUP($A67,HN!$A:$K,8,FALSE)/12),0)</f>
        <v>0</v>
      </c>
      <c r="AS67" s="309">
        <f>_xlfn.IFNA((VLOOKUP($A67,HN!$A:$BS,14,FALSE)/12),0)</f>
        <v>0</v>
      </c>
      <c r="AT67" s="309">
        <f>_xlfn.IFNA(VLOOKUP($A67,'Post 16'!$A:$V,21,FALSE),0)/4</f>
        <v>0</v>
      </c>
      <c r="AU67" s="309"/>
      <c r="AV67" s="309">
        <f>_xlfn.IFNA((VLOOKUP($A67,HN!$A:$K,9,FALSE)/12),0)+_xlfn.IFNA((VLOOKUP($A67,HN!$A:$K,10,FALSE)/12),0)+_xlfn.IFNA(VLOOKUP(A67,HN!A:V,19,FALSE),0)+_xlfn.IFNA(VLOOKUP(A67,HN!A:V,20,FALSE),0)+_xlfn.IFNA(VLOOKUP(A67,HN!A:V,21,FALSE),0)</f>
        <v>0</v>
      </c>
      <c r="AW67" s="309">
        <f>_xlfn.IFNA((VLOOKUP($A67,HN!$A:$BS,15,FALSE)/12),0)</f>
        <v>0</v>
      </c>
      <c r="AX67" s="308">
        <f t="shared" si="14"/>
        <v>0</v>
      </c>
      <c r="AY67" s="308">
        <f t="shared" si="15"/>
        <v>0</v>
      </c>
      <c r="AZ67" s="309"/>
      <c r="BA67" s="309">
        <f>_xlfn.IFNA(VLOOKUP($A67,'Cash Advances'!$A:$S,10,FALSE),0)</f>
        <v>0</v>
      </c>
      <c r="BB67" s="308">
        <f t="shared" si="56"/>
        <v>0</v>
      </c>
      <c r="BC67" s="330">
        <f t="shared" si="16"/>
        <v>0</v>
      </c>
      <c r="BD67" s="330"/>
      <c r="BE67" s="331"/>
      <c r="BF67" s="331">
        <f>_xlfn.IFNA((VLOOKUP($A67,HN!$A:$K,8,FALSE)/12),0)</f>
        <v>0</v>
      </c>
      <c r="BG67" s="331">
        <f>_xlfn.IFNA((VLOOKUP($A67,HN!$A:$BS,14,FALSE)/12),0)</f>
        <v>0</v>
      </c>
      <c r="BH67" s="331">
        <f>_xlfn.IFNA(VLOOKUP($A67,'Post 16'!$A:$V,21,FALSE),0)/4</f>
        <v>0</v>
      </c>
      <c r="BI67" s="331"/>
      <c r="BJ67" s="331">
        <f>_xlfn.IFNA((VLOOKUP($A67,HN!$A:$K,9,FALSE)/12),0)+_xlfn.IFNA((VLOOKUP($A67,HN!$A:$K,10,FALSE)/12),0)</f>
        <v>0</v>
      </c>
      <c r="BK67" s="331">
        <f>_xlfn.IFNA((VLOOKUP($A67,HN!$A:$BS,15,FALSE)/12),0)</f>
        <v>0</v>
      </c>
      <c r="BL67" s="330">
        <f t="shared" si="17"/>
        <v>0</v>
      </c>
      <c r="BM67" s="330">
        <f t="shared" si="18"/>
        <v>0</v>
      </c>
      <c r="BN67" s="331"/>
      <c r="BO67" s="331">
        <f>_xlfn.IFNA(VLOOKUP(A67,'Cash Advances'!A:K,11,FALSE),0)</f>
        <v>0</v>
      </c>
      <c r="BP67" s="330">
        <f t="shared" si="57"/>
        <v>0</v>
      </c>
      <c r="BQ67" s="322">
        <f t="shared" si="19"/>
        <v>0</v>
      </c>
      <c r="BR67" s="322"/>
      <c r="BS67" s="323"/>
      <c r="BT67" s="323">
        <f>_xlfn.IFNA((VLOOKUP($A67,HN!$A:$K,8,FALSE)/12),0)</f>
        <v>0</v>
      </c>
      <c r="BU67" s="323">
        <f>_xlfn.IFNA((VLOOKUP($A67,HN!$A:$BS,14,FALSE)/12),0)</f>
        <v>0</v>
      </c>
      <c r="BV67" s="323">
        <f>(_xlfn.IFNA(VLOOKUP($A67,'Post 16'!$A:$AV,32,FALSE),0)/8)+_xlfn.IFNA(VLOOKUP($A67,'Post 16'!$A:$AR,40,FALSE),0)</f>
        <v>0</v>
      </c>
      <c r="BW67" s="323"/>
      <c r="BX67" s="323">
        <f>_xlfn.IFNA((VLOOKUP($A67,HN!$A:$K,9,FALSE)/12),0)+_xlfn.IFNA((VLOOKUP($A67,HN!$A:$K,10,FALSE)/12),0)</f>
        <v>0</v>
      </c>
      <c r="BY67" s="323">
        <f>_xlfn.IFNA((VLOOKUP($A67,HN!$A:$BS,15,FALSE)/12),0)</f>
        <v>0</v>
      </c>
      <c r="BZ67" s="322">
        <f t="shared" si="20"/>
        <v>0</v>
      </c>
      <c r="CA67" s="322">
        <f t="shared" si="21"/>
        <v>0</v>
      </c>
      <c r="CB67" s="323"/>
      <c r="CC67" s="323"/>
      <c r="CD67" s="322">
        <f t="shared" si="58"/>
        <v>0</v>
      </c>
      <c r="CE67" s="357">
        <f t="shared" si="22"/>
        <v>0</v>
      </c>
      <c r="CF67" s="357">
        <f>(VLOOKUP($A67,EY!$A:$BS,26,FALSE)-(VLOOKUP($A67,EY!A:CR,24,FALSE)*80%))+VLOOKUP($A67,EY!$A:$BS,42,FALSE)+(VLOOKUP($A67,EY!A:CC,74,FALSE)-VLOOKUP($A67,EY!A:CC,72,FALSE))</f>
        <v>72806.403605873071</v>
      </c>
      <c r="CG67" s="358"/>
      <c r="CH67" s="358">
        <f>_xlfn.IFNA((VLOOKUP($A67,HN!$A:$K,8,FALSE)/12),0)</f>
        <v>0</v>
      </c>
      <c r="CI67" s="358">
        <f>_xlfn.IFNA((VLOOKUP($A67,HN!$A:$BS,14,FALSE)/12),0)</f>
        <v>0</v>
      </c>
      <c r="CJ67" s="358">
        <f>(_xlfn.IFNA(VLOOKUP($A67,'Post 16'!$A:$AV,32,FALSE),0)/8)</f>
        <v>0</v>
      </c>
      <c r="CK67" s="358">
        <f>(VLOOKUP($A67,EY!A:CR,24,FALSE)*80%)+VLOOKUP($A67,EY!A:CC,72,FALSE)</f>
        <v>0</v>
      </c>
      <c r="CL67" s="358">
        <f>_xlfn.IFNA((VLOOKUP($A67,HN!$A:$K,9,FALSE)/12),0)+_xlfn.IFNA((VLOOKUP($A67,HN!$A:$K,10,FALSE)/12),0)</f>
        <v>0</v>
      </c>
      <c r="CM67" s="358">
        <f>_xlfn.IFNA((VLOOKUP($A67,HN!$A:$BS,15,FALSE)/12),0)</f>
        <v>0</v>
      </c>
      <c r="CN67" s="357">
        <f t="shared" si="23"/>
        <v>0</v>
      </c>
      <c r="CO67" s="357">
        <f t="shared" si="24"/>
        <v>0</v>
      </c>
      <c r="CP67" s="358">
        <f>_xlfn.IFNA(VLOOKUP(A67,'LA Deductions'!A:W,23,FALSE),0)</f>
        <v>-3291.75</v>
      </c>
      <c r="CQ67" s="358">
        <f>_xlfn.IFNA(VLOOKUP($A67,'Cash Advances'!$A:$S,13,FALSE),0)</f>
        <v>0</v>
      </c>
      <c r="CR67" s="358">
        <f>_xlfn.IFNA(VLOOKUP(A67,'LA Deductions'!A:AZ,25,FALSE),0)/9*3</f>
        <v>0</v>
      </c>
      <c r="CS67" s="357">
        <f t="shared" si="25"/>
        <v>69514.653605873071</v>
      </c>
      <c r="CT67" s="337">
        <f t="shared" si="26"/>
        <v>0</v>
      </c>
      <c r="CU67" s="337"/>
      <c r="CV67" s="338">
        <f>_xlfn.IFNA(VLOOKUP(A67,'LA Deductions'!$A$6:$AN$207,34,FALSE),0)</f>
        <v>0</v>
      </c>
      <c r="CW67" s="338">
        <f>_xlfn.IFNA((VLOOKUP($A67,HN!$A:$K,8,FALSE)/12),0)</f>
        <v>0</v>
      </c>
      <c r="CX67" s="338">
        <f>_xlfn.IFNA((VLOOKUP($A67,HN!$A:$BS,14,FALSE)/12),0)</f>
        <v>0</v>
      </c>
      <c r="CY67" s="338">
        <f>_xlfn.IFNA(VLOOKUP($A67,'Post 16'!$A:$AV,32,FALSE),0)/8</f>
        <v>0</v>
      </c>
      <c r="CZ67" s="338"/>
      <c r="DA67" s="338">
        <f>_xlfn.IFNA((VLOOKUP($A67,HN!$A:$K,9,FALSE)/12),0)+_xlfn.IFNA((VLOOKUP($A67,HN!$A:$K,10,FALSE)/12),0)</f>
        <v>0</v>
      </c>
      <c r="DB67" s="338">
        <f>_xlfn.IFNA((VLOOKUP($A67,HN!$A:$BS,15,FALSE)/12),0)</f>
        <v>0</v>
      </c>
      <c r="DC67" s="337">
        <f t="shared" si="27"/>
        <v>0</v>
      </c>
      <c r="DD67" s="337">
        <f t="shared" si="28"/>
        <v>0</v>
      </c>
      <c r="DE67" s="338"/>
      <c r="DF67" s="338">
        <f>_xlfn.IFNA(VLOOKUP($A67,'Cash Advances'!$A:$S,14,FALSE),0)</f>
        <v>0</v>
      </c>
      <c r="DG67" s="338">
        <f>(_xlfn.IFNA(VLOOKUP(A67,'LA Deductions'!A:AZ,25,FALSE),0)/9)+(_xlfn.IFNA(VLOOKUP(A67,'LA Deductions'!A:AZ,26,FALSE),0))</f>
        <v>0</v>
      </c>
      <c r="DH67" s="337">
        <f t="shared" si="29"/>
        <v>0</v>
      </c>
      <c r="DI67" s="330">
        <f t="shared" si="30"/>
        <v>0</v>
      </c>
      <c r="DJ67" s="330"/>
      <c r="DK67" s="331"/>
      <c r="DL67" s="331">
        <f>_xlfn.IFNA((VLOOKUP($A67,HN!$A:$K,8,FALSE)/12),0)+_xlfn.IFNA((VLOOKUP($A67,HN!$A:$AF,32,FALSE)*8/12),0)</f>
        <v>0</v>
      </c>
      <c r="DM67" s="331">
        <f>_xlfn.IFNA((VLOOKUP($A67,HN!$A:$BS,14,FALSE)/12),0)+_xlfn.IFNA(VLOOKUP($A67,HN!$A:$BS,31,FALSE),0)</f>
        <v>0</v>
      </c>
      <c r="DN67" s="331">
        <f>_xlfn.IFNA(VLOOKUP($A67,'Post 16'!$A:$AV,32,FALSE),0)/8</f>
        <v>0</v>
      </c>
      <c r="DO67" s="331"/>
      <c r="DP67" s="331">
        <f>_xlfn.IFNA((VLOOKUP($A67,HN!$A:$K,9,FALSE)/12),0)+_xlfn.IFNA((VLOOKUP($A67,HN!$A:$K,10,FALSE)/12),0)+_xlfn.IFNA((VLOOKUP($A67,HN!$A:$BZ,33,FALSE)*8/12),0)</f>
        <v>0</v>
      </c>
      <c r="DQ67" s="331">
        <f>_xlfn.IFNA((VLOOKUP($A67,HN!$A:$BS,15,FALSE)/12),0)</f>
        <v>0</v>
      </c>
      <c r="DR67" s="330">
        <f t="shared" si="31"/>
        <v>0</v>
      </c>
      <c r="DS67" s="330">
        <f t="shared" si="32"/>
        <v>0</v>
      </c>
      <c r="DT67" s="331"/>
      <c r="DU67" s="331"/>
      <c r="DV67" s="331">
        <f>(_xlfn.IFNA(VLOOKUP(A67,'LA Deductions'!A:AZ,25,FALSE),0)/9)+_xlfn.IFNA(VLOOKUP(A67,'LA Deductions'!A:AZ,27,FALSE),0)</f>
        <v>0</v>
      </c>
      <c r="DW67" s="330">
        <f t="shared" si="33"/>
        <v>0</v>
      </c>
      <c r="DX67" s="344">
        <f t="shared" si="34"/>
        <v>0</v>
      </c>
      <c r="DY67" s="344"/>
      <c r="DZ67" s="345"/>
      <c r="EA67" s="345">
        <f>_xlfn.IFNA((VLOOKUP($A67,HN!$A:$K,8,FALSE)/12),0)+_xlfn.IFNA((VLOOKUP($A67,HN!$A:$AF,32,FALSE)*1/12),0)</f>
        <v>0</v>
      </c>
      <c r="EB67" s="345">
        <f>_xlfn.IFNA((VLOOKUP($A67,HN!$A:$BS,14,FALSE)/12),0)</f>
        <v>0</v>
      </c>
      <c r="EC67" s="345">
        <f>_xlfn.IFNA(VLOOKUP($A67,'Post 16'!$A:$AV,32,FALSE),0)/8</f>
        <v>0</v>
      </c>
      <c r="ED67" s="345"/>
      <c r="EE67" s="345">
        <f>_xlfn.IFNA((VLOOKUP($A67,HN!$A:$K,9,FALSE)/12),0)+_xlfn.IFNA((VLOOKUP($A67,HN!$A:$K,10,FALSE)/12),0)+_xlfn.IFNA((VLOOKUP($A67,HN!$A:$BZ,33,FALSE)/12),0)</f>
        <v>0</v>
      </c>
      <c r="EF67" s="345">
        <f>_xlfn.IFNA((VLOOKUP($A67,HN!$A:$BS,15,FALSE)/12),0)</f>
        <v>0</v>
      </c>
      <c r="EG67" s="344">
        <f t="shared" si="35"/>
        <v>0</v>
      </c>
      <c r="EH67" s="344">
        <f t="shared" si="36"/>
        <v>0</v>
      </c>
      <c r="EI67" s="345"/>
      <c r="EJ67" s="345">
        <f>_xlfn.IFNA(VLOOKUP(A67,'Cash Advances'!A:P,16,FALSE),0)</f>
        <v>0</v>
      </c>
      <c r="EK67" s="345">
        <f>_xlfn.IFNA(VLOOKUP(A67,'LA Deductions'!A:AZ,25,FALSE),0)/9</f>
        <v>0</v>
      </c>
      <c r="EL67" s="344">
        <f t="shared" si="37"/>
        <v>0</v>
      </c>
      <c r="EM67" s="308">
        <f t="shared" si="38"/>
        <v>0</v>
      </c>
      <c r="EN67" s="308">
        <f>((VLOOKUP($A67,EY!$A:$BS,35,FALSE)-(VLOOKUP($A67,EY!$A:$BS,33,FALSE)*80%))+VLOOKUP($A67,EY!$A:$BS,43,FALSE))+(VLOOKUP(A67,EY!A:DF,110,FALSE)-VLOOKUP(A67,EY!A:DD,108,FALSE))+(VLOOKUP(A67,EY!A:CE,83,FALSE)-VLOOKUP(A67,EY!A:CC,81,FALSE))</f>
        <v>135714.5509972299</v>
      </c>
      <c r="EO67" s="309"/>
      <c r="EP67" s="309">
        <f>_xlfn.IFNA((VLOOKUP($A67,HN!$A:$K,8,FALSE)/12),0)+_xlfn.IFNA((VLOOKUP($A67,HN!$A:$AF,32,FALSE)*1/12),0)</f>
        <v>0</v>
      </c>
      <c r="EQ67" s="309">
        <f>_xlfn.IFNA((VLOOKUP($A67,HN!$A:$BS,14,FALSE)/12),0)+_xlfn.IFNA((VLOOKUP($A67,HN!$A:$BS,34,FALSE)/3),0)</f>
        <v>0</v>
      </c>
      <c r="ER67" s="309">
        <f>_xlfn.IFNA(VLOOKUP($A67,'Post 16'!$A:$AV,32,FALSE),0)/8</f>
        <v>0</v>
      </c>
      <c r="ES67" s="309">
        <f>((VLOOKUP($A67,EY!A:EV,33,FALSE)*80%))+VLOOKUP(A67,EY!A:DD,108,FALSE)+VLOOKUP(A67,EY!A:CC,81,FALSE)</f>
        <v>938</v>
      </c>
      <c r="ET67" s="309">
        <f>_xlfn.IFNA((VLOOKUP($A67,HN!$A:$K,9,FALSE)/12),0)+_xlfn.IFNA((VLOOKUP($A67,HN!$A:$K,10,FALSE)/12),0)+_xlfn.IFNA((VLOOKUP($A67,HN!$A:$BZ,33,FALSE)/12),0)</f>
        <v>0</v>
      </c>
      <c r="EU67" s="309">
        <f>_xlfn.IFNA((VLOOKUP($A67,HN!$A:$BS,15,FALSE)/12),0)</f>
        <v>0</v>
      </c>
      <c r="EV67" s="308">
        <f t="shared" si="39"/>
        <v>0</v>
      </c>
      <c r="EW67" s="308">
        <f t="shared" si="40"/>
        <v>0</v>
      </c>
      <c r="EX67" s="309"/>
      <c r="EY67" s="309">
        <f>_xlfn.IFNA(VLOOKUP($A67,'Cash Advances'!$A:$S,17,FALSE),0)</f>
        <v>0</v>
      </c>
      <c r="EZ67" s="309">
        <f>_xlfn.IFNA(VLOOKUP(A67,'LA Deductions'!A:AZ,25,FALSE),0)/9</f>
        <v>0</v>
      </c>
      <c r="FA67" s="308">
        <f t="shared" si="41"/>
        <v>136652.5509972299</v>
      </c>
      <c r="FB67" s="315">
        <f t="shared" si="42"/>
        <v>0</v>
      </c>
      <c r="FC67" s="315"/>
      <c r="FD67" s="316"/>
      <c r="FE67" s="316">
        <f>_xlfn.IFNA((VLOOKUP($A67,HN!$A:$K,8,FALSE)/12),0)+_xlfn.IFNA((VLOOKUP($A67,HN!$A:$AF,32,FALSE)*1/12),0)</f>
        <v>0</v>
      </c>
      <c r="FF67" s="316">
        <f>_xlfn.IFNA((VLOOKUP($A67,HN!$A:$BS,14,FALSE)/12),0)+_xlfn.IFNA((VLOOKUP($A67,HN!$A:$BS,34,FALSE)/3),0)</f>
        <v>0</v>
      </c>
      <c r="FG67" s="316">
        <f>_xlfn.IFNA(VLOOKUP($A67,'Post 16'!$A:$AV,32,FALSE),0)/8</f>
        <v>0</v>
      </c>
      <c r="FH67" s="316"/>
      <c r="FI67" s="316">
        <f>_xlfn.IFNA((VLOOKUP($A67,HN!$A:$K,9,FALSE)/12),0)+_xlfn.IFNA((VLOOKUP($A67,HN!$A:$K,10,FALSE)/12),0)+_xlfn.IFNA((VLOOKUP($A67,HN!$A:$BZ,33,FALSE)/12),0)+_xlfn.IFNA((VLOOKUP($A67,HN!$A:$BZ,35,FALSE)/2),0)</f>
        <v>0</v>
      </c>
      <c r="FJ67" s="316">
        <f>_xlfn.IFNA((VLOOKUP($A67,HN!$A:$BS,15,FALSE)/12),0)+_xlfn.IFNA((VLOOKUP($A67,HN!$A:$CZ,36,FALSE)/2),0)</f>
        <v>0</v>
      </c>
      <c r="FK67" s="315">
        <f t="shared" si="43"/>
        <v>0</v>
      </c>
      <c r="FL67" s="315">
        <f t="shared" si="44"/>
        <v>0</v>
      </c>
      <c r="FM67" s="316"/>
      <c r="FN67" s="316">
        <f>_xlfn.IFNA(VLOOKUP($A67,'Cash Advances'!$A:$S,18,FALSE),0)</f>
        <v>0</v>
      </c>
      <c r="FO67" s="316">
        <f>_xlfn.IFNA(VLOOKUP(A67,'LA Deductions'!A:AZ,25,FALSE),0)/9</f>
        <v>0</v>
      </c>
      <c r="FP67" s="315">
        <f t="shared" si="45"/>
        <v>0</v>
      </c>
      <c r="FQ67" s="322">
        <f t="shared" si="46"/>
        <v>0</v>
      </c>
      <c r="FR67" s="322"/>
      <c r="FS67" s="323"/>
      <c r="FT67" s="323">
        <f>_xlfn.IFNA((VLOOKUP($A67,HN!$A:$K,8,FALSE)/12),0)+_xlfn.IFNA((VLOOKUP($A67,HN!$A:$AF,32,FALSE)*1/12),0)</f>
        <v>0</v>
      </c>
      <c r="FU67" s="323">
        <f>_xlfn.IFNA((VLOOKUP($A67,HN!$A:$BS,14,FALSE)/12),0)+_xlfn.IFNA((VLOOKUP($A67,HN!$A:$BS,34,FALSE)/3),0)</f>
        <v>0</v>
      </c>
      <c r="FV67" s="323">
        <f>_xlfn.IFNA(VLOOKUP($A67,'Post 16'!$A:$AV,32,FALSE),0)/8</f>
        <v>0</v>
      </c>
      <c r="FW67" s="323"/>
      <c r="FX67" s="323">
        <f>_xlfn.IFNA((VLOOKUP($A67,HN!$A:$K,9,FALSE)/12),0)+_xlfn.IFNA((VLOOKUP($A67,HN!$A:$K,10,FALSE)/12),0)+_xlfn.IFNA((VLOOKUP($A67,HN!$A:$BZ,33,FALSE)/12),0)+_xlfn.IFNA((VLOOKUP($A67,HN!$A:$BZ,35,FALSE)/2),0)</f>
        <v>0</v>
      </c>
      <c r="FY67" s="323">
        <f>_xlfn.IFNA((VLOOKUP($A67,HN!$A:$BS,15,FALSE)/12),0)+_xlfn.IFNA((VLOOKUP($A67,HN!$A:$CZ,36,FALSE)/2),0)</f>
        <v>0</v>
      </c>
      <c r="FZ67" s="322">
        <f t="shared" si="47"/>
        <v>0</v>
      </c>
      <c r="GA67" s="322">
        <f t="shared" si="48"/>
        <v>0</v>
      </c>
      <c r="GB67" s="323"/>
      <c r="GC67" s="323"/>
      <c r="GD67" s="323">
        <f>_xlfn.IFNA(VLOOKUP(A67,'LA Deductions'!A:AZ,25,FALSE),0)/9</f>
        <v>0</v>
      </c>
      <c r="GE67" s="322">
        <f t="shared" si="49"/>
        <v>0</v>
      </c>
      <c r="GG67" s="146">
        <f t="shared" si="63"/>
        <v>460808.07778308482</v>
      </c>
      <c r="GH67" s="146">
        <f t="shared" si="63"/>
        <v>0</v>
      </c>
      <c r="GI67" s="146">
        <f t="shared" si="63"/>
        <v>938</v>
      </c>
      <c r="GJ67" s="146">
        <f t="shared" si="63"/>
        <v>0</v>
      </c>
      <c r="GK67" s="146">
        <f t="shared" si="63"/>
        <v>0</v>
      </c>
      <c r="GL67" s="146">
        <f t="shared" si="63"/>
        <v>-3291.75</v>
      </c>
      <c r="GN67" s="146">
        <f t="shared" si="64"/>
        <v>460808.07778308482</v>
      </c>
      <c r="GO67" s="146">
        <f t="shared" si="64"/>
        <v>0</v>
      </c>
      <c r="GP67" s="146">
        <f t="shared" si="64"/>
        <v>938</v>
      </c>
      <c r="GQ67" s="146">
        <f t="shared" si="64"/>
        <v>0</v>
      </c>
      <c r="GR67" s="146">
        <f t="shared" si="64"/>
        <v>0</v>
      </c>
      <c r="GS67" s="146">
        <f t="shared" si="64"/>
        <v>-3291.75</v>
      </c>
      <c r="GU67" s="146"/>
      <c r="GV67" s="57"/>
    </row>
    <row r="68" spans="1:204">
      <c r="A68" s="185">
        <v>4201</v>
      </c>
      <c r="B68" s="185">
        <v>103503</v>
      </c>
      <c r="C68" s="185" t="s">
        <v>156</v>
      </c>
      <c r="D68" s="2" t="s">
        <v>157</v>
      </c>
      <c r="E68" s="191" t="s">
        <v>58</v>
      </c>
      <c r="F68" s="191" t="s">
        <v>912</v>
      </c>
      <c r="H68" s="279">
        <f>_xlfn.IFNA(VLOOKUP($A68,ISB!$A$4:$BY$454,67,FALSE),0)</f>
        <v>9663365.3310645986</v>
      </c>
      <c r="I68" s="279">
        <f>_xlfn.IFNA(VLOOKUP($A68,ISB!$A$4:$BY$454,72,FALSE),0)</f>
        <v>-24236.52</v>
      </c>
      <c r="J68" s="279">
        <f>-_xlfn.IFNA(VLOOKUP($A68,ISB!$A$4:$BY$454,76,FALSE),0)</f>
        <v>-188038.74</v>
      </c>
      <c r="K68" s="279">
        <f>_xlfn.IFNA(VLOOKUP($A68,ISB!$A$4:$BY$454,77,FALSE),0)</f>
        <v>9451090.0710645989</v>
      </c>
      <c r="M68" s="301">
        <f t="shared" si="7"/>
        <v>805280.44425538322</v>
      </c>
      <c r="N68" s="301">
        <f>VLOOKUP($A68,EY!$A:$H,8,FALSE)+(VLOOKUP($A68,EY!$A:$BS,17,FALSE)-S68)+VLOOKUP($A68,EY!$A:$BS,41,FALSE)</f>
        <v>0</v>
      </c>
      <c r="O68" s="302"/>
      <c r="P68" s="302">
        <f>_xlfn.IFNA((VLOOKUP($A68,HN!$A:$K,8,FALSE)/12),0)</f>
        <v>0</v>
      </c>
      <c r="Q68" s="302">
        <f>_xlfn.IFNA((VLOOKUP($A68,HN!$A:$BS,14,FALSE)/12),0)</f>
        <v>0</v>
      </c>
      <c r="R68" s="302">
        <f>_xlfn.IFNA(VLOOKUP($A68,'Post 16'!$A:$V,21,FALSE),0)/4</f>
        <v>0</v>
      </c>
      <c r="S68" s="302">
        <f>VLOOKUP($A68,EY!A:Q,15,FALSE)*80%</f>
        <v>0</v>
      </c>
      <c r="T68" s="302">
        <f>_xlfn.IFNA((VLOOKUP($A68,HN!$A:$K,9,FALSE)/12),0)+_xlfn.IFNA((VLOOKUP($A68,HN!$A:$K,10,FALSE)/12),0)</f>
        <v>0</v>
      </c>
      <c r="U68" s="302">
        <f>_xlfn.IFNA((VLOOKUP($A68,HN!$A:$BS,15,FALSE)/12),0)</f>
        <v>0</v>
      </c>
      <c r="V68" s="301">
        <f t="shared" si="8"/>
        <v>-2019.71</v>
      </c>
      <c r="W68" s="301">
        <f t="shared" si="9"/>
        <v>-15669.894999999999</v>
      </c>
      <c r="X68" s="302"/>
      <c r="Y68" s="302">
        <f>_xlfn.IFNA(VLOOKUP($A68,'Cash Advances'!$A:$S,8,FALSE),0)</f>
        <v>0</v>
      </c>
      <c r="Z68" s="301">
        <f t="shared" si="54"/>
        <v>787590.83925538324</v>
      </c>
      <c r="AA68" s="315">
        <f t="shared" si="10"/>
        <v>805280.44425538322</v>
      </c>
      <c r="AB68" s="315"/>
      <c r="AC68" s="316"/>
      <c r="AD68" s="316">
        <f>_xlfn.IFNA((VLOOKUP($A68,HN!$A:$K,8,FALSE)/12),0)</f>
        <v>0</v>
      </c>
      <c r="AE68" s="316">
        <f>_xlfn.IFNA((VLOOKUP($A68,HN!$A:$BS,14,FALSE)/12),0)</f>
        <v>0</v>
      </c>
      <c r="AF68" s="316">
        <f>_xlfn.IFNA(VLOOKUP($A68,'Post 16'!$A:$V,21,FALSE),0)/4</f>
        <v>0</v>
      </c>
      <c r="AG68" s="316"/>
      <c r="AH68" s="316">
        <f>_xlfn.IFNA((VLOOKUP($A68,HN!$A:$K,9,FALSE)/12),0)+_xlfn.IFNA((VLOOKUP($A68,HN!$A:$K,10,FALSE)/12),0)</f>
        <v>0</v>
      </c>
      <c r="AI68" s="316">
        <f>_xlfn.IFNA((VLOOKUP($A68,HN!$A:$BS,15,FALSE)/12),0)</f>
        <v>0</v>
      </c>
      <c r="AJ68" s="315">
        <f t="shared" si="11"/>
        <v>-2019.71</v>
      </c>
      <c r="AK68" s="315">
        <f t="shared" si="12"/>
        <v>-15669.894999999999</v>
      </c>
      <c r="AL68" s="316"/>
      <c r="AM68" s="316">
        <f>_xlfn.IFNA(VLOOKUP($A68,'Cash Advances'!$A:$S,9,FALSE),0)</f>
        <v>0</v>
      </c>
      <c r="AN68" s="315">
        <f t="shared" si="55"/>
        <v>787590.83925538324</v>
      </c>
      <c r="AO68" s="308">
        <f t="shared" si="13"/>
        <v>805280.44425538322</v>
      </c>
      <c r="AP68" s="308"/>
      <c r="AQ68" s="309"/>
      <c r="AR68" s="309">
        <f>_xlfn.IFNA((VLOOKUP($A68,HN!$A:$K,8,FALSE)/12),0)</f>
        <v>0</v>
      </c>
      <c r="AS68" s="309">
        <f>_xlfn.IFNA((VLOOKUP($A68,HN!$A:$BS,14,FALSE)/12),0)</f>
        <v>0</v>
      </c>
      <c r="AT68" s="309">
        <f>_xlfn.IFNA(VLOOKUP($A68,'Post 16'!$A:$V,21,FALSE),0)/4</f>
        <v>0</v>
      </c>
      <c r="AU68" s="309"/>
      <c r="AV68" s="309">
        <f>_xlfn.IFNA((VLOOKUP($A68,HN!$A:$K,9,FALSE)/12),0)+_xlfn.IFNA((VLOOKUP($A68,HN!$A:$K,10,FALSE)/12),0)+_xlfn.IFNA(VLOOKUP(A68,HN!A:V,19,FALSE),0)+_xlfn.IFNA(VLOOKUP(A68,HN!A:V,20,FALSE),0)+_xlfn.IFNA(VLOOKUP(A68,HN!A:V,21,FALSE),0)</f>
        <v>0</v>
      </c>
      <c r="AW68" s="309">
        <f>_xlfn.IFNA((VLOOKUP($A68,HN!$A:$BS,15,FALSE)/12),0)</f>
        <v>0</v>
      </c>
      <c r="AX68" s="308">
        <f t="shared" si="14"/>
        <v>-2019.71</v>
      </c>
      <c r="AY68" s="308">
        <f t="shared" si="15"/>
        <v>-15669.894999999999</v>
      </c>
      <c r="AZ68" s="309"/>
      <c r="BA68" s="309">
        <f>_xlfn.IFNA(VLOOKUP($A68,'Cash Advances'!$A:$S,10,FALSE),0)</f>
        <v>0</v>
      </c>
      <c r="BB68" s="308">
        <f t="shared" si="56"/>
        <v>787590.83925538324</v>
      </c>
      <c r="BC68" s="330">
        <f t="shared" si="16"/>
        <v>805280.44425538322</v>
      </c>
      <c r="BD68" s="330"/>
      <c r="BE68" s="331"/>
      <c r="BF68" s="331">
        <f>_xlfn.IFNA((VLOOKUP($A68,HN!$A:$K,8,FALSE)/12),0)</f>
        <v>0</v>
      </c>
      <c r="BG68" s="331">
        <f>_xlfn.IFNA((VLOOKUP($A68,HN!$A:$BS,14,FALSE)/12),0)</f>
        <v>0</v>
      </c>
      <c r="BH68" s="331">
        <f>_xlfn.IFNA(VLOOKUP($A68,'Post 16'!$A:$V,21,FALSE),0)/4</f>
        <v>0</v>
      </c>
      <c r="BI68" s="331"/>
      <c r="BJ68" s="331">
        <f>_xlfn.IFNA((VLOOKUP($A68,HN!$A:$K,9,FALSE)/12),0)+_xlfn.IFNA((VLOOKUP($A68,HN!$A:$K,10,FALSE)/12),0)</f>
        <v>0</v>
      </c>
      <c r="BK68" s="331">
        <f>_xlfn.IFNA((VLOOKUP($A68,HN!$A:$BS,15,FALSE)/12),0)</f>
        <v>0</v>
      </c>
      <c r="BL68" s="330">
        <f t="shared" si="17"/>
        <v>-2019.71</v>
      </c>
      <c r="BM68" s="330">
        <f t="shared" si="18"/>
        <v>-15669.894999999999</v>
      </c>
      <c r="BN68" s="331"/>
      <c r="BO68" s="331">
        <f>_xlfn.IFNA(VLOOKUP(A68,'Cash Advances'!A:K,11,FALSE),0)</f>
        <v>0</v>
      </c>
      <c r="BP68" s="330">
        <f t="shared" si="57"/>
        <v>787590.83925538324</v>
      </c>
      <c r="BQ68" s="322">
        <f t="shared" si="19"/>
        <v>805280.44425538322</v>
      </c>
      <c r="BR68" s="322"/>
      <c r="BS68" s="323"/>
      <c r="BT68" s="323">
        <f>_xlfn.IFNA((VLOOKUP($A68,HN!$A:$K,8,FALSE)/12),0)</f>
        <v>0</v>
      </c>
      <c r="BU68" s="323">
        <f>_xlfn.IFNA((VLOOKUP($A68,HN!$A:$BS,14,FALSE)/12),0)</f>
        <v>0</v>
      </c>
      <c r="BV68" s="323">
        <f>(_xlfn.IFNA(VLOOKUP($A68,'Post 16'!$A:$AV,32,FALSE),0)/8)+_xlfn.IFNA(VLOOKUP($A68,'Post 16'!$A:$AR,40,FALSE),0)</f>
        <v>0</v>
      </c>
      <c r="BW68" s="323"/>
      <c r="BX68" s="323">
        <f>_xlfn.IFNA((VLOOKUP($A68,HN!$A:$K,9,FALSE)/12),0)+_xlfn.IFNA((VLOOKUP($A68,HN!$A:$K,10,FALSE)/12),0)</f>
        <v>0</v>
      </c>
      <c r="BY68" s="323">
        <f>_xlfn.IFNA((VLOOKUP($A68,HN!$A:$BS,15,FALSE)/12),0)</f>
        <v>0</v>
      </c>
      <c r="BZ68" s="322">
        <f t="shared" si="20"/>
        <v>-2019.71</v>
      </c>
      <c r="CA68" s="322">
        <f t="shared" si="21"/>
        <v>-15669.894999999999</v>
      </c>
      <c r="CB68" s="323"/>
      <c r="CC68" s="323"/>
      <c r="CD68" s="322">
        <f t="shared" si="58"/>
        <v>787590.83925538324</v>
      </c>
      <c r="CE68" s="357">
        <f t="shared" si="22"/>
        <v>805280.44425538322</v>
      </c>
      <c r="CF68" s="357">
        <f>(VLOOKUP($A68,EY!$A:$BS,26,FALSE)-(VLOOKUP($A68,EY!A:CR,24,FALSE)*80%))+VLOOKUP($A68,EY!$A:$BS,42,FALSE)+(VLOOKUP($A68,EY!A:CC,74,FALSE)-VLOOKUP($A68,EY!A:CC,72,FALSE))</f>
        <v>0</v>
      </c>
      <c r="CG68" s="358"/>
      <c r="CH68" s="358">
        <f>_xlfn.IFNA((VLOOKUP($A68,HN!$A:$K,8,FALSE)/12),0)</f>
        <v>0</v>
      </c>
      <c r="CI68" s="358">
        <f>_xlfn.IFNA((VLOOKUP($A68,HN!$A:$BS,14,FALSE)/12),0)</f>
        <v>0</v>
      </c>
      <c r="CJ68" s="358">
        <f>(_xlfn.IFNA(VLOOKUP($A68,'Post 16'!$A:$AV,32,FALSE),0)/8)</f>
        <v>0</v>
      </c>
      <c r="CK68" s="358">
        <f>(VLOOKUP($A68,EY!A:CR,24,FALSE)*80%)+VLOOKUP($A68,EY!A:CC,72,FALSE)</f>
        <v>0</v>
      </c>
      <c r="CL68" s="358">
        <f>_xlfn.IFNA((VLOOKUP($A68,HN!$A:$K,9,FALSE)/12),0)+_xlfn.IFNA((VLOOKUP($A68,HN!$A:$K,10,FALSE)/12),0)</f>
        <v>0</v>
      </c>
      <c r="CM68" s="358">
        <f>_xlfn.IFNA((VLOOKUP($A68,HN!$A:$BS,15,FALSE)/12),0)</f>
        <v>0</v>
      </c>
      <c r="CN68" s="357">
        <f t="shared" si="23"/>
        <v>-2019.71</v>
      </c>
      <c r="CO68" s="357">
        <f t="shared" si="24"/>
        <v>-15669.894999999999</v>
      </c>
      <c r="CP68" s="358">
        <f>_xlfn.IFNA(VLOOKUP(A68,'LA Deductions'!A:W,23,FALSE),0)</f>
        <v>-32508.000000000004</v>
      </c>
      <c r="CQ68" s="358">
        <f>_xlfn.IFNA(VLOOKUP($A68,'Cash Advances'!$A:$S,13,FALSE),0)</f>
        <v>0</v>
      </c>
      <c r="CR68" s="358">
        <f>_xlfn.IFNA(VLOOKUP(A68,'LA Deductions'!A:AZ,25,FALSE),0)/9*3</f>
        <v>0</v>
      </c>
      <c r="CS68" s="357">
        <f t="shared" si="25"/>
        <v>755082.83925538324</v>
      </c>
      <c r="CT68" s="337">
        <f t="shared" si="26"/>
        <v>805280.44425538322</v>
      </c>
      <c r="CU68" s="337"/>
      <c r="CV68" s="338">
        <f>_xlfn.IFNA(VLOOKUP(A68,'LA Deductions'!$A$6:$AN$207,34,FALSE),0)</f>
        <v>-44806.327400000002</v>
      </c>
      <c r="CW68" s="338">
        <f>_xlfn.IFNA((VLOOKUP($A68,HN!$A:$K,8,FALSE)/12),0)</f>
        <v>0</v>
      </c>
      <c r="CX68" s="338">
        <f>_xlfn.IFNA((VLOOKUP($A68,HN!$A:$BS,14,FALSE)/12),0)</f>
        <v>0</v>
      </c>
      <c r="CY68" s="338">
        <f>_xlfn.IFNA(VLOOKUP($A68,'Post 16'!$A:$AV,32,FALSE),0)/8</f>
        <v>0</v>
      </c>
      <c r="CZ68" s="338"/>
      <c r="DA68" s="338">
        <f>_xlfn.IFNA((VLOOKUP($A68,HN!$A:$K,9,FALSE)/12),0)+_xlfn.IFNA((VLOOKUP($A68,HN!$A:$K,10,FALSE)/12),0)</f>
        <v>0</v>
      </c>
      <c r="DB68" s="338">
        <f>_xlfn.IFNA((VLOOKUP($A68,HN!$A:$BS,15,FALSE)/12),0)</f>
        <v>0</v>
      </c>
      <c r="DC68" s="337">
        <f t="shared" si="27"/>
        <v>-2019.71</v>
      </c>
      <c r="DD68" s="337">
        <f t="shared" si="28"/>
        <v>-15669.894999999999</v>
      </c>
      <c r="DE68" s="338"/>
      <c r="DF68" s="338">
        <f>_xlfn.IFNA(VLOOKUP($A68,'Cash Advances'!$A:$S,14,FALSE),0)</f>
        <v>0</v>
      </c>
      <c r="DG68" s="338">
        <f>(_xlfn.IFNA(VLOOKUP(A68,'LA Deductions'!A:AZ,25,FALSE),0)/9)+(_xlfn.IFNA(VLOOKUP(A68,'LA Deductions'!A:AZ,26,FALSE),0))</f>
        <v>0</v>
      </c>
      <c r="DH68" s="337">
        <f t="shared" si="29"/>
        <v>742784.51185538329</v>
      </c>
      <c r="DI68" s="330">
        <f t="shared" si="30"/>
        <v>805280.44425538322</v>
      </c>
      <c r="DJ68" s="330"/>
      <c r="DK68" s="331"/>
      <c r="DL68" s="331">
        <f>_xlfn.IFNA((VLOOKUP($A68,HN!$A:$K,8,FALSE)/12),0)+_xlfn.IFNA((VLOOKUP($A68,HN!$A:$AF,32,FALSE)*8/12),0)</f>
        <v>0</v>
      </c>
      <c r="DM68" s="331">
        <f>_xlfn.IFNA((VLOOKUP($A68,HN!$A:$BS,14,FALSE)/12),0)+_xlfn.IFNA(VLOOKUP($A68,HN!$A:$BS,31,FALSE),0)</f>
        <v>0</v>
      </c>
      <c r="DN68" s="331">
        <f>_xlfn.IFNA(VLOOKUP($A68,'Post 16'!$A:$AV,32,FALSE),0)/8</f>
        <v>0</v>
      </c>
      <c r="DO68" s="331"/>
      <c r="DP68" s="331">
        <f>_xlfn.IFNA((VLOOKUP($A68,HN!$A:$K,9,FALSE)/12),0)+_xlfn.IFNA((VLOOKUP($A68,HN!$A:$K,10,FALSE)/12),0)+_xlfn.IFNA((VLOOKUP($A68,HN!$A:$BZ,33,FALSE)*8/12),0)</f>
        <v>0</v>
      </c>
      <c r="DQ68" s="331">
        <f>_xlfn.IFNA((VLOOKUP($A68,HN!$A:$BS,15,FALSE)/12),0)</f>
        <v>0</v>
      </c>
      <c r="DR68" s="330">
        <f t="shared" si="31"/>
        <v>-2019.71</v>
      </c>
      <c r="DS68" s="330">
        <f t="shared" si="32"/>
        <v>-15669.894999999999</v>
      </c>
      <c r="DT68" s="331"/>
      <c r="DU68" s="331"/>
      <c r="DV68" s="331">
        <f>(_xlfn.IFNA(VLOOKUP(A68,'LA Deductions'!A:AZ,25,FALSE),0)/9)+_xlfn.IFNA(VLOOKUP(A68,'LA Deductions'!A:AZ,27,FALSE),0)</f>
        <v>0</v>
      </c>
      <c r="DW68" s="330">
        <f t="shared" si="33"/>
        <v>787590.83925538324</v>
      </c>
      <c r="DX68" s="344">
        <f t="shared" si="34"/>
        <v>805280.44425538322</v>
      </c>
      <c r="DY68" s="344"/>
      <c r="DZ68" s="345"/>
      <c r="EA68" s="345">
        <f>_xlfn.IFNA((VLOOKUP($A68,HN!$A:$K,8,FALSE)/12),0)+_xlfn.IFNA((VLOOKUP($A68,HN!$A:$AF,32,FALSE)*1/12),0)</f>
        <v>0</v>
      </c>
      <c r="EB68" s="345">
        <f>_xlfn.IFNA((VLOOKUP($A68,HN!$A:$BS,14,FALSE)/12),0)</f>
        <v>0</v>
      </c>
      <c r="EC68" s="345">
        <f>_xlfn.IFNA(VLOOKUP($A68,'Post 16'!$A:$AV,32,FALSE),0)/8</f>
        <v>0</v>
      </c>
      <c r="ED68" s="345"/>
      <c r="EE68" s="345">
        <f>_xlfn.IFNA((VLOOKUP($A68,HN!$A:$K,9,FALSE)/12),0)+_xlfn.IFNA((VLOOKUP($A68,HN!$A:$K,10,FALSE)/12),0)+_xlfn.IFNA((VLOOKUP($A68,HN!$A:$BZ,33,FALSE)/12),0)</f>
        <v>0</v>
      </c>
      <c r="EF68" s="345">
        <f>_xlfn.IFNA((VLOOKUP($A68,HN!$A:$BS,15,FALSE)/12),0)</f>
        <v>0</v>
      </c>
      <c r="EG68" s="344">
        <f t="shared" si="35"/>
        <v>-2019.71</v>
      </c>
      <c r="EH68" s="344">
        <f t="shared" si="36"/>
        <v>-15669.894999999999</v>
      </c>
      <c r="EI68" s="345"/>
      <c r="EJ68" s="345">
        <f>_xlfn.IFNA(VLOOKUP(A68,'Cash Advances'!A:P,16,FALSE),0)</f>
        <v>0</v>
      </c>
      <c r="EK68" s="345">
        <f>_xlfn.IFNA(VLOOKUP(A68,'LA Deductions'!A:AZ,25,FALSE),0)/9</f>
        <v>0</v>
      </c>
      <c r="EL68" s="344">
        <f t="shared" si="37"/>
        <v>787590.83925538324</v>
      </c>
      <c r="EM68" s="308">
        <f t="shared" si="38"/>
        <v>805280.44425538322</v>
      </c>
      <c r="EN68" s="308">
        <f>((VLOOKUP($A68,EY!$A:$BS,35,FALSE)-(VLOOKUP($A68,EY!$A:$BS,33,FALSE)*80%))+VLOOKUP($A68,EY!$A:$BS,43,FALSE))+(VLOOKUP(A68,EY!A:DF,110,FALSE)-VLOOKUP(A68,EY!A:DD,108,FALSE))+(VLOOKUP(A68,EY!A:CE,83,FALSE)-VLOOKUP(A68,EY!A:CC,81,FALSE))</f>
        <v>0</v>
      </c>
      <c r="EO68" s="309"/>
      <c r="EP68" s="309">
        <f>_xlfn.IFNA((VLOOKUP($A68,HN!$A:$K,8,FALSE)/12),0)+_xlfn.IFNA((VLOOKUP($A68,HN!$A:$AF,32,FALSE)*1/12),0)</f>
        <v>0</v>
      </c>
      <c r="EQ68" s="309">
        <f>_xlfn.IFNA((VLOOKUP($A68,HN!$A:$BS,14,FALSE)/12),0)+_xlfn.IFNA((VLOOKUP($A68,HN!$A:$BS,34,FALSE)/3),0)</f>
        <v>0</v>
      </c>
      <c r="ER68" s="309">
        <f>_xlfn.IFNA(VLOOKUP($A68,'Post 16'!$A:$AV,32,FALSE),0)/8</f>
        <v>0</v>
      </c>
      <c r="ES68" s="309">
        <f>((VLOOKUP($A68,EY!A:EV,33,FALSE)*80%))+VLOOKUP(A68,EY!A:DD,108,FALSE)+VLOOKUP(A68,EY!A:CC,81,FALSE)</f>
        <v>0</v>
      </c>
      <c r="ET68" s="309">
        <f>_xlfn.IFNA((VLOOKUP($A68,HN!$A:$K,9,FALSE)/12),0)+_xlfn.IFNA((VLOOKUP($A68,HN!$A:$K,10,FALSE)/12),0)+_xlfn.IFNA((VLOOKUP($A68,HN!$A:$BZ,33,FALSE)/12),0)</f>
        <v>0</v>
      </c>
      <c r="EU68" s="309">
        <f>_xlfn.IFNA((VLOOKUP($A68,HN!$A:$BS,15,FALSE)/12),0)</f>
        <v>0</v>
      </c>
      <c r="EV68" s="308">
        <f t="shared" si="39"/>
        <v>-2019.71</v>
      </c>
      <c r="EW68" s="308">
        <f t="shared" si="40"/>
        <v>-15669.894999999999</v>
      </c>
      <c r="EX68" s="309"/>
      <c r="EY68" s="309">
        <f>_xlfn.IFNA(VLOOKUP($A68,'Cash Advances'!$A:$S,17,FALSE),0)</f>
        <v>0</v>
      </c>
      <c r="EZ68" s="309">
        <f>_xlfn.IFNA(VLOOKUP(A68,'LA Deductions'!A:AZ,25,FALSE),0)/9</f>
        <v>0</v>
      </c>
      <c r="FA68" s="308">
        <f t="shared" si="41"/>
        <v>787590.83925538324</v>
      </c>
      <c r="FB68" s="315">
        <f t="shared" si="42"/>
        <v>805280.44425538322</v>
      </c>
      <c r="FC68" s="315"/>
      <c r="FD68" s="316"/>
      <c r="FE68" s="316">
        <f>_xlfn.IFNA((VLOOKUP($A68,HN!$A:$K,8,FALSE)/12),0)+_xlfn.IFNA((VLOOKUP($A68,HN!$A:$AF,32,FALSE)*1/12),0)</f>
        <v>0</v>
      </c>
      <c r="FF68" s="316">
        <f>_xlfn.IFNA((VLOOKUP($A68,HN!$A:$BS,14,FALSE)/12),0)+_xlfn.IFNA((VLOOKUP($A68,HN!$A:$BS,34,FALSE)/3),0)</f>
        <v>0</v>
      </c>
      <c r="FG68" s="316">
        <f>_xlfn.IFNA(VLOOKUP($A68,'Post 16'!$A:$AV,32,FALSE),0)/8</f>
        <v>0</v>
      </c>
      <c r="FH68" s="316"/>
      <c r="FI68" s="316">
        <f>_xlfn.IFNA((VLOOKUP($A68,HN!$A:$K,9,FALSE)/12),0)+_xlfn.IFNA((VLOOKUP($A68,HN!$A:$K,10,FALSE)/12),0)+_xlfn.IFNA((VLOOKUP($A68,HN!$A:$BZ,33,FALSE)/12),0)+_xlfn.IFNA((VLOOKUP($A68,HN!$A:$BZ,35,FALSE)/2),0)</f>
        <v>0</v>
      </c>
      <c r="FJ68" s="316">
        <f>_xlfn.IFNA((VLOOKUP($A68,HN!$A:$BS,15,FALSE)/12),0)+_xlfn.IFNA((VLOOKUP($A68,HN!$A:$CZ,36,FALSE)/2),0)</f>
        <v>0</v>
      </c>
      <c r="FK68" s="315">
        <f t="shared" si="43"/>
        <v>-2019.71</v>
      </c>
      <c r="FL68" s="315">
        <f t="shared" si="44"/>
        <v>-15669.894999999999</v>
      </c>
      <c r="FM68" s="316"/>
      <c r="FN68" s="316">
        <f>_xlfn.IFNA(VLOOKUP($A68,'Cash Advances'!$A:$S,18,FALSE),0)</f>
        <v>0</v>
      </c>
      <c r="FO68" s="316">
        <f>_xlfn.IFNA(VLOOKUP(A68,'LA Deductions'!A:AZ,25,FALSE),0)/9</f>
        <v>0</v>
      </c>
      <c r="FP68" s="315">
        <f t="shared" si="45"/>
        <v>787590.83925538324</v>
      </c>
      <c r="FQ68" s="322">
        <f t="shared" si="46"/>
        <v>805280.44425538322</v>
      </c>
      <c r="FR68" s="322"/>
      <c r="FS68" s="323"/>
      <c r="FT68" s="323">
        <f>_xlfn.IFNA((VLOOKUP($A68,HN!$A:$K,8,FALSE)/12),0)+_xlfn.IFNA((VLOOKUP($A68,HN!$A:$AF,32,FALSE)*1/12),0)</f>
        <v>0</v>
      </c>
      <c r="FU68" s="323">
        <f>_xlfn.IFNA((VLOOKUP($A68,HN!$A:$BS,14,FALSE)/12),0)+_xlfn.IFNA((VLOOKUP($A68,HN!$A:$BS,34,FALSE)/3),0)</f>
        <v>0</v>
      </c>
      <c r="FV68" s="323">
        <f>_xlfn.IFNA(VLOOKUP($A68,'Post 16'!$A:$AV,32,FALSE),0)/8</f>
        <v>0</v>
      </c>
      <c r="FW68" s="323"/>
      <c r="FX68" s="323">
        <f>_xlfn.IFNA((VLOOKUP($A68,HN!$A:$K,9,FALSE)/12),0)+_xlfn.IFNA((VLOOKUP($A68,HN!$A:$K,10,FALSE)/12),0)+_xlfn.IFNA((VLOOKUP($A68,HN!$A:$BZ,33,FALSE)/12),0)+_xlfn.IFNA((VLOOKUP($A68,HN!$A:$BZ,35,FALSE)/2),0)</f>
        <v>0</v>
      </c>
      <c r="FY68" s="323">
        <f>_xlfn.IFNA((VLOOKUP($A68,HN!$A:$BS,15,FALSE)/12),0)+_xlfn.IFNA((VLOOKUP($A68,HN!$A:$CZ,36,FALSE)/2),0)</f>
        <v>0</v>
      </c>
      <c r="FZ68" s="322">
        <f t="shared" si="47"/>
        <v>-2019.71</v>
      </c>
      <c r="GA68" s="322">
        <f t="shared" si="48"/>
        <v>-15669.894999999999</v>
      </c>
      <c r="GB68" s="323"/>
      <c r="GC68" s="323"/>
      <c r="GD68" s="323">
        <f>_xlfn.IFNA(VLOOKUP(A68,'LA Deductions'!A:AZ,25,FALSE),0)/9</f>
        <v>0</v>
      </c>
      <c r="GE68" s="322">
        <f t="shared" si="49"/>
        <v>787590.83925538324</v>
      </c>
      <c r="GG68" s="146">
        <f t="shared" ref="GG68:GL77" si="65">SUMIFS($M68:$GE68,$M$7:$GE$7,GG$7)</f>
        <v>9618559.0036645997</v>
      </c>
      <c r="GH68" s="146">
        <f t="shared" si="65"/>
        <v>0</v>
      </c>
      <c r="GI68" s="146">
        <f t="shared" si="65"/>
        <v>0</v>
      </c>
      <c r="GJ68" s="146">
        <f t="shared" si="65"/>
        <v>-24236.519999999993</v>
      </c>
      <c r="GK68" s="146">
        <f t="shared" si="65"/>
        <v>-188038.73999999996</v>
      </c>
      <c r="GL68" s="146">
        <f t="shared" si="65"/>
        <v>-32508.000000000004</v>
      </c>
      <c r="GN68" s="146">
        <f t="shared" ref="GN68:GS77" si="66">SUMIFS($M68:$GE68,$M$7:$GE$7,GN$7,$M$4:$GE$4,$GN$6)</f>
        <v>9618559.0036645997</v>
      </c>
      <c r="GO68" s="146">
        <f t="shared" si="66"/>
        <v>0</v>
      </c>
      <c r="GP68" s="146">
        <f t="shared" si="66"/>
        <v>0</v>
      </c>
      <c r="GQ68" s="146">
        <f t="shared" si="66"/>
        <v>-24236.519999999993</v>
      </c>
      <c r="GR68" s="146">
        <f t="shared" si="66"/>
        <v>-188038.73999999996</v>
      </c>
      <c r="GS68" s="146">
        <f t="shared" si="66"/>
        <v>-32508.000000000004</v>
      </c>
      <c r="GU68" s="146"/>
      <c r="GV68" s="57"/>
    </row>
    <row r="69" spans="1:204">
      <c r="A69" s="185">
        <v>4015</v>
      </c>
      <c r="B69" s="185">
        <v>103483</v>
      </c>
      <c r="C69" s="185" t="s">
        <v>158</v>
      </c>
      <c r="D69" s="2" t="s">
        <v>159</v>
      </c>
      <c r="E69" s="191" t="s">
        <v>58</v>
      </c>
      <c r="F69" s="191" t="s">
        <v>912</v>
      </c>
      <c r="H69" s="279">
        <f>_xlfn.IFNA(VLOOKUP($A69,ISB!$A$4:$BY$454,67,FALSE),0)</f>
        <v>5910389.1970598912</v>
      </c>
      <c r="I69" s="279">
        <f>_xlfn.IFNA(VLOOKUP($A69,ISB!$A$4:$BY$454,72,FALSE),0)</f>
        <v>-15157.89</v>
      </c>
      <c r="J69" s="279">
        <f>-_xlfn.IFNA(VLOOKUP($A69,ISB!$A$4:$BY$454,76,FALSE),0)</f>
        <v>-78092.09</v>
      </c>
      <c r="K69" s="279">
        <f>_xlfn.IFNA(VLOOKUP($A69,ISB!$A$4:$BY$454,77,FALSE),0)</f>
        <v>5817139.2170598917</v>
      </c>
      <c r="M69" s="301">
        <f t="shared" si="7"/>
        <v>492532.43308832427</v>
      </c>
      <c r="N69" s="301">
        <f>VLOOKUP($A69,EY!$A:$H,8,FALSE)+(VLOOKUP($A69,EY!$A:$BS,17,FALSE)-S69)+VLOOKUP($A69,EY!$A:$BS,41,FALSE)</f>
        <v>0</v>
      </c>
      <c r="O69" s="302"/>
      <c r="P69" s="302">
        <f>_xlfn.IFNA((VLOOKUP($A69,HN!$A:$K,8,FALSE)/12),0)</f>
        <v>0</v>
      </c>
      <c r="Q69" s="302">
        <f>_xlfn.IFNA((VLOOKUP($A69,HN!$A:$BS,14,FALSE)/12),0)</f>
        <v>0</v>
      </c>
      <c r="R69" s="302">
        <f>_xlfn.IFNA(VLOOKUP($A69,'Post 16'!$A:$V,21,FALSE),0)/4</f>
        <v>0</v>
      </c>
      <c r="S69" s="302">
        <f>VLOOKUP($A69,EY!A:Q,15,FALSE)*80%</f>
        <v>0</v>
      </c>
      <c r="T69" s="302">
        <f>_xlfn.IFNA((VLOOKUP($A69,HN!$A:$K,9,FALSE)/12),0)+_xlfn.IFNA((VLOOKUP($A69,HN!$A:$K,10,FALSE)/12),0)</f>
        <v>0</v>
      </c>
      <c r="U69" s="302">
        <f>_xlfn.IFNA((VLOOKUP($A69,HN!$A:$BS,15,FALSE)/12),0)</f>
        <v>0</v>
      </c>
      <c r="V69" s="301">
        <f t="shared" si="8"/>
        <v>-1263.1575</v>
      </c>
      <c r="W69" s="301">
        <f t="shared" si="9"/>
        <v>-6507.6741666666667</v>
      </c>
      <c r="X69" s="302"/>
      <c r="Y69" s="302">
        <f>_xlfn.IFNA(VLOOKUP($A69,'Cash Advances'!$A:$S,8,FALSE),0)</f>
        <v>0</v>
      </c>
      <c r="Z69" s="301">
        <f t="shared" si="54"/>
        <v>484761.6014216576</v>
      </c>
      <c r="AA69" s="315">
        <f t="shared" si="10"/>
        <v>492532.43308832427</v>
      </c>
      <c r="AB69" s="315"/>
      <c r="AC69" s="316"/>
      <c r="AD69" s="316">
        <f>_xlfn.IFNA((VLOOKUP($A69,HN!$A:$K,8,FALSE)/12),0)</f>
        <v>0</v>
      </c>
      <c r="AE69" s="316">
        <f>_xlfn.IFNA((VLOOKUP($A69,HN!$A:$BS,14,FALSE)/12),0)</f>
        <v>0</v>
      </c>
      <c r="AF69" s="316">
        <f>_xlfn.IFNA(VLOOKUP($A69,'Post 16'!$A:$V,21,FALSE),0)/4</f>
        <v>0</v>
      </c>
      <c r="AG69" s="316"/>
      <c r="AH69" s="316">
        <f>_xlfn.IFNA((VLOOKUP($A69,HN!$A:$K,9,FALSE)/12),0)+_xlfn.IFNA((VLOOKUP($A69,HN!$A:$K,10,FALSE)/12),0)</f>
        <v>0</v>
      </c>
      <c r="AI69" s="316">
        <f>_xlfn.IFNA((VLOOKUP($A69,HN!$A:$BS,15,FALSE)/12),0)</f>
        <v>0</v>
      </c>
      <c r="AJ69" s="315">
        <f t="shared" si="11"/>
        <v>-1263.1575</v>
      </c>
      <c r="AK69" s="315">
        <f t="shared" si="12"/>
        <v>-6507.6741666666667</v>
      </c>
      <c r="AL69" s="316"/>
      <c r="AM69" s="316">
        <f>_xlfn.IFNA(VLOOKUP($A69,'Cash Advances'!$A:$S,9,FALSE),0)</f>
        <v>0</v>
      </c>
      <c r="AN69" s="315">
        <f t="shared" si="55"/>
        <v>484761.6014216576</v>
      </c>
      <c r="AO69" s="308">
        <f t="shared" si="13"/>
        <v>492532.43308832427</v>
      </c>
      <c r="AP69" s="308"/>
      <c r="AQ69" s="309"/>
      <c r="AR69" s="309">
        <f>_xlfn.IFNA((VLOOKUP($A69,HN!$A:$K,8,FALSE)/12),0)</f>
        <v>0</v>
      </c>
      <c r="AS69" s="309">
        <f>_xlfn.IFNA((VLOOKUP($A69,HN!$A:$BS,14,FALSE)/12),0)</f>
        <v>0</v>
      </c>
      <c r="AT69" s="309">
        <f>_xlfn.IFNA(VLOOKUP($A69,'Post 16'!$A:$V,21,FALSE),0)/4</f>
        <v>0</v>
      </c>
      <c r="AU69" s="309"/>
      <c r="AV69" s="309">
        <f>_xlfn.IFNA((VLOOKUP($A69,HN!$A:$K,9,FALSE)/12),0)+_xlfn.IFNA((VLOOKUP($A69,HN!$A:$K,10,FALSE)/12),0)+_xlfn.IFNA(VLOOKUP(A69,HN!A:V,19,FALSE),0)+_xlfn.IFNA(VLOOKUP(A69,HN!A:V,20,FALSE),0)+_xlfn.IFNA(VLOOKUP(A69,HN!A:V,21,FALSE),0)</f>
        <v>0</v>
      </c>
      <c r="AW69" s="309">
        <f>_xlfn.IFNA((VLOOKUP($A69,HN!$A:$BS,15,FALSE)/12),0)</f>
        <v>0</v>
      </c>
      <c r="AX69" s="308">
        <f t="shared" si="14"/>
        <v>-1263.1575</v>
      </c>
      <c r="AY69" s="308">
        <f t="shared" si="15"/>
        <v>-6507.6741666666667</v>
      </c>
      <c r="AZ69" s="309"/>
      <c r="BA69" s="309">
        <f>_xlfn.IFNA(VLOOKUP($A69,'Cash Advances'!$A:$S,10,FALSE),0)</f>
        <v>0</v>
      </c>
      <c r="BB69" s="308">
        <f t="shared" si="56"/>
        <v>484761.6014216576</v>
      </c>
      <c r="BC69" s="330">
        <f t="shared" si="16"/>
        <v>492532.43308832427</v>
      </c>
      <c r="BD69" s="330"/>
      <c r="BE69" s="331"/>
      <c r="BF69" s="331">
        <f>_xlfn.IFNA((VLOOKUP($A69,HN!$A:$K,8,FALSE)/12),0)</f>
        <v>0</v>
      </c>
      <c r="BG69" s="331">
        <f>_xlfn.IFNA((VLOOKUP($A69,HN!$A:$BS,14,FALSE)/12),0)</f>
        <v>0</v>
      </c>
      <c r="BH69" s="331">
        <f>_xlfn.IFNA(VLOOKUP($A69,'Post 16'!$A:$V,21,FALSE),0)/4</f>
        <v>0</v>
      </c>
      <c r="BI69" s="331"/>
      <c r="BJ69" s="331">
        <f>_xlfn.IFNA((VLOOKUP($A69,HN!$A:$K,9,FALSE)/12),0)+_xlfn.IFNA((VLOOKUP($A69,HN!$A:$K,10,FALSE)/12),0)</f>
        <v>0</v>
      </c>
      <c r="BK69" s="331">
        <f>_xlfn.IFNA((VLOOKUP($A69,HN!$A:$BS,15,FALSE)/12),0)</f>
        <v>0</v>
      </c>
      <c r="BL69" s="330">
        <f t="shared" si="17"/>
        <v>-1263.1575</v>
      </c>
      <c r="BM69" s="330">
        <f t="shared" si="18"/>
        <v>-6507.6741666666667</v>
      </c>
      <c r="BN69" s="331"/>
      <c r="BO69" s="331">
        <f>_xlfn.IFNA(VLOOKUP(A69,'Cash Advances'!A:K,11,FALSE),0)</f>
        <v>0</v>
      </c>
      <c r="BP69" s="330">
        <f t="shared" si="57"/>
        <v>484761.6014216576</v>
      </c>
      <c r="BQ69" s="322">
        <f t="shared" si="19"/>
        <v>492532.43308832427</v>
      </c>
      <c r="BR69" s="322"/>
      <c r="BS69" s="323"/>
      <c r="BT69" s="323">
        <f>_xlfn.IFNA((VLOOKUP($A69,HN!$A:$K,8,FALSE)/12),0)</f>
        <v>0</v>
      </c>
      <c r="BU69" s="323">
        <f>_xlfn.IFNA((VLOOKUP($A69,HN!$A:$BS,14,FALSE)/12),0)</f>
        <v>0</v>
      </c>
      <c r="BV69" s="323">
        <f>(_xlfn.IFNA(VLOOKUP($A69,'Post 16'!$A:$AV,32,FALSE),0)/8)+_xlfn.IFNA(VLOOKUP($A69,'Post 16'!$A:$AR,40,FALSE),0)</f>
        <v>0</v>
      </c>
      <c r="BW69" s="323"/>
      <c r="BX69" s="323">
        <f>_xlfn.IFNA((VLOOKUP($A69,HN!$A:$K,9,FALSE)/12),0)+_xlfn.IFNA((VLOOKUP($A69,HN!$A:$K,10,FALSE)/12),0)</f>
        <v>0</v>
      </c>
      <c r="BY69" s="323">
        <f>_xlfn.IFNA((VLOOKUP($A69,HN!$A:$BS,15,FALSE)/12),0)</f>
        <v>0</v>
      </c>
      <c r="BZ69" s="322">
        <f t="shared" si="20"/>
        <v>-1263.1575</v>
      </c>
      <c r="CA69" s="322">
        <f t="shared" si="21"/>
        <v>-6507.6741666666667</v>
      </c>
      <c r="CB69" s="323"/>
      <c r="CC69" s="323"/>
      <c r="CD69" s="322">
        <f t="shared" si="58"/>
        <v>484761.6014216576</v>
      </c>
      <c r="CE69" s="357">
        <f t="shared" si="22"/>
        <v>492532.43308832427</v>
      </c>
      <c r="CF69" s="357">
        <f>(VLOOKUP($A69,EY!$A:$BS,26,FALSE)-(VLOOKUP($A69,EY!A:CR,24,FALSE)*80%))+VLOOKUP($A69,EY!$A:$BS,42,FALSE)+(VLOOKUP($A69,EY!A:CC,74,FALSE)-VLOOKUP($A69,EY!A:CC,72,FALSE))</f>
        <v>0</v>
      </c>
      <c r="CG69" s="358"/>
      <c r="CH69" s="358">
        <f>_xlfn.IFNA((VLOOKUP($A69,HN!$A:$K,8,FALSE)/12),0)</f>
        <v>0</v>
      </c>
      <c r="CI69" s="358">
        <f>_xlfn.IFNA((VLOOKUP($A69,HN!$A:$BS,14,FALSE)/12),0)</f>
        <v>0</v>
      </c>
      <c r="CJ69" s="358">
        <f>(_xlfn.IFNA(VLOOKUP($A69,'Post 16'!$A:$AV,32,FALSE),0)/8)</f>
        <v>0</v>
      </c>
      <c r="CK69" s="358">
        <f>(VLOOKUP($A69,EY!A:CR,24,FALSE)*80%)+VLOOKUP($A69,EY!A:CC,72,FALSE)</f>
        <v>0</v>
      </c>
      <c r="CL69" s="358">
        <f>_xlfn.IFNA((VLOOKUP($A69,HN!$A:$K,9,FALSE)/12),0)+_xlfn.IFNA((VLOOKUP($A69,HN!$A:$K,10,FALSE)/12),0)</f>
        <v>0</v>
      </c>
      <c r="CM69" s="358">
        <f>_xlfn.IFNA((VLOOKUP($A69,HN!$A:$BS,15,FALSE)/12),0)</f>
        <v>0</v>
      </c>
      <c r="CN69" s="357">
        <f t="shared" si="23"/>
        <v>-1263.1575</v>
      </c>
      <c r="CO69" s="357">
        <f t="shared" si="24"/>
        <v>-6507.6741666666667</v>
      </c>
      <c r="CP69" s="358">
        <f>_xlfn.IFNA(VLOOKUP(A69,'LA Deductions'!A:W,23,FALSE),0)</f>
        <v>-20331</v>
      </c>
      <c r="CQ69" s="358">
        <f>_xlfn.IFNA(VLOOKUP($A69,'Cash Advances'!$A:$S,13,FALSE),0)</f>
        <v>0</v>
      </c>
      <c r="CR69" s="358">
        <f>_xlfn.IFNA(VLOOKUP(A69,'LA Deductions'!A:AZ,25,FALSE),0)/9*3</f>
        <v>0</v>
      </c>
      <c r="CS69" s="357">
        <f t="shared" si="25"/>
        <v>464430.6014216576</v>
      </c>
      <c r="CT69" s="337">
        <f t="shared" si="26"/>
        <v>492532.43308832427</v>
      </c>
      <c r="CU69" s="337"/>
      <c r="CV69" s="338">
        <f>_xlfn.IFNA(VLOOKUP(A69,'LA Deductions'!$A$6:$AN$207,34,FALSE),0)</f>
        <v>0</v>
      </c>
      <c r="CW69" s="338">
        <f>_xlfn.IFNA((VLOOKUP($A69,HN!$A:$K,8,FALSE)/12),0)</f>
        <v>0</v>
      </c>
      <c r="CX69" s="338">
        <f>_xlfn.IFNA((VLOOKUP($A69,HN!$A:$BS,14,FALSE)/12),0)</f>
        <v>0</v>
      </c>
      <c r="CY69" s="338">
        <f>_xlfn.IFNA(VLOOKUP($A69,'Post 16'!$A:$AV,32,FALSE),0)/8</f>
        <v>0</v>
      </c>
      <c r="CZ69" s="338"/>
      <c r="DA69" s="338">
        <f>_xlfn.IFNA((VLOOKUP($A69,HN!$A:$K,9,FALSE)/12),0)+_xlfn.IFNA((VLOOKUP($A69,HN!$A:$K,10,FALSE)/12),0)</f>
        <v>0</v>
      </c>
      <c r="DB69" s="338">
        <f>_xlfn.IFNA((VLOOKUP($A69,HN!$A:$BS,15,FALSE)/12),0)</f>
        <v>0</v>
      </c>
      <c r="DC69" s="337">
        <f t="shared" si="27"/>
        <v>-1263.1575</v>
      </c>
      <c r="DD69" s="337">
        <f t="shared" si="28"/>
        <v>-6507.6741666666667</v>
      </c>
      <c r="DE69" s="338"/>
      <c r="DF69" s="338">
        <f>_xlfn.IFNA(VLOOKUP($A69,'Cash Advances'!$A:$S,14,FALSE),0)</f>
        <v>0</v>
      </c>
      <c r="DG69" s="338">
        <f>(_xlfn.IFNA(VLOOKUP(A69,'LA Deductions'!A:AZ,25,FALSE),0)/9)+(_xlfn.IFNA(VLOOKUP(A69,'LA Deductions'!A:AZ,26,FALSE),0))</f>
        <v>0</v>
      </c>
      <c r="DH69" s="337">
        <f t="shared" si="29"/>
        <v>484761.6014216576</v>
      </c>
      <c r="DI69" s="330">
        <f t="shared" si="30"/>
        <v>492532.43308832427</v>
      </c>
      <c r="DJ69" s="330"/>
      <c r="DK69" s="331"/>
      <c r="DL69" s="331">
        <f>_xlfn.IFNA((VLOOKUP($A69,HN!$A:$K,8,FALSE)/12),0)+_xlfn.IFNA((VLOOKUP($A69,HN!$A:$AF,32,FALSE)*8/12),0)</f>
        <v>0</v>
      </c>
      <c r="DM69" s="331">
        <f>_xlfn.IFNA((VLOOKUP($A69,HN!$A:$BS,14,FALSE)/12),0)+_xlfn.IFNA(VLOOKUP($A69,HN!$A:$BS,31,FALSE),0)</f>
        <v>0</v>
      </c>
      <c r="DN69" s="331">
        <f>_xlfn.IFNA(VLOOKUP($A69,'Post 16'!$A:$AV,32,FALSE),0)/8</f>
        <v>0</v>
      </c>
      <c r="DO69" s="331"/>
      <c r="DP69" s="331">
        <f>_xlfn.IFNA((VLOOKUP($A69,HN!$A:$K,9,FALSE)/12),0)+_xlfn.IFNA((VLOOKUP($A69,HN!$A:$K,10,FALSE)/12),0)+_xlfn.IFNA((VLOOKUP($A69,HN!$A:$BZ,33,FALSE)*8/12),0)</f>
        <v>0</v>
      </c>
      <c r="DQ69" s="331">
        <f>_xlfn.IFNA((VLOOKUP($A69,HN!$A:$BS,15,FALSE)/12),0)</f>
        <v>0</v>
      </c>
      <c r="DR69" s="330">
        <f t="shared" si="31"/>
        <v>-1263.1575</v>
      </c>
      <c r="DS69" s="330">
        <f t="shared" si="32"/>
        <v>-6507.6741666666667</v>
      </c>
      <c r="DT69" s="331"/>
      <c r="DU69" s="331"/>
      <c r="DV69" s="331">
        <f>(_xlfn.IFNA(VLOOKUP(A69,'LA Deductions'!A:AZ,25,FALSE),0)/9)+_xlfn.IFNA(VLOOKUP(A69,'LA Deductions'!A:AZ,27,FALSE),0)</f>
        <v>0</v>
      </c>
      <c r="DW69" s="330">
        <f t="shared" si="33"/>
        <v>484761.6014216576</v>
      </c>
      <c r="DX69" s="344">
        <f t="shared" si="34"/>
        <v>492532.43308832427</v>
      </c>
      <c r="DY69" s="344"/>
      <c r="DZ69" s="345"/>
      <c r="EA69" s="345">
        <f>_xlfn.IFNA((VLOOKUP($A69,HN!$A:$K,8,FALSE)/12),0)+_xlfn.IFNA((VLOOKUP($A69,HN!$A:$AF,32,FALSE)*1/12),0)</f>
        <v>0</v>
      </c>
      <c r="EB69" s="345">
        <f>_xlfn.IFNA((VLOOKUP($A69,HN!$A:$BS,14,FALSE)/12),0)</f>
        <v>0</v>
      </c>
      <c r="EC69" s="345">
        <f>_xlfn.IFNA(VLOOKUP($A69,'Post 16'!$A:$AV,32,FALSE),0)/8</f>
        <v>0</v>
      </c>
      <c r="ED69" s="345"/>
      <c r="EE69" s="345">
        <f>_xlfn.IFNA((VLOOKUP($A69,HN!$A:$K,9,FALSE)/12),0)+_xlfn.IFNA((VLOOKUP($A69,HN!$A:$K,10,FALSE)/12),0)+_xlfn.IFNA((VLOOKUP($A69,HN!$A:$BZ,33,FALSE)/12),0)</f>
        <v>0</v>
      </c>
      <c r="EF69" s="345">
        <f>_xlfn.IFNA((VLOOKUP($A69,HN!$A:$BS,15,FALSE)/12),0)</f>
        <v>0</v>
      </c>
      <c r="EG69" s="344">
        <f t="shared" si="35"/>
        <v>-1263.1575</v>
      </c>
      <c r="EH69" s="344">
        <f t="shared" si="36"/>
        <v>-6507.6741666666667</v>
      </c>
      <c r="EI69" s="345"/>
      <c r="EJ69" s="345">
        <f>_xlfn.IFNA(VLOOKUP(A69,'Cash Advances'!A:P,16,FALSE),0)</f>
        <v>0</v>
      </c>
      <c r="EK69" s="345">
        <f>_xlfn.IFNA(VLOOKUP(A69,'LA Deductions'!A:AZ,25,FALSE),0)/9</f>
        <v>0</v>
      </c>
      <c r="EL69" s="344">
        <f t="shared" si="37"/>
        <v>484761.6014216576</v>
      </c>
      <c r="EM69" s="308">
        <f t="shared" si="38"/>
        <v>492532.43308832427</v>
      </c>
      <c r="EN69" s="308">
        <f>((VLOOKUP($A69,EY!$A:$BS,35,FALSE)-(VLOOKUP($A69,EY!$A:$BS,33,FALSE)*80%))+VLOOKUP($A69,EY!$A:$BS,43,FALSE))+(VLOOKUP(A69,EY!A:DF,110,FALSE)-VLOOKUP(A69,EY!A:DD,108,FALSE))+(VLOOKUP(A69,EY!A:CE,83,FALSE)-VLOOKUP(A69,EY!A:CC,81,FALSE))</f>
        <v>0</v>
      </c>
      <c r="EO69" s="309"/>
      <c r="EP69" s="309">
        <f>_xlfn.IFNA((VLOOKUP($A69,HN!$A:$K,8,FALSE)/12),0)+_xlfn.IFNA((VLOOKUP($A69,HN!$A:$AF,32,FALSE)*1/12),0)</f>
        <v>0</v>
      </c>
      <c r="EQ69" s="309">
        <f>_xlfn.IFNA((VLOOKUP($A69,HN!$A:$BS,14,FALSE)/12),0)+_xlfn.IFNA((VLOOKUP($A69,HN!$A:$BS,34,FALSE)/3),0)</f>
        <v>0</v>
      </c>
      <c r="ER69" s="309">
        <f>_xlfn.IFNA(VLOOKUP($A69,'Post 16'!$A:$AV,32,FALSE),0)/8</f>
        <v>0</v>
      </c>
      <c r="ES69" s="309">
        <f>((VLOOKUP($A69,EY!A:EV,33,FALSE)*80%))+VLOOKUP(A69,EY!A:DD,108,FALSE)+VLOOKUP(A69,EY!A:CC,81,FALSE)</f>
        <v>0</v>
      </c>
      <c r="ET69" s="309">
        <f>_xlfn.IFNA((VLOOKUP($A69,HN!$A:$K,9,FALSE)/12),0)+_xlfn.IFNA((VLOOKUP($A69,HN!$A:$K,10,FALSE)/12),0)+_xlfn.IFNA((VLOOKUP($A69,HN!$A:$BZ,33,FALSE)/12),0)</f>
        <v>0</v>
      </c>
      <c r="EU69" s="309">
        <f>_xlfn.IFNA((VLOOKUP($A69,HN!$A:$BS,15,FALSE)/12),0)</f>
        <v>0</v>
      </c>
      <c r="EV69" s="308">
        <f t="shared" si="39"/>
        <v>-1263.1575</v>
      </c>
      <c r="EW69" s="308">
        <f t="shared" si="40"/>
        <v>-6507.6741666666667</v>
      </c>
      <c r="EX69" s="309"/>
      <c r="EY69" s="309">
        <f>_xlfn.IFNA(VLOOKUP($A69,'Cash Advances'!$A:$S,17,FALSE),0)</f>
        <v>0</v>
      </c>
      <c r="EZ69" s="309">
        <f>_xlfn.IFNA(VLOOKUP(A69,'LA Deductions'!A:AZ,25,FALSE),0)/9</f>
        <v>0</v>
      </c>
      <c r="FA69" s="308">
        <f t="shared" si="41"/>
        <v>484761.6014216576</v>
      </c>
      <c r="FB69" s="315">
        <f t="shared" si="42"/>
        <v>492532.43308832427</v>
      </c>
      <c r="FC69" s="315"/>
      <c r="FD69" s="316"/>
      <c r="FE69" s="316">
        <f>_xlfn.IFNA((VLOOKUP($A69,HN!$A:$K,8,FALSE)/12),0)+_xlfn.IFNA((VLOOKUP($A69,HN!$A:$AF,32,FALSE)*1/12),0)</f>
        <v>0</v>
      </c>
      <c r="FF69" s="316">
        <f>_xlfn.IFNA((VLOOKUP($A69,HN!$A:$BS,14,FALSE)/12),0)+_xlfn.IFNA((VLOOKUP($A69,HN!$A:$BS,34,FALSE)/3),0)</f>
        <v>0</v>
      </c>
      <c r="FG69" s="316">
        <f>_xlfn.IFNA(VLOOKUP($A69,'Post 16'!$A:$AV,32,FALSE),0)/8</f>
        <v>0</v>
      </c>
      <c r="FH69" s="316"/>
      <c r="FI69" s="316">
        <f>_xlfn.IFNA((VLOOKUP($A69,HN!$A:$K,9,FALSE)/12),0)+_xlfn.IFNA((VLOOKUP($A69,HN!$A:$K,10,FALSE)/12),0)+_xlfn.IFNA((VLOOKUP($A69,HN!$A:$BZ,33,FALSE)/12),0)+_xlfn.IFNA((VLOOKUP($A69,HN!$A:$BZ,35,FALSE)/2),0)</f>
        <v>0</v>
      </c>
      <c r="FJ69" s="316">
        <f>_xlfn.IFNA((VLOOKUP($A69,HN!$A:$BS,15,FALSE)/12),0)+_xlfn.IFNA((VLOOKUP($A69,HN!$A:$CZ,36,FALSE)/2),0)</f>
        <v>0</v>
      </c>
      <c r="FK69" s="315">
        <f t="shared" si="43"/>
        <v>-1263.1575</v>
      </c>
      <c r="FL69" s="315">
        <f t="shared" si="44"/>
        <v>-6507.6741666666667</v>
      </c>
      <c r="FM69" s="316"/>
      <c r="FN69" s="316">
        <f>_xlfn.IFNA(VLOOKUP($A69,'Cash Advances'!$A:$S,18,FALSE),0)</f>
        <v>0</v>
      </c>
      <c r="FO69" s="316">
        <f>_xlfn.IFNA(VLOOKUP(A69,'LA Deductions'!A:AZ,25,FALSE),0)/9</f>
        <v>0</v>
      </c>
      <c r="FP69" s="315">
        <f t="shared" si="45"/>
        <v>484761.6014216576</v>
      </c>
      <c r="FQ69" s="322">
        <f t="shared" si="46"/>
        <v>492532.43308832427</v>
      </c>
      <c r="FR69" s="322"/>
      <c r="FS69" s="323"/>
      <c r="FT69" s="323">
        <f>_xlfn.IFNA((VLOOKUP($A69,HN!$A:$K,8,FALSE)/12),0)+_xlfn.IFNA((VLOOKUP($A69,HN!$A:$AF,32,FALSE)*1/12),0)</f>
        <v>0</v>
      </c>
      <c r="FU69" s="323">
        <f>_xlfn.IFNA((VLOOKUP($A69,HN!$A:$BS,14,FALSE)/12),0)+_xlfn.IFNA((VLOOKUP($A69,HN!$A:$BS,34,FALSE)/3),0)</f>
        <v>0</v>
      </c>
      <c r="FV69" s="323">
        <f>_xlfn.IFNA(VLOOKUP($A69,'Post 16'!$A:$AV,32,FALSE),0)/8</f>
        <v>0</v>
      </c>
      <c r="FW69" s="323"/>
      <c r="FX69" s="323">
        <f>_xlfn.IFNA((VLOOKUP($A69,HN!$A:$K,9,FALSE)/12),0)+_xlfn.IFNA((VLOOKUP($A69,HN!$A:$K,10,FALSE)/12),0)+_xlfn.IFNA((VLOOKUP($A69,HN!$A:$BZ,33,FALSE)/12),0)+_xlfn.IFNA((VLOOKUP($A69,HN!$A:$BZ,35,FALSE)/2),0)</f>
        <v>0</v>
      </c>
      <c r="FY69" s="323">
        <f>_xlfn.IFNA((VLOOKUP($A69,HN!$A:$BS,15,FALSE)/12),0)+_xlfn.IFNA((VLOOKUP($A69,HN!$A:$CZ,36,FALSE)/2),0)</f>
        <v>0</v>
      </c>
      <c r="FZ69" s="322">
        <f t="shared" si="47"/>
        <v>-1263.1575</v>
      </c>
      <c r="GA69" s="322">
        <f t="shared" si="48"/>
        <v>-6507.6741666666667</v>
      </c>
      <c r="GB69" s="323"/>
      <c r="GC69" s="323"/>
      <c r="GD69" s="323">
        <f>_xlfn.IFNA(VLOOKUP(A69,'LA Deductions'!A:AZ,25,FALSE),0)/9</f>
        <v>0</v>
      </c>
      <c r="GE69" s="322">
        <f t="shared" si="49"/>
        <v>484761.6014216576</v>
      </c>
      <c r="GG69" s="146">
        <f t="shared" si="65"/>
        <v>5910389.1970598893</v>
      </c>
      <c r="GH69" s="146">
        <f t="shared" si="65"/>
        <v>0</v>
      </c>
      <c r="GI69" s="146">
        <f t="shared" si="65"/>
        <v>0</v>
      </c>
      <c r="GJ69" s="146">
        <f t="shared" si="65"/>
        <v>-15157.889999999998</v>
      </c>
      <c r="GK69" s="146">
        <f t="shared" si="65"/>
        <v>-78092.089999999982</v>
      </c>
      <c r="GL69" s="146">
        <f t="shared" si="65"/>
        <v>-20331</v>
      </c>
      <c r="GN69" s="146">
        <f t="shared" si="66"/>
        <v>5910389.1970598893</v>
      </c>
      <c r="GO69" s="146">
        <f t="shared" si="66"/>
        <v>0</v>
      </c>
      <c r="GP69" s="146">
        <f t="shared" si="66"/>
        <v>0</v>
      </c>
      <c r="GQ69" s="146">
        <f t="shared" si="66"/>
        <v>-15157.889999999998</v>
      </c>
      <c r="GR69" s="146">
        <f t="shared" si="66"/>
        <v>-78092.089999999982</v>
      </c>
      <c r="GS69" s="146">
        <f t="shared" si="66"/>
        <v>-20331</v>
      </c>
      <c r="GU69" s="146"/>
      <c r="GV69" s="57"/>
    </row>
    <row r="70" spans="1:204">
      <c r="A70" s="185">
        <v>3411</v>
      </c>
      <c r="B70" s="185">
        <v>103479</v>
      </c>
      <c r="C70" s="185" t="s">
        <v>160</v>
      </c>
      <c r="D70" s="2" t="s">
        <v>161</v>
      </c>
      <c r="E70" s="191" t="s">
        <v>32</v>
      </c>
      <c r="F70" s="191" t="s">
        <v>912</v>
      </c>
      <c r="H70" s="279">
        <f>_xlfn.IFNA(VLOOKUP($A70,ISB!$A$4:$BY$454,67,FALSE),0)</f>
        <v>1067052.5572941178</v>
      </c>
      <c r="I70" s="279">
        <f>_xlfn.IFNA(VLOOKUP($A70,ISB!$A$4:$BY$454,72,FALSE),0)</f>
        <v>-3703.3599999999997</v>
      </c>
      <c r="J70" s="279">
        <f>-_xlfn.IFNA(VLOOKUP($A70,ISB!$A$4:$BY$454,76,FALSE),0)</f>
        <v>-33654.800000000003</v>
      </c>
      <c r="K70" s="279">
        <f>_xlfn.IFNA(VLOOKUP($A70,ISB!$A$4:$BY$454,77,FALSE),0)</f>
        <v>1029694.3972941176</v>
      </c>
      <c r="M70" s="301">
        <f t="shared" si="7"/>
        <v>88921.046441176484</v>
      </c>
      <c r="N70" s="301">
        <f>VLOOKUP($A70,EY!$A:$H,8,FALSE)+(VLOOKUP($A70,EY!$A:$BS,17,FALSE)-S70)+VLOOKUP($A70,EY!$A:$BS,41,FALSE)</f>
        <v>42510.602105263155</v>
      </c>
      <c r="O70" s="302"/>
      <c r="P70" s="302">
        <f>_xlfn.IFNA((VLOOKUP($A70,HN!$A:$K,8,FALSE)/12),0)</f>
        <v>0</v>
      </c>
      <c r="Q70" s="302">
        <f>_xlfn.IFNA((VLOOKUP($A70,HN!$A:$BS,14,FALSE)/12),0)</f>
        <v>0</v>
      </c>
      <c r="R70" s="302">
        <f>_xlfn.IFNA(VLOOKUP($A70,'Post 16'!$A:$V,21,FALSE),0)/4</f>
        <v>0</v>
      </c>
      <c r="S70" s="302">
        <f>VLOOKUP($A70,EY!A:Q,15,FALSE)*80%</f>
        <v>0</v>
      </c>
      <c r="T70" s="302">
        <f>_xlfn.IFNA((VLOOKUP($A70,HN!$A:$K,9,FALSE)/12),0)+_xlfn.IFNA((VLOOKUP($A70,HN!$A:$K,10,FALSE)/12),0)</f>
        <v>0</v>
      </c>
      <c r="U70" s="302">
        <f>_xlfn.IFNA((VLOOKUP($A70,HN!$A:$BS,15,FALSE)/12),0)</f>
        <v>0</v>
      </c>
      <c r="V70" s="301">
        <f t="shared" si="8"/>
        <v>-308.61333333333329</v>
      </c>
      <c r="W70" s="301">
        <f t="shared" si="9"/>
        <v>-2804.5666666666671</v>
      </c>
      <c r="X70" s="302"/>
      <c r="Y70" s="302">
        <f>_xlfn.IFNA(VLOOKUP($A70,'Cash Advances'!$A:$S,8,FALSE),0)</f>
        <v>0</v>
      </c>
      <c r="Z70" s="301">
        <f t="shared" ref="Z70:Z99" si="67">SUM(M70:Y70)</f>
        <v>128318.46854643965</v>
      </c>
      <c r="AA70" s="315">
        <f t="shared" si="10"/>
        <v>88921.046441176484</v>
      </c>
      <c r="AB70" s="315"/>
      <c r="AC70" s="316"/>
      <c r="AD70" s="316">
        <f>_xlfn.IFNA((VLOOKUP($A70,HN!$A:$K,8,FALSE)/12),0)</f>
        <v>0</v>
      </c>
      <c r="AE70" s="316">
        <f>_xlfn.IFNA((VLOOKUP($A70,HN!$A:$BS,14,FALSE)/12),0)</f>
        <v>0</v>
      </c>
      <c r="AF70" s="316">
        <f>_xlfn.IFNA(VLOOKUP($A70,'Post 16'!$A:$V,21,FALSE),0)/4</f>
        <v>0</v>
      </c>
      <c r="AG70" s="316"/>
      <c r="AH70" s="316">
        <f>_xlfn.IFNA((VLOOKUP($A70,HN!$A:$K,9,FALSE)/12),0)+_xlfn.IFNA((VLOOKUP($A70,HN!$A:$K,10,FALSE)/12),0)</f>
        <v>0</v>
      </c>
      <c r="AI70" s="316">
        <f>_xlfn.IFNA((VLOOKUP($A70,HN!$A:$BS,15,FALSE)/12),0)</f>
        <v>0</v>
      </c>
      <c r="AJ70" s="315">
        <f t="shared" si="11"/>
        <v>-308.61333333333329</v>
      </c>
      <c r="AK70" s="315">
        <f t="shared" si="12"/>
        <v>-2804.5666666666671</v>
      </c>
      <c r="AL70" s="316"/>
      <c r="AM70" s="316">
        <f>_xlfn.IFNA(VLOOKUP($A70,'Cash Advances'!$A:$S,9,FALSE),0)</f>
        <v>0</v>
      </c>
      <c r="AN70" s="315">
        <f t="shared" ref="AN70:AN99" si="68">SUM(AA70:AM70)</f>
        <v>85807.866441176491</v>
      </c>
      <c r="AO70" s="308">
        <f t="shared" si="13"/>
        <v>88921.046441176484</v>
      </c>
      <c r="AP70" s="308"/>
      <c r="AQ70" s="309"/>
      <c r="AR70" s="309">
        <f>_xlfn.IFNA((VLOOKUP($A70,HN!$A:$K,8,FALSE)/12),0)</f>
        <v>0</v>
      </c>
      <c r="AS70" s="309">
        <f>_xlfn.IFNA((VLOOKUP($A70,HN!$A:$BS,14,FALSE)/12),0)</f>
        <v>0</v>
      </c>
      <c r="AT70" s="309">
        <f>_xlfn.IFNA(VLOOKUP($A70,'Post 16'!$A:$V,21,FALSE),0)/4</f>
        <v>0</v>
      </c>
      <c r="AU70" s="309"/>
      <c r="AV70" s="309">
        <f>_xlfn.IFNA((VLOOKUP($A70,HN!$A:$K,9,FALSE)/12),0)+_xlfn.IFNA((VLOOKUP($A70,HN!$A:$K,10,FALSE)/12),0)+_xlfn.IFNA(VLOOKUP(A70,HN!A:V,19,FALSE),0)+_xlfn.IFNA(VLOOKUP(A70,HN!A:V,20,FALSE),0)+_xlfn.IFNA(VLOOKUP(A70,HN!A:V,21,FALSE),0)</f>
        <v>0</v>
      </c>
      <c r="AW70" s="309">
        <f>_xlfn.IFNA((VLOOKUP($A70,HN!$A:$BS,15,FALSE)/12),0)</f>
        <v>0</v>
      </c>
      <c r="AX70" s="308">
        <f t="shared" si="14"/>
        <v>-308.61333333333329</v>
      </c>
      <c r="AY70" s="308">
        <f t="shared" si="15"/>
        <v>-2804.5666666666671</v>
      </c>
      <c r="AZ70" s="309"/>
      <c r="BA70" s="309">
        <f>_xlfn.IFNA(VLOOKUP($A70,'Cash Advances'!$A:$S,10,FALSE),0)</f>
        <v>0</v>
      </c>
      <c r="BB70" s="308">
        <f t="shared" ref="BB70:BB99" si="69">SUM(AO70:BA70)</f>
        <v>85807.866441176491</v>
      </c>
      <c r="BC70" s="330">
        <f t="shared" si="16"/>
        <v>88921.046441176484</v>
      </c>
      <c r="BD70" s="330"/>
      <c r="BE70" s="331"/>
      <c r="BF70" s="331">
        <f>_xlfn.IFNA((VLOOKUP($A70,HN!$A:$K,8,FALSE)/12),0)</f>
        <v>0</v>
      </c>
      <c r="BG70" s="331">
        <f>_xlfn.IFNA((VLOOKUP($A70,HN!$A:$BS,14,FALSE)/12),0)</f>
        <v>0</v>
      </c>
      <c r="BH70" s="331">
        <f>_xlfn.IFNA(VLOOKUP($A70,'Post 16'!$A:$V,21,FALSE),0)/4</f>
        <v>0</v>
      </c>
      <c r="BI70" s="331"/>
      <c r="BJ70" s="331">
        <f>_xlfn.IFNA((VLOOKUP($A70,HN!$A:$K,9,FALSE)/12),0)+_xlfn.IFNA((VLOOKUP($A70,HN!$A:$K,10,FALSE)/12),0)</f>
        <v>0</v>
      </c>
      <c r="BK70" s="331">
        <f>_xlfn.IFNA((VLOOKUP($A70,HN!$A:$BS,15,FALSE)/12),0)</f>
        <v>0</v>
      </c>
      <c r="BL70" s="330">
        <f t="shared" si="17"/>
        <v>-308.61333333333329</v>
      </c>
      <c r="BM70" s="330">
        <f t="shared" si="18"/>
        <v>-2804.5666666666671</v>
      </c>
      <c r="BN70" s="331"/>
      <c r="BO70" s="331">
        <f>_xlfn.IFNA(VLOOKUP(A70,'Cash Advances'!A:K,11,FALSE),0)</f>
        <v>0</v>
      </c>
      <c r="BP70" s="330">
        <f t="shared" ref="BP70:BP99" si="70">SUM(BC70:BO70)</f>
        <v>85807.866441176491</v>
      </c>
      <c r="BQ70" s="322">
        <f t="shared" si="19"/>
        <v>88921.046441176484</v>
      </c>
      <c r="BR70" s="322"/>
      <c r="BS70" s="323"/>
      <c r="BT70" s="323">
        <f>_xlfn.IFNA((VLOOKUP($A70,HN!$A:$K,8,FALSE)/12),0)</f>
        <v>0</v>
      </c>
      <c r="BU70" s="323">
        <f>_xlfn.IFNA((VLOOKUP($A70,HN!$A:$BS,14,FALSE)/12),0)</f>
        <v>0</v>
      </c>
      <c r="BV70" s="323">
        <f>(_xlfn.IFNA(VLOOKUP($A70,'Post 16'!$A:$AV,32,FALSE),0)/8)+_xlfn.IFNA(VLOOKUP($A70,'Post 16'!$A:$AR,40,FALSE),0)</f>
        <v>0</v>
      </c>
      <c r="BW70" s="323"/>
      <c r="BX70" s="323">
        <f>_xlfn.IFNA((VLOOKUP($A70,HN!$A:$K,9,FALSE)/12),0)+_xlfn.IFNA((VLOOKUP($A70,HN!$A:$K,10,FALSE)/12),0)</f>
        <v>0</v>
      </c>
      <c r="BY70" s="323">
        <f>_xlfn.IFNA((VLOOKUP($A70,HN!$A:$BS,15,FALSE)/12),0)</f>
        <v>0</v>
      </c>
      <c r="BZ70" s="322">
        <f t="shared" si="20"/>
        <v>-308.61333333333329</v>
      </c>
      <c r="CA70" s="322">
        <f t="shared" si="21"/>
        <v>-2804.5666666666671</v>
      </c>
      <c r="CB70" s="323"/>
      <c r="CC70" s="323"/>
      <c r="CD70" s="322">
        <f t="shared" ref="CD70:CD99" si="71">SUM(BQ70:CC70)</f>
        <v>85807.866441176491</v>
      </c>
      <c r="CE70" s="357">
        <f t="shared" si="22"/>
        <v>88921.046441176484</v>
      </c>
      <c r="CF70" s="357">
        <f>(VLOOKUP($A70,EY!$A:$BS,26,FALSE)-(VLOOKUP($A70,EY!A:CR,24,FALSE)*80%))+VLOOKUP($A70,EY!$A:$BS,42,FALSE)+(VLOOKUP($A70,EY!A:CC,74,FALSE)-VLOOKUP($A70,EY!A:CC,72,FALSE))</f>
        <v>64547.791578947363</v>
      </c>
      <c r="CG70" s="358"/>
      <c r="CH70" s="358">
        <f>_xlfn.IFNA((VLOOKUP($A70,HN!$A:$K,8,FALSE)/12),0)</f>
        <v>0</v>
      </c>
      <c r="CI70" s="358">
        <f>_xlfn.IFNA((VLOOKUP($A70,HN!$A:$BS,14,FALSE)/12),0)</f>
        <v>0</v>
      </c>
      <c r="CJ70" s="358">
        <f>(_xlfn.IFNA(VLOOKUP($A70,'Post 16'!$A:$AV,32,FALSE),0)/8)</f>
        <v>0</v>
      </c>
      <c r="CK70" s="358">
        <f>(VLOOKUP($A70,EY!A:CR,24,FALSE)*80%)+VLOOKUP($A70,EY!A:CC,72,FALSE)</f>
        <v>0</v>
      </c>
      <c r="CL70" s="358">
        <f>_xlfn.IFNA((VLOOKUP($A70,HN!$A:$K,9,FALSE)/12),0)+_xlfn.IFNA((VLOOKUP($A70,HN!$A:$K,10,FALSE)/12),0)</f>
        <v>0</v>
      </c>
      <c r="CM70" s="358">
        <f>_xlfn.IFNA((VLOOKUP($A70,HN!$A:$BS,15,FALSE)/12),0)</f>
        <v>0</v>
      </c>
      <c r="CN70" s="357">
        <f t="shared" si="23"/>
        <v>-308.61333333333329</v>
      </c>
      <c r="CO70" s="357">
        <f t="shared" si="24"/>
        <v>-2804.5666666666671</v>
      </c>
      <c r="CP70" s="358">
        <f>_xlfn.IFNA(VLOOKUP(A70,'LA Deductions'!A:W,23,FALSE),0)</f>
        <v>-4347</v>
      </c>
      <c r="CQ70" s="358">
        <f>_xlfn.IFNA(VLOOKUP($A70,'Cash Advances'!$A:$S,13,FALSE),0)</f>
        <v>0</v>
      </c>
      <c r="CR70" s="358">
        <f>_xlfn.IFNA(VLOOKUP(A70,'LA Deductions'!A:AZ,25,FALSE),0)/9*3</f>
        <v>0</v>
      </c>
      <c r="CS70" s="357">
        <f t="shared" si="25"/>
        <v>146008.65802012381</v>
      </c>
      <c r="CT70" s="337">
        <f t="shared" si="26"/>
        <v>88921.046441176484</v>
      </c>
      <c r="CU70" s="337"/>
      <c r="CV70" s="338">
        <f>_xlfn.IFNA(VLOOKUP(A70,'LA Deductions'!$A$6:$AN$207,34,FALSE),0)</f>
        <v>0</v>
      </c>
      <c r="CW70" s="338">
        <f>_xlfn.IFNA((VLOOKUP($A70,HN!$A:$K,8,FALSE)/12),0)</f>
        <v>0</v>
      </c>
      <c r="CX70" s="338">
        <f>_xlfn.IFNA((VLOOKUP($A70,HN!$A:$BS,14,FALSE)/12),0)</f>
        <v>0</v>
      </c>
      <c r="CY70" s="338">
        <f>_xlfn.IFNA(VLOOKUP($A70,'Post 16'!$A:$AV,32,FALSE),0)/8</f>
        <v>0</v>
      </c>
      <c r="CZ70" s="338"/>
      <c r="DA70" s="338">
        <f>_xlfn.IFNA((VLOOKUP($A70,HN!$A:$K,9,FALSE)/12),0)+_xlfn.IFNA((VLOOKUP($A70,HN!$A:$K,10,FALSE)/12),0)</f>
        <v>0</v>
      </c>
      <c r="DB70" s="338">
        <f>_xlfn.IFNA((VLOOKUP($A70,HN!$A:$BS,15,FALSE)/12),0)</f>
        <v>0</v>
      </c>
      <c r="DC70" s="337">
        <f t="shared" si="27"/>
        <v>-308.61333333333329</v>
      </c>
      <c r="DD70" s="337">
        <f t="shared" si="28"/>
        <v>-2804.5666666666671</v>
      </c>
      <c r="DE70" s="338"/>
      <c r="DF70" s="338">
        <f>_xlfn.IFNA(VLOOKUP($A70,'Cash Advances'!$A:$S,14,FALSE),0)</f>
        <v>0</v>
      </c>
      <c r="DG70" s="338">
        <f>(_xlfn.IFNA(VLOOKUP(A70,'LA Deductions'!A:AZ,25,FALSE),0)/9)+(_xlfn.IFNA(VLOOKUP(A70,'LA Deductions'!A:AZ,26,FALSE),0))</f>
        <v>0</v>
      </c>
      <c r="DH70" s="337">
        <f t="shared" si="29"/>
        <v>85807.866441176491</v>
      </c>
      <c r="DI70" s="330">
        <f t="shared" si="30"/>
        <v>88921.046441176484</v>
      </c>
      <c r="DJ70" s="330"/>
      <c r="DK70" s="331"/>
      <c r="DL70" s="331">
        <f>_xlfn.IFNA((VLOOKUP($A70,HN!$A:$K,8,FALSE)/12),0)+_xlfn.IFNA((VLOOKUP($A70,HN!$A:$AF,32,FALSE)*8/12),0)</f>
        <v>0</v>
      </c>
      <c r="DM70" s="331">
        <f>_xlfn.IFNA((VLOOKUP($A70,HN!$A:$BS,14,FALSE)/12),0)+_xlfn.IFNA(VLOOKUP($A70,HN!$A:$BS,31,FALSE),0)</f>
        <v>0</v>
      </c>
      <c r="DN70" s="331">
        <f>_xlfn.IFNA(VLOOKUP($A70,'Post 16'!$A:$AV,32,FALSE),0)/8</f>
        <v>0</v>
      </c>
      <c r="DO70" s="331"/>
      <c r="DP70" s="331">
        <f>_xlfn.IFNA((VLOOKUP($A70,HN!$A:$K,9,FALSE)/12),0)+_xlfn.IFNA((VLOOKUP($A70,HN!$A:$K,10,FALSE)/12),0)+_xlfn.IFNA((VLOOKUP($A70,HN!$A:$BZ,33,FALSE)*8/12),0)</f>
        <v>0</v>
      </c>
      <c r="DQ70" s="331">
        <f>_xlfn.IFNA((VLOOKUP($A70,HN!$A:$BS,15,FALSE)/12),0)</f>
        <v>0</v>
      </c>
      <c r="DR70" s="330">
        <f t="shared" si="31"/>
        <v>-308.61333333333329</v>
      </c>
      <c r="DS70" s="330">
        <f t="shared" si="32"/>
        <v>-2804.5666666666671</v>
      </c>
      <c r="DT70" s="331"/>
      <c r="DU70" s="331"/>
      <c r="DV70" s="331">
        <f>(_xlfn.IFNA(VLOOKUP(A70,'LA Deductions'!A:AZ,25,FALSE),0)/9)+_xlfn.IFNA(VLOOKUP(A70,'LA Deductions'!A:AZ,27,FALSE),0)</f>
        <v>0</v>
      </c>
      <c r="DW70" s="330">
        <f t="shared" si="33"/>
        <v>85807.866441176491</v>
      </c>
      <c r="DX70" s="344">
        <f t="shared" si="34"/>
        <v>88921.046441176484</v>
      </c>
      <c r="DY70" s="344"/>
      <c r="DZ70" s="345"/>
      <c r="EA70" s="345">
        <f>_xlfn.IFNA((VLOOKUP($A70,HN!$A:$K,8,FALSE)/12),0)+_xlfn.IFNA((VLOOKUP($A70,HN!$A:$AF,32,FALSE)*1/12),0)</f>
        <v>0</v>
      </c>
      <c r="EB70" s="345">
        <f>_xlfn.IFNA((VLOOKUP($A70,HN!$A:$BS,14,FALSE)/12),0)</f>
        <v>0</v>
      </c>
      <c r="EC70" s="345">
        <f>_xlfn.IFNA(VLOOKUP($A70,'Post 16'!$A:$AV,32,FALSE),0)/8</f>
        <v>0</v>
      </c>
      <c r="ED70" s="345"/>
      <c r="EE70" s="345">
        <f>_xlfn.IFNA((VLOOKUP($A70,HN!$A:$K,9,FALSE)/12),0)+_xlfn.IFNA((VLOOKUP($A70,HN!$A:$K,10,FALSE)/12),0)+_xlfn.IFNA((VLOOKUP($A70,HN!$A:$BZ,33,FALSE)/12),0)</f>
        <v>0</v>
      </c>
      <c r="EF70" s="345">
        <f>_xlfn.IFNA((VLOOKUP($A70,HN!$A:$BS,15,FALSE)/12),0)</f>
        <v>0</v>
      </c>
      <c r="EG70" s="344">
        <f t="shared" si="35"/>
        <v>-308.61333333333329</v>
      </c>
      <c r="EH70" s="344">
        <f t="shared" si="36"/>
        <v>-2804.5666666666671</v>
      </c>
      <c r="EI70" s="345"/>
      <c r="EJ70" s="345">
        <f>_xlfn.IFNA(VLOOKUP(A70,'Cash Advances'!A:P,16,FALSE),0)</f>
        <v>0</v>
      </c>
      <c r="EK70" s="345">
        <f>_xlfn.IFNA(VLOOKUP(A70,'LA Deductions'!A:AZ,25,FALSE),0)/9</f>
        <v>0</v>
      </c>
      <c r="EL70" s="344">
        <f t="shared" si="37"/>
        <v>85807.866441176491</v>
      </c>
      <c r="EM70" s="308">
        <f t="shared" si="38"/>
        <v>88921.046441176484</v>
      </c>
      <c r="EN70" s="308">
        <f>((VLOOKUP($A70,EY!$A:$BS,35,FALSE)-(VLOOKUP($A70,EY!$A:$BS,33,FALSE)*80%))+VLOOKUP($A70,EY!$A:$BS,43,FALSE))+(VLOOKUP(A70,EY!A:DF,110,FALSE)-VLOOKUP(A70,EY!A:DD,108,FALSE))+(VLOOKUP(A70,EY!A:CE,83,FALSE)-VLOOKUP(A70,EY!A:CC,81,FALSE))</f>
        <v>58425.618282548479</v>
      </c>
      <c r="EO70" s="309"/>
      <c r="EP70" s="309">
        <f>_xlfn.IFNA((VLOOKUP($A70,HN!$A:$K,8,FALSE)/12),0)+_xlfn.IFNA((VLOOKUP($A70,HN!$A:$AF,32,FALSE)*1/12),0)</f>
        <v>0</v>
      </c>
      <c r="EQ70" s="309">
        <f>_xlfn.IFNA((VLOOKUP($A70,HN!$A:$BS,14,FALSE)/12),0)+_xlfn.IFNA((VLOOKUP($A70,HN!$A:$BS,34,FALSE)/3),0)</f>
        <v>0</v>
      </c>
      <c r="ER70" s="309">
        <f>_xlfn.IFNA(VLOOKUP($A70,'Post 16'!$A:$AV,32,FALSE),0)/8</f>
        <v>0</v>
      </c>
      <c r="ES70" s="309">
        <f>((VLOOKUP($A70,EY!A:EV,33,FALSE)*80%))+VLOOKUP(A70,EY!A:DD,108,FALSE)+VLOOKUP(A70,EY!A:CC,81,FALSE)</f>
        <v>0</v>
      </c>
      <c r="ET70" s="309">
        <f>_xlfn.IFNA((VLOOKUP($A70,HN!$A:$K,9,FALSE)/12),0)+_xlfn.IFNA((VLOOKUP($A70,HN!$A:$K,10,FALSE)/12),0)+_xlfn.IFNA((VLOOKUP($A70,HN!$A:$BZ,33,FALSE)/12),0)</f>
        <v>0</v>
      </c>
      <c r="EU70" s="309">
        <f>_xlfn.IFNA((VLOOKUP($A70,HN!$A:$BS,15,FALSE)/12),0)</f>
        <v>0</v>
      </c>
      <c r="EV70" s="308">
        <f t="shared" si="39"/>
        <v>-308.61333333333329</v>
      </c>
      <c r="EW70" s="308">
        <f t="shared" si="40"/>
        <v>-2804.5666666666671</v>
      </c>
      <c r="EX70" s="309"/>
      <c r="EY70" s="309">
        <f>_xlfn.IFNA(VLOOKUP($A70,'Cash Advances'!$A:$S,17,FALSE),0)</f>
        <v>0</v>
      </c>
      <c r="EZ70" s="309">
        <f>_xlfn.IFNA(VLOOKUP(A70,'LA Deductions'!A:AZ,25,FALSE),0)/9</f>
        <v>0</v>
      </c>
      <c r="FA70" s="308">
        <f t="shared" si="41"/>
        <v>144233.48472372495</v>
      </c>
      <c r="FB70" s="315">
        <f t="shared" si="42"/>
        <v>88921.046441176484</v>
      </c>
      <c r="FC70" s="315"/>
      <c r="FD70" s="316"/>
      <c r="FE70" s="316">
        <f>_xlfn.IFNA((VLOOKUP($A70,HN!$A:$K,8,FALSE)/12),0)+_xlfn.IFNA((VLOOKUP($A70,HN!$A:$AF,32,FALSE)*1/12),0)</f>
        <v>0</v>
      </c>
      <c r="FF70" s="316">
        <f>_xlfn.IFNA((VLOOKUP($A70,HN!$A:$BS,14,FALSE)/12),0)+_xlfn.IFNA((VLOOKUP($A70,HN!$A:$BS,34,FALSE)/3),0)</f>
        <v>0</v>
      </c>
      <c r="FG70" s="316">
        <f>_xlfn.IFNA(VLOOKUP($A70,'Post 16'!$A:$AV,32,FALSE),0)/8</f>
        <v>0</v>
      </c>
      <c r="FH70" s="316"/>
      <c r="FI70" s="316">
        <f>_xlfn.IFNA((VLOOKUP($A70,HN!$A:$K,9,FALSE)/12),0)+_xlfn.IFNA((VLOOKUP($A70,HN!$A:$K,10,FALSE)/12),0)+_xlfn.IFNA((VLOOKUP($A70,HN!$A:$BZ,33,FALSE)/12),0)+_xlfn.IFNA((VLOOKUP($A70,HN!$A:$BZ,35,FALSE)/2),0)</f>
        <v>0</v>
      </c>
      <c r="FJ70" s="316">
        <f>_xlfn.IFNA((VLOOKUP($A70,HN!$A:$BS,15,FALSE)/12),0)+_xlfn.IFNA((VLOOKUP($A70,HN!$A:$CZ,36,FALSE)/2),0)</f>
        <v>0</v>
      </c>
      <c r="FK70" s="315">
        <f t="shared" si="43"/>
        <v>-308.61333333333329</v>
      </c>
      <c r="FL70" s="315">
        <f t="shared" si="44"/>
        <v>-2804.5666666666671</v>
      </c>
      <c r="FM70" s="316"/>
      <c r="FN70" s="316">
        <f>_xlfn.IFNA(VLOOKUP($A70,'Cash Advances'!$A:$S,18,FALSE),0)</f>
        <v>0</v>
      </c>
      <c r="FO70" s="316">
        <f>_xlfn.IFNA(VLOOKUP(A70,'LA Deductions'!A:AZ,25,FALSE),0)/9</f>
        <v>0</v>
      </c>
      <c r="FP70" s="315">
        <f t="shared" si="45"/>
        <v>85807.866441176491</v>
      </c>
      <c r="FQ70" s="322">
        <f t="shared" si="46"/>
        <v>88921.046441176484</v>
      </c>
      <c r="FR70" s="322"/>
      <c r="FS70" s="323"/>
      <c r="FT70" s="323">
        <f>_xlfn.IFNA((VLOOKUP($A70,HN!$A:$K,8,FALSE)/12),0)+_xlfn.IFNA((VLOOKUP($A70,HN!$A:$AF,32,FALSE)*1/12),0)</f>
        <v>0</v>
      </c>
      <c r="FU70" s="323">
        <f>_xlfn.IFNA((VLOOKUP($A70,HN!$A:$BS,14,FALSE)/12),0)+_xlfn.IFNA((VLOOKUP($A70,HN!$A:$BS,34,FALSE)/3),0)</f>
        <v>0</v>
      </c>
      <c r="FV70" s="323">
        <f>_xlfn.IFNA(VLOOKUP($A70,'Post 16'!$A:$AV,32,FALSE),0)/8</f>
        <v>0</v>
      </c>
      <c r="FW70" s="323"/>
      <c r="FX70" s="323">
        <f>_xlfn.IFNA((VLOOKUP($A70,HN!$A:$K,9,FALSE)/12),0)+_xlfn.IFNA((VLOOKUP($A70,HN!$A:$K,10,FALSE)/12),0)+_xlfn.IFNA((VLOOKUP($A70,HN!$A:$BZ,33,FALSE)/12),0)+_xlfn.IFNA((VLOOKUP($A70,HN!$A:$BZ,35,FALSE)/2),0)</f>
        <v>0</v>
      </c>
      <c r="FY70" s="323">
        <f>_xlfn.IFNA((VLOOKUP($A70,HN!$A:$BS,15,FALSE)/12),0)+_xlfn.IFNA((VLOOKUP($A70,HN!$A:$CZ,36,FALSE)/2),0)</f>
        <v>0</v>
      </c>
      <c r="FZ70" s="322">
        <f t="shared" si="47"/>
        <v>-308.61333333333329</v>
      </c>
      <c r="GA70" s="322">
        <f t="shared" si="48"/>
        <v>-2804.5666666666671</v>
      </c>
      <c r="GB70" s="323"/>
      <c r="GC70" s="323"/>
      <c r="GD70" s="323">
        <f>_xlfn.IFNA(VLOOKUP(A70,'LA Deductions'!A:AZ,25,FALSE),0)/9</f>
        <v>0</v>
      </c>
      <c r="GE70" s="322">
        <f t="shared" si="49"/>
        <v>85807.866441176491</v>
      </c>
      <c r="GG70" s="146">
        <f t="shared" si="65"/>
        <v>1232536.5692608766</v>
      </c>
      <c r="GH70" s="146">
        <f t="shared" si="65"/>
        <v>0</v>
      </c>
      <c r="GI70" s="146">
        <f t="shared" si="65"/>
        <v>0</v>
      </c>
      <c r="GJ70" s="146">
        <f t="shared" si="65"/>
        <v>-3703.3599999999992</v>
      </c>
      <c r="GK70" s="146">
        <f t="shared" si="65"/>
        <v>-33654.799999999996</v>
      </c>
      <c r="GL70" s="146">
        <f t="shared" si="65"/>
        <v>-4347</v>
      </c>
      <c r="GN70" s="146">
        <f t="shared" si="66"/>
        <v>1232536.5692608766</v>
      </c>
      <c r="GO70" s="146">
        <f t="shared" si="66"/>
        <v>0</v>
      </c>
      <c r="GP70" s="146">
        <f t="shared" si="66"/>
        <v>0</v>
      </c>
      <c r="GQ70" s="146">
        <f t="shared" si="66"/>
        <v>-3703.3599999999992</v>
      </c>
      <c r="GR70" s="146">
        <f t="shared" si="66"/>
        <v>-33654.799999999996</v>
      </c>
      <c r="GS70" s="146">
        <f t="shared" si="66"/>
        <v>-4347</v>
      </c>
      <c r="GU70" s="146"/>
      <c r="GV70" s="57"/>
    </row>
    <row r="71" spans="1:204">
      <c r="A71" s="185">
        <v>4223</v>
      </c>
      <c r="B71" s="185">
        <v>103509</v>
      </c>
      <c r="C71" s="185" t="s">
        <v>162</v>
      </c>
      <c r="D71" s="2" t="s">
        <v>163</v>
      </c>
      <c r="E71" s="191" t="s">
        <v>58</v>
      </c>
      <c r="F71" s="191" t="s">
        <v>912</v>
      </c>
      <c r="H71" s="279">
        <f>_xlfn.IFNA(VLOOKUP($A71,ISB!$A$4:$BY$454,67,FALSE),0)</f>
        <v>8459970.3026285898</v>
      </c>
      <c r="I71" s="279">
        <f>_xlfn.IFNA(VLOOKUP($A71,ISB!$A$4:$BY$454,72,FALSE),0)</f>
        <v>-20069.61</v>
      </c>
      <c r="J71" s="279">
        <f>-_xlfn.IFNA(VLOOKUP($A71,ISB!$A$4:$BY$454,76,FALSE),0)</f>
        <v>-186512.23</v>
      </c>
      <c r="K71" s="279">
        <f>_xlfn.IFNA(VLOOKUP($A71,ISB!$A$4:$BY$454,77,FALSE),0)</f>
        <v>8253388.4626285899</v>
      </c>
      <c r="M71" s="301">
        <f t="shared" ref="M71:M132" si="72">$H71/12</f>
        <v>704997.52521904919</v>
      </c>
      <c r="N71" s="301">
        <f>VLOOKUP($A71,EY!$A:$H,8,FALSE)+(VLOOKUP($A71,EY!$A:$BS,17,FALSE)-S71)+VLOOKUP($A71,EY!$A:$BS,41,FALSE)</f>
        <v>0</v>
      </c>
      <c r="O71" s="302"/>
      <c r="P71" s="302">
        <f>_xlfn.IFNA((VLOOKUP($A71,HN!$A:$K,8,FALSE)/12),0)</f>
        <v>0</v>
      </c>
      <c r="Q71" s="302">
        <f>_xlfn.IFNA((VLOOKUP($A71,HN!$A:$BS,14,FALSE)/12),0)</f>
        <v>0</v>
      </c>
      <c r="R71" s="302">
        <f>_xlfn.IFNA(VLOOKUP($A71,'Post 16'!$A:$V,21,FALSE),0)/4</f>
        <v>77447.166666666672</v>
      </c>
      <c r="S71" s="302">
        <f>VLOOKUP($A71,EY!A:Q,15,FALSE)*80%</f>
        <v>0</v>
      </c>
      <c r="T71" s="302">
        <f>_xlfn.IFNA((VLOOKUP($A71,HN!$A:$K,9,FALSE)/12),0)+_xlfn.IFNA((VLOOKUP($A71,HN!$A:$K,10,FALSE)/12),0)</f>
        <v>0</v>
      </c>
      <c r="U71" s="302">
        <f>_xlfn.IFNA((VLOOKUP($A71,HN!$A:$BS,15,FALSE)/12),0)</f>
        <v>0</v>
      </c>
      <c r="V71" s="301">
        <f t="shared" ref="V71:V132" si="73">$I71/12</f>
        <v>-1672.4675</v>
      </c>
      <c r="W71" s="301">
        <f t="shared" ref="W71:W132" si="74">$J71/12</f>
        <v>-15542.685833333335</v>
      </c>
      <c r="X71" s="302"/>
      <c r="Y71" s="302">
        <f>_xlfn.IFNA(VLOOKUP($A71,'Cash Advances'!$A:$S,8,FALSE),0)</f>
        <v>0</v>
      </c>
      <c r="Z71" s="301">
        <f t="shared" si="67"/>
        <v>765229.5385523825</v>
      </c>
      <c r="AA71" s="315">
        <f t="shared" ref="AA71:AA132" si="75">$H71/12</f>
        <v>704997.52521904919</v>
      </c>
      <c r="AB71" s="315"/>
      <c r="AC71" s="316"/>
      <c r="AD71" s="316">
        <f>_xlfn.IFNA((VLOOKUP($A71,HN!$A:$K,8,FALSE)/12),0)</f>
        <v>0</v>
      </c>
      <c r="AE71" s="316">
        <f>_xlfn.IFNA((VLOOKUP($A71,HN!$A:$BS,14,FALSE)/12),0)</f>
        <v>0</v>
      </c>
      <c r="AF71" s="316">
        <f>_xlfn.IFNA(VLOOKUP($A71,'Post 16'!$A:$V,21,FALSE),0)/4</f>
        <v>77447.166666666672</v>
      </c>
      <c r="AG71" s="316"/>
      <c r="AH71" s="316">
        <f>_xlfn.IFNA((VLOOKUP($A71,HN!$A:$K,9,FALSE)/12),0)+_xlfn.IFNA((VLOOKUP($A71,HN!$A:$K,10,FALSE)/12),0)</f>
        <v>0</v>
      </c>
      <c r="AI71" s="316">
        <f>_xlfn.IFNA((VLOOKUP($A71,HN!$A:$BS,15,FALSE)/12),0)</f>
        <v>0</v>
      </c>
      <c r="AJ71" s="315">
        <f t="shared" ref="AJ71:AJ132" si="76">$I71/12</f>
        <v>-1672.4675</v>
      </c>
      <c r="AK71" s="315">
        <f t="shared" ref="AK71:AK132" si="77">$J71/12</f>
        <v>-15542.685833333335</v>
      </c>
      <c r="AL71" s="316"/>
      <c r="AM71" s="316">
        <f>_xlfn.IFNA(VLOOKUP($A71,'Cash Advances'!$A:$S,9,FALSE),0)</f>
        <v>0</v>
      </c>
      <c r="AN71" s="315">
        <f t="shared" si="68"/>
        <v>765229.5385523825</v>
      </c>
      <c r="AO71" s="308">
        <f t="shared" ref="AO71:AO132" si="78">$H71/12</f>
        <v>704997.52521904919</v>
      </c>
      <c r="AP71" s="308"/>
      <c r="AQ71" s="309"/>
      <c r="AR71" s="309">
        <f>_xlfn.IFNA((VLOOKUP($A71,HN!$A:$K,8,FALSE)/12),0)</f>
        <v>0</v>
      </c>
      <c r="AS71" s="309">
        <f>_xlfn.IFNA((VLOOKUP($A71,HN!$A:$BS,14,FALSE)/12),0)</f>
        <v>0</v>
      </c>
      <c r="AT71" s="309">
        <f>_xlfn.IFNA(VLOOKUP($A71,'Post 16'!$A:$V,21,FALSE),0)/4</f>
        <v>77447.166666666672</v>
      </c>
      <c r="AU71" s="309"/>
      <c r="AV71" s="309">
        <f>_xlfn.IFNA((VLOOKUP($A71,HN!$A:$K,9,FALSE)/12),0)+_xlfn.IFNA((VLOOKUP($A71,HN!$A:$K,10,FALSE)/12),0)+_xlfn.IFNA(VLOOKUP(A71,HN!A:V,19,FALSE),0)+_xlfn.IFNA(VLOOKUP(A71,HN!A:V,20,FALSE),0)+_xlfn.IFNA(VLOOKUP(A71,HN!A:V,21,FALSE),0)</f>
        <v>0</v>
      </c>
      <c r="AW71" s="309">
        <f>_xlfn.IFNA((VLOOKUP($A71,HN!$A:$BS,15,FALSE)/12),0)</f>
        <v>0</v>
      </c>
      <c r="AX71" s="308">
        <f t="shared" ref="AX71:AX132" si="79">$I71/12</f>
        <v>-1672.4675</v>
      </c>
      <c r="AY71" s="308">
        <f t="shared" ref="AY71:AY132" si="80">$J71/12</f>
        <v>-15542.685833333335</v>
      </c>
      <c r="AZ71" s="309"/>
      <c r="BA71" s="309">
        <f>_xlfn.IFNA(VLOOKUP($A71,'Cash Advances'!$A:$S,10,FALSE),0)</f>
        <v>0</v>
      </c>
      <c r="BB71" s="308">
        <f t="shared" si="69"/>
        <v>765229.5385523825</v>
      </c>
      <c r="BC71" s="330">
        <f t="shared" ref="BC71:BC132" si="81">$H71/12</f>
        <v>704997.52521904919</v>
      </c>
      <c r="BD71" s="330"/>
      <c r="BE71" s="331"/>
      <c r="BF71" s="331">
        <f>_xlfn.IFNA((VLOOKUP($A71,HN!$A:$K,8,FALSE)/12),0)</f>
        <v>0</v>
      </c>
      <c r="BG71" s="331">
        <f>_xlfn.IFNA((VLOOKUP($A71,HN!$A:$BS,14,FALSE)/12),0)</f>
        <v>0</v>
      </c>
      <c r="BH71" s="331">
        <f>_xlfn.IFNA(VLOOKUP($A71,'Post 16'!$A:$V,21,FALSE),0)/4</f>
        <v>77447.166666666672</v>
      </c>
      <c r="BI71" s="331"/>
      <c r="BJ71" s="331">
        <f>_xlfn.IFNA((VLOOKUP($A71,HN!$A:$K,9,FALSE)/12),0)+_xlfn.IFNA((VLOOKUP($A71,HN!$A:$K,10,FALSE)/12),0)</f>
        <v>0</v>
      </c>
      <c r="BK71" s="331">
        <f>_xlfn.IFNA((VLOOKUP($A71,HN!$A:$BS,15,FALSE)/12),0)</f>
        <v>0</v>
      </c>
      <c r="BL71" s="330">
        <f t="shared" ref="BL71:BL132" si="82">$I71/12</f>
        <v>-1672.4675</v>
      </c>
      <c r="BM71" s="330">
        <f t="shared" ref="BM71:BM132" si="83">$J71/12</f>
        <v>-15542.685833333335</v>
      </c>
      <c r="BN71" s="331"/>
      <c r="BO71" s="331">
        <f>_xlfn.IFNA(VLOOKUP(A71,'Cash Advances'!A:K,11,FALSE),0)</f>
        <v>0</v>
      </c>
      <c r="BP71" s="330">
        <f t="shared" si="70"/>
        <v>765229.5385523825</v>
      </c>
      <c r="BQ71" s="322">
        <f t="shared" ref="BQ71:BQ132" si="84">$H71/12</f>
        <v>704997.52521904919</v>
      </c>
      <c r="BR71" s="322"/>
      <c r="BS71" s="323"/>
      <c r="BT71" s="323">
        <f>_xlfn.IFNA((VLOOKUP($A71,HN!$A:$K,8,FALSE)/12),0)</f>
        <v>0</v>
      </c>
      <c r="BU71" s="323">
        <f>_xlfn.IFNA((VLOOKUP($A71,HN!$A:$BS,14,FALSE)/12),0)</f>
        <v>0</v>
      </c>
      <c r="BV71" s="323">
        <f>(_xlfn.IFNA(VLOOKUP($A71,'Post 16'!$A:$AV,32,FALSE),0)/8)+_xlfn.IFNA(VLOOKUP($A71,'Post 16'!$A:$AR,40,FALSE),0)</f>
        <v>115519.08333333334</v>
      </c>
      <c r="BW71" s="323"/>
      <c r="BX71" s="323">
        <f>_xlfn.IFNA((VLOOKUP($A71,HN!$A:$K,9,FALSE)/12),0)+_xlfn.IFNA((VLOOKUP($A71,HN!$A:$K,10,FALSE)/12),0)</f>
        <v>0</v>
      </c>
      <c r="BY71" s="323">
        <f>_xlfn.IFNA((VLOOKUP($A71,HN!$A:$BS,15,FALSE)/12),0)</f>
        <v>0</v>
      </c>
      <c r="BZ71" s="322">
        <f t="shared" ref="BZ71:BZ132" si="85">$I71/12</f>
        <v>-1672.4675</v>
      </c>
      <c r="CA71" s="322">
        <f t="shared" ref="CA71:CA132" si="86">$J71/12</f>
        <v>-15542.685833333335</v>
      </c>
      <c r="CB71" s="323"/>
      <c r="CC71" s="323"/>
      <c r="CD71" s="322">
        <f t="shared" si="71"/>
        <v>803301.45521904924</v>
      </c>
      <c r="CE71" s="357">
        <f t="shared" ref="CE71:CE132" si="87">$H71/12</f>
        <v>704997.52521904919</v>
      </c>
      <c r="CF71" s="357">
        <f>(VLOOKUP($A71,EY!$A:$BS,26,FALSE)-(VLOOKUP($A71,EY!A:CR,24,FALSE)*80%))+VLOOKUP($A71,EY!$A:$BS,42,FALSE)+(VLOOKUP($A71,EY!A:CC,74,FALSE)-VLOOKUP($A71,EY!A:CC,72,FALSE))</f>
        <v>0</v>
      </c>
      <c r="CG71" s="358"/>
      <c r="CH71" s="358">
        <f>_xlfn.IFNA((VLOOKUP($A71,HN!$A:$K,8,FALSE)/12),0)</f>
        <v>0</v>
      </c>
      <c r="CI71" s="358">
        <f>_xlfn.IFNA((VLOOKUP($A71,HN!$A:$BS,14,FALSE)/12),0)</f>
        <v>0</v>
      </c>
      <c r="CJ71" s="358">
        <f>(_xlfn.IFNA(VLOOKUP($A71,'Post 16'!$A:$AV,32,FALSE),0)/8)</f>
        <v>105956.08333333334</v>
      </c>
      <c r="CK71" s="358">
        <f>(VLOOKUP($A71,EY!A:CR,24,FALSE)*80%)+VLOOKUP($A71,EY!A:CC,72,FALSE)</f>
        <v>0</v>
      </c>
      <c r="CL71" s="358">
        <f>_xlfn.IFNA((VLOOKUP($A71,HN!$A:$K,9,FALSE)/12),0)+_xlfn.IFNA((VLOOKUP($A71,HN!$A:$K,10,FALSE)/12),0)</f>
        <v>0</v>
      </c>
      <c r="CM71" s="358">
        <f>_xlfn.IFNA((VLOOKUP($A71,HN!$A:$BS,15,FALSE)/12),0)</f>
        <v>0</v>
      </c>
      <c r="CN71" s="357">
        <f t="shared" ref="CN71:CN132" si="88">$I71/12</f>
        <v>-1672.4675</v>
      </c>
      <c r="CO71" s="357">
        <f t="shared" ref="CO71:CO132" si="89">$J71/12</f>
        <v>-15542.685833333335</v>
      </c>
      <c r="CP71" s="358">
        <f>_xlfn.IFNA(VLOOKUP(A71,'LA Deductions'!A:W,23,FALSE),0)</f>
        <v>0</v>
      </c>
      <c r="CQ71" s="358">
        <f>_xlfn.IFNA(VLOOKUP($A71,'Cash Advances'!$A:$S,13,FALSE),0)</f>
        <v>0</v>
      </c>
      <c r="CR71" s="358">
        <f>_xlfn.IFNA(VLOOKUP(A71,'LA Deductions'!A:AZ,25,FALSE),0)/9*3</f>
        <v>0</v>
      </c>
      <c r="CS71" s="357">
        <f t="shared" si="25"/>
        <v>793738.45521904924</v>
      </c>
      <c r="CT71" s="337">
        <f t="shared" ref="CT71:CT132" si="90">$H71/12</f>
        <v>704997.52521904919</v>
      </c>
      <c r="CU71" s="337"/>
      <c r="CV71" s="338">
        <f>_xlfn.IFNA(VLOOKUP(A71,'LA Deductions'!$A$6:$AN$207,34,FALSE),0)</f>
        <v>0</v>
      </c>
      <c r="CW71" s="338">
        <f>_xlfn.IFNA((VLOOKUP($A71,HN!$A:$K,8,FALSE)/12),0)</f>
        <v>0</v>
      </c>
      <c r="CX71" s="338">
        <f>_xlfn.IFNA((VLOOKUP($A71,HN!$A:$BS,14,FALSE)/12),0)</f>
        <v>0</v>
      </c>
      <c r="CY71" s="338">
        <f>_xlfn.IFNA(VLOOKUP($A71,'Post 16'!$A:$AV,32,FALSE),0)/8</f>
        <v>105956.08333333334</v>
      </c>
      <c r="CZ71" s="338"/>
      <c r="DA71" s="338">
        <f>_xlfn.IFNA((VLOOKUP($A71,HN!$A:$K,9,FALSE)/12),0)+_xlfn.IFNA((VLOOKUP($A71,HN!$A:$K,10,FALSE)/12),0)</f>
        <v>0</v>
      </c>
      <c r="DB71" s="338">
        <f>_xlfn.IFNA((VLOOKUP($A71,HN!$A:$BS,15,FALSE)/12),0)</f>
        <v>0</v>
      </c>
      <c r="DC71" s="337">
        <f t="shared" ref="DC71:DC132" si="91">$I71/12</f>
        <v>-1672.4675</v>
      </c>
      <c r="DD71" s="337">
        <f t="shared" ref="DD71:DD132" si="92">$J71/12</f>
        <v>-15542.685833333335</v>
      </c>
      <c r="DE71" s="338"/>
      <c r="DF71" s="338">
        <f>_xlfn.IFNA(VLOOKUP($A71,'Cash Advances'!$A:$S,14,FALSE),0)</f>
        <v>0</v>
      </c>
      <c r="DG71" s="338">
        <f>(_xlfn.IFNA(VLOOKUP(A71,'LA Deductions'!A:AZ,25,FALSE),0)/9)+(_xlfn.IFNA(VLOOKUP(A71,'LA Deductions'!A:AZ,26,FALSE),0))</f>
        <v>0</v>
      </c>
      <c r="DH71" s="337">
        <f t="shared" si="29"/>
        <v>793738.45521904924</v>
      </c>
      <c r="DI71" s="330">
        <f t="shared" ref="DI71:DI132" si="93">$H71/12</f>
        <v>704997.52521904919</v>
      </c>
      <c r="DJ71" s="330"/>
      <c r="DK71" s="331"/>
      <c r="DL71" s="331">
        <f>_xlfn.IFNA((VLOOKUP($A71,HN!$A:$K,8,FALSE)/12),0)+_xlfn.IFNA((VLOOKUP($A71,HN!$A:$AF,32,FALSE)*8/12),0)</f>
        <v>0</v>
      </c>
      <c r="DM71" s="331">
        <f>_xlfn.IFNA((VLOOKUP($A71,HN!$A:$BS,14,FALSE)/12),0)+_xlfn.IFNA(VLOOKUP($A71,HN!$A:$BS,31,FALSE),0)</f>
        <v>0</v>
      </c>
      <c r="DN71" s="331">
        <f>_xlfn.IFNA(VLOOKUP($A71,'Post 16'!$A:$AV,32,FALSE),0)/8</f>
        <v>105956.08333333334</v>
      </c>
      <c r="DO71" s="331"/>
      <c r="DP71" s="331">
        <f>_xlfn.IFNA((VLOOKUP($A71,HN!$A:$K,9,FALSE)/12),0)+_xlfn.IFNA((VLOOKUP($A71,HN!$A:$K,10,FALSE)/12),0)+_xlfn.IFNA((VLOOKUP($A71,HN!$A:$BZ,33,FALSE)*8/12),0)</f>
        <v>0</v>
      </c>
      <c r="DQ71" s="331">
        <f>_xlfn.IFNA((VLOOKUP($A71,HN!$A:$BS,15,FALSE)/12),0)</f>
        <v>0</v>
      </c>
      <c r="DR71" s="330">
        <f t="shared" ref="DR71:DR132" si="94">$I71/12</f>
        <v>-1672.4675</v>
      </c>
      <c r="DS71" s="330">
        <f t="shared" ref="DS71:DS132" si="95">$J71/12</f>
        <v>-15542.685833333335</v>
      </c>
      <c r="DT71" s="331"/>
      <c r="DU71" s="331"/>
      <c r="DV71" s="331">
        <f>(_xlfn.IFNA(VLOOKUP(A71,'LA Deductions'!A:AZ,25,FALSE),0)/9)+_xlfn.IFNA(VLOOKUP(A71,'LA Deductions'!A:AZ,27,FALSE),0)</f>
        <v>0</v>
      </c>
      <c r="DW71" s="330">
        <f t="shared" si="33"/>
        <v>793738.45521904924</v>
      </c>
      <c r="DX71" s="344">
        <f t="shared" ref="DX71:DX132" si="96">$H71/12</f>
        <v>704997.52521904919</v>
      </c>
      <c r="DY71" s="344"/>
      <c r="DZ71" s="345"/>
      <c r="EA71" s="345">
        <f>_xlfn.IFNA((VLOOKUP($A71,HN!$A:$K,8,FALSE)/12),0)+_xlfn.IFNA((VLOOKUP($A71,HN!$A:$AF,32,FALSE)*1/12),0)</f>
        <v>0</v>
      </c>
      <c r="EB71" s="345">
        <f>_xlfn.IFNA((VLOOKUP($A71,HN!$A:$BS,14,FALSE)/12),0)</f>
        <v>0</v>
      </c>
      <c r="EC71" s="345">
        <f>_xlfn.IFNA(VLOOKUP($A71,'Post 16'!$A:$AV,32,FALSE),0)/8</f>
        <v>105956.08333333334</v>
      </c>
      <c r="ED71" s="345"/>
      <c r="EE71" s="345">
        <f>_xlfn.IFNA((VLOOKUP($A71,HN!$A:$K,9,FALSE)/12),0)+_xlfn.IFNA((VLOOKUP($A71,HN!$A:$K,10,FALSE)/12),0)+_xlfn.IFNA((VLOOKUP($A71,HN!$A:$BZ,33,FALSE)/12),0)</f>
        <v>0</v>
      </c>
      <c r="EF71" s="345">
        <f>_xlfn.IFNA((VLOOKUP($A71,HN!$A:$BS,15,FALSE)/12),0)</f>
        <v>0</v>
      </c>
      <c r="EG71" s="344">
        <f t="shared" ref="EG71:EG132" si="97">$I71/12</f>
        <v>-1672.4675</v>
      </c>
      <c r="EH71" s="344">
        <f t="shared" ref="EH71:EH132" si="98">$J71/12</f>
        <v>-15542.685833333335</v>
      </c>
      <c r="EI71" s="345"/>
      <c r="EJ71" s="345">
        <f>_xlfn.IFNA(VLOOKUP(A71,'Cash Advances'!A:P,16,FALSE),0)</f>
        <v>0</v>
      </c>
      <c r="EK71" s="345">
        <f>_xlfn.IFNA(VLOOKUP(A71,'LA Deductions'!A:AZ,25,FALSE),0)/9</f>
        <v>0</v>
      </c>
      <c r="EL71" s="344">
        <f t="shared" si="37"/>
        <v>793738.45521904924</v>
      </c>
      <c r="EM71" s="308">
        <f t="shared" ref="EM71:EM132" si="99">$H71/12</f>
        <v>704997.52521904919</v>
      </c>
      <c r="EN71" s="308">
        <f>((VLOOKUP($A71,EY!$A:$BS,35,FALSE)-(VLOOKUP($A71,EY!$A:$BS,33,FALSE)*80%))+VLOOKUP($A71,EY!$A:$BS,43,FALSE))+(VLOOKUP(A71,EY!A:DF,110,FALSE)-VLOOKUP(A71,EY!A:DD,108,FALSE))+(VLOOKUP(A71,EY!A:CE,83,FALSE)-VLOOKUP(A71,EY!A:CC,81,FALSE))</f>
        <v>0</v>
      </c>
      <c r="EO71" s="309"/>
      <c r="EP71" s="309">
        <f>_xlfn.IFNA((VLOOKUP($A71,HN!$A:$K,8,FALSE)/12),0)+_xlfn.IFNA((VLOOKUP($A71,HN!$A:$AF,32,FALSE)*1/12),0)</f>
        <v>0</v>
      </c>
      <c r="EQ71" s="309">
        <f>_xlfn.IFNA((VLOOKUP($A71,HN!$A:$BS,14,FALSE)/12),0)+_xlfn.IFNA((VLOOKUP($A71,HN!$A:$BS,34,FALSE)/3),0)</f>
        <v>0</v>
      </c>
      <c r="ER71" s="309">
        <f>_xlfn.IFNA(VLOOKUP($A71,'Post 16'!$A:$AV,32,FALSE),0)/8</f>
        <v>105956.08333333334</v>
      </c>
      <c r="ES71" s="309">
        <f>((VLOOKUP($A71,EY!A:EV,33,FALSE)*80%))+VLOOKUP(A71,EY!A:DD,108,FALSE)+VLOOKUP(A71,EY!A:CC,81,FALSE)</f>
        <v>0</v>
      </c>
      <c r="ET71" s="309">
        <f>_xlfn.IFNA((VLOOKUP($A71,HN!$A:$K,9,FALSE)/12),0)+_xlfn.IFNA((VLOOKUP($A71,HN!$A:$K,10,FALSE)/12),0)+_xlfn.IFNA((VLOOKUP($A71,HN!$A:$BZ,33,FALSE)/12),0)</f>
        <v>0</v>
      </c>
      <c r="EU71" s="309">
        <f>_xlfn.IFNA((VLOOKUP($A71,HN!$A:$BS,15,FALSE)/12),0)</f>
        <v>0</v>
      </c>
      <c r="EV71" s="308">
        <f t="shared" ref="EV71:EV132" si="100">$I71/12</f>
        <v>-1672.4675</v>
      </c>
      <c r="EW71" s="308">
        <f t="shared" ref="EW71:EW132" si="101">$J71/12</f>
        <v>-15542.685833333335</v>
      </c>
      <c r="EX71" s="309"/>
      <c r="EY71" s="309">
        <f>_xlfn.IFNA(VLOOKUP($A71,'Cash Advances'!$A:$S,17,FALSE),0)</f>
        <v>0</v>
      </c>
      <c r="EZ71" s="309">
        <f>_xlfn.IFNA(VLOOKUP(A71,'LA Deductions'!A:AZ,25,FALSE),0)/9</f>
        <v>0</v>
      </c>
      <c r="FA71" s="308">
        <f t="shared" si="41"/>
        <v>793738.45521904924</v>
      </c>
      <c r="FB71" s="315">
        <f t="shared" ref="FB71:FB132" si="102">$H71/12</f>
        <v>704997.52521904919</v>
      </c>
      <c r="FC71" s="315"/>
      <c r="FD71" s="316"/>
      <c r="FE71" s="316">
        <f>_xlfn.IFNA((VLOOKUP($A71,HN!$A:$K,8,FALSE)/12),0)+_xlfn.IFNA((VLOOKUP($A71,HN!$A:$AF,32,FALSE)*1/12),0)</f>
        <v>0</v>
      </c>
      <c r="FF71" s="316">
        <f>_xlfn.IFNA((VLOOKUP($A71,HN!$A:$BS,14,FALSE)/12),0)+_xlfn.IFNA((VLOOKUP($A71,HN!$A:$BS,34,FALSE)/3),0)</f>
        <v>0</v>
      </c>
      <c r="FG71" s="316">
        <f>_xlfn.IFNA(VLOOKUP($A71,'Post 16'!$A:$AV,32,FALSE),0)/8</f>
        <v>105956.08333333334</v>
      </c>
      <c r="FH71" s="316"/>
      <c r="FI71" s="316">
        <f>_xlfn.IFNA((VLOOKUP($A71,HN!$A:$K,9,FALSE)/12),0)+_xlfn.IFNA((VLOOKUP($A71,HN!$A:$K,10,FALSE)/12),0)+_xlfn.IFNA((VLOOKUP($A71,HN!$A:$BZ,33,FALSE)/12),0)+_xlfn.IFNA((VLOOKUP($A71,HN!$A:$BZ,35,FALSE)/2),0)</f>
        <v>0</v>
      </c>
      <c r="FJ71" s="316">
        <f>_xlfn.IFNA((VLOOKUP($A71,HN!$A:$BS,15,FALSE)/12),0)+_xlfn.IFNA((VLOOKUP($A71,HN!$A:$CZ,36,FALSE)/2),0)</f>
        <v>0</v>
      </c>
      <c r="FK71" s="315">
        <f t="shared" ref="FK71:FK132" si="103">$I71/12</f>
        <v>-1672.4675</v>
      </c>
      <c r="FL71" s="315">
        <f t="shared" ref="FL71:FL132" si="104">$J71/12</f>
        <v>-15542.685833333335</v>
      </c>
      <c r="FM71" s="316"/>
      <c r="FN71" s="316">
        <f>_xlfn.IFNA(VLOOKUP($A71,'Cash Advances'!$A:$S,18,FALSE),0)</f>
        <v>0</v>
      </c>
      <c r="FO71" s="316">
        <f>_xlfn.IFNA(VLOOKUP(A71,'LA Deductions'!A:AZ,25,FALSE),0)/9</f>
        <v>0</v>
      </c>
      <c r="FP71" s="315">
        <f t="shared" si="45"/>
        <v>793738.45521904924</v>
      </c>
      <c r="FQ71" s="322">
        <f t="shared" ref="FQ71:FQ132" si="105">$H71/12</f>
        <v>704997.52521904919</v>
      </c>
      <c r="FR71" s="322"/>
      <c r="FS71" s="323"/>
      <c r="FT71" s="323">
        <f>_xlfn.IFNA((VLOOKUP($A71,HN!$A:$K,8,FALSE)/12),0)+_xlfn.IFNA((VLOOKUP($A71,HN!$A:$AF,32,FALSE)*1/12),0)</f>
        <v>0</v>
      </c>
      <c r="FU71" s="323">
        <f>_xlfn.IFNA((VLOOKUP($A71,HN!$A:$BS,14,FALSE)/12),0)+_xlfn.IFNA((VLOOKUP($A71,HN!$A:$BS,34,FALSE)/3),0)</f>
        <v>0</v>
      </c>
      <c r="FV71" s="323">
        <f>_xlfn.IFNA(VLOOKUP($A71,'Post 16'!$A:$AV,32,FALSE),0)/8</f>
        <v>105956.08333333334</v>
      </c>
      <c r="FW71" s="323"/>
      <c r="FX71" s="323">
        <f>_xlfn.IFNA((VLOOKUP($A71,HN!$A:$K,9,FALSE)/12),0)+_xlfn.IFNA((VLOOKUP($A71,HN!$A:$K,10,FALSE)/12),0)+_xlfn.IFNA((VLOOKUP($A71,HN!$A:$BZ,33,FALSE)/12),0)+_xlfn.IFNA((VLOOKUP($A71,HN!$A:$BZ,35,FALSE)/2),0)</f>
        <v>0</v>
      </c>
      <c r="FY71" s="323">
        <f>_xlfn.IFNA((VLOOKUP($A71,HN!$A:$BS,15,FALSE)/12),0)+_xlfn.IFNA((VLOOKUP($A71,HN!$A:$CZ,36,FALSE)/2),0)</f>
        <v>0</v>
      </c>
      <c r="FZ71" s="322">
        <f t="shared" ref="FZ71:FZ132" si="106">$I71/12</f>
        <v>-1672.4675</v>
      </c>
      <c r="GA71" s="322">
        <f t="shared" ref="GA71:GA132" si="107">$J71/12</f>
        <v>-15542.685833333335</v>
      </c>
      <c r="GB71" s="323"/>
      <c r="GC71" s="323"/>
      <c r="GD71" s="323">
        <f>_xlfn.IFNA(VLOOKUP(A71,'LA Deductions'!A:AZ,25,FALSE),0)/9</f>
        <v>0</v>
      </c>
      <c r="GE71" s="322">
        <f t="shared" si="49"/>
        <v>793738.45521904924</v>
      </c>
      <c r="GG71" s="146">
        <f t="shared" si="65"/>
        <v>8459970.3026285898</v>
      </c>
      <c r="GH71" s="146">
        <f t="shared" si="65"/>
        <v>1167000.3333333335</v>
      </c>
      <c r="GI71" s="146">
        <f t="shared" si="65"/>
        <v>0</v>
      </c>
      <c r="GJ71" s="146">
        <f t="shared" si="65"/>
        <v>-20069.61</v>
      </c>
      <c r="GK71" s="146">
        <f t="shared" si="65"/>
        <v>-186512.22999999998</v>
      </c>
      <c r="GL71" s="146">
        <f t="shared" si="65"/>
        <v>0</v>
      </c>
      <c r="GN71" s="146">
        <f t="shared" si="66"/>
        <v>8459970.3026285898</v>
      </c>
      <c r="GO71" s="146">
        <f t="shared" si="66"/>
        <v>1167000.3333333335</v>
      </c>
      <c r="GP71" s="146">
        <f t="shared" si="66"/>
        <v>0</v>
      </c>
      <c r="GQ71" s="146">
        <f t="shared" si="66"/>
        <v>-20069.61</v>
      </c>
      <c r="GR71" s="146">
        <f t="shared" si="66"/>
        <v>-186512.22999999998</v>
      </c>
      <c r="GS71" s="146">
        <f t="shared" si="66"/>
        <v>0</v>
      </c>
      <c r="GU71" s="146"/>
      <c r="GV71" s="57"/>
    </row>
    <row r="72" spans="1:204">
      <c r="A72" s="185">
        <v>3317</v>
      </c>
      <c r="B72" s="185">
        <v>103421</v>
      </c>
      <c r="C72" s="185" t="s">
        <v>164</v>
      </c>
      <c r="D72" s="2" t="s">
        <v>165</v>
      </c>
      <c r="E72" s="191" t="s">
        <v>32</v>
      </c>
      <c r="F72" s="191" t="s">
        <v>912</v>
      </c>
      <c r="H72" s="279">
        <f>_xlfn.IFNA(VLOOKUP($A72,ISB!$A$4:$BY$454,67,FALSE),0)</f>
        <v>1345936.7948626308</v>
      </c>
      <c r="I72" s="279">
        <f>_xlfn.IFNA(VLOOKUP($A72,ISB!$A$4:$BY$454,72,FALSE),0)</f>
        <v>-5398.5599999999995</v>
      </c>
      <c r="J72" s="279">
        <f>-_xlfn.IFNA(VLOOKUP($A72,ISB!$A$4:$BY$454,76,FALSE),0)</f>
        <v>-5246.96</v>
      </c>
      <c r="K72" s="279">
        <f>_xlfn.IFNA(VLOOKUP($A72,ISB!$A$4:$BY$454,77,FALSE),0)</f>
        <v>1335291.2748626308</v>
      </c>
      <c r="M72" s="301">
        <f t="shared" si="72"/>
        <v>112161.39957188589</v>
      </c>
      <c r="N72" s="301">
        <f>VLOOKUP($A72,EY!$A:$H,8,FALSE)+(VLOOKUP($A72,EY!$A:$BS,17,FALSE)-S72)+VLOOKUP($A72,EY!$A:$BS,41,FALSE)</f>
        <v>27639.642105263159</v>
      </c>
      <c r="O72" s="302"/>
      <c r="P72" s="302">
        <f>_xlfn.IFNA((VLOOKUP($A72,HN!$A:$K,8,FALSE)/12),0)</f>
        <v>0</v>
      </c>
      <c r="Q72" s="302">
        <f>_xlfn.IFNA((VLOOKUP($A72,HN!$A:$BS,14,FALSE)/12),0)</f>
        <v>0</v>
      </c>
      <c r="R72" s="302">
        <f>_xlfn.IFNA(VLOOKUP($A72,'Post 16'!$A:$V,21,FALSE),0)/4</f>
        <v>0</v>
      </c>
      <c r="S72" s="302">
        <f>VLOOKUP($A72,EY!A:Q,15,FALSE)*80%</f>
        <v>0</v>
      </c>
      <c r="T72" s="302">
        <f>_xlfn.IFNA((VLOOKUP($A72,HN!$A:$K,9,FALSE)/12),0)+_xlfn.IFNA((VLOOKUP($A72,HN!$A:$K,10,FALSE)/12),0)</f>
        <v>0</v>
      </c>
      <c r="U72" s="302">
        <f>_xlfn.IFNA((VLOOKUP($A72,HN!$A:$BS,15,FALSE)/12),0)</f>
        <v>0</v>
      </c>
      <c r="V72" s="301">
        <f t="shared" si="73"/>
        <v>-449.87999999999994</v>
      </c>
      <c r="W72" s="301">
        <f t="shared" si="74"/>
        <v>-437.24666666666667</v>
      </c>
      <c r="X72" s="302"/>
      <c r="Y72" s="302">
        <f>_xlfn.IFNA(VLOOKUP($A72,'Cash Advances'!$A:$S,8,FALSE),0)</f>
        <v>0</v>
      </c>
      <c r="Z72" s="301">
        <f t="shared" si="67"/>
        <v>138913.91501048236</v>
      </c>
      <c r="AA72" s="315">
        <f t="shared" si="75"/>
        <v>112161.39957188589</v>
      </c>
      <c r="AB72" s="315"/>
      <c r="AC72" s="316"/>
      <c r="AD72" s="316">
        <f>_xlfn.IFNA((VLOOKUP($A72,HN!$A:$K,8,FALSE)/12),0)</f>
        <v>0</v>
      </c>
      <c r="AE72" s="316">
        <f>_xlfn.IFNA((VLOOKUP($A72,HN!$A:$BS,14,FALSE)/12),0)</f>
        <v>0</v>
      </c>
      <c r="AF72" s="316">
        <f>_xlfn.IFNA(VLOOKUP($A72,'Post 16'!$A:$V,21,FALSE),0)/4</f>
        <v>0</v>
      </c>
      <c r="AG72" s="316"/>
      <c r="AH72" s="316">
        <f>_xlfn.IFNA((VLOOKUP($A72,HN!$A:$K,9,FALSE)/12),0)+_xlfn.IFNA((VLOOKUP($A72,HN!$A:$K,10,FALSE)/12),0)</f>
        <v>0</v>
      </c>
      <c r="AI72" s="316">
        <f>_xlfn.IFNA((VLOOKUP($A72,HN!$A:$BS,15,FALSE)/12),0)</f>
        <v>0</v>
      </c>
      <c r="AJ72" s="315">
        <f t="shared" si="76"/>
        <v>-449.87999999999994</v>
      </c>
      <c r="AK72" s="315">
        <f t="shared" si="77"/>
        <v>-437.24666666666667</v>
      </c>
      <c r="AL72" s="316"/>
      <c r="AM72" s="316">
        <f>_xlfn.IFNA(VLOOKUP($A72,'Cash Advances'!$A:$S,9,FALSE),0)</f>
        <v>0</v>
      </c>
      <c r="AN72" s="315">
        <f t="shared" si="68"/>
        <v>111274.27290521922</v>
      </c>
      <c r="AO72" s="308">
        <f t="shared" si="78"/>
        <v>112161.39957188589</v>
      </c>
      <c r="AP72" s="308"/>
      <c r="AQ72" s="309"/>
      <c r="AR72" s="309">
        <f>_xlfn.IFNA((VLOOKUP($A72,HN!$A:$K,8,FALSE)/12),0)</f>
        <v>0</v>
      </c>
      <c r="AS72" s="309">
        <f>_xlfn.IFNA((VLOOKUP($A72,HN!$A:$BS,14,FALSE)/12),0)</f>
        <v>0</v>
      </c>
      <c r="AT72" s="309">
        <f>_xlfn.IFNA(VLOOKUP($A72,'Post 16'!$A:$V,21,FALSE),0)/4</f>
        <v>0</v>
      </c>
      <c r="AU72" s="309"/>
      <c r="AV72" s="309">
        <f>_xlfn.IFNA((VLOOKUP($A72,HN!$A:$K,9,FALSE)/12),0)+_xlfn.IFNA((VLOOKUP($A72,HN!$A:$K,10,FALSE)/12),0)+_xlfn.IFNA(VLOOKUP(A72,HN!A:V,19,FALSE),0)+_xlfn.IFNA(VLOOKUP(A72,HN!A:V,20,FALSE),0)+_xlfn.IFNA(VLOOKUP(A72,HN!A:V,21,FALSE),0)</f>
        <v>0</v>
      </c>
      <c r="AW72" s="309">
        <f>_xlfn.IFNA((VLOOKUP($A72,HN!$A:$BS,15,FALSE)/12),0)</f>
        <v>0</v>
      </c>
      <c r="AX72" s="308">
        <f t="shared" si="79"/>
        <v>-449.87999999999994</v>
      </c>
      <c r="AY72" s="308">
        <f t="shared" si="80"/>
        <v>-437.24666666666667</v>
      </c>
      <c r="AZ72" s="309"/>
      <c r="BA72" s="309">
        <f>_xlfn.IFNA(VLOOKUP($A72,'Cash Advances'!$A:$S,10,FALSE),0)</f>
        <v>0</v>
      </c>
      <c r="BB72" s="308">
        <f t="shared" si="69"/>
        <v>111274.27290521922</v>
      </c>
      <c r="BC72" s="330">
        <f t="shared" si="81"/>
        <v>112161.39957188589</v>
      </c>
      <c r="BD72" s="330"/>
      <c r="BE72" s="331"/>
      <c r="BF72" s="331">
        <f>_xlfn.IFNA((VLOOKUP($A72,HN!$A:$K,8,FALSE)/12),0)</f>
        <v>0</v>
      </c>
      <c r="BG72" s="331">
        <f>_xlfn.IFNA((VLOOKUP($A72,HN!$A:$BS,14,FALSE)/12),0)</f>
        <v>0</v>
      </c>
      <c r="BH72" s="331">
        <f>_xlfn.IFNA(VLOOKUP($A72,'Post 16'!$A:$V,21,FALSE),0)/4</f>
        <v>0</v>
      </c>
      <c r="BI72" s="331"/>
      <c r="BJ72" s="331">
        <f>_xlfn.IFNA((VLOOKUP($A72,HN!$A:$K,9,FALSE)/12),0)+_xlfn.IFNA((VLOOKUP($A72,HN!$A:$K,10,FALSE)/12),0)</f>
        <v>0</v>
      </c>
      <c r="BK72" s="331">
        <f>_xlfn.IFNA((VLOOKUP($A72,HN!$A:$BS,15,FALSE)/12),0)</f>
        <v>0</v>
      </c>
      <c r="BL72" s="330">
        <f t="shared" si="82"/>
        <v>-449.87999999999994</v>
      </c>
      <c r="BM72" s="330">
        <f t="shared" si="83"/>
        <v>-437.24666666666667</v>
      </c>
      <c r="BN72" s="331"/>
      <c r="BO72" s="331">
        <f>_xlfn.IFNA(VLOOKUP(A72,'Cash Advances'!A:K,11,FALSE),0)</f>
        <v>0</v>
      </c>
      <c r="BP72" s="330">
        <f t="shared" si="70"/>
        <v>111274.27290521922</v>
      </c>
      <c r="BQ72" s="322">
        <f t="shared" si="84"/>
        <v>112161.39957188589</v>
      </c>
      <c r="BR72" s="322"/>
      <c r="BS72" s="323"/>
      <c r="BT72" s="323">
        <f>_xlfn.IFNA((VLOOKUP($A72,HN!$A:$K,8,FALSE)/12),0)</f>
        <v>0</v>
      </c>
      <c r="BU72" s="323">
        <f>_xlfn.IFNA((VLOOKUP($A72,HN!$A:$BS,14,FALSE)/12),0)</f>
        <v>0</v>
      </c>
      <c r="BV72" s="323">
        <f>(_xlfn.IFNA(VLOOKUP($A72,'Post 16'!$A:$AV,32,FALSE),0)/8)+_xlfn.IFNA(VLOOKUP($A72,'Post 16'!$A:$AR,40,FALSE),0)</f>
        <v>0</v>
      </c>
      <c r="BW72" s="323"/>
      <c r="BX72" s="323">
        <f>_xlfn.IFNA((VLOOKUP($A72,HN!$A:$K,9,FALSE)/12),0)+_xlfn.IFNA((VLOOKUP($A72,HN!$A:$K,10,FALSE)/12),0)</f>
        <v>0</v>
      </c>
      <c r="BY72" s="323">
        <f>_xlfn.IFNA((VLOOKUP($A72,HN!$A:$BS,15,FALSE)/12),0)</f>
        <v>0</v>
      </c>
      <c r="BZ72" s="322">
        <f t="shared" si="85"/>
        <v>-449.87999999999994</v>
      </c>
      <c r="CA72" s="322">
        <f t="shared" si="86"/>
        <v>-437.24666666666667</v>
      </c>
      <c r="CB72" s="323"/>
      <c r="CC72" s="323"/>
      <c r="CD72" s="322">
        <f t="shared" si="71"/>
        <v>111274.27290521922</v>
      </c>
      <c r="CE72" s="357">
        <f t="shared" si="87"/>
        <v>112161.39957188589</v>
      </c>
      <c r="CF72" s="357">
        <f>(VLOOKUP($A72,EY!$A:$BS,26,FALSE)-(VLOOKUP($A72,EY!A:CR,24,FALSE)*80%))+VLOOKUP($A72,EY!$A:$BS,42,FALSE)+(VLOOKUP($A72,EY!A:CC,74,FALSE)-VLOOKUP($A72,EY!A:CC,72,FALSE))</f>
        <v>28117.918947368431</v>
      </c>
      <c r="CG72" s="358"/>
      <c r="CH72" s="358">
        <f>_xlfn.IFNA((VLOOKUP($A72,HN!$A:$K,8,FALSE)/12),0)</f>
        <v>0</v>
      </c>
      <c r="CI72" s="358">
        <f>_xlfn.IFNA((VLOOKUP($A72,HN!$A:$BS,14,FALSE)/12),0)</f>
        <v>0</v>
      </c>
      <c r="CJ72" s="358">
        <f>(_xlfn.IFNA(VLOOKUP($A72,'Post 16'!$A:$AV,32,FALSE),0)/8)</f>
        <v>0</v>
      </c>
      <c r="CK72" s="358">
        <f>(VLOOKUP($A72,EY!A:CR,24,FALSE)*80%)+VLOOKUP($A72,EY!A:CC,72,FALSE)</f>
        <v>0</v>
      </c>
      <c r="CL72" s="358">
        <f>_xlfn.IFNA((VLOOKUP($A72,HN!$A:$K,9,FALSE)/12),0)+_xlfn.IFNA((VLOOKUP($A72,HN!$A:$K,10,FALSE)/12),0)</f>
        <v>0</v>
      </c>
      <c r="CM72" s="358">
        <f>_xlfn.IFNA((VLOOKUP($A72,HN!$A:$BS,15,FALSE)/12),0)</f>
        <v>0</v>
      </c>
      <c r="CN72" s="357">
        <f t="shared" si="88"/>
        <v>-449.87999999999994</v>
      </c>
      <c r="CO72" s="357">
        <f t="shared" si="89"/>
        <v>-437.24666666666667</v>
      </c>
      <c r="CP72" s="358">
        <f>_xlfn.IFNA(VLOOKUP(A72,'LA Deductions'!A:W,23,FALSE),0)</f>
        <v>0</v>
      </c>
      <c r="CQ72" s="358">
        <f>_xlfn.IFNA(VLOOKUP($A72,'Cash Advances'!$A:$S,13,FALSE),0)</f>
        <v>0</v>
      </c>
      <c r="CR72" s="358">
        <f>_xlfn.IFNA(VLOOKUP(A72,'LA Deductions'!A:AZ,25,FALSE),0)/9*3</f>
        <v>0</v>
      </c>
      <c r="CS72" s="357">
        <f t="shared" si="25"/>
        <v>139392.19185258765</v>
      </c>
      <c r="CT72" s="337">
        <f t="shared" si="90"/>
        <v>112161.39957188589</v>
      </c>
      <c r="CU72" s="337"/>
      <c r="CV72" s="338">
        <f>_xlfn.IFNA(VLOOKUP(A72,'LA Deductions'!$A$6:$AN$207,34,FALSE),0)</f>
        <v>0</v>
      </c>
      <c r="CW72" s="338">
        <f>_xlfn.IFNA((VLOOKUP($A72,HN!$A:$K,8,FALSE)/12),0)</f>
        <v>0</v>
      </c>
      <c r="CX72" s="338">
        <f>_xlfn.IFNA((VLOOKUP($A72,HN!$A:$BS,14,FALSE)/12),0)</f>
        <v>0</v>
      </c>
      <c r="CY72" s="338">
        <f>_xlfn.IFNA(VLOOKUP($A72,'Post 16'!$A:$AV,32,FALSE),0)/8</f>
        <v>0</v>
      </c>
      <c r="CZ72" s="338"/>
      <c r="DA72" s="338">
        <f>_xlfn.IFNA((VLOOKUP($A72,HN!$A:$K,9,FALSE)/12),0)+_xlfn.IFNA((VLOOKUP($A72,HN!$A:$K,10,FALSE)/12),0)</f>
        <v>0</v>
      </c>
      <c r="DB72" s="338">
        <f>_xlfn.IFNA((VLOOKUP($A72,HN!$A:$BS,15,FALSE)/12),0)</f>
        <v>0</v>
      </c>
      <c r="DC72" s="337">
        <f t="shared" si="91"/>
        <v>-449.87999999999994</v>
      </c>
      <c r="DD72" s="337">
        <f t="shared" si="92"/>
        <v>-437.24666666666667</v>
      </c>
      <c r="DE72" s="338"/>
      <c r="DF72" s="338">
        <f>_xlfn.IFNA(VLOOKUP($A72,'Cash Advances'!$A:$S,14,FALSE),0)</f>
        <v>0</v>
      </c>
      <c r="DG72" s="338">
        <f>(_xlfn.IFNA(VLOOKUP(A72,'LA Deductions'!A:AZ,25,FALSE),0)/9)+(_xlfn.IFNA(VLOOKUP(A72,'LA Deductions'!A:AZ,26,FALSE),0))</f>
        <v>0</v>
      </c>
      <c r="DH72" s="337">
        <f t="shared" si="29"/>
        <v>111274.27290521922</v>
      </c>
      <c r="DI72" s="330">
        <f t="shared" si="93"/>
        <v>112161.39957188589</v>
      </c>
      <c r="DJ72" s="330"/>
      <c r="DK72" s="331"/>
      <c r="DL72" s="331">
        <f>_xlfn.IFNA((VLOOKUP($A72,HN!$A:$K,8,FALSE)/12),0)+_xlfn.IFNA((VLOOKUP($A72,HN!$A:$AF,32,FALSE)*8/12),0)</f>
        <v>0</v>
      </c>
      <c r="DM72" s="331">
        <f>_xlfn.IFNA((VLOOKUP($A72,HN!$A:$BS,14,FALSE)/12),0)+_xlfn.IFNA(VLOOKUP($A72,HN!$A:$BS,31,FALSE),0)</f>
        <v>0</v>
      </c>
      <c r="DN72" s="331">
        <f>_xlfn.IFNA(VLOOKUP($A72,'Post 16'!$A:$AV,32,FALSE),0)/8</f>
        <v>0</v>
      </c>
      <c r="DO72" s="331"/>
      <c r="DP72" s="331">
        <f>_xlfn.IFNA((VLOOKUP($A72,HN!$A:$K,9,FALSE)/12),0)+_xlfn.IFNA((VLOOKUP($A72,HN!$A:$K,10,FALSE)/12),0)+_xlfn.IFNA((VLOOKUP($A72,HN!$A:$BZ,33,FALSE)*8/12),0)</f>
        <v>0</v>
      </c>
      <c r="DQ72" s="331">
        <f>_xlfn.IFNA((VLOOKUP($A72,HN!$A:$BS,15,FALSE)/12),0)</f>
        <v>0</v>
      </c>
      <c r="DR72" s="330">
        <f t="shared" si="94"/>
        <v>-449.87999999999994</v>
      </c>
      <c r="DS72" s="330">
        <f t="shared" si="95"/>
        <v>-437.24666666666667</v>
      </c>
      <c r="DT72" s="331"/>
      <c r="DU72" s="331"/>
      <c r="DV72" s="331">
        <f>(_xlfn.IFNA(VLOOKUP(A72,'LA Deductions'!A:AZ,25,FALSE),0)/9)+_xlfn.IFNA(VLOOKUP(A72,'LA Deductions'!A:AZ,27,FALSE),0)</f>
        <v>0</v>
      </c>
      <c r="DW72" s="330">
        <f t="shared" si="33"/>
        <v>111274.27290521922</v>
      </c>
      <c r="DX72" s="344">
        <f t="shared" si="96"/>
        <v>112161.39957188589</v>
      </c>
      <c r="DY72" s="344"/>
      <c r="DZ72" s="345"/>
      <c r="EA72" s="345">
        <f>_xlfn.IFNA((VLOOKUP($A72,HN!$A:$K,8,FALSE)/12),0)+_xlfn.IFNA((VLOOKUP($A72,HN!$A:$AF,32,FALSE)*1/12),0)</f>
        <v>0</v>
      </c>
      <c r="EB72" s="345">
        <f>_xlfn.IFNA((VLOOKUP($A72,HN!$A:$BS,14,FALSE)/12),0)</f>
        <v>0</v>
      </c>
      <c r="EC72" s="345">
        <f>_xlfn.IFNA(VLOOKUP($A72,'Post 16'!$A:$AV,32,FALSE),0)/8</f>
        <v>0</v>
      </c>
      <c r="ED72" s="345"/>
      <c r="EE72" s="345">
        <f>_xlfn.IFNA((VLOOKUP($A72,HN!$A:$K,9,FALSE)/12),0)+_xlfn.IFNA((VLOOKUP($A72,HN!$A:$K,10,FALSE)/12),0)+_xlfn.IFNA((VLOOKUP($A72,HN!$A:$BZ,33,FALSE)/12),0)</f>
        <v>0</v>
      </c>
      <c r="EF72" s="345">
        <f>_xlfn.IFNA((VLOOKUP($A72,HN!$A:$BS,15,FALSE)/12),0)</f>
        <v>0</v>
      </c>
      <c r="EG72" s="344">
        <f t="shared" si="97"/>
        <v>-449.87999999999994</v>
      </c>
      <c r="EH72" s="344">
        <f t="shared" si="98"/>
        <v>-437.24666666666667</v>
      </c>
      <c r="EI72" s="345"/>
      <c r="EJ72" s="345">
        <f>_xlfn.IFNA(VLOOKUP(A72,'Cash Advances'!A:P,16,FALSE),0)</f>
        <v>0</v>
      </c>
      <c r="EK72" s="345">
        <f>_xlfn.IFNA(VLOOKUP(A72,'LA Deductions'!A:AZ,25,FALSE),0)/9</f>
        <v>0</v>
      </c>
      <c r="EL72" s="344">
        <f t="shared" si="37"/>
        <v>111274.27290521922</v>
      </c>
      <c r="EM72" s="308">
        <f t="shared" si="99"/>
        <v>112161.39957188589</v>
      </c>
      <c r="EN72" s="308">
        <f>((VLOOKUP($A72,EY!$A:$BS,35,FALSE)-(VLOOKUP($A72,EY!$A:$BS,33,FALSE)*80%))+VLOOKUP($A72,EY!$A:$BS,43,FALSE))+(VLOOKUP(A72,EY!A:DF,110,FALSE)-VLOOKUP(A72,EY!A:DD,108,FALSE))+(VLOOKUP(A72,EY!A:CE,83,FALSE)-VLOOKUP(A72,EY!A:CC,81,FALSE))</f>
        <v>33179.400831024934</v>
      </c>
      <c r="EO72" s="309"/>
      <c r="EP72" s="309">
        <f>_xlfn.IFNA((VLOOKUP($A72,HN!$A:$K,8,FALSE)/12),0)+_xlfn.IFNA((VLOOKUP($A72,HN!$A:$AF,32,FALSE)*1/12),0)</f>
        <v>0</v>
      </c>
      <c r="EQ72" s="309">
        <f>_xlfn.IFNA((VLOOKUP($A72,HN!$A:$BS,14,FALSE)/12),0)+_xlfn.IFNA((VLOOKUP($A72,HN!$A:$BS,34,FALSE)/3),0)</f>
        <v>0</v>
      </c>
      <c r="ER72" s="309">
        <f>_xlfn.IFNA(VLOOKUP($A72,'Post 16'!$A:$AV,32,FALSE),0)/8</f>
        <v>0</v>
      </c>
      <c r="ES72" s="309">
        <f>((VLOOKUP($A72,EY!A:EV,33,FALSE)*80%))+VLOOKUP(A72,EY!A:DD,108,FALSE)+VLOOKUP(A72,EY!A:CC,81,FALSE)</f>
        <v>0</v>
      </c>
      <c r="ET72" s="309">
        <f>_xlfn.IFNA((VLOOKUP($A72,HN!$A:$K,9,FALSE)/12),0)+_xlfn.IFNA((VLOOKUP($A72,HN!$A:$K,10,FALSE)/12),0)+_xlfn.IFNA((VLOOKUP($A72,HN!$A:$BZ,33,FALSE)/12),0)</f>
        <v>0</v>
      </c>
      <c r="EU72" s="309">
        <f>_xlfn.IFNA((VLOOKUP($A72,HN!$A:$BS,15,FALSE)/12),0)</f>
        <v>0</v>
      </c>
      <c r="EV72" s="308">
        <f t="shared" si="100"/>
        <v>-449.87999999999994</v>
      </c>
      <c r="EW72" s="308">
        <f t="shared" si="101"/>
        <v>-437.24666666666667</v>
      </c>
      <c r="EX72" s="309"/>
      <c r="EY72" s="309">
        <f>_xlfn.IFNA(VLOOKUP($A72,'Cash Advances'!$A:$S,17,FALSE),0)</f>
        <v>0</v>
      </c>
      <c r="EZ72" s="309">
        <f>_xlfn.IFNA(VLOOKUP(A72,'LA Deductions'!A:AZ,25,FALSE),0)/9</f>
        <v>0</v>
      </c>
      <c r="FA72" s="308">
        <f t="shared" si="41"/>
        <v>144453.67373624415</v>
      </c>
      <c r="FB72" s="315">
        <f t="shared" si="102"/>
        <v>112161.39957188589</v>
      </c>
      <c r="FC72" s="315"/>
      <c r="FD72" s="316"/>
      <c r="FE72" s="316">
        <f>_xlfn.IFNA((VLOOKUP($A72,HN!$A:$K,8,FALSE)/12),0)+_xlfn.IFNA((VLOOKUP($A72,HN!$A:$AF,32,FALSE)*1/12),0)</f>
        <v>0</v>
      </c>
      <c r="FF72" s="316">
        <f>_xlfn.IFNA((VLOOKUP($A72,HN!$A:$BS,14,FALSE)/12),0)+_xlfn.IFNA((VLOOKUP($A72,HN!$A:$BS,34,FALSE)/3),0)</f>
        <v>0</v>
      </c>
      <c r="FG72" s="316">
        <f>_xlfn.IFNA(VLOOKUP($A72,'Post 16'!$A:$AV,32,FALSE),0)/8</f>
        <v>0</v>
      </c>
      <c r="FH72" s="316"/>
      <c r="FI72" s="316">
        <f>_xlfn.IFNA((VLOOKUP($A72,HN!$A:$K,9,FALSE)/12),0)+_xlfn.IFNA((VLOOKUP($A72,HN!$A:$K,10,FALSE)/12),0)+_xlfn.IFNA((VLOOKUP($A72,HN!$A:$BZ,33,FALSE)/12),0)+_xlfn.IFNA((VLOOKUP($A72,HN!$A:$BZ,35,FALSE)/2),0)</f>
        <v>0</v>
      </c>
      <c r="FJ72" s="316">
        <f>_xlfn.IFNA((VLOOKUP($A72,HN!$A:$BS,15,FALSE)/12),0)+_xlfn.IFNA((VLOOKUP($A72,HN!$A:$CZ,36,FALSE)/2),0)</f>
        <v>0</v>
      </c>
      <c r="FK72" s="315">
        <f t="shared" si="103"/>
        <v>-449.87999999999994</v>
      </c>
      <c r="FL72" s="315">
        <f t="shared" si="104"/>
        <v>-437.24666666666667</v>
      </c>
      <c r="FM72" s="316"/>
      <c r="FN72" s="316">
        <f>_xlfn.IFNA(VLOOKUP($A72,'Cash Advances'!$A:$S,18,FALSE),0)</f>
        <v>0</v>
      </c>
      <c r="FO72" s="316">
        <f>_xlfn.IFNA(VLOOKUP(A72,'LA Deductions'!A:AZ,25,FALSE),0)/9</f>
        <v>0</v>
      </c>
      <c r="FP72" s="315">
        <f t="shared" si="45"/>
        <v>111274.27290521922</v>
      </c>
      <c r="FQ72" s="322">
        <f t="shared" si="105"/>
        <v>112161.39957188589</v>
      </c>
      <c r="FR72" s="322"/>
      <c r="FS72" s="323"/>
      <c r="FT72" s="323">
        <f>_xlfn.IFNA((VLOOKUP($A72,HN!$A:$K,8,FALSE)/12),0)+_xlfn.IFNA((VLOOKUP($A72,HN!$A:$AF,32,FALSE)*1/12),0)</f>
        <v>0</v>
      </c>
      <c r="FU72" s="323">
        <f>_xlfn.IFNA((VLOOKUP($A72,HN!$A:$BS,14,FALSE)/12),0)+_xlfn.IFNA((VLOOKUP($A72,HN!$A:$BS,34,FALSE)/3),0)</f>
        <v>0</v>
      </c>
      <c r="FV72" s="323">
        <f>_xlfn.IFNA(VLOOKUP($A72,'Post 16'!$A:$AV,32,FALSE),0)/8</f>
        <v>0</v>
      </c>
      <c r="FW72" s="323"/>
      <c r="FX72" s="323">
        <f>_xlfn.IFNA((VLOOKUP($A72,HN!$A:$K,9,FALSE)/12),0)+_xlfn.IFNA((VLOOKUP($A72,HN!$A:$K,10,FALSE)/12),0)+_xlfn.IFNA((VLOOKUP($A72,HN!$A:$BZ,33,FALSE)/12),0)+_xlfn.IFNA((VLOOKUP($A72,HN!$A:$BZ,35,FALSE)/2),0)</f>
        <v>0</v>
      </c>
      <c r="FY72" s="323">
        <f>_xlfn.IFNA((VLOOKUP($A72,HN!$A:$BS,15,FALSE)/12),0)+_xlfn.IFNA((VLOOKUP($A72,HN!$A:$CZ,36,FALSE)/2),0)</f>
        <v>0</v>
      </c>
      <c r="FZ72" s="322">
        <f t="shared" si="106"/>
        <v>-449.87999999999994</v>
      </c>
      <c r="GA72" s="322">
        <f t="shared" si="107"/>
        <v>-437.24666666666667</v>
      </c>
      <c r="GB72" s="323"/>
      <c r="GC72" s="323"/>
      <c r="GD72" s="323">
        <f>_xlfn.IFNA(VLOOKUP(A72,'LA Deductions'!A:AZ,25,FALSE),0)/9</f>
        <v>0</v>
      </c>
      <c r="GE72" s="322">
        <f t="shared" si="49"/>
        <v>111274.27290521922</v>
      </c>
      <c r="GG72" s="146">
        <f t="shared" si="65"/>
        <v>1434873.756746287</v>
      </c>
      <c r="GH72" s="146">
        <f t="shared" si="65"/>
        <v>0</v>
      </c>
      <c r="GI72" s="146">
        <f t="shared" si="65"/>
        <v>0</v>
      </c>
      <c r="GJ72" s="146">
        <f t="shared" si="65"/>
        <v>-5398.56</v>
      </c>
      <c r="GK72" s="146">
        <f t="shared" si="65"/>
        <v>-5246.9600000000019</v>
      </c>
      <c r="GL72" s="146">
        <f t="shared" si="65"/>
        <v>0</v>
      </c>
      <c r="GN72" s="146">
        <f t="shared" si="66"/>
        <v>1434873.756746287</v>
      </c>
      <c r="GO72" s="146">
        <f t="shared" si="66"/>
        <v>0</v>
      </c>
      <c r="GP72" s="146">
        <f t="shared" si="66"/>
        <v>0</v>
      </c>
      <c r="GQ72" s="146">
        <f t="shared" si="66"/>
        <v>-5398.56</v>
      </c>
      <c r="GR72" s="146">
        <f t="shared" si="66"/>
        <v>-5246.9600000000019</v>
      </c>
      <c r="GS72" s="146">
        <f t="shared" si="66"/>
        <v>0</v>
      </c>
      <c r="GU72" s="146"/>
      <c r="GV72" s="57"/>
    </row>
    <row r="73" spans="1:204">
      <c r="A73" s="185">
        <v>1023</v>
      </c>
      <c r="B73" s="185">
        <v>103136</v>
      </c>
      <c r="C73" s="185" t="s">
        <v>166</v>
      </c>
      <c r="D73" s="2" t="s">
        <v>167</v>
      </c>
      <c r="E73" s="191" t="s">
        <v>29</v>
      </c>
      <c r="F73" s="191" t="s">
        <v>912</v>
      </c>
      <c r="H73" s="279">
        <f>_xlfn.IFNA(VLOOKUP($A73,ISB!$A$4:$BY$454,67,FALSE),0)</f>
        <v>0</v>
      </c>
      <c r="I73" s="279">
        <f>_xlfn.IFNA(VLOOKUP($A73,ISB!$A$4:$BY$454,72,FALSE),0)</f>
        <v>0</v>
      </c>
      <c r="J73" s="279">
        <f>-_xlfn.IFNA(VLOOKUP($A73,ISB!$A$4:$BY$454,76,FALSE),0)</f>
        <v>0</v>
      </c>
      <c r="K73" s="279">
        <f>_xlfn.IFNA(VLOOKUP($A73,ISB!$A$4:$BY$454,77,FALSE),0)</f>
        <v>0</v>
      </c>
      <c r="M73" s="301">
        <f t="shared" si="72"/>
        <v>0</v>
      </c>
      <c r="N73" s="301">
        <f>VLOOKUP($A73,EY!$A:$H,8,FALSE)+(VLOOKUP($A73,EY!$A:$BS,17,FALSE)-S73)+VLOOKUP($A73,EY!$A:$BS,41,FALSE)</f>
        <v>301578.82715190167</v>
      </c>
      <c r="O73" s="302"/>
      <c r="P73" s="302">
        <f>_xlfn.IFNA((VLOOKUP($A73,HN!$A:$K,8,FALSE)/12),0)</f>
        <v>0</v>
      </c>
      <c r="Q73" s="302">
        <f>_xlfn.IFNA((VLOOKUP($A73,HN!$A:$BS,14,FALSE)/12),0)</f>
        <v>0</v>
      </c>
      <c r="R73" s="302">
        <f>_xlfn.IFNA(VLOOKUP($A73,'Post 16'!$A:$V,21,FALSE),0)/4</f>
        <v>0</v>
      </c>
      <c r="S73" s="302">
        <f>VLOOKUP($A73,EY!A:Q,15,FALSE)*80%</f>
        <v>2053.7263157894736</v>
      </c>
      <c r="T73" s="302">
        <f>_xlfn.IFNA((VLOOKUP($A73,HN!$A:$K,9,FALSE)/12),0)+_xlfn.IFNA((VLOOKUP($A73,HN!$A:$K,10,FALSE)/12),0)</f>
        <v>0</v>
      </c>
      <c r="U73" s="302">
        <f>_xlfn.IFNA((VLOOKUP($A73,HN!$A:$BS,15,FALSE)/12),0)</f>
        <v>0</v>
      </c>
      <c r="V73" s="301">
        <f t="shared" si="73"/>
        <v>0</v>
      </c>
      <c r="W73" s="301">
        <f t="shared" si="74"/>
        <v>0</v>
      </c>
      <c r="X73" s="302"/>
      <c r="Y73" s="302">
        <f>_xlfn.IFNA(VLOOKUP($A73,'Cash Advances'!$A:$S,8,FALSE),0)</f>
        <v>0</v>
      </c>
      <c r="Z73" s="301">
        <f t="shared" si="67"/>
        <v>303632.55346769112</v>
      </c>
      <c r="AA73" s="315">
        <f t="shared" si="75"/>
        <v>0</v>
      </c>
      <c r="AB73" s="315"/>
      <c r="AC73" s="316"/>
      <c r="AD73" s="316">
        <f>_xlfn.IFNA((VLOOKUP($A73,HN!$A:$K,8,FALSE)/12),0)</f>
        <v>0</v>
      </c>
      <c r="AE73" s="316">
        <f>_xlfn.IFNA((VLOOKUP($A73,HN!$A:$BS,14,FALSE)/12),0)</f>
        <v>0</v>
      </c>
      <c r="AF73" s="316">
        <f>_xlfn.IFNA(VLOOKUP($A73,'Post 16'!$A:$V,21,FALSE),0)/4</f>
        <v>0</v>
      </c>
      <c r="AG73" s="316"/>
      <c r="AH73" s="316">
        <f>_xlfn.IFNA((VLOOKUP($A73,HN!$A:$K,9,FALSE)/12),0)+_xlfn.IFNA((VLOOKUP($A73,HN!$A:$K,10,FALSE)/12),0)</f>
        <v>0</v>
      </c>
      <c r="AI73" s="316">
        <f>_xlfn.IFNA((VLOOKUP($A73,HN!$A:$BS,15,FALSE)/12),0)</f>
        <v>0</v>
      </c>
      <c r="AJ73" s="315">
        <f t="shared" si="76"/>
        <v>0</v>
      </c>
      <c r="AK73" s="315">
        <f t="shared" si="77"/>
        <v>0</v>
      </c>
      <c r="AL73" s="316"/>
      <c r="AM73" s="316">
        <f>_xlfn.IFNA(VLOOKUP($A73,'Cash Advances'!$A:$S,9,FALSE),0)</f>
        <v>0</v>
      </c>
      <c r="AN73" s="315">
        <f t="shared" si="68"/>
        <v>0</v>
      </c>
      <c r="AO73" s="308">
        <f t="shared" si="78"/>
        <v>0</v>
      </c>
      <c r="AP73" s="308"/>
      <c r="AQ73" s="309"/>
      <c r="AR73" s="309">
        <f>_xlfn.IFNA((VLOOKUP($A73,HN!$A:$K,8,FALSE)/12),0)</f>
        <v>0</v>
      </c>
      <c r="AS73" s="309">
        <f>_xlfn.IFNA((VLOOKUP($A73,HN!$A:$BS,14,FALSE)/12),0)</f>
        <v>0</v>
      </c>
      <c r="AT73" s="309">
        <f>_xlfn.IFNA(VLOOKUP($A73,'Post 16'!$A:$V,21,FALSE),0)/4</f>
        <v>0</v>
      </c>
      <c r="AU73" s="309"/>
      <c r="AV73" s="309">
        <f>_xlfn.IFNA((VLOOKUP($A73,HN!$A:$K,9,FALSE)/12),0)+_xlfn.IFNA((VLOOKUP($A73,HN!$A:$K,10,FALSE)/12),0)+_xlfn.IFNA(VLOOKUP(A73,HN!A:V,19,FALSE),0)+_xlfn.IFNA(VLOOKUP(A73,HN!A:V,20,FALSE),0)+_xlfn.IFNA(VLOOKUP(A73,HN!A:V,21,FALSE),0)</f>
        <v>0</v>
      </c>
      <c r="AW73" s="309">
        <f>_xlfn.IFNA((VLOOKUP($A73,HN!$A:$BS,15,FALSE)/12),0)</f>
        <v>0</v>
      </c>
      <c r="AX73" s="308">
        <f t="shared" si="79"/>
        <v>0</v>
      </c>
      <c r="AY73" s="308">
        <f t="shared" si="80"/>
        <v>0</v>
      </c>
      <c r="AZ73" s="309"/>
      <c r="BA73" s="309">
        <f>_xlfn.IFNA(VLOOKUP($A73,'Cash Advances'!$A:$S,10,FALSE),0)</f>
        <v>0</v>
      </c>
      <c r="BB73" s="308">
        <f t="shared" si="69"/>
        <v>0</v>
      </c>
      <c r="BC73" s="330">
        <f t="shared" si="81"/>
        <v>0</v>
      </c>
      <c r="BD73" s="330"/>
      <c r="BE73" s="331"/>
      <c r="BF73" s="331">
        <f>_xlfn.IFNA((VLOOKUP($A73,HN!$A:$K,8,FALSE)/12),0)</f>
        <v>0</v>
      </c>
      <c r="BG73" s="331">
        <f>_xlfn.IFNA((VLOOKUP($A73,HN!$A:$BS,14,FALSE)/12),0)</f>
        <v>0</v>
      </c>
      <c r="BH73" s="331">
        <f>_xlfn.IFNA(VLOOKUP($A73,'Post 16'!$A:$V,21,FALSE),0)/4</f>
        <v>0</v>
      </c>
      <c r="BI73" s="331"/>
      <c r="BJ73" s="331">
        <f>_xlfn.IFNA((VLOOKUP($A73,HN!$A:$K,9,FALSE)/12),0)+_xlfn.IFNA((VLOOKUP($A73,HN!$A:$K,10,FALSE)/12),0)</f>
        <v>0</v>
      </c>
      <c r="BK73" s="331">
        <f>_xlfn.IFNA((VLOOKUP($A73,HN!$A:$BS,15,FALSE)/12),0)</f>
        <v>0</v>
      </c>
      <c r="BL73" s="330">
        <f t="shared" si="82"/>
        <v>0</v>
      </c>
      <c r="BM73" s="330">
        <f t="shared" si="83"/>
        <v>0</v>
      </c>
      <c r="BN73" s="331"/>
      <c r="BO73" s="331">
        <f>_xlfn.IFNA(VLOOKUP(A73,'Cash Advances'!A:K,11,FALSE),0)</f>
        <v>0</v>
      </c>
      <c r="BP73" s="330">
        <f t="shared" si="70"/>
        <v>0</v>
      </c>
      <c r="BQ73" s="322">
        <f t="shared" si="84"/>
        <v>0</v>
      </c>
      <c r="BR73" s="322"/>
      <c r="BS73" s="323"/>
      <c r="BT73" s="323">
        <f>_xlfn.IFNA((VLOOKUP($A73,HN!$A:$K,8,FALSE)/12),0)</f>
        <v>0</v>
      </c>
      <c r="BU73" s="323">
        <f>_xlfn.IFNA((VLOOKUP($A73,HN!$A:$BS,14,FALSE)/12),0)</f>
        <v>0</v>
      </c>
      <c r="BV73" s="323">
        <f>(_xlfn.IFNA(VLOOKUP($A73,'Post 16'!$A:$AV,32,FALSE),0)/8)+_xlfn.IFNA(VLOOKUP($A73,'Post 16'!$A:$AR,40,FALSE),0)</f>
        <v>0</v>
      </c>
      <c r="BW73" s="323"/>
      <c r="BX73" s="323">
        <f>_xlfn.IFNA((VLOOKUP($A73,HN!$A:$K,9,FALSE)/12),0)+_xlfn.IFNA((VLOOKUP($A73,HN!$A:$K,10,FALSE)/12),0)</f>
        <v>0</v>
      </c>
      <c r="BY73" s="323">
        <f>_xlfn.IFNA((VLOOKUP($A73,HN!$A:$BS,15,FALSE)/12),0)</f>
        <v>0</v>
      </c>
      <c r="BZ73" s="322">
        <f t="shared" si="85"/>
        <v>0</v>
      </c>
      <c r="CA73" s="322">
        <f t="shared" si="86"/>
        <v>0</v>
      </c>
      <c r="CB73" s="323"/>
      <c r="CC73" s="323"/>
      <c r="CD73" s="322">
        <f t="shared" si="71"/>
        <v>0</v>
      </c>
      <c r="CE73" s="357">
        <f t="shared" si="87"/>
        <v>0</v>
      </c>
      <c r="CF73" s="357">
        <f>(VLOOKUP($A73,EY!$A:$BS,26,FALSE)-(VLOOKUP($A73,EY!A:CR,24,FALSE)*80%))+VLOOKUP($A73,EY!$A:$BS,42,FALSE)+(VLOOKUP($A73,EY!A:CC,74,FALSE)-VLOOKUP($A73,EY!A:CC,72,FALSE))</f>
        <v>123678.67675628021</v>
      </c>
      <c r="CG73" s="358"/>
      <c r="CH73" s="358">
        <f>_xlfn.IFNA((VLOOKUP($A73,HN!$A:$K,8,FALSE)/12),0)</f>
        <v>0</v>
      </c>
      <c r="CI73" s="358">
        <f>_xlfn.IFNA((VLOOKUP($A73,HN!$A:$BS,14,FALSE)/12),0)</f>
        <v>0</v>
      </c>
      <c r="CJ73" s="358">
        <f>(_xlfn.IFNA(VLOOKUP($A73,'Post 16'!$A:$AV,32,FALSE),0)/8)</f>
        <v>0</v>
      </c>
      <c r="CK73" s="358">
        <f>(VLOOKUP($A73,EY!A:CR,24,FALSE)*80%)+VLOOKUP($A73,EY!A:CC,72,FALSE)</f>
        <v>2310.4042105263156</v>
      </c>
      <c r="CL73" s="358">
        <f>_xlfn.IFNA((VLOOKUP($A73,HN!$A:$K,9,FALSE)/12),0)+_xlfn.IFNA((VLOOKUP($A73,HN!$A:$K,10,FALSE)/12),0)</f>
        <v>0</v>
      </c>
      <c r="CM73" s="358">
        <f>_xlfn.IFNA((VLOOKUP($A73,HN!$A:$BS,15,FALSE)/12),0)</f>
        <v>0</v>
      </c>
      <c r="CN73" s="357">
        <f t="shared" si="88"/>
        <v>0</v>
      </c>
      <c r="CO73" s="357">
        <f t="shared" si="89"/>
        <v>0</v>
      </c>
      <c r="CP73" s="358">
        <f>_xlfn.IFNA(VLOOKUP(A73,'LA Deductions'!A:W,23,FALSE),0)</f>
        <v>-3291.75</v>
      </c>
      <c r="CQ73" s="358">
        <f>_xlfn.IFNA(VLOOKUP($A73,'Cash Advances'!$A:$S,13,FALSE),0)</f>
        <v>0</v>
      </c>
      <c r="CR73" s="358">
        <f>_xlfn.IFNA(VLOOKUP(A73,'LA Deductions'!A:AZ,25,FALSE),0)/9*3</f>
        <v>0</v>
      </c>
      <c r="CS73" s="357">
        <f t="shared" ref="CS73:CS135" si="108">SUM(CE73:CR73)</f>
        <v>122697.33096680653</v>
      </c>
      <c r="CT73" s="337">
        <f t="shared" si="90"/>
        <v>0</v>
      </c>
      <c r="CU73" s="337"/>
      <c r="CV73" s="338">
        <f>_xlfn.IFNA(VLOOKUP(A73,'LA Deductions'!$A$6:$AN$207,34,FALSE),0)</f>
        <v>0</v>
      </c>
      <c r="CW73" s="338">
        <f>_xlfn.IFNA((VLOOKUP($A73,HN!$A:$K,8,FALSE)/12),0)</f>
        <v>0</v>
      </c>
      <c r="CX73" s="338">
        <f>_xlfn.IFNA((VLOOKUP($A73,HN!$A:$BS,14,FALSE)/12),0)</f>
        <v>0</v>
      </c>
      <c r="CY73" s="338">
        <f>_xlfn.IFNA(VLOOKUP($A73,'Post 16'!$A:$AV,32,FALSE),0)/8</f>
        <v>0</v>
      </c>
      <c r="CZ73" s="338"/>
      <c r="DA73" s="338">
        <f>_xlfn.IFNA((VLOOKUP($A73,HN!$A:$K,9,FALSE)/12),0)+_xlfn.IFNA((VLOOKUP($A73,HN!$A:$K,10,FALSE)/12),0)</f>
        <v>0</v>
      </c>
      <c r="DB73" s="338">
        <f>_xlfn.IFNA((VLOOKUP($A73,HN!$A:$BS,15,FALSE)/12),0)</f>
        <v>0</v>
      </c>
      <c r="DC73" s="337">
        <f t="shared" si="91"/>
        <v>0</v>
      </c>
      <c r="DD73" s="337">
        <f t="shared" si="92"/>
        <v>0</v>
      </c>
      <c r="DE73" s="338"/>
      <c r="DF73" s="338">
        <f>_xlfn.IFNA(VLOOKUP($A73,'Cash Advances'!$A:$S,14,FALSE),0)</f>
        <v>0</v>
      </c>
      <c r="DG73" s="338">
        <f>(_xlfn.IFNA(VLOOKUP(A73,'LA Deductions'!A:AZ,25,FALSE),0)/9)+(_xlfn.IFNA(VLOOKUP(A73,'LA Deductions'!A:AZ,26,FALSE),0))</f>
        <v>0</v>
      </c>
      <c r="DH73" s="337">
        <f t="shared" ref="DH73:DH135" si="109">SUM(CT73:DG73)</f>
        <v>0</v>
      </c>
      <c r="DI73" s="330">
        <f t="shared" si="93"/>
        <v>0</v>
      </c>
      <c r="DJ73" s="330"/>
      <c r="DK73" s="331"/>
      <c r="DL73" s="331">
        <f>_xlfn.IFNA((VLOOKUP($A73,HN!$A:$K,8,FALSE)/12),0)+_xlfn.IFNA((VLOOKUP($A73,HN!$A:$AF,32,FALSE)*8/12),0)</f>
        <v>0</v>
      </c>
      <c r="DM73" s="331">
        <f>_xlfn.IFNA((VLOOKUP($A73,HN!$A:$BS,14,FALSE)/12),0)+_xlfn.IFNA(VLOOKUP($A73,HN!$A:$BS,31,FALSE),0)</f>
        <v>0</v>
      </c>
      <c r="DN73" s="331">
        <f>_xlfn.IFNA(VLOOKUP($A73,'Post 16'!$A:$AV,32,FALSE),0)/8</f>
        <v>0</v>
      </c>
      <c r="DO73" s="331"/>
      <c r="DP73" s="331">
        <f>_xlfn.IFNA((VLOOKUP($A73,HN!$A:$K,9,FALSE)/12),0)+_xlfn.IFNA((VLOOKUP($A73,HN!$A:$K,10,FALSE)/12),0)+_xlfn.IFNA((VLOOKUP($A73,HN!$A:$BZ,33,FALSE)*8/12),0)</f>
        <v>0</v>
      </c>
      <c r="DQ73" s="331">
        <f>_xlfn.IFNA((VLOOKUP($A73,HN!$A:$BS,15,FALSE)/12),0)</f>
        <v>0</v>
      </c>
      <c r="DR73" s="330">
        <f t="shared" si="94"/>
        <v>0</v>
      </c>
      <c r="DS73" s="330">
        <f t="shared" si="95"/>
        <v>0</v>
      </c>
      <c r="DT73" s="331"/>
      <c r="DU73" s="331"/>
      <c r="DV73" s="331">
        <f>(_xlfn.IFNA(VLOOKUP(A73,'LA Deductions'!A:AZ,25,FALSE),0)/9)+_xlfn.IFNA(VLOOKUP(A73,'LA Deductions'!A:AZ,27,FALSE),0)</f>
        <v>0</v>
      </c>
      <c r="DW73" s="330">
        <f t="shared" ref="DW73:DW135" si="110">SUM(DI73:DV73)</f>
        <v>0</v>
      </c>
      <c r="DX73" s="344">
        <f t="shared" si="96"/>
        <v>0</v>
      </c>
      <c r="DY73" s="344"/>
      <c r="DZ73" s="345"/>
      <c r="EA73" s="345">
        <f>_xlfn.IFNA((VLOOKUP($A73,HN!$A:$K,8,FALSE)/12),0)+_xlfn.IFNA((VLOOKUP($A73,HN!$A:$AF,32,FALSE)*1/12),0)</f>
        <v>0</v>
      </c>
      <c r="EB73" s="345">
        <f>_xlfn.IFNA((VLOOKUP($A73,HN!$A:$BS,14,FALSE)/12),0)</f>
        <v>0</v>
      </c>
      <c r="EC73" s="345">
        <f>_xlfn.IFNA(VLOOKUP($A73,'Post 16'!$A:$AV,32,FALSE),0)/8</f>
        <v>0</v>
      </c>
      <c r="ED73" s="345"/>
      <c r="EE73" s="345">
        <f>_xlfn.IFNA((VLOOKUP($A73,HN!$A:$K,9,FALSE)/12),0)+_xlfn.IFNA((VLOOKUP($A73,HN!$A:$K,10,FALSE)/12),0)+_xlfn.IFNA((VLOOKUP($A73,HN!$A:$BZ,33,FALSE)/12),0)</f>
        <v>0</v>
      </c>
      <c r="EF73" s="345">
        <f>_xlfn.IFNA((VLOOKUP($A73,HN!$A:$BS,15,FALSE)/12),0)</f>
        <v>0</v>
      </c>
      <c r="EG73" s="344">
        <f t="shared" si="97"/>
        <v>0</v>
      </c>
      <c r="EH73" s="344">
        <f t="shared" si="98"/>
        <v>0</v>
      </c>
      <c r="EI73" s="345"/>
      <c r="EJ73" s="345">
        <f>_xlfn.IFNA(VLOOKUP(A73,'Cash Advances'!A:P,16,FALSE),0)</f>
        <v>0</v>
      </c>
      <c r="EK73" s="345">
        <f>_xlfn.IFNA(VLOOKUP(A73,'LA Deductions'!A:AZ,25,FALSE),0)/9</f>
        <v>0</v>
      </c>
      <c r="EL73" s="344">
        <f t="shared" ref="EL73:EL135" si="111">SUM(DX73:EK73)</f>
        <v>0</v>
      </c>
      <c r="EM73" s="308">
        <f t="shared" si="99"/>
        <v>0</v>
      </c>
      <c r="EN73" s="308">
        <f>((VLOOKUP($A73,EY!$A:$BS,35,FALSE)-(VLOOKUP($A73,EY!$A:$BS,33,FALSE)*80%))+VLOOKUP($A73,EY!$A:$BS,43,FALSE))+(VLOOKUP(A73,EY!A:DF,110,FALSE)-VLOOKUP(A73,EY!A:DD,108,FALSE))+(VLOOKUP(A73,EY!A:CE,83,FALSE)-VLOOKUP(A73,EY!A:CC,81,FALSE))</f>
        <v>155382.67844875343</v>
      </c>
      <c r="EO73" s="309"/>
      <c r="EP73" s="309">
        <f>_xlfn.IFNA((VLOOKUP($A73,HN!$A:$K,8,FALSE)/12),0)+_xlfn.IFNA((VLOOKUP($A73,HN!$A:$AF,32,FALSE)*1/12),0)</f>
        <v>0</v>
      </c>
      <c r="EQ73" s="309">
        <f>_xlfn.IFNA((VLOOKUP($A73,HN!$A:$BS,14,FALSE)/12),0)+_xlfn.IFNA((VLOOKUP($A73,HN!$A:$BS,34,FALSE)/3),0)</f>
        <v>0</v>
      </c>
      <c r="ER73" s="309">
        <f>_xlfn.IFNA(VLOOKUP($A73,'Post 16'!$A:$AV,32,FALSE),0)/8</f>
        <v>0</v>
      </c>
      <c r="ES73" s="309">
        <f>((VLOOKUP($A73,EY!A:EV,33,FALSE)*80%))+VLOOKUP(A73,EY!A:DD,108,FALSE)+VLOOKUP(A73,EY!A:CC,81,FALSE)</f>
        <v>6362.8478670360109</v>
      </c>
      <c r="ET73" s="309">
        <f>_xlfn.IFNA((VLOOKUP($A73,HN!$A:$K,9,FALSE)/12),0)+_xlfn.IFNA((VLOOKUP($A73,HN!$A:$K,10,FALSE)/12),0)+_xlfn.IFNA((VLOOKUP($A73,HN!$A:$BZ,33,FALSE)/12),0)</f>
        <v>0</v>
      </c>
      <c r="EU73" s="309">
        <f>_xlfn.IFNA((VLOOKUP($A73,HN!$A:$BS,15,FALSE)/12),0)</f>
        <v>0</v>
      </c>
      <c r="EV73" s="308">
        <f t="shared" si="100"/>
        <v>0</v>
      </c>
      <c r="EW73" s="308">
        <f t="shared" si="101"/>
        <v>0</v>
      </c>
      <c r="EX73" s="309"/>
      <c r="EY73" s="309">
        <f>_xlfn.IFNA(VLOOKUP($A73,'Cash Advances'!$A:$S,17,FALSE),0)</f>
        <v>0</v>
      </c>
      <c r="EZ73" s="309">
        <f>_xlfn.IFNA(VLOOKUP(A73,'LA Deductions'!A:AZ,25,FALSE),0)/9</f>
        <v>0</v>
      </c>
      <c r="FA73" s="308">
        <f t="shared" ref="FA73:FA135" si="112">SUM(EM73:EZ73)</f>
        <v>161745.52631578944</v>
      </c>
      <c r="FB73" s="315">
        <f t="shared" si="102"/>
        <v>0</v>
      </c>
      <c r="FC73" s="315"/>
      <c r="FD73" s="316"/>
      <c r="FE73" s="316">
        <f>_xlfn.IFNA((VLOOKUP($A73,HN!$A:$K,8,FALSE)/12),0)+_xlfn.IFNA((VLOOKUP($A73,HN!$A:$AF,32,FALSE)*1/12),0)</f>
        <v>0</v>
      </c>
      <c r="FF73" s="316">
        <f>_xlfn.IFNA((VLOOKUP($A73,HN!$A:$BS,14,FALSE)/12),0)+_xlfn.IFNA((VLOOKUP($A73,HN!$A:$BS,34,FALSE)/3),0)</f>
        <v>0</v>
      </c>
      <c r="FG73" s="316">
        <f>_xlfn.IFNA(VLOOKUP($A73,'Post 16'!$A:$AV,32,FALSE),0)/8</f>
        <v>0</v>
      </c>
      <c r="FH73" s="316"/>
      <c r="FI73" s="316">
        <f>_xlfn.IFNA((VLOOKUP($A73,HN!$A:$K,9,FALSE)/12),0)+_xlfn.IFNA((VLOOKUP($A73,HN!$A:$K,10,FALSE)/12),0)+_xlfn.IFNA((VLOOKUP($A73,HN!$A:$BZ,33,FALSE)/12),0)+_xlfn.IFNA((VLOOKUP($A73,HN!$A:$BZ,35,FALSE)/2),0)</f>
        <v>0</v>
      </c>
      <c r="FJ73" s="316">
        <f>_xlfn.IFNA((VLOOKUP($A73,HN!$A:$BS,15,FALSE)/12),0)+_xlfn.IFNA((VLOOKUP($A73,HN!$A:$CZ,36,FALSE)/2),0)</f>
        <v>0</v>
      </c>
      <c r="FK73" s="315">
        <f t="shared" si="103"/>
        <v>0</v>
      </c>
      <c r="FL73" s="315">
        <f t="shared" si="104"/>
        <v>0</v>
      </c>
      <c r="FM73" s="316"/>
      <c r="FN73" s="316">
        <f>_xlfn.IFNA(VLOOKUP($A73,'Cash Advances'!$A:$S,18,FALSE),0)</f>
        <v>0</v>
      </c>
      <c r="FO73" s="316">
        <f>_xlfn.IFNA(VLOOKUP(A73,'LA Deductions'!A:AZ,25,FALSE),0)/9</f>
        <v>0</v>
      </c>
      <c r="FP73" s="315">
        <f t="shared" ref="FP73:FP135" si="113">SUM(FB73:FO73)</f>
        <v>0</v>
      </c>
      <c r="FQ73" s="322">
        <f t="shared" si="105"/>
        <v>0</v>
      </c>
      <c r="FR73" s="322"/>
      <c r="FS73" s="323"/>
      <c r="FT73" s="323">
        <f>_xlfn.IFNA((VLOOKUP($A73,HN!$A:$K,8,FALSE)/12),0)+_xlfn.IFNA((VLOOKUP($A73,HN!$A:$AF,32,FALSE)*1/12),0)</f>
        <v>0</v>
      </c>
      <c r="FU73" s="323">
        <f>_xlfn.IFNA((VLOOKUP($A73,HN!$A:$BS,14,FALSE)/12),0)+_xlfn.IFNA((VLOOKUP($A73,HN!$A:$BS,34,FALSE)/3),0)</f>
        <v>0</v>
      </c>
      <c r="FV73" s="323">
        <f>_xlfn.IFNA(VLOOKUP($A73,'Post 16'!$A:$AV,32,FALSE),0)/8</f>
        <v>0</v>
      </c>
      <c r="FW73" s="323"/>
      <c r="FX73" s="323">
        <f>_xlfn.IFNA((VLOOKUP($A73,HN!$A:$K,9,FALSE)/12),0)+_xlfn.IFNA((VLOOKUP($A73,HN!$A:$K,10,FALSE)/12),0)+_xlfn.IFNA((VLOOKUP($A73,HN!$A:$BZ,33,FALSE)/12),0)+_xlfn.IFNA((VLOOKUP($A73,HN!$A:$BZ,35,FALSE)/2),0)</f>
        <v>0</v>
      </c>
      <c r="FY73" s="323">
        <f>_xlfn.IFNA((VLOOKUP($A73,HN!$A:$BS,15,FALSE)/12),0)+_xlfn.IFNA((VLOOKUP($A73,HN!$A:$CZ,36,FALSE)/2),0)</f>
        <v>0</v>
      </c>
      <c r="FZ73" s="322">
        <f t="shared" si="106"/>
        <v>0</v>
      </c>
      <c r="GA73" s="322">
        <f t="shared" si="107"/>
        <v>0</v>
      </c>
      <c r="GB73" s="323"/>
      <c r="GC73" s="323"/>
      <c r="GD73" s="323">
        <f>_xlfn.IFNA(VLOOKUP(A73,'LA Deductions'!A:AZ,25,FALSE),0)/9</f>
        <v>0</v>
      </c>
      <c r="GE73" s="322">
        <f t="shared" ref="GE73:GE135" si="114">SUM(FQ73:GD73)</f>
        <v>0</v>
      </c>
      <c r="GG73" s="146">
        <f t="shared" si="65"/>
        <v>580640.18235693534</v>
      </c>
      <c r="GH73" s="146">
        <f t="shared" si="65"/>
        <v>0</v>
      </c>
      <c r="GI73" s="146">
        <f t="shared" si="65"/>
        <v>10726.978393351801</v>
      </c>
      <c r="GJ73" s="146">
        <f t="shared" si="65"/>
        <v>0</v>
      </c>
      <c r="GK73" s="146">
        <f t="shared" si="65"/>
        <v>0</v>
      </c>
      <c r="GL73" s="146">
        <f t="shared" si="65"/>
        <v>-3291.75</v>
      </c>
      <c r="GN73" s="146">
        <f t="shared" si="66"/>
        <v>580640.18235693534</v>
      </c>
      <c r="GO73" s="146">
        <f t="shared" si="66"/>
        <v>0</v>
      </c>
      <c r="GP73" s="146">
        <f t="shared" si="66"/>
        <v>10726.978393351801</v>
      </c>
      <c r="GQ73" s="146">
        <f t="shared" si="66"/>
        <v>0</v>
      </c>
      <c r="GR73" s="146">
        <f t="shared" si="66"/>
        <v>0</v>
      </c>
      <c r="GS73" s="146">
        <f t="shared" si="66"/>
        <v>-3291.75</v>
      </c>
      <c r="GU73" s="146"/>
      <c r="GV73" s="57"/>
    </row>
    <row r="74" spans="1:204">
      <c r="A74" s="185">
        <v>2015</v>
      </c>
      <c r="B74" s="185">
        <v>134102</v>
      </c>
      <c r="C74" s="185" t="s">
        <v>168</v>
      </c>
      <c r="D74" s="2" t="s">
        <v>169</v>
      </c>
      <c r="E74" s="191" t="s">
        <v>32</v>
      </c>
      <c r="F74" s="191" t="s">
        <v>912</v>
      </c>
      <c r="H74" s="279">
        <f>_xlfn.IFNA(VLOOKUP($A74,ISB!$A$4:$BY$454,67,FALSE),0)</f>
        <v>2485230.6036058534</v>
      </c>
      <c r="I74" s="279">
        <f>_xlfn.IFNA(VLOOKUP($A74,ISB!$A$4:$BY$454,72,FALSE),0)</f>
        <v>-10223.359999999999</v>
      </c>
      <c r="J74" s="279">
        <f>-_xlfn.IFNA(VLOOKUP($A74,ISB!$A$4:$BY$454,76,FALSE),0)</f>
        <v>-41332.1</v>
      </c>
      <c r="K74" s="279">
        <f>_xlfn.IFNA(VLOOKUP($A74,ISB!$A$4:$BY$454,77,FALSE),0)</f>
        <v>2433675.1436058534</v>
      </c>
      <c r="M74" s="301">
        <f t="shared" si="72"/>
        <v>207102.55030048778</v>
      </c>
      <c r="N74" s="301">
        <f>VLOOKUP($A74,EY!$A:$H,8,FALSE)+(VLOOKUP($A74,EY!$A:$BS,17,FALSE)-S74)+VLOOKUP($A74,EY!$A:$BS,41,FALSE)</f>
        <v>26903.760000000002</v>
      </c>
      <c r="O74" s="302"/>
      <c r="P74" s="302">
        <f>_xlfn.IFNA((VLOOKUP($A74,HN!$A:$K,8,FALSE)/12),0)</f>
        <v>0</v>
      </c>
      <c r="Q74" s="302">
        <f>_xlfn.IFNA((VLOOKUP($A74,HN!$A:$BS,14,FALSE)/12),0)</f>
        <v>0</v>
      </c>
      <c r="R74" s="302">
        <f>_xlfn.IFNA(VLOOKUP($A74,'Post 16'!$A:$V,21,FALSE),0)/4</f>
        <v>0</v>
      </c>
      <c r="S74" s="302">
        <f>VLOOKUP($A74,EY!A:Q,15,FALSE)*80%</f>
        <v>0</v>
      </c>
      <c r="T74" s="302">
        <f>_xlfn.IFNA((VLOOKUP($A74,HN!$A:$K,9,FALSE)/12),0)+_xlfn.IFNA((VLOOKUP($A74,HN!$A:$K,10,FALSE)/12),0)</f>
        <v>0</v>
      </c>
      <c r="U74" s="302">
        <f>_xlfn.IFNA((VLOOKUP($A74,HN!$A:$BS,15,FALSE)/12),0)</f>
        <v>0</v>
      </c>
      <c r="V74" s="301">
        <f t="shared" si="73"/>
        <v>-851.9466666666666</v>
      </c>
      <c r="W74" s="301">
        <f t="shared" si="74"/>
        <v>-3444.3416666666667</v>
      </c>
      <c r="X74" s="302"/>
      <c r="Y74" s="302">
        <f>_xlfn.IFNA(VLOOKUP($A74,'Cash Advances'!$A:$S,8,FALSE),0)</f>
        <v>0</v>
      </c>
      <c r="Z74" s="301">
        <f t="shared" si="67"/>
        <v>229710.02196715446</v>
      </c>
      <c r="AA74" s="315">
        <f t="shared" si="75"/>
        <v>207102.55030048778</v>
      </c>
      <c r="AB74" s="315"/>
      <c r="AC74" s="316"/>
      <c r="AD74" s="316">
        <f>_xlfn.IFNA((VLOOKUP($A74,HN!$A:$K,8,FALSE)/12),0)</f>
        <v>0</v>
      </c>
      <c r="AE74" s="316">
        <f>_xlfn.IFNA((VLOOKUP($A74,HN!$A:$BS,14,FALSE)/12),0)</f>
        <v>0</v>
      </c>
      <c r="AF74" s="316">
        <f>_xlfn.IFNA(VLOOKUP($A74,'Post 16'!$A:$V,21,FALSE),0)/4</f>
        <v>0</v>
      </c>
      <c r="AG74" s="316"/>
      <c r="AH74" s="316">
        <f>_xlfn.IFNA((VLOOKUP($A74,HN!$A:$K,9,FALSE)/12),0)+_xlfn.IFNA((VLOOKUP($A74,HN!$A:$K,10,FALSE)/12),0)</f>
        <v>0</v>
      </c>
      <c r="AI74" s="316">
        <f>_xlfn.IFNA((VLOOKUP($A74,HN!$A:$BS,15,FALSE)/12),0)</f>
        <v>0</v>
      </c>
      <c r="AJ74" s="315">
        <f t="shared" si="76"/>
        <v>-851.9466666666666</v>
      </c>
      <c r="AK74" s="315">
        <f t="shared" si="77"/>
        <v>-3444.3416666666667</v>
      </c>
      <c r="AL74" s="316"/>
      <c r="AM74" s="316">
        <f>_xlfn.IFNA(VLOOKUP($A74,'Cash Advances'!$A:$S,9,FALSE),0)</f>
        <v>0</v>
      </c>
      <c r="AN74" s="315">
        <f t="shared" si="68"/>
        <v>202806.26196715445</v>
      </c>
      <c r="AO74" s="308">
        <f t="shared" si="78"/>
        <v>207102.55030048778</v>
      </c>
      <c r="AP74" s="308"/>
      <c r="AQ74" s="309"/>
      <c r="AR74" s="309">
        <f>_xlfn.IFNA((VLOOKUP($A74,HN!$A:$K,8,FALSE)/12),0)</f>
        <v>0</v>
      </c>
      <c r="AS74" s="309">
        <f>_xlfn.IFNA((VLOOKUP($A74,HN!$A:$BS,14,FALSE)/12),0)</f>
        <v>0</v>
      </c>
      <c r="AT74" s="309">
        <f>_xlfn.IFNA(VLOOKUP($A74,'Post 16'!$A:$V,21,FALSE),0)/4</f>
        <v>0</v>
      </c>
      <c r="AU74" s="309"/>
      <c r="AV74" s="309">
        <f>_xlfn.IFNA((VLOOKUP($A74,HN!$A:$K,9,FALSE)/12),0)+_xlfn.IFNA((VLOOKUP($A74,HN!$A:$K,10,FALSE)/12),0)+_xlfn.IFNA(VLOOKUP(A74,HN!A:V,19,FALSE),0)+_xlfn.IFNA(VLOOKUP(A74,HN!A:V,20,FALSE),0)+_xlfn.IFNA(VLOOKUP(A74,HN!A:V,21,FALSE),0)</f>
        <v>0</v>
      </c>
      <c r="AW74" s="309">
        <f>_xlfn.IFNA((VLOOKUP($A74,HN!$A:$BS,15,FALSE)/12),0)</f>
        <v>0</v>
      </c>
      <c r="AX74" s="308">
        <f t="shared" si="79"/>
        <v>-851.9466666666666</v>
      </c>
      <c r="AY74" s="308">
        <f t="shared" si="80"/>
        <v>-3444.3416666666667</v>
      </c>
      <c r="AZ74" s="309"/>
      <c r="BA74" s="309">
        <f>_xlfn.IFNA(VLOOKUP($A74,'Cash Advances'!$A:$S,10,FALSE),0)</f>
        <v>0</v>
      </c>
      <c r="BB74" s="308">
        <f t="shared" si="69"/>
        <v>202806.26196715445</v>
      </c>
      <c r="BC74" s="330">
        <f t="shared" si="81"/>
        <v>207102.55030048778</v>
      </c>
      <c r="BD74" s="330"/>
      <c r="BE74" s="331"/>
      <c r="BF74" s="331">
        <f>_xlfn.IFNA((VLOOKUP($A74,HN!$A:$K,8,FALSE)/12),0)</f>
        <v>0</v>
      </c>
      <c r="BG74" s="331">
        <f>_xlfn.IFNA((VLOOKUP($A74,HN!$A:$BS,14,FALSE)/12),0)</f>
        <v>0</v>
      </c>
      <c r="BH74" s="331">
        <f>_xlfn.IFNA(VLOOKUP($A74,'Post 16'!$A:$V,21,FALSE),0)/4</f>
        <v>0</v>
      </c>
      <c r="BI74" s="331"/>
      <c r="BJ74" s="331">
        <f>_xlfn.IFNA((VLOOKUP($A74,HN!$A:$K,9,FALSE)/12),0)+_xlfn.IFNA((VLOOKUP($A74,HN!$A:$K,10,FALSE)/12),0)</f>
        <v>0</v>
      </c>
      <c r="BK74" s="331">
        <f>_xlfn.IFNA((VLOOKUP($A74,HN!$A:$BS,15,FALSE)/12),0)</f>
        <v>0</v>
      </c>
      <c r="BL74" s="330">
        <f t="shared" si="82"/>
        <v>-851.9466666666666</v>
      </c>
      <c r="BM74" s="330">
        <f t="shared" si="83"/>
        <v>-3444.3416666666667</v>
      </c>
      <c r="BN74" s="331"/>
      <c r="BO74" s="331">
        <f>_xlfn.IFNA(VLOOKUP(A74,'Cash Advances'!A:K,11,FALSE),0)</f>
        <v>0</v>
      </c>
      <c r="BP74" s="330">
        <f t="shared" si="70"/>
        <v>202806.26196715445</v>
      </c>
      <c r="BQ74" s="322">
        <f t="shared" si="84"/>
        <v>207102.55030048778</v>
      </c>
      <c r="BR74" s="322"/>
      <c r="BS74" s="323"/>
      <c r="BT74" s="323">
        <f>_xlfn.IFNA((VLOOKUP($A74,HN!$A:$K,8,FALSE)/12),0)</f>
        <v>0</v>
      </c>
      <c r="BU74" s="323">
        <f>_xlfn.IFNA((VLOOKUP($A74,HN!$A:$BS,14,FALSE)/12),0)</f>
        <v>0</v>
      </c>
      <c r="BV74" s="323">
        <f>(_xlfn.IFNA(VLOOKUP($A74,'Post 16'!$A:$AV,32,FALSE),0)/8)+_xlfn.IFNA(VLOOKUP($A74,'Post 16'!$A:$AR,40,FALSE),0)</f>
        <v>0</v>
      </c>
      <c r="BW74" s="323"/>
      <c r="BX74" s="323">
        <f>_xlfn.IFNA((VLOOKUP($A74,HN!$A:$K,9,FALSE)/12),0)+_xlfn.IFNA((VLOOKUP($A74,HN!$A:$K,10,FALSE)/12),0)</f>
        <v>0</v>
      </c>
      <c r="BY74" s="323">
        <f>_xlfn.IFNA((VLOOKUP($A74,HN!$A:$BS,15,FALSE)/12),0)</f>
        <v>0</v>
      </c>
      <c r="BZ74" s="322">
        <f t="shared" si="85"/>
        <v>-851.9466666666666</v>
      </c>
      <c r="CA74" s="322">
        <f t="shared" si="86"/>
        <v>-3444.3416666666667</v>
      </c>
      <c r="CB74" s="323"/>
      <c r="CC74" s="323"/>
      <c r="CD74" s="322">
        <f t="shared" si="71"/>
        <v>202806.26196715445</v>
      </c>
      <c r="CE74" s="357">
        <f t="shared" si="87"/>
        <v>207102.55030048778</v>
      </c>
      <c r="CF74" s="357">
        <f>(VLOOKUP($A74,EY!$A:$BS,26,FALSE)-(VLOOKUP($A74,EY!A:CR,24,FALSE)*80%))+VLOOKUP($A74,EY!$A:$BS,42,FALSE)+(VLOOKUP($A74,EY!A:CC,74,FALSE)-VLOOKUP($A74,EY!A:CC,72,FALSE))</f>
        <v>69828.480526315805</v>
      </c>
      <c r="CG74" s="358"/>
      <c r="CH74" s="358">
        <f>_xlfn.IFNA((VLOOKUP($A74,HN!$A:$K,8,FALSE)/12),0)</f>
        <v>0</v>
      </c>
      <c r="CI74" s="358">
        <f>_xlfn.IFNA((VLOOKUP($A74,HN!$A:$BS,14,FALSE)/12),0)</f>
        <v>0</v>
      </c>
      <c r="CJ74" s="358">
        <f>(_xlfn.IFNA(VLOOKUP($A74,'Post 16'!$A:$AV,32,FALSE),0)/8)</f>
        <v>0</v>
      </c>
      <c r="CK74" s="358">
        <f>(VLOOKUP($A74,EY!A:CR,24,FALSE)*80%)+VLOOKUP($A74,EY!A:CC,72,FALSE)</f>
        <v>0</v>
      </c>
      <c r="CL74" s="358">
        <f>_xlfn.IFNA((VLOOKUP($A74,HN!$A:$K,9,FALSE)/12),0)+_xlfn.IFNA((VLOOKUP($A74,HN!$A:$K,10,FALSE)/12),0)</f>
        <v>0</v>
      </c>
      <c r="CM74" s="358">
        <f>_xlfn.IFNA((VLOOKUP($A74,HN!$A:$BS,15,FALSE)/12),0)</f>
        <v>0</v>
      </c>
      <c r="CN74" s="357">
        <f t="shared" si="88"/>
        <v>-851.9466666666666</v>
      </c>
      <c r="CO74" s="357">
        <f t="shared" si="89"/>
        <v>-3444.3416666666667</v>
      </c>
      <c r="CP74" s="358">
        <f>_xlfn.IFNA(VLOOKUP(A74,'LA Deductions'!A:W,23,FALSE),0)</f>
        <v>-9471</v>
      </c>
      <c r="CQ74" s="358">
        <f>_xlfn.IFNA(VLOOKUP($A74,'Cash Advances'!$A:$S,13,FALSE),0)</f>
        <v>0</v>
      </c>
      <c r="CR74" s="358">
        <f>_xlfn.IFNA(VLOOKUP(A74,'LA Deductions'!A:AZ,25,FALSE),0)/9*3</f>
        <v>0</v>
      </c>
      <c r="CS74" s="357">
        <f t="shared" si="108"/>
        <v>263163.74249347026</v>
      </c>
      <c r="CT74" s="337">
        <f t="shared" si="90"/>
        <v>207102.55030048778</v>
      </c>
      <c r="CU74" s="337"/>
      <c r="CV74" s="338">
        <f>_xlfn.IFNA(VLOOKUP(A74,'LA Deductions'!$A$6:$AN$207,34,FALSE),0)</f>
        <v>0</v>
      </c>
      <c r="CW74" s="338">
        <f>_xlfn.IFNA((VLOOKUP($A74,HN!$A:$K,8,FALSE)/12),0)</f>
        <v>0</v>
      </c>
      <c r="CX74" s="338">
        <f>_xlfn.IFNA((VLOOKUP($A74,HN!$A:$BS,14,FALSE)/12),0)</f>
        <v>0</v>
      </c>
      <c r="CY74" s="338">
        <f>_xlfn.IFNA(VLOOKUP($A74,'Post 16'!$A:$AV,32,FALSE),0)/8</f>
        <v>0</v>
      </c>
      <c r="CZ74" s="338"/>
      <c r="DA74" s="338">
        <f>_xlfn.IFNA((VLOOKUP($A74,HN!$A:$K,9,FALSE)/12),0)+_xlfn.IFNA((VLOOKUP($A74,HN!$A:$K,10,FALSE)/12),0)</f>
        <v>0</v>
      </c>
      <c r="DB74" s="338">
        <f>_xlfn.IFNA((VLOOKUP($A74,HN!$A:$BS,15,FALSE)/12),0)</f>
        <v>0</v>
      </c>
      <c r="DC74" s="337">
        <f t="shared" si="91"/>
        <v>-851.9466666666666</v>
      </c>
      <c r="DD74" s="337">
        <f t="shared" si="92"/>
        <v>-3444.3416666666667</v>
      </c>
      <c r="DE74" s="338"/>
      <c r="DF74" s="338">
        <f>_xlfn.IFNA(VLOOKUP($A74,'Cash Advances'!$A:$S,14,FALSE),0)</f>
        <v>0</v>
      </c>
      <c r="DG74" s="338">
        <f>(_xlfn.IFNA(VLOOKUP(A74,'LA Deductions'!A:AZ,25,FALSE),0)/9)+(_xlfn.IFNA(VLOOKUP(A74,'LA Deductions'!A:AZ,26,FALSE),0))</f>
        <v>0</v>
      </c>
      <c r="DH74" s="337">
        <f t="shared" si="109"/>
        <v>202806.26196715445</v>
      </c>
      <c r="DI74" s="330">
        <f t="shared" si="93"/>
        <v>207102.55030048778</v>
      </c>
      <c r="DJ74" s="330"/>
      <c r="DK74" s="331"/>
      <c r="DL74" s="331">
        <f>_xlfn.IFNA((VLOOKUP($A74,HN!$A:$K,8,FALSE)/12),0)+_xlfn.IFNA((VLOOKUP($A74,HN!$A:$AF,32,FALSE)*8/12),0)</f>
        <v>0</v>
      </c>
      <c r="DM74" s="331">
        <f>_xlfn.IFNA((VLOOKUP($A74,HN!$A:$BS,14,FALSE)/12),0)+_xlfn.IFNA(VLOOKUP($A74,HN!$A:$BS,31,FALSE),0)</f>
        <v>0</v>
      </c>
      <c r="DN74" s="331">
        <f>_xlfn.IFNA(VLOOKUP($A74,'Post 16'!$A:$AV,32,FALSE),0)/8</f>
        <v>0</v>
      </c>
      <c r="DO74" s="331"/>
      <c r="DP74" s="331">
        <f>_xlfn.IFNA((VLOOKUP($A74,HN!$A:$K,9,FALSE)/12),0)+_xlfn.IFNA((VLOOKUP($A74,HN!$A:$K,10,FALSE)/12),0)+_xlfn.IFNA((VLOOKUP($A74,HN!$A:$BZ,33,FALSE)*8/12),0)</f>
        <v>0</v>
      </c>
      <c r="DQ74" s="331">
        <f>_xlfn.IFNA((VLOOKUP($A74,HN!$A:$BS,15,FALSE)/12),0)</f>
        <v>0</v>
      </c>
      <c r="DR74" s="330">
        <f t="shared" si="94"/>
        <v>-851.9466666666666</v>
      </c>
      <c r="DS74" s="330">
        <f t="shared" si="95"/>
        <v>-3444.3416666666667</v>
      </c>
      <c r="DT74" s="331"/>
      <c r="DU74" s="331"/>
      <c r="DV74" s="331">
        <f>(_xlfn.IFNA(VLOOKUP(A74,'LA Deductions'!A:AZ,25,FALSE),0)/9)+_xlfn.IFNA(VLOOKUP(A74,'LA Deductions'!A:AZ,27,FALSE),0)</f>
        <v>0</v>
      </c>
      <c r="DW74" s="330">
        <f t="shared" si="110"/>
        <v>202806.26196715445</v>
      </c>
      <c r="DX74" s="344">
        <f t="shared" si="96"/>
        <v>207102.55030048778</v>
      </c>
      <c r="DY74" s="344"/>
      <c r="DZ74" s="345"/>
      <c r="EA74" s="345">
        <f>_xlfn.IFNA((VLOOKUP($A74,HN!$A:$K,8,FALSE)/12),0)+_xlfn.IFNA((VLOOKUP($A74,HN!$A:$AF,32,FALSE)*1/12),0)</f>
        <v>0</v>
      </c>
      <c r="EB74" s="345">
        <f>_xlfn.IFNA((VLOOKUP($A74,HN!$A:$BS,14,FALSE)/12),0)</f>
        <v>0</v>
      </c>
      <c r="EC74" s="345">
        <f>_xlfn.IFNA(VLOOKUP($A74,'Post 16'!$A:$AV,32,FALSE),0)/8</f>
        <v>0</v>
      </c>
      <c r="ED74" s="345"/>
      <c r="EE74" s="345">
        <f>_xlfn.IFNA((VLOOKUP($A74,HN!$A:$K,9,FALSE)/12),0)+_xlfn.IFNA((VLOOKUP($A74,HN!$A:$K,10,FALSE)/12),0)+_xlfn.IFNA((VLOOKUP($A74,HN!$A:$BZ,33,FALSE)/12),0)</f>
        <v>0</v>
      </c>
      <c r="EF74" s="345">
        <f>_xlfn.IFNA((VLOOKUP($A74,HN!$A:$BS,15,FALSE)/12),0)</f>
        <v>0</v>
      </c>
      <c r="EG74" s="344">
        <f t="shared" si="97"/>
        <v>-851.9466666666666</v>
      </c>
      <c r="EH74" s="344">
        <f t="shared" si="98"/>
        <v>-3444.3416666666667</v>
      </c>
      <c r="EI74" s="345"/>
      <c r="EJ74" s="345">
        <f>_xlfn.IFNA(VLOOKUP(A74,'Cash Advances'!A:P,16,FALSE),0)</f>
        <v>0</v>
      </c>
      <c r="EK74" s="345">
        <f>_xlfn.IFNA(VLOOKUP(A74,'LA Deductions'!A:AZ,25,FALSE),0)/9</f>
        <v>0</v>
      </c>
      <c r="EL74" s="344">
        <f t="shared" si="111"/>
        <v>202806.26196715445</v>
      </c>
      <c r="EM74" s="308">
        <f t="shared" si="99"/>
        <v>207102.55030048778</v>
      </c>
      <c r="EN74" s="308">
        <f>((VLOOKUP($A74,EY!$A:$BS,35,FALSE)-(VLOOKUP($A74,EY!$A:$BS,33,FALSE)*80%))+VLOOKUP($A74,EY!$A:$BS,43,FALSE))+(VLOOKUP(A74,EY!A:DF,110,FALSE)-VLOOKUP(A74,EY!A:DD,108,FALSE))+(VLOOKUP(A74,EY!A:CE,83,FALSE)-VLOOKUP(A74,EY!A:CC,81,FALSE))</f>
        <v>23520.948088642661</v>
      </c>
      <c r="EO74" s="309"/>
      <c r="EP74" s="309">
        <f>_xlfn.IFNA((VLOOKUP($A74,HN!$A:$K,8,FALSE)/12),0)+_xlfn.IFNA((VLOOKUP($A74,HN!$A:$AF,32,FALSE)*1/12),0)</f>
        <v>0</v>
      </c>
      <c r="EQ74" s="309">
        <f>_xlfn.IFNA((VLOOKUP($A74,HN!$A:$BS,14,FALSE)/12),0)+_xlfn.IFNA((VLOOKUP($A74,HN!$A:$BS,34,FALSE)/3),0)</f>
        <v>0</v>
      </c>
      <c r="ER74" s="309">
        <f>_xlfn.IFNA(VLOOKUP($A74,'Post 16'!$A:$AV,32,FALSE),0)/8</f>
        <v>0</v>
      </c>
      <c r="ES74" s="309">
        <f>((VLOOKUP($A74,EY!A:EV,33,FALSE)*80%))+VLOOKUP(A74,EY!A:DD,108,FALSE)+VLOOKUP(A74,EY!A:CC,81,FALSE)</f>
        <v>0</v>
      </c>
      <c r="ET74" s="309">
        <f>_xlfn.IFNA((VLOOKUP($A74,HN!$A:$K,9,FALSE)/12),0)+_xlfn.IFNA((VLOOKUP($A74,HN!$A:$K,10,FALSE)/12),0)+_xlfn.IFNA((VLOOKUP($A74,HN!$A:$BZ,33,FALSE)/12),0)</f>
        <v>0</v>
      </c>
      <c r="EU74" s="309">
        <f>_xlfn.IFNA((VLOOKUP($A74,HN!$A:$BS,15,FALSE)/12),0)</f>
        <v>0</v>
      </c>
      <c r="EV74" s="308">
        <f t="shared" si="100"/>
        <v>-851.9466666666666</v>
      </c>
      <c r="EW74" s="308">
        <f t="shared" si="101"/>
        <v>-3444.3416666666667</v>
      </c>
      <c r="EX74" s="309"/>
      <c r="EY74" s="309">
        <f>_xlfn.IFNA(VLOOKUP($A74,'Cash Advances'!$A:$S,17,FALSE),0)</f>
        <v>0</v>
      </c>
      <c r="EZ74" s="309">
        <f>_xlfn.IFNA(VLOOKUP(A74,'LA Deductions'!A:AZ,25,FALSE),0)/9</f>
        <v>0</v>
      </c>
      <c r="FA74" s="308">
        <f t="shared" si="112"/>
        <v>226327.21005579713</v>
      </c>
      <c r="FB74" s="315">
        <f t="shared" si="102"/>
        <v>207102.55030048778</v>
      </c>
      <c r="FC74" s="315"/>
      <c r="FD74" s="316"/>
      <c r="FE74" s="316">
        <f>_xlfn.IFNA((VLOOKUP($A74,HN!$A:$K,8,FALSE)/12),0)+_xlfn.IFNA((VLOOKUP($A74,HN!$A:$AF,32,FALSE)*1/12),0)</f>
        <v>0</v>
      </c>
      <c r="FF74" s="316">
        <f>_xlfn.IFNA((VLOOKUP($A74,HN!$A:$BS,14,FALSE)/12),0)+_xlfn.IFNA((VLOOKUP($A74,HN!$A:$BS,34,FALSE)/3),0)</f>
        <v>0</v>
      </c>
      <c r="FG74" s="316">
        <f>_xlfn.IFNA(VLOOKUP($A74,'Post 16'!$A:$AV,32,FALSE),0)/8</f>
        <v>0</v>
      </c>
      <c r="FH74" s="316"/>
      <c r="FI74" s="316">
        <f>_xlfn.IFNA((VLOOKUP($A74,HN!$A:$K,9,FALSE)/12),0)+_xlfn.IFNA((VLOOKUP($A74,HN!$A:$K,10,FALSE)/12),0)+_xlfn.IFNA((VLOOKUP($A74,HN!$A:$BZ,33,FALSE)/12),0)+_xlfn.IFNA((VLOOKUP($A74,HN!$A:$BZ,35,FALSE)/2),0)</f>
        <v>0</v>
      </c>
      <c r="FJ74" s="316">
        <f>_xlfn.IFNA((VLOOKUP($A74,HN!$A:$BS,15,FALSE)/12),0)+_xlfn.IFNA((VLOOKUP($A74,HN!$A:$CZ,36,FALSE)/2),0)</f>
        <v>0</v>
      </c>
      <c r="FK74" s="315">
        <f t="shared" si="103"/>
        <v>-851.9466666666666</v>
      </c>
      <c r="FL74" s="315">
        <f t="shared" si="104"/>
        <v>-3444.3416666666667</v>
      </c>
      <c r="FM74" s="316"/>
      <c r="FN74" s="316">
        <f>_xlfn.IFNA(VLOOKUP($A74,'Cash Advances'!$A:$S,18,FALSE),0)</f>
        <v>0</v>
      </c>
      <c r="FO74" s="316">
        <f>_xlfn.IFNA(VLOOKUP(A74,'LA Deductions'!A:AZ,25,FALSE),0)/9</f>
        <v>0</v>
      </c>
      <c r="FP74" s="315">
        <f t="shared" si="113"/>
        <v>202806.26196715445</v>
      </c>
      <c r="FQ74" s="322">
        <f t="shared" si="105"/>
        <v>207102.55030048778</v>
      </c>
      <c r="FR74" s="322"/>
      <c r="FS74" s="323"/>
      <c r="FT74" s="323">
        <f>_xlfn.IFNA((VLOOKUP($A74,HN!$A:$K,8,FALSE)/12),0)+_xlfn.IFNA((VLOOKUP($A74,HN!$A:$AF,32,FALSE)*1/12),0)</f>
        <v>0</v>
      </c>
      <c r="FU74" s="323">
        <f>_xlfn.IFNA((VLOOKUP($A74,HN!$A:$BS,14,FALSE)/12),0)+_xlfn.IFNA((VLOOKUP($A74,HN!$A:$BS,34,FALSE)/3),0)</f>
        <v>0</v>
      </c>
      <c r="FV74" s="323">
        <f>_xlfn.IFNA(VLOOKUP($A74,'Post 16'!$A:$AV,32,FALSE),0)/8</f>
        <v>0</v>
      </c>
      <c r="FW74" s="323"/>
      <c r="FX74" s="323">
        <f>_xlfn.IFNA((VLOOKUP($A74,HN!$A:$K,9,FALSE)/12),0)+_xlfn.IFNA((VLOOKUP($A74,HN!$A:$K,10,FALSE)/12),0)+_xlfn.IFNA((VLOOKUP($A74,HN!$A:$BZ,33,FALSE)/12),0)+_xlfn.IFNA((VLOOKUP($A74,HN!$A:$BZ,35,FALSE)/2),0)</f>
        <v>0</v>
      </c>
      <c r="FY74" s="323">
        <f>_xlfn.IFNA((VLOOKUP($A74,HN!$A:$BS,15,FALSE)/12),0)+_xlfn.IFNA((VLOOKUP($A74,HN!$A:$CZ,36,FALSE)/2),0)</f>
        <v>0</v>
      </c>
      <c r="FZ74" s="322">
        <f t="shared" si="106"/>
        <v>-851.9466666666666</v>
      </c>
      <c r="GA74" s="322">
        <f t="shared" si="107"/>
        <v>-3444.3416666666667</v>
      </c>
      <c r="GB74" s="323"/>
      <c r="GC74" s="323"/>
      <c r="GD74" s="323">
        <f>_xlfn.IFNA(VLOOKUP(A74,'LA Deductions'!A:AZ,25,FALSE),0)/9</f>
        <v>0</v>
      </c>
      <c r="GE74" s="322">
        <f t="shared" si="114"/>
        <v>202806.26196715445</v>
      </c>
      <c r="GG74" s="146">
        <f t="shared" si="65"/>
        <v>2605483.7922208118</v>
      </c>
      <c r="GH74" s="146">
        <f t="shared" si="65"/>
        <v>0</v>
      </c>
      <c r="GI74" s="146">
        <f t="shared" si="65"/>
        <v>0</v>
      </c>
      <c r="GJ74" s="146">
        <f t="shared" si="65"/>
        <v>-10223.359999999999</v>
      </c>
      <c r="GK74" s="146">
        <f t="shared" si="65"/>
        <v>-41332.1</v>
      </c>
      <c r="GL74" s="146">
        <f t="shared" si="65"/>
        <v>-9471</v>
      </c>
      <c r="GN74" s="146">
        <f t="shared" si="66"/>
        <v>2605483.7922208118</v>
      </c>
      <c r="GO74" s="146">
        <f t="shared" si="66"/>
        <v>0</v>
      </c>
      <c r="GP74" s="146">
        <f t="shared" si="66"/>
        <v>0</v>
      </c>
      <c r="GQ74" s="146">
        <f t="shared" si="66"/>
        <v>-10223.359999999999</v>
      </c>
      <c r="GR74" s="146">
        <f t="shared" si="66"/>
        <v>-41332.1</v>
      </c>
      <c r="GS74" s="146">
        <f t="shared" si="66"/>
        <v>-9471</v>
      </c>
      <c r="GU74" s="146"/>
      <c r="GV74" s="57"/>
    </row>
    <row r="75" spans="1:204">
      <c r="A75" s="185">
        <v>4063</v>
      </c>
      <c r="B75" s="185">
        <v>103486</v>
      </c>
      <c r="C75" s="185" t="s">
        <v>170</v>
      </c>
      <c r="D75" s="2" t="s">
        <v>171</v>
      </c>
      <c r="E75" s="191" t="s">
        <v>58</v>
      </c>
      <c r="F75" s="191" t="s">
        <v>912</v>
      </c>
      <c r="H75" s="279">
        <f>_xlfn.IFNA(VLOOKUP($A75,ISB!$A$4:$BY$454,67,FALSE),0)</f>
        <v>6693673.6417244123</v>
      </c>
      <c r="I75" s="279">
        <f>_xlfn.IFNA(VLOOKUP($A75,ISB!$A$4:$BY$454,72,FALSE),0)</f>
        <v>-15842.31</v>
      </c>
      <c r="J75" s="279">
        <f>-_xlfn.IFNA(VLOOKUP($A75,ISB!$A$4:$BY$454,76,FALSE),0)</f>
        <v>-120950.36</v>
      </c>
      <c r="K75" s="279">
        <f>_xlfn.IFNA(VLOOKUP($A75,ISB!$A$4:$BY$454,77,FALSE),0)</f>
        <v>6556880.9717244124</v>
      </c>
      <c r="M75" s="301">
        <f t="shared" si="72"/>
        <v>557806.13681036769</v>
      </c>
      <c r="N75" s="301">
        <f>VLOOKUP($A75,EY!$A:$H,8,FALSE)+(VLOOKUP($A75,EY!$A:$BS,17,FALSE)-S75)+VLOOKUP($A75,EY!$A:$BS,41,FALSE)</f>
        <v>0</v>
      </c>
      <c r="O75" s="302"/>
      <c r="P75" s="302">
        <f>_xlfn.IFNA((VLOOKUP($A75,HN!$A:$K,8,FALSE)/12),0)</f>
        <v>0</v>
      </c>
      <c r="Q75" s="302">
        <f>_xlfn.IFNA((VLOOKUP($A75,HN!$A:$BS,14,FALSE)/12),0)</f>
        <v>0</v>
      </c>
      <c r="R75" s="302">
        <f>_xlfn.IFNA(VLOOKUP($A75,'Post 16'!$A:$V,21,FALSE),0)/4</f>
        <v>0</v>
      </c>
      <c r="S75" s="302">
        <f>VLOOKUP($A75,EY!A:Q,15,FALSE)*80%</f>
        <v>0</v>
      </c>
      <c r="T75" s="302">
        <f>_xlfn.IFNA((VLOOKUP($A75,HN!$A:$K,9,FALSE)/12),0)+_xlfn.IFNA((VLOOKUP($A75,HN!$A:$K,10,FALSE)/12),0)</f>
        <v>0</v>
      </c>
      <c r="U75" s="302">
        <f>_xlfn.IFNA((VLOOKUP($A75,HN!$A:$BS,15,FALSE)/12),0)</f>
        <v>0</v>
      </c>
      <c r="V75" s="301">
        <f t="shared" si="73"/>
        <v>-1320.1924999999999</v>
      </c>
      <c r="W75" s="301">
        <f t="shared" si="74"/>
        <v>-10079.196666666667</v>
      </c>
      <c r="X75" s="302"/>
      <c r="Y75" s="302">
        <f>_xlfn.IFNA(VLOOKUP($A75,'Cash Advances'!$A:$S,8,FALSE),0)</f>
        <v>0</v>
      </c>
      <c r="Z75" s="301">
        <f t="shared" si="67"/>
        <v>546406.74764370103</v>
      </c>
      <c r="AA75" s="315">
        <f t="shared" si="75"/>
        <v>557806.13681036769</v>
      </c>
      <c r="AB75" s="315"/>
      <c r="AC75" s="316"/>
      <c r="AD75" s="316">
        <f>_xlfn.IFNA((VLOOKUP($A75,HN!$A:$K,8,FALSE)/12),0)</f>
        <v>0</v>
      </c>
      <c r="AE75" s="316">
        <f>_xlfn.IFNA((VLOOKUP($A75,HN!$A:$BS,14,FALSE)/12),0)</f>
        <v>0</v>
      </c>
      <c r="AF75" s="316">
        <f>_xlfn.IFNA(VLOOKUP($A75,'Post 16'!$A:$V,21,FALSE),0)/4</f>
        <v>0</v>
      </c>
      <c r="AG75" s="316"/>
      <c r="AH75" s="316">
        <f>_xlfn.IFNA((VLOOKUP($A75,HN!$A:$K,9,FALSE)/12),0)+_xlfn.IFNA((VLOOKUP($A75,HN!$A:$K,10,FALSE)/12),0)</f>
        <v>0</v>
      </c>
      <c r="AI75" s="316">
        <f>_xlfn.IFNA((VLOOKUP($A75,HN!$A:$BS,15,FALSE)/12),0)</f>
        <v>0</v>
      </c>
      <c r="AJ75" s="315">
        <f t="shared" si="76"/>
        <v>-1320.1924999999999</v>
      </c>
      <c r="AK75" s="315">
        <f t="shared" si="77"/>
        <v>-10079.196666666667</v>
      </c>
      <c r="AL75" s="316"/>
      <c r="AM75" s="316">
        <f>_xlfn.IFNA(VLOOKUP($A75,'Cash Advances'!$A:$S,9,FALSE),0)</f>
        <v>0</v>
      </c>
      <c r="AN75" s="315">
        <f t="shared" si="68"/>
        <v>546406.74764370103</v>
      </c>
      <c r="AO75" s="308">
        <f t="shared" si="78"/>
        <v>557806.13681036769</v>
      </c>
      <c r="AP75" s="308"/>
      <c r="AQ75" s="309"/>
      <c r="AR75" s="309">
        <f>_xlfn.IFNA((VLOOKUP($A75,HN!$A:$K,8,FALSE)/12),0)</f>
        <v>0</v>
      </c>
      <c r="AS75" s="309">
        <f>_xlfn.IFNA((VLOOKUP($A75,HN!$A:$BS,14,FALSE)/12),0)</f>
        <v>0</v>
      </c>
      <c r="AT75" s="309">
        <f>_xlfn.IFNA(VLOOKUP($A75,'Post 16'!$A:$V,21,FALSE),0)/4</f>
        <v>0</v>
      </c>
      <c r="AU75" s="309"/>
      <c r="AV75" s="309">
        <f>_xlfn.IFNA((VLOOKUP($A75,HN!$A:$K,9,FALSE)/12),0)+_xlfn.IFNA((VLOOKUP($A75,HN!$A:$K,10,FALSE)/12),0)+_xlfn.IFNA(VLOOKUP(A75,HN!A:V,19,FALSE),0)+_xlfn.IFNA(VLOOKUP(A75,HN!A:V,20,FALSE),0)+_xlfn.IFNA(VLOOKUP(A75,HN!A:V,21,FALSE),0)</f>
        <v>0</v>
      </c>
      <c r="AW75" s="309">
        <f>_xlfn.IFNA((VLOOKUP($A75,HN!$A:$BS,15,FALSE)/12),0)</f>
        <v>0</v>
      </c>
      <c r="AX75" s="308">
        <f t="shared" si="79"/>
        <v>-1320.1924999999999</v>
      </c>
      <c r="AY75" s="308">
        <f t="shared" si="80"/>
        <v>-10079.196666666667</v>
      </c>
      <c r="AZ75" s="309"/>
      <c r="BA75" s="309">
        <f>_xlfn.IFNA(VLOOKUP($A75,'Cash Advances'!$A:$S,10,FALSE),0)</f>
        <v>0</v>
      </c>
      <c r="BB75" s="308">
        <f t="shared" si="69"/>
        <v>546406.74764370103</v>
      </c>
      <c r="BC75" s="330">
        <f t="shared" si="81"/>
        <v>557806.13681036769</v>
      </c>
      <c r="BD75" s="330"/>
      <c r="BE75" s="331"/>
      <c r="BF75" s="331">
        <f>_xlfn.IFNA((VLOOKUP($A75,HN!$A:$K,8,FALSE)/12),0)</f>
        <v>0</v>
      </c>
      <c r="BG75" s="331">
        <f>_xlfn.IFNA((VLOOKUP($A75,HN!$A:$BS,14,FALSE)/12),0)</f>
        <v>0</v>
      </c>
      <c r="BH75" s="331">
        <f>_xlfn.IFNA(VLOOKUP($A75,'Post 16'!$A:$V,21,FALSE),0)/4</f>
        <v>0</v>
      </c>
      <c r="BI75" s="331"/>
      <c r="BJ75" s="331">
        <f>_xlfn.IFNA((VLOOKUP($A75,HN!$A:$K,9,FALSE)/12),0)+_xlfn.IFNA((VLOOKUP($A75,HN!$A:$K,10,FALSE)/12),0)</f>
        <v>0</v>
      </c>
      <c r="BK75" s="331">
        <f>_xlfn.IFNA((VLOOKUP($A75,HN!$A:$BS,15,FALSE)/12),0)</f>
        <v>0</v>
      </c>
      <c r="BL75" s="330">
        <f t="shared" si="82"/>
        <v>-1320.1924999999999</v>
      </c>
      <c r="BM75" s="330">
        <f t="shared" si="83"/>
        <v>-10079.196666666667</v>
      </c>
      <c r="BN75" s="331"/>
      <c r="BO75" s="331">
        <f>_xlfn.IFNA(VLOOKUP(A75,'Cash Advances'!A:K,11,FALSE),0)</f>
        <v>0</v>
      </c>
      <c r="BP75" s="330">
        <f t="shared" si="70"/>
        <v>546406.74764370103</v>
      </c>
      <c r="BQ75" s="322">
        <f t="shared" si="84"/>
        <v>557806.13681036769</v>
      </c>
      <c r="BR75" s="322"/>
      <c r="BS75" s="323"/>
      <c r="BT75" s="323">
        <f>_xlfn.IFNA((VLOOKUP($A75,HN!$A:$K,8,FALSE)/12),0)</f>
        <v>0</v>
      </c>
      <c r="BU75" s="323">
        <f>_xlfn.IFNA((VLOOKUP($A75,HN!$A:$BS,14,FALSE)/12),0)</f>
        <v>0</v>
      </c>
      <c r="BV75" s="323">
        <f>(_xlfn.IFNA(VLOOKUP($A75,'Post 16'!$A:$AV,32,FALSE),0)/8)+_xlfn.IFNA(VLOOKUP($A75,'Post 16'!$A:$AR,40,FALSE),0)</f>
        <v>0</v>
      </c>
      <c r="BW75" s="323"/>
      <c r="BX75" s="323">
        <f>_xlfn.IFNA((VLOOKUP($A75,HN!$A:$K,9,FALSE)/12),0)+_xlfn.IFNA((VLOOKUP($A75,HN!$A:$K,10,FALSE)/12),0)</f>
        <v>0</v>
      </c>
      <c r="BY75" s="323">
        <f>_xlfn.IFNA((VLOOKUP($A75,HN!$A:$BS,15,FALSE)/12),0)</f>
        <v>0</v>
      </c>
      <c r="BZ75" s="322">
        <f t="shared" si="85"/>
        <v>-1320.1924999999999</v>
      </c>
      <c r="CA75" s="322">
        <f t="shared" si="86"/>
        <v>-10079.196666666667</v>
      </c>
      <c r="CB75" s="323"/>
      <c r="CC75" s="323"/>
      <c r="CD75" s="322">
        <f t="shared" si="71"/>
        <v>546406.74764370103</v>
      </c>
      <c r="CE75" s="357">
        <f t="shared" si="87"/>
        <v>557806.13681036769</v>
      </c>
      <c r="CF75" s="357">
        <f>(VLOOKUP($A75,EY!$A:$BS,26,FALSE)-(VLOOKUP($A75,EY!A:CR,24,FALSE)*80%))+VLOOKUP($A75,EY!$A:$BS,42,FALSE)+(VLOOKUP($A75,EY!A:CC,74,FALSE)-VLOOKUP($A75,EY!A:CC,72,FALSE))</f>
        <v>0</v>
      </c>
      <c r="CG75" s="358"/>
      <c r="CH75" s="358">
        <f>_xlfn.IFNA((VLOOKUP($A75,HN!$A:$K,8,FALSE)/12),0)</f>
        <v>0</v>
      </c>
      <c r="CI75" s="358">
        <f>_xlfn.IFNA((VLOOKUP($A75,HN!$A:$BS,14,FALSE)/12),0)</f>
        <v>0</v>
      </c>
      <c r="CJ75" s="358">
        <f>(_xlfn.IFNA(VLOOKUP($A75,'Post 16'!$A:$AV,32,FALSE),0)/8)</f>
        <v>0</v>
      </c>
      <c r="CK75" s="358">
        <f>(VLOOKUP($A75,EY!A:CR,24,FALSE)*80%)+VLOOKUP($A75,EY!A:CC,72,FALSE)</f>
        <v>0</v>
      </c>
      <c r="CL75" s="358">
        <f>_xlfn.IFNA((VLOOKUP($A75,HN!$A:$K,9,FALSE)/12),0)+_xlfn.IFNA((VLOOKUP($A75,HN!$A:$K,10,FALSE)/12),0)</f>
        <v>0</v>
      </c>
      <c r="CM75" s="358">
        <f>_xlfn.IFNA((VLOOKUP($A75,HN!$A:$BS,15,FALSE)/12),0)</f>
        <v>0</v>
      </c>
      <c r="CN75" s="357">
        <f t="shared" si="88"/>
        <v>-1320.1924999999999</v>
      </c>
      <c r="CO75" s="357">
        <f t="shared" si="89"/>
        <v>-10079.196666666667</v>
      </c>
      <c r="CP75" s="358">
        <f>_xlfn.IFNA(VLOOKUP(A75,'LA Deductions'!A:W,23,FALSE),0)</f>
        <v>-24312.75</v>
      </c>
      <c r="CQ75" s="358">
        <f>_xlfn.IFNA(VLOOKUP($A75,'Cash Advances'!$A:$S,13,FALSE),0)</f>
        <v>0</v>
      </c>
      <c r="CR75" s="358">
        <f>_xlfn.IFNA(VLOOKUP(A75,'LA Deductions'!A:AZ,25,FALSE),0)/9*3</f>
        <v>0</v>
      </c>
      <c r="CS75" s="357">
        <f t="shared" si="108"/>
        <v>522093.99764370103</v>
      </c>
      <c r="CT75" s="337">
        <f t="shared" si="90"/>
        <v>557806.13681036769</v>
      </c>
      <c r="CU75" s="337"/>
      <c r="CV75" s="338">
        <f>_xlfn.IFNA(VLOOKUP(A75,'LA Deductions'!$A$6:$AN$207,34,FALSE),0)</f>
        <v>0</v>
      </c>
      <c r="CW75" s="338">
        <f>_xlfn.IFNA((VLOOKUP($A75,HN!$A:$K,8,FALSE)/12),0)</f>
        <v>0</v>
      </c>
      <c r="CX75" s="338">
        <f>_xlfn.IFNA((VLOOKUP($A75,HN!$A:$BS,14,FALSE)/12),0)</f>
        <v>0</v>
      </c>
      <c r="CY75" s="338">
        <f>_xlfn.IFNA(VLOOKUP($A75,'Post 16'!$A:$AV,32,FALSE),0)/8</f>
        <v>0</v>
      </c>
      <c r="CZ75" s="338"/>
      <c r="DA75" s="338">
        <f>_xlfn.IFNA((VLOOKUP($A75,HN!$A:$K,9,FALSE)/12),0)+_xlfn.IFNA((VLOOKUP($A75,HN!$A:$K,10,FALSE)/12),0)</f>
        <v>0</v>
      </c>
      <c r="DB75" s="338">
        <f>_xlfn.IFNA((VLOOKUP($A75,HN!$A:$BS,15,FALSE)/12),0)</f>
        <v>0</v>
      </c>
      <c r="DC75" s="337">
        <f t="shared" si="91"/>
        <v>-1320.1924999999999</v>
      </c>
      <c r="DD75" s="337">
        <f t="shared" si="92"/>
        <v>-10079.196666666667</v>
      </c>
      <c r="DE75" s="338"/>
      <c r="DF75" s="338">
        <f>_xlfn.IFNA(VLOOKUP($A75,'Cash Advances'!$A:$S,14,FALSE),0)</f>
        <v>0</v>
      </c>
      <c r="DG75" s="338">
        <f>(_xlfn.IFNA(VLOOKUP(A75,'LA Deductions'!A:AZ,25,FALSE),0)/9)+(_xlfn.IFNA(VLOOKUP(A75,'LA Deductions'!A:AZ,26,FALSE),0))</f>
        <v>0</v>
      </c>
      <c r="DH75" s="337">
        <f t="shared" si="109"/>
        <v>546406.74764370103</v>
      </c>
      <c r="DI75" s="330">
        <f t="shared" si="93"/>
        <v>557806.13681036769</v>
      </c>
      <c r="DJ75" s="330"/>
      <c r="DK75" s="331"/>
      <c r="DL75" s="331">
        <f>_xlfn.IFNA((VLOOKUP($A75,HN!$A:$K,8,FALSE)/12),0)+_xlfn.IFNA((VLOOKUP($A75,HN!$A:$AF,32,FALSE)*8/12),0)</f>
        <v>0</v>
      </c>
      <c r="DM75" s="331">
        <f>_xlfn.IFNA((VLOOKUP($A75,HN!$A:$BS,14,FALSE)/12),0)+_xlfn.IFNA(VLOOKUP($A75,HN!$A:$BS,31,FALSE),0)</f>
        <v>0</v>
      </c>
      <c r="DN75" s="331">
        <f>_xlfn.IFNA(VLOOKUP($A75,'Post 16'!$A:$AV,32,FALSE),0)/8</f>
        <v>0</v>
      </c>
      <c r="DO75" s="331"/>
      <c r="DP75" s="331">
        <f>_xlfn.IFNA((VLOOKUP($A75,HN!$A:$K,9,FALSE)/12),0)+_xlfn.IFNA((VLOOKUP($A75,HN!$A:$K,10,FALSE)/12),0)+_xlfn.IFNA((VLOOKUP($A75,HN!$A:$BZ,33,FALSE)*8/12),0)</f>
        <v>0</v>
      </c>
      <c r="DQ75" s="331">
        <f>_xlfn.IFNA((VLOOKUP($A75,HN!$A:$BS,15,FALSE)/12),0)</f>
        <v>0</v>
      </c>
      <c r="DR75" s="330">
        <f t="shared" si="94"/>
        <v>-1320.1924999999999</v>
      </c>
      <c r="DS75" s="330">
        <f t="shared" si="95"/>
        <v>-10079.196666666667</v>
      </c>
      <c r="DT75" s="331"/>
      <c r="DU75" s="331"/>
      <c r="DV75" s="331">
        <f>(_xlfn.IFNA(VLOOKUP(A75,'LA Deductions'!A:AZ,25,FALSE),0)/9)+_xlfn.IFNA(VLOOKUP(A75,'LA Deductions'!A:AZ,27,FALSE),0)</f>
        <v>0</v>
      </c>
      <c r="DW75" s="330">
        <f t="shared" si="110"/>
        <v>546406.74764370103</v>
      </c>
      <c r="DX75" s="344">
        <f t="shared" si="96"/>
        <v>557806.13681036769</v>
      </c>
      <c r="DY75" s="344"/>
      <c r="DZ75" s="345"/>
      <c r="EA75" s="345">
        <f>_xlfn.IFNA((VLOOKUP($A75,HN!$A:$K,8,FALSE)/12),0)+_xlfn.IFNA((VLOOKUP($A75,HN!$A:$AF,32,FALSE)*1/12),0)</f>
        <v>0</v>
      </c>
      <c r="EB75" s="345">
        <f>_xlfn.IFNA((VLOOKUP($A75,HN!$A:$BS,14,FALSE)/12),0)</f>
        <v>0</v>
      </c>
      <c r="EC75" s="345">
        <f>_xlfn.IFNA(VLOOKUP($A75,'Post 16'!$A:$AV,32,FALSE),0)/8</f>
        <v>0</v>
      </c>
      <c r="ED75" s="345"/>
      <c r="EE75" s="345">
        <f>_xlfn.IFNA((VLOOKUP($A75,HN!$A:$K,9,FALSE)/12),0)+_xlfn.IFNA((VLOOKUP($A75,HN!$A:$K,10,FALSE)/12),0)+_xlfn.IFNA((VLOOKUP($A75,HN!$A:$BZ,33,FALSE)/12),0)</f>
        <v>0</v>
      </c>
      <c r="EF75" s="345">
        <f>_xlfn.IFNA((VLOOKUP($A75,HN!$A:$BS,15,FALSE)/12),0)</f>
        <v>0</v>
      </c>
      <c r="EG75" s="344">
        <f t="shared" si="97"/>
        <v>-1320.1924999999999</v>
      </c>
      <c r="EH75" s="344">
        <f t="shared" si="98"/>
        <v>-10079.196666666667</v>
      </c>
      <c r="EI75" s="345"/>
      <c r="EJ75" s="345">
        <f>_xlfn.IFNA(VLOOKUP(A75,'Cash Advances'!A:P,16,FALSE),0)</f>
        <v>0</v>
      </c>
      <c r="EK75" s="345">
        <f>_xlfn.IFNA(VLOOKUP(A75,'LA Deductions'!A:AZ,25,FALSE),0)/9</f>
        <v>0</v>
      </c>
      <c r="EL75" s="344">
        <f t="shared" si="111"/>
        <v>546406.74764370103</v>
      </c>
      <c r="EM75" s="308">
        <f t="shared" si="99"/>
        <v>557806.13681036769</v>
      </c>
      <c r="EN75" s="308">
        <f>((VLOOKUP($A75,EY!$A:$BS,35,FALSE)-(VLOOKUP($A75,EY!$A:$BS,33,FALSE)*80%))+VLOOKUP($A75,EY!$A:$BS,43,FALSE))+(VLOOKUP(A75,EY!A:DF,110,FALSE)-VLOOKUP(A75,EY!A:DD,108,FALSE))+(VLOOKUP(A75,EY!A:CE,83,FALSE)-VLOOKUP(A75,EY!A:CC,81,FALSE))</f>
        <v>0</v>
      </c>
      <c r="EO75" s="309"/>
      <c r="EP75" s="309">
        <f>_xlfn.IFNA((VLOOKUP($A75,HN!$A:$K,8,FALSE)/12),0)+_xlfn.IFNA((VLOOKUP($A75,HN!$A:$AF,32,FALSE)*1/12),0)</f>
        <v>0</v>
      </c>
      <c r="EQ75" s="309">
        <f>_xlfn.IFNA((VLOOKUP($A75,HN!$A:$BS,14,FALSE)/12),0)+_xlfn.IFNA((VLOOKUP($A75,HN!$A:$BS,34,FALSE)/3),0)</f>
        <v>0</v>
      </c>
      <c r="ER75" s="309">
        <f>_xlfn.IFNA(VLOOKUP($A75,'Post 16'!$A:$AV,32,FALSE),0)/8</f>
        <v>0</v>
      </c>
      <c r="ES75" s="309">
        <f>((VLOOKUP($A75,EY!A:EV,33,FALSE)*80%))+VLOOKUP(A75,EY!A:DD,108,FALSE)+VLOOKUP(A75,EY!A:CC,81,FALSE)</f>
        <v>0</v>
      </c>
      <c r="ET75" s="309">
        <f>_xlfn.IFNA((VLOOKUP($A75,HN!$A:$K,9,FALSE)/12),0)+_xlfn.IFNA((VLOOKUP($A75,HN!$A:$K,10,FALSE)/12),0)+_xlfn.IFNA((VLOOKUP($A75,HN!$A:$BZ,33,FALSE)/12),0)</f>
        <v>0</v>
      </c>
      <c r="EU75" s="309">
        <f>_xlfn.IFNA((VLOOKUP($A75,HN!$A:$BS,15,FALSE)/12),0)</f>
        <v>0</v>
      </c>
      <c r="EV75" s="308">
        <f t="shared" si="100"/>
        <v>-1320.1924999999999</v>
      </c>
      <c r="EW75" s="308">
        <f t="shared" si="101"/>
        <v>-10079.196666666667</v>
      </c>
      <c r="EX75" s="309"/>
      <c r="EY75" s="309">
        <f>_xlfn.IFNA(VLOOKUP($A75,'Cash Advances'!$A:$S,17,FALSE),0)</f>
        <v>0</v>
      </c>
      <c r="EZ75" s="309">
        <f>_xlfn.IFNA(VLOOKUP(A75,'LA Deductions'!A:AZ,25,FALSE),0)/9</f>
        <v>0</v>
      </c>
      <c r="FA75" s="308">
        <f t="shared" si="112"/>
        <v>546406.74764370103</v>
      </c>
      <c r="FB75" s="315">
        <f t="shared" si="102"/>
        <v>557806.13681036769</v>
      </c>
      <c r="FC75" s="315"/>
      <c r="FD75" s="316"/>
      <c r="FE75" s="316">
        <f>_xlfn.IFNA((VLOOKUP($A75,HN!$A:$K,8,FALSE)/12),0)+_xlfn.IFNA((VLOOKUP($A75,HN!$A:$AF,32,FALSE)*1/12),0)</f>
        <v>0</v>
      </c>
      <c r="FF75" s="316">
        <f>_xlfn.IFNA((VLOOKUP($A75,HN!$A:$BS,14,FALSE)/12),0)+_xlfn.IFNA((VLOOKUP($A75,HN!$A:$BS,34,FALSE)/3),0)</f>
        <v>0</v>
      </c>
      <c r="FG75" s="316">
        <f>_xlfn.IFNA(VLOOKUP($A75,'Post 16'!$A:$AV,32,FALSE),0)/8</f>
        <v>0</v>
      </c>
      <c r="FH75" s="316"/>
      <c r="FI75" s="316">
        <f>_xlfn.IFNA((VLOOKUP($A75,HN!$A:$K,9,FALSE)/12),0)+_xlfn.IFNA((VLOOKUP($A75,HN!$A:$K,10,FALSE)/12),0)+_xlfn.IFNA((VLOOKUP($A75,HN!$A:$BZ,33,FALSE)/12),0)+_xlfn.IFNA((VLOOKUP($A75,HN!$A:$BZ,35,FALSE)/2),0)</f>
        <v>0</v>
      </c>
      <c r="FJ75" s="316">
        <f>_xlfn.IFNA((VLOOKUP($A75,HN!$A:$BS,15,FALSE)/12),0)+_xlfn.IFNA((VLOOKUP($A75,HN!$A:$CZ,36,FALSE)/2),0)</f>
        <v>0</v>
      </c>
      <c r="FK75" s="315">
        <f t="shared" si="103"/>
        <v>-1320.1924999999999</v>
      </c>
      <c r="FL75" s="315">
        <f t="shared" si="104"/>
        <v>-10079.196666666667</v>
      </c>
      <c r="FM75" s="316"/>
      <c r="FN75" s="316">
        <f>_xlfn.IFNA(VLOOKUP($A75,'Cash Advances'!$A:$S,18,FALSE),0)</f>
        <v>0</v>
      </c>
      <c r="FO75" s="316">
        <f>_xlfn.IFNA(VLOOKUP(A75,'LA Deductions'!A:AZ,25,FALSE),0)/9</f>
        <v>0</v>
      </c>
      <c r="FP75" s="315">
        <f t="shared" si="113"/>
        <v>546406.74764370103</v>
      </c>
      <c r="FQ75" s="322">
        <f t="shared" si="105"/>
        <v>557806.13681036769</v>
      </c>
      <c r="FR75" s="322"/>
      <c r="FS75" s="323"/>
      <c r="FT75" s="323">
        <f>_xlfn.IFNA((VLOOKUP($A75,HN!$A:$K,8,FALSE)/12),0)+_xlfn.IFNA((VLOOKUP($A75,HN!$A:$AF,32,FALSE)*1/12),0)</f>
        <v>0</v>
      </c>
      <c r="FU75" s="323">
        <f>_xlfn.IFNA((VLOOKUP($A75,HN!$A:$BS,14,FALSE)/12),0)+_xlfn.IFNA((VLOOKUP($A75,HN!$A:$BS,34,FALSE)/3),0)</f>
        <v>0</v>
      </c>
      <c r="FV75" s="323">
        <f>_xlfn.IFNA(VLOOKUP($A75,'Post 16'!$A:$AV,32,FALSE),0)/8</f>
        <v>0</v>
      </c>
      <c r="FW75" s="323"/>
      <c r="FX75" s="323">
        <f>_xlfn.IFNA((VLOOKUP($A75,HN!$A:$K,9,FALSE)/12),0)+_xlfn.IFNA((VLOOKUP($A75,HN!$A:$K,10,FALSE)/12),0)+_xlfn.IFNA((VLOOKUP($A75,HN!$A:$BZ,33,FALSE)/12),0)+_xlfn.IFNA((VLOOKUP($A75,HN!$A:$BZ,35,FALSE)/2),0)</f>
        <v>0</v>
      </c>
      <c r="FY75" s="323">
        <f>_xlfn.IFNA((VLOOKUP($A75,HN!$A:$BS,15,FALSE)/12),0)+_xlfn.IFNA((VLOOKUP($A75,HN!$A:$CZ,36,FALSE)/2),0)</f>
        <v>0</v>
      </c>
      <c r="FZ75" s="322">
        <f t="shared" si="106"/>
        <v>-1320.1924999999999</v>
      </c>
      <c r="GA75" s="322">
        <f t="shared" si="107"/>
        <v>-10079.196666666667</v>
      </c>
      <c r="GB75" s="323"/>
      <c r="GC75" s="323"/>
      <c r="GD75" s="323">
        <f>_xlfn.IFNA(VLOOKUP(A75,'LA Deductions'!A:AZ,25,FALSE),0)/9</f>
        <v>0</v>
      </c>
      <c r="GE75" s="322">
        <f t="shared" si="114"/>
        <v>546406.74764370103</v>
      </c>
      <c r="GG75" s="146">
        <f t="shared" si="65"/>
        <v>6693673.6417244142</v>
      </c>
      <c r="GH75" s="146">
        <f t="shared" si="65"/>
        <v>0</v>
      </c>
      <c r="GI75" s="146">
        <f t="shared" si="65"/>
        <v>0</v>
      </c>
      <c r="GJ75" s="146">
        <f t="shared" si="65"/>
        <v>-15842.309999999996</v>
      </c>
      <c r="GK75" s="146">
        <f t="shared" si="65"/>
        <v>-120950.36000000003</v>
      </c>
      <c r="GL75" s="146">
        <f t="shared" si="65"/>
        <v>-24312.75</v>
      </c>
      <c r="GN75" s="146">
        <f t="shared" si="66"/>
        <v>6693673.6417244142</v>
      </c>
      <c r="GO75" s="146">
        <f t="shared" si="66"/>
        <v>0</v>
      </c>
      <c r="GP75" s="146">
        <f t="shared" si="66"/>
        <v>0</v>
      </c>
      <c r="GQ75" s="146">
        <f t="shared" si="66"/>
        <v>-15842.309999999996</v>
      </c>
      <c r="GR75" s="146">
        <f t="shared" si="66"/>
        <v>-120950.36000000003</v>
      </c>
      <c r="GS75" s="146">
        <f t="shared" si="66"/>
        <v>-24312.75</v>
      </c>
      <c r="GU75" s="146"/>
      <c r="GV75" s="57"/>
    </row>
    <row r="76" spans="1:204">
      <c r="A76" s="185">
        <v>1016</v>
      </c>
      <c r="B76" s="185">
        <v>103129</v>
      </c>
      <c r="C76" s="185" t="s">
        <v>172</v>
      </c>
      <c r="D76" s="2" t="s">
        <v>173</v>
      </c>
      <c r="E76" s="191" t="s">
        <v>29</v>
      </c>
      <c r="F76" s="191" t="s">
        <v>912</v>
      </c>
      <c r="H76" s="279">
        <f>_xlfn.IFNA(VLOOKUP($A76,ISB!$A$4:$BY$454,67,FALSE),0)</f>
        <v>0</v>
      </c>
      <c r="I76" s="279">
        <f>_xlfn.IFNA(VLOOKUP($A76,ISB!$A$4:$BY$454,72,FALSE),0)</f>
        <v>0</v>
      </c>
      <c r="J76" s="279">
        <f>-_xlfn.IFNA(VLOOKUP($A76,ISB!$A$4:$BY$454,76,FALSE),0)</f>
        <v>0</v>
      </c>
      <c r="K76" s="279">
        <f>_xlfn.IFNA(VLOOKUP($A76,ISB!$A$4:$BY$454,77,FALSE),0)</f>
        <v>0</v>
      </c>
      <c r="M76" s="301">
        <f t="shared" si="72"/>
        <v>0</v>
      </c>
      <c r="N76" s="301">
        <f>VLOOKUP($A76,EY!$A:$H,8,FALSE)+(VLOOKUP($A76,EY!$A:$BS,17,FALSE)-S76)+VLOOKUP($A76,EY!$A:$BS,41,FALSE)</f>
        <v>338077.26695698057</v>
      </c>
      <c r="O76" s="302"/>
      <c r="P76" s="302">
        <f>_xlfn.IFNA((VLOOKUP($A76,HN!$A:$K,8,FALSE)/12),0)</f>
        <v>0</v>
      </c>
      <c r="Q76" s="302">
        <f>_xlfn.IFNA((VLOOKUP($A76,HN!$A:$BS,14,FALSE)/12),0)</f>
        <v>0</v>
      </c>
      <c r="R76" s="302">
        <f>_xlfn.IFNA(VLOOKUP($A76,'Post 16'!$A:$V,21,FALSE),0)/4</f>
        <v>0</v>
      </c>
      <c r="S76" s="302">
        <f>VLOOKUP($A76,EY!A:Q,15,FALSE)*80%</f>
        <v>0</v>
      </c>
      <c r="T76" s="302">
        <f>_xlfn.IFNA((VLOOKUP($A76,HN!$A:$K,9,FALSE)/12),0)+_xlfn.IFNA((VLOOKUP($A76,HN!$A:$K,10,FALSE)/12),0)</f>
        <v>0</v>
      </c>
      <c r="U76" s="302">
        <f>_xlfn.IFNA((VLOOKUP($A76,HN!$A:$BS,15,FALSE)/12),0)</f>
        <v>0</v>
      </c>
      <c r="V76" s="301">
        <f t="shared" si="73"/>
        <v>0</v>
      </c>
      <c r="W76" s="301">
        <f t="shared" si="74"/>
        <v>0</v>
      </c>
      <c r="X76" s="302"/>
      <c r="Y76" s="302">
        <f>_xlfn.IFNA(VLOOKUP($A76,'Cash Advances'!$A:$S,8,FALSE),0)</f>
        <v>0</v>
      </c>
      <c r="Z76" s="301">
        <f t="shared" si="67"/>
        <v>338077.26695698057</v>
      </c>
      <c r="AA76" s="315">
        <f t="shared" si="75"/>
        <v>0</v>
      </c>
      <c r="AB76" s="315"/>
      <c r="AC76" s="316"/>
      <c r="AD76" s="316">
        <f>_xlfn.IFNA((VLOOKUP($A76,HN!$A:$K,8,FALSE)/12),0)</f>
        <v>0</v>
      </c>
      <c r="AE76" s="316">
        <f>_xlfn.IFNA((VLOOKUP($A76,HN!$A:$BS,14,FALSE)/12),0)</f>
        <v>0</v>
      </c>
      <c r="AF76" s="316">
        <f>_xlfn.IFNA(VLOOKUP($A76,'Post 16'!$A:$V,21,FALSE),0)/4</f>
        <v>0</v>
      </c>
      <c r="AG76" s="316"/>
      <c r="AH76" s="316">
        <f>_xlfn.IFNA((VLOOKUP($A76,HN!$A:$K,9,FALSE)/12),0)+_xlfn.IFNA((VLOOKUP($A76,HN!$A:$K,10,FALSE)/12),0)</f>
        <v>0</v>
      </c>
      <c r="AI76" s="316">
        <f>_xlfn.IFNA((VLOOKUP($A76,HN!$A:$BS,15,FALSE)/12),0)</f>
        <v>0</v>
      </c>
      <c r="AJ76" s="315">
        <f t="shared" si="76"/>
        <v>0</v>
      </c>
      <c r="AK76" s="315">
        <f t="shared" si="77"/>
        <v>0</v>
      </c>
      <c r="AL76" s="316"/>
      <c r="AM76" s="316">
        <f>_xlfn.IFNA(VLOOKUP($A76,'Cash Advances'!$A:$S,9,FALSE),0)</f>
        <v>0</v>
      </c>
      <c r="AN76" s="315">
        <f t="shared" si="68"/>
        <v>0</v>
      </c>
      <c r="AO76" s="308">
        <f t="shared" si="78"/>
        <v>0</v>
      </c>
      <c r="AP76" s="308"/>
      <c r="AQ76" s="309"/>
      <c r="AR76" s="309">
        <f>_xlfn.IFNA((VLOOKUP($A76,HN!$A:$K,8,FALSE)/12),0)</f>
        <v>0</v>
      </c>
      <c r="AS76" s="309">
        <f>_xlfn.IFNA((VLOOKUP($A76,HN!$A:$BS,14,FALSE)/12),0)</f>
        <v>0</v>
      </c>
      <c r="AT76" s="309">
        <f>_xlfn.IFNA(VLOOKUP($A76,'Post 16'!$A:$V,21,FALSE),0)/4</f>
        <v>0</v>
      </c>
      <c r="AU76" s="309"/>
      <c r="AV76" s="309">
        <f>_xlfn.IFNA((VLOOKUP($A76,HN!$A:$K,9,FALSE)/12),0)+_xlfn.IFNA((VLOOKUP($A76,HN!$A:$K,10,FALSE)/12),0)+_xlfn.IFNA(VLOOKUP(A76,HN!A:V,19,FALSE),0)+_xlfn.IFNA(VLOOKUP(A76,HN!A:V,20,FALSE),0)+_xlfn.IFNA(VLOOKUP(A76,HN!A:V,21,FALSE),0)</f>
        <v>0</v>
      </c>
      <c r="AW76" s="309">
        <f>_xlfn.IFNA((VLOOKUP($A76,HN!$A:$BS,15,FALSE)/12),0)</f>
        <v>0</v>
      </c>
      <c r="AX76" s="308">
        <f t="shared" si="79"/>
        <v>0</v>
      </c>
      <c r="AY76" s="308">
        <f t="shared" si="80"/>
        <v>0</v>
      </c>
      <c r="AZ76" s="309"/>
      <c r="BA76" s="309">
        <f>_xlfn.IFNA(VLOOKUP($A76,'Cash Advances'!$A:$S,10,FALSE),0)</f>
        <v>0</v>
      </c>
      <c r="BB76" s="308">
        <f t="shared" si="69"/>
        <v>0</v>
      </c>
      <c r="BC76" s="330">
        <f t="shared" si="81"/>
        <v>0</v>
      </c>
      <c r="BD76" s="330"/>
      <c r="BE76" s="331"/>
      <c r="BF76" s="331">
        <f>_xlfn.IFNA((VLOOKUP($A76,HN!$A:$K,8,FALSE)/12),0)</f>
        <v>0</v>
      </c>
      <c r="BG76" s="331">
        <f>_xlfn.IFNA((VLOOKUP($A76,HN!$A:$BS,14,FALSE)/12),0)</f>
        <v>0</v>
      </c>
      <c r="BH76" s="331">
        <f>_xlfn.IFNA(VLOOKUP($A76,'Post 16'!$A:$V,21,FALSE),0)/4</f>
        <v>0</v>
      </c>
      <c r="BI76" s="331"/>
      <c r="BJ76" s="331">
        <f>_xlfn.IFNA((VLOOKUP($A76,HN!$A:$K,9,FALSE)/12),0)+_xlfn.IFNA((VLOOKUP($A76,HN!$A:$K,10,FALSE)/12),0)</f>
        <v>0</v>
      </c>
      <c r="BK76" s="331">
        <f>_xlfn.IFNA((VLOOKUP($A76,HN!$A:$BS,15,FALSE)/12),0)</f>
        <v>0</v>
      </c>
      <c r="BL76" s="330">
        <f t="shared" si="82"/>
        <v>0</v>
      </c>
      <c r="BM76" s="330">
        <f t="shared" si="83"/>
        <v>0</v>
      </c>
      <c r="BN76" s="331"/>
      <c r="BO76" s="331">
        <f>_xlfn.IFNA(VLOOKUP(A76,'Cash Advances'!A:K,11,FALSE),0)</f>
        <v>0</v>
      </c>
      <c r="BP76" s="330">
        <f t="shared" si="70"/>
        <v>0</v>
      </c>
      <c r="BQ76" s="322">
        <f t="shared" si="84"/>
        <v>0</v>
      </c>
      <c r="BR76" s="322"/>
      <c r="BS76" s="323"/>
      <c r="BT76" s="323">
        <f>_xlfn.IFNA((VLOOKUP($A76,HN!$A:$K,8,FALSE)/12),0)</f>
        <v>0</v>
      </c>
      <c r="BU76" s="323">
        <f>_xlfn.IFNA((VLOOKUP($A76,HN!$A:$BS,14,FALSE)/12),0)</f>
        <v>0</v>
      </c>
      <c r="BV76" s="323">
        <f>(_xlfn.IFNA(VLOOKUP($A76,'Post 16'!$A:$AV,32,FALSE),0)/8)+_xlfn.IFNA(VLOOKUP($A76,'Post 16'!$A:$AR,40,FALSE),0)</f>
        <v>0</v>
      </c>
      <c r="BW76" s="323"/>
      <c r="BX76" s="323">
        <f>_xlfn.IFNA((VLOOKUP($A76,HN!$A:$K,9,FALSE)/12),0)+_xlfn.IFNA((VLOOKUP($A76,HN!$A:$K,10,FALSE)/12),0)</f>
        <v>0</v>
      </c>
      <c r="BY76" s="323">
        <f>_xlfn.IFNA((VLOOKUP($A76,HN!$A:$BS,15,FALSE)/12),0)</f>
        <v>0</v>
      </c>
      <c r="BZ76" s="322">
        <f t="shared" si="85"/>
        <v>0</v>
      </c>
      <c r="CA76" s="322">
        <f t="shared" si="86"/>
        <v>0</v>
      </c>
      <c r="CB76" s="323"/>
      <c r="CC76" s="323"/>
      <c r="CD76" s="322">
        <f t="shared" si="71"/>
        <v>0</v>
      </c>
      <c r="CE76" s="357">
        <f t="shared" si="87"/>
        <v>0</v>
      </c>
      <c r="CF76" s="357">
        <f>(VLOOKUP($A76,EY!$A:$BS,26,FALSE)-(VLOOKUP($A76,EY!A:CR,24,FALSE)*80%))+VLOOKUP($A76,EY!$A:$BS,42,FALSE)+(VLOOKUP($A76,EY!A:CC,74,FALSE)-VLOOKUP($A76,EY!A:CC,72,FALSE))</f>
        <v>143021.67575170496</v>
      </c>
      <c r="CG76" s="358"/>
      <c r="CH76" s="358">
        <f>_xlfn.IFNA((VLOOKUP($A76,HN!$A:$K,8,FALSE)/12),0)</f>
        <v>0</v>
      </c>
      <c r="CI76" s="358">
        <f>_xlfn.IFNA((VLOOKUP($A76,HN!$A:$BS,14,FALSE)/12),0)</f>
        <v>0</v>
      </c>
      <c r="CJ76" s="358">
        <f>(_xlfn.IFNA(VLOOKUP($A76,'Post 16'!$A:$AV,32,FALSE),0)/8)</f>
        <v>0</v>
      </c>
      <c r="CK76" s="358">
        <f>(VLOOKUP($A76,EY!A:CR,24,FALSE)*80%)+VLOOKUP($A76,EY!A:CC,72,FALSE)</f>
        <v>0</v>
      </c>
      <c r="CL76" s="358">
        <f>_xlfn.IFNA((VLOOKUP($A76,HN!$A:$K,9,FALSE)/12),0)+_xlfn.IFNA((VLOOKUP($A76,HN!$A:$K,10,FALSE)/12),0)</f>
        <v>0</v>
      </c>
      <c r="CM76" s="358">
        <f>_xlfn.IFNA((VLOOKUP($A76,HN!$A:$BS,15,FALSE)/12),0)</f>
        <v>0</v>
      </c>
      <c r="CN76" s="357">
        <f t="shared" si="88"/>
        <v>0</v>
      </c>
      <c r="CO76" s="357">
        <f t="shared" si="89"/>
        <v>0</v>
      </c>
      <c r="CP76" s="358">
        <f>_xlfn.IFNA(VLOOKUP(A76,'LA Deductions'!A:W,23,FALSE),0)</f>
        <v>-3291.75</v>
      </c>
      <c r="CQ76" s="358">
        <f>_xlfn.IFNA(VLOOKUP($A76,'Cash Advances'!$A:$S,13,FALSE),0)</f>
        <v>0</v>
      </c>
      <c r="CR76" s="358">
        <f>_xlfn.IFNA(VLOOKUP(A76,'LA Deductions'!A:AZ,25,FALSE),0)/9*3</f>
        <v>0</v>
      </c>
      <c r="CS76" s="357">
        <f t="shared" si="108"/>
        <v>139729.92575170496</v>
      </c>
      <c r="CT76" s="337">
        <f t="shared" si="90"/>
        <v>0</v>
      </c>
      <c r="CU76" s="337"/>
      <c r="CV76" s="338">
        <f>_xlfn.IFNA(VLOOKUP(A76,'LA Deductions'!$A$6:$AN$207,34,FALSE),0)</f>
        <v>0</v>
      </c>
      <c r="CW76" s="338">
        <f>_xlfn.IFNA((VLOOKUP($A76,HN!$A:$K,8,FALSE)/12),0)</f>
        <v>0</v>
      </c>
      <c r="CX76" s="338">
        <f>_xlfn.IFNA((VLOOKUP($A76,HN!$A:$BS,14,FALSE)/12),0)</f>
        <v>0</v>
      </c>
      <c r="CY76" s="338">
        <f>_xlfn.IFNA(VLOOKUP($A76,'Post 16'!$A:$AV,32,FALSE),0)/8</f>
        <v>0</v>
      </c>
      <c r="CZ76" s="338"/>
      <c r="DA76" s="338">
        <f>_xlfn.IFNA((VLOOKUP($A76,HN!$A:$K,9,FALSE)/12),0)+_xlfn.IFNA((VLOOKUP($A76,HN!$A:$K,10,FALSE)/12),0)</f>
        <v>0</v>
      </c>
      <c r="DB76" s="338">
        <f>_xlfn.IFNA((VLOOKUP($A76,HN!$A:$BS,15,FALSE)/12),0)</f>
        <v>0</v>
      </c>
      <c r="DC76" s="337">
        <f t="shared" si="91"/>
        <v>0</v>
      </c>
      <c r="DD76" s="337">
        <f t="shared" si="92"/>
        <v>0</v>
      </c>
      <c r="DE76" s="338"/>
      <c r="DF76" s="338">
        <f>_xlfn.IFNA(VLOOKUP($A76,'Cash Advances'!$A:$S,14,FALSE),0)</f>
        <v>0</v>
      </c>
      <c r="DG76" s="338">
        <f>(_xlfn.IFNA(VLOOKUP(A76,'LA Deductions'!A:AZ,25,FALSE),0)/9)+(_xlfn.IFNA(VLOOKUP(A76,'LA Deductions'!A:AZ,26,FALSE),0))</f>
        <v>0</v>
      </c>
      <c r="DH76" s="337">
        <f t="shared" si="109"/>
        <v>0</v>
      </c>
      <c r="DI76" s="330">
        <f t="shared" si="93"/>
        <v>0</v>
      </c>
      <c r="DJ76" s="330"/>
      <c r="DK76" s="331"/>
      <c r="DL76" s="331">
        <f>_xlfn.IFNA((VLOOKUP($A76,HN!$A:$K,8,FALSE)/12),0)+_xlfn.IFNA((VLOOKUP($A76,HN!$A:$AF,32,FALSE)*8/12),0)</f>
        <v>0</v>
      </c>
      <c r="DM76" s="331">
        <f>_xlfn.IFNA((VLOOKUP($A76,HN!$A:$BS,14,FALSE)/12),0)+_xlfn.IFNA(VLOOKUP($A76,HN!$A:$BS,31,FALSE),0)</f>
        <v>0</v>
      </c>
      <c r="DN76" s="331">
        <f>_xlfn.IFNA(VLOOKUP($A76,'Post 16'!$A:$AV,32,FALSE),0)/8</f>
        <v>0</v>
      </c>
      <c r="DO76" s="331"/>
      <c r="DP76" s="331">
        <f>_xlfn.IFNA((VLOOKUP($A76,HN!$A:$K,9,FALSE)/12),0)+_xlfn.IFNA((VLOOKUP($A76,HN!$A:$K,10,FALSE)/12),0)+_xlfn.IFNA((VLOOKUP($A76,HN!$A:$BZ,33,FALSE)*8/12),0)</f>
        <v>0</v>
      </c>
      <c r="DQ76" s="331">
        <f>_xlfn.IFNA((VLOOKUP($A76,HN!$A:$BS,15,FALSE)/12),0)</f>
        <v>0</v>
      </c>
      <c r="DR76" s="330">
        <f t="shared" si="94"/>
        <v>0</v>
      </c>
      <c r="DS76" s="330">
        <f t="shared" si="95"/>
        <v>0</v>
      </c>
      <c r="DT76" s="331"/>
      <c r="DU76" s="331"/>
      <c r="DV76" s="331">
        <f>(_xlfn.IFNA(VLOOKUP(A76,'LA Deductions'!A:AZ,25,FALSE),0)/9)+_xlfn.IFNA(VLOOKUP(A76,'LA Deductions'!A:AZ,27,FALSE),0)</f>
        <v>0</v>
      </c>
      <c r="DW76" s="330">
        <f t="shared" si="110"/>
        <v>0</v>
      </c>
      <c r="DX76" s="344">
        <f t="shared" si="96"/>
        <v>0</v>
      </c>
      <c r="DY76" s="344"/>
      <c r="DZ76" s="345"/>
      <c r="EA76" s="345">
        <f>_xlfn.IFNA((VLOOKUP($A76,HN!$A:$K,8,FALSE)/12),0)+_xlfn.IFNA((VLOOKUP($A76,HN!$A:$AF,32,FALSE)*1/12),0)</f>
        <v>0</v>
      </c>
      <c r="EB76" s="345">
        <f>_xlfn.IFNA((VLOOKUP($A76,HN!$A:$BS,14,FALSE)/12),0)</f>
        <v>0</v>
      </c>
      <c r="EC76" s="345">
        <f>_xlfn.IFNA(VLOOKUP($A76,'Post 16'!$A:$AV,32,FALSE),0)/8</f>
        <v>0</v>
      </c>
      <c r="ED76" s="345"/>
      <c r="EE76" s="345">
        <f>_xlfn.IFNA((VLOOKUP($A76,HN!$A:$K,9,FALSE)/12),0)+_xlfn.IFNA((VLOOKUP($A76,HN!$A:$K,10,FALSE)/12),0)+_xlfn.IFNA((VLOOKUP($A76,HN!$A:$BZ,33,FALSE)/12),0)</f>
        <v>0</v>
      </c>
      <c r="EF76" s="345">
        <f>_xlfn.IFNA((VLOOKUP($A76,HN!$A:$BS,15,FALSE)/12),0)</f>
        <v>0</v>
      </c>
      <c r="EG76" s="344">
        <f t="shared" si="97"/>
        <v>0</v>
      </c>
      <c r="EH76" s="344">
        <f t="shared" si="98"/>
        <v>0</v>
      </c>
      <c r="EI76" s="345"/>
      <c r="EJ76" s="345">
        <f>_xlfn.IFNA(VLOOKUP(A76,'Cash Advances'!A:P,16,FALSE),0)</f>
        <v>0</v>
      </c>
      <c r="EK76" s="345">
        <f>_xlfn.IFNA(VLOOKUP(A76,'LA Deductions'!A:AZ,25,FALSE),0)/9</f>
        <v>0</v>
      </c>
      <c r="EL76" s="344">
        <f t="shared" si="111"/>
        <v>0</v>
      </c>
      <c r="EM76" s="308">
        <f t="shared" si="99"/>
        <v>0</v>
      </c>
      <c r="EN76" s="308">
        <f>((VLOOKUP($A76,EY!$A:$BS,35,FALSE)-(VLOOKUP($A76,EY!$A:$BS,33,FALSE)*80%))+VLOOKUP($A76,EY!$A:$BS,43,FALSE))+(VLOOKUP(A76,EY!A:DF,110,FALSE)-VLOOKUP(A76,EY!A:DD,108,FALSE))+(VLOOKUP(A76,EY!A:CE,83,FALSE)-VLOOKUP(A76,EY!A:CC,81,FALSE))</f>
        <v>130861.36008864266</v>
      </c>
      <c r="EO76" s="309"/>
      <c r="EP76" s="309">
        <f>_xlfn.IFNA((VLOOKUP($A76,HN!$A:$K,8,FALSE)/12),0)+_xlfn.IFNA((VLOOKUP($A76,HN!$A:$AF,32,FALSE)*1/12),0)</f>
        <v>0</v>
      </c>
      <c r="EQ76" s="309">
        <f>_xlfn.IFNA((VLOOKUP($A76,HN!$A:$BS,14,FALSE)/12),0)+_xlfn.IFNA((VLOOKUP($A76,HN!$A:$BS,34,FALSE)/3),0)</f>
        <v>0</v>
      </c>
      <c r="ER76" s="309">
        <f>_xlfn.IFNA(VLOOKUP($A76,'Post 16'!$A:$AV,32,FALSE),0)/8</f>
        <v>0</v>
      </c>
      <c r="ES76" s="309">
        <f>((VLOOKUP($A76,EY!A:EV,33,FALSE)*80%))+VLOOKUP(A76,EY!A:DD,108,FALSE)+VLOOKUP(A76,EY!A:CC,81,FALSE)</f>
        <v>0</v>
      </c>
      <c r="ET76" s="309">
        <f>_xlfn.IFNA((VLOOKUP($A76,HN!$A:$K,9,FALSE)/12),0)+_xlfn.IFNA((VLOOKUP($A76,HN!$A:$K,10,FALSE)/12),0)+_xlfn.IFNA((VLOOKUP($A76,HN!$A:$BZ,33,FALSE)/12),0)</f>
        <v>0</v>
      </c>
      <c r="EU76" s="309">
        <f>_xlfn.IFNA((VLOOKUP($A76,HN!$A:$BS,15,FALSE)/12),0)</f>
        <v>0</v>
      </c>
      <c r="EV76" s="308">
        <f t="shared" si="100"/>
        <v>0</v>
      </c>
      <c r="EW76" s="308">
        <f t="shared" si="101"/>
        <v>0</v>
      </c>
      <c r="EX76" s="309"/>
      <c r="EY76" s="309">
        <f>_xlfn.IFNA(VLOOKUP($A76,'Cash Advances'!$A:$S,17,FALSE),0)</f>
        <v>0</v>
      </c>
      <c r="EZ76" s="309">
        <f>_xlfn.IFNA(VLOOKUP(A76,'LA Deductions'!A:AZ,25,FALSE),0)/9</f>
        <v>0</v>
      </c>
      <c r="FA76" s="308">
        <f t="shared" si="112"/>
        <v>130861.36008864266</v>
      </c>
      <c r="FB76" s="315">
        <f t="shared" si="102"/>
        <v>0</v>
      </c>
      <c r="FC76" s="315"/>
      <c r="FD76" s="316"/>
      <c r="FE76" s="316">
        <f>_xlfn.IFNA((VLOOKUP($A76,HN!$A:$K,8,FALSE)/12),0)+_xlfn.IFNA((VLOOKUP($A76,HN!$A:$AF,32,FALSE)*1/12),0)</f>
        <v>0</v>
      </c>
      <c r="FF76" s="316">
        <f>_xlfn.IFNA((VLOOKUP($A76,HN!$A:$BS,14,FALSE)/12),0)+_xlfn.IFNA((VLOOKUP($A76,HN!$A:$BS,34,FALSE)/3),0)</f>
        <v>0</v>
      </c>
      <c r="FG76" s="316">
        <f>_xlfn.IFNA(VLOOKUP($A76,'Post 16'!$A:$AV,32,FALSE),0)/8</f>
        <v>0</v>
      </c>
      <c r="FH76" s="316"/>
      <c r="FI76" s="316">
        <f>_xlfn.IFNA((VLOOKUP($A76,HN!$A:$K,9,FALSE)/12),0)+_xlfn.IFNA((VLOOKUP($A76,HN!$A:$K,10,FALSE)/12),0)+_xlfn.IFNA((VLOOKUP($A76,HN!$A:$BZ,33,FALSE)/12),0)+_xlfn.IFNA((VLOOKUP($A76,HN!$A:$BZ,35,FALSE)/2),0)</f>
        <v>0</v>
      </c>
      <c r="FJ76" s="316">
        <f>_xlfn.IFNA((VLOOKUP($A76,HN!$A:$BS,15,FALSE)/12),0)+_xlfn.IFNA((VLOOKUP($A76,HN!$A:$CZ,36,FALSE)/2),0)</f>
        <v>0</v>
      </c>
      <c r="FK76" s="315">
        <f t="shared" si="103"/>
        <v>0</v>
      </c>
      <c r="FL76" s="315">
        <f t="shared" si="104"/>
        <v>0</v>
      </c>
      <c r="FM76" s="316"/>
      <c r="FN76" s="316">
        <f>_xlfn.IFNA(VLOOKUP($A76,'Cash Advances'!$A:$S,18,FALSE),0)</f>
        <v>0</v>
      </c>
      <c r="FO76" s="316">
        <f>_xlfn.IFNA(VLOOKUP(A76,'LA Deductions'!A:AZ,25,FALSE),0)/9</f>
        <v>0</v>
      </c>
      <c r="FP76" s="315">
        <f t="shared" si="113"/>
        <v>0</v>
      </c>
      <c r="FQ76" s="322">
        <f t="shared" si="105"/>
        <v>0</v>
      </c>
      <c r="FR76" s="322"/>
      <c r="FS76" s="323"/>
      <c r="FT76" s="323">
        <f>_xlfn.IFNA((VLOOKUP($A76,HN!$A:$K,8,FALSE)/12),0)+_xlfn.IFNA((VLOOKUP($A76,HN!$A:$AF,32,FALSE)*1/12),0)</f>
        <v>0</v>
      </c>
      <c r="FU76" s="323">
        <f>_xlfn.IFNA((VLOOKUP($A76,HN!$A:$BS,14,FALSE)/12),0)+_xlfn.IFNA((VLOOKUP($A76,HN!$A:$BS,34,FALSE)/3),0)</f>
        <v>0</v>
      </c>
      <c r="FV76" s="323">
        <f>_xlfn.IFNA(VLOOKUP($A76,'Post 16'!$A:$AV,32,FALSE),0)/8</f>
        <v>0</v>
      </c>
      <c r="FW76" s="323"/>
      <c r="FX76" s="323">
        <f>_xlfn.IFNA((VLOOKUP($A76,HN!$A:$K,9,FALSE)/12),0)+_xlfn.IFNA((VLOOKUP($A76,HN!$A:$K,10,FALSE)/12),0)+_xlfn.IFNA((VLOOKUP($A76,HN!$A:$BZ,33,FALSE)/12),0)+_xlfn.IFNA((VLOOKUP($A76,HN!$A:$BZ,35,FALSE)/2),0)</f>
        <v>0</v>
      </c>
      <c r="FY76" s="323">
        <f>_xlfn.IFNA((VLOOKUP($A76,HN!$A:$BS,15,FALSE)/12),0)+_xlfn.IFNA((VLOOKUP($A76,HN!$A:$CZ,36,FALSE)/2),0)</f>
        <v>0</v>
      </c>
      <c r="FZ76" s="322">
        <f t="shared" si="106"/>
        <v>0</v>
      </c>
      <c r="GA76" s="322">
        <f t="shared" si="107"/>
        <v>0</v>
      </c>
      <c r="GB76" s="323"/>
      <c r="GC76" s="323"/>
      <c r="GD76" s="323">
        <f>_xlfn.IFNA(VLOOKUP(A76,'LA Deductions'!A:AZ,25,FALSE),0)/9</f>
        <v>0</v>
      </c>
      <c r="GE76" s="322">
        <f t="shared" si="114"/>
        <v>0</v>
      </c>
      <c r="GG76" s="146">
        <f t="shared" si="65"/>
        <v>611960.30279732822</v>
      </c>
      <c r="GH76" s="146">
        <f t="shared" si="65"/>
        <v>0</v>
      </c>
      <c r="GI76" s="146">
        <f t="shared" si="65"/>
        <v>0</v>
      </c>
      <c r="GJ76" s="146">
        <f t="shared" si="65"/>
        <v>0</v>
      </c>
      <c r="GK76" s="146">
        <f t="shared" si="65"/>
        <v>0</v>
      </c>
      <c r="GL76" s="146">
        <f t="shared" si="65"/>
        <v>-3291.75</v>
      </c>
      <c r="GN76" s="146">
        <f t="shared" si="66"/>
        <v>611960.30279732822</v>
      </c>
      <c r="GO76" s="146">
        <f t="shared" si="66"/>
        <v>0</v>
      </c>
      <c r="GP76" s="146">
        <f t="shared" si="66"/>
        <v>0</v>
      </c>
      <c r="GQ76" s="146">
        <f t="shared" si="66"/>
        <v>0</v>
      </c>
      <c r="GR76" s="146">
        <f t="shared" si="66"/>
        <v>0</v>
      </c>
      <c r="GS76" s="146">
        <f t="shared" si="66"/>
        <v>-3291.75</v>
      </c>
      <c r="GU76" s="146"/>
      <c r="GV76" s="57"/>
    </row>
    <row r="77" spans="1:204">
      <c r="A77" s="185">
        <v>2115</v>
      </c>
      <c r="B77" s="185">
        <v>103221</v>
      </c>
      <c r="C77" s="185" t="s">
        <v>174</v>
      </c>
      <c r="D77" s="2" t="s">
        <v>175</v>
      </c>
      <c r="E77" s="191" t="s">
        <v>32</v>
      </c>
      <c r="F77" s="191" t="s">
        <v>912</v>
      </c>
      <c r="H77" s="279">
        <f>_xlfn.IFNA(VLOOKUP($A77,ISB!$A$4:$BY$454,67,FALSE),0)</f>
        <v>1698019.1384653624</v>
      </c>
      <c r="I77" s="279">
        <f>_xlfn.IFNA(VLOOKUP($A77,ISB!$A$4:$BY$454,72,FALSE),0)</f>
        <v>-7276.32</v>
      </c>
      <c r="J77" s="279">
        <f>-_xlfn.IFNA(VLOOKUP($A77,ISB!$A$4:$BY$454,76,FALSE),0)</f>
        <v>-41869.75</v>
      </c>
      <c r="K77" s="279">
        <f>_xlfn.IFNA(VLOOKUP($A77,ISB!$A$4:$BY$454,77,FALSE),0)</f>
        <v>1648873.0684653623</v>
      </c>
      <c r="M77" s="301">
        <f t="shared" si="72"/>
        <v>141501.59487211352</v>
      </c>
      <c r="N77" s="301">
        <f>VLOOKUP($A77,EY!$A:$H,8,FALSE)+(VLOOKUP($A77,EY!$A:$BS,17,FALSE)-S77)+VLOOKUP($A77,EY!$A:$BS,41,FALSE)</f>
        <v>43636.320000000007</v>
      </c>
      <c r="O77" s="302"/>
      <c r="P77" s="302">
        <f>_xlfn.IFNA((VLOOKUP($A77,HN!$A:$K,8,FALSE)/12),0)</f>
        <v>0</v>
      </c>
      <c r="Q77" s="302">
        <f>_xlfn.IFNA((VLOOKUP($A77,HN!$A:$BS,14,FALSE)/12),0)</f>
        <v>0</v>
      </c>
      <c r="R77" s="302">
        <f>_xlfn.IFNA(VLOOKUP($A77,'Post 16'!$A:$V,21,FALSE),0)/4</f>
        <v>0</v>
      </c>
      <c r="S77" s="302">
        <f>VLOOKUP($A77,EY!A:Q,15,FALSE)*80%</f>
        <v>0</v>
      </c>
      <c r="T77" s="302">
        <f>_xlfn.IFNA((VLOOKUP($A77,HN!$A:$K,9,FALSE)/12),0)+_xlfn.IFNA((VLOOKUP($A77,HN!$A:$K,10,FALSE)/12),0)</f>
        <v>0</v>
      </c>
      <c r="U77" s="302">
        <f>_xlfn.IFNA((VLOOKUP($A77,HN!$A:$BS,15,FALSE)/12),0)</f>
        <v>0</v>
      </c>
      <c r="V77" s="301">
        <f t="shared" si="73"/>
        <v>-606.36</v>
      </c>
      <c r="W77" s="301">
        <f t="shared" si="74"/>
        <v>-3489.1458333333335</v>
      </c>
      <c r="X77" s="302"/>
      <c r="Y77" s="302">
        <f>_xlfn.IFNA(VLOOKUP($A77,'Cash Advances'!$A:$S,8,FALSE),0)</f>
        <v>0</v>
      </c>
      <c r="Z77" s="301">
        <f t="shared" si="67"/>
        <v>181042.4090387802</v>
      </c>
      <c r="AA77" s="315">
        <f t="shared" si="75"/>
        <v>141501.59487211352</v>
      </c>
      <c r="AB77" s="315"/>
      <c r="AC77" s="316"/>
      <c r="AD77" s="316">
        <f>_xlfn.IFNA((VLOOKUP($A77,HN!$A:$K,8,FALSE)/12),0)</f>
        <v>0</v>
      </c>
      <c r="AE77" s="316">
        <f>_xlfn.IFNA((VLOOKUP($A77,HN!$A:$BS,14,FALSE)/12),0)</f>
        <v>0</v>
      </c>
      <c r="AF77" s="316">
        <f>_xlfn.IFNA(VLOOKUP($A77,'Post 16'!$A:$V,21,FALSE),0)/4</f>
        <v>0</v>
      </c>
      <c r="AG77" s="316"/>
      <c r="AH77" s="316">
        <f>_xlfn.IFNA((VLOOKUP($A77,HN!$A:$K,9,FALSE)/12),0)+_xlfn.IFNA((VLOOKUP($A77,HN!$A:$K,10,FALSE)/12),0)</f>
        <v>0</v>
      </c>
      <c r="AI77" s="316">
        <f>_xlfn.IFNA((VLOOKUP($A77,HN!$A:$BS,15,FALSE)/12),0)</f>
        <v>0</v>
      </c>
      <c r="AJ77" s="315">
        <f t="shared" si="76"/>
        <v>-606.36</v>
      </c>
      <c r="AK77" s="315">
        <f t="shared" si="77"/>
        <v>-3489.1458333333335</v>
      </c>
      <c r="AL77" s="316"/>
      <c r="AM77" s="316">
        <f>_xlfn.IFNA(VLOOKUP($A77,'Cash Advances'!$A:$S,9,FALSE),0)</f>
        <v>0</v>
      </c>
      <c r="AN77" s="315">
        <f t="shared" si="68"/>
        <v>137406.08903878019</v>
      </c>
      <c r="AO77" s="308">
        <f t="shared" si="78"/>
        <v>141501.59487211352</v>
      </c>
      <c r="AP77" s="308"/>
      <c r="AQ77" s="309"/>
      <c r="AR77" s="309">
        <f>_xlfn.IFNA((VLOOKUP($A77,HN!$A:$K,8,FALSE)/12),0)</f>
        <v>0</v>
      </c>
      <c r="AS77" s="309">
        <f>_xlfn.IFNA((VLOOKUP($A77,HN!$A:$BS,14,FALSE)/12),0)</f>
        <v>0</v>
      </c>
      <c r="AT77" s="309">
        <f>_xlfn.IFNA(VLOOKUP($A77,'Post 16'!$A:$V,21,FALSE),0)/4</f>
        <v>0</v>
      </c>
      <c r="AU77" s="309"/>
      <c r="AV77" s="309">
        <f>_xlfn.IFNA((VLOOKUP($A77,HN!$A:$K,9,FALSE)/12),0)+_xlfn.IFNA((VLOOKUP($A77,HN!$A:$K,10,FALSE)/12),0)+_xlfn.IFNA(VLOOKUP(A77,HN!A:V,19,FALSE),0)+_xlfn.IFNA(VLOOKUP(A77,HN!A:V,20,FALSE),0)+_xlfn.IFNA(VLOOKUP(A77,HN!A:V,21,FALSE),0)</f>
        <v>0</v>
      </c>
      <c r="AW77" s="309">
        <f>_xlfn.IFNA((VLOOKUP($A77,HN!$A:$BS,15,FALSE)/12),0)</f>
        <v>0</v>
      </c>
      <c r="AX77" s="308">
        <f t="shared" si="79"/>
        <v>-606.36</v>
      </c>
      <c r="AY77" s="308">
        <f t="shared" si="80"/>
        <v>-3489.1458333333335</v>
      </c>
      <c r="AZ77" s="309"/>
      <c r="BA77" s="309">
        <f>_xlfn.IFNA(VLOOKUP($A77,'Cash Advances'!$A:$S,10,FALSE),0)</f>
        <v>0</v>
      </c>
      <c r="BB77" s="308">
        <f t="shared" si="69"/>
        <v>137406.08903878019</v>
      </c>
      <c r="BC77" s="330">
        <f t="shared" si="81"/>
        <v>141501.59487211352</v>
      </c>
      <c r="BD77" s="330"/>
      <c r="BE77" s="331"/>
      <c r="BF77" s="331">
        <f>_xlfn.IFNA((VLOOKUP($A77,HN!$A:$K,8,FALSE)/12),0)</f>
        <v>0</v>
      </c>
      <c r="BG77" s="331">
        <f>_xlfn.IFNA((VLOOKUP($A77,HN!$A:$BS,14,FALSE)/12),0)</f>
        <v>0</v>
      </c>
      <c r="BH77" s="331">
        <f>_xlfn.IFNA(VLOOKUP($A77,'Post 16'!$A:$V,21,FALSE),0)/4</f>
        <v>0</v>
      </c>
      <c r="BI77" s="331"/>
      <c r="BJ77" s="331">
        <f>_xlfn.IFNA((VLOOKUP($A77,HN!$A:$K,9,FALSE)/12),0)+_xlfn.IFNA((VLOOKUP($A77,HN!$A:$K,10,FALSE)/12),0)</f>
        <v>0</v>
      </c>
      <c r="BK77" s="331">
        <f>_xlfn.IFNA((VLOOKUP($A77,HN!$A:$BS,15,FALSE)/12),0)</f>
        <v>0</v>
      </c>
      <c r="BL77" s="330">
        <f t="shared" si="82"/>
        <v>-606.36</v>
      </c>
      <c r="BM77" s="330">
        <f t="shared" si="83"/>
        <v>-3489.1458333333335</v>
      </c>
      <c r="BN77" s="331"/>
      <c r="BO77" s="331">
        <f>_xlfn.IFNA(VLOOKUP(A77,'Cash Advances'!A:K,11,FALSE),0)</f>
        <v>0</v>
      </c>
      <c r="BP77" s="330">
        <f t="shared" si="70"/>
        <v>137406.08903878019</v>
      </c>
      <c r="BQ77" s="322">
        <f t="shared" si="84"/>
        <v>141501.59487211352</v>
      </c>
      <c r="BR77" s="322"/>
      <c r="BS77" s="323"/>
      <c r="BT77" s="323">
        <f>_xlfn.IFNA((VLOOKUP($A77,HN!$A:$K,8,FALSE)/12),0)</f>
        <v>0</v>
      </c>
      <c r="BU77" s="323">
        <f>_xlfn.IFNA((VLOOKUP($A77,HN!$A:$BS,14,FALSE)/12),0)</f>
        <v>0</v>
      </c>
      <c r="BV77" s="323">
        <f>(_xlfn.IFNA(VLOOKUP($A77,'Post 16'!$A:$AV,32,FALSE),0)/8)+_xlfn.IFNA(VLOOKUP($A77,'Post 16'!$A:$AR,40,FALSE),0)</f>
        <v>0</v>
      </c>
      <c r="BW77" s="323"/>
      <c r="BX77" s="323">
        <f>_xlfn.IFNA((VLOOKUP($A77,HN!$A:$K,9,FALSE)/12),0)+_xlfn.IFNA((VLOOKUP($A77,HN!$A:$K,10,FALSE)/12),0)</f>
        <v>0</v>
      </c>
      <c r="BY77" s="323">
        <f>_xlfn.IFNA((VLOOKUP($A77,HN!$A:$BS,15,FALSE)/12),0)</f>
        <v>0</v>
      </c>
      <c r="BZ77" s="322">
        <f t="shared" si="85"/>
        <v>-606.36</v>
      </c>
      <c r="CA77" s="322">
        <f t="shared" si="86"/>
        <v>-3489.1458333333335</v>
      </c>
      <c r="CB77" s="323"/>
      <c r="CC77" s="323"/>
      <c r="CD77" s="322">
        <f t="shared" si="71"/>
        <v>137406.08903878019</v>
      </c>
      <c r="CE77" s="357">
        <f t="shared" si="87"/>
        <v>141501.59487211352</v>
      </c>
      <c r="CF77" s="357">
        <f>(VLOOKUP($A77,EY!$A:$BS,26,FALSE)-(VLOOKUP($A77,EY!A:CR,24,FALSE)*80%))+VLOOKUP($A77,EY!$A:$BS,42,FALSE)+(VLOOKUP($A77,EY!A:CC,74,FALSE)-VLOOKUP($A77,EY!A:CC,72,FALSE))</f>
        <v>44974.020000000004</v>
      </c>
      <c r="CG77" s="358"/>
      <c r="CH77" s="358">
        <f>_xlfn.IFNA((VLOOKUP($A77,HN!$A:$K,8,FALSE)/12),0)</f>
        <v>0</v>
      </c>
      <c r="CI77" s="358">
        <f>_xlfn.IFNA((VLOOKUP($A77,HN!$A:$BS,14,FALSE)/12),0)</f>
        <v>0</v>
      </c>
      <c r="CJ77" s="358">
        <f>(_xlfn.IFNA(VLOOKUP($A77,'Post 16'!$A:$AV,32,FALSE),0)/8)</f>
        <v>0</v>
      </c>
      <c r="CK77" s="358">
        <f>(VLOOKUP($A77,EY!A:CR,24,FALSE)*80%)+VLOOKUP($A77,EY!A:CC,72,FALSE)</f>
        <v>0</v>
      </c>
      <c r="CL77" s="358">
        <f>_xlfn.IFNA((VLOOKUP($A77,HN!$A:$K,9,FALSE)/12),0)+_xlfn.IFNA((VLOOKUP($A77,HN!$A:$K,10,FALSE)/12),0)</f>
        <v>0</v>
      </c>
      <c r="CM77" s="358">
        <f>_xlfn.IFNA((VLOOKUP($A77,HN!$A:$BS,15,FALSE)/12),0)</f>
        <v>0</v>
      </c>
      <c r="CN77" s="357">
        <f t="shared" si="88"/>
        <v>-606.36</v>
      </c>
      <c r="CO77" s="357">
        <f t="shared" si="89"/>
        <v>-3489.1458333333335</v>
      </c>
      <c r="CP77" s="358">
        <f>_xlfn.IFNA(VLOOKUP(A77,'LA Deductions'!A:W,23,FALSE),0)</f>
        <v>-5139.75</v>
      </c>
      <c r="CQ77" s="358">
        <f>_xlfn.IFNA(VLOOKUP($A77,'Cash Advances'!$A:$S,13,FALSE),0)</f>
        <v>0</v>
      </c>
      <c r="CR77" s="358">
        <f>_xlfn.IFNA(VLOOKUP(A77,'LA Deductions'!A:AZ,25,FALSE),0)/9*3</f>
        <v>0</v>
      </c>
      <c r="CS77" s="357">
        <f t="shared" si="108"/>
        <v>177240.35903878018</v>
      </c>
      <c r="CT77" s="337">
        <f t="shared" si="90"/>
        <v>141501.59487211352</v>
      </c>
      <c r="CU77" s="337"/>
      <c r="CV77" s="338">
        <f>_xlfn.IFNA(VLOOKUP(A77,'LA Deductions'!$A$6:$AN$207,34,FALSE),0)</f>
        <v>0</v>
      </c>
      <c r="CW77" s="338">
        <f>_xlfn.IFNA((VLOOKUP($A77,HN!$A:$K,8,FALSE)/12),0)</f>
        <v>0</v>
      </c>
      <c r="CX77" s="338">
        <f>_xlfn.IFNA((VLOOKUP($A77,HN!$A:$BS,14,FALSE)/12),0)</f>
        <v>0</v>
      </c>
      <c r="CY77" s="338">
        <f>_xlfn.IFNA(VLOOKUP($A77,'Post 16'!$A:$AV,32,FALSE),0)/8</f>
        <v>0</v>
      </c>
      <c r="CZ77" s="338"/>
      <c r="DA77" s="338">
        <f>_xlfn.IFNA((VLOOKUP($A77,HN!$A:$K,9,FALSE)/12),0)+_xlfn.IFNA((VLOOKUP($A77,HN!$A:$K,10,FALSE)/12),0)</f>
        <v>0</v>
      </c>
      <c r="DB77" s="338">
        <f>_xlfn.IFNA((VLOOKUP($A77,HN!$A:$BS,15,FALSE)/12),0)</f>
        <v>0</v>
      </c>
      <c r="DC77" s="337">
        <f t="shared" si="91"/>
        <v>-606.36</v>
      </c>
      <c r="DD77" s="337">
        <f t="shared" si="92"/>
        <v>-3489.1458333333335</v>
      </c>
      <c r="DE77" s="338"/>
      <c r="DF77" s="338">
        <f>_xlfn.IFNA(VLOOKUP($A77,'Cash Advances'!$A:$S,14,FALSE),0)</f>
        <v>0</v>
      </c>
      <c r="DG77" s="338">
        <f>(_xlfn.IFNA(VLOOKUP(A77,'LA Deductions'!A:AZ,25,FALSE),0)/9)+(_xlfn.IFNA(VLOOKUP(A77,'LA Deductions'!A:AZ,26,FALSE),0))</f>
        <v>0</v>
      </c>
      <c r="DH77" s="337">
        <f t="shared" si="109"/>
        <v>137406.08903878019</v>
      </c>
      <c r="DI77" s="330">
        <f t="shared" si="93"/>
        <v>141501.59487211352</v>
      </c>
      <c r="DJ77" s="330"/>
      <c r="DK77" s="331"/>
      <c r="DL77" s="331">
        <f>_xlfn.IFNA((VLOOKUP($A77,HN!$A:$K,8,FALSE)/12),0)+_xlfn.IFNA((VLOOKUP($A77,HN!$A:$AF,32,FALSE)*8/12),0)</f>
        <v>0</v>
      </c>
      <c r="DM77" s="331">
        <f>_xlfn.IFNA((VLOOKUP($A77,HN!$A:$BS,14,FALSE)/12),0)+_xlfn.IFNA(VLOOKUP($A77,HN!$A:$BS,31,FALSE),0)</f>
        <v>0</v>
      </c>
      <c r="DN77" s="331">
        <f>_xlfn.IFNA(VLOOKUP($A77,'Post 16'!$A:$AV,32,FALSE),0)/8</f>
        <v>0</v>
      </c>
      <c r="DO77" s="331"/>
      <c r="DP77" s="331">
        <f>_xlfn.IFNA((VLOOKUP($A77,HN!$A:$K,9,FALSE)/12),0)+_xlfn.IFNA((VLOOKUP($A77,HN!$A:$K,10,FALSE)/12),0)+_xlfn.IFNA((VLOOKUP($A77,HN!$A:$BZ,33,FALSE)*8/12),0)</f>
        <v>0</v>
      </c>
      <c r="DQ77" s="331">
        <f>_xlfn.IFNA((VLOOKUP($A77,HN!$A:$BS,15,FALSE)/12),0)</f>
        <v>0</v>
      </c>
      <c r="DR77" s="330">
        <f t="shared" si="94"/>
        <v>-606.36</v>
      </c>
      <c r="DS77" s="330">
        <f t="shared" si="95"/>
        <v>-3489.1458333333335</v>
      </c>
      <c r="DT77" s="331"/>
      <c r="DU77" s="331"/>
      <c r="DV77" s="331">
        <f>(_xlfn.IFNA(VLOOKUP(A77,'LA Deductions'!A:AZ,25,FALSE),0)/9)+_xlfn.IFNA(VLOOKUP(A77,'LA Deductions'!A:AZ,27,FALSE),0)</f>
        <v>0</v>
      </c>
      <c r="DW77" s="330">
        <f t="shared" si="110"/>
        <v>137406.08903878019</v>
      </c>
      <c r="DX77" s="344">
        <f t="shared" si="96"/>
        <v>141501.59487211352</v>
      </c>
      <c r="DY77" s="344"/>
      <c r="DZ77" s="345"/>
      <c r="EA77" s="345">
        <f>_xlfn.IFNA((VLOOKUP($A77,HN!$A:$K,8,FALSE)/12),0)+_xlfn.IFNA((VLOOKUP($A77,HN!$A:$AF,32,FALSE)*1/12),0)</f>
        <v>0</v>
      </c>
      <c r="EB77" s="345">
        <f>_xlfn.IFNA((VLOOKUP($A77,HN!$A:$BS,14,FALSE)/12),0)</f>
        <v>0</v>
      </c>
      <c r="EC77" s="345">
        <f>_xlfn.IFNA(VLOOKUP($A77,'Post 16'!$A:$AV,32,FALSE),0)/8</f>
        <v>0</v>
      </c>
      <c r="ED77" s="345"/>
      <c r="EE77" s="345">
        <f>_xlfn.IFNA((VLOOKUP($A77,HN!$A:$K,9,FALSE)/12),0)+_xlfn.IFNA((VLOOKUP($A77,HN!$A:$K,10,FALSE)/12),0)+_xlfn.IFNA((VLOOKUP($A77,HN!$A:$BZ,33,FALSE)/12),0)</f>
        <v>0</v>
      </c>
      <c r="EF77" s="345">
        <f>_xlfn.IFNA((VLOOKUP($A77,HN!$A:$BS,15,FALSE)/12),0)</f>
        <v>0</v>
      </c>
      <c r="EG77" s="344">
        <f t="shared" si="97"/>
        <v>-606.36</v>
      </c>
      <c r="EH77" s="344">
        <f t="shared" si="98"/>
        <v>-3489.1458333333335</v>
      </c>
      <c r="EI77" s="345"/>
      <c r="EJ77" s="345">
        <f>_xlfn.IFNA(VLOOKUP(A77,'Cash Advances'!A:P,16,FALSE),0)</f>
        <v>0</v>
      </c>
      <c r="EK77" s="345">
        <f>_xlfn.IFNA(VLOOKUP(A77,'LA Deductions'!A:AZ,25,FALSE),0)/9</f>
        <v>0</v>
      </c>
      <c r="EL77" s="344">
        <f t="shared" si="111"/>
        <v>137406.08903878019</v>
      </c>
      <c r="EM77" s="308">
        <f t="shared" si="99"/>
        <v>141501.59487211352</v>
      </c>
      <c r="EN77" s="308">
        <f>((VLOOKUP($A77,EY!$A:$BS,35,FALSE)-(VLOOKUP($A77,EY!$A:$BS,33,FALSE)*80%))+VLOOKUP($A77,EY!$A:$BS,43,FALSE))+(VLOOKUP(A77,EY!A:DF,110,FALSE)-VLOOKUP(A77,EY!A:DD,108,FALSE))+(VLOOKUP(A77,EY!A:CE,83,FALSE)-VLOOKUP(A77,EY!A:CC,81,FALSE))</f>
        <v>34573.457368421048</v>
      </c>
      <c r="EO77" s="309"/>
      <c r="EP77" s="309">
        <f>_xlfn.IFNA((VLOOKUP($A77,HN!$A:$K,8,FALSE)/12),0)+_xlfn.IFNA((VLOOKUP($A77,HN!$A:$AF,32,FALSE)*1/12),0)</f>
        <v>0</v>
      </c>
      <c r="EQ77" s="309">
        <f>_xlfn.IFNA((VLOOKUP($A77,HN!$A:$BS,14,FALSE)/12),0)+_xlfn.IFNA((VLOOKUP($A77,HN!$A:$BS,34,FALSE)/3),0)</f>
        <v>0</v>
      </c>
      <c r="ER77" s="309">
        <f>_xlfn.IFNA(VLOOKUP($A77,'Post 16'!$A:$AV,32,FALSE),0)/8</f>
        <v>0</v>
      </c>
      <c r="ES77" s="309">
        <f>((VLOOKUP($A77,EY!A:EV,33,FALSE)*80%))+VLOOKUP(A77,EY!A:DD,108,FALSE)+VLOOKUP(A77,EY!A:CC,81,FALSE)</f>
        <v>0</v>
      </c>
      <c r="ET77" s="309">
        <f>_xlfn.IFNA((VLOOKUP($A77,HN!$A:$K,9,FALSE)/12),0)+_xlfn.IFNA((VLOOKUP($A77,HN!$A:$K,10,FALSE)/12),0)+_xlfn.IFNA((VLOOKUP($A77,HN!$A:$BZ,33,FALSE)/12),0)</f>
        <v>0</v>
      </c>
      <c r="EU77" s="309">
        <f>_xlfn.IFNA((VLOOKUP($A77,HN!$A:$BS,15,FALSE)/12),0)</f>
        <v>0</v>
      </c>
      <c r="EV77" s="308">
        <f t="shared" si="100"/>
        <v>-606.36</v>
      </c>
      <c r="EW77" s="308">
        <f t="shared" si="101"/>
        <v>-3489.1458333333335</v>
      </c>
      <c r="EX77" s="309"/>
      <c r="EY77" s="309">
        <f>_xlfn.IFNA(VLOOKUP($A77,'Cash Advances'!$A:$S,17,FALSE),0)</f>
        <v>0</v>
      </c>
      <c r="EZ77" s="309">
        <f>_xlfn.IFNA(VLOOKUP(A77,'LA Deductions'!A:AZ,25,FALSE),0)/9</f>
        <v>0</v>
      </c>
      <c r="FA77" s="308">
        <f t="shared" si="112"/>
        <v>171979.54640720124</v>
      </c>
      <c r="FB77" s="315">
        <f t="shared" si="102"/>
        <v>141501.59487211352</v>
      </c>
      <c r="FC77" s="315"/>
      <c r="FD77" s="316"/>
      <c r="FE77" s="316">
        <f>_xlfn.IFNA((VLOOKUP($A77,HN!$A:$K,8,FALSE)/12),0)+_xlfn.IFNA((VLOOKUP($A77,HN!$A:$AF,32,FALSE)*1/12),0)</f>
        <v>0</v>
      </c>
      <c r="FF77" s="316">
        <f>_xlfn.IFNA((VLOOKUP($A77,HN!$A:$BS,14,FALSE)/12),0)+_xlfn.IFNA((VLOOKUP($A77,HN!$A:$BS,34,FALSE)/3),0)</f>
        <v>0</v>
      </c>
      <c r="FG77" s="316">
        <f>_xlfn.IFNA(VLOOKUP($A77,'Post 16'!$A:$AV,32,FALSE),0)/8</f>
        <v>0</v>
      </c>
      <c r="FH77" s="316"/>
      <c r="FI77" s="316">
        <f>_xlfn.IFNA((VLOOKUP($A77,HN!$A:$K,9,FALSE)/12),0)+_xlfn.IFNA((VLOOKUP($A77,HN!$A:$K,10,FALSE)/12),0)+_xlfn.IFNA((VLOOKUP($A77,HN!$A:$BZ,33,FALSE)/12),0)+_xlfn.IFNA((VLOOKUP($A77,HN!$A:$BZ,35,FALSE)/2),0)</f>
        <v>0</v>
      </c>
      <c r="FJ77" s="316">
        <f>_xlfn.IFNA((VLOOKUP($A77,HN!$A:$BS,15,FALSE)/12),0)+_xlfn.IFNA((VLOOKUP($A77,HN!$A:$CZ,36,FALSE)/2),0)</f>
        <v>0</v>
      </c>
      <c r="FK77" s="315">
        <f t="shared" si="103"/>
        <v>-606.36</v>
      </c>
      <c r="FL77" s="315">
        <f t="shared" si="104"/>
        <v>-3489.1458333333335</v>
      </c>
      <c r="FM77" s="316"/>
      <c r="FN77" s="316">
        <f>_xlfn.IFNA(VLOOKUP($A77,'Cash Advances'!$A:$S,18,FALSE),0)</f>
        <v>0</v>
      </c>
      <c r="FO77" s="316">
        <f>_xlfn.IFNA(VLOOKUP(A77,'LA Deductions'!A:AZ,25,FALSE),0)/9</f>
        <v>0</v>
      </c>
      <c r="FP77" s="315">
        <f t="shared" si="113"/>
        <v>137406.08903878019</v>
      </c>
      <c r="FQ77" s="322">
        <f t="shared" si="105"/>
        <v>141501.59487211352</v>
      </c>
      <c r="FR77" s="322"/>
      <c r="FS77" s="323"/>
      <c r="FT77" s="323">
        <f>_xlfn.IFNA((VLOOKUP($A77,HN!$A:$K,8,FALSE)/12),0)+_xlfn.IFNA((VLOOKUP($A77,HN!$A:$AF,32,FALSE)*1/12),0)</f>
        <v>0</v>
      </c>
      <c r="FU77" s="323">
        <f>_xlfn.IFNA((VLOOKUP($A77,HN!$A:$BS,14,FALSE)/12),0)+_xlfn.IFNA((VLOOKUP($A77,HN!$A:$BS,34,FALSE)/3),0)</f>
        <v>0</v>
      </c>
      <c r="FV77" s="323">
        <f>_xlfn.IFNA(VLOOKUP($A77,'Post 16'!$A:$AV,32,FALSE),0)/8</f>
        <v>0</v>
      </c>
      <c r="FW77" s="323"/>
      <c r="FX77" s="323">
        <f>_xlfn.IFNA((VLOOKUP($A77,HN!$A:$K,9,FALSE)/12),0)+_xlfn.IFNA((VLOOKUP($A77,HN!$A:$K,10,FALSE)/12),0)+_xlfn.IFNA((VLOOKUP($A77,HN!$A:$BZ,33,FALSE)/12),0)+_xlfn.IFNA((VLOOKUP($A77,HN!$A:$BZ,35,FALSE)/2),0)</f>
        <v>0</v>
      </c>
      <c r="FY77" s="323">
        <f>_xlfn.IFNA((VLOOKUP($A77,HN!$A:$BS,15,FALSE)/12),0)+_xlfn.IFNA((VLOOKUP($A77,HN!$A:$CZ,36,FALSE)/2),0)</f>
        <v>0</v>
      </c>
      <c r="FZ77" s="322">
        <f t="shared" si="106"/>
        <v>-606.36</v>
      </c>
      <c r="GA77" s="322">
        <f t="shared" si="107"/>
        <v>-3489.1458333333335</v>
      </c>
      <c r="GB77" s="323"/>
      <c r="GC77" s="323"/>
      <c r="GD77" s="323">
        <f>_xlfn.IFNA(VLOOKUP(A77,'LA Deductions'!A:AZ,25,FALSE),0)/9</f>
        <v>0</v>
      </c>
      <c r="GE77" s="322">
        <f t="shared" si="114"/>
        <v>137406.08903878019</v>
      </c>
      <c r="GG77" s="146">
        <f t="shared" si="65"/>
        <v>1821202.9358337836</v>
      </c>
      <c r="GH77" s="146">
        <f t="shared" si="65"/>
        <v>0</v>
      </c>
      <c r="GI77" s="146">
        <f t="shared" si="65"/>
        <v>0</v>
      </c>
      <c r="GJ77" s="146">
        <f t="shared" si="65"/>
        <v>-7276.3199999999988</v>
      </c>
      <c r="GK77" s="146">
        <f t="shared" si="65"/>
        <v>-41869.75</v>
      </c>
      <c r="GL77" s="146">
        <f t="shared" si="65"/>
        <v>-5139.75</v>
      </c>
      <c r="GN77" s="146">
        <f t="shared" si="66"/>
        <v>1821202.9358337836</v>
      </c>
      <c r="GO77" s="146">
        <f t="shared" si="66"/>
        <v>0</v>
      </c>
      <c r="GP77" s="146">
        <f t="shared" si="66"/>
        <v>0</v>
      </c>
      <c r="GQ77" s="146">
        <f t="shared" si="66"/>
        <v>-7276.3199999999988</v>
      </c>
      <c r="GR77" s="146">
        <f t="shared" si="66"/>
        <v>-41869.75</v>
      </c>
      <c r="GS77" s="146">
        <f t="shared" si="66"/>
        <v>-5139.75</v>
      </c>
      <c r="GU77" s="146"/>
      <c r="GV77" s="57"/>
    </row>
    <row r="78" spans="1:204">
      <c r="A78" s="185">
        <v>2441</v>
      </c>
      <c r="B78" s="185">
        <v>103368</v>
      </c>
      <c r="C78" s="185" t="s">
        <v>176</v>
      </c>
      <c r="D78" s="2" t="s">
        <v>177</v>
      </c>
      <c r="E78" s="191" t="s">
        <v>32</v>
      </c>
      <c r="F78" s="191" t="s">
        <v>912</v>
      </c>
      <c r="H78" s="279">
        <f>_xlfn.IFNA(VLOOKUP($A78,ISB!$A$4:$BY$454,67,FALSE),0)</f>
        <v>2156618.2074932945</v>
      </c>
      <c r="I78" s="279">
        <f>_xlfn.IFNA(VLOOKUP($A78,ISB!$A$4:$BY$454,72,FALSE),0)</f>
        <v>-8919.3599999999988</v>
      </c>
      <c r="J78" s="279">
        <f>-_xlfn.IFNA(VLOOKUP($A78,ISB!$A$4:$BY$454,76,FALSE),0)</f>
        <v>-14333.98</v>
      </c>
      <c r="K78" s="279">
        <f>_xlfn.IFNA(VLOOKUP($A78,ISB!$A$4:$BY$454,77,FALSE),0)</f>
        <v>2133364.8674932946</v>
      </c>
      <c r="M78" s="301">
        <f t="shared" si="72"/>
        <v>179718.18395777454</v>
      </c>
      <c r="N78" s="301">
        <f>VLOOKUP($A78,EY!$A:$H,8,FALSE)+(VLOOKUP($A78,EY!$A:$BS,17,FALSE)-S78)+VLOOKUP($A78,EY!$A:$BS,41,FALSE)</f>
        <v>30145.440000000002</v>
      </c>
      <c r="O78" s="302"/>
      <c r="P78" s="302">
        <f>_xlfn.IFNA((VLOOKUP($A78,HN!$A:$K,8,FALSE)/12),0)</f>
        <v>0</v>
      </c>
      <c r="Q78" s="302">
        <f>_xlfn.IFNA((VLOOKUP($A78,HN!$A:$BS,14,FALSE)/12),0)</f>
        <v>0</v>
      </c>
      <c r="R78" s="302">
        <f>_xlfn.IFNA(VLOOKUP($A78,'Post 16'!$A:$V,21,FALSE),0)/4</f>
        <v>0</v>
      </c>
      <c r="S78" s="302">
        <f>VLOOKUP($A78,EY!A:Q,15,FALSE)*80%</f>
        <v>0</v>
      </c>
      <c r="T78" s="302">
        <f>_xlfn.IFNA((VLOOKUP($A78,HN!$A:$K,9,FALSE)/12),0)+_xlfn.IFNA((VLOOKUP($A78,HN!$A:$K,10,FALSE)/12),0)</f>
        <v>0</v>
      </c>
      <c r="U78" s="302">
        <f>_xlfn.IFNA((VLOOKUP($A78,HN!$A:$BS,15,FALSE)/12),0)</f>
        <v>0</v>
      </c>
      <c r="V78" s="301">
        <f t="shared" si="73"/>
        <v>-743.27999999999986</v>
      </c>
      <c r="W78" s="301">
        <f t="shared" si="74"/>
        <v>-1194.4983333333332</v>
      </c>
      <c r="X78" s="302"/>
      <c r="Y78" s="302">
        <f>_xlfn.IFNA(VLOOKUP($A78,'Cash Advances'!$A:$S,8,FALSE),0)</f>
        <v>0</v>
      </c>
      <c r="Z78" s="301">
        <f t="shared" si="67"/>
        <v>207925.84562444122</v>
      </c>
      <c r="AA78" s="315">
        <f t="shared" si="75"/>
        <v>179718.18395777454</v>
      </c>
      <c r="AB78" s="315"/>
      <c r="AC78" s="316"/>
      <c r="AD78" s="316">
        <f>_xlfn.IFNA((VLOOKUP($A78,HN!$A:$K,8,FALSE)/12),0)</f>
        <v>0</v>
      </c>
      <c r="AE78" s="316">
        <f>_xlfn.IFNA((VLOOKUP($A78,HN!$A:$BS,14,FALSE)/12),0)</f>
        <v>0</v>
      </c>
      <c r="AF78" s="316">
        <f>_xlfn.IFNA(VLOOKUP($A78,'Post 16'!$A:$V,21,FALSE),0)/4</f>
        <v>0</v>
      </c>
      <c r="AG78" s="316"/>
      <c r="AH78" s="316">
        <f>_xlfn.IFNA((VLOOKUP($A78,HN!$A:$K,9,FALSE)/12),0)+_xlfn.IFNA((VLOOKUP($A78,HN!$A:$K,10,FALSE)/12),0)</f>
        <v>0</v>
      </c>
      <c r="AI78" s="316">
        <f>_xlfn.IFNA((VLOOKUP($A78,HN!$A:$BS,15,FALSE)/12),0)</f>
        <v>0</v>
      </c>
      <c r="AJ78" s="315">
        <f t="shared" si="76"/>
        <v>-743.27999999999986</v>
      </c>
      <c r="AK78" s="315">
        <f t="shared" si="77"/>
        <v>-1194.4983333333332</v>
      </c>
      <c r="AL78" s="316"/>
      <c r="AM78" s="316">
        <f>_xlfn.IFNA(VLOOKUP($A78,'Cash Advances'!$A:$S,9,FALSE),0)</f>
        <v>0</v>
      </c>
      <c r="AN78" s="315">
        <f t="shared" si="68"/>
        <v>177780.40562444122</v>
      </c>
      <c r="AO78" s="308">
        <f t="shared" si="78"/>
        <v>179718.18395777454</v>
      </c>
      <c r="AP78" s="308"/>
      <c r="AQ78" s="309"/>
      <c r="AR78" s="309">
        <f>_xlfn.IFNA((VLOOKUP($A78,HN!$A:$K,8,FALSE)/12),0)</f>
        <v>0</v>
      </c>
      <c r="AS78" s="309">
        <f>_xlfn.IFNA((VLOOKUP($A78,HN!$A:$BS,14,FALSE)/12),0)</f>
        <v>0</v>
      </c>
      <c r="AT78" s="309">
        <f>_xlfn.IFNA(VLOOKUP($A78,'Post 16'!$A:$V,21,FALSE),0)/4</f>
        <v>0</v>
      </c>
      <c r="AU78" s="309"/>
      <c r="AV78" s="309">
        <f>_xlfn.IFNA((VLOOKUP($A78,HN!$A:$K,9,FALSE)/12),0)+_xlfn.IFNA((VLOOKUP($A78,HN!$A:$K,10,FALSE)/12),0)+_xlfn.IFNA(VLOOKUP(A78,HN!A:V,19,FALSE),0)+_xlfn.IFNA(VLOOKUP(A78,HN!A:V,20,FALSE),0)+_xlfn.IFNA(VLOOKUP(A78,HN!A:V,21,FALSE),0)</f>
        <v>0</v>
      </c>
      <c r="AW78" s="309">
        <f>_xlfn.IFNA((VLOOKUP($A78,HN!$A:$BS,15,FALSE)/12),0)</f>
        <v>0</v>
      </c>
      <c r="AX78" s="308">
        <f t="shared" si="79"/>
        <v>-743.27999999999986</v>
      </c>
      <c r="AY78" s="308">
        <f t="shared" si="80"/>
        <v>-1194.4983333333332</v>
      </c>
      <c r="AZ78" s="309"/>
      <c r="BA78" s="309">
        <f>_xlfn.IFNA(VLOOKUP($A78,'Cash Advances'!$A:$S,10,FALSE),0)</f>
        <v>0</v>
      </c>
      <c r="BB78" s="308">
        <f t="shared" si="69"/>
        <v>177780.40562444122</v>
      </c>
      <c r="BC78" s="330">
        <f t="shared" si="81"/>
        <v>179718.18395777454</v>
      </c>
      <c r="BD78" s="330"/>
      <c r="BE78" s="331"/>
      <c r="BF78" s="331">
        <f>_xlfn.IFNA((VLOOKUP($A78,HN!$A:$K,8,FALSE)/12),0)</f>
        <v>0</v>
      </c>
      <c r="BG78" s="331">
        <f>_xlfn.IFNA((VLOOKUP($A78,HN!$A:$BS,14,FALSE)/12),0)</f>
        <v>0</v>
      </c>
      <c r="BH78" s="331">
        <f>_xlfn.IFNA(VLOOKUP($A78,'Post 16'!$A:$V,21,FALSE),0)/4</f>
        <v>0</v>
      </c>
      <c r="BI78" s="331"/>
      <c r="BJ78" s="331">
        <f>_xlfn.IFNA((VLOOKUP($A78,HN!$A:$K,9,FALSE)/12),0)+_xlfn.IFNA((VLOOKUP($A78,HN!$A:$K,10,FALSE)/12),0)</f>
        <v>0</v>
      </c>
      <c r="BK78" s="331">
        <f>_xlfn.IFNA((VLOOKUP($A78,HN!$A:$BS,15,FALSE)/12),0)</f>
        <v>0</v>
      </c>
      <c r="BL78" s="330">
        <f t="shared" si="82"/>
        <v>-743.27999999999986</v>
      </c>
      <c r="BM78" s="330">
        <f t="shared" si="83"/>
        <v>-1194.4983333333332</v>
      </c>
      <c r="BN78" s="331"/>
      <c r="BO78" s="331">
        <f>_xlfn.IFNA(VLOOKUP(A78,'Cash Advances'!A:K,11,FALSE),0)</f>
        <v>0</v>
      </c>
      <c r="BP78" s="330">
        <f t="shared" si="70"/>
        <v>177780.40562444122</v>
      </c>
      <c r="BQ78" s="322">
        <f t="shared" si="84"/>
        <v>179718.18395777454</v>
      </c>
      <c r="BR78" s="322"/>
      <c r="BS78" s="323"/>
      <c r="BT78" s="323">
        <f>_xlfn.IFNA((VLOOKUP($A78,HN!$A:$K,8,FALSE)/12),0)</f>
        <v>0</v>
      </c>
      <c r="BU78" s="323">
        <f>_xlfn.IFNA((VLOOKUP($A78,HN!$A:$BS,14,FALSE)/12),0)</f>
        <v>0</v>
      </c>
      <c r="BV78" s="323">
        <f>(_xlfn.IFNA(VLOOKUP($A78,'Post 16'!$A:$AV,32,FALSE),0)/8)+_xlfn.IFNA(VLOOKUP($A78,'Post 16'!$A:$AR,40,FALSE),0)</f>
        <v>0</v>
      </c>
      <c r="BW78" s="323"/>
      <c r="BX78" s="323">
        <f>_xlfn.IFNA((VLOOKUP($A78,HN!$A:$K,9,FALSE)/12),0)+_xlfn.IFNA((VLOOKUP($A78,HN!$A:$K,10,FALSE)/12),0)</f>
        <v>0</v>
      </c>
      <c r="BY78" s="323">
        <f>_xlfn.IFNA((VLOOKUP($A78,HN!$A:$BS,15,FALSE)/12),0)</f>
        <v>0</v>
      </c>
      <c r="BZ78" s="322">
        <f t="shared" si="85"/>
        <v>-743.27999999999986</v>
      </c>
      <c r="CA78" s="322">
        <f t="shared" si="86"/>
        <v>-1194.4983333333332</v>
      </c>
      <c r="CB78" s="323"/>
      <c r="CC78" s="323"/>
      <c r="CD78" s="322">
        <f t="shared" si="71"/>
        <v>177780.40562444122</v>
      </c>
      <c r="CE78" s="357">
        <f t="shared" si="87"/>
        <v>179718.18395777454</v>
      </c>
      <c r="CF78" s="357">
        <f>(VLOOKUP($A78,EY!$A:$BS,26,FALSE)-(VLOOKUP($A78,EY!A:CR,24,FALSE)*80%))+VLOOKUP($A78,EY!$A:$BS,42,FALSE)+(VLOOKUP($A78,EY!A:CC,74,FALSE)-VLOOKUP($A78,EY!A:CC,72,FALSE))</f>
        <v>1475.3494736842113</v>
      </c>
      <c r="CG78" s="358"/>
      <c r="CH78" s="358">
        <f>_xlfn.IFNA((VLOOKUP($A78,HN!$A:$K,8,FALSE)/12),0)</f>
        <v>0</v>
      </c>
      <c r="CI78" s="358">
        <f>_xlfn.IFNA((VLOOKUP($A78,HN!$A:$BS,14,FALSE)/12),0)</f>
        <v>0</v>
      </c>
      <c r="CJ78" s="358">
        <f>(_xlfn.IFNA(VLOOKUP($A78,'Post 16'!$A:$AV,32,FALSE),0)/8)</f>
        <v>0</v>
      </c>
      <c r="CK78" s="358">
        <f>(VLOOKUP($A78,EY!A:CR,24,FALSE)*80%)+VLOOKUP($A78,EY!A:CC,72,FALSE)</f>
        <v>0</v>
      </c>
      <c r="CL78" s="358">
        <f>_xlfn.IFNA((VLOOKUP($A78,HN!$A:$K,9,FALSE)/12),0)+_xlfn.IFNA((VLOOKUP($A78,HN!$A:$K,10,FALSE)/12),0)</f>
        <v>0</v>
      </c>
      <c r="CM78" s="358">
        <f>_xlfn.IFNA((VLOOKUP($A78,HN!$A:$BS,15,FALSE)/12),0)</f>
        <v>0</v>
      </c>
      <c r="CN78" s="357">
        <f t="shared" si="88"/>
        <v>-743.27999999999986</v>
      </c>
      <c r="CO78" s="357">
        <f t="shared" si="89"/>
        <v>-1194.4983333333332</v>
      </c>
      <c r="CP78" s="358">
        <f>_xlfn.IFNA(VLOOKUP(A78,'LA Deductions'!A:W,23,FALSE),0)</f>
        <v>-9471</v>
      </c>
      <c r="CQ78" s="358">
        <f>_xlfn.IFNA(VLOOKUP($A78,'Cash Advances'!$A:$S,13,FALSE),0)</f>
        <v>0</v>
      </c>
      <c r="CR78" s="358">
        <f>_xlfn.IFNA(VLOOKUP(A78,'LA Deductions'!A:AZ,25,FALSE),0)/9*3</f>
        <v>0</v>
      </c>
      <c r="CS78" s="357">
        <f t="shared" si="108"/>
        <v>169784.75509812543</v>
      </c>
      <c r="CT78" s="337">
        <f t="shared" si="90"/>
        <v>179718.18395777454</v>
      </c>
      <c r="CU78" s="337"/>
      <c r="CV78" s="338">
        <f>_xlfn.IFNA(VLOOKUP(A78,'LA Deductions'!$A$6:$AN$207,34,FALSE),0)</f>
        <v>-3832.5414000000001</v>
      </c>
      <c r="CW78" s="338">
        <f>_xlfn.IFNA((VLOOKUP($A78,HN!$A:$K,8,FALSE)/12),0)</f>
        <v>0</v>
      </c>
      <c r="CX78" s="338">
        <f>_xlfn.IFNA((VLOOKUP($A78,HN!$A:$BS,14,FALSE)/12),0)</f>
        <v>0</v>
      </c>
      <c r="CY78" s="338">
        <f>_xlfn.IFNA(VLOOKUP($A78,'Post 16'!$A:$AV,32,FALSE),0)/8</f>
        <v>0</v>
      </c>
      <c r="CZ78" s="338"/>
      <c r="DA78" s="338">
        <f>_xlfn.IFNA((VLOOKUP($A78,HN!$A:$K,9,FALSE)/12),0)+_xlfn.IFNA((VLOOKUP($A78,HN!$A:$K,10,FALSE)/12),0)</f>
        <v>0</v>
      </c>
      <c r="DB78" s="338">
        <f>_xlfn.IFNA((VLOOKUP($A78,HN!$A:$BS,15,FALSE)/12),0)</f>
        <v>0</v>
      </c>
      <c r="DC78" s="337">
        <f t="shared" si="91"/>
        <v>-743.27999999999986</v>
      </c>
      <c r="DD78" s="337">
        <f t="shared" si="92"/>
        <v>-1194.4983333333332</v>
      </c>
      <c r="DE78" s="338"/>
      <c r="DF78" s="338">
        <f>_xlfn.IFNA(VLOOKUP($A78,'Cash Advances'!$A:$S,14,FALSE),0)</f>
        <v>0</v>
      </c>
      <c r="DG78" s="338">
        <f>(_xlfn.IFNA(VLOOKUP(A78,'LA Deductions'!A:AZ,25,FALSE),0)/9)+(_xlfn.IFNA(VLOOKUP(A78,'LA Deductions'!A:AZ,26,FALSE),0))</f>
        <v>0</v>
      </c>
      <c r="DH78" s="337">
        <f t="shared" si="109"/>
        <v>173947.86422444123</v>
      </c>
      <c r="DI78" s="330">
        <f t="shared" si="93"/>
        <v>179718.18395777454</v>
      </c>
      <c r="DJ78" s="330"/>
      <c r="DK78" s="331"/>
      <c r="DL78" s="331">
        <f>_xlfn.IFNA((VLOOKUP($A78,HN!$A:$K,8,FALSE)/12),0)+_xlfn.IFNA((VLOOKUP($A78,HN!$A:$AF,32,FALSE)*8/12),0)</f>
        <v>0</v>
      </c>
      <c r="DM78" s="331">
        <f>_xlfn.IFNA((VLOOKUP($A78,HN!$A:$BS,14,FALSE)/12),0)+_xlfn.IFNA(VLOOKUP($A78,HN!$A:$BS,31,FALSE),0)</f>
        <v>0</v>
      </c>
      <c r="DN78" s="331">
        <f>_xlfn.IFNA(VLOOKUP($A78,'Post 16'!$A:$AV,32,FALSE),0)/8</f>
        <v>0</v>
      </c>
      <c r="DO78" s="331"/>
      <c r="DP78" s="331">
        <f>_xlfn.IFNA((VLOOKUP($A78,HN!$A:$K,9,FALSE)/12),0)+_xlfn.IFNA((VLOOKUP($A78,HN!$A:$K,10,FALSE)/12),0)+_xlfn.IFNA((VLOOKUP($A78,HN!$A:$BZ,33,FALSE)*8/12),0)</f>
        <v>0</v>
      </c>
      <c r="DQ78" s="331">
        <f>_xlfn.IFNA((VLOOKUP($A78,HN!$A:$BS,15,FALSE)/12),0)</f>
        <v>0</v>
      </c>
      <c r="DR78" s="330">
        <f t="shared" si="94"/>
        <v>-743.27999999999986</v>
      </c>
      <c r="DS78" s="330">
        <f t="shared" si="95"/>
        <v>-1194.4983333333332</v>
      </c>
      <c r="DT78" s="331"/>
      <c r="DU78" s="331"/>
      <c r="DV78" s="331">
        <f>(_xlfn.IFNA(VLOOKUP(A78,'LA Deductions'!A:AZ,25,FALSE),0)/9)+_xlfn.IFNA(VLOOKUP(A78,'LA Deductions'!A:AZ,27,FALSE),0)</f>
        <v>0</v>
      </c>
      <c r="DW78" s="330">
        <f t="shared" si="110"/>
        <v>177780.40562444122</v>
      </c>
      <c r="DX78" s="344">
        <f t="shared" si="96"/>
        <v>179718.18395777454</v>
      </c>
      <c r="DY78" s="344"/>
      <c r="DZ78" s="345"/>
      <c r="EA78" s="345">
        <f>_xlfn.IFNA((VLOOKUP($A78,HN!$A:$K,8,FALSE)/12),0)+_xlfn.IFNA((VLOOKUP($A78,HN!$A:$AF,32,FALSE)*1/12),0)</f>
        <v>0</v>
      </c>
      <c r="EB78" s="345">
        <f>_xlfn.IFNA((VLOOKUP($A78,HN!$A:$BS,14,FALSE)/12),0)</f>
        <v>0</v>
      </c>
      <c r="EC78" s="345">
        <f>_xlfn.IFNA(VLOOKUP($A78,'Post 16'!$A:$AV,32,FALSE),0)/8</f>
        <v>0</v>
      </c>
      <c r="ED78" s="345"/>
      <c r="EE78" s="345">
        <f>_xlfn.IFNA((VLOOKUP($A78,HN!$A:$K,9,FALSE)/12),0)+_xlfn.IFNA((VLOOKUP($A78,HN!$A:$K,10,FALSE)/12),0)+_xlfn.IFNA((VLOOKUP($A78,HN!$A:$BZ,33,FALSE)/12),0)</f>
        <v>0</v>
      </c>
      <c r="EF78" s="345">
        <f>_xlfn.IFNA((VLOOKUP($A78,HN!$A:$BS,15,FALSE)/12),0)</f>
        <v>0</v>
      </c>
      <c r="EG78" s="344">
        <f t="shared" si="97"/>
        <v>-743.27999999999986</v>
      </c>
      <c r="EH78" s="344">
        <f t="shared" si="98"/>
        <v>-1194.4983333333332</v>
      </c>
      <c r="EI78" s="345"/>
      <c r="EJ78" s="345">
        <f>_xlfn.IFNA(VLOOKUP(A78,'Cash Advances'!A:P,16,FALSE),0)</f>
        <v>0</v>
      </c>
      <c r="EK78" s="345">
        <f>_xlfn.IFNA(VLOOKUP(A78,'LA Deductions'!A:AZ,25,FALSE),0)/9</f>
        <v>0</v>
      </c>
      <c r="EL78" s="344">
        <f t="shared" si="111"/>
        <v>177780.40562444122</v>
      </c>
      <c r="EM78" s="308">
        <f t="shared" si="99"/>
        <v>179718.18395777454</v>
      </c>
      <c r="EN78" s="308">
        <f>((VLOOKUP($A78,EY!$A:$BS,35,FALSE)-(VLOOKUP($A78,EY!$A:$BS,33,FALSE)*80%))+VLOOKUP($A78,EY!$A:$BS,43,FALSE))+(VLOOKUP(A78,EY!A:DF,110,FALSE)-VLOOKUP(A78,EY!A:DD,108,FALSE))+(VLOOKUP(A78,EY!A:CE,83,FALSE)-VLOOKUP(A78,EY!A:CC,81,FALSE))</f>
        <v>33789.016648199453</v>
      </c>
      <c r="EO78" s="309"/>
      <c r="EP78" s="309">
        <f>_xlfn.IFNA((VLOOKUP($A78,HN!$A:$K,8,FALSE)/12),0)+_xlfn.IFNA((VLOOKUP($A78,HN!$A:$AF,32,FALSE)*1/12),0)</f>
        <v>0</v>
      </c>
      <c r="EQ78" s="309">
        <f>_xlfn.IFNA((VLOOKUP($A78,HN!$A:$BS,14,FALSE)/12),0)+_xlfn.IFNA((VLOOKUP($A78,HN!$A:$BS,34,FALSE)/3),0)</f>
        <v>0</v>
      </c>
      <c r="ER78" s="309">
        <f>_xlfn.IFNA(VLOOKUP($A78,'Post 16'!$A:$AV,32,FALSE),0)/8</f>
        <v>0</v>
      </c>
      <c r="ES78" s="309">
        <f>((VLOOKUP($A78,EY!A:EV,33,FALSE)*80%))+VLOOKUP(A78,EY!A:DD,108,FALSE)+VLOOKUP(A78,EY!A:CC,81,FALSE)</f>
        <v>0</v>
      </c>
      <c r="ET78" s="309">
        <f>_xlfn.IFNA((VLOOKUP($A78,HN!$A:$K,9,FALSE)/12),0)+_xlfn.IFNA((VLOOKUP($A78,HN!$A:$K,10,FALSE)/12),0)+_xlfn.IFNA((VLOOKUP($A78,HN!$A:$BZ,33,FALSE)/12),0)</f>
        <v>0</v>
      </c>
      <c r="EU78" s="309">
        <f>_xlfn.IFNA((VLOOKUP($A78,HN!$A:$BS,15,FALSE)/12),0)</f>
        <v>0</v>
      </c>
      <c r="EV78" s="308">
        <f t="shared" si="100"/>
        <v>-743.27999999999986</v>
      </c>
      <c r="EW78" s="308">
        <f t="shared" si="101"/>
        <v>-1194.4983333333332</v>
      </c>
      <c r="EX78" s="309"/>
      <c r="EY78" s="309">
        <f>_xlfn.IFNA(VLOOKUP($A78,'Cash Advances'!$A:$S,17,FALSE),0)</f>
        <v>0</v>
      </c>
      <c r="EZ78" s="309">
        <f>_xlfn.IFNA(VLOOKUP(A78,'LA Deductions'!A:AZ,25,FALSE),0)/9</f>
        <v>0</v>
      </c>
      <c r="FA78" s="308">
        <f t="shared" si="112"/>
        <v>211569.42227264069</v>
      </c>
      <c r="FB78" s="315">
        <f t="shared" si="102"/>
        <v>179718.18395777454</v>
      </c>
      <c r="FC78" s="315"/>
      <c r="FD78" s="316"/>
      <c r="FE78" s="316">
        <f>_xlfn.IFNA((VLOOKUP($A78,HN!$A:$K,8,FALSE)/12),0)+_xlfn.IFNA((VLOOKUP($A78,HN!$A:$AF,32,FALSE)*1/12),0)</f>
        <v>0</v>
      </c>
      <c r="FF78" s="316">
        <f>_xlfn.IFNA((VLOOKUP($A78,HN!$A:$BS,14,FALSE)/12),0)+_xlfn.IFNA((VLOOKUP($A78,HN!$A:$BS,34,FALSE)/3),0)</f>
        <v>0</v>
      </c>
      <c r="FG78" s="316">
        <f>_xlfn.IFNA(VLOOKUP($A78,'Post 16'!$A:$AV,32,FALSE),0)/8</f>
        <v>0</v>
      </c>
      <c r="FH78" s="316"/>
      <c r="FI78" s="316">
        <f>_xlfn.IFNA((VLOOKUP($A78,HN!$A:$K,9,FALSE)/12),0)+_xlfn.IFNA((VLOOKUP($A78,HN!$A:$K,10,FALSE)/12),0)+_xlfn.IFNA((VLOOKUP($A78,HN!$A:$BZ,33,FALSE)/12),0)+_xlfn.IFNA((VLOOKUP($A78,HN!$A:$BZ,35,FALSE)/2),0)</f>
        <v>0</v>
      </c>
      <c r="FJ78" s="316">
        <f>_xlfn.IFNA((VLOOKUP($A78,HN!$A:$BS,15,FALSE)/12),0)+_xlfn.IFNA((VLOOKUP($A78,HN!$A:$CZ,36,FALSE)/2),0)</f>
        <v>0</v>
      </c>
      <c r="FK78" s="315">
        <f t="shared" si="103"/>
        <v>-743.27999999999986</v>
      </c>
      <c r="FL78" s="315">
        <f t="shared" si="104"/>
        <v>-1194.4983333333332</v>
      </c>
      <c r="FM78" s="316"/>
      <c r="FN78" s="316">
        <f>_xlfn.IFNA(VLOOKUP($A78,'Cash Advances'!$A:$S,18,FALSE),0)</f>
        <v>0</v>
      </c>
      <c r="FO78" s="316">
        <f>_xlfn.IFNA(VLOOKUP(A78,'LA Deductions'!A:AZ,25,FALSE),0)/9</f>
        <v>0</v>
      </c>
      <c r="FP78" s="315">
        <f t="shared" si="113"/>
        <v>177780.40562444122</v>
      </c>
      <c r="FQ78" s="322">
        <f t="shared" si="105"/>
        <v>179718.18395777454</v>
      </c>
      <c r="FR78" s="322"/>
      <c r="FS78" s="323"/>
      <c r="FT78" s="323">
        <f>_xlfn.IFNA((VLOOKUP($A78,HN!$A:$K,8,FALSE)/12),0)+_xlfn.IFNA((VLOOKUP($A78,HN!$A:$AF,32,FALSE)*1/12),0)</f>
        <v>0</v>
      </c>
      <c r="FU78" s="323">
        <f>_xlfn.IFNA((VLOOKUP($A78,HN!$A:$BS,14,FALSE)/12),0)+_xlfn.IFNA((VLOOKUP($A78,HN!$A:$BS,34,FALSE)/3),0)</f>
        <v>0</v>
      </c>
      <c r="FV78" s="323">
        <f>_xlfn.IFNA(VLOOKUP($A78,'Post 16'!$A:$AV,32,FALSE),0)/8</f>
        <v>0</v>
      </c>
      <c r="FW78" s="323"/>
      <c r="FX78" s="323">
        <f>_xlfn.IFNA((VLOOKUP($A78,HN!$A:$K,9,FALSE)/12),0)+_xlfn.IFNA((VLOOKUP($A78,HN!$A:$K,10,FALSE)/12),0)+_xlfn.IFNA((VLOOKUP($A78,HN!$A:$BZ,33,FALSE)/12),0)+_xlfn.IFNA((VLOOKUP($A78,HN!$A:$BZ,35,FALSE)/2),0)</f>
        <v>0</v>
      </c>
      <c r="FY78" s="323">
        <f>_xlfn.IFNA((VLOOKUP($A78,HN!$A:$BS,15,FALSE)/12),0)+_xlfn.IFNA((VLOOKUP($A78,HN!$A:$CZ,36,FALSE)/2),0)</f>
        <v>0</v>
      </c>
      <c r="FZ78" s="322">
        <f t="shared" si="106"/>
        <v>-743.27999999999986</v>
      </c>
      <c r="GA78" s="322">
        <f t="shared" si="107"/>
        <v>-1194.4983333333332</v>
      </c>
      <c r="GB78" s="323"/>
      <c r="GC78" s="323"/>
      <c r="GD78" s="323">
        <f>_xlfn.IFNA(VLOOKUP(A78,'LA Deductions'!A:AZ,25,FALSE),0)/9</f>
        <v>0</v>
      </c>
      <c r="GE78" s="322">
        <f t="shared" si="114"/>
        <v>177780.40562444122</v>
      </c>
      <c r="GG78" s="146">
        <f t="shared" ref="GG78:GL87" si="115">SUMIFS($M78:$GE78,$M$7:$GE$7,GG$7)</f>
        <v>2218195.4722151789</v>
      </c>
      <c r="GH78" s="146">
        <f t="shared" si="115"/>
        <v>0</v>
      </c>
      <c r="GI78" s="146">
        <f t="shared" si="115"/>
        <v>0</v>
      </c>
      <c r="GJ78" s="146">
        <f t="shared" si="115"/>
        <v>-8919.3599999999988</v>
      </c>
      <c r="GK78" s="146">
        <f t="shared" si="115"/>
        <v>-14333.979999999998</v>
      </c>
      <c r="GL78" s="146">
        <f t="shared" si="115"/>
        <v>-9471</v>
      </c>
      <c r="GN78" s="146">
        <f t="shared" ref="GN78:GS87" si="116">SUMIFS($M78:$GE78,$M$7:$GE$7,GN$7,$M$4:$GE$4,$GN$6)</f>
        <v>2218195.4722151789</v>
      </c>
      <c r="GO78" s="146">
        <f t="shared" si="116"/>
        <v>0</v>
      </c>
      <c r="GP78" s="146">
        <f t="shared" si="116"/>
        <v>0</v>
      </c>
      <c r="GQ78" s="146">
        <f t="shared" si="116"/>
        <v>-8919.3599999999988</v>
      </c>
      <c r="GR78" s="146">
        <f t="shared" si="116"/>
        <v>-14333.979999999998</v>
      </c>
      <c r="GS78" s="146">
        <f t="shared" si="116"/>
        <v>-9471</v>
      </c>
      <c r="GU78" s="146"/>
      <c r="GV78" s="57"/>
    </row>
    <row r="79" spans="1:204">
      <c r="A79" s="185">
        <v>2321</v>
      </c>
      <c r="B79" s="185">
        <v>103339</v>
      </c>
      <c r="C79" s="185" t="s">
        <v>178</v>
      </c>
      <c r="D79" s="2" t="s">
        <v>179</v>
      </c>
      <c r="E79" s="191" t="s">
        <v>32</v>
      </c>
      <c r="F79" s="191" t="s">
        <v>912</v>
      </c>
      <c r="H79" s="279">
        <f>_xlfn.IFNA(VLOOKUP($A79,ISB!$A$4:$BY$454,67,FALSE),0)</f>
        <v>1220419.6037890988</v>
      </c>
      <c r="I79" s="279">
        <f>_xlfn.IFNA(VLOOKUP($A79,ISB!$A$4:$BY$454,72,FALSE),0)</f>
        <v>-4668.32</v>
      </c>
      <c r="J79" s="279">
        <f>-_xlfn.IFNA(VLOOKUP($A79,ISB!$A$4:$BY$454,76,FALSE),0)</f>
        <v>-15754.47</v>
      </c>
      <c r="K79" s="279">
        <f>_xlfn.IFNA(VLOOKUP($A79,ISB!$A$4:$BY$454,77,FALSE),0)</f>
        <v>1199996.8137890988</v>
      </c>
      <c r="M79" s="301">
        <f t="shared" si="72"/>
        <v>101701.63364909157</v>
      </c>
      <c r="N79" s="301">
        <f>VLOOKUP($A79,EY!$A:$H,8,FALSE)+(VLOOKUP($A79,EY!$A:$BS,17,FALSE)-S79)+VLOOKUP($A79,EY!$A:$BS,41,FALSE)</f>
        <v>0</v>
      </c>
      <c r="O79" s="302"/>
      <c r="P79" s="302">
        <f>_xlfn.IFNA((VLOOKUP($A79,HN!$A:$K,8,FALSE)/12),0)</f>
        <v>0</v>
      </c>
      <c r="Q79" s="302">
        <f>_xlfn.IFNA((VLOOKUP($A79,HN!$A:$BS,14,FALSE)/12),0)</f>
        <v>0</v>
      </c>
      <c r="R79" s="302">
        <f>_xlfn.IFNA(VLOOKUP($A79,'Post 16'!$A:$V,21,FALSE),0)/4</f>
        <v>0</v>
      </c>
      <c r="S79" s="302">
        <f>VLOOKUP($A79,EY!A:Q,15,FALSE)*80%</f>
        <v>0</v>
      </c>
      <c r="T79" s="302">
        <f>_xlfn.IFNA((VLOOKUP($A79,HN!$A:$K,9,FALSE)/12),0)+_xlfn.IFNA((VLOOKUP($A79,HN!$A:$K,10,FALSE)/12),0)</f>
        <v>0</v>
      </c>
      <c r="U79" s="302">
        <f>_xlfn.IFNA((VLOOKUP($A79,HN!$A:$BS,15,FALSE)/12),0)</f>
        <v>0</v>
      </c>
      <c r="V79" s="301">
        <f t="shared" si="73"/>
        <v>-389.02666666666664</v>
      </c>
      <c r="W79" s="301">
        <f t="shared" si="74"/>
        <v>-1312.8724999999999</v>
      </c>
      <c r="X79" s="302"/>
      <c r="Y79" s="302">
        <f>_xlfn.IFNA(VLOOKUP($A79,'Cash Advances'!$A:$S,8,FALSE),0)</f>
        <v>0</v>
      </c>
      <c r="Z79" s="301">
        <f t="shared" si="67"/>
        <v>99999.734482424901</v>
      </c>
      <c r="AA79" s="315">
        <f t="shared" si="75"/>
        <v>101701.63364909157</v>
      </c>
      <c r="AB79" s="315"/>
      <c r="AC79" s="316"/>
      <c r="AD79" s="316">
        <f>_xlfn.IFNA((VLOOKUP($A79,HN!$A:$K,8,FALSE)/12),0)</f>
        <v>0</v>
      </c>
      <c r="AE79" s="316">
        <f>_xlfn.IFNA((VLOOKUP($A79,HN!$A:$BS,14,FALSE)/12),0)</f>
        <v>0</v>
      </c>
      <c r="AF79" s="316">
        <f>_xlfn.IFNA(VLOOKUP($A79,'Post 16'!$A:$V,21,FALSE),0)/4</f>
        <v>0</v>
      </c>
      <c r="AG79" s="316"/>
      <c r="AH79" s="316">
        <f>_xlfn.IFNA((VLOOKUP($A79,HN!$A:$K,9,FALSE)/12),0)+_xlfn.IFNA((VLOOKUP($A79,HN!$A:$K,10,FALSE)/12),0)</f>
        <v>0</v>
      </c>
      <c r="AI79" s="316">
        <f>_xlfn.IFNA((VLOOKUP($A79,HN!$A:$BS,15,FALSE)/12),0)</f>
        <v>0</v>
      </c>
      <c r="AJ79" s="315">
        <f t="shared" si="76"/>
        <v>-389.02666666666664</v>
      </c>
      <c r="AK79" s="315">
        <f t="shared" si="77"/>
        <v>-1312.8724999999999</v>
      </c>
      <c r="AL79" s="316"/>
      <c r="AM79" s="316">
        <f>_xlfn.IFNA(VLOOKUP($A79,'Cash Advances'!$A:$S,9,FALSE),0)</f>
        <v>0</v>
      </c>
      <c r="AN79" s="315">
        <f t="shared" si="68"/>
        <v>99999.734482424901</v>
      </c>
      <c r="AO79" s="308">
        <f t="shared" si="78"/>
        <v>101701.63364909157</v>
      </c>
      <c r="AP79" s="308"/>
      <c r="AQ79" s="309"/>
      <c r="AR79" s="309">
        <f>_xlfn.IFNA((VLOOKUP($A79,HN!$A:$K,8,FALSE)/12),0)</f>
        <v>0</v>
      </c>
      <c r="AS79" s="309">
        <f>_xlfn.IFNA((VLOOKUP($A79,HN!$A:$BS,14,FALSE)/12),0)</f>
        <v>0</v>
      </c>
      <c r="AT79" s="309">
        <f>_xlfn.IFNA(VLOOKUP($A79,'Post 16'!$A:$V,21,FALSE),0)/4</f>
        <v>0</v>
      </c>
      <c r="AU79" s="309"/>
      <c r="AV79" s="309">
        <f>_xlfn.IFNA((VLOOKUP($A79,HN!$A:$K,9,FALSE)/12),0)+_xlfn.IFNA((VLOOKUP($A79,HN!$A:$K,10,FALSE)/12),0)+_xlfn.IFNA(VLOOKUP(A79,HN!A:V,19,FALSE),0)+_xlfn.IFNA(VLOOKUP(A79,HN!A:V,20,FALSE),0)+_xlfn.IFNA(VLOOKUP(A79,HN!A:V,21,FALSE),0)</f>
        <v>0</v>
      </c>
      <c r="AW79" s="309">
        <f>_xlfn.IFNA((VLOOKUP($A79,HN!$A:$BS,15,FALSE)/12),0)</f>
        <v>0</v>
      </c>
      <c r="AX79" s="308">
        <f t="shared" si="79"/>
        <v>-389.02666666666664</v>
      </c>
      <c r="AY79" s="308">
        <f t="shared" si="80"/>
        <v>-1312.8724999999999</v>
      </c>
      <c r="AZ79" s="309"/>
      <c r="BA79" s="309">
        <f>_xlfn.IFNA(VLOOKUP($A79,'Cash Advances'!$A:$S,10,FALSE),0)</f>
        <v>0</v>
      </c>
      <c r="BB79" s="308">
        <f t="shared" si="69"/>
        <v>99999.734482424901</v>
      </c>
      <c r="BC79" s="330">
        <f t="shared" si="81"/>
        <v>101701.63364909157</v>
      </c>
      <c r="BD79" s="330"/>
      <c r="BE79" s="331"/>
      <c r="BF79" s="331">
        <f>_xlfn.IFNA((VLOOKUP($A79,HN!$A:$K,8,FALSE)/12),0)</f>
        <v>0</v>
      </c>
      <c r="BG79" s="331">
        <f>_xlfn.IFNA((VLOOKUP($A79,HN!$A:$BS,14,FALSE)/12),0)</f>
        <v>0</v>
      </c>
      <c r="BH79" s="331">
        <f>_xlfn.IFNA(VLOOKUP($A79,'Post 16'!$A:$V,21,FALSE),0)/4</f>
        <v>0</v>
      </c>
      <c r="BI79" s="331"/>
      <c r="BJ79" s="331">
        <f>_xlfn.IFNA((VLOOKUP($A79,HN!$A:$K,9,FALSE)/12),0)+_xlfn.IFNA((VLOOKUP($A79,HN!$A:$K,10,FALSE)/12),0)</f>
        <v>0</v>
      </c>
      <c r="BK79" s="331">
        <f>_xlfn.IFNA((VLOOKUP($A79,HN!$A:$BS,15,FALSE)/12),0)</f>
        <v>0</v>
      </c>
      <c r="BL79" s="330">
        <f t="shared" si="82"/>
        <v>-389.02666666666664</v>
      </c>
      <c r="BM79" s="330">
        <f t="shared" si="83"/>
        <v>-1312.8724999999999</v>
      </c>
      <c r="BN79" s="331"/>
      <c r="BO79" s="331">
        <f>_xlfn.IFNA(VLOOKUP(A79,'Cash Advances'!A:K,11,FALSE),0)</f>
        <v>0</v>
      </c>
      <c r="BP79" s="330">
        <f t="shared" si="70"/>
        <v>99999.734482424901</v>
      </c>
      <c r="BQ79" s="322">
        <f t="shared" si="84"/>
        <v>101701.63364909157</v>
      </c>
      <c r="BR79" s="322"/>
      <c r="BS79" s="323"/>
      <c r="BT79" s="323">
        <f>_xlfn.IFNA((VLOOKUP($A79,HN!$A:$K,8,FALSE)/12),0)</f>
        <v>0</v>
      </c>
      <c r="BU79" s="323">
        <f>_xlfn.IFNA((VLOOKUP($A79,HN!$A:$BS,14,FALSE)/12),0)</f>
        <v>0</v>
      </c>
      <c r="BV79" s="323">
        <f>(_xlfn.IFNA(VLOOKUP($A79,'Post 16'!$A:$AV,32,FALSE),0)/8)+_xlfn.IFNA(VLOOKUP($A79,'Post 16'!$A:$AR,40,FALSE),0)</f>
        <v>0</v>
      </c>
      <c r="BW79" s="323"/>
      <c r="BX79" s="323">
        <f>_xlfn.IFNA((VLOOKUP($A79,HN!$A:$K,9,FALSE)/12),0)+_xlfn.IFNA((VLOOKUP($A79,HN!$A:$K,10,FALSE)/12),0)</f>
        <v>0</v>
      </c>
      <c r="BY79" s="323">
        <f>_xlfn.IFNA((VLOOKUP($A79,HN!$A:$BS,15,FALSE)/12),0)</f>
        <v>0</v>
      </c>
      <c r="BZ79" s="322">
        <f t="shared" si="85"/>
        <v>-389.02666666666664</v>
      </c>
      <c r="CA79" s="322">
        <f t="shared" si="86"/>
        <v>-1312.8724999999999</v>
      </c>
      <c r="CB79" s="323"/>
      <c r="CC79" s="323"/>
      <c r="CD79" s="322">
        <f t="shared" si="71"/>
        <v>99999.734482424901</v>
      </c>
      <c r="CE79" s="357">
        <f t="shared" si="87"/>
        <v>101701.63364909157</v>
      </c>
      <c r="CF79" s="357">
        <f>(VLOOKUP($A79,EY!$A:$BS,26,FALSE)-(VLOOKUP($A79,EY!A:CR,24,FALSE)*80%))+VLOOKUP($A79,EY!$A:$BS,42,FALSE)+(VLOOKUP($A79,EY!A:CC,74,FALSE)-VLOOKUP($A79,EY!A:CC,72,FALSE))</f>
        <v>0</v>
      </c>
      <c r="CG79" s="358"/>
      <c r="CH79" s="358">
        <f>_xlfn.IFNA((VLOOKUP($A79,HN!$A:$K,8,FALSE)/12),0)</f>
        <v>0</v>
      </c>
      <c r="CI79" s="358">
        <f>_xlfn.IFNA((VLOOKUP($A79,HN!$A:$BS,14,FALSE)/12),0)</f>
        <v>0</v>
      </c>
      <c r="CJ79" s="358">
        <f>(_xlfn.IFNA(VLOOKUP($A79,'Post 16'!$A:$AV,32,FALSE),0)/8)</f>
        <v>0</v>
      </c>
      <c r="CK79" s="358">
        <f>(VLOOKUP($A79,EY!A:CR,24,FALSE)*80%)+VLOOKUP($A79,EY!A:CC,72,FALSE)</f>
        <v>0</v>
      </c>
      <c r="CL79" s="358">
        <f>_xlfn.IFNA((VLOOKUP($A79,HN!$A:$K,9,FALSE)/12),0)+_xlfn.IFNA((VLOOKUP($A79,HN!$A:$K,10,FALSE)/12),0)</f>
        <v>0</v>
      </c>
      <c r="CM79" s="358">
        <f>_xlfn.IFNA((VLOOKUP($A79,HN!$A:$BS,15,FALSE)/12),0)</f>
        <v>0</v>
      </c>
      <c r="CN79" s="357">
        <f t="shared" si="88"/>
        <v>-389.02666666666664</v>
      </c>
      <c r="CO79" s="357">
        <f t="shared" si="89"/>
        <v>-1312.8724999999999</v>
      </c>
      <c r="CP79" s="358">
        <f>_xlfn.IFNA(VLOOKUP(A79,'LA Deductions'!A:W,23,FALSE),0)</f>
        <v>-5139.75</v>
      </c>
      <c r="CQ79" s="358">
        <f>_xlfn.IFNA(VLOOKUP($A79,'Cash Advances'!$A:$S,13,FALSE),0)</f>
        <v>0</v>
      </c>
      <c r="CR79" s="358">
        <f>_xlfn.IFNA(VLOOKUP(A79,'LA Deductions'!A:AZ,25,FALSE),0)/9*3</f>
        <v>0</v>
      </c>
      <c r="CS79" s="357">
        <f t="shared" si="108"/>
        <v>94859.984482424901</v>
      </c>
      <c r="CT79" s="337">
        <f t="shared" si="90"/>
        <v>101701.63364909157</v>
      </c>
      <c r="CU79" s="337"/>
      <c r="CV79" s="338">
        <f>_xlfn.IFNA(VLOOKUP(A79,'LA Deductions'!$A$6:$AN$207,34,FALSE),0)</f>
        <v>-5216.5414000000001</v>
      </c>
      <c r="CW79" s="338">
        <f>_xlfn.IFNA((VLOOKUP($A79,HN!$A:$K,8,FALSE)/12),0)</f>
        <v>0</v>
      </c>
      <c r="CX79" s="338">
        <f>_xlfn.IFNA((VLOOKUP($A79,HN!$A:$BS,14,FALSE)/12),0)</f>
        <v>0</v>
      </c>
      <c r="CY79" s="338">
        <f>_xlfn.IFNA(VLOOKUP($A79,'Post 16'!$A:$AV,32,FALSE),0)/8</f>
        <v>0</v>
      </c>
      <c r="CZ79" s="338"/>
      <c r="DA79" s="338">
        <f>_xlfn.IFNA((VLOOKUP($A79,HN!$A:$K,9,FALSE)/12),0)+_xlfn.IFNA((VLOOKUP($A79,HN!$A:$K,10,FALSE)/12),0)</f>
        <v>0</v>
      </c>
      <c r="DB79" s="338">
        <f>_xlfn.IFNA((VLOOKUP($A79,HN!$A:$BS,15,FALSE)/12),0)</f>
        <v>0</v>
      </c>
      <c r="DC79" s="337">
        <f t="shared" si="91"/>
        <v>-389.02666666666664</v>
      </c>
      <c r="DD79" s="337">
        <f t="shared" si="92"/>
        <v>-1312.8724999999999</v>
      </c>
      <c r="DE79" s="338"/>
      <c r="DF79" s="338">
        <f>_xlfn.IFNA(VLOOKUP($A79,'Cash Advances'!$A:$S,14,FALSE),0)</f>
        <v>0</v>
      </c>
      <c r="DG79" s="338">
        <f>(_xlfn.IFNA(VLOOKUP(A79,'LA Deductions'!A:AZ,25,FALSE),0)/9)+(_xlfn.IFNA(VLOOKUP(A79,'LA Deductions'!A:AZ,26,FALSE),0))</f>
        <v>0</v>
      </c>
      <c r="DH79" s="337">
        <f t="shared" si="109"/>
        <v>94783.193082424899</v>
      </c>
      <c r="DI79" s="330">
        <f t="shared" si="93"/>
        <v>101701.63364909157</v>
      </c>
      <c r="DJ79" s="330"/>
      <c r="DK79" s="331"/>
      <c r="DL79" s="331">
        <f>_xlfn.IFNA((VLOOKUP($A79,HN!$A:$K,8,FALSE)/12),0)+_xlfn.IFNA((VLOOKUP($A79,HN!$A:$AF,32,FALSE)*8/12),0)</f>
        <v>0</v>
      </c>
      <c r="DM79" s="331">
        <f>_xlfn.IFNA((VLOOKUP($A79,HN!$A:$BS,14,FALSE)/12),0)+_xlfn.IFNA(VLOOKUP($A79,HN!$A:$BS,31,FALSE),0)</f>
        <v>0</v>
      </c>
      <c r="DN79" s="331">
        <f>_xlfn.IFNA(VLOOKUP($A79,'Post 16'!$A:$AV,32,FALSE),0)/8</f>
        <v>0</v>
      </c>
      <c r="DO79" s="331"/>
      <c r="DP79" s="331">
        <f>_xlfn.IFNA((VLOOKUP($A79,HN!$A:$K,9,FALSE)/12),0)+_xlfn.IFNA((VLOOKUP($A79,HN!$A:$K,10,FALSE)/12),0)+_xlfn.IFNA((VLOOKUP($A79,HN!$A:$BZ,33,FALSE)*8/12),0)</f>
        <v>0</v>
      </c>
      <c r="DQ79" s="331">
        <f>_xlfn.IFNA((VLOOKUP($A79,HN!$A:$BS,15,FALSE)/12),0)</f>
        <v>0</v>
      </c>
      <c r="DR79" s="330">
        <f t="shared" si="94"/>
        <v>-389.02666666666664</v>
      </c>
      <c r="DS79" s="330">
        <f t="shared" si="95"/>
        <v>-1312.8724999999999</v>
      </c>
      <c r="DT79" s="331"/>
      <c r="DU79" s="331"/>
      <c r="DV79" s="331">
        <f>(_xlfn.IFNA(VLOOKUP(A79,'LA Deductions'!A:AZ,25,FALSE),0)/9)+_xlfn.IFNA(VLOOKUP(A79,'LA Deductions'!A:AZ,27,FALSE),0)</f>
        <v>0</v>
      </c>
      <c r="DW79" s="330">
        <f t="shared" si="110"/>
        <v>99999.734482424901</v>
      </c>
      <c r="DX79" s="344">
        <f t="shared" si="96"/>
        <v>101701.63364909157</v>
      </c>
      <c r="DY79" s="344"/>
      <c r="DZ79" s="345"/>
      <c r="EA79" s="345">
        <f>_xlfn.IFNA((VLOOKUP($A79,HN!$A:$K,8,FALSE)/12),0)+_xlfn.IFNA((VLOOKUP($A79,HN!$A:$AF,32,FALSE)*1/12),0)</f>
        <v>0</v>
      </c>
      <c r="EB79" s="345">
        <f>_xlfn.IFNA((VLOOKUP($A79,HN!$A:$BS,14,FALSE)/12),0)</f>
        <v>0</v>
      </c>
      <c r="EC79" s="345">
        <f>_xlfn.IFNA(VLOOKUP($A79,'Post 16'!$A:$AV,32,FALSE),0)/8</f>
        <v>0</v>
      </c>
      <c r="ED79" s="345"/>
      <c r="EE79" s="345">
        <f>_xlfn.IFNA((VLOOKUP($A79,HN!$A:$K,9,FALSE)/12),0)+_xlfn.IFNA((VLOOKUP($A79,HN!$A:$K,10,FALSE)/12),0)+_xlfn.IFNA((VLOOKUP($A79,HN!$A:$BZ,33,FALSE)/12),0)</f>
        <v>0</v>
      </c>
      <c r="EF79" s="345">
        <f>_xlfn.IFNA((VLOOKUP($A79,HN!$A:$BS,15,FALSE)/12),0)</f>
        <v>0</v>
      </c>
      <c r="EG79" s="344">
        <f t="shared" si="97"/>
        <v>-389.02666666666664</v>
      </c>
      <c r="EH79" s="344">
        <f t="shared" si="98"/>
        <v>-1312.8724999999999</v>
      </c>
      <c r="EI79" s="345"/>
      <c r="EJ79" s="345">
        <f>_xlfn.IFNA(VLOOKUP(A79,'Cash Advances'!A:P,16,FALSE),0)</f>
        <v>0</v>
      </c>
      <c r="EK79" s="345">
        <f>_xlfn.IFNA(VLOOKUP(A79,'LA Deductions'!A:AZ,25,FALSE),0)/9</f>
        <v>0</v>
      </c>
      <c r="EL79" s="344">
        <f t="shared" si="111"/>
        <v>99999.734482424901</v>
      </c>
      <c r="EM79" s="308">
        <f t="shared" si="99"/>
        <v>101701.63364909157</v>
      </c>
      <c r="EN79" s="308">
        <f>((VLOOKUP($A79,EY!$A:$BS,35,FALSE)-(VLOOKUP($A79,EY!$A:$BS,33,FALSE)*80%))+VLOOKUP($A79,EY!$A:$BS,43,FALSE))+(VLOOKUP(A79,EY!A:DF,110,FALSE)-VLOOKUP(A79,EY!A:DD,108,FALSE))+(VLOOKUP(A79,EY!A:CE,83,FALSE)-VLOOKUP(A79,EY!A:CC,81,FALSE))</f>
        <v>0</v>
      </c>
      <c r="EO79" s="309"/>
      <c r="EP79" s="309">
        <f>_xlfn.IFNA((VLOOKUP($A79,HN!$A:$K,8,FALSE)/12),0)+_xlfn.IFNA((VLOOKUP($A79,HN!$A:$AF,32,FALSE)*1/12),0)</f>
        <v>0</v>
      </c>
      <c r="EQ79" s="309">
        <f>_xlfn.IFNA((VLOOKUP($A79,HN!$A:$BS,14,FALSE)/12),0)+_xlfn.IFNA((VLOOKUP($A79,HN!$A:$BS,34,FALSE)/3),0)</f>
        <v>0</v>
      </c>
      <c r="ER79" s="309">
        <f>_xlfn.IFNA(VLOOKUP($A79,'Post 16'!$A:$AV,32,FALSE),0)/8</f>
        <v>0</v>
      </c>
      <c r="ES79" s="309">
        <f>((VLOOKUP($A79,EY!A:EV,33,FALSE)*80%))+VLOOKUP(A79,EY!A:DD,108,FALSE)+VLOOKUP(A79,EY!A:CC,81,FALSE)</f>
        <v>0</v>
      </c>
      <c r="ET79" s="309">
        <f>_xlfn.IFNA((VLOOKUP($A79,HN!$A:$K,9,FALSE)/12),0)+_xlfn.IFNA((VLOOKUP($A79,HN!$A:$K,10,FALSE)/12),0)+_xlfn.IFNA((VLOOKUP($A79,HN!$A:$BZ,33,FALSE)/12),0)</f>
        <v>0</v>
      </c>
      <c r="EU79" s="309">
        <f>_xlfn.IFNA((VLOOKUP($A79,HN!$A:$BS,15,FALSE)/12),0)</f>
        <v>0</v>
      </c>
      <c r="EV79" s="308">
        <f t="shared" si="100"/>
        <v>-389.02666666666664</v>
      </c>
      <c r="EW79" s="308">
        <f t="shared" si="101"/>
        <v>-1312.8724999999999</v>
      </c>
      <c r="EX79" s="309"/>
      <c r="EY79" s="309">
        <f>_xlfn.IFNA(VLOOKUP($A79,'Cash Advances'!$A:$S,17,FALSE),0)</f>
        <v>0</v>
      </c>
      <c r="EZ79" s="309">
        <f>_xlfn.IFNA(VLOOKUP(A79,'LA Deductions'!A:AZ,25,FALSE),0)/9</f>
        <v>0</v>
      </c>
      <c r="FA79" s="308">
        <f t="shared" si="112"/>
        <v>99999.734482424901</v>
      </c>
      <c r="FB79" s="315">
        <f t="shared" si="102"/>
        <v>101701.63364909157</v>
      </c>
      <c r="FC79" s="315"/>
      <c r="FD79" s="316"/>
      <c r="FE79" s="316">
        <f>_xlfn.IFNA((VLOOKUP($A79,HN!$A:$K,8,FALSE)/12),0)+_xlfn.IFNA((VLOOKUP($A79,HN!$A:$AF,32,FALSE)*1/12),0)</f>
        <v>0</v>
      </c>
      <c r="FF79" s="316">
        <f>_xlfn.IFNA((VLOOKUP($A79,HN!$A:$BS,14,FALSE)/12),0)+_xlfn.IFNA((VLOOKUP($A79,HN!$A:$BS,34,FALSE)/3),0)</f>
        <v>0</v>
      </c>
      <c r="FG79" s="316">
        <f>_xlfn.IFNA(VLOOKUP($A79,'Post 16'!$A:$AV,32,FALSE),0)/8</f>
        <v>0</v>
      </c>
      <c r="FH79" s="316"/>
      <c r="FI79" s="316">
        <f>_xlfn.IFNA((VLOOKUP($A79,HN!$A:$K,9,FALSE)/12),0)+_xlfn.IFNA((VLOOKUP($A79,HN!$A:$K,10,FALSE)/12),0)+_xlfn.IFNA((VLOOKUP($A79,HN!$A:$BZ,33,FALSE)/12),0)+_xlfn.IFNA((VLOOKUP($A79,HN!$A:$BZ,35,FALSE)/2),0)</f>
        <v>0</v>
      </c>
      <c r="FJ79" s="316">
        <f>_xlfn.IFNA((VLOOKUP($A79,HN!$A:$BS,15,FALSE)/12),0)+_xlfn.IFNA((VLOOKUP($A79,HN!$A:$CZ,36,FALSE)/2),0)</f>
        <v>0</v>
      </c>
      <c r="FK79" s="315">
        <f t="shared" si="103"/>
        <v>-389.02666666666664</v>
      </c>
      <c r="FL79" s="315">
        <f t="shared" si="104"/>
        <v>-1312.8724999999999</v>
      </c>
      <c r="FM79" s="316"/>
      <c r="FN79" s="316">
        <f>_xlfn.IFNA(VLOOKUP($A79,'Cash Advances'!$A:$S,18,FALSE),0)</f>
        <v>0</v>
      </c>
      <c r="FO79" s="316">
        <f>_xlfn.IFNA(VLOOKUP(A79,'LA Deductions'!A:AZ,25,FALSE),0)/9</f>
        <v>0</v>
      </c>
      <c r="FP79" s="315">
        <f t="shared" si="113"/>
        <v>99999.734482424901</v>
      </c>
      <c r="FQ79" s="322">
        <f t="shared" si="105"/>
        <v>101701.63364909157</v>
      </c>
      <c r="FR79" s="322"/>
      <c r="FS79" s="323"/>
      <c r="FT79" s="323">
        <f>_xlfn.IFNA((VLOOKUP($A79,HN!$A:$K,8,FALSE)/12),0)+_xlfn.IFNA((VLOOKUP($A79,HN!$A:$AF,32,FALSE)*1/12),0)</f>
        <v>0</v>
      </c>
      <c r="FU79" s="323">
        <f>_xlfn.IFNA((VLOOKUP($A79,HN!$A:$BS,14,FALSE)/12),0)+_xlfn.IFNA((VLOOKUP($A79,HN!$A:$BS,34,FALSE)/3),0)</f>
        <v>0</v>
      </c>
      <c r="FV79" s="323">
        <f>_xlfn.IFNA(VLOOKUP($A79,'Post 16'!$A:$AV,32,FALSE),0)/8</f>
        <v>0</v>
      </c>
      <c r="FW79" s="323"/>
      <c r="FX79" s="323">
        <f>_xlfn.IFNA((VLOOKUP($A79,HN!$A:$K,9,FALSE)/12),0)+_xlfn.IFNA((VLOOKUP($A79,HN!$A:$K,10,FALSE)/12),0)+_xlfn.IFNA((VLOOKUP($A79,HN!$A:$BZ,33,FALSE)/12),0)+_xlfn.IFNA((VLOOKUP($A79,HN!$A:$BZ,35,FALSE)/2),0)</f>
        <v>0</v>
      </c>
      <c r="FY79" s="323">
        <f>_xlfn.IFNA((VLOOKUP($A79,HN!$A:$BS,15,FALSE)/12),0)+_xlfn.IFNA((VLOOKUP($A79,HN!$A:$CZ,36,FALSE)/2),0)</f>
        <v>0</v>
      </c>
      <c r="FZ79" s="322">
        <f t="shared" si="106"/>
        <v>-389.02666666666664</v>
      </c>
      <c r="GA79" s="322">
        <f t="shared" si="107"/>
        <v>-1312.8724999999999</v>
      </c>
      <c r="GB79" s="323"/>
      <c r="GC79" s="323"/>
      <c r="GD79" s="323">
        <f>_xlfn.IFNA(VLOOKUP(A79,'LA Deductions'!A:AZ,25,FALSE),0)/9</f>
        <v>0</v>
      </c>
      <c r="GE79" s="322">
        <f t="shared" si="114"/>
        <v>99999.734482424901</v>
      </c>
      <c r="GG79" s="146">
        <f t="shared" si="115"/>
        <v>1215203.0623890988</v>
      </c>
      <c r="GH79" s="146">
        <f t="shared" si="115"/>
        <v>0</v>
      </c>
      <c r="GI79" s="146">
        <f t="shared" si="115"/>
        <v>0</v>
      </c>
      <c r="GJ79" s="146">
        <f t="shared" si="115"/>
        <v>-4668.32</v>
      </c>
      <c r="GK79" s="146">
        <f t="shared" si="115"/>
        <v>-15754.469999999996</v>
      </c>
      <c r="GL79" s="146">
        <f t="shared" si="115"/>
        <v>-5139.75</v>
      </c>
      <c r="GN79" s="146">
        <f t="shared" si="116"/>
        <v>1215203.0623890988</v>
      </c>
      <c r="GO79" s="146">
        <f t="shared" si="116"/>
        <v>0</v>
      </c>
      <c r="GP79" s="146">
        <f t="shared" si="116"/>
        <v>0</v>
      </c>
      <c r="GQ79" s="146">
        <f t="shared" si="116"/>
        <v>-4668.32</v>
      </c>
      <c r="GR79" s="146">
        <f t="shared" si="116"/>
        <v>-15754.469999999996</v>
      </c>
      <c r="GS79" s="146">
        <f t="shared" si="116"/>
        <v>-5139.75</v>
      </c>
      <c r="GU79" s="146"/>
      <c r="GV79" s="57"/>
    </row>
    <row r="80" spans="1:204">
      <c r="A80" s="185">
        <v>7062</v>
      </c>
      <c r="B80" s="185">
        <v>103632</v>
      </c>
      <c r="C80" s="185" t="s">
        <v>180</v>
      </c>
      <c r="D80" s="2" t="s">
        <v>181</v>
      </c>
      <c r="E80" s="191" t="s">
        <v>47</v>
      </c>
      <c r="F80" s="191" t="s">
        <v>912</v>
      </c>
      <c r="H80" s="279">
        <f>_xlfn.IFNA(VLOOKUP($A80,ISB!$A$4:$BY$454,67,FALSE),0)</f>
        <v>0</v>
      </c>
      <c r="I80" s="279">
        <f>_xlfn.IFNA(VLOOKUP($A80,ISB!$A$4:$BY$454,72,FALSE),0)</f>
        <v>0</v>
      </c>
      <c r="J80" s="279">
        <f>-_xlfn.IFNA(VLOOKUP($A80,ISB!$A$4:$BY$454,76,FALSE),0)</f>
        <v>0</v>
      </c>
      <c r="K80" s="279">
        <f>_xlfn.IFNA(VLOOKUP($A80,ISB!$A$4:$BY$454,77,FALSE),0)</f>
        <v>0</v>
      </c>
      <c r="M80" s="301">
        <f t="shared" si="72"/>
        <v>0</v>
      </c>
      <c r="N80" s="301">
        <f>VLOOKUP($A80,EY!$A:$H,8,FALSE)+(VLOOKUP($A80,EY!$A:$BS,17,FALSE)-S80)+VLOOKUP($A80,EY!$A:$BS,41,FALSE)</f>
        <v>0</v>
      </c>
      <c r="O80" s="302"/>
      <c r="P80" s="302">
        <f>_xlfn.IFNA((VLOOKUP($A80,HN!$A:$K,8,FALSE)/12),0)</f>
        <v>130049.79166666664</v>
      </c>
      <c r="Q80" s="302">
        <f>_xlfn.IFNA((VLOOKUP($A80,HN!$A:$BS,14,FALSE)/12),0)</f>
        <v>0</v>
      </c>
      <c r="R80" s="302">
        <f>_xlfn.IFNA(VLOOKUP($A80,'Post 16'!$A:$V,21,FALSE),0)/4</f>
        <v>0</v>
      </c>
      <c r="S80" s="302">
        <f>VLOOKUP($A80,EY!A:Q,15,FALSE)*80%</f>
        <v>0</v>
      </c>
      <c r="T80" s="302">
        <f>_xlfn.IFNA((VLOOKUP($A80,HN!$A:$K,9,FALSE)/12),0)+_xlfn.IFNA((VLOOKUP($A80,HN!$A:$K,10,FALSE)/12),0)</f>
        <v>125604.60992911522</v>
      </c>
      <c r="U80" s="302">
        <f>_xlfn.IFNA((VLOOKUP($A80,HN!$A:$BS,15,FALSE)/12),0)</f>
        <v>0</v>
      </c>
      <c r="V80" s="301">
        <f t="shared" si="73"/>
        <v>0</v>
      </c>
      <c r="W80" s="301">
        <f t="shared" si="74"/>
        <v>0</v>
      </c>
      <c r="X80" s="302"/>
      <c r="Y80" s="302">
        <f>_xlfn.IFNA(VLOOKUP($A80,'Cash Advances'!$A:$S,8,FALSE),0)</f>
        <v>0</v>
      </c>
      <c r="Z80" s="301">
        <f t="shared" si="67"/>
        <v>255654.40159578185</v>
      </c>
      <c r="AA80" s="315">
        <f t="shared" si="75"/>
        <v>0</v>
      </c>
      <c r="AB80" s="315"/>
      <c r="AC80" s="316"/>
      <c r="AD80" s="316">
        <f>_xlfn.IFNA((VLOOKUP($A80,HN!$A:$K,8,FALSE)/12),0)</f>
        <v>130049.79166666664</v>
      </c>
      <c r="AE80" s="316">
        <f>_xlfn.IFNA((VLOOKUP($A80,HN!$A:$BS,14,FALSE)/12),0)</f>
        <v>0</v>
      </c>
      <c r="AF80" s="316">
        <f>_xlfn.IFNA(VLOOKUP($A80,'Post 16'!$A:$V,21,FALSE),0)/4</f>
        <v>0</v>
      </c>
      <c r="AG80" s="316"/>
      <c r="AH80" s="316">
        <f>_xlfn.IFNA((VLOOKUP($A80,HN!$A:$K,9,FALSE)/12),0)+_xlfn.IFNA((VLOOKUP($A80,HN!$A:$K,10,FALSE)/12),0)</f>
        <v>125604.60992911522</v>
      </c>
      <c r="AI80" s="316">
        <f>_xlfn.IFNA((VLOOKUP($A80,HN!$A:$BS,15,FALSE)/12),0)</f>
        <v>0</v>
      </c>
      <c r="AJ80" s="315">
        <f t="shared" si="76"/>
        <v>0</v>
      </c>
      <c r="AK80" s="315">
        <f t="shared" si="77"/>
        <v>0</v>
      </c>
      <c r="AL80" s="316"/>
      <c r="AM80" s="316">
        <f>_xlfn.IFNA(VLOOKUP($A80,'Cash Advances'!$A:$S,9,FALSE),0)</f>
        <v>0</v>
      </c>
      <c r="AN80" s="315">
        <f t="shared" si="68"/>
        <v>255654.40159578185</v>
      </c>
      <c r="AO80" s="308">
        <f t="shared" si="78"/>
        <v>0</v>
      </c>
      <c r="AP80" s="308"/>
      <c r="AQ80" s="309"/>
      <c r="AR80" s="309">
        <f>_xlfn.IFNA((VLOOKUP($A80,HN!$A:$K,8,FALSE)/12),0)</f>
        <v>130049.79166666664</v>
      </c>
      <c r="AS80" s="309">
        <f>_xlfn.IFNA((VLOOKUP($A80,HN!$A:$BS,14,FALSE)/12),0)</f>
        <v>0</v>
      </c>
      <c r="AT80" s="309">
        <f>_xlfn.IFNA(VLOOKUP($A80,'Post 16'!$A:$V,21,FALSE),0)/4</f>
        <v>0</v>
      </c>
      <c r="AU80" s="309"/>
      <c r="AV80" s="309">
        <f>_xlfn.IFNA((VLOOKUP($A80,HN!$A:$K,9,FALSE)/12),0)+_xlfn.IFNA((VLOOKUP($A80,HN!$A:$K,10,FALSE)/12),0)+_xlfn.IFNA(VLOOKUP(A80,HN!A:V,19,FALSE),0)+_xlfn.IFNA(VLOOKUP(A80,HN!A:V,20,FALSE),0)+_xlfn.IFNA(VLOOKUP(A80,HN!A:V,21,FALSE),0)</f>
        <v>807973.53300603852</v>
      </c>
      <c r="AW80" s="309">
        <f>_xlfn.IFNA((VLOOKUP($A80,HN!$A:$BS,15,FALSE)/12),0)</f>
        <v>0</v>
      </c>
      <c r="AX80" s="308">
        <f t="shared" si="79"/>
        <v>0</v>
      </c>
      <c r="AY80" s="308">
        <f t="shared" si="80"/>
        <v>0</v>
      </c>
      <c r="AZ80" s="309"/>
      <c r="BA80" s="309">
        <f>_xlfn.IFNA(VLOOKUP($A80,'Cash Advances'!$A:$S,10,FALSE),0)</f>
        <v>0</v>
      </c>
      <c r="BB80" s="308">
        <f t="shared" si="69"/>
        <v>938023.32467270514</v>
      </c>
      <c r="BC80" s="330">
        <f t="shared" si="81"/>
        <v>0</v>
      </c>
      <c r="BD80" s="330"/>
      <c r="BE80" s="331"/>
      <c r="BF80" s="331">
        <f>_xlfn.IFNA((VLOOKUP($A80,HN!$A:$K,8,FALSE)/12),0)</f>
        <v>130049.79166666664</v>
      </c>
      <c r="BG80" s="331">
        <f>_xlfn.IFNA((VLOOKUP($A80,HN!$A:$BS,14,FALSE)/12),0)</f>
        <v>0</v>
      </c>
      <c r="BH80" s="331">
        <f>_xlfn.IFNA(VLOOKUP($A80,'Post 16'!$A:$V,21,FALSE),0)/4</f>
        <v>0</v>
      </c>
      <c r="BI80" s="331"/>
      <c r="BJ80" s="331">
        <f>_xlfn.IFNA((VLOOKUP($A80,HN!$A:$K,9,FALSE)/12),0)+_xlfn.IFNA((VLOOKUP($A80,HN!$A:$K,10,FALSE)/12),0)</f>
        <v>125604.60992911522</v>
      </c>
      <c r="BK80" s="331">
        <f>_xlfn.IFNA((VLOOKUP($A80,HN!$A:$BS,15,FALSE)/12),0)</f>
        <v>0</v>
      </c>
      <c r="BL80" s="330">
        <f t="shared" si="82"/>
        <v>0</v>
      </c>
      <c r="BM80" s="330">
        <f t="shared" si="83"/>
        <v>0</v>
      </c>
      <c r="BN80" s="331"/>
      <c r="BO80" s="331">
        <f>_xlfn.IFNA(VLOOKUP(A80,'Cash Advances'!A:K,11,FALSE),0)</f>
        <v>0</v>
      </c>
      <c r="BP80" s="330">
        <f t="shared" si="70"/>
        <v>255654.40159578185</v>
      </c>
      <c r="BQ80" s="322">
        <f t="shared" si="84"/>
        <v>0</v>
      </c>
      <c r="BR80" s="322"/>
      <c r="BS80" s="323"/>
      <c r="BT80" s="323">
        <f>_xlfn.IFNA((VLOOKUP($A80,HN!$A:$K,8,FALSE)/12),0)</f>
        <v>130049.79166666664</v>
      </c>
      <c r="BU80" s="323">
        <f>_xlfn.IFNA((VLOOKUP($A80,HN!$A:$BS,14,FALSE)/12),0)</f>
        <v>0</v>
      </c>
      <c r="BV80" s="323">
        <f>(_xlfn.IFNA(VLOOKUP($A80,'Post 16'!$A:$AV,32,FALSE),0)/8)+_xlfn.IFNA(VLOOKUP($A80,'Post 16'!$A:$AR,40,FALSE),0)</f>
        <v>0</v>
      </c>
      <c r="BW80" s="323"/>
      <c r="BX80" s="323">
        <f>_xlfn.IFNA((VLOOKUP($A80,HN!$A:$K,9,FALSE)/12),0)+_xlfn.IFNA((VLOOKUP($A80,HN!$A:$K,10,FALSE)/12),0)</f>
        <v>125604.60992911522</v>
      </c>
      <c r="BY80" s="323">
        <f>_xlfn.IFNA((VLOOKUP($A80,HN!$A:$BS,15,FALSE)/12),0)</f>
        <v>0</v>
      </c>
      <c r="BZ80" s="322">
        <f t="shared" si="85"/>
        <v>0</v>
      </c>
      <c r="CA80" s="322">
        <f t="shared" si="86"/>
        <v>0</v>
      </c>
      <c r="CB80" s="323"/>
      <c r="CC80" s="323"/>
      <c r="CD80" s="322">
        <f t="shared" si="71"/>
        <v>255654.40159578185</v>
      </c>
      <c r="CE80" s="357">
        <f t="shared" si="87"/>
        <v>0</v>
      </c>
      <c r="CF80" s="357">
        <f>(VLOOKUP($A80,EY!$A:$BS,26,FALSE)-(VLOOKUP($A80,EY!A:CR,24,FALSE)*80%))+VLOOKUP($A80,EY!$A:$BS,42,FALSE)+(VLOOKUP($A80,EY!A:CC,74,FALSE)-VLOOKUP($A80,EY!A:CC,72,FALSE))</f>
        <v>0</v>
      </c>
      <c r="CG80" s="358"/>
      <c r="CH80" s="358">
        <f>_xlfn.IFNA((VLOOKUP($A80,HN!$A:$K,8,FALSE)/12),0)</f>
        <v>130049.79166666664</v>
      </c>
      <c r="CI80" s="358">
        <f>_xlfn.IFNA((VLOOKUP($A80,HN!$A:$BS,14,FALSE)/12),0)</f>
        <v>0</v>
      </c>
      <c r="CJ80" s="358">
        <f>(_xlfn.IFNA(VLOOKUP($A80,'Post 16'!$A:$AV,32,FALSE),0)/8)</f>
        <v>0</v>
      </c>
      <c r="CK80" s="358">
        <f>(VLOOKUP($A80,EY!A:CR,24,FALSE)*80%)+VLOOKUP($A80,EY!A:CC,72,FALSE)</f>
        <v>0</v>
      </c>
      <c r="CL80" s="358">
        <f>_xlfn.IFNA((VLOOKUP($A80,HN!$A:$K,9,FALSE)/12),0)+_xlfn.IFNA((VLOOKUP($A80,HN!$A:$K,10,FALSE)/12),0)</f>
        <v>125604.60992911522</v>
      </c>
      <c r="CM80" s="358">
        <f>_xlfn.IFNA((VLOOKUP($A80,HN!$A:$BS,15,FALSE)/12),0)</f>
        <v>0</v>
      </c>
      <c r="CN80" s="357">
        <f t="shared" si="88"/>
        <v>0</v>
      </c>
      <c r="CO80" s="357">
        <f t="shared" si="89"/>
        <v>0</v>
      </c>
      <c r="CP80" s="358">
        <f>_xlfn.IFNA(VLOOKUP(A80,'LA Deductions'!A:W,23,FALSE),0)</f>
        <v>-3291.75</v>
      </c>
      <c r="CQ80" s="358">
        <f>_xlfn.IFNA(VLOOKUP($A80,'Cash Advances'!$A:$S,13,FALSE),0)</f>
        <v>0</v>
      </c>
      <c r="CR80" s="358">
        <f>_xlfn.IFNA(VLOOKUP(A80,'LA Deductions'!A:AZ,25,FALSE),0)/9*3</f>
        <v>0</v>
      </c>
      <c r="CS80" s="357">
        <f t="shared" si="108"/>
        <v>252362.65159578185</v>
      </c>
      <c r="CT80" s="337">
        <f t="shared" si="90"/>
        <v>0</v>
      </c>
      <c r="CU80" s="337"/>
      <c r="CV80" s="338">
        <f>_xlfn.IFNA(VLOOKUP(A80,'LA Deductions'!$A$6:$AN$207,34,FALSE),0)</f>
        <v>0</v>
      </c>
      <c r="CW80" s="338">
        <f>_xlfn.IFNA((VLOOKUP($A80,HN!$A:$K,8,FALSE)/12),0)</f>
        <v>130049.79166666664</v>
      </c>
      <c r="CX80" s="338">
        <f>_xlfn.IFNA((VLOOKUP($A80,HN!$A:$BS,14,FALSE)/12),0)</f>
        <v>0</v>
      </c>
      <c r="CY80" s="338">
        <f>_xlfn.IFNA(VLOOKUP($A80,'Post 16'!$A:$AV,32,FALSE),0)/8</f>
        <v>0</v>
      </c>
      <c r="CZ80" s="338"/>
      <c r="DA80" s="338">
        <f>_xlfn.IFNA((VLOOKUP($A80,HN!$A:$K,9,FALSE)/12),0)+_xlfn.IFNA((VLOOKUP($A80,HN!$A:$K,10,FALSE)/12),0)</f>
        <v>125604.60992911522</v>
      </c>
      <c r="DB80" s="338">
        <f>_xlfn.IFNA((VLOOKUP($A80,HN!$A:$BS,15,FALSE)/12),0)</f>
        <v>0</v>
      </c>
      <c r="DC80" s="337">
        <f t="shared" si="91"/>
        <v>0</v>
      </c>
      <c r="DD80" s="337">
        <f t="shared" si="92"/>
        <v>0</v>
      </c>
      <c r="DE80" s="338"/>
      <c r="DF80" s="338">
        <f>_xlfn.IFNA(VLOOKUP($A80,'Cash Advances'!$A:$S,14,FALSE),0)</f>
        <v>0</v>
      </c>
      <c r="DG80" s="338">
        <f>(_xlfn.IFNA(VLOOKUP(A80,'LA Deductions'!A:AZ,25,FALSE),0)/9)+(_xlfn.IFNA(VLOOKUP(A80,'LA Deductions'!A:AZ,26,FALSE),0))</f>
        <v>0</v>
      </c>
      <c r="DH80" s="337">
        <f t="shared" si="109"/>
        <v>255654.40159578185</v>
      </c>
      <c r="DI80" s="330">
        <f t="shared" si="93"/>
        <v>0</v>
      </c>
      <c r="DJ80" s="330"/>
      <c r="DK80" s="331"/>
      <c r="DL80" s="331">
        <f>_xlfn.IFNA((VLOOKUP($A80,HN!$A:$K,8,FALSE)/12),0)+_xlfn.IFNA((VLOOKUP($A80,HN!$A:$AF,32,FALSE)*8/12),0)</f>
        <v>136191.45833333331</v>
      </c>
      <c r="DM80" s="331">
        <f>_xlfn.IFNA((VLOOKUP($A80,HN!$A:$BS,14,FALSE)/12),0)+_xlfn.IFNA(VLOOKUP($A80,HN!$A:$BS,31,FALSE),0)</f>
        <v>0</v>
      </c>
      <c r="DN80" s="331">
        <f>_xlfn.IFNA(VLOOKUP($A80,'Post 16'!$A:$AV,32,FALSE),0)/8</f>
        <v>0</v>
      </c>
      <c r="DO80" s="331"/>
      <c r="DP80" s="331">
        <f>_xlfn.IFNA((VLOOKUP($A80,HN!$A:$K,9,FALSE)/12),0)+_xlfn.IFNA((VLOOKUP($A80,HN!$A:$K,10,FALSE)/12),0)+_xlfn.IFNA((VLOOKUP($A80,HN!$A:$BZ,33,FALSE)*8/12),0)</f>
        <v>564867.1290769967</v>
      </c>
      <c r="DQ80" s="331">
        <f>_xlfn.IFNA((VLOOKUP($A80,HN!$A:$BS,15,FALSE)/12),0)</f>
        <v>0</v>
      </c>
      <c r="DR80" s="330">
        <f t="shared" si="94"/>
        <v>0</v>
      </c>
      <c r="DS80" s="330">
        <f t="shared" si="95"/>
        <v>0</v>
      </c>
      <c r="DT80" s="331"/>
      <c r="DU80" s="331"/>
      <c r="DV80" s="331">
        <f>(_xlfn.IFNA(VLOOKUP(A80,'LA Deductions'!A:AZ,25,FALSE),0)/9)+_xlfn.IFNA(VLOOKUP(A80,'LA Deductions'!A:AZ,27,FALSE),0)</f>
        <v>0</v>
      </c>
      <c r="DW80" s="330">
        <f t="shared" si="110"/>
        <v>701058.58741033007</v>
      </c>
      <c r="DX80" s="344">
        <f t="shared" si="96"/>
        <v>0</v>
      </c>
      <c r="DY80" s="344"/>
      <c r="DZ80" s="345"/>
      <c r="EA80" s="345">
        <f>_xlfn.IFNA((VLOOKUP($A80,HN!$A:$K,8,FALSE)/12),0)+_xlfn.IFNA((VLOOKUP($A80,HN!$A:$AF,32,FALSE)*1/12),0)</f>
        <v>130817.49999999997</v>
      </c>
      <c r="EB80" s="345">
        <f>_xlfn.IFNA((VLOOKUP($A80,HN!$A:$BS,14,FALSE)/12),0)</f>
        <v>0</v>
      </c>
      <c r="EC80" s="345">
        <f>_xlfn.IFNA(VLOOKUP($A80,'Post 16'!$A:$AV,32,FALSE),0)/8</f>
        <v>0</v>
      </c>
      <c r="ED80" s="345"/>
      <c r="EE80" s="345">
        <f>_xlfn.IFNA((VLOOKUP($A80,HN!$A:$K,9,FALSE)/12),0)+_xlfn.IFNA((VLOOKUP($A80,HN!$A:$K,10,FALSE)/12),0)+_xlfn.IFNA((VLOOKUP($A80,HN!$A:$BZ,33,FALSE)/12),0)</f>
        <v>180512.42482260041</v>
      </c>
      <c r="EF80" s="345">
        <f>_xlfn.IFNA((VLOOKUP($A80,HN!$A:$BS,15,FALSE)/12),0)</f>
        <v>0</v>
      </c>
      <c r="EG80" s="344">
        <f t="shared" si="97"/>
        <v>0</v>
      </c>
      <c r="EH80" s="344">
        <f t="shared" si="98"/>
        <v>0</v>
      </c>
      <c r="EI80" s="345"/>
      <c r="EJ80" s="345">
        <f>_xlfn.IFNA(VLOOKUP(A80,'Cash Advances'!A:P,16,FALSE),0)</f>
        <v>0</v>
      </c>
      <c r="EK80" s="345">
        <f>_xlfn.IFNA(VLOOKUP(A80,'LA Deductions'!A:AZ,25,FALSE),0)/9</f>
        <v>0</v>
      </c>
      <c r="EL80" s="344">
        <f t="shared" si="111"/>
        <v>311329.92482260038</v>
      </c>
      <c r="EM80" s="308">
        <f t="shared" si="99"/>
        <v>0</v>
      </c>
      <c r="EN80" s="308">
        <f>((VLOOKUP($A80,EY!$A:$BS,35,FALSE)-(VLOOKUP($A80,EY!$A:$BS,33,FALSE)*80%))+VLOOKUP($A80,EY!$A:$BS,43,FALSE))+(VLOOKUP(A80,EY!A:DF,110,FALSE)-VLOOKUP(A80,EY!A:DD,108,FALSE))+(VLOOKUP(A80,EY!A:CE,83,FALSE)-VLOOKUP(A80,EY!A:CC,81,FALSE))</f>
        <v>0</v>
      </c>
      <c r="EO80" s="309"/>
      <c r="EP80" s="309">
        <f>_xlfn.IFNA((VLOOKUP($A80,HN!$A:$K,8,FALSE)/12),0)+_xlfn.IFNA((VLOOKUP($A80,HN!$A:$AF,32,FALSE)*1/12),0)</f>
        <v>130817.49999999997</v>
      </c>
      <c r="EQ80" s="309">
        <f>_xlfn.IFNA((VLOOKUP($A80,HN!$A:$BS,14,FALSE)/12),0)+_xlfn.IFNA((VLOOKUP($A80,HN!$A:$BS,34,FALSE)/3),0)</f>
        <v>0</v>
      </c>
      <c r="ER80" s="309">
        <f>_xlfn.IFNA(VLOOKUP($A80,'Post 16'!$A:$AV,32,FALSE),0)/8</f>
        <v>0</v>
      </c>
      <c r="ES80" s="309">
        <f>((VLOOKUP($A80,EY!A:EV,33,FALSE)*80%))+VLOOKUP(A80,EY!A:DD,108,FALSE)+VLOOKUP(A80,EY!A:CC,81,FALSE)</f>
        <v>0</v>
      </c>
      <c r="ET80" s="309">
        <f>_xlfn.IFNA((VLOOKUP($A80,HN!$A:$K,9,FALSE)/12),0)+_xlfn.IFNA((VLOOKUP($A80,HN!$A:$K,10,FALSE)/12),0)+_xlfn.IFNA((VLOOKUP($A80,HN!$A:$BZ,33,FALSE)/12),0)</f>
        <v>180512.42482260041</v>
      </c>
      <c r="EU80" s="309">
        <f>_xlfn.IFNA((VLOOKUP($A80,HN!$A:$BS,15,FALSE)/12),0)</f>
        <v>0</v>
      </c>
      <c r="EV80" s="308">
        <f t="shared" si="100"/>
        <v>0</v>
      </c>
      <c r="EW80" s="308">
        <f t="shared" si="101"/>
        <v>0</v>
      </c>
      <c r="EX80" s="309"/>
      <c r="EY80" s="309">
        <f>_xlfn.IFNA(VLOOKUP($A80,'Cash Advances'!$A:$S,17,FALSE),0)</f>
        <v>0</v>
      </c>
      <c r="EZ80" s="309">
        <f>_xlfn.IFNA(VLOOKUP(A80,'LA Deductions'!A:AZ,25,FALSE),0)/9</f>
        <v>0</v>
      </c>
      <c r="FA80" s="308">
        <f t="shared" si="112"/>
        <v>311329.92482260038</v>
      </c>
      <c r="FB80" s="315">
        <f t="shared" si="102"/>
        <v>0</v>
      </c>
      <c r="FC80" s="315"/>
      <c r="FD80" s="316"/>
      <c r="FE80" s="316">
        <f>_xlfn.IFNA((VLOOKUP($A80,HN!$A:$K,8,FALSE)/12),0)+_xlfn.IFNA((VLOOKUP($A80,HN!$A:$AF,32,FALSE)*1/12),0)</f>
        <v>130817.49999999997</v>
      </c>
      <c r="FF80" s="316">
        <f>_xlfn.IFNA((VLOOKUP($A80,HN!$A:$BS,14,FALSE)/12),0)+_xlfn.IFNA((VLOOKUP($A80,HN!$A:$BS,34,FALSE)/3),0)</f>
        <v>0</v>
      </c>
      <c r="FG80" s="316">
        <f>_xlfn.IFNA(VLOOKUP($A80,'Post 16'!$A:$AV,32,FALSE),0)/8</f>
        <v>0</v>
      </c>
      <c r="FH80" s="316"/>
      <c r="FI80" s="316">
        <f>_xlfn.IFNA((VLOOKUP($A80,HN!$A:$K,9,FALSE)/12),0)+_xlfn.IFNA((VLOOKUP($A80,HN!$A:$K,10,FALSE)/12),0)+_xlfn.IFNA((VLOOKUP($A80,HN!$A:$BZ,33,FALSE)/12),0)+_xlfn.IFNA((VLOOKUP($A80,HN!$A:$BZ,35,FALSE)/2),0)</f>
        <v>213283.7598226004</v>
      </c>
      <c r="FJ80" s="316">
        <f>_xlfn.IFNA((VLOOKUP($A80,HN!$A:$BS,15,FALSE)/12),0)+_xlfn.IFNA((VLOOKUP($A80,HN!$A:$CZ,36,FALSE)/2),0)</f>
        <v>0</v>
      </c>
      <c r="FK80" s="315">
        <f t="shared" si="103"/>
        <v>0</v>
      </c>
      <c r="FL80" s="315">
        <f t="shared" si="104"/>
        <v>0</v>
      </c>
      <c r="FM80" s="316"/>
      <c r="FN80" s="316">
        <f>_xlfn.IFNA(VLOOKUP($A80,'Cash Advances'!$A:$S,18,FALSE),0)</f>
        <v>0</v>
      </c>
      <c r="FO80" s="316">
        <f>_xlfn.IFNA(VLOOKUP(A80,'LA Deductions'!A:AZ,25,FALSE),0)/9</f>
        <v>0</v>
      </c>
      <c r="FP80" s="315">
        <f t="shared" si="113"/>
        <v>344101.2598226004</v>
      </c>
      <c r="FQ80" s="322">
        <f t="shared" si="105"/>
        <v>0</v>
      </c>
      <c r="FR80" s="322"/>
      <c r="FS80" s="323"/>
      <c r="FT80" s="323">
        <f>_xlfn.IFNA((VLOOKUP($A80,HN!$A:$K,8,FALSE)/12),0)+_xlfn.IFNA((VLOOKUP($A80,HN!$A:$AF,32,FALSE)*1/12),0)</f>
        <v>130817.49999999997</v>
      </c>
      <c r="FU80" s="323">
        <f>_xlfn.IFNA((VLOOKUP($A80,HN!$A:$BS,14,FALSE)/12),0)+_xlfn.IFNA((VLOOKUP($A80,HN!$A:$BS,34,FALSE)/3),0)</f>
        <v>0</v>
      </c>
      <c r="FV80" s="323">
        <f>_xlfn.IFNA(VLOOKUP($A80,'Post 16'!$A:$AV,32,FALSE),0)/8</f>
        <v>0</v>
      </c>
      <c r="FW80" s="323"/>
      <c r="FX80" s="323">
        <f>_xlfn.IFNA((VLOOKUP($A80,HN!$A:$K,9,FALSE)/12),0)+_xlfn.IFNA((VLOOKUP($A80,HN!$A:$K,10,FALSE)/12),0)+_xlfn.IFNA((VLOOKUP($A80,HN!$A:$BZ,33,FALSE)/12),0)+_xlfn.IFNA((VLOOKUP($A80,HN!$A:$BZ,35,FALSE)/2),0)</f>
        <v>213283.7598226004</v>
      </c>
      <c r="FY80" s="323">
        <f>_xlfn.IFNA((VLOOKUP($A80,HN!$A:$BS,15,FALSE)/12),0)+_xlfn.IFNA((VLOOKUP($A80,HN!$A:$CZ,36,FALSE)/2),0)</f>
        <v>0</v>
      </c>
      <c r="FZ80" s="322">
        <f t="shared" si="106"/>
        <v>0</v>
      </c>
      <c r="GA80" s="322">
        <f t="shared" si="107"/>
        <v>0</v>
      </c>
      <c r="GB80" s="323"/>
      <c r="GC80" s="323"/>
      <c r="GD80" s="323">
        <f>_xlfn.IFNA(VLOOKUP(A80,'LA Deductions'!A:AZ,25,FALSE),0)/9</f>
        <v>0</v>
      </c>
      <c r="GE80" s="322">
        <f t="shared" si="114"/>
        <v>344101.2598226004</v>
      </c>
      <c r="GG80" s="146">
        <f t="shared" si="115"/>
        <v>1569809.9999999998</v>
      </c>
      <c r="GH80" s="146">
        <f t="shared" si="115"/>
        <v>0</v>
      </c>
      <c r="GI80" s="146">
        <f t="shared" si="115"/>
        <v>2914060.6909481292</v>
      </c>
      <c r="GJ80" s="146">
        <f t="shared" si="115"/>
        <v>0</v>
      </c>
      <c r="GK80" s="146">
        <f t="shared" si="115"/>
        <v>0</v>
      </c>
      <c r="GL80" s="146">
        <f t="shared" si="115"/>
        <v>-3291.75</v>
      </c>
      <c r="GN80" s="146">
        <f t="shared" si="116"/>
        <v>1569809.9999999998</v>
      </c>
      <c r="GO80" s="146">
        <f t="shared" si="116"/>
        <v>0</v>
      </c>
      <c r="GP80" s="146">
        <f t="shared" si="116"/>
        <v>2914060.6909481292</v>
      </c>
      <c r="GQ80" s="146">
        <f t="shared" si="116"/>
        <v>0</v>
      </c>
      <c r="GR80" s="146">
        <f t="shared" si="116"/>
        <v>0</v>
      </c>
      <c r="GS80" s="146">
        <f t="shared" si="116"/>
        <v>-3291.75</v>
      </c>
      <c r="GU80" s="146"/>
      <c r="GV80" s="57"/>
    </row>
    <row r="81" spans="1:204">
      <c r="A81" s="185">
        <v>2462</v>
      </c>
      <c r="B81" s="185">
        <v>103388</v>
      </c>
      <c r="C81" s="185" t="s">
        <v>182</v>
      </c>
      <c r="D81" s="2" t="s">
        <v>183</v>
      </c>
      <c r="E81" s="191" t="s">
        <v>32</v>
      </c>
      <c r="F81" s="191" t="s">
        <v>912</v>
      </c>
      <c r="H81" s="279">
        <f>_xlfn.IFNA(VLOOKUP($A81,ISB!$A$4:$BY$454,67,FALSE),0)</f>
        <v>2149224.42</v>
      </c>
      <c r="I81" s="279">
        <f>_xlfn.IFNA(VLOOKUP($A81,ISB!$A$4:$BY$454,72,FALSE),0)</f>
        <v>-11005.759999999998</v>
      </c>
      <c r="J81" s="279">
        <f>-_xlfn.IFNA(VLOOKUP($A81,ISB!$A$4:$BY$454,76,FALSE),0)</f>
        <v>-58214.42</v>
      </c>
      <c r="K81" s="279">
        <f>_xlfn.IFNA(VLOOKUP($A81,ISB!$A$4:$BY$454,77,FALSE),0)</f>
        <v>2080004.2400000002</v>
      </c>
      <c r="M81" s="301">
        <f t="shared" si="72"/>
        <v>179102.035</v>
      </c>
      <c r="N81" s="301">
        <f>VLOOKUP($A81,EY!$A:$H,8,FALSE)+(VLOOKUP($A81,EY!$A:$BS,17,FALSE)-S81)+VLOOKUP($A81,EY!$A:$BS,41,FALSE)</f>
        <v>0</v>
      </c>
      <c r="O81" s="302"/>
      <c r="P81" s="302">
        <f>_xlfn.IFNA((VLOOKUP($A81,HN!$A:$K,8,FALSE)/12),0)</f>
        <v>0</v>
      </c>
      <c r="Q81" s="302">
        <f>_xlfn.IFNA((VLOOKUP($A81,HN!$A:$BS,14,FALSE)/12),0)</f>
        <v>0</v>
      </c>
      <c r="R81" s="302">
        <f>_xlfn.IFNA(VLOOKUP($A81,'Post 16'!$A:$V,21,FALSE),0)/4</f>
        <v>0</v>
      </c>
      <c r="S81" s="302">
        <f>VLOOKUP($A81,EY!A:Q,15,FALSE)*80%</f>
        <v>0</v>
      </c>
      <c r="T81" s="302">
        <f>_xlfn.IFNA((VLOOKUP($A81,HN!$A:$K,9,FALSE)/12),0)+_xlfn.IFNA((VLOOKUP($A81,HN!$A:$K,10,FALSE)/12),0)</f>
        <v>0</v>
      </c>
      <c r="U81" s="302">
        <f>_xlfn.IFNA((VLOOKUP($A81,HN!$A:$BS,15,FALSE)/12),0)</f>
        <v>0</v>
      </c>
      <c r="V81" s="301">
        <f t="shared" si="73"/>
        <v>-917.14666666666653</v>
      </c>
      <c r="W81" s="301">
        <f t="shared" si="74"/>
        <v>-4851.2016666666668</v>
      </c>
      <c r="X81" s="302"/>
      <c r="Y81" s="302">
        <f>_xlfn.IFNA(VLOOKUP($A81,'Cash Advances'!$A:$S,8,FALSE),0)</f>
        <v>0</v>
      </c>
      <c r="Z81" s="301">
        <f t="shared" si="67"/>
        <v>173333.68666666668</v>
      </c>
      <c r="AA81" s="315">
        <f t="shared" si="75"/>
        <v>179102.035</v>
      </c>
      <c r="AB81" s="315"/>
      <c r="AC81" s="316"/>
      <c r="AD81" s="316">
        <f>_xlfn.IFNA((VLOOKUP($A81,HN!$A:$K,8,FALSE)/12),0)</f>
        <v>0</v>
      </c>
      <c r="AE81" s="316">
        <f>_xlfn.IFNA((VLOOKUP($A81,HN!$A:$BS,14,FALSE)/12),0)</f>
        <v>0</v>
      </c>
      <c r="AF81" s="316">
        <f>_xlfn.IFNA(VLOOKUP($A81,'Post 16'!$A:$V,21,FALSE),0)/4</f>
        <v>0</v>
      </c>
      <c r="AG81" s="316"/>
      <c r="AH81" s="316">
        <f>_xlfn.IFNA((VLOOKUP($A81,HN!$A:$K,9,FALSE)/12),0)+_xlfn.IFNA((VLOOKUP($A81,HN!$A:$K,10,FALSE)/12),0)</f>
        <v>0</v>
      </c>
      <c r="AI81" s="316">
        <f>_xlfn.IFNA((VLOOKUP($A81,HN!$A:$BS,15,FALSE)/12),0)</f>
        <v>0</v>
      </c>
      <c r="AJ81" s="315">
        <f t="shared" si="76"/>
        <v>-917.14666666666653</v>
      </c>
      <c r="AK81" s="315">
        <f t="shared" si="77"/>
        <v>-4851.2016666666668</v>
      </c>
      <c r="AL81" s="316"/>
      <c r="AM81" s="316">
        <f>_xlfn.IFNA(VLOOKUP($A81,'Cash Advances'!$A:$S,9,FALSE),0)</f>
        <v>0</v>
      </c>
      <c r="AN81" s="315">
        <f t="shared" si="68"/>
        <v>173333.68666666668</v>
      </c>
      <c r="AO81" s="308">
        <f t="shared" si="78"/>
        <v>179102.035</v>
      </c>
      <c r="AP81" s="308"/>
      <c r="AQ81" s="309"/>
      <c r="AR81" s="309">
        <f>_xlfn.IFNA((VLOOKUP($A81,HN!$A:$K,8,FALSE)/12),0)</f>
        <v>0</v>
      </c>
      <c r="AS81" s="309">
        <f>_xlfn.IFNA((VLOOKUP($A81,HN!$A:$BS,14,FALSE)/12),0)</f>
        <v>0</v>
      </c>
      <c r="AT81" s="309">
        <f>_xlfn.IFNA(VLOOKUP($A81,'Post 16'!$A:$V,21,FALSE),0)/4</f>
        <v>0</v>
      </c>
      <c r="AU81" s="309"/>
      <c r="AV81" s="309">
        <f>_xlfn.IFNA((VLOOKUP($A81,HN!$A:$K,9,FALSE)/12),0)+_xlfn.IFNA((VLOOKUP($A81,HN!$A:$K,10,FALSE)/12),0)+_xlfn.IFNA(VLOOKUP(A81,HN!A:V,19,FALSE),0)+_xlfn.IFNA(VLOOKUP(A81,HN!A:V,20,FALSE),0)+_xlfn.IFNA(VLOOKUP(A81,HN!A:V,21,FALSE),0)</f>
        <v>0</v>
      </c>
      <c r="AW81" s="309">
        <f>_xlfn.IFNA((VLOOKUP($A81,HN!$A:$BS,15,FALSE)/12),0)</f>
        <v>0</v>
      </c>
      <c r="AX81" s="308">
        <f t="shared" si="79"/>
        <v>-917.14666666666653</v>
      </c>
      <c r="AY81" s="308">
        <f t="shared" si="80"/>
        <v>-4851.2016666666668</v>
      </c>
      <c r="AZ81" s="309"/>
      <c r="BA81" s="309">
        <f>_xlfn.IFNA(VLOOKUP($A81,'Cash Advances'!$A:$S,10,FALSE),0)</f>
        <v>0</v>
      </c>
      <c r="BB81" s="308">
        <f t="shared" si="69"/>
        <v>173333.68666666668</v>
      </c>
      <c r="BC81" s="330">
        <f t="shared" si="81"/>
        <v>179102.035</v>
      </c>
      <c r="BD81" s="330"/>
      <c r="BE81" s="331"/>
      <c r="BF81" s="331">
        <f>_xlfn.IFNA((VLOOKUP($A81,HN!$A:$K,8,FALSE)/12),0)</f>
        <v>0</v>
      </c>
      <c r="BG81" s="331">
        <f>_xlfn.IFNA((VLOOKUP($A81,HN!$A:$BS,14,FALSE)/12),0)</f>
        <v>0</v>
      </c>
      <c r="BH81" s="331">
        <f>_xlfn.IFNA(VLOOKUP($A81,'Post 16'!$A:$V,21,FALSE),0)/4</f>
        <v>0</v>
      </c>
      <c r="BI81" s="331"/>
      <c r="BJ81" s="331">
        <f>_xlfn.IFNA((VLOOKUP($A81,HN!$A:$K,9,FALSE)/12),0)+_xlfn.IFNA((VLOOKUP($A81,HN!$A:$K,10,FALSE)/12),0)</f>
        <v>0</v>
      </c>
      <c r="BK81" s="331">
        <f>_xlfn.IFNA((VLOOKUP($A81,HN!$A:$BS,15,FALSE)/12),0)</f>
        <v>0</v>
      </c>
      <c r="BL81" s="330">
        <f t="shared" si="82"/>
        <v>-917.14666666666653</v>
      </c>
      <c r="BM81" s="330">
        <f t="shared" si="83"/>
        <v>-4851.2016666666668</v>
      </c>
      <c r="BN81" s="331"/>
      <c r="BO81" s="331">
        <f>_xlfn.IFNA(VLOOKUP(A81,'Cash Advances'!A:K,11,FALSE),0)</f>
        <v>0</v>
      </c>
      <c r="BP81" s="330">
        <f t="shared" si="70"/>
        <v>173333.68666666668</v>
      </c>
      <c r="BQ81" s="322">
        <f t="shared" si="84"/>
        <v>179102.035</v>
      </c>
      <c r="BR81" s="322"/>
      <c r="BS81" s="323"/>
      <c r="BT81" s="323">
        <f>_xlfn.IFNA((VLOOKUP($A81,HN!$A:$K,8,FALSE)/12),0)</f>
        <v>0</v>
      </c>
      <c r="BU81" s="323">
        <f>_xlfn.IFNA((VLOOKUP($A81,HN!$A:$BS,14,FALSE)/12),0)</f>
        <v>0</v>
      </c>
      <c r="BV81" s="323">
        <f>(_xlfn.IFNA(VLOOKUP($A81,'Post 16'!$A:$AV,32,FALSE),0)/8)+_xlfn.IFNA(VLOOKUP($A81,'Post 16'!$A:$AR,40,FALSE),0)</f>
        <v>0</v>
      </c>
      <c r="BW81" s="323"/>
      <c r="BX81" s="323">
        <f>_xlfn.IFNA((VLOOKUP($A81,HN!$A:$K,9,FALSE)/12),0)+_xlfn.IFNA((VLOOKUP($A81,HN!$A:$K,10,FALSE)/12),0)</f>
        <v>0</v>
      </c>
      <c r="BY81" s="323">
        <f>_xlfn.IFNA((VLOOKUP($A81,HN!$A:$BS,15,FALSE)/12),0)</f>
        <v>0</v>
      </c>
      <c r="BZ81" s="322">
        <f t="shared" si="85"/>
        <v>-917.14666666666653</v>
      </c>
      <c r="CA81" s="322">
        <f t="shared" si="86"/>
        <v>-4851.2016666666668</v>
      </c>
      <c r="CB81" s="323"/>
      <c r="CC81" s="323"/>
      <c r="CD81" s="322">
        <f t="shared" si="71"/>
        <v>173333.68666666668</v>
      </c>
      <c r="CE81" s="357">
        <f t="shared" si="87"/>
        <v>179102.035</v>
      </c>
      <c r="CF81" s="357">
        <f>(VLOOKUP($A81,EY!$A:$BS,26,FALSE)-(VLOOKUP($A81,EY!A:CR,24,FALSE)*80%))+VLOOKUP($A81,EY!$A:$BS,42,FALSE)+(VLOOKUP($A81,EY!A:CC,74,FALSE)-VLOOKUP($A81,EY!A:CC,72,FALSE))</f>
        <v>0</v>
      </c>
      <c r="CG81" s="358"/>
      <c r="CH81" s="358">
        <f>_xlfn.IFNA((VLOOKUP($A81,HN!$A:$K,8,FALSE)/12),0)</f>
        <v>0</v>
      </c>
      <c r="CI81" s="358">
        <f>_xlfn.IFNA((VLOOKUP($A81,HN!$A:$BS,14,FALSE)/12),0)</f>
        <v>0</v>
      </c>
      <c r="CJ81" s="358">
        <f>(_xlfn.IFNA(VLOOKUP($A81,'Post 16'!$A:$AV,32,FALSE),0)/8)</f>
        <v>0</v>
      </c>
      <c r="CK81" s="358">
        <f>(VLOOKUP($A81,EY!A:CR,24,FALSE)*80%)+VLOOKUP($A81,EY!A:CC,72,FALSE)</f>
        <v>0</v>
      </c>
      <c r="CL81" s="358">
        <f>_xlfn.IFNA((VLOOKUP($A81,HN!$A:$K,9,FALSE)/12),0)+_xlfn.IFNA((VLOOKUP($A81,HN!$A:$K,10,FALSE)/12),0)</f>
        <v>0</v>
      </c>
      <c r="CM81" s="358">
        <f>_xlfn.IFNA((VLOOKUP($A81,HN!$A:$BS,15,FALSE)/12),0)</f>
        <v>0</v>
      </c>
      <c r="CN81" s="357">
        <f t="shared" si="88"/>
        <v>-917.14666666666653</v>
      </c>
      <c r="CO81" s="357">
        <f t="shared" si="89"/>
        <v>-4851.2016666666668</v>
      </c>
      <c r="CP81" s="358">
        <f>_xlfn.IFNA(VLOOKUP(A81,'LA Deductions'!A:W,23,FALSE),0)</f>
        <v>-11394</v>
      </c>
      <c r="CQ81" s="358">
        <f>_xlfn.IFNA(VLOOKUP($A81,'Cash Advances'!$A:$S,13,FALSE),0)</f>
        <v>0</v>
      </c>
      <c r="CR81" s="358">
        <f>_xlfn.IFNA(VLOOKUP(A81,'LA Deductions'!A:AZ,25,FALSE),0)/9*3</f>
        <v>0</v>
      </c>
      <c r="CS81" s="357">
        <f t="shared" si="108"/>
        <v>161939.68666666668</v>
      </c>
      <c r="CT81" s="337">
        <f t="shared" si="90"/>
        <v>179102.035</v>
      </c>
      <c r="CU81" s="337"/>
      <c r="CV81" s="338">
        <f>_xlfn.IFNA(VLOOKUP(A81,'LA Deductions'!$A$6:$AN$207,34,FALSE),0)</f>
        <v>0</v>
      </c>
      <c r="CW81" s="338">
        <f>_xlfn.IFNA((VLOOKUP($A81,HN!$A:$K,8,FALSE)/12),0)</f>
        <v>0</v>
      </c>
      <c r="CX81" s="338">
        <f>_xlfn.IFNA((VLOOKUP($A81,HN!$A:$BS,14,FALSE)/12),0)</f>
        <v>0</v>
      </c>
      <c r="CY81" s="338">
        <f>_xlfn.IFNA(VLOOKUP($A81,'Post 16'!$A:$AV,32,FALSE),0)/8</f>
        <v>0</v>
      </c>
      <c r="CZ81" s="338"/>
      <c r="DA81" s="338">
        <f>_xlfn.IFNA((VLOOKUP($A81,HN!$A:$K,9,FALSE)/12),0)+_xlfn.IFNA((VLOOKUP($A81,HN!$A:$K,10,FALSE)/12),0)</f>
        <v>0</v>
      </c>
      <c r="DB81" s="338">
        <f>_xlfn.IFNA((VLOOKUP($A81,HN!$A:$BS,15,FALSE)/12),0)</f>
        <v>0</v>
      </c>
      <c r="DC81" s="337">
        <f t="shared" si="91"/>
        <v>-917.14666666666653</v>
      </c>
      <c r="DD81" s="337">
        <f t="shared" si="92"/>
        <v>-4851.2016666666668</v>
      </c>
      <c r="DE81" s="338"/>
      <c r="DF81" s="338">
        <f>_xlfn.IFNA(VLOOKUP($A81,'Cash Advances'!$A:$S,14,FALSE),0)</f>
        <v>0</v>
      </c>
      <c r="DG81" s="338">
        <f>(_xlfn.IFNA(VLOOKUP(A81,'LA Deductions'!A:AZ,25,FALSE),0)/9)+(_xlfn.IFNA(VLOOKUP(A81,'LA Deductions'!A:AZ,26,FALSE),0))</f>
        <v>0</v>
      </c>
      <c r="DH81" s="337">
        <f t="shared" si="109"/>
        <v>173333.68666666668</v>
      </c>
      <c r="DI81" s="330">
        <f t="shared" si="93"/>
        <v>179102.035</v>
      </c>
      <c r="DJ81" s="330"/>
      <c r="DK81" s="331"/>
      <c r="DL81" s="331">
        <f>_xlfn.IFNA((VLOOKUP($A81,HN!$A:$K,8,FALSE)/12),0)+_xlfn.IFNA((VLOOKUP($A81,HN!$A:$AF,32,FALSE)*8/12),0)</f>
        <v>0</v>
      </c>
      <c r="DM81" s="331">
        <f>_xlfn.IFNA((VLOOKUP($A81,HN!$A:$BS,14,FALSE)/12),0)+_xlfn.IFNA(VLOOKUP($A81,HN!$A:$BS,31,FALSE),0)</f>
        <v>0</v>
      </c>
      <c r="DN81" s="331">
        <f>_xlfn.IFNA(VLOOKUP($A81,'Post 16'!$A:$AV,32,FALSE),0)/8</f>
        <v>0</v>
      </c>
      <c r="DO81" s="331"/>
      <c r="DP81" s="331">
        <f>_xlfn.IFNA((VLOOKUP($A81,HN!$A:$K,9,FALSE)/12),0)+_xlfn.IFNA((VLOOKUP($A81,HN!$A:$K,10,FALSE)/12),0)+_xlfn.IFNA((VLOOKUP($A81,HN!$A:$BZ,33,FALSE)*8/12),0)</f>
        <v>0</v>
      </c>
      <c r="DQ81" s="331">
        <f>_xlfn.IFNA((VLOOKUP($A81,HN!$A:$BS,15,FALSE)/12),0)</f>
        <v>0</v>
      </c>
      <c r="DR81" s="330">
        <f t="shared" si="94"/>
        <v>-917.14666666666653</v>
      </c>
      <c r="DS81" s="330">
        <f t="shared" si="95"/>
        <v>-4851.2016666666668</v>
      </c>
      <c r="DT81" s="331"/>
      <c r="DU81" s="331"/>
      <c r="DV81" s="331">
        <f>(_xlfn.IFNA(VLOOKUP(A81,'LA Deductions'!A:AZ,25,FALSE),0)/9)+_xlfn.IFNA(VLOOKUP(A81,'LA Deductions'!A:AZ,27,FALSE),0)</f>
        <v>0</v>
      </c>
      <c r="DW81" s="330">
        <f t="shared" si="110"/>
        <v>173333.68666666668</v>
      </c>
      <c r="DX81" s="344">
        <f t="shared" si="96"/>
        <v>179102.035</v>
      </c>
      <c r="DY81" s="344"/>
      <c r="DZ81" s="345"/>
      <c r="EA81" s="345">
        <f>_xlfn.IFNA((VLOOKUP($A81,HN!$A:$K,8,FALSE)/12),0)+_xlfn.IFNA((VLOOKUP($A81,HN!$A:$AF,32,FALSE)*1/12),0)</f>
        <v>0</v>
      </c>
      <c r="EB81" s="345">
        <f>_xlfn.IFNA((VLOOKUP($A81,HN!$A:$BS,14,FALSE)/12),0)</f>
        <v>0</v>
      </c>
      <c r="EC81" s="345">
        <f>_xlfn.IFNA(VLOOKUP($A81,'Post 16'!$A:$AV,32,FALSE),0)/8</f>
        <v>0</v>
      </c>
      <c r="ED81" s="345"/>
      <c r="EE81" s="345">
        <f>_xlfn.IFNA((VLOOKUP($A81,HN!$A:$K,9,FALSE)/12),0)+_xlfn.IFNA((VLOOKUP($A81,HN!$A:$K,10,FALSE)/12),0)+_xlfn.IFNA((VLOOKUP($A81,HN!$A:$BZ,33,FALSE)/12),0)</f>
        <v>0</v>
      </c>
      <c r="EF81" s="345">
        <f>_xlfn.IFNA((VLOOKUP($A81,HN!$A:$BS,15,FALSE)/12),0)</f>
        <v>0</v>
      </c>
      <c r="EG81" s="344">
        <f t="shared" si="97"/>
        <v>-917.14666666666653</v>
      </c>
      <c r="EH81" s="344">
        <f t="shared" si="98"/>
        <v>-4851.2016666666668</v>
      </c>
      <c r="EI81" s="345"/>
      <c r="EJ81" s="345">
        <f>_xlfn.IFNA(VLOOKUP(A81,'Cash Advances'!A:P,16,FALSE),0)</f>
        <v>0</v>
      </c>
      <c r="EK81" s="345">
        <f>_xlfn.IFNA(VLOOKUP(A81,'LA Deductions'!A:AZ,25,FALSE),0)/9</f>
        <v>0</v>
      </c>
      <c r="EL81" s="344">
        <f t="shared" si="111"/>
        <v>173333.68666666668</v>
      </c>
      <c r="EM81" s="308">
        <f t="shared" si="99"/>
        <v>179102.035</v>
      </c>
      <c r="EN81" s="308">
        <f>((VLOOKUP($A81,EY!$A:$BS,35,FALSE)-(VLOOKUP($A81,EY!$A:$BS,33,FALSE)*80%))+VLOOKUP($A81,EY!$A:$BS,43,FALSE))+(VLOOKUP(A81,EY!A:DF,110,FALSE)-VLOOKUP(A81,EY!A:DD,108,FALSE))+(VLOOKUP(A81,EY!A:CE,83,FALSE)-VLOOKUP(A81,EY!A:CC,81,FALSE))</f>
        <v>0</v>
      </c>
      <c r="EO81" s="309"/>
      <c r="EP81" s="309">
        <f>_xlfn.IFNA((VLOOKUP($A81,HN!$A:$K,8,FALSE)/12),0)+_xlfn.IFNA((VLOOKUP($A81,HN!$A:$AF,32,FALSE)*1/12),0)</f>
        <v>0</v>
      </c>
      <c r="EQ81" s="309">
        <f>_xlfn.IFNA((VLOOKUP($A81,HN!$A:$BS,14,FALSE)/12),0)+_xlfn.IFNA((VLOOKUP($A81,HN!$A:$BS,34,FALSE)/3),0)</f>
        <v>0</v>
      </c>
      <c r="ER81" s="309">
        <f>_xlfn.IFNA(VLOOKUP($A81,'Post 16'!$A:$AV,32,FALSE),0)/8</f>
        <v>0</v>
      </c>
      <c r="ES81" s="309">
        <f>((VLOOKUP($A81,EY!A:EV,33,FALSE)*80%))+VLOOKUP(A81,EY!A:DD,108,FALSE)+VLOOKUP(A81,EY!A:CC,81,FALSE)</f>
        <v>0</v>
      </c>
      <c r="ET81" s="309">
        <f>_xlfn.IFNA((VLOOKUP($A81,HN!$A:$K,9,FALSE)/12),0)+_xlfn.IFNA((VLOOKUP($A81,HN!$A:$K,10,FALSE)/12),0)+_xlfn.IFNA((VLOOKUP($A81,HN!$A:$BZ,33,FALSE)/12),0)</f>
        <v>0</v>
      </c>
      <c r="EU81" s="309">
        <f>_xlfn.IFNA((VLOOKUP($A81,HN!$A:$BS,15,FALSE)/12),0)</f>
        <v>0</v>
      </c>
      <c r="EV81" s="308">
        <f t="shared" si="100"/>
        <v>-917.14666666666653</v>
      </c>
      <c r="EW81" s="308">
        <f t="shared" si="101"/>
        <v>-4851.2016666666668</v>
      </c>
      <c r="EX81" s="309"/>
      <c r="EY81" s="309">
        <f>_xlfn.IFNA(VLOOKUP($A81,'Cash Advances'!$A:$S,17,FALSE),0)</f>
        <v>0</v>
      </c>
      <c r="EZ81" s="309">
        <f>_xlfn.IFNA(VLOOKUP(A81,'LA Deductions'!A:AZ,25,FALSE),0)/9</f>
        <v>0</v>
      </c>
      <c r="FA81" s="308">
        <f t="shared" si="112"/>
        <v>173333.68666666668</v>
      </c>
      <c r="FB81" s="315">
        <f t="shared" si="102"/>
        <v>179102.035</v>
      </c>
      <c r="FC81" s="315"/>
      <c r="FD81" s="316"/>
      <c r="FE81" s="316">
        <f>_xlfn.IFNA((VLOOKUP($A81,HN!$A:$K,8,FALSE)/12),0)+_xlfn.IFNA((VLOOKUP($A81,HN!$A:$AF,32,FALSE)*1/12),0)</f>
        <v>0</v>
      </c>
      <c r="FF81" s="316">
        <f>_xlfn.IFNA((VLOOKUP($A81,HN!$A:$BS,14,FALSE)/12),0)+_xlfn.IFNA((VLOOKUP($A81,HN!$A:$BS,34,FALSE)/3),0)</f>
        <v>0</v>
      </c>
      <c r="FG81" s="316">
        <f>_xlfn.IFNA(VLOOKUP($A81,'Post 16'!$A:$AV,32,FALSE),0)/8</f>
        <v>0</v>
      </c>
      <c r="FH81" s="316"/>
      <c r="FI81" s="316">
        <f>_xlfn.IFNA((VLOOKUP($A81,HN!$A:$K,9,FALSE)/12),0)+_xlfn.IFNA((VLOOKUP($A81,HN!$A:$K,10,FALSE)/12),0)+_xlfn.IFNA((VLOOKUP($A81,HN!$A:$BZ,33,FALSE)/12),0)+_xlfn.IFNA((VLOOKUP($A81,HN!$A:$BZ,35,FALSE)/2),0)</f>
        <v>0</v>
      </c>
      <c r="FJ81" s="316">
        <f>_xlfn.IFNA((VLOOKUP($A81,HN!$A:$BS,15,FALSE)/12),0)+_xlfn.IFNA((VLOOKUP($A81,HN!$A:$CZ,36,FALSE)/2),0)</f>
        <v>0</v>
      </c>
      <c r="FK81" s="315">
        <f t="shared" si="103"/>
        <v>-917.14666666666653</v>
      </c>
      <c r="FL81" s="315">
        <f t="shared" si="104"/>
        <v>-4851.2016666666668</v>
      </c>
      <c r="FM81" s="316"/>
      <c r="FN81" s="316">
        <f>_xlfn.IFNA(VLOOKUP($A81,'Cash Advances'!$A:$S,18,FALSE),0)</f>
        <v>0</v>
      </c>
      <c r="FO81" s="316">
        <f>_xlfn.IFNA(VLOOKUP(A81,'LA Deductions'!A:AZ,25,FALSE),0)/9</f>
        <v>0</v>
      </c>
      <c r="FP81" s="315">
        <f t="shared" si="113"/>
        <v>173333.68666666668</v>
      </c>
      <c r="FQ81" s="322">
        <f t="shared" si="105"/>
        <v>179102.035</v>
      </c>
      <c r="FR81" s="322"/>
      <c r="FS81" s="323"/>
      <c r="FT81" s="323">
        <f>_xlfn.IFNA((VLOOKUP($A81,HN!$A:$K,8,FALSE)/12),0)+_xlfn.IFNA((VLOOKUP($A81,HN!$A:$AF,32,FALSE)*1/12),0)</f>
        <v>0</v>
      </c>
      <c r="FU81" s="323">
        <f>_xlfn.IFNA((VLOOKUP($A81,HN!$A:$BS,14,FALSE)/12),0)+_xlfn.IFNA((VLOOKUP($A81,HN!$A:$BS,34,FALSE)/3),0)</f>
        <v>0</v>
      </c>
      <c r="FV81" s="323">
        <f>_xlfn.IFNA(VLOOKUP($A81,'Post 16'!$A:$AV,32,FALSE),0)/8</f>
        <v>0</v>
      </c>
      <c r="FW81" s="323"/>
      <c r="FX81" s="323">
        <f>_xlfn.IFNA((VLOOKUP($A81,HN!$A:$K,9,FALSE)/12),0)+_xlfn.IFNA((VLOOKUP($A81,HN!$A:$K,10,FALSE)/12),0)+_xlfn.IFNA((VLOOKUP($A81,HN!$A:$BZ,33,FALSE)/12),0)+_xlfn.IFNA((VLOOKUP($A81,HN!$A:$BZ,35,FALSE)/2),0)</f>
        <v>0</v>
      </c>
      <c r="FY81" s="323">
        <f>_xlfn.IFNA((VLOOKUP($A81,HN!$A:$BS,15,FALSE)/12),0)+_xlfn.IFNA((VLOOKUP($A81,HN!$A:$CZ,36,FALSE)/2),0)</f>
        <v>0</v>
      </c>
      <c r="FZ81" s="322">
        <f t="shared" si="106"/>
        <v>-917.14666666666653</v>
      </c>
      <c r="GA81" s="322">
        <f t="shared" si="107"/>
        <v>-4851.2016666666668</v>
      </c>
      <c r="GB81" s="323"/>
      <c r="GC81" s="323"/>
      <c r="GD81" s="323">
        <f>_xlfn.IFNA(VLOOKUP(A81,'LA Deductions'!A:AZ,25,FALSE),0)/9</f>
        <v>0</v>
      </c>
      <c r="GE81" s="322">
        <f t="shared" si="114"/>
        <v>173333.68666666668</v>
      </c>
      <c r="GG81" s="146">
        <f t="shared" si="115"/>
        <v>2149224.4199999995</v>
      </c>
      <c r="GH81" s="146">
        <f t="shared" si="115"/>
        <v>0</v>
      </c>
      <c r="GI81" s="146">
        <f t="shared" si="115"/>
        <v>0</v>
      </c>
      <c r="GJ81" s="146">
        <f t="shared" si="115"/>
        <v>-11005.760000000002</v>
      </c>
      <c r="GK81" s="146">
        <f t="shared" si="115"/>
        <v>-58214.420000000006</v>
      </c>
      <c r="GL81" s="146">
        <f t="shared" si="115"/>
        <v>-11394</v>
      </c>
      <c r="GN81" s="146">
        <f t="shared" si="116"/>
        <v>2149224.4199999995</v>
      </c>
      <c r="GO81" s="146">
        <f t="shared" si="116"/>
        <v>0</v>
      </c>
      <c r="GP81" s="146">
        <f t="shared" si="116"/>
        <v>0</v>
      </c>
      <c r="GQ81" s="146">
        <f t="shared" si="116"/>
        <v>-11005.760000000002</v>
      </c>
      <c r="GR81" s="146">
        <f t="shared" si="116"/>
        <v>-58214.420000000006</v>
      </c>
      <c r="GS81" s="146">
        <f t="shared" si="116"/>
        <v>-11394</v>
      </c>
      <c r="GU81" s="146"/>
      <c r="GV81" s="57"/>
    </row>
    <row r="82" spans="1:204">
      <c r="A82" s="185">
        <v>7012</v>
      </c>
      <c r="B82" s="185">
        <v>103603</v>
      </c>
      <c r="C82" s="185" t="s">
        <v>184</v>
      </c>
      <c r="D82" s="2" t="s">
        <v>185</v>
      </c>
      <c r="E82" s="191" t="s">
        <v>47</v>
      </c>
      <c r="F82" s="191" t="s">
        <v>912</v>
      </c>
      <c r="H82" s="279">
        <f>_xlfn.IFNA(VLOOKUP($A82,ISB!$A$4:$BY$454,67,FALSE),0)</f>
        <v>0</v>
      </c>
      <c r="I82" s="279">
        <f>_xlfn.IFNA(VLOOKUP($A82,ISB!$A$4:$BY$454,72,FALSE),0)</f>
        <v>0</v>
      </c>
      <c r="J82" s="279">
        <f>-_xlfn.IFNA(VLOOKUP($A82,ISB!$A$4:$BY$454,76,FALSE),0)</f>
        <v>0</v>
      </c>
      <c r="K82" s="279">
        <f>_xlfn.IFNA(VLOOKUP($A82,ISB!$A$4:$BY$454,77,FALSE),0)</f>
        <v>0</v>
      </c>
      <c r="M82" s="301">
        <f t="shared" si="72"/>
        <v>0</v>
      </c>
      <c r="N82" s="301">
        <f>VLOOKUP($A82,EY!$A:$H,8,FALSE)+(VLOOKUP($A82,EY!$A:$BS,17,FALSE)-S82)+VLOOKUP($A82,EY!$A:$BS,41,FALSE)</f>
        <v>0</v>
      </c>
      <c r="O82" s="302"/>
      <c r="P82" s="302">
        <f>_xlfn.IFNA((VLOOKUP($A82,HN!$A:$K,8,FALSE)/12),0)</f>
        <v>59881.25</v>
      </c>
      <c r="Q82" s="302">
        <f>_xlfn.IFNA((VLOOKUP($A82,HN!$A:$BS,14,FALSE)/12),0)</f>
        <v>0</v>
      </c>
      <c r="R82" s="302">
        <f>_xlfn.IFNA(VLOOKUP($A82,'Post 16'!$A:$V,21,FALSE),0)/4</f>
        <v>0</v>
      </c>
      <c r="S82" s="302">
        <f>VLOOKUP($A82,EY!A:Q,15,FALSE)*80%</f>
        <v>0</v>
      </c>
      <c r="T82" s="302">
        <f>_xlfn.IFNA((VLOOKUP($A82,HN!$A:$K,9,FALSE)/12),0)+_xlfn.IFNA((VLOOKUP($A82,HN!$A:$K,10,FALSE)/12),0)</f>
        <v>27213.602668976895</v>
      </c>
      <c r="U82" s="302">
        <f>_xlfn.IFNA((VLOOKUP($A82,HN!$A:$BS,15,FALSE)/12),0)</f>
        <v>0</v>
      </c>
      <c r="V82" s="301">
        <f t="shared" si="73"/>
        <v>0</v>
      </c>
      <c r="W82" s="301">
        <f t="shared" si="74"/>
        <v>0</v>
      </c>
      <c r="X82" s="302"/>
      <c r="Y82" s="302">
        <f>_xlfn.IFNA(VLOOKUP($A82,'Cash Advances'!$A:$S,8,FALSE),0)</f>
        <v>0</v>
      </c>
      <c r="Z82" s="301">
        <f t="shared" si="67"/>
        <v>87094.852668976891</v>
      </c>
      <c r="AA82" s="315">
        <f t="shared" si="75"/>
        <v>0</v>
      </c>
      <c r="AB82" s="315"/>
      <c r="AC82" s="316"/>
      <c r="AD82" s="316">
        <f>_xlfn.IFNA((VLOOKUP($A82,HN!$A:$K,8,FALSE)/12),0)</f>
        <v>59881.25</v>
      </c>
      <c r="AE82" s="316">
        <f>_xlfn.IFNA((VLOOKUP($A82,HN!$A:$BS,14,FALSE)/12),0)</f>
        <v>0</v>
      </c>
      <c r="AF82" s="316">
        <f>_xlfn.IFNA(VLOOKUP($A82,'Post 16'!$A:$V,21,FALSE),0)/4</f>
        <v>0</v>
      </c>
      <c r="AG82" s="316"/>
      <c r="AH82" s="316">
        <f>_xlfn.IFNA((VLOOKUP($A82,HN!$A:$K,9,FALSE)/12),0)+_xlfn.IFNA((VLOOKUP($A82,HN!$A:$K,10,FALSE)/12),0)</f>
        <v>27213.602668976895</v>
      </c>
      <c r="AI82" s="316">
        <f>_xlfn.IFNA((VLOOKUP($A82,HN!$A:$BS,15,FALSE)/12),0)</f>
        <v>0</v>
      </c>
      <c r="AJ82" s="315">
        <f t="shared" si="76"/>
        <v>0</v>
      </c>
      <c r="AK82" s="315">
        <f t="shared" si="77"/>
        <v>0</v>
      </c>
      <c r="AL82" s="316"/>
      <c r="AM82" s="316">
        <f>_xlfn.IFNA(VLOOKUP($A82,'Cash Advances'!$A:$S,9,FALSE),0)</f>
        <v>0</v>
      </c>
      <c r="AN82" s="315">
        <f t="shared" si="68"/>
        <v>87094.852668976891</v>
      </c>
      <c r="AO82" s="308">
        <f t="shared" si="78"/>
        <v>0</v>
      </c>
      <c r="AP82" s="308"/>
      <c r="AQ82" s="309"/>
      <c r="AR82" s="309">
        <f>_xlfn.IFNA((VLOOKUP($A82,HN!$A:$K,8,FALSE)/12),0)</f>
        <v>59881.25</v>
      </c>
      <c r="AS82" s="309">
        <f>_xlfn.IFNA((VLOOKUP($A82,HN!$A:$BS,14,FALSE)/12),0)</f>
        <v>0</v>
      </c>
      <c r="AT82" s="309">
        <f>_xlfn.IFNA(VLOOKUP($A82,'Post 16'!$A:$V,21,FALSE),0)/4</f>
        <v>0</v>
      </c>
      <c r="AU82" s="309"/>
      <c r="AV82" s="309">
        <f>_xlfn.IFNA((VLOOKUP($A82,HN!$A:$K,9,FALSE)/12),0)+_xlfn.IFNA((VLOOKUP($A82,HN!$A:$K,10,FALSE)/12),0)+_xlfn.IFNA(VLOOKUP(A82,HN!A:V,19,FALSE),0)+_xlfn.IFNA(VLOOKUP(A82,HN!A:V,20,FALSE),0)+_xlfn.IFNA(VLOOKUP(A82,HN!A:V,21,FALSE),0)</f>
        <v>252790.52574590014</v>
      </c>
      <c r="AW82" s="309">
        <f>_xlfn.IFNA((VLOOKUP($A82,HN!$A:$BS,15,FALSE)/12),0)</f>
        <v>0</v>
      </c>
      <c r="AX82" s="308">
        <f t="shared" si="79"/>
        <v>0</v>
      </c>
      <c r="AY82" s="308">
        <f t="shared" si="80"/>
        <v>0</v>
      </c>
      <c r="AZ82" s="309"/>
      <c r="BA82" s="309">
        <f>_xlfn.IFNA(VLOOKUP($A82,'Cash Advances'!$A:$S,10,FALSE),0)</f>
        <v>0</v>
      </c>
      <c r="BB82" s="308">
        <f t="shared" si="69"/>
        <v>312671.77574590011</v>
      </c>
      <c r="BC82" s="330">
        <f t="shared" si="81"/>
        <v>0</v>
      </c>
      <c r="BD82" s="330"/>
      <c r="BE82" s="331"/>
      <c r="BF82" s="331">
        <f>_xlfn.IFNA((VLOOKUP($A82,HN!$A:$K,8,FALSE)/12),0)</f>
        <v>59881.25</v>
      </c>
      <c r="BG82" s="331">
        <f>_xlfn.IFNA((VLOOKUP($A82,HN!$A:$BS,14,FALSE)/12),0)</f>
        <v>0</v>
      </c>
      <c r="BH82" s="331">
        <f>_xlfn.IFNA(VLOOKUP($A82,'Post 16'!$A:$V,21,FALSE),0)/4</f>
        <v>0</v>
      </c>
      <c r="BI82" s="331"/>
      <c r="BJ82" s="331">
        <f>_xlfn.IFNA((VLOOKUP($A82,HN!$A:$K,9,FALSE)/12),0)+_xlfn.IFNA((VLOOKUP($A82,HN!$A:$K,10,FALSE)/12),0)</f>
        <v>27213.602668976895</v>
      </c>
      <c r="BK82" s="331">
        <f>_xlfn.IFNA((VLOOKUP($A82,HN!$A:$BS,15,FALSE)/12),0)</f>
        <v>0</v>
      </c>
      <c r="BL82" s="330">
        <f t="shared" si="82"/>
        <v>0</v>
      </c>
      <c r="BM82" s="330">
        <f t="shared" si="83"/>
        <v>0</v>
      </c>
      <c r="BN82" s="331"/>
      <c r="BO82" s="331">
        <f>_xlfn.IFNA(VLOOKUP(A82,'Cash Advances'!A:K,11,FALSE),0)</f>
        <v>0</v>
      </c>
      <c r="BP82" s="330">
        <f t="shared" si="70"/>
        <v>87094.852668976891</v>
      </c>
      <c r="BQ82" s="322">
        <f t="shared" si="84"/>
        <v>0</v>
      </c>
      <c r="BR82" s="322"/>
      <c r="BS82" s="323"/>
      <c r="BT82" s="323">
        <f>_xlfn.IFNA((VLOOKUP($A82,HN!$A:$K,8,FALSE)/12),0)</f>
        <v>59881.25</v>
      </c>
      <c r="BU82" s="323">
        <f>_xlfn.IFNA((VLOOKUP($A82,HN!$A:$BS,14,FALSE)/12),0)</f>
        <v>0</v>
      </c>
      <c r="BV82" s="323">
        <f>(_xlfn.IFNA(VLOOKUP($A82,'Post 16'!$A:$AV,32,FALSE),0)/8)+_xlfn.IFNA(VLOOKUP($A82,'Post 16'!$A:$AR,40,FALSE),0)</f>
        <v>0</v>
      </c>
      <c r="BW82" s="323"/>
      <c r="BX82" s="323">
        <f>_xlfn.IFNA((VLOOKUP($A82,HN!$A:$K,9,FALSE)/12),0)+_xlfn.IFNA((VLOOKUP($A82,HN!$A:$K,10,FALSE)/12),0)</f>
        <v>27213.602668976895</v>
      </c>
      <c r="BY82" s="323">
        <f>_xlfn.IFNA((VLOOKUP($A82,HN!$A:$BS,15,FALSE)/12),0)</f>
        <v>0</v>
      </c>
      <c r="BZ82" s="322">
        <f t="shared" si="85"/>
        <v>0</v>
      </c>
      <c r="CA82" s="322">
        <f t="shared" si="86"/>
        <v>0</v>
      </c>
      <c r="CB82" s="323"/>
      <c r="CC82" s="323"/>
      <c r="CD82" s="322">
        <f t="shared" si="71"/>
        <v>87094.852668976891</v>
      </c>
      <c r="CE82" s="357">
        <f t="shared" si="87"/>
        <v>0</v>
      </c>
      <c r="CF82" s="357">
        <f>(VLOOKUP($A82,EY!$A:$BS,26,FALSE)-(VLOOKUP($A82,EY!A:CR,24,FALSE)*80%))+VLOOKUP($A82,EY!$A:$BS,42,FALSE)+(VLOOKUP($A82,EY!A:CC,74,FALSE)-VLOOKUP($A82,EY!A:CC,72,FALSE))</f>
        <v>0</v>
      </c>
      <c r="CG82" s="358"/>
      <c r="CH82" s="358">
        <f>_xlfn.IFNA((VLOOKUP($A82,HN!$A:$K,8,FALSE)/12),0)</f>
        <v>59881.25</v>
      </c>
      <c r="CI82" s="358">
        <f>_xlfn.IFNA((VLOOKUP($A82,HN!$A:$BS,14,FALSE)/12),0)</f>
        <v>0</v>
      </c>
      <c r="CJ82" s="358">
        <f>(_xlfn.IFNA(VLOOKUP($A82,'Post 16'!$A:$AV,32,FALSE),0)/8)</f>
        <v>0</v>
      </c>
      <c r="CK82" s="358">
        <f>(VLOOKUP($A82,EY!A:CR,24,FALSE)*80%)+VLOOKUP($A82,EY!A:CC,72,FALSE)</f>
        <v>0</v>
      </c>
      <c r="CL82" s="358">
        <f>_xlfn.IFNA((VLOOKUP($A82,HN!$A:$K,9,FALSE)/12),0)+_xlfn.IFNA((VLOOKUP($A82,HN!$A:$K,10,FALSE)/12),0)</f>
        <v>27213.602668976895</v>
      </c>
      <c r="CM82" s="358">
        <f>_xlfn.IFNA((VLOOKUP($A82,HN!$A:$BS,15,FALSE)/12),0)</f>
        <v>0</v>
      </c>
      <c r="CN82" s="357">
        <f t="shared" si="88"/>
        <v>0</v>
      </c>
      <c r="CO82" s="357">
        <f t="shared" si="89"/>
        <v>0</v>
      </c>
      <c r="CP82" s="358">
        <f>_xlfn.IFNA(VLOOKUP(A82,'LA Deductions'!A:W,23,FALSE),0)</f>
        <v>-3291.75</v>
      </c>
      <c r="CQ82" s="358">
        <f>_xlfn.IFNA(VLOOKUP($A82,'Cash Advances'!$A:$S,13,FALSE),0)</f>
        <v>0</v>
      </c>
      <c r="CR82" s="358">
        <f>_xlfn.IFNA(VLOOKUP(A82,'LA Deductions'!A:AZ,25,FALSE),0)/9*3</f>
        <v>0</v>
      </c>
      <c r="CS82" s="357">
        <f t="shared" si="108"/>
        <v>83803.102668976891</v>
      </c>
      <c r="CT82" s="337">
        <f t="shared" si="90"/>
        <v>0</v>
      </c>
      <c r="CU82" s="337"/>
      <c r="CV82" s="338">
        <f>_xlfn.IFNA(VLOOKUP(A82,'LA Deductions'!$A$6:$AN$207,34,FALSE),0)</f>
        <v>0</v>
      </c>
      <c r="CW82" s="338">
        <f>_xlfn.IFNA((VLOOKUP($A82,HN!$A:$K,8,FALSE)/12),0)</f>
        <v>59881.25</v>
      </c>
      <c r="CX82" s="338">
        <f>_xlfn.IFNA((VLOOKUP($A82,HN!$A:$BS,14,FALSE)/12),0)</f>
        <v>0</v>
      </c>
      <c r="CY82" s="338">
        <f>_xlfn.IFNA(VLOOKUP($A82,'Post 16'!$A:$AV,32,FALSE),0)/8</f>
        <v>0</v>
      </c>
      <c r="CZ82" s="338"/>
      <c r="DA82" s="338">
        <f>_xlfn.IFNA((VLOOKUP($A82,HN!$A:$K,9,FALSE)/12),0)+_xlfn.IFNA((VLOOKUP($A82,HN!$A:$K,10,FALSE)/12),0)</f>
        <v>27213.602668976895</v>
      </c>
      <c r="DB82" s="338">
        <f>_xlfn.IFNA((VLOOKUP($A82,HN!$A:$BS,15,FALSE)/12),0)</f>
        <v>0</v>
      </c>
      <c r="DC82" s="337">
        <f t="shared" si="91"/>
        <v>0</v>
      </c>
      <c r="DD82" s="337">
        <f t="shared" si="92"/>
        <v>0</v>
      </c>
      <c r="DE82" s="338"/>
      <c r="DF82" s="338">
        <f>_xlfn.IFNA(VLOOKUP($A82,'Cash Advances'!$A:$S,14,FALSE),0)</f>
        <v>0</v>
      </c>
      <c r="DG82" s="338">
        <f>(_xlfn.IFNA(VLOOKUP(A82,'LA Deductions'!A:AZ,25,FALSE),0)/9)+(_xlfn.IFNA(VLOOKUP(A82,'LA Deductions'!A:AZ,26,FALSE),0))</f>
        <v>0</v>
      </c>
      <c r="DH82" s="337">
        <f t="shared" si="109"/>
        <v>87094.852668976891</v>
      </c>
      <c r="DI82" s="330">
        <f t="shared" si="93"/>
        <v>0</v>
      </c>
      <c r="DJ82" s="330"/>
      <c r="DK82" s="331"/>
      <c r="DL82" s="331">
        <f>_xlfn.IFNA((VLOOKUP($A82,HN!$A:$K,8,FALSE)/12),0)+_xlfn.IFNA((VLOOKUP($A82,HN!$A:$AF,32,FALSE)*8/12),0)</f>
        <v>59881.25</v>
      </c>
      <c r="DM82" s="331">
        <f>_xlfn.IFNA((VLOOKUP($A82,HN!$A:$BS,14,FALSE)/12),0)+_xlfn.IFNA(VLOOKUP($A82,HN!$A:$BS,31,FALSE),0)</f>
        <v>0</v>
      </c>
      <c r="DN82" s="331">
        <f>_xlfn.IFNA(VLOOKUP($A82,'Post 16'!$A:$AV,32,FALSE),0)/8</f>
        <v>0</v>
      </c>
      <c r="DO82" s="331"/>
      <c r="DP82" s="331">
        <f>_xlfn.IFNA((VLOOKUP($A82,HN!$A:$K,9,FALSE)/12),0)+_xlfn.IFNA((VLOOKUP($A82,HN!$A:$K,10,FALSE)/12),0)+_xlfn.IFNA((VLOOKUP($A82,HN!$A:$BZ,33,FALSE)*8/12),0)</f>
        <v>98664.647896650495</v>
      </c>
      <c r="DQ82" s="331">
        <f>_xlfn.IFNA((VLOOKUP($A82,HN!$A:$BS,15,FALSE)/12),0)</f>
        <v>0</v>
      </c>
      <c r="DR82" s="330">
        <f t="shared" si="94"/>
        <v>0</v>
      </c>
      <c r="DS82" s="330">
        <f t="shared" si="95"/>
        <v>0</v>
      </c>
      <c r="DT82" s="331"/>
      <c r="DU82" s="331"/>
      <c r="DV82" s="331">
        <f>(_xlfn.IFNA(VLOOKUP(A82,'LA Deductions'!A:AZ,25,FALSE),0)/9)+_xlfn.IFNA(VLOOKUP(A82,'LA Deductions'!A:AZ,27,FALSE),0)</f>
        <v>0</v>
      </c>
      <c r="DW82" s="330">
        <f t="shared" si="110"/>
        <v>158545.89789665048</v>
      </c>
      <c r="DX82" s="344">
        <f t="shared" si="96"/>
        <v>0</v>
      </c>
      <c r="DY82" s="344"/>
      <c r="DZ82" s="345"/>
      <c r="EA82" s="345">
        <f>_xlfn.IFNA((VLOOKUP($A82,HN!$A:$K,8,FALSE)/12),0)+_xlfn.IFNA((VLOOKUP($A82,HN!$A:$AF,32,FALSE)*1/12),0)</f>
        <v>59881.25</v>
      </c>
      <c r="EB82" s="345">
        <f>_xlfn.IFNA((VLOOKUP($A82,HN!$A:$BS,14,FALSE)/12),0)</f>
        <v>0</v>
      </c>
      <c r="EC82" s="345">
        <f>_xlfn.IFNA(VLOOKUP($A82,'Post 16'!$A:$AV,32,FALSE),0)/8</f>
        <v>0</v>
      </c>
      <c r="ED82" s="345"/>
      <c r="EE82" s="345">
        <f>_xlfn.IFNA((VLOOKUP($A82,HN!$A:$K,9,FALSE)/12),0)+_xlfn.IFNA((VLOOKUP($A82,HN!$A:$K,10,FALSE)/12),0)+_xlfn.IFNA((VLOOKUP($A82,HN!$A:$BZ,33,FALSE)/12),0)</f>
        <v>36144.983322436092</v>
      </c>
      <c r="EF82" s="345">
        <f>_xlfn.IFNA((VLOOKUP($A82,HN!$A:$BS,15,FALSE)/12),0)</f>
        <v>0</v>
      </c>
      <c r="EG82" s="344">
        <f t="shared" si="97"/>
        <v>0</v>
      </c>
      <c r="EH82" s="344">
        <f t="shared" si="98"/>
        <v>0</v>
      </c>
      <c r="EI82" s="345"/>
      <c r="EJ82" s="345">
        <f>_xlfn.IFNA(VLOOKUP(A82,'Cash Advances'!A:P,16,FALSE),0)</f>
        <v>0</v>
      </c>
      <c r="EK82" s="345">
        <f>_xlfn.IFNA(VLOOKUP(A82,'LA Deductions'!A:AZ,25,FALSE),0)/9</f>
        <v>0</v>
      </c>
      <c r="EL82" s="344">
        <f t="shared" si="111"/>
        <v>96026.233322436092</v>
      </c>
      <c r="EM82" s="308">
        <f t="shared" si="99"/>
        <v>0</v>
      </c>
      <c r="EN82" s="308">
        <f>((VLOOKUP($A82,EY!$A:$BS,35,FALSE)-(VLOOKUP($A82,EY!$A:$BS,33,FALSE)*80%))+VLOOKUP($A82,EY!$A:$BS,43,FALSE))+(VLOOKUP(A82,EY!A:DF,110,FALSE)-VLOOKUP(A82,EY!A:DD,108,FALSE))+(VLOOKUP(A82,EY!A:CE,83,FALSE)-VLOOKUP(A82,EY!A:CC,81,FALSE))</f>
        <v>0</v>
      </c>
      <c r="EO82" s="309"/>
      <c r="EP82" s="309">
        <f>_xlfn.IFNA((VLOOKUP($A82,HN!$A:$K,8,FALSE)/12),0)+_xlfn.IFNA((VLOOKUP($A82,HN!$A:$AF,32,FALSE)*1/12),0)</f>
        <v>59881.25</v>
      </c>
      <c r="EQ82" s="309">
        <f>_xlfn.IFNA((VLOOKUP($A82,HN!$A:$BS,14,FALSE)/12),0)+_xlfn.IFNA((VLOOKUP($A82,HN!$A:$BS,34,FALSE)/3),0)</f>
        <v>0</v>
      </c>
      <c r="ER82" s="309">
        <f>_xlfn.IFNA(VLOOKUP($A82,'Post 16'!$A:$AV,32,FALSE),0)/8</f>
        <v>0</v>
      </c>
      <c r="ES82" s="309">
        <f>((VLOOKUP($A82,EY!A:EV,33,FALSE)*80%))+VLOOKUP(A82,EY!A:DD,108,FALSE)+VLOOKUP(A82,EY!A:CC,81,FALSE)</f>
        <v>0</v>
      </c>
      <c r="ET82" s="309">
        <f>_xlfn.IFNA((VLOOKUP($A82,HN!$A:$K,9,FALSE)/12),0)+_xlfn.IFNA((VLOOKUP($A82,HN!$A:$K,10,FALSE)/12),0)+_xlfn.IFNA((VLOOKUP($A82,HN!$A:$BZ,33,FALSE)/12),0)</f>
        <v>36144.983322436092</v>
      </c>
      <c r="EU82" s="309">
        <f>_xlfn.IFNA((VLOOKUP($A82,HN!$A:$BS,15,FALSE)/12),0)</f>
        <v>0</v>
      </c>
      <c r="EV82" s="308">
        <f t="shared" si="100"/>
        <v>0</v>
      </c>
      <c r="EW82" s="308">
        <f t="shared" si="101"/>
        <v>0</v>
      </c>
      <c r="EX82" s="309"/>
      <c r="EY82" s="309">
        <f>_xlfn.IFNA(VLOOKUP($A82,'Cash Advances'!$A:$S,17,FALSE),0)</f>
        <v>0</v>
      </c>
      <c r="EZ82" s="309">
        <f>_xlfn.IFNA(VLOOKUP(A82,'LA Deductions'!A:AZ,25,FALSE),0)/9</f>
        <v>0</v>
      </c>
      <c r="FA82" s="308">
        <f t="shared" si="112"/>
        <v>96026.233322436092</v>
      </c>
      <c r="FB82" s="315">
        <f t="shared" si="102"/>
        <v>0</v>
      </c>
      <c r="FC82" s="315"/>
      <c r="FD82" s="316"/>
      <c r="FE82" s="316">
        <f>_xlfn.IFNA((VLOOKUP($A82,HN!$A:$K,8,FALSE)/12),0)+_xlfn.IFNA((VLOOKUP($A82,HN!$A:$AF,32,FALSE)*1/12),0)</f>
        <v>59881.25</v>
      </c>
      <c r="FF82" s="316">
        <f>_xlfn.IFNA((VLOOKUP($A82,HN!$A:$BS,14,FALSE)/12),0)+_xlfn.IFNA((VLOOKUP($A82,HN!$A:$BS,34,FALSE)/3),0)</f>
        <v>0</v>
      </c>
      <c r="FG82" s="316">
        <f>_xlfn.IFNA(VLOOKUP($A82,'Post 16'!$A:$AV,32,FALSE),0)/8</f>
        <v>0</v>
      </c>
      <c r="FH82" s="316"/>
      <c r="FI82" s="316">
        <f>_xlfn.IFNA((VLOOKUP($A82,HN!$A:$K,9,FALSE)/12),0)+_xlfn.IFNA((VLOOKUP($A82,HN!$A:$K,10,FALSE)/12),0)+_xlfn.IFNA((VLOOKUP($A82,HN!$A:$BZ,33,FALSE)/12),0)+_xlfn.IFNA((VLOOKUP($A82,HN!$A:$BZ,35,FALSE)/2),0)</f>
        <v>14656.003322436092</v>
      </c>
      <c r="FJ82" s="316">
        <f>_xlfn.IFNA((VLOOKUP($A82,HN!$A:$BS,15,FALSE)/12),0)+_xlfn.IFNA((VLOOKUP($A82,HN!$A:$CZ,36,FALSE)/2),0)</f>
        <v>0</v>
      </c>
      <c r="FK82" s="315">
        <f t="shared" si="103"/>
        <v>0</v>
      </c>
      <c r="FL82" s="315">
        <f t="shared" si="104"/>
        <v>0</v>
      </c>
      <c r="FM82" s="316"/>
      <c r="FN82" s="316">
        <f>_xlfn.IFNA(VLOOKUP($A82,'Cash Advances'!$A:$S,18,FALSE),0)</f>
        <v>0</v>
      </c>
      <c r="FO82" s="316">
        <f>_xlfn.IFNA(VLOOKUP(A82,'LA Deductions'!A:AZ,25,FALSE),0)/9</f>
        <v>0</v>
      </c>
      <c r="FP82" s="315">
        <f t="shared" si="113"/>
        <v>74537.253322436096</v>
      </c>
      <c r="FQ82" s="322">
        <f t="shared" si="105"/>
        <v>0</v>
      </c>
      <c r="FR82" s="322"/>
      <c r="FS82" s="323"/>
      <c r="FT82" s="323">
        <f>_xlfn.IFNA((VLOOKUP($A82,HN!$A:$K,8,FALSE)/12),0)+_xlfn.IFNA((VLOOKUP($A82,HN!$A:$AF,32,FALSE)*1/12),0)</f>
        <v>59881.25</v>
      </c>
      <c r="FU82" s="323">
        <f>_xlfn.IFNA((VLOOKUP($A82,HN!$A:$BS,14,FALSE)/12),0)+_xlfn.IFNA((VLOOKUP($A82,HN!$A:$BS,34,FALSE)/3),0)</f>
        <v>0</v>
      </c>
      <c r="FV82" s="323">
        <f>_xlfn.IFNA(VLOOKUP($A82,'Post 16'!$A:$AV,32,FALSE),0)/8</f>
        <v>0</v>
      </c>
      <c r="FW82" s="323"/>
      <c r="FX82" s="323">
        <f>_xlfn.IFNA((VLOOKUP($A82,HN!$A:$K,9,FALSE)/12),0)+_xlfn.IFNA((VLOOKUP($A82,HN!$A:$K,10,FALSE)/12),0)+_xlfn.IFNA((VLOOKUP($A82,HN!$A:$BZ,33,FALSE)/12),0)+_xlfn.IFNA((VLOOKUP($A82,HN!$A:$BZ,35,FALSE)/2),0)</f>
        <v>14656.003322436092</v>
      </c>
      <c r="FY82" s="323">
        <f>_xlfn.IFNA((VLOOKUP($A82,HN!$A:$BS,15,FALSE)/12),0)+_xlfn.IFNA((VLOOKUP($A82,HN!$A:$CZ,36,FALSE)/2),0)</f>
        <v>0</v>
      </c>
      <c r="FZ82" s="322">
        <f t="shared" si="106"/>
        <v>0</v>
      </c>
      <c r="GA82" s="322">
        <f t="shared" si="107"/>
        <v>0</v>
      </c>
      <c r="GB82" s="323"/>
      <c r="GC82" s="323"/>
      <c r="GD82" s="323">
        <f>_xlfn.IFNA(VLOOKUP(A82,'LA Deductions'!A:AZ,25,FALSE),0)/9</f>
        <v>0</v>
      </c>
      <c r="GE82" s="322">
        <f t="shared" si="114"/>
        <v>74537.253322436096</v>
      </c>
      <c r="GG82" s="146">
        <f t="shared" si="115"/>
        <v>718575</v>
      </c>
      <c r="GH82" s="146">
        <f t="shared" si="115"/>
        <v>0</v>
      </c>
      <c r="GI82" s="146">
        <f t="shared" si="115"/>
        <v>616338.76294615632</v>
      </c>
      <c r="GJ82" s="146">
        <f t="shared" si="115"/>
        <v>0</v>
      </c>
      <c r="GK82" s="146">
        <f t="shared" si="115"/>
        <v>0</v>
      </c>
      <c r="GL82" s="146">
        <f t="shared" si="115"/>
        <v>-3291.75</v>
      </c>
      <c r="GN82" s="146">
        <f t="shared" si="116"/>
        <v>718575</v>
      </c>
      <c r="GO82" s="146">
        <f t="shared" si="116"/>
        <v>0</v>
      </c>
      <c r="GP82" s="146">
        <f t="shared" si="116"/>
        <v>616338.76294615632</v>
      </c>
      <c r="GQ82" s="146">
        <f t="shared" si="116"/>
        <v>0</v>
      </c>
      <c r="GR82" s="146">
        <f t="shared" si="116"/>
        <v>0</v>
      </c>
      <c r="GS82" s="146">
        <f t="shared" si="116"/>
        <v>-3291.75</v>
      </c>
      <c r="GU82" s="146"/>
      <c r="GV82" s="57"/>
    </row>
    <row r="83" spans="1:204">
      <c r="A83" s="185">
        <v>2127</v>
      </c>
      <c r="B83" s="185">
        <v>103227</v>
      </c>
      <c r="C83" s="185" t="s">
        <v>186</v>
      </c>
      <c r="D83" s="2" t="s">
        <v>187</v>
      </c>
      <c r="E83" s="191" t="s">
        <v>32</v>
      </c>
      <c r="F83" s="191" t="s">
        <v>912</v>
      </c>
      <c r="H83" s="279">
        <f>_xlfn.IFNA(VLOOKUP($A83,ISB!$A$4:$BY$454,67,FALSE),0)</f>
        <v>2652893.7939411006</v>
      </c>
      <c r="I83" s="279">
        <f>_xlfn.IFNA(VLOOKUP($A83,ISB!$A$4:$BY$454,72,FALSE),0)</f>
        <v>-10953.599999999999</v>
      </c>
      <c r="J83" s="279">
        <f>-_xlfn.IFNA(VLOOKUP($A83,ISB!$A$4:$BY$454,76,FALSE),0)</f>
        <v>-62170.74</v>
      </c>
      <c r="K83" s="279">
        <f>_xlfn.IFNA(VLOOKUP($A83,ISB!$A$4:$BY$454,77,FALSE),0)</f>
        <v>2579769.4539411003</v>
      </c>
      <c r="M83" s="301">
        <f t="shared" si="72"/>
        <v>221074.48282842504</v>
      </c>
      <c r="N83" s="301">
        <f>VLOOKUP($A83,EY!$A:$H,8,FALSE)+(VLOOKUP($A83,EY!$A:$BS,17,FALSE)-S83)+VLOOKUP($A83,EY!$A:$BS,41,FALSE)</f>
        <v>50144.612631578952</v>
      </c>
      <c r="O83" s="302"/>
      <c r="P83" s="302">
        <f>_xlfn.IFNA((VLOOKUP($A83,HN!$A:$K,8,FALSE)/12),0)</f>
        <v>0</v>
      </c>
      <c r="Q83" s="302">
        <f>_xlfn.IFNA((VLOOKUP($A83,HN!$A:$BS,14,FALSE)/12),0)</f>
        <v>0</v>
      </c>
      <c r="R83" s="302">
        <f>_xlfn.IFNA(VLOOKUP($A83,'Post 16'!$A:$V,21,FALSE),0)/4</f>
        <v>0</v>
      </c>
      <c r="S83" s="302">
        <f>VLOOKUP($A83,EY!A:Q,15,FALSE)*80%</f>
        <v>0</v>
      </c>
      <c r="T83" s="302">
        <f>_xlfn.IFNA((VLOOKUP($A83,HN!$A:$K,9,FALSE)/12),0)+_xlfn.IFNA((VLOOKUP($A83,HN!$A:$K,10,FALSE)/12),0)</f>
        <v>0</v>
      </c>
      <c r="U83" s="302">
        <f>_xlfn.IFNA((VLOOKUP($A83,HN!$A:$BS,15,FALSE)/12),0)</f>
        <v>0</v>
      </c>
      <c r="V83" s="301">
        <f t="shared" si="73"/>
        <v>-912.79999999999984</v>
      </c>
      <c r="W83" s="301">
        <f t="shared" si="74"/>
        <v>-5180.8949999999995</v>
      </c>
      <c r="X83" s="302"/>
      <c r="Y83" s="302">
        <f>_xlfn.IFNA(VLOOKUP($A83,'Cash Advances'!$A:$S,8,FALSE),0)</f>
        <v>0</v>
      </c>
      <c r="Z83" s="301">
        <f t="shared" si="67"/>
        <v>265125.40046000399</v>
      </c>
      <c r="AA83" s="315">
        <f t="shared" si="75"/>
        <v>221074.48282842504</v>
      </c>
      <c r="AB83" s="315"/>
      <c r="AC83" s="316"/>
      <c r="AD83" s="316">
        <f>_xlfn.IFNA((VLOOKUP($A83,HN!$A:$K,8,FALSE)/12),0)</f>
        <v>0</v>
      </c>
      <c r="AE83" s="316">
        <f>_xlfn.IFNA((VLOOKUP($A83,HN!$A:$BS,14,FALSE)/12),0)</f>
        <v>0</v>
      </c>
      <c r="AF83" s="316">
        <f>_xlfn.IFNA(VLOOKUP($A83,'Post 16'!$A:$V,21,FALSE),0)/4</f>
        <v>0</v>
      </c>
      <c r="AG83" s="316"/>
      <c r="AH83" s="316">
        <f>_xlfn.IFNA((VLOOKUP($A83,HN!$A:$K,9,FALSE)/12),0)+_xlfn.IFNA((VLOOKUP($A83,HN!$A:$K,10,FALSE)/12),0)</f>
        <v>0</v>
      </c>
      <c r="AI83" s="316">
        <f>_xlfn.IFNA((VLOOKUP($A83,HN!$A:$BS,15,FALSE)/12),0)</f>
        <v>0</v>
      </c>
      <c r="AJ83" s="315">
        <f t="shared" si="76"/>
        <v>-912.79999999999984</v>
      </c>
      <c r="AK83" s="315">
        <f t="shared" si="77"/>
        <v>-5180.8949999999995</v>
      </c>
      <c r="AL83" s="316"/>
      <c r="AM83" s="316">
        <f>_xlfn.IFNA(VLOOKUP($A83,'Cash Advances'!$A:$S,9,FALSE),0)</f>
        <v>0</v>
      </c>
      <c r="AN83" s="315">
        <f t="shared" si="68"/>
        <v>214980.78782842506</v>
      </c>
      <c r="AO83" s="308">
        <f t="shared" si="78"/>
        <v>221074.48282842504</v>
      </c>
      <c r="AP83" s="308"/>
      <c r="AQ83" s="309"/>
      <c r="AR83" s="309">
        <f>_xlfn.IFNA((VLOOKUP($A83,HN!$A:$K,8,FALSE)/12),0)</f>
        <v>0</v>
      </c>
      <c r="AS83" s="309">
        <f>_xlfn.IFNA((VLOOKUP($A83,HN!$A:$BS,14,FALSE)/12),0)</f>
        <v>0</v>
      </c>
      <c r="AT83" s="309">
        <f>_xlfn.IFNA(VLOOKUP($A83,'Post 16'!$A:$V,21,FALSE),0)/4</f>
        <v>0</v>
      </c>
      <c r="AU83" s="309"/>
      <c r="AV83" s="309">
        <f>_xlfn.IFNA((VLOOKUP($A83,HN!$A:$K,9,FALSE)/12),0)+_xlfn.IFNA((VLOOKUP($A83,HN!$A:$K,10,FALSE)/12),0)+_xlfn.IFNA(VLOOKUP(A83,HN!A:V,19,FALSE),0)+_xlfn.IFNA(VLOOKUP(A83,HN!A:V,20,FALSE),0)+_xlfn.IFNA(VLOOKUP(A83,HN!A:V,21,FALSE),0)</f>
        <v>0</v>
      </c>
      <c r="AW83" s="309">
        <f>_xlfn.IFNA((VLOOKUP($A83,HN!$A:$BS,15,FALSE)/12),0)</f>
        <v>0</v>
      </c>
      <c r="AX83" s="308">
        <f t="shared" si="79"/>
        <v>-912.79999999999984</v>
      </c>
      <c r="AY83" s="308">
        <f t="shared" si="80"/>
        <v>-5180.8949999999995</v>
      </c>
      <c r="AZ83" s="309"/>
      <c r="BA83" s="309">
        <f>_xlfn.IFNA(VLOOKUP($A83,'Cash Advances'!$A:$S,10,FALSE),0)</f>
        <v>0</v>
      </c>
      <c r="BB83" s="308">
        <f t="shared" si="69"/>
        <v>214980.78782842506</v>
      </c>
      <c r="BC83" s="330">
        <f t="shared" si="81"/>
        <v>221074.48282842504</v>
      </c>
      <c r="BD83" s="330"/>
      <c r="BE83" s="331"/>
      <c r="BF83" s="331">
        <f>_xlfn.IFNA((VLOOKUP($A83,HN!$A:$K,8,FALSE)/12),0)</f>
        <v>0</v>
      </c>
      <c r="BG83" s="331">
        <f>_xlfn.IFNA((VLOOKUP($A83,HN!$A:$BS,14,FALSE)/12),0)</f>
        <v>0</v>
      </c>
      <c r="BH83" s="331">
        <f>_xlfn.IFNA(VLOOKUP($A83,'Post 16'!$A:$V,21,FALSE),0)/4</f>
        <v>0</v>
      </c>
      <c r="BI83" s="331"/>
      <c r="BJ83" s="331">
        <f>_xlfn.IFNA((VLOOKUP($A83,HN!$A:$K,9,FALSE)/12),0)+_xlfn.IFNA((VLOOKUP($A83,HN!$A:$K,10,FALSE)/12),0)</f>
        <v>0</v>
      </c>
      <c r="BK83" s="331">
        <f>_xlfn.IFNA((VLOOKUP($A83,HN!$A:$BS,15,FALSE)/12),0)</f>
        <v>0</v>
      </c>
      <c r="BL83" s="330">
        <f t="shared" si="82"/>
        <v>-912.79999999999984</v>
      </c>
      <c r="BM83" s="330">
        <f t="shared" si="83"/>
        <v>-5180.8949999999995</v>
      </c>
      <c r="BN83" s="331"/>
      <c r="BO83" s="331">
        <f>_xlfn.IFNA(VLOOKUP(A83,'Cash Advances'!A:K,11,FALSE),0)</f>
        <v>0</v>
      </c>
      <c r="BP83" s="330">
        <f t="shared" si="70"/>
        <v>214980.78782842506</v>
      </c>
      <c r="BQ83" s="322">
        <f t="shared" si="84"/>
        <v>221074.48282842504</v>
      </c>
      <c r="BR83" s="322"/>
      <c r="BS83" s="323"/>
      <c r="BT83" s="323">
        <f>_xlfn.IFNA((VLOOKUP($A83,HN!$A:$K,8,FALSE)/12),0)</f>
        <v>0</v>
      </c>
      <c r="BU83" s="323">
        <f>_xlfn.IFNA((VLOOKUP($A83,HN!$A:$BS,14,FALSE)/12),0)</f>
        <v>0</v>
      </c>
      <c r="BV83" s="323">
        <f>(_xlfn.IFNA(VLOOKUP($A83,'Post 16'!$A:$AV,32,FALSE),0)/8)+_xlfn.IFNA(VLOOKUP($A83,'Post 16'!$A:$AR,40,FALSE),0)</f>
        <v>0</v>
      </c>
      <c r="BW83" s="323"/>
      <c r="BX83" s="323">
        <f>_xlfn.IFNA((VLOOKUP($A83,HN!$A:$K,9,FALSE)/12),0)+_xlfn.IFNA((VLOOKUP($A83,HN!$A:$K,10,FALSE)/12),0)</f>
        <v>0</v>
      </c>
      <c r="BY83" s="323">
        <f>_xlfn.IFNA((VLOOKUP($A83,HN!$A:$BS,15,FALSE)/12),0)</f>
        <v>0</v>
      </c>
      <c r="BZ83" s="322">
        <f t="shared" si="85"/>
        <v>-912.79999999999984</v>
      </c>
      <c r="CA83" s="322">
        <f t="shared" si="86"/>
        <v>-5180.8949999999995</v>
      </c>
      <c r="CB83" s="323"/>
      <c r="CC83" s="323"/>
      <c r="CD83" s="322">
        <f t="shared" si="71"/>
        <v>214980.78782842506</v>
      </c>
      <c r="CE83" s="357">
        <f t="shared" si="87"/>
        <v>221074.48282842504</v>
      </c>
      <c r="CF83" s="357">
        <f>(VLOOKUP($A83,EY!$A:$BS,26,FALSE)-(VLOOKUP($A83,EY!A:CR,24,FALSE)*80%))+VLOOKUP($A83,EY!$A:$BS,42,FALSE)+(VLOOKUP($A83,EY!A:CC,74,FALSE)-VLOOKUP($A83,EY!A:CC,72,FALSE))</f>
        <v>51365.435789473682</v>
      </c>
      <c r="CG83" s="358"/>
      <c r="CH83" s="358">
        <f>_xlfn.IFNA((VLOOKUP($A83,HN!$A:$K,8,FALSE)/12),0)</f>
        <v>0</v>
      </c>
      <c r="CI83" s="358">
        <f>_xlfn.IFNA((VLOOKUP($A83,HN!$A:$BS,14,FALSE)/12),0)</f>
        <v>0</v>
      </c>
      <c r="CJ83" s="358">
        <f>(_xlfn.IFNA(VLOOKUP($A83,'Post 16'!$A:$AV,32,FALSE),0)/8)</f>
        <v>0</v>
      </c>
      <c r="CK83" s="358">
        <f>(VLOOKUP($A83,EY!A:CR,24,FALSE)*80%)+VLOOKUP($A83,EY!A:CC,72,FALSE)</f>
        <v>577.60578947368413</v>
      </c>
      <c r="CL83" s="358">
        <f>_xlfn.IFNA((VLOOKUP($A83,HN!$A:$K,9,FALSE)/12),0)+_xlfn.IFNA((VLOOKUP($A83,HN!$A:$K,10,FALSE)/12),0)</f>
        <v>0</v>
      </c>
      <c r="CM83" s="358">
        <f>_xlfn.IFNA((VLOOKUP($A83,HN!$A:$BS,15,FALSE)/12),0)</f>
        <v>0</v>
      </c>
      <c r="CN83" s="357">
        <f t="shared" si="88"/>
        <v>-912.79999999999984</v>
      </c>
      <c r="CO83" s="357">
        <f t="shared" si="89"/>
        <v>-5180.8949999999995</v>
      </c>
      <c r="CP83" s="358">
        <f>_xlfn.IFNA(VLOOKUP(A83,'LA Deductions'!A:W,23,FALSE),0)</f>
        <v>0</v>
      </c>
      <c r="CQ83" s="358">
        <f>_xlfn.IFNA(VLOOKUP($A83,'Cash Advances'!$A:$S,13,FALSE),0)</f>
        <v>0</v>
      </c>
      <c r="CR83" s="358">
        <f>_xlfn.IFNA(VLOOKUP(A83,'LA Deductions'!A:AZ,25,FALSE),0)/9*3</f>
        <v>0</v>
      </c>
      <c r="CS83" s="357">
        <f t="shared" si="108"/>
        <v>266923.8294073724</v>
      </c>
      <c r="CT83" s="337">
        <f t="shared" si="90"/>
        <v>221074.48282842504</v>
      </c>
      <c r="CU83" s="337"/>
      <c r="CV83" s="338">
        <f>_xlfn.IFNA(VLOOKUP(A83,'LA Deductions'!$A$6:$AN$207,34,FALSE),0)</f>
        <v>0</v>
      </c>
      <c r="CW83" s="338">
        <f>_xlfn.IFNA((VLOOKUP($A83,HN!$A:$K,8,FALSE)/12),0)</f>
        <v>0</v>
      </c>
      <c r="CX83" s="338">
        <f>_xlfn.IFNA((VLOOKUP($A83,HN!$A:$BS,14,FALSE)/12),0)</f>
        <v>0</v>
      </c>
      <c r="CY83" s="338">
        <f>_xlfn.IFNA(VLOOKUP($A83,'Post 16'!$A:$AV,32,FALSE),0)/8</f>
        <v>0</v>
      </c>
      <c r="CZ83" s="338"/>
      <c r="DA83" s="338">
        <f>_xlfn.IFNA((VLOOKUP($A83,HN!$A:$K,9,FALSE)/12),0)+_xlfn.IFNA((VLOOKUP($A83,HN!$A:$K,10,FALSE)/12),0)</f>
        <v>0</v>
      </c>
      <c r="DB83" s="338">
        <f>_xlfn.IFNA((VLOOKUP($A83,HN!$A:$BS,15,FALSE)/12),0)</f>
        <v>0</v>
      </c>
      <c r="DC83" s="337">
        <f t="shared" si="91"/>
        <v>-912.79999999999984</v>
      </c>
      <c r="DD83" s="337">
        <f t="shared" si="92"/>
        <v>-5180.8949999999995</v>
      </c>
      <c r="DE83" s="338"/>
      <c r="DF83" s="338">
        <f>_xlfn.IFNA(VLOOKUP($A83,'Cash Advances'!$A:$S,14,FALSE),0)</f>
        <v>0</v>
      </c>
      <c r="DG83" s="338">
        <f>(_xlfn.IFNA(VLOOKUP(A83,'LA Deductions'!A:AZ,25,FALSE),0)/9)+(_xlfn.IFNA(VLOOKUP(A83,'LA Deductions'!A:AZ,26,FALSE),0))</f>
        <v>0</v>
      </c>
      <c r="DH83" s="337">
        <f t="shared" si="109"/>
        <v>214980.78782842506</v>
      </c>
      <c r="DI83" s="330">
        <f t="shared" si="93"/>
        <v>221074.48282842504</v>
      </c>
      <c r="DJ83" s="330"/>
      <c r="DK83" s="331"/>
      <c r="DL83" s="331">
        <f>_xlfn.IFNA((VLOOKUP($A83,HN!$A:$K,8,FALSE)/12),0)+_xlfn.IFNA((VLOOKUP($A83,HN!$A:$AF,32,FALSE)*8/12),0)</f>
        <v>0</v>
      </c>
      <c r="DM83" s="331">
        <f>_xlfn.IFNA((VLOOKUP($A83,HN!$A:$BS,14,FALSE)/12),0)+_xlfn.IFNA(VLOOKUP($A83,HN!$A:$BS,31,FALSE),0)</f>
        <v>0</v>
      </c>
      <c r="DN83" s="331">
        <f>_xlfn.IFNA(VLOOKUP($A83,'Post 16'!$A:$AV,32,FALSE),0)/8</f>
        <v>0</v>
      </c>
      <c r="DO83" s="331"/>
      <c r="DP83" s="331">
        <f>_xlfn.IFNA((VLOOKUP($A83,HN!$A:$K,9,FALSE)/12),0)+_xlfn.IFNA((VLOOKUP($A83,HN!$A:$K,10,FALSE)/12),0)+_xlfn.IFNA((VLOOKUP($A83,HN!$A:$BZ,33,FALSE)*8/12),0)</f>
        <v>0</v>
      </c>
      <c r="DQ83" s="331">
        <f>_xlfn.IFNA((VLOOKUP($A83,HN!$A:$BS,15,FALSE)/12),0)</f>
        <v>0</v>
      </c>
      <c r="DR83" s="330">
        <f t="shared" si="94"/>
        <v>-912.79999999999984</v>
      </c>
      <c r="DS83" s="330">
        <f t="shared" si="95"/>
        <v>-5180.8949999999995</v>
      </c>
      <c r="DT83" s="331"/>
      <c r="DU83" s="331"/>
      <c r="DV83" s="331">
        <f>(_xlfn.IFNA(VLOOKUP(A83,'LA Deductions'!A:AZ,25,FALSE),0)/9)+_xlfn.IFNA(VLOOKUP(A83,'LA Deductions'!A:AZ,27,FALSE),0)</f>
        <v>0</v>
      </c>
      <c r="DW83" s="330">
        <f t="shared" si="110"/>
        <v>214980.78782842506</v>
      </c>
      <c r="DX83" s="344">
        <f t="shared" si="96"/>
        <v>221074.48282842504</v>
      </c>
      <c r="DY83" s="344"/>
      <c r="DZ83" s="345"/>
      <c r="EA83" s="345">
        <f>_xlfn.IFNA((VLOOKUP($A83,HN!$A:$K,8,FALSE)/12),0)+_xlfn.IFNA((VLOOKUP($A83,HN!$A:$AF,32,FALSE)*1/12),0)</f>
        <v>0</v>
      </c>
      <c r="EB83" s="345">
        <f>_xlfn.IFNA((VLOOKUP($A83,HN!$A:$BS,14,FALSE)/12),0)</f>
        <v>0</v>
      </c>
      <c r="EC83" s="345">
        <f>_xlfn.IFNA(VLOOKUP($A83,'Post 16'!$A:$AV,32,FALSE),0)/8</f>
        <v>0</v>
      </c>
      <c r="ED83" s="345"/>
      <c r="EE83" s="345">
        <f>_xlfn.IFNA((VLOOKUP($A83,HN!$A:$K,9,FALSE)/12),0)+_xlfn.IFNA((VLOOKUP($A83,HN!$A:$K,10,FALSE)/12),0)+_xlfn.IFNA((VLOOKUP($A83,HN!$A:$BZ,33,FALSE)/12),0)</f>
        <v>0</v>
      </c>
      <c r="EF83" s="345">
        <f>_xlfn.IFNA((VLOOKUP($A83,HN!$A:$BS,15,FALSE)/12),0)</f>
        <v>0</v>
      </c>
      <c r="EG83" s="344">
        <f t="shared" si="97"/>
        <v>-912.79999999999984</v>
      </c>
      <c r="EH83" s="344">
        <f t="shared" si="98"/>
        <v>-5180.8949999999995</v>
      </c>
      <c r="EI83" s="345"/>
      <c r="EJ83" s="345">
        <f>_xlfn.IFNA(VLOOKUP(A83,'Cash Advances'!A:P,16,FALSE),0)</f>
        <v>0</v>
      </c>
      <c r="EK83" s="345">
        <f>_xlfn.IFNA(VLOOKUP(A83,'LA Deductions'!A:AZ,25,FALSE),0)/9</f>
        <v>0</v>
      </c>
      <c r="EL83" s="344">
        <f t="shared" si="111"/>
        <v>214980.78782842506</v>
      </c>
      <c r="EM83" s="308">
        <f t="shared" si="99"/>
        <v>221074.48282842504</v>
      </c>
      <c r="EN83" s="308">
        <f>((VLOOKUP($A83,EY!$A:$BS,35,FALSE)-(VLOOKUP($A83,EY!$A:$BS,33,FALSE)*80%))+VLOOKUP($A83,EY!$A:$BS,43,FALSE))+(VLOOKUP(A83,EY!A:DF,110,FALSE)-VLOOKUP(A83,EY!A:DD,108,FALSE))+(VLOOKUP(A83,EY!A:CE,83,FALSE)-VLOOKUP(A83,EY!A:CC,81,FALSE))</f>
        <v>48442.072853185593</v>
      </c>
      <c r="EO83" s="309"/>
      <c r="EP83" s="309">
        <f>_xlfn.IFNA((VLOOKUP($A83,HN!$A:$K,8,FALSE)/12),0)+_xlfn.IFNA((VLOOKUP($A83,HN!$A:$AF,32,FALSE)*1/12),0)</f>
        <v>0</v>
      </c>
      <c r="EQ83" s="309">
        <f>_xlfn.IFNA((VLOOKUP($A83,HN!$A:$BS,14,FALSE)/12),0)+_xlfn.IFNA((VLOOKUP($A83,HN!$A:$BS,34,FALSE)/3),0)</f>
        <v>0</v>
      </c>
      <c r="ER83" s="309">
        <f>_xlfn.IFNA(VLOOKUP($A83,'Post 16'!$A:$AV,32,FALSE),0)/8</f>
        <v>0</v>
      </c>
      <c r="ES83" s="309">
        <f>((VLOOKUP($A83,EY!A:EV,33,FALSE)*80%))+VLOOKUP(A83,EY!A:DD,108,FALSE)+VLOOKUP(A83,EY!A:CC,81,FALSE)</f>
        <v>435.22634349030477</v>
      </c>
      <c r="ET83" s="309">
        <f>_xlfn.IFNA((VLOOKUP($A83,HN!$A:$K,9,FALSE)/12),0)+_xlfn.IFNA((VLOOKUP($A83,HN!$A:$K,10,FALSE)/12),0)+_xlfn.IFNA((VLOOKUP($A83,HN!$A:$BZ,33,FALSE)/12),0)</f>
        <v>0</v>
      </c>
      <c r="EU83" s="309">
        <f>_xlfn.IFNA((VLOOKUP($A83,HN!$A:$BS,15,FALSE)/12),0)</f>
        <v>0</v>
      </c>
      <c r="EV83" s="308">
        <f t="shared" si="100"/>
        <v>-912.79999999999984</v>
      </c>
      <c r="EW83" s="308">
        <f t="shared" si="101"/>
        <v>-5180.8949999999995</v>
      </c>
      <c r="EX83" s="309"/>
      <c r="EY83" s="309">
        <f>_xlfn.IFNA(VLOOKUP($A83,'Cash Advances'!$A:$S,17,FALSE),0)</f>
        <v>0</v>
      </c>
      <c r="EZ83" s="309">
        <f>_xlfn.IFNA(VLOOKUP(A83,'LA Deductions'!A:AZ,25,FALSE),0)/9</f>
        <v>0</v>
      </c>
      <c r="FA83" s="308">
        <f t="shared" si="112"/>
        <v>263858.08702510095</v>
      </c>
      <c r="FB83" s="315">
        <f t="shared" si="102"/>
        <v>221074.48282842504</v>
      </c>
      <c r="FC83" s="315"/>
      <c r="FD83" s="316"/>
      <c r="FE83" s="316">
        <f>_xlfn.IFNA((VLOOKUP($A83,HN!$A:$K,8,FALSE)/12),0)+_xlfn.IFNA((VLOOKUP($A83,HN!$A:$AF,32,FALSE)*1/12),0)</f>
        <v>0</v>
      </c>
      <c r="FF83" s="316">
        <f>_xlfn.IFNA((VLOOKUP($A83,HN!$A:$BS,14,FALSE)/12),0)+_xlfn.IFNA((VLOOKUP($A83,HN!$A:$BS,34,FALSE)/3),0)</f>
        <v>0</v>
      </c>
      <c r="FG83" s="316">
        <f>_xlfn.IFNA(VLOOKUP($A83,'Post 16'!$A:$AV,32,FALSE),0)/8</f>
        <v>0</v>
      </c>
      <c r="FH83" s="316"/>
      <c r="FI83" s="316">
        <f>_xlfn.IFNA((VLOOKUP($A83,HN!$A:$K,9,FALSE)/12),0)+_xlfn.IFNA((VLOOKUP($A83,HN!$A:$K,10,FALSE)/12),0)+_xlfn.IFNA((VLOOKUP($A83,HN!$A:$BZ,33,FALSE)/12),0)+_xlfn.IFNA((VLOOKUP($A83,HN!$A:$BZ,35,FALSE)/2),0)</f>
        <v>0</v>
      </c>
      <c r="FJ83" s="316">
        <f>_xlfn.IFNA((VLOOKUP($A83,HN!$A:$BS,15,FALSE)/12),0)+_xlfn.IFNA((VLOOKUP($A83,HN!$A:$CZ,36,FALSE)/2),0)</f>
        <v>0</v>
      </c>
      <c r="FK83" s="315">
        <f t="shared" si="103"/>
        <v>-912.79999999999984</v>
      </c>
      <c r="FL83" s="315">
        <f t="shared" si="104"/>
        <v>-5180.8949999999995</v>
      </c>
      <c r="FM83" s="316"/>
      <c r="FN83" s="316">
        <f>_xlfn.IFNA(VLOOKUP($A83,'Cash Advances'!$A:$S,18,FALSE),0)</f>
        <v>0</v>
      </c>
      <c r="FO83" s="316">
        <f>_xlfn.IFNA(VLOOKUP(A83,'LA Deductions'!A:AZ,25,FALSE),0)/9</f>
        <v>0</v>
      </c>
      <c r="FP83" s="315">
        <f t="shared" si="113"/>
        <v>214980.78782842506</v>
      </c>
      <c r="FQ83" s="322">
        <f t="shared" si="105"/>
        <v>221074.48282842504</v>
      </c>
      <c r="FR83" s="322"/>
      <c r="FS83" s="323"/>
      <c r="FT83" s="323">
        <f>_xlfn.IFNA((VLOOKUP($A83,HN!$A:$K,8,FALSE)/12),0)+_xlfn.IFNA((VLOOKUP($A83,HN!$A:$AF,32,FALSE)*1/12),0)</f>
        <v>0</v>
      </c>
      <c r="FU83" s="323">
        <f>_xlfn.IFNA((VLOOKUP($A83,HN!$A:$BS,14,FALSE)/12),0)+_xlfn.IFNA((VLOOKUP($A83,HN!$A:$BS,34,FALSE)/3),0)</f>
        <v>0</v>
      </c>
      <c r="FV83" s="323">
        <f>_xlfn.IFNA(VLOOKUP($A83,'Post 16'!$A:$AV,32,FALSE),0)/8</f>
        <v>0</v>
      </c>
      <c r="FW83" s="323"/>
      <c r="FX83" s="323">
        <f>_xlfn.IFNA((VLOOKUP($A83,HN!$A:$K,9,FALSE)/12),0)+_xlfn.IFNA((VLOOKUP($A83,HN!$A:$K,10,FALSE)/12),0)+_xlfn.IFNA((VLOOKUP($A83,HN!$A:$BZ,33,FALSE)/12),0)+_xlfn.IFNA((VLOOKUP($A83,HN!$A:$BZ,35,FALSE)/2),0)</f>
        <v>0</v>
      </c>
      <c r="FY83" s="323">
        <f>_xlfn.IFNA((VLOOKUP($A83,HN!$A:$BS,15,FALSE)/12),0)+_xlfn.IFNA((VLOOKUP($A83,HN!$A:$CZ,36,FALSE)/2),0)</f>
        <v>0</v>
      </c>
      <c r="FZ83" s="322">
        <f t="shared" si="106"/>
        <v>-912.79999999999984</v>
      </c>
      <c r="GA83" s="322">
        <f t="shared" si="107"/>
        <v>-5180.8949999999995</v>
      </c>
      <c r="GB83" s="323"/>
      <c r="GC83" s="323"/>
      <c r="GD83" s="323">
        <f>_xlfn.IFNA(VLOOKUP(A83,'LA Deductions'!A:AZ,25,FALSE),0)/9</f>
        <v>0</v>
      </c>
      <c r="GE83" s="322">
        <f t="shared" si="114"/>
        <v>214980.78782842506</v>
      </c>
      <c r="GG83" s="146">
        <f t="shared" si="115"/>
        <v>2802845.915215339</v>
      </c>
      <c r="GH83" s="146">
        <f t="shared" si="115"/>
        <v>0</v>
      </c>
      <c r="GI83" s="146">
        <f t="shared" si="115"/>
        <v>1012.8321329639889</v>
      </c>
      <c r="GJ83" s="146">
        <f t="shared" si="115"/>
        <v>-10953.599999999997</v>
      </c>
      <c r="GK83" s="146">
        <f t="shared" si="115"/>
        <v>-62170.739999999983</v>
      </c>
      <c r="GL83" s="146">
        <f t="shared" si="115"/>
        <v>0</v>
      </c>
      <c r="GN83" s="146">
        <f t="shared" si="116"/>
        <v>2802845.915215339</v>
      </c>
      <c r="GO83" s="146">
        <f t="shared" si="116"/>
        <v>0</v>
      </c>
      <c r="GP83" s="146">
        <f t="shared" si="116"/>
        <v>1012.8321329639889</v>
      </c>
      <c r="GQ83" s="146">
        <f t="shared" si="116"/>
        <v>-10953.599999999997</v>
      </c>
      <c r="GR83" s="146">
        <f t="shared" si="116"/>
        <v>-62170.739999999983</v>
      </c>
      <c r="GS83" s="146">
        <f t="shared" si="116"/>
        <v>0</v>
      </c>
      <c r="GU83" s="146"/>
      <c r="GV83" s="57"/>
    </row>
    <row r="84" spans="1:204">
      <c r="A84" s="185">
        <v>2129</v>
      </c>
      <c r="B84" s="185">
        <v>103229</v>
      </c>
      <c r="C84" s="185" t="s">
        <v>188</v>
      </c>
      <c r="D84" s="2" t="s">
        <v>189</v>
      </c>
      <c r="E84" s="191" t="s">
        <v>32</v>
      </c>
      <c r="F84" s="191" t="s">
        <v>912</v>
      </c>
      <c r="H84" s="279">
        <f>_xlfn.IFNA(VLOOKUP($A84,ISB!$A$4:$BY$454,67,FALSE),0)</f>
        <v>1445291.8585769131</v>
      </c>
      <c r="I84" s="279">
        <f>_xlfn.IFNA(VLOOKUP($A84,ISB!$A$4:$BY$454,72,FALSE),0)</f>
        <v>-6885.12</v>
      </c>
      <c r="J84" s="279">
        <f>-_xlfn.IFNA(VLOOKUP($A84,ISB!$A$4:$BY$454,76,FALSE),0)</f>
        <v>-17553.5</v>
      </c>
      <c r="K84" s="279">
        <f>_xlfn.IFNA(VLOOKUP($A84,ISB!$A$4:$BY$454,77,FALSE),0)</f>
        <v>1420853.238576913</v>
      </c>
      <c r="M84" s="301">
        <f t="shared" si="72"/>
        <v>120440.98821474276</v>
      </c>
      <c r="N84" s="301">
        <f>VLOOKUP($A84,EY!$A:$H,8,FALSE)+(VLOOKUP($A84,EY!$A:$BS,17,FALSE)-S84)+VLOOKUP($A84,EY!$A:$BS,41,FALSE)</f>
        <v>0</v>
      </c>
      <c r="O84" s="302"/>
      <c r="P84" s="302">
        <f>_xlfn.IFNA((VLOOKUP($A84,HN!$A:$K,8,FALSE)/12),0)</f>
        <v>0</v>
      </c>
      <c r="Q84" s="302">
        <f>_xlfn.IFNA((VLOOKUP($A84,HN!$A:$BS,14,FALSE)/12),0)</f>
        <v>6000</v>
      </c>
      <c r="R84" s="302">
        <f>_xlfn.IFNA(VLOOKUP($A84,'Post 16'!$A:$V,21,FALSE),0)/4</f>
        <v>0</v>
      </c>
      <c r="S84" s="302">
        <f>VLOOKUP($A84,EY!A:Q,15,FALSE)*80%</f>
        <v>0</v>
      </c>
      <c r="T84" s="302">
        <f>_xlfn.IFNA((VLOOKUP($A84,HN!$A:$K,9,FALSE)/12),0)+_xlfn.IFNA((VLOOKUP($A84,HN!$A:$K,10,FALSE)/12),0)</f>
        <v>0</v>
      </c>
      <c r="U84" s="302">
        <f>_xlfn.IFNA((VLOOKUP($A84,HN!$A:$BS,15,FALSE)/12),0)</f>
        <v>9136.4749999999985</v>
      </c>
      <c r="V84" s="301">
        <f t="shared" si="73"/>
        <v>-573.76</v>
      </c>
      <c r="W84" s="301">
        <f t="shared" si="74"/>
        <v>-1462.7916666666667</v>
      </c>
      <c r="X84" s="302"/>
      <c r="Y84" s="302">
        <f>_xlfn.IFNA(VLOOKUP($A84,'Cash Advances'!$A:$S,8,FALSE),0)</f>
        <v>0</v>
      </c>
      <c r="Z84" s="301">
        <f t="shared" si="67"/>
        <v>133540.91154807608</v>
      </c>
      <c r="AA84" s="315">
        <f t="shared" si="75"/>
        <v>120440.98821474276</v>
      </c>
      <c r="AB84" s="315"/>
      <c r="AC84" s="316"/>
      <c r="AD84" s="316">
        <f>_xlfn.IFNA((VLOOKUP($A84,HN!$A:$K,8,FALSE)/12),0)</f>
        <v>0</v>
      </c>
      <c r="AE84" s="316">
        <f>_xlfn.IFNA((VLOOKUP($A84,HN!$A:$BS,14,FALSE)/12),0)</f>
        <v>6000</v>
      </c>
      <c r="AF84" s="316">
        <f>_xlfn.IFNA(VLOOKUP($A84,'Post 16'!$A:$V,21,FALSE),0)/4</f>
        <v>0</v>
      </c>
      <c r="AG84" s="316"/>
      <c r="AH84" s="316">
        <f>_xlfn.IFNA((VLOOKUP($A84,HN!$A:$K,9,FALSE)/12),0)+_xlfn.IFNA((VLOOKUP($A84,HN!$A:$K,10,FALSE)/12),0)</f>
        <v>0</v>
      </c>
      <c r="AI84" s="316">
        <f>_xlfn.IFNA((VLOOKUP($A84,HN!$A:$BS,15,FALSE)/12),0)</f>
        <v>9136.4749999999985</v>
      </c>
      <c r="AJ84" s="315">
        <f t="shared" si="76"/>
        <v>-573.76</v>
      </c>
      <c r="AK84" s="315">
        <f t="shared" si="77"/>
        <v>-1462.7916666666667</v>
      </c>
      <c r="AL84" s="316"/>
      <c r="AM84" s="316">
        <f>_xlfn.IFNA(VLOOKUP($A84,'Cash Advances'!$A:$S,9,FALSE),0)</f>
        <v>0</v>
      </c>
      <c r="AN84" s="315">
        <f t="shared" si="68"/>
        <v>133540.91154807608</v>
      </c>
      <c r="AO84" s="308">
        <f t="shared" si="78"/>
        <v>120440.98821474276</v>
      </c>
      <c r="AP84" s="308"/>
      <c r="AQ84" s="309"/>
      <c r="AR84" s="309">
        <f>_xlfn.IFNA((VLOOKUP($A84,HN!$A:$K,8,FALSE)/12),0)</f>
        <v>0</v>
      </c>
      <c r="AS84" s="309">
        <f>_xlfn.IFNA((VLOOKUP($A84,HN!$A:$BS,14,FALSE)/12),0)</f>
        <v>6000</v>
      </c>
      <c r="AT84" s="309">
        <f>_xlfn.IFNA(VLOOKUP($A84,'Post 16'!$A:$V,21,FALSE),0)/4</f>
        <v>0</v>
      </c>
      <c r="AU84" s="309"/>
      <c r="AV84" s="309">
        <f>_xlfn.IFNA((VLOOKUP($A84,HN!$A:$K,9,FALSE)/12),0)+_xlfn.IFNA((VLOOKUP($A84,HN!$A:$K,10,FALSE)/12),0)+_xlfn.IFNA(VLOOKUP(A84,HN!A:V,19,FALSE),0)+_xlfn.IFNA(VLOOKUP(A84,HN!A:V,20,FALSE),0)+_xlfn.IFNA(VLOOKUP(A84,HN!A:V,21,FALSE),0)</f>
        <v>0</v>
      </c>
      <c r="AW84" s="309">
        <f>_xlfn.IFNA((VLOOKUP($A84,HN!$A:$BS,15,FALSE)/12),0)</f>
        <v>9136.4749999999985</v>
      </c>
      <c r="AX84" s="308">
        <f t="shared" si="79"/>
        <v>-573.76</v>
      </c>
      <c r="AY84" s="308">
        <f t="shared" si="80"/>
        <v>-1462.7916666666667</v>
      </c>
      <c r="AZ84" s="309"/>
      <c r="BA84" s="309">
        <f>_xlfn.IFNA(VLOOKUP($A84,'Cash Advances'!$A:$S,10,FALSE),0)</f>
        <v>60000</v>
      </c>
      <c r="BB84" s="308">
        <f t="shared" si="69"/>
        <v>193540.91154807608</v>
      </c>
      <c r="BC84" s="330">
        <f t="shared" si="81"/>
        <v>120440.98821474276</v>
      </c>
      <c r="BD84" s="330"/>
      <c r="BE84" s="331"/>
      <c r="BF84" s="331">
        <f>_xlfn.IFNA((VLOOKUP($A84,HN!$A:$K,8,FALSE)/12),0)</f>
        <v>0</v>
      </c>
      <c r="BG84" s="331">
        <f>_xlfn.IFNA((VLOOKUP($A84,HN!$A:$BS,14,FALSE)/12),0)</f>
        <v>6000</v>
      </c>
      <c r="BH84" s="331">
        <f>_xlfn.IFNA(VLOOKUP($A84,'Post 16'!$A:$V,21,FALSE),0)/4</f>
        <v>0</v>
      </c>
      <c r="BI84" s="331"/>
      <c r="BJ84" s="331">
        <f>_xlfn.IFNA((VLOOKUP($A84,HN!$A:$K,9,FALSE)/12),0)+_xlfn.IFNA((VLOOKUP($A84,HN!$A:$K,10,FALSE)/12),0)</f>
        <v>0</v>
      </c>
      <c r="BK84" s="331">
        <f>_xlfn.IFNA((VLOOKUP($A84,HN!$A:$BS,15,FALSE)/12),0)</f>
        <v>9136.4749999999985</v>
      </c>
      <c r="BL84" s="330">
        <f t="shared" si="82"/>
        <v>-573.76</v>
      </c>
      <c r="BM84" s="330">
        <f t="shared" si="83"/>
        <v>-1462.7916666666667</v>
      </c>
      <c r="BN84" s="331"/>
      <c r="BO84" s="331">
        <f>_xlfn.IFNA(VLOOKUP(A84,'Cash Advances'!A:K,11,FALSE),0)</f>
        <v>0</v>
      </c>
      <c r="BP84" s="330">
        <f t="shared" si="70"/>
        <v>133540.91154807608</v>
      </c>
      <c r="BQ84" s="322">
        <f t="shared" si="84"/>
        <v>120440.98821474276</v>
      </c>
      <c r="BR84" s="322"/>
      <c r="BS84" s="323"/>
      <c r="BT84" s="323">
        <f>_xlfn.IFNA((VLOOKUP($A84,HN!$A:$K,8,FALSE)/12),0)</f>
        <v>0</v>
      </c>
      <c r="BU84" s="323">
        <f>_xlfn.IFNA((VLOOKUP($A84,HN!$A:$BS,14,FALSE)/12),0)</f>
        <v>6000</v>
      </c>
      <c r="BV84" s="323">
        <f>(_xlfn.IFNA(VLOOKUP($A84,'Post 16'!$A:$AV,32,FALSE),0)/8)+_xlfn.IFNA(VLOOKUP($A84,'Post 16'!$A:$AR,40,FALSE),0)</f>
        <v>0</v>
      </c>
      <c r="BW84" s="323"/>
      <c r="BX84" s="323">
        <f>_xlfn.IFNA((VLOOKUP($A84,HN!$A:$K,9,FALSE)/12),0)+_xlfn.IFNA((VLOOKUP($A84,HN!$A:$K,10,FALSE)/12),0)</f>
        <v>0</v>
      </c>
      <c r="BY84" s="323">
        <f>_xlfn.IFNA((VLOOKUP($A84,HN!$A:$BS,15,FALSE)/12),0)</f>
        <v>9136.4749999999985</v>
      </c>
      <c r="BZ84" s="322">
        <f t="shared" si="85"/>
        <v>-573.76</v>
      </c>
      <c r="CA84" s="322">
        <f t="shared" si="86"/>
        <v>-1462.7916666666667</v>
      </c>
      <c r="CB84" s="323"/>
      <c r="CC84" s="323"/>
      <c r="CD84" s="322">
        <f t="shared" si="71"/>
        <v>133540.91154807608</v>
      </c>
      <c r="CE84" s="357">
        <f t="shared" si="87"/>
        <v>120440.98821474276</v>
      </c>
      <c r="CF84" s="357">
        <f>(VLOOKUP($A84,EY!$A:$BS,26,FALSE)-(VLOOKUP($A84,EY!A:CR,24,FALSE)*80%))+VLOOKUP($A84,EY!$A:$BS,42,FALSE)+(VLOOKUP($A84,EY!A:CC,74,FALSE)-VLOOKUP($A84,EY!A:CC,72,FALSE))</f>
        <v>0</v>
      </c>
      <c r="CG84" s="358"/>
      <c r="CH84" s="358">
        <f>_xlfn.IFNA((VLOOKUP($A84,HN!$A:$K,8,FALSE)/12),0)</f>
        <v>0</v>
      </c>
      <c r="CI84" s="358">
        <f>_xlfn.IFNA((VLOOKUP($A84,HN!$A:$BS,14,FALSE)/12),0)</f>
        <v>6000</v>
      </c>
      <c r="CJ84" s="358">
        <f>(_xlfn.IFNA(VLOOKUP($A84,'Post 16'!$A:$AV,32,FALSE),0)/8)</f>
        <v>0</v>
      </c>
      <c r="CK84" s="358">
        <f>(VLOOKUP($A84,EY!A:CR,24,FALSE)*80%)+VLOOKUP($A84,EY!A:CC,72,FALSE)</f>
        <v>0</v>
      </c>
      <c r="CL84" s="358">
        <f>_xlfn.IFNA((VLOOKUP($A84,HN!$A:$K,9,FALSE)/12),0)+_xlfn.IFNA((VLOOKUP($A84,HN!$A:$K,10,FALSE)/12),0)</f>
        <v>0</v>
      </c>
      <c r="CM84" s="358">
        <f>_xlfn.IFNA((VLOOKUP($A84,HN!$A:$BS,15,FALSE)/12),0)</f>
        <v>9136.4749999999985</v>
      </c>
      <c r="CN84" s="357">
        <f t="shared" si="88"/>
        <v>-573.76</v>
      </c>
      <c r="CO84" s="357">
        <f t="shared" si="89"/>
        <v>-1462.7916666666667</v>
      </c>
      <c r="CP84" s="358">
        <f>_xlfn.IFNA(VLOOKUP(A84,'LA Deductions'!A:W,23,FALSE),0)</f>
        <v>-7128</v>
      </c>
      <c r="CQ84" s="358">
        <f>_xlfn.IFNA(VLOOKUP($A84,'Cash Advances'!$A:$S,13,FALSE),0)</f>
        <v>0</v>
      </c>
      <c r="CR84" s="358">
        <f>_xlfn.IFNA(VLOOKUP(A84,'LA Deductions'!A:AZ,25,FALSE),0)/9*3</f>
        <v>0</v>
      </c>
      <c r="CS84" s="357">
        <f t="shared" si="108"/>
        <v>126412.91154807608</v>
      </c>
      <c r="CT84" s="337">
        <f t="shared" si="90"/>
        <v>120440.98821474276</v>
      </c>
      <c r="CU84" s="337"/>
      <c r="CV84" s="338">
        <f>_xlfn.IFNA(VLOOKUP(A84,'LA Deductions'!$A$6:$AN$207,34,FALSE),0)</f>
        <v>0</v>
      </c>
      <c r="CW84" s="338">
        <f>_xlfn.IFNA((VLOOKUP($A84,HN!$A:$K,8,FALSE)/12),0)</f>
        <v>0</v>
      </c>
      <c r="CX84" s="338">
        <f>_xlfn.IFNA((VLOOKUP($A84,HN!$A:$BS,14,FALSE)/12),0)</f>
        <v>6000</v>
      </c>
      <c r="CY84" s="338">
        <f>_xlfn.IFNA(VLOOKUP($A84,'Post 16'!$A:$AV,32,FALSE),0)/8</f>
        <v>0</v>
      </c>
      <c r="CZ84" s="338"/>
      <c r="DA84" s="338">
        <f>_xlfn.IFNA((VLOOKUP($A84,HN!$A:$K,9,FALSE)/12),0)+_xlfn.IFNA((VLOOKUP($A84,HN!$A:$K,10,FALSE)/12),0)</f>
        <v>0</v>
      </c>
      <c r="DB84" s="338">
        <f>_xlfn.IFNA((VLOOKUP($A84,HN!$A:$BS,15,FALSE)/12),0)</f>
        <v>9136.4749999999985</v>
      </c>
      <c r="DC84" s="337">
        <f t="shared" si="91"/>
        <v>-573.76</v>
      </c>
      <c r="DD84" s="337">
        <f t="shared" si="92"/>
        <v>-1462.7916666666667</v>
      </c>
      <c r="DE84" s="338"/>
      <c r="DF84" s="338">
        <f>_xlfn.IFNA(VLOOKUP($A84,'Cash Advances'!$A:$S,14,FALSE),0)</f>
        <v>0</v>
      </c>
      <c r="DG84" s="338">
        <f>(_xlfn.IFNA(VLOOKUP(A84,'LA Deductions'!A:AZ,25,FALSE),0)/9)+(_xlfn.IFNA(VLOOKUP(A84,'LA Deductions'!A:AZ,26,FALSE),0))</f>
        <v>0</v>
      </c>
      <c r="DH84" s="337">
        <f t="shared" si="109"/>
        <v>133540.91154807608</v>
      </c>
      <c r="DI84" s="330">
        <f t="shared" si="93"/>
        <v>120440.98821474276</v>
      </c>
      <c r="DJ84" s="330"/>
      <c r="DK84" s="331"/>
      <c r="DL84" s="331">
        <f>_xlfn.IFNA((VLOOKUP($A84,HN!$A:$K,8,FALSE)/12),0)+_xlfn.IFNA((VLOOKUP($A84,HN!$A:$AF,32,FALSE)*8/12),0)</f>
        <v>0</v>
      </c>
      <c r="DM84" s="331">
        <f>_xlfn.IFNA((VLOOKUP($A84,HN!$A:$BS,14,FALSE)/12),0)+_xlfn.IFNA(VLOOKUP($A84,HN!$A:$BS,31,FALSE),0)</f>
        <v>6000</v>
      </c>
      <c r="DN84" s="331">
        <f>_xlfn.IFNA(VLOOKUP($A84,'Post 16'!$A:$AV,32,FALSE),0)/8</f>
        <v>0</v>
      </c>
      <c r="DO84" s="331"/>
      <c r="DP84" s="331">
        <f>_xlfn.IFNA((VLOOKUP($A84,HN!$A:$K,9,FALSE)/12),0)+_xlfn.IFNA((VLOOKUP($A84,HN!$A:$K,10,FALSE)/12),0)+_xlfn.IFNA((VLOOKUP($A84,HN!$A:$BZ,33,FALSE)*8/12),0)</f>
        <v>0</v>
      </c>
      <c r="DQ84" s="331">
        <f>_xlfn.IFNA((VLOOKUP($A84,HN!$A:$BS,15,FALSE)/12),0)</f>
        <v>9136.4749999999985</v>
      </c>
      <c r="DR84" s="330">
        <f t="shared" si="94"/>
        <v>-573.76</v>
      </c>
      <c r="DS84" s="330">
        <f t="shared" si="95"/>
        <v>-1462.7916666666667</v>
      </c>
      <c r="DT84" s="331"/>
      <c r="DU84" s="331"/>
      <c r="DV84" s="331">
        <f>(_xlfn.IFNA(VLOOKUP(A84,'LA Deductions'!A:AZ,25,FALSE),0)/9)+_xlfn.IFNA(VLOOKUP(A84,'LA Deductions'!A:AZ,27,FALSE),0)</f>
        <v>0</v>
      </c>
      <c r="DW84" s="330">
        <f t="shared" si="110"/>
        <v>133540.91154807608</v>
      </c>
      <c r="DX84" s="344">
        <f t="shared" si="96"/>
        <v>120440.98821474276</v>
      </c>
      <c r="DY84" s="344"/>
      <c r="DZ84" s="345"/>
      <c r="EA84" s="345">
        <f>_xlfn.IFNA((VLOOKUP($A84,HN!$A:$K,8,FALSE)/12),0)+_xlfn.IFNA((VLOOKUP($A84,HN!$A:$AF,32,FALSE)*1/12),0)</f>
        <v>0</v>
      </c>
      <c r="EB84" s="345">
        <f>_xlfn.IFNA((VLOOKUP($A84,HN!$A:$BS,14,FALSE)/12),0)</f>
        <v>6000</v>
      </c>
      <c r="EC84" s="345">
        <f>_xlfn.IFNA(VLOOKUP($A84,'Post 16'!$A:$AV,32,FALSE),0)/8</f>
        <v>0</v>
      </c>
      <c r="ED84" s="345"/>
      <c r="EE84" s="345">
        <f>_xlfn.IFNA((VLOOKUP($A84,HN!$A:$K,9,FALSE)/12),0)+_xlfn.IFNA((VLOOKUP($A84,HN!$A:$K,10,FALSE)/12),0)+_xlfn.IFNA((VLOOKUP($A84,HN!$A:$BZ,33,FALSE)/12),0)</f>
        <v>0</v>
      </c>
      <c r="EF84" s="345">
        <f>_xlfn.IFNA((VLOOKUP($A84,HN!$A:$BS,15,FALSE)/12),0)</f>
        <v>9136.4749999999985</v>
      </c>
      <c r="EG84" s="344">
        <f t="shared" si="97"/>
        <v>-573.76</v>
      </c>
      <c r="EH84" s="344">
        <f t="shared" si="98"/>
        <v>-1462.7916666666667</v>
      </c>
      <c r="EI84" s="345"/>
      <c r="EJ84" s="345">
        <f>_xlfn.IFNA(VLOOKUP(A84,'Cash Advances'!A:P,16,FALSE),0)</f>
        <v>0</v>
      </c>
      <c r="EK84" s="345">
        <f>_xlfn.IFNA(VLOOKUP(A84,'LA Deductions'!A:AZ,25,FALSE),0)/9</f>
        <v>0</v>
      </c>
      <c r="EL84" s="344">
        <f t="shared" si="111"/>
        <v>133540.91154807608</v>
      </c>
      <c r="EM84" s="308">
        <f t="shared" si="99"/>
        <v>120440.98821474276</v>
      </c>
      <c r="EN84" s="308">
        <f>((VLOOKUP($A84,EY!$A:$BS,35,FALSE)-(VLOOKUP($A84,EY!$A:$BS,33,FALSE)*80%))+VLOOKUP($A84,EY!$A:$BS,43,FALSE))+(VLOOKUP(A84,EY!A:DF,110,FALSE)-VLOOKUP(A84,EY!A:DD,108,FALSE))+(VLOOKUP(A84,EY!A:CE,83,FALSE)-VLOOKUP(A84,EY!A:CC,81,FALSE))</f>
        <v>0</v>
      </c>
      <c r="EO84" s="309"/>
      <c r="EP84" s="309">
        <f>_xlfn.IFNA((VLOOKUP($A84,HN!$A:$K,8,FALSE)/12),0)+_xlfn.IFNA((VLOOKUP($A84,HN!$A:$AF,32,FALSE)*1/12),0)</f>
        <v>0</v>
      </c>
      <c r="EQ84" s="309">
        <f>_xlfn.IFNA((VLOOKUP($A84,HN!$A:$BS,14,FALSE)/12),0)+_xlfn.IFNA((VLOOKUP($A84,HN!$A:$BS,34,FALSE)/3),0)</f>
        <v>6000</v>
      </c>
      <c r="ER84" s="309">
        <f>_xlfn.IFNA(VLOOKUP($A84,'Post 16'!$A:$AV,32,FALSE),0)/8</f>
        <v>0</v>
      </c>
      <c r="ES84" s="309">
        <f>((VLOOKUP($A84,EY!A:EV,33,FALSE)*80%))+VLOOKUP(A84,EY!A:DD,108,FALSE)+VLOOKUP(A84,EY!A:CC,81,FALSE)</f>
        <v>0</v>
      </c>
      <c r="ET84" s="309">
        <f>_xlfn.IFNA((VLOOKUP($A84,HN!$A:$K,9,FALSE)/12),0)+_xlfn.IFNA((VLOOKUP($A84,HN!$A:$K,10,FALSE)/12),0)+_xlfn.IFNA((VLOOKUP($A84,HN!$A:$BZ,33,FALSE)/12),0)</f>
        <v>0</v>
      </c>
      <c r="EU84" s="309">
        <f>_xlfn.IFNA((VLOOKUP($A84,HN!$A:$BS,15,FALSE)/12),0)</f>
        <v>9136.4749999999985</v>
      </c>
      <c r="EV84" s="308">
        <f t="shared" si="100"/>
        <v>-573.76</v>
      </c>
      <c r="EW84" s="308">
        <f t="shared" si="101"/>
        <v>-1462.7916666666667</v>
      </c>
      <c r="EX84" s="309"/>
      <c r="EY84" s="309">
        <f>_xlfn.IFNA(VLOOKUP($A84,'Cash Advances'!$A:$S,17,FALSE),0)</f>
        <v>0</v>
      </c>
      <c r="EZ84" s="309">
        <f>_xlfn.IFNA(VLOOKUP(A84,'LA Deductions'!A:AZ,25,FALSE),0)/9</f>
        <v>0</v>
      </c>
      <c r="FA84" s="308">
        <f t="shared" si="112"/>
        <v>133540.91154807608</v>
      </c>
      <c r="FB84" s="315">
        <f t="shared" si="102"/>
        <v>120440.98821474276</v>
      </c>
      <c r="FC84" s="315"/>
      <c r="FD84" s="316"/>
      <c r="FE84" s="316">
        <f>_xlfn.IFNA((VLOOKUP($A84,HN!$A:$K,8,FALSE)/12),0)+_xlfn.IFNA((VLOOKUP($A84,HN!$A:$AF,32,FALSE)*1/12),0)</f>
        <v>0</v>
      </c>
      <c r="FF84" s="316">
        <f>_xlfn.IFNA((VLOOKUP($A84,HN!$A:$BS,14,FALSE)/12),0)+_xlfn.IFNA((VLOOKUP($A84,HN!$A:$BS,34,FALSE)/3),0)</f>
        <v>6000</v>
      </c>
      <c r="FG84" s="316">
        <f>_xlfn.IFNA(VLOOKUP($A84,'Post 16'!$A:$AV,32,FALSE),0)/8</f>
        <v>0</v>
      </c>
      <c r="FH84" s="316"/>
      <c r="FI84" s="316">
        <f>_xlfn.IFNA((VLOOKUP($A84,HN!$A:$K,9,FALSE)/12),0)+_xlfn.IFNA((VLOOKUP($A84,HN!$A:$K,10,FALSE)/12),0)+_xlfn.IFNA((VLOOKUP($A84,HN!$A:$BZ,33,FALSE)/12),0)+_xlfn.IFNA((VLOOKUP($A84,HN!$A:$BZ,35,FALSE)/2),0)</f>
        <v>0</v>
      </c>
      <c r="FJ84" s="316">
        <f>_xlfn.IFNA((VLOOKUP($A84,HN!$A:$BS,15,FALSE)/12),0)+_xlfn.IFNA((VLOOKUP($A84,HN!$A:$CZ,36,FALSE)/2),0)</f>
        <v>13424.404999999999</v>
      </c>
      <c r="FK84" s="315">
        <f t="shared" si="103"/>
        <v>-573.76</v>
      </c>
      <c r="FL84" s="315">
        <f t="shared" si="104"/>
        <v>-1462.7916666666667</v>
      </c>
      <c r="FM84" s="316"/>
      <c r="FN84" s="316">
        <f>_xlfn.IFNA(VLOOKUP($A84,'Cash Advances'!$A:$S,18,FALSE),0)</f>
        <v>0</v>
      </c>
      <c r="FO84" s="316">
        <f>_xlfn.IFNA(VLOOKUP(A84,'LA Deductions'!A:AZ,25,FALSE),0)/9</f>
        <v>0</v>
      </c>
      <c r="FP84" s="315">
        <f t="shared" si="113"/>
        <v>137828.8415480761</v>
      </c>
      <c r="FQ84" s="322">
        <f t="shared" si="105"/>
        <v>120440.98821474276</v>
      </c>
      <c r="FR84" s="322"/>
      <c r="FS84" s="323"/>
      <c r="FT84" s="323">
        <f>_xlfn.IFNA((VLOOKUP($A84,HN!$A:$K,8,FALSE)/12),0)+_xlfn.IFNA((VLOOKUP($A84,HN!$A:$AF,32,FALSE)*1/12),0)</f>
        <v>0</v>
      </c>
      <c r="FU84" s="323">
        <f>_xlfn.IFNA((VLOOKUP($A84,HN!$A:$BS,14,FALSE)/12),0)+_xlfn.IFNA((VLOOKUP($A84,HN!$A:$BS,34,FALSE)/3),0)</f>
        <v>6000</v>
      </c>
      <c r="FV84" s="323">
        <f>_xlfn.IFNA(VLOOKUP($A84,'Post 16'!$A:$AV,32,FALSE),0)/8</f>
        <v>0</v>
      </c>
      <c r="FW84" s="323"/>
      <c r="FX84" s="323">
        <f>_xlfn.IFNA((VLOOKUP($A84,HN!$A:$K,9,FALSE)/12),0)+_xlfn.IFNA((VLOOKUP($A84,HN!$A:$K,10,FALSE)/12),0)+_xlfn.IFNA((VLOOKUP($A84,HN!$A:$BZ,33,FALSE)/12),0)+_xlfn.IFNA((VLOOKUP($A84,HN!$A:$BZ,35,FALSE)/2),0)</f>
        <v>0</v>
      </c>
      <c r="FY84" s="323">
        <f>_xlfn.IFNA((VLOOKUP($A84,HN!$A:$BS,15,FALSE)/12),0)+_xlfn.IFNA((VLOOKUP($A84,HN!$A:$CZ,36,FALSE)/2),0)</f>
        <v>13424.404999999999</v>
      </c>
      <c r="FZ84" s="322">
        <f t="shared" si="106"/>
        <v>-573.76</v>
      </c>
      <c r="GA84" s="322">
        <f t="shared" si="107"/>
        <v>-1462.7916666666667</v>
      </c>
      <c r="GB84" s="323"/>
      <c r="GC84" s="323"/>
      <c r="GD84" s="323">
        <f>_xlfn.IFNA(VLOOKUP(A84,'LA Deductions'!A:AZ,25,FALSE),0)/9</f>
        <v>0</v>
      </c>
      <c r="GE84" s="322">
        <f t="shared" si="114"/>
        <v>137828.8415480761</v>
      </c>
      <c r="GG84" s="146">
        <f t="shared" si="115"/>
        <v>1517291.8585769134</v>
      </c>
      <c r="GH84" s="146">
        <f t="shared" si="115"/>
        <v>0</v>
      </c>
      <c r="GI84" s="146">
        <f t="shared" si="115"/>
        <v>118213.56</v>
      </c>
      <c r="GJ84" s="146">
        <f t="shared" si="115"/>
        <v>-6885.1200000000017</v>
      </c>
      <c r="GK84" s="146">
        <f t="shared" si="115"/>
        <v>-17553.499999999996</v>
      </c>
      <c r="GL84" s="146">
        <f t="shared" si="115"/>
        <v>-7128</v>
      </c>
      <c r="GN84" s="146">
        <f t="shared" si="116"/>
        <v>1517291.8585769134</v>
      </c>
      <c r="GO84" s="146">
        <f t="shared" si="116"/>
        <v>0</v>
      </c>
      <c r="GP84" s="146">
        <f t="shared" si="116"/>
        <v>118213.56</v>
      </c>
      <c r="GQ84" s="146">
        <f t="shared" si="116"/>
        <v>-6885.1200000000017</v>
      </c>
      <c r="GR84" s="146">
        <f t="shared" si="116"/>
        <v>-17553.499999999996</v>
      </c>
      <c r="GS84" s="146">
        <f t="shared" si="116"/>
        <v>-7128</v>
      </c>
      <c r="GU84" s="146"/>
      <c r="GV84" s="57"/>
    </row>
    <row r="85" spans="1:204">
      <c r="A85" s="185">
        <v>2128</v>
      </c>
      <c r="B85" s="185">
        <v>103228</v>
      </c>
      <c r="C85" s="185" t="s">
        <v>190</v>
      </c>
      <c r="D85" s="2" t="s">
        <v>191</v>
      </c>
      <c r="E85" s="191" t="s">
        <v>32</v>
      </c>
      <c r="F85" s="191" t="s">
        <v>912</v>
      </c>
      <c r="H85" s="279">
        <f>_xlfn.IFNA(VLOOKUP($A85,ISB!$A$4:$BY$454,67,FALSE),0)</f>
        <v>2000906.1925619047</v>
      </c>
      <c r="I85" s="279">
        <f>_xlfn.IFNA(VLOOKUP($A85,ISB!$A$4:$BY$454,72,FALSE),0)</f>
        <v>-9623.5199999999986</v>
      </c>
      <c r="J85" s="279">
        <f>-_xlfn.IFNA(VLOOKUP($A85,ISB!$A$4:$BY$454,76,FALSE),0)</f>
        <v>-19016.28</v>
      </c>
      <c r="K85" s="279">
        <f>_xlfn.IFNA(VLOOKUP($A85,ISB!$A$4:$BY$454,77,FALSE),0)</f>
        <v>1972266.3925619046</v>
      </c>
      <c r="M85" s="301">
        <f t="shared" si="72"/>
        <v>166742.18271349205</v>
      </c>
      <c r="N85" s="301">
        <f>VLOOKUP($A85,EY!$A:$H,8,FALSE)+(VLOOKUP($A85,EY!$A:$BS,17,FALSE)-S85)+VLOOKUP($A85,EY!$A:$BS,41,FALSE)</f>
        <v>0</v>
      </c>
      <c r="O85" s="302"/>
      <c r="P85" s="302">
        <f>_xlfn.IFNA((VLOOKUP($A85,HN!$A:$K,8,FALSE)/12),0)</f>
        <v>0</v>
      </c>
      <c r="Q85" s="302">
        <f>_xlfn.IFNA((VLOOKUP($A85,HN!$A:$BS,14,FALSE)/12),0)</f>
        <v>6000</v>
      </c>
      <c r="R85" s="302">
        <f>_xlfn.IFNA(VLOOKUP($A85,'Post 16'!$A:$V,21,FALSE),0)/4</f>
        <v>0</v>
      </c>
      <c r="S85" s="302">
        <f>VLOOKUP($A85,EY!A:Q,15,FALSE)*80%</f>
        <v>0</v>
      </c>
      <c r="T85" s="302">
        <f>_xlfn.IFNA((VLOOKUP($A85,HN!$A:$K,9,FALSE)/12),0)+_xlfn.IFNA((VLOOKUP($A85,HN!$A:$K,10,FALSE)/12),0)</f>
        <v>0</v>
      </c>
      <c r="U85" s="302">
        <f>_xlfn.IFNA((VLOOKUP($A85,HN!$A:$BS,15,FALSE)/12),0)</f>
        <v>13116.754166666666</v>
      </c>
      <c r="V85" s="301">
        <f t="shared" si="73"/>
        <v>-801.95999999999992</v>
      </c>
      <c r="W85" s="301">
        <f t="shared" si="74"/>
        <v>-1584.6899999999998</v>
      </c>
      <c r="X85" s="302"/>
      <c r="Y85" s="302">
        <f>_xlfn.IFNA(VLOOKUP($A85,'Cash Advances'!$A:$S,8,FALSE),0)</f>
        <v>0</v>
      </c>
      <c r="Z85" s="301">
        <f t="shared" si="67"/>
        <v>183472.28688015873</v>
      </c>
      <c r="AA85" s="315">
        <f t="shared" si="75"/>
        <v>166742.18271349205</v>
      </c>
      <c r="AB85" s="315"/>
      <c r="AC85" s="316"/>
      <c r="AD85" s="316">
        <f>_xlfn.IFNA((VLOOKUP($A85,HN!$A:$K,8,FALSE)/12),0)</f>
        <v>0</v>
      </c>
      <c r="AE85" s="316">
        <f>_xlfn.IFNA((VLOOKUP($A85,HN!$A:$BS,14,FALSE)/12),0)</f>
        <v>6000</v>
      </c>
      <c r="AF85" s="316">
        <f>_xlfn.IFNA(VLOOKUP($A85,'Post 16'!$A:$V,21,FALSE),0)/4</f>
        <v>0</v>
      </c>
      <c r="AG85" s="316"/>
      <c r="AH85" s="316">
        <f>_xlfn.IFNA((VLOOKUP($A85,HN!$A:$K,9,FALSE)/12),0)+_xlfn.IFNA((VLOOKUP($A85,HN!$A:$K,10,FALSE)/12),0)</f>
        <v>0</v>
      </c>
      <c r="AI85" s="316">
        <f>_xlfn.IFNA((VLOOKUP($A85,HN!$A:$BS,15,FALSE)/12),0)</f>
        <v>13116.754166666666</v>
      </c>
      <c r="AJ85" s="315">
        <f t="shared" si="76"/>
        <v>-801.95999999999992</v>
      </c>
      <c r="AK85" s="315">
        <f t="shared" si="77"/>
        <v>-1584.6899999999998</v>
      </c>
      <c r="AL85" s="316"/>
      <c r="AM85" s="316">
        <f>_xlfn.IFNA(VLOOKUP($A85,'Cash Advances'!$A:$S,9,FALSE),0)</f>
        <v>0</v>
      </c>
      <c r="AN85" s="315">
        <f t="shared" si="68"/>
        <v>183472.28688015873</v>
      </c>
      <c r="AO85" s="308">
        <f t="shared" si="78"/>
        <v>166742.18271349205</v>
      </c>
      <c r="AP85" s="308"/>
      <c r="AQ85" s="309"/>
      <c r="AR85" s="309">
        <f>_xlfn.IFNA((VLOOKUP($A85,HN!$A:$K,8,FALSE)/12),0)</f>
        <v>0</v>
      </c>
      <c r="AS85" s="309">
        <f>_xlfn.IFNA((VLOOKUP($A85,HN!$A:$BS,14,FALSE)/12),0)</f>
        <v>6000</v>
      </c>
      <c r="AT85" s="309">
        <f>_xlfn.IFNA(VLOOKUP($A85,'Post 16'!$A:$V,21,FALSE),0)/4</f>
        <v>0</v>
      </c>
      <c r="AU85" s="309"/>
      <c r="AV85" s="309">
        <f>_xlfn.IFNA((VLOOKUP($A85,HN!$A:$K,9,FALSE)/12),0)+_xlfn.IFNA((VLOOKUP($A85,HN!$A:$K,10,FALSE)/12),0)+_xlfn.IFNA(VLOOKUP(A85,HN!A:V,19,FALSE),0)+_xlfn.IFNA(VLOOKUP(A85,HN!A:V,20,FALSE),0)+_xlfn.IFNA(VLOOKUP(A85,HN!A:V,21,FALSE),0)</f>
        <v>0</v>
      </c>
      <c r="AW85" s="309">
        <f>_xlfn.IFNA((VLOOKUP($A85,HN!$A:$BS,15,FALSE)/12),0)</f>
        <v>13116.754166666666</v>
      </c>
      <c r="AX85" s="308">
        <f t="shared" si="79"/>
        <v>-801.95999999999992</v>
      </c>
      <c r="AY85" s="308">
        <f t="shared" si="80"/>
        <v>-1584.6899999999998</v>
      </c>
      <c r="AZ85" s="309"/>
      <c r="BA85" s="309">
        <f>_xlfn.IFNA(VLOOKUP($A85,'Cash Advances'!$A:$S,10,FALSE),0)</f>
        <v>0</v>
      </c>
      <c r="BB85" s="308">
        <f t="shared" si="69"/>
        <v>183472.28688015873</v>
      </c>
      <c r="BC85" s="330">
        <f t="shared" si="81"/>
        <v>166742.18271349205</v>
      </c>
      <c r="BD85" s="330"/>
      <c r="BE85" s="331"/>
      <c r="BF85" s="331">
        <f>_xlfn.IFNA((VLOOKUP($A85,HN!$A:$K,8,FALSE)/12),0)</f>
        <v>0</v>
      </c>
      <c r="BG85" s="331">
        <f>_xlfn.IFNA((VLOOKUP($A85,HN!$A:$BS,14,FALSE)/12),0)</f>
        <v>6000</v>
      </c>
      <c r="BH85" s="331">
        <f>_xlfn.IFNA(VLOOKUP($A85,'Post 16'!$A:$V,21,FALSE),0)/4</f>
        <v>0</v>
      </c>
      <c r="BI85" s="331"/>
      <c r="BJ85" s="331">
        <f>_xlfn.IFNA((VLOOKUP($A85,HN!$A:$K,9,FALSE)/12),0)+_xlfn.IFNA((VLOOKUP($A85,HN!$A:$K,10,FALSE)/12),0)</f>
        <v>0</v>
      </c>
      <c r="BK85" s="331">
        <f>_xlfn.IFNA((VLOOKUP($A85,HN!$A:$BS,15,FALSE)/12),0)</f>
        <v>13116.754166666666</v>
      </c>
      <c r="BL85" s="330">
        <f t="shared" si="82"/>
        <v>-801.95999999999992</v>
      </c>
      <c r="BM85" s="330">
        <f t="shared" si="83"/>
        <v>-1584.6899999999998</v>
      </c>
      <c r="BN85" s="331"/>
      <c r="BO85" s="331">
        <f>_xlfn.IFNA(VLOOKUP(A85,'Cash Advances'!A:K,11,FALSE),0)</f>
        <v>0</v>
      </c>
      <c r="BP85" s="330">
        <f t="shared" si="70"/>
        <v>183472.28688015873</v>
      </c>
      <c r="BQ85" s="322">
        <f t="shared" si="84"/>
        <v>166742.18271349205</v>
      </c>
      <c r="BR85" s="322"/>
      <c r="BS85" s="323"/>
      <c r="BT85" s="323">
        <f>_xlfn.IFNA((VLOOKUP($A85,HN!$A:$K,8,FALSE)/12),0)</f>
        <v>0</v>
      </c>
      <c r="BU85" s="323">
        <f>_xlfn.IFNA((VLOOKUP($A85,HN!$A:$BS,14,FALSE)/12),0)</f>
        <v>6000</v>
      </c>
      <c r="BV85" s="323">
        <f>(_xlfn.IFNA(VLOOKUP($A85,'Post 16'!$A:$AV,32,FALSE),0)/8)+_xlfn.IFNA(VLOOKUP($A85,'Post 16'!$A:$AR,40,FALSE),0)</f>
        <v>0</v>
      </c>
      <c r="BW85" s="323"/>
      <c r="BX85" s="323">
        <f>_xlfn.IFNA((VLOOKUP($A85,HN!$A:$K,9,FALSE)/12),0)+_xlfn.IFNA((VLOOKUP($A85,HN!$A:$K,10,FALSE)/12),0)</f>
        <v>0</v>
      </c>
      <c r="BY85" s="323">
        <f>_xlfn.IFNA((VLOOKUP($A85,HN!$A:$BS,15,FALSE)/12),0)</f>
        <v>13116.754166666666</v>
      </c>
      <c r="BZ85" s="322">
        <f t="shared" si="85"/>
        <v>-801.95999999999992</v>
      </c>
      <c r="CA85" s="322">
        <f t="shared" si="86"/>
        <v>-1584.6899999999998</v>
      </c>
      <c r="CB85" s="323"/>
      <c r="CC85" s="323"/>
      <c r="CD85" s="322">
        <f t="shared" si="71"/>
        <v>183472.28688015873</v>
      </c>
      <c r="CE85" s="357">
        <f t="shared" si="87"/>
        <v>166742.18271349205</v>
      </c>
      <c r="CF85" s="357">
        <f>(VLOOKUP($A85,EY!$A:$BS,26,FALSE)-(VLOOKUP($A85,EY!A:CR,24,FALSE)*80%))+VLOOKUP($A85,EY!$A:$BS,42,FALSE)+(VLOOKUP($A85,EY!A:CC,74,FALSE)-VLOOKUP($A85,EY!A:CC,72,FALSE))</f>
        <v>0</v>
      </c>
      <c r="CG85" s="358"/>
      <c r="CH85" s="358">
        <f>_xlfn.IFNA((VLOOKUP($A85,HN!$A:$K,8,FALSE)/12),0)</f>
        <v>0</v>
      </c>
      <c r="CI85" s="358">
        <f>_xlfn.IFNA((VLOOKUP($A85,HN!$A:$BS,14,FALSE)/12),0)</f>
        <v>6000</v>
      </c>
      <c r="CJ85" s="358">
        <f>(_xlfn.IFNA(VLOOKUP($A85,'Post 16'!$A:$AV,32,FALSE),0)/8)</f>
        <v>0</v>
      </c>
      <c r="CK85" s="358">
        <f>(VLOOKUP($A85,EY!A:CR,24,FALSE)*80%)+VLOOKUP($A85,EY!A:CC,72,FALSE)</f>
        <v>0</v>
      </c>
      <c r="CL85" s="358">
        <f>_xlfn.IFNA((VLOOKUP($A85,HN!$A:$K,9,FALSE)/12),0)+_xlfn.IFNA((VLOOKUP($A85,HN!$A:$K,10,FALSE)/12),0)</f>
        <v>0</v>
      </c>
      <c r="CM85" s="358">
        <f>_xlfn.IFNA((VLOOKUP($A85,HN!$A:$BS,15,FALSE)/12),0)</f>
        <v>13116.754166666666</v>
      </c>
      <c r="CN85" s="357">
        <f t="shared" si="88"/>
        <v>-801.95999999999992</v>
      </c>
      <c r="CO85" s="357">
        <f t="shared" si="89"/>
        <v>-1584.6899999999998</v>
      </c>
      <c r="CP85" s="358">
        <f>_xlfn.IFNA(VLOOKUP(A85,'LA Deductions'!A:W,23,FALSE),0)</f>
        <v>-9471</v>
      </c>
      <c r="CQ85" s="358">
        <f>_xlfn.IFNA(VLOOKUP($A85,'Cash Advances'!$A:$S,13,FALSE),0)</f>
        <v>0</v>
      </c>
      <c r="CR85" s="358">
        <f>_xlfn.IFNA(VLOOKUP(A85,'LA Deductions'!A:AZ,25,FALSE),0)/9*3</f>
        <v>0</v>
      </c>
      <c r="CS85" s="357">
        <f t="shared" si="108"/>
        <v>174001.28688015873</v>
      </c>
      <c r="CT85" s="337">
        <f t="shared" si="90"/>
        <v>166742.18271349205</v>
      </c>
      <c r="CU85" s="337"/>
      <c r="CV85" s="338">
        <f>_xlfn.IFNA(VLOOKUP(A85,'LA Deductions'!$A$6:$AN$207,34,FALSE),0)</f>
        <v>0</v>
      </c>
      <c r="CW85" s="338">
        <f>_xlfn.IFNA((VLOOKUP($A85,HN!$A:$K,8,FALSE)/12),0)</f>
        <v>0</v>
      </c>
      <c r="CX85" s="338">
        <f>_xlfn.IFNA((VLOOKUP($A85,HN!$A:$BS,14,FALSE)/12),0)</f>
        <v>6000</v>
      </c>
      <c r="CY85" s="338">
        <f>_xlfn.IFNA(VLOOKUP($A85,'Post 16'!$A:$AV,32,FALSE),0)/8</f>
        <v>0</v>
      </c>
      <c r="CZ85" s="338"/>
      <c r="DA85" s="338">
        <f>_xlfn.IFNA((VLOOKUP($A85,HN!$A:$K,9,FALSE)/12),0)+_xlfn.IFNA((VLOOKUP($A85,HN!$A:$K,10,FALSE)/12),0)</f>
        <v>0</v>
      </c>
      <c r="DB85" s="338">
        <f>_xlfn.IFNA((VLOOKUP($A85,HN!$A:$BS,15,FALSE)/12),0)</f>
        <v>13116.754166666666</v>
      </c>
      <c r="DC85" s="337">
        <f t="shared" si="91"/>
        <v>-801.95999999999992</v>
      </c>
      <c r="DD85" s="337">
        <f t="shared" si="92"/>
        <v>-1584.6899999999998</v>
      </c>
      <c r="DE85" s="338"/>
      <c r="DF85" s="338">
        <f>_xlfn.IFNA(VLOOKUP($A85,'Cash Advances'!$A:$S,14,FALSE),0)</f>
        <v>0</v>
      </c>
      <c r="DG85" s="338">
        <f>(_xlfn.IFNA(VLOOKUP(A85,'LA Deductions'!A:AZ,25,FALSE),0)/9)+(_xlfn.IFNA(VLOOKUP(A85,'LA Deductions'!A:AZ,26,FALSE),0))</f>
        <v>0</v>
      </c>
      <c r="DH85" s="337">
        <f t="shared" si="109"/>
        <v>183472.28688015873</v>
      </c>
      <c r="DI85" s="330">
        <f t="shared" si="93"/>
        <v>166742.18271349205</v>
      </c>
      <c r="DJ85" s="330"/>
      <c r="DK85" s="331"/>
      <c r="DL85" s="331">
        <f>_xlfn.IFNA((VLOOKUP($A85,HN!$A:$K,8,FALSE)/12),0)+_xlfn.IFNA((VLOOKUP($A85,HN!$A:$AF,32,FALSE)*8/12),0)</f>
        <v>0</v>
      </c>
      <c r="DM85" s="331">
        <f>_xlfn.IFNA((VLOOKUP($A85,HN!$A:$BS,14,FALSE)/12),0)+_xlfn.IFNA(VLOOKUP($A85,HN!$A:$BS,31,FALSE),0)</f>
        <v>6000</v>
      </c>
      <c r="DN85" s="331">
        <f>_xlfn.IFNA(VLOOKUP($A85,'Post 16'!$A:$AV,32,FALSE),0)/8</f>
        <v>0</v>
      </c>
      <c r="DO85" s="331"/>
      <c r="DP85" s="331">
        <f>_xlfn.IFNA((VLOOKUP($A85,HN!$A:$K,9,FALSE)/12),0)+_xlfn.IFNA((VLOOKUP($A85,HN!$A:$K,10,FALSE)/12),0)+_xlfn.IFNA((VLOOKUP($A85,HN!$A:$BZ,33,FALSE)*8/12),0)</f>
        <v>0</v>
      </c>
      <c r="DQ85" s="331">
        <f>_xlfn.IFNA((VLOOKUP($A85,HN!$A:$BS,15,FALSE)/12),0)</f>
        <v>13116.754166666666</v>
      </c>
      <c r="DR85" s="330">
        <f t="shared" si="94"/>
        <v>-801.95999999999992</v>
      </c>
      <c r="DS85" s="330">
        <f t="shared" si="95"/>
        <v>-1584.6899999999998</v>
      </c>
      <c r="DT85" s="331"/>
      <c r="DU85" s="331"/>
      <c r="DV85" s="331">
        <f>(_xlfn.IFNA(VLOOKUP(A85,'LA Deductions'!A:AZ,25,FALSE),0)/9)+_xlfn.IFNA(VLOOKUP(A85,'LA Deductions'!A:AZ,27,FALSE),0)</f>
        <v>0</v>
      </c>
      <c r="DW85" s="330">
        <f t="shared" si="110"/>
        <v>183472.28688015873</v>
      </c>
      <c r="DX85" s="344">
        <f t="shared" si="96"/>
        <v>166742.18271349205</v>
      </c>
      <c r="DY85" s="344"/>
      <c r="DZ85" s="345"/>
      <c r="EA85" s="345">
        <f>_xlfn.IFNA((VLOOKUP($A85,HN!$A:$K,8,FALSE)/12),0)+_xlfn.IFNA((VLOOKUP($A85,HN!$A:$AF,32,FALSE)*1/12),0)</f>
        <v>0</v>
      </c>
      <c r="EB85" s="345">
        <f>_xlfn.IFNA((VLOOKUP($A85,HN!$A:$BS,14,FALSE)/12),0)</f>
        <v>6000</v>
      </c>
      <c r="EC85" s="345">
        <f>_xlfn.IFNA(VLOOKUP($A85,'Post 16'!$A:$AV,32,FALSE),0)/8</f>
        <v>0</v>
      </c>
      <c r="ED85" s="345"/>
      <c r="EE85" s="345">
        <f>_xlfn.IFNA((VLOOKUP($A85,HN!$A:$K,9,FALSE)/12),0)+_xlfn.IFNA((VLOOKUP($A85,HN!$A:$K,10,FALSE)/12),0)+_xlfn.IFNA((VLOOKUP($A85,HN!$A:$BZ,33,FALSE)/12),0)</f>
        <v>0</v>
      </c>
      <c r="EF85" s="345">
        <f>_xlfn.IFNA((VLOOKUP($A85,HN!$A:$BS,15,FALSE)/12),0)</f>
        <v>13116.754166666666</v>
      </c>
      <c r="EG85" s="344">
        <f t="shared" si="97"/>
        <v>-801.95999999999992</v>
      </c>
      <c r="EH85" s="344">
        <f t="shared" si="98"/>
        <v>-1584.6899999999998</v>
      </c>
      <c r="EI85" s="345"/>
      <c r="EJ85" s="345">
        <f>_xlfn.IFNA(VLOOKUP(A85,'Cash Advances'!A:P,16,FALSE),0)</f>
        <v>0</v>
      </c>
      <c r="EK85" s="345">
        <f>_xlfn.IFNA(VLOOKUP(A85,'LA Deductions'!A:AZ,25,FALSE),0)/9</f>
        <v>0</v>
      </c>
      <c r="EL85" s="344">
        <f t="shared" si="111"/>
        <v>183472.28688015873</v>
      </c>
      <c r="EM85" s="308">
        <f t="shared" si="99"/>
        <v>166742.18271349205</v>
      </c>
      <c r="EN85" s="308">
        <f>((VLOOKUP($A85,EY!$A:$BS,35,FALSE)-(VLOOKUP($A85,EY!$A:$BS,33,FALSE)*80%))+VLOOKUP($A85,EY!$A:$BS,43,FALSE))+(VLOOKUP(A85,EY!A:DF,110,FALSE)-VLOOKUP(A85,EY!A:DD,108,FALSE))+(VLOOKUP(A85,EY!A:CE,83,FALSE)-VLOOKUP(A85,EY!A:CC,81,FALSE))</f>
        <v>0</v>
      </c>
      <c r="EO85" s="309"/>
      <c r="EP85" s="309">
        <f>_xlfn.IFNA((VLOOKUP($A85,HN!$A:$K,8,FALSE)/12),0)+_xlfn.IFNA((VLOOKUP($A85,HN!$A:$AF,32,FALSE)*1/12),0)</f>
        <v>0</v>
      </c>
      <c r="EQ85" s="309">
        <f>_xlfn.IFNA((VLOOKUP($A85,HN!$A:$BS,14,FALSE)/12),0)+_xlfn.IFNA((VLOOKUP($A85,HN!$A:$BS,34,FALSE)/3),0)</f>
        <v>6000</v>
      </c>
      <c r="ER85" s="309">
        <f>_xlfn.IFNA(VLOOKUP($A85,'Post 16'!$A:$AV,32,FALSE),0)/8</f>
        <v>0</v>
      </c>
      <c r="ES85" s="309">
        <f>((VLOOKUP($A85,EY!A:EV,33,FALSE)*80%))+VLOOKUP(A85,EY!A:DD,108,FALSE)+VLOOKUP(A85,EY!A:CC,81,FALSE)</f>
        <v>0</v>
      </c>
      <c r="ET85" s="309">
        <f>_xlfn.IFNA((VLOOKUP($A85,HN!$A:$K,9,FALSE)/12),0)+_xlfn.IFNA((VLOOKUP($A85,HN!$A:$K,10,FALSE)/12),0)+_xlfn.IFNA((VLOOKUP($A85,HN!$A:$BZ,33,FALSE)/12),0)</f>
        <v>0</v>
      </c>
      <c r="EU85" s="309">
        <f>_xlfn.IFNA((VLOOKUP($A85,HN!$A:$BS,15,FALSE)/12),0)</f>
        <v>13116.754166666666</v>
      </c>
      <c r="EV85" s="308">
        <f t="shared" si="100"/>
        <v>-801.95999999999992</v>
      </c>
      <c r="EW85" s="308">
        <f t="shared" si="101"/>
        <v>-1584.6899999999998</v>
      </c>
      <c r="EX85" s="309"/>
      <c r="EY85" s="309">
        <f>_xlfn.IFNA(VLOOKUP($A85,'Cash Advances'!$A:$S,17,FALSE),0)</f>
        <v>0</v>
      </c>
      <c r="EZ85" s="309">
        <f>_xlfn.IFNA(VLOOKUP(A85,'LA Deductions'!A:AZ,25,FALSE),0)/9</f>
        <v>0</v>
      </c>
      <c r="FA85" s="308">
        <f t="shared" si="112"/>
        <v>183472.28688015873</v>
      </c>
      <c r="FB85" s="315">
        <f t="shared" si="102"/>
        <v>166742.18271349205</v>
      </c>
      <c r="FC85" s="315"/>
      <c r="FD85" s="316"/>
      <c r="FE85" s="316">
        <f>_xlfn.IFNA((VLOOKUP($A85,HN!$A:$K,8,FALSE)/12),0)+_xlfn.IFNA((VLOOKUP($A85,HN!$A:$AF,32,FALSE)*1/12),0)</f>
        <v>0</v>
      </c>
      <c r="FF85" s="316">
        <f>_xlfn.IFNA((VLOOKUP($A85,HN!$A:$BS,14,FALSE)/12),0)+_xlfn.IFNA((VLOOKUP($A85,HN!$A:$BS,34,FALSE)/3),0)</f>
        <v>6000</v>
      </c>
      <c r="FG85" s="316">
        <f>_xlfn.IFNA(VLOOKUP($A85,'Post 16'!$A:$AV,32,FALSE),0)/8</f>
        <v>0</v>
      </c>
      <c r="FH85" s="316"/>
      <c r="FI85" s="316">
        <f>_xlfn.IFNA((VLOOKUP($A85,HN!$A:$K,9,FALSE)/12),0)+_xlfn.IFNA((VLOOKUP($A85,HN!$A:$K,10,FALSE)/12),0)+_xlfn.IFNA((VLOOKUP($A85,HN!$A:$BZ,33,FALSE)/12),0)+_xlfn.IFNA((VLOOKUP($A85,HN!$A:$BZ,35,FALSE)/2),0)</f>
        <v>0</v>
      </c>
      <c r="FJ85" s="316">
        <f>_xlfn.IFNA((VLOOKUP($A85,HN!$A:$BS,15,FALSE)/12),0)+_xlfn.IFNA((VLOOKUP($A85,HN!$A:$CZ,36,FALSE)/2),0)</f>
        <v>-2023.2958333333336</v>
      </c>
      <c r="FK85" s="315">
        <f t="shared" si="103"/>
        <v>-801.95999999999992</v>
      </c>
      <c r="FL85" s="315">
        <f t="shared" si="104"/>
        <v>-1584.6899999999998</v>
      </c>
      <c r="FM85" s="316"/>
      <c r="FN85" s="316">
        <f>_xlfn.IFNA(VLOOKUP($A85,'Cash Advances'!$A:$S,18,FALSE),0)</f>
        <v>0</v>
      </c>
      <c r="FO85" s="316">
        <f>_xlfn.IFNA(VLOOKUP(A85,'LA Deductions'!A:AZ,25,FALSE),0)/9</f>
        <v>0</v>
      </c>
      <c r="FP85" s="315">
        <f t="shared" si="113"/>
        <v>168332.23688015871</v>
      </c>
      <c r="FQ85" s="322">
        <f t="shared" si="105"/>
        <v>166742.18271349205</v>
      </c>
      <c r="FR85" s="322"/>
      <c r="FS85" s="323"/>
      <c r="FT85" s="323">
        <f>_xlfn.IFNA((VLOOKUP($A85,HN!$A:$K,8,FALSE)/12),0)+_xlfn.IFNA((VLOOKUP($A85,HN!$A:$AF,32,FALSE)*1/12),0)</f>
        <v>0</v>
      </c>
      <c r="FU85" s="323">
        <f>_xlfn.IFNA((VLOOKUP($A85,HN!$A:$BS,14,FALSE)/12),0)+_xlfn.IFNA((VLOOKUP($A85,HN!$A:$BS,34,FALSE)/3),0)</f>
        <v>6000</v>
      </c>
      <c r="FV85" s="323">
        <f>_xlfn.IFNA(VLOOKUP($A85,'Post 16'!$A:$AV,32,FALSE),0)/8</f>
        <v>0</v>
      </c>
      <c r="FW85" s="323"/>
      <c r="FX85" s="323">
        <f>_xlfn.IFNA((VLOOKUP($A85,HN!$A:$K,9,FALSE)/12),0)+_xlfn.IFNA((VLOOKUP($A85,HN!$A:$K,10,FALSE)/12),0)+_xlfn.IFNA((VLOOKUP($A85,HN!$A:$BZ,33,FALSE)/12),0)+_xlfn.IFNA((VLOOKUP($A85,HN!$A:$BZ,35,FALSE)/2),0)</f>
        <v>0</v>
      </c>
      <c r="FY85" s="323">
        <f>_xlfn.IFNA((VLOOKUP($A85,HN!$A:$BS,15,FALSE)/12),0)+_xlfn.IFNA((VLOOKUP($A85,HN!$A:$CZ,36,FALSE)/2),0)</f>
        <v>-2023.2958333333336</v>
      </c>
      <c r="FZ85" s="322">
        <f t="shared" si="106"/>
        <v>-801.95999999999992</v>
      </c>
      <c r="GA85" s="322">
        <f t="shared" si="107"/>
        <v>-1584.6899999999998</v>
      </c>
      <c r="GB85" s="323"/>
      <c r="GC85" s="323"/>
      <c r="GD85" s="323">
        <f>_xlfn.IFNA(VLOOKUP(A85,'LA Deductions'!A:AZ,25,FALSE),0)/9</f>
        <v>0</v>
      </c>
      <c r="GE85" s="322">
        <f t="shared" si="114"/>
        <v>168332.23688015871</v>
      </c>
      <c r="GG85" s="146">
        <f t="shared" si="115"/>
        <v>2072906.1925619047</v>
      </c>
      <c r="GH85" s="146">
        <f t="shared" si="115"/>
        <v>0</v>
      </c>
      <c r="GI85" s="146">
        <f t="shared" si="115"/>
        <v>127120.94999999998</v>
      </c>
      <c r="GJ85" s="146">
        <f t="shared" si="115"/>
        <v>-9623.5199999999986</v>
      </c>
      <c r="GK85" s="146">
        <f t="shared" si="115"/>
        <v>-19016.28</v>
      </c>
      <c r="GL85" s="146">
        <f t="shared" si="115"/>
        <v>-9471</v>
      </c>
      <c r="GN85" s="146">
        <f t="shared" si="116"/>
        <v>2072906.1925619047</v>
      </c>
      <c r="GO85" s="146">
        <f t="shared" si="116"/>
        <v>0</v>
      </c>
      <c r="GP85" s="146">
        <f t="shared" si="116"/>
        <v>127120.94999999998</v>
      </c>
      <c r="GQ85" s="146">
        <f t="shared" si="116"/>
        <v>-9623.5199999999986</v>
      </c>
      <c r="GR85" s="146">
        <f t="shared" si="116"/>
        <v>-19016.28</v>
      </c>
      <c r="GS85" s="146">
        <f t="shared" si="116"/>
        <v>-9471</v>
      </c>
      <c r="GU85" s="146"/>
      <c r="GV85" s="57"/>
    </row>
    <row r="86" spans="1:204">
      <c r="A86" s="185">
        <v>2420</v>
      </c>
      <c r="B86" s="185">
        <v>103353</v>
      </c>
      <c r="C86" s="185" t="s">
        <v>192</v>
      </c>
      <c r="D86" s="2" t="s">
        <v>193</v>
      </c>
      <c r="E86" s="191" t="s">
        <v>32</v>
      </c>
      <c r="F86" s="191" t="s">
        <v>912</v>
      </c>
      <c r="H86" s="279">
        <f>_xlfn.IFNA(VLOOKUP($A86,ISB!$A$4:$BY$454,67,FALSE),0)</f>
        <v>2115545.64</v>
      </c>
      <c r="I86" s="279">
        <f>_xlfn.IFNA(VLOOKUP($A86,ISB!$A$4:$BY$454,72,FALSE),0)</f>
        <v>-11005.759999999998</v>
      </c>
      <c r="J86" s="279">
        <f>-_xlfn.IFNA(VLOOKUP($A86,ISB!$A$4:$BY$454,76,FALSE),0)</f>
        <v>-24535.64</v>
      </c>
      <c r="K86" s="279">
        <f>_xlfn.IFNA(VLOOKUP($A86,ISB!$A$4:$BY$454,77,FALSE),0)</f>
        <v>2080004.2400000005</v>
      </c>
      <c r="M86" s="301">
        <f t="shared" si="72"/>
        <v>176295.47</v>
      </c>
      <c r="N86" s="301">
        <f>VLOOKUP($A86,EY!$A:$H,8,FALSE)+(VLOOKUP($A86,EY!$A:$BS,17,FALSE)-S86)+VLOOKUP($A86,EY!$A:$BS,41,FALSE)</f>
        <v>0</v>
      </c>
      <c r="O86" s="302"/>
      <c r="P86" s="302">
        <f>_xlfn.IFNA((VLOOKUP($A86,HN!$A:$K,8,FALSE)/12),0)</f>
        <v>0</v>
      </c>
      <c r="Q86" s="302">
        <f>_xlfn.IFNA((VLOOKUP($A86,HN!$A:$BS,14,FALSE)/12),0)</f>
        <v>0</v>
      </c>
      <c r="R86" s="302">
        <f>_xlfn.IFNA(VLOOKUP($A86,'Post 16'!$A:$V,21,FALSE),0)/4</f>
        <v>0</v>
      </c>
      <c r="S86" s="302">
        <f>VLOOKUP($A86,EY!A:Q,15,FALSE)*80%</f>
        <v>0</v>
      </c>
      <c r="T86" s="302">
        <f>_xlfn.IFNA((VLOOKUP($A86,HN!$A:$K,9,FALSE)/12),0)+_xlfn.IFNA((VLOOKUP($A86,HN!$A:$K,10,FALSE)/12),0)</f>
        <v>0</v>
      </c>
      <c r="U86" s="302">
        <f>_xlfn.IFNA((VLOOKUP($A86,HN!$A:$BS,15,FALSE)/12),0)</f>
        <v>0</v>
      </c>
      <c r="V86" s="301">
        <f t="shared" si="73"/>
        <v>-917.14666666666653</v>
      </c>
      <c r="W86" s="301">
        <f t="shared" si="74"/>
        <v>-2044.6366666666665</v>
      </c>
      <c r="X86" s="302"/>
      <c r="Y86" s="302">
        <f>_xlfn.IFNA(VLOOKUP($A86,'Cash Advances'!$A:$S,8,FALSE),0)</f>
        <v>0</v>
      </c>
      <c r="Z86" s="301">
        <f t="shared" si="67"/>
        <v>173333.68666666668</v>
      </c>
      <c r="AA86" s="315">
        <f t="shared" si="75"/>
        <v>176295.47</v>
      </c>
      <c r="AB86" s="315"/>
      <c r="AC86" s="316"/>
      <c r="AD86" s="316">
        <f>_xlfn.IFNA((VLOOKUP($A86,HN!$A:$K,8,FALSE)/12),0)</f>
        <v>0</v>
      </c>
      <c r="AE86" s="316">
        <f>_xlfn.IFNA((VLOOKUP($A86,HN!$A:$BS,14,FALSE)/12),0)</f>
        <v>0</v>
      </c>
      <c r="AF86" s="316">
        <f>_xlfn.IFNA(VLOOKUP($A86,'Post 16'!$A:$V,21,FALSE),0)/4</f>
        <v>0</v>
      </c>
      <c r="AG86" s="316"/>
      <c r="AH86" s="316">
        <f>_xlfn.IFNA((VLOOKUP($A86,HN!$A:$K,9,FALSE)/12),0)+_xlfn.IFNA((VLOOKUP($A86,HN!$A:$K,10,FALSE)/12),0)</f>
        <v>0</v>
      </c>
      <c r="AI86" s="316">
        <f>_xlfn.IFNA((VLOOKUP($A86,HN!$A:$BS,15,FALSE)/12),0)</f>
        <v>0</v>
      </c>
      <c r="AJ86" s="315">
        <f t="shared" si="76"/>
        <v>-917.14666666666653</v>
      </c>
      <c r="AK86" s="315">
        <f t="shared" si="77"/>
        <v>-2044.6366666666665</v>
      </c>
      <c r="AL86" s="316"/>
      <c r="AM86" s="316">
        <f>_xlfn.IFNA(VLOOKUP($A86,'Cash Advances'!$A:$S,9,FALSE),0)</f>
        <v>0</v>
      </c>
      <c r="AN86" s="315">
        <f t="shared" si="68"/>
        <v>173333.68666666668</v>
      </c>
      <c r="AO86" s="308">
        <f t="shared" si="78"/>
        <v>176295.47</v>
      </c>
      <c r="AP86" s="308"/>
      <c r="AQ86" s="309"/>
      <c r="AR86" s="309">
        <f>_xlfn.IFNA((VLOOKUP($A86,HN!$A:$K,8,FALSE)/12),0)</f>
        <v>0</v>
      </c>
      <c r="AS86" s="309">
        <f>_xlfn.IFNA((VLOOKUP($A86,HN!$A:$BS,14,FALSE)/12),0)</f>
        <v>0</v>
      </c>
      <c r="AT86" s="309">
        <f>_xlfn.IFNA(VLOOKUP($A86,'Post 16'!$A:$V,21,FALSE),0)/4</f>
        <v>0</v>
      </c>
      <c r="AU86" s="309"/>
      <c r="AV86" s="309">
        <f>_xlfn.IFNA((VLOOKUP($A86,HN!$A:$K,9,FALSE)/12),0)+_xlfn.IFNA((VLOOKUP($A86,HN!$A:$K,10,FALSE)/12),0)+_xlfn.IFNA(VLOOKUP(A86,HN!A:V,19,FALSE),0)+_xlfn.IFNA(VLOOKUP(A86,HN!A:V,20,FALSE),0)+_xlfn.IFNA(VLOOKUP(A86,HN!A:V,21,FALSE),0)</f>
        <v>0</v>
      </c>
      <c r="AW86" s="309">
        <f>_xlfn.IFNA((VLOOKUP($A86,HN!$A:$BS,15,FALSE)/12),0)</f>
        <v>0</v>
      </c>
      <c r="AX86" s="308">
        <f t="shared" si="79"/>
        <v>-917.14666666666653</v>
      </c>
      <c r="AY86" s="308">
        <f t="shared" si="80"/>
        <v>-2044.6366666666665</v>
      </c>
      <c r="AZ86" s="309"/>
      <c r="BA86" s="309">
        <f>_xlfn.IFNA(VLOOKUP($A86,'Cash Advances'!$A:$S,10,FALSE),0)</f>
        <v>0</v>
      </c>
      <c r="BB86" s="308">
        <f t="shared" si="69"/>
        <v>173333.68666666668</v>
      </c>
      <c r="BC86" s="330">
        <f t="shared" si="81"/>
        <v>176295.47</v>
      </c>
      <c r="BD86" s="330"/>
      <c r="BE86" s="331"/>
      <c r="BF86" s="331">
        <f>_xlfn.IFNA((VLOOKUP($A86,HN!$A:$K,8,FALSE)/12),0)</f>
        <v>0</v>
      </c>
      <c r="BG86" s="331">
        <f>_xlfn.IFNA((VLOOKUP($A86,HN!$A:$BS,14,FALSE)/12),0)</f>
        <v>0</v>
      </c>
      <c r="BH86" s="331">
        <f>_xlfn.IFNA(VLOOKUP($A86,'Post 16'!$A:$V,21,FALSE),0)/4</f>
        <v>0</v>
      </c>
      <c r="BI86" s="331"/>
      <c r="BJ86" s="331">
        <f>_xlfn.IFNA((VLOOKUP($A86,HN!$A:$K,9,FALSE)/12),0)+_xlfn.IFNA((VLOOKUP($A86,HN!$A:$K,10,FALSE)/12),0)</f>
        <v>0</v>
      </c>
      <c r="BK86" s="331">
        <f>_xlfn.IFNA((VLOOKUP($A86,HN!$A:$BS,15,FALSE)/12),0)</f>
        <v>0</v>
      </c>
      <c r="BL86" s="330">
        <f t="shared" si="82"/>
        <v>-917.14666666666653</v>
      </c>
      <c r="BM86" s="330">
        <f t="shared" si="83"/>
        <v>-2044.6366666666665</v>
      </c>
      <c r="BN86" s="331"/>
      <c r="BO86" s="331">
        <f>_xlfn.IFNA(VLOOKUP(A86,'Cash Advances'!A:K,11,FALSE),0)</f>
        <v>0</v>
      </c>
      <c r="BP86" s="330">
        <f t="shared" si="70"/>
        <v>173333.68666666668</v>
      </c>
      <c r="BQ86" s="322">
        <f t="shared" si="84"/>
        <v>176295.47</v>
      </c>
      <c r="BR86" s="322"/>
      <c r="BS86" s="323"/>
      <c r="BT86" s="323">
        <f>_xlfn.IFNA((VLOOKUP($A86,HN!$A:$K,8,FALSE)/12),0)</f>
        <v>0</v>
      </c>
      <c r="BU86" s="323">
        <f>_xlfn.IFNA((VLOOKUP($A86,HN!$A:$BS,14,FALSE)/12),0)</f>
        <v>0</v>
      </c>
      <c r="BV86" s="323">
        <f>(_xlfn.IFNA(VLOOKUP($A86,'Post 16'!$A:$AV,32,FALSE),0)/8)+_xlfn.IFNA(VLOOKUP($A86,'Post 16'!$A:$AR,40,FALSE),0)</f>
        <v>0</v>
      </c>
      <c r="BW86" s="323"/>
      <c r="BX86" s="323">
        <f>_xlfn.IFNA((VLOOKUP($A86,HN!$A:$K,9,FALSE)/12),0)+_xlfn.IFNA((VLOOKUP($A86,HN!$A:$K,10,FALSE)/12),0)</f>
        <v>0</v>
      </c>
      <c r="BY86" s="323">
        <f>_xlfn.IFNA((VLOOKUP($A86,HN!$A:$BS,15,FALSE)/12),0)</f>
        <v>0</v>
      </c>
      <c r="BZ86" s="322">
        <f t="shared" si="85"/>
        <v>-917.14666666666653</v>
      </c>
      <c r="CA86" s="322">
        <f t="shared" si="86"/>
        <v>-2044.6366666666665</v>
      </c>
      <c r="CB86" s="323"/>
      <c r="CC86" s="323"/>
      <c r="CD86" s="322">
        <f t="shared" si="71"/>
        <v>173333.68666666668</v>
      </c>
      <c r="CE86" s="357">
        <f t="shared" si="87"/>
        <v>176295.47</v>
      </c>
      <c r="CF86" s="357">
        <f>(VLOOKUP($A86,EY!$A:$BS,26,FALSE)-(VLOOKUP($A86,EY!A:CR,24,FALSE)*80%))+VLOOKUP($A86,EY!$A:$BS,42,FALSE)+(VLOOKUP($A86,EY!A:CC,74,FALSE)-VLOOKUP($A86,EY!A:CC,72,FALSE))</f>
        <v>0</v>
      </c>
      <c r="CG86" s="358"/>
      <c r="CH86" s="358">
        <f>_xlfn.IFNA((VLOOKUP($A86,HN!$A:$K,8,FALSE)/12),0)</f>
        <v>0</v>
      </c>
      <c r="CI86" s="358">
        <f>_xlfn.IFNA((VLOOKUP($A86,HN!$A:$BS,14,FALSE)/12),0)</f>
        <v>0</v>
      </c>
      <c r="CJ86" s="358">
        <f>(_xlfn.IFNA(VLOOKUP($A86,'Post 16'!$A:$AV,32,FALSE),0)/8)</f>
        <v>0</v>
      </c>
      <c r="CK86" s="358">
        <f>(VLOOKUP($A86,EY!A:CR,24,FALSE)*80%)+VLOOKUP($A86,EY!A:CC,72,FALSE)</f>
        <v>0</v>
      </c>
      <c r="CL86" s="358">
        <f>_xlfn.IFNA((VLOOKUP($A86,HN!$A:$K,9,FALSE)/12),0)+_xlfn.IFNA((VLOOKUP($A86,HN!$A:$K,10,FALSE)/12),0)</f>
        <v>0</v>
      </c>
      <c r="CM86" s="358">
        <f>_xlfn.IFNA((VLOOKUP($A86,HN!$A:$BS,15,FALSE)/12),0)</f>
        <v>0</v>
      </c>
      <c r="CN86" s="357">
        <f t="shared" si="88"/>
        <v>-917.14666666666653</v>
      </c>
      <c r="CO86" s="357">
        <f t="shared" si="89"/>
        <v>-2044.6366666666665</v>
      </c>
      <c r="CP86" s="358">
        <f>_xlfn.IFNA(VLOOKUP(A86,'LA Deductions'!A:W,23,FALSE),0)</f>
        <v>-9471</v>
      </c>
      <c r="CQ86" s="358">
        <f>_xlfn.IFNA(VLOOKUP($A86,'Cash Advances'!$A:$S,13,FALSE),0)</f>
        <v>0</v>
      </c>
      <c r="CR86" s="358">
        <f>_xlfn.IFNA(VLOOKUP(A86,'LA Deductions'!A:AZ,25,FALSE),0)/9*3</f>
        <v>0</v>
      </c>
      <c r="CS86" s="357">
        <f t="shared" si="108"/>
        <v>163862.68666666668</v>
      </c>
      <c r="CT86" s="337">
        <f t="shared" si="90"/>
        <v>176295.47</v>
      </c>
      <c r="CU86" s="337"/>
      <c r="CV86" s="338">
        <f>_xlfn.IFNA(VLOOKUP(A86,'LA Deductions'!$A$6:$AN$207,34,FALSE),0)</f>
        <v>0</v>
      </c>
      <c r="CW86" s="338">
        <f>_xlfn.IFNA((VLOOKUP($A86,HN!$A:$K,8,FALSE)/12),0)</f>
        <v>0</v>
      </c>
      <c r="CX86" s="338">
        <f>_xlfn.IFNA((VLOOKUP($A86,HN!$A:$BS,14,FALSE)/12),0)</f>
        <v>0</v>
      </c>
      <c r="CY86" s="338">
        <f>_xlfn.IFNA(VLOOKUP($A86,'Post 16'!$A:$AV,32,FALSE),0)/8</f>
        <v>0</v>
      </c>
      <c r="CZ86" s="338"/>
      <c r="DA86" s="338">
        <f>_xlfn.IFNA((VLOOKUP($A86,HN!$A:$K,9,FALSE)/12),0)+_xlfn.IFNA((VLOOKUP($A86,HN!$A:$K,10,FALSE)/12),0)</f>
        <v>0</v>
      </c>
      <c r="DB86" s="338">
        <f>_xlfn.IFNA((VLOOKUP($A86,HN!$A:$BS,15,FALSE)/12),0)</f>
        <v>0</v>
      </c>
      <c r="DC86" s="337">
        <f t="shared" si="91"/>
        <v>-917.14666666666653</v>
      </c>
      <c r="DD86" s="337">
        <f t="shared" si="92"/>
        <v>-2044.6366666666665</v>
      </c>
      <c r="DE86" s="338"/>
      <c r="DF86" s="338">
        <f>_xlfn.IFNA(VLOOKUP($A86,'Cash Advances'!$A:$S,14,FALSE),0)</f>
        <v>0</v>
      </c>
      <c r="DG86" s="338">
        <f>(_xlfn.IFNA(VLOOKUP(A86,'LA Deductions'!A:AZ,25,FALSE),0)/9)+(_xlfn.IFNA(VLOOKUP(A86,'LA Deductions'!A:AZ,26,FALSE),0))</f>
        <v>0</v>
      </c>
      <c r="DH86" s="337">
        <f t="shared" si="109"/>
        <v>173333.68666666668</v>
      </c>
      <c r="DI86" s="330">
        <f t="shared" si="93"/>
        <v>176295.47</v>
      </c>
      <c r="DJ86" s="330"/>
      <c r="DK86" s="331"/>
      <c r="DL86" s="331">
        <f>_xlfn.IFNA((VLOOKUP($A86,HN!$A:$K,8,FALSE)/12),0)+_xlfn.IFNA((VLOOKUP($A86,HN!$A:$AF,32,FALSE)*8/12),0)</f>
        <v>0</v>
      </c>
      <c r="DM86" s="331">
        <f>_xlfn.IFNA((VLOOKUP($A86,HN!$A:$BS,14,FALSE)/12),0)+_xlfn.IFNA(VLOOKUP($A86,HN!$A:$BS,31,FALSE),0)</f>
        <v>0</v>
      </c>
      <c r="DN86" s="331">
        <f>_xlfn.IFNA(VLOOKUP($A86,'Post 16'!$A:$AV,32,FALSE),0)/8</f>
        <v>0</v>
      </c>
      <c r="DO86" s="331"/>
      <c r="DP86" s="331">
        <f>_xlfn.IFNA((VLOOKUP($A86,HN!$A:$K,9,FALSE)/12),0)+_xlfn.IFNA((VLOOKUP($A86,HN!$A:$K,10,FALSE)/12),0)+_xlfn.IFNA((VLOOKUP($A86,HN!$A:$BZ,33,FALSE)*8/12),0)</f>
        <v>0</v>
      </c>
      <c r="DQ86" s="331">
        <f>_xlfn.IFNA((VLOOKUP($A86,HN!$A:$BS,15,FALSE)/12),0)</f>
        <v>0</v>
      </c>
      <c r="DR86" s="330">
        <f t="shared" si="94"/>
        <v>-917.14666666666653</v>
      </c>
      <c r="DS86" s="330">
        <f t="shared" si="95"/>
        <v>-2044.6366666666665</v>
      </c>
      <c r="DT86" s="331"/>
      <c r="DU86" s="331"/>
      <c r="DV86" s="331">
        <f>(_xlfn.IFNA(VLOOKUP(A86,'LA Deductions'!A:AZ,25,FALSE),0)/9)+_xlfn.IFNA(VLOOKUP(A86,'LA Deductions'!A:AZ,27,FALSE),0)</f>
        <v>0</v>
      </c>
      <c r="DW86" s="330">
        <f t="shared" si="110"/>
        <v>173333.68666666668</v>
      </c>
      <c r="DX86" s="344">
        <f t="shared" si="96"/>
        <v>176295.47</v>
      </c>
      <c r="DY86" s="344"/>
      <c r="DZ86" s="345"/>
      <c r="EA86" s="345">
        <f>_xlfn.IFNA((VLOOKUP($A86,HN!$A:$K,8,FALSE)/12),0)+_xlfn.IFNA((VLOOKUP($A86,HN!$A:$AF,32,FALSE)*1/12),0)</f>
        <v>0</v>
      </c>
      <c r="EB86" s="345">
        <f>_xlfn.IFNA((VLOOKUP($A86,HN!$A:$BS,14,FALSE)/12),0)</f>
        <v>0</v>
      </c>
      <c r="EC86" s="345">
        <f>_xlfn.IFNA(VLOOKUP($A86,'Post 16'!$A:$AV,32,FALSE),0)/8</f>
        <v>0</v>
      </c>
      <c r="ED86" s="345"/>
      <c r="EE86" s="345">
        <f>_xlfn.IFNA((VLOOKUP($A86,HN!$A:$K,9,FALSE)/12),0)+_xlfn.IFNA((VLOOKUP($A86,HN!$A:$K,10,FALSE)/12),0)+_xlfn.IFNA((VLOOKUP($A86,HN!$A:$BZ,33,FALSE)/12),0)</f>
        <v>0</v>
      </c>
      <c r="EF86" s="345">
        <f>_xlfn.IFNA((VLOOKUP($A86,HN!$A:$BS,15,FALSE)/12),0)</f>
        <v>0</v>
      </c>
      <c r="EG86" s="344">
        <f t="shared" si="97"/>
        <v>-917.14666666666653</v>
      </c>
      <c r="EH86" s="344">
        <f t="shared" si="98"/>
        <v>-2044.6366666666665</v>
      </c>
      <c r="EI86" s="345"/>
      <c r="EJ86" s="345">
        <f>_xlfn.IFNA(VLOOKUP(A86,'Cash Advances'!A:P,16,FALSE),0)</f>
        <v>0</v>
      </c>
      <c r="EK86" s="345">
        <f>_xlfn.IFNA(VLOOKUP(A86,'LA Deductions'!A:AZ,25,FALSE),0)/9</f>
        <v>0</v>
      </c>
      <c r="EL86" s="344">
        <f t="shared" si="111"/>
        <v>173333.68666666668</v>
      </c>
      <c r="EM86" s="308">
        <f t="shared" si="99"/>
        <v>176295.47</v>
      </c>
      <c r="EN86" s="308">
        <f>((VLOOKUP($A86,EY!$A:$BS,35,FALSE)-(VLOOKUP($A86,EY!$A:$BS,33,FALSE)*80%))+VLOOKUP($A86,EY!$A:$BS,43,FALSE))+(VLOOKUP(A86,EY!A:DF,110,FALSE)-VLOOKUP(A86,EY!A:DD,108,FALSE))+(VLOOKUP(A86,EY!A:CE,83,FALSE)-VLOOKUP(A86,EY!A:CC,81,FALSE))</f>
        <v>0</v>
      </c>
      <c r="EO86" s="309"/>
      <c r="EP86" s="309">
        <f>_xlfn.IFNA((VLOOKUP($A86,HN!$A:$K,8,FALSE)/12),0)+_xlfn.IFNA((VLOOKUP($A86,HN!$A:$AF,32,FALSE)*1/12),0)</f>
        <v>0</v>
      </c>
      <c r="EQ86" s="309">
        <f>_xlfn.IFNA((VLOOKUP($A86,HN!$A:$BS,14,FALSE)/12),0)+_xlfn.IFNA((VLOOKUP($A86,HN!$A:$BS,34,FALSE)/3),0)</f>
        <v>0</v>
      </c>
      <c r="ER86" s="309">
        <f>_xlfn.IFNA(VLOOKUP($A86,'Post 16'!$A:$AV,32,FALSE),0)/8</f>
        <v>0</v>
      </c>
      <c r="ES86" s="309">
        <f>((VLOOKUP($A86,EY!A:EV,33,FALSE)*80%))+VLOOKUP(A86,EY!A:DD,108,FALSE)+VLOOKUP(A86,EY!A:CC,81,FALSE)</f>
        <v>0</v>
      </c>
      <c r="ET86" s="309">
        <f>_xlfn.IFNA((VLOOKUP($A86,HN!$A:$K,9,FALSE)/12),0)+_xlfn.IFNA((VLOOKUP($A86,HN!$A:$K,10,FALSE)/12),0)+_xlfn.IFNA((VLOOKUP($A86,HN!$A:$BZ,33,FALSE)/12),0)</f>
        <v>0</v>
      </c>
      <c r="EU86" s="309">
        <f>_xlfn.IFNA((VLOOKUP($A86,HN!$A:$BS,15,FALSE)/12),0)</f>
        <v>0</v>
      </c>
      <c r="EV86" s="308">
        <f t="shared" si="100"/>
        <v>-917.14666666666653</v>
      </c>
      <c r="EW86" s="308">
        <f t="shared" si="101"/>
        <v>-2044.6366666666665</v>
      </c>
      <c r="EX86" s="309"/>
      <c r="EY86" s="309">
        <f>_xlfn.IFNA(VLOOKUP($A86,'Cash Advances'!$A:$S,17,FALSE),0)</f>
        <v>0</v>
      </c>
      <c r="EZ86" s="309">
        <f>_xlfn.IFNA(VLOOKUP(A86,'LA Deductions'!A:AZ,25,FALSE),0)/9</f>
        <v>0</v>
      </c>
      <c r="FA86" s="308">
        <f t="shared" si="112"/>
        <v>173333.68666666668</v>
      </c>
      <c r="FB86" s="315">
        <f t="shared" si="102"/>
        <v>176295.47</v>
      </c>
      <c r="FC86" s="315"/>
      <c r="FD86" s="316"/>
      <c r="FE86" s="316">
        <f>_xlfn.IFNA((VLOOKUP($A86,HN!$A:$K,8,FALSE)/12),0)+_xlfn.IFNA((VLOOKUP($A86,HN!$A:$AF,32,FALSE)*1/12),0)</f>
        <v>0</v>
      </c>
      <c r="FF86" s="316">
        <f>_xlfn.IFNA((VLOOKUP($A86,HN!$A:$BS,14,FALSE)/12),0)+_xlfn.IFNA((VLOOKUP($A86,HN!$A:$BS,34,FALSE)/3),0)</f>
        <v>0</v>
      </c>
      <c r="FG86" s="316">
        <f>_xlfn.IFNA(VLOOKUP($A86,'Post 16'!$A:$AV,32,FALSE),0)/8</f>
        <v>0</v>
      </c>
      <c r="FH86" s="316"/>
      <c r="FI86" s="316">
        <f>_xlfn.IFNA((VLOOKUP($A86,HN!$A:$K,9,FALSE)/12),0)+_xlfn.IFNA((VLOOKUP($A86,HN!$A:$K,10,FALSE)/12),0)+_xlfn.IFNA((VLOOKUP($A86,HN!$A:$BZ,33,FALSE)/12),0)+_xlfn.IFNA((VLOOKUP($A86,HN!$A:$BZ,35,FALSE)/2),0)</f>
        <v>0</v>
      </c>
      <c r="FJ86" s="316">
        <f>_xlfn.IFNA((VLOOKUP($A86,HN!$A:$BS,15,FALSE)/12),0)+_xlfn.IFNA((VLOOKUP($A86,HN!$A:$CZ,36,FALSE)/2),0)</f>
        <v>0</v>
      </c>
      <c r="FK86" s="315">
        <f t="shared" si="103"/>
        <v>-917.14666666666653</v>
      </c>
      <c r="FL86" s="315">
        <f t="shared" si="104"/>
        <v>-2044.6366666666665</v>
      </c>
      <c r="FM86" s="316"/>
      <c r="FN86" s="316">
        <f>_xlfn.IFNA(VLOOKUP($A86,'Cash Advances'!$A:$S,18,FALSE),0)</f>
        <v>0</v>
      </c>
      <c r="FO86" s="316">
        <f>_xlfn.IFNA(VLOOKUP(A86,'LA Deductions'!A:AZ,25,FALSE),0)/9</f>
        <v>0</v>
      </c>
      <c r="FP86" s="315">
        <f t="shared" si="113"/>
        <v>173333.68666666668</v>
      </c>
      <c r="FQ86" s="322">
        <f t="shared" si="105"/>
        <v>176295.47</v>
      </c>
      <c r="FR86" s="322"/>
      <c r="FS86" s="323"/>
      <c r="FT86" s="323">
        <f>_xlfn.IFNA((VLOOKUP($A86,HN!$A:$K,8,FALSE)/12),0)+_xlfn.IFNA((VLOOKUP($A86,HN!$A:$AF,32,FALSE)*1/12),0)</f>
        <v>0</v>
      </c>
      <c r="FU86" s="323">
        <f>_xlfn.IFNA((VLOOKUP($A86,HN!$A:$BS,14,FALSE)/12),0)+_xlfn.IFNA((VLOOKUP($A86,HN!$A:$BS,34,FALSE)/3),0)</f>
        <v>0</v>
      </c>
      <c r="FV86" s="323">
        <f>_xlfn.IFNA(VLOOKUP($A86,'Post 16'!$A:$AV,32,FALSE),0)/8</f>
        <v>0</v>
      </c>
      <c r="FW86" s="323"/>
      <c r="FX86" s="323">
        <f>_xlfn.IFNA((VLOOKUP($A86,HN!$A:$K,9,FALSE)/12),0)+_xlfn.IFNA((VLOOKUP($A86,HN!$A:$K,10,FALSE)/12),0)+_xlfn.IFNA((VLOOKUP($A86,HN!$A:$BZ,33,FALSE)/12),0)+_xlfn.IFNA((VLOOKUP($A86,HN!$A:$BZ,35,FALSE)/2),0)</f>
        <v>0</v>
      </c>
      <c r="FY86" s="323">
        <f>_xlfn.IFNA((VLOOKUP($A86,HN!$A:$BS,15,FALSE)/12),0)+_xlfn.IFNA((VLOOKUP($A86,HN!$A:$CZ,36,FALSE)/2),0)</f>
        <v>0</v>
      </c>
      <c r="FZ86" s="322">
        <f t="shared" si="106"/>
        <v>-917.14666666666653</v>
      </c>
      <c r="GA86" s="322">
        <f t="shared" si="107"/>
        <v>-2044.6366666666665</v>
      </c>
      <c r="GB86" s="323"/>
      <c r="GC86" s="323"/>
      <c r="GD86" s="323">
        <f>_xlfn.IFNA(VLOOKUP(A86,'LA Deductions'!A:AZ,25,FALSE),0)/9</f>
        <v>0</v>
      </c>
      <c r="GE86" s="322">
        <f t="shared" si="114"/>
        <v>173333.68666666668</v>
      </c>
      <c r="GG86" s="146">
        <f t="shared" si="115"/>
        <v>2115545.64</v>
      </c>
      <c r="GH86" s="146">
        <f t="shared" si="115"/>
        <v>0</v>
      </c>
      <c r="GI86" s="146">
        <f t="shared" si="115"/>
        <v>0</v>
      </c>
      <c r="GJ86" s="146">
        <f t="shared" si="115"/>
        <v>-11005.760000000002</v>
      </c>
      <c r="GK86" s="146">
        <f t="shared" si="115"/>
        <v>-24535.639999999996</v>
      </c>
      <c r="GL86" s="146">
        <f t="shared" si="115"/>
        <v>-9471</v>
      </c>
      <c r="GN86" s="146">
        <f t="shared" si="116"/>
        <v>2115545.64</v>
      </c>
      <c r="GO86" s="146">
        <f t="shared" si="116"/>
        <v>0</v>
      </c>
      <c r="GP86" s="146">
        <f t="shared" si="116"/>
        <v>0</v>
      </c>
      <c r="GQ86" s="146">
        <f t="shared" si="116"/>
        <v>-11005.760000000002</v>
      </c>
      <c r="GR86" s="146">
        <f t="shared" si="116"/>
        <v>-24535.639999999996</v>
      </c>
      <c r="GS86" s="146">
        <f t="shared" si="116"/>
        <v>-9471</v>
      </c>
      <c r="GU86" s="146"/>
      <c r="GV86" s="57"/>
    </row>
    <row r="87" spans="1:204">
      <c r="A87" s="185">
        <v>1012</v>
      </c>
      <c r="B87" s="185">
        <v>103126</v>
      </c>
      <c r="C87" s="185" t="s">
        <v>194</v>
      </c>
      <c r="D87" s="2" t="s">
        <v>195</v>
      </c>
      <c r="E87" s="191" t="s">
        <v>29</v>
      </c>
      <c r="F87" s="191" t="s">
        <v>912</v>
      </c>
      <c r="H87" s="279">
        <f>_xlfn.IFNA(VLOOKUP($A87,ISB!$A$4:$BY$454,67,FALSE),0)</f>
        <v>0</v>
      </c>
      <c r="I87" s="279">
        <f>_xlfn.IFNA(VLOOKUP($A87,ISB!$A$4:$BY$454,72,FALSE),0)</f>
        <v>0</v>
      </c>
      <c r="J87" s="279">
        <f>-_xlfn.IFNA(VLOOKUP($A87,ISB!$A$4:$BY$454,76,FALSE),0)</f>
        <v>0</v>
      </c>
      <c r="K87" s="279">
        <f>_xlfn.IFNA(VLOOKUP($A87,ISB!$A$4:$BY$454,77,FALSE),0)</f>
        <v>0</v>
      </c>
      <c r="M87" s="301">
        <f t="shared" si="72"/>
        <v>0</v>
      </c>
      <c r="N87" s="301">
        <f>VLOOKUP($A87,EY!$A:$H,8,FALSE)+(VLOOKUP($A87,EY!$A:$BS,17,FALSE)-S87)+VLOOKUP($A87,EY!$A:$BS,41,FALSE)</f>
        <v>407846.06722363504</v>
      </c>
      <c r="O87" s="302"/>
      <c r="P87" s="302">
        <f>_xlfn.IFNA((VLOOKUP($A87,HN!$A:$K,8,FALSE)/12),0)</f>
        <v>0</v>
      </c>
      <c r="Q87" s="302">
        <f>_xlfn.IFNA((VLOOKUP($A87,HN!$A:$BS,14,FALSE)/12),0)</f>
        <v>0</v>
      </c>
      <c r="R87" s="302">
        <f>_xlfn.IFNA(VLOOKUP($A87,'Post 16'!$A:$V,21,FALSE),0)/4</f>
        <v>0</v>
      </c>
      <c r="S87" s="302">
        <f>VLOOKUP($A87,EY!A:Q,15,FALSE)*80%</f>
        <v>770.14736842105276</v>
      </c>
      <c r="T87" s="302">
        <f>_xlfn.IFNA((VLOOKUP($A87,HN!$A:$K,9,FALSE)/12),0)+_xlfn.IFNA((VLOOKUP($A87,HN!$A:$K,10,FALSE)/12),0)</f>
        <v>0</v>
      </c>
      <c r="U87" s="302">
        <f>_xlfn.IFNA((VLOOKUP($A87,HN!$A:$BS,15,FALSE)/12),0)</f>
        <v>0</v>
      </c>
      <c r="V87" s="301">
        <f t="shared" si="73"/>
        <v>0</v>
      </c>
      <c r="W87" s="301">
        <f t="shared" si="74"/>
        <v>0</v>
      </c>
      <c r="X87" s="302"/>
      <c r="Y87" s="302">
        <f>_xlfn.IFNA(VLOOKUP($A87,'Cash Advances'!$A:$S,8,FALSE),0)</f>
        <v>0</v>
      </c>
      <c r="Z87" s="301">
        <f t="shared" si="67"/>
        <v>408616.21459205612</v>
      </c>
      <c r="AA87" s="315">
        <f t="shared" si="75"/>
        <v>0</v>
      </c>
      <c r="AB87" s="315"/>
      <c r="AC87" s="316"/>
      <c r="AD87" s="316">
        <f>_xlfn.IFNA((VLOOKUP($A87,HN!$A:$K,8,FALSE)/12),0)</f>
        <v>0</v>
      </c>
      <c r="AE87" s="316">
        <f>_xlfn.IFNA((VLOOKUP($A87,HN!$A:$BS,14,FALSE)/12),0)</f>
        <v>0</v>
      </c>
      <c r="AF87" s="316">
        <f>_xlfn.IFNA(VLOOKUP($A87,'Post 16'!$A:$V,21,FALSE),0)/4</f>
        <v>0</v>
      </c>
      <c r="AG87" s="316"/>
      <c r="AH87" s="316">
        <f>_xlfn.IFNA((VLOOKUP($A87,HN!$A:$K,9,FALSE)/12),0)+_xlfn.IFNA((VLOOKUP($A87,HN!$A:$K,10,FALSE)/12),0)</f>
        <v>0</v>
      </c>
      <c r="AI87" s="316">
        <f>_xlfn.IFNA((VLOOKUP($A87,HN!$A:$BS,15,FALSE)/12),0)</f>
        <v>0</v>
      </c>
      <c r="AJ87" s="315">
        <f t="shared" si="76"/>
        <v>0</v>
      </c>
      <c r="AK87" s="315">
        <f t="shared" si="77"/>
        <v>0</v>
      </c>
      <c r="AL87" s="316"/>
      <c r="AM87" s="316">
        <f>_xlfn.IFNA(VLOOKUP($A87,'Cash Advances'!$A:$S,9,FALSE),0)</f>
        <v>0</v>
      </c>
      <c r="AN87" s="315">
        <f t="shared" si="68"/>
        <v>0</v>
      </c>
      <c r="AO87" s="308">
        <f t="shared" si="78"/>
        <v>0</v>
      </c>
      <c r="AP87" s="308"/>
      <c r="AQ87" s="309"/>
      <c r="AR87" s="309">
        <f>_xlfn.IFNA((VLOOKUP($A87,HN!$A:$K,8,FALSE)/12),0)</f>
        <v>0</v>
      </c>
      <c r="AS87" s="309">
        <f>_xlfn.IFNA((VLOOKUP($A87,HN!$A:$BS,14,FALSE)/12),0)</f>
        <v>0</v>
      </c>
      <c r="AT87" s="309">
        <f>_xlfn.IFNA(VLOOKUP($A87,'Post 16'!$A:$V,21,FALSE),0)/4</f>
        <v>0</v>
      </c>
      <c r="AU87" s="309"/>
      <c r="AV87" s="309">
        <f>_xlfn.IFNA((VLOOKUP($A87,HN!$A:$K,9,FALSE)/12),0)+_xlfn.IFNA((VLOOKUP($A87,HN!$A:$K,10,FALSE)/12),0)+_xlfn.IFNA(VLOOKUP(A87,HN!A:V,19,FALSE),0)+_xlfn.IFNA(VLOOKUP(A87,HN!A:V,20,FALSE),0)+_xlfn.IFNA(VLOOKUP(A87,HN!A:V,21,FALSE),0)</f>
        <v>0</v>
      </c>
      <c r="AW87" s="309">
        <f>_xlfn.IFNA((VLOOKUP($A87,HN!$A:$BS,15,FALSE)/12),0)</f>
        <v>0</v>
      </c>
      <c r="AX87" s="308">
        <f t="shared" si="79"/>
        <v>0</v>
      </c>
      <c r="AY87" s="308">
        <f t="shared" si="80"/>
        <v>0</v>
      </c>
      <c r="AZ87" s="309"/>
      <c r="BA87" s="309">
        <f>_xlfn.IFNA(VLOOKUP($A87,'Cash Advances'!$A:$S,10,FALSE),0)</f>
        <v>0</v>
      </c>
      <c r="BB87" s="308">
        <f t="shared" si="69"/>
        <v>0</v>
      </c>
      <c r="BC87" s="330">
        <f t="shared" si="81"/>
        <v>0</v>
      </c>
      <c r="BD87" s="330"/>
      <c r="BE87" s="331"/>
      <c r="BF87" s="331">
        <f>_xlfn.IFNA((VLOOKUP($A87,HN!$A:$K,8,FALSE)/12),0)</f>
        <v>0</v>
      </c>
      <c r="BG87" s="331">
        <f>_xlfn.IFNA((VLOOKUP($A87,HN!$A:$BS,14,FALSE)/12),0)</f>
        <v>0</v>
      </c>
      <c r="BH87" s="331">
        <f>_xlfn.IFNA(VLOOKUP($A87,'Post 16'!$A:$V,21,FALSE),0)/4</f>
        <v>0</v>
      </c>
      <c r="BI87" s="331"/>
      <c r="BJ87" s="331">
        <f>_xlfn.IFNA((VLOOKUP($A87,HN!$A:$K,9,FALSE)/12),0)+_xlfn.IFNA((VLOOKUP($A87,HN!$A:$K,10,FALSE)/12),0)</f>
        <v>0</v>
      </c>
      <c r="BK87" s="331">
        <f>_xlfn.IFNA((VLOOKUP($A87,HN!$A:$BS,15,FALSE)/12),0)</f>
        <v>0</v>
      </c>
      <c r="BL87" s="330">
        <f t="shared" si="82"/>
        <v>0</v>
      </c>
      <c r="BM87" s="330">
        <f t="shared" si="83"/>
        <v>0</v>
      </c>
      <c r="BN87" s="331"/>
      <c r="BO87" s="331">
        <f>_xlfn.IFNA(VLOOKUP(A87,'Cash Advances'!A:K,11,FALSE),0)</f>
        <v>0</v>
      </c>
      <c r="BP87" s="330">
        <f t="shared" si="70"/>
        <v>0</v>
      </c>
      <c r="BQ87" s="322">
        <f t="shared" si="84"/>
        <v>0</v>
      </c>
      <c r="BR87" s="322"/>
      <c r="BS87" s="323"/>
      <c r="BT87" s="323">
        <f>_xlfn.IFNA((VLOOKUP($A87,HN!$A:$K,8,FALSE)/12),0)</f>
        <v>0</v>
      </c>
      <c r="BU87" s="323">
        <f>_xlfn.IFNA((VLOOKUP($A87,HN!$A:$BS,14,FALSE)/12),0)</f>
        <v>0</v>
      </c>
      <c r="BV87" s="323">
        <f>(_xlfn.IFNA(VLOOKUP($A87,'Post 16'!$A:$AV,32,FALSE),0)/8)+_xlfn.IFNA(VLOOKUP($A87,'Post 16'!$A:$AR,40,FALSE),0)</f>
        <v>0</v>
      </c>
      <c r="BW87" s="323"/>
      <c r="BX87" s="323">
        <f>_xlfn.IFNA((VLOOKUP($A87,HN!$A:$K,9,FALSE)/12),0)+_xlfn.IFNA((VLOOKUP($A87,HN!$A:$K,10,FALSE)/12),0)</f>
        <v>0</v>
      </c>
      <c r="BY87" s="323">
        <f>_xlfn.IFNA((VLOOKUP($A87,HN!$A:$BS,15,FALSE)/12),0)</f>
        <v>0</v>
      </c>
      <c r="BZ87" s="322">
        <f t="shared" si="85"/>
        <v>0</v>
      </c>
      <c r="CA87" s="322">
        <f t="shared" si="86"/>
        <v>0</v>
      </c>
      <c r="CB87" s="323"/>
      <c r="CC87" s="323"/>
      <c r="CD87" s="322">
        <f t="shared" si="71"/>
        <v>0</v>
      </c>
      <c r="CE87" s="357">
        <f t="shared" si="87"/>
        <v>0</v>
      </c>
      <c r="CF87" s="357">
        <f>(VLOOKUP($A87,EY!$A:$BS,26,FALSE)-(VLOOKUP($A87,EY!A:CR,24,FALSE)*80%))+VLOOKUP($A87,EY!$A:$BS,42,FALSE)+(VLOOKUP($A87,EY!A:CC,74,FALSE)-VLOOKUP($A87,EY!A:CC,72,FALSE))</f>
        <v>209252.49055766244</v>
      </c>
      <c r="CG87" s="358"/>
      <c r="CH87" s="358">
        <f>_xlfn.IFNA((VLOOKUP($A87,HN!$A:$K,8,FALSE)/12),0)</f>
        <v>0</v>
      </c>
      <c r="CI87" s="358">
        <f>_xlfn.IFNA((VLOOKUP($A87,HN!$A:$BS,14,FALSE)/12),0)</f>
        <v>0</v>
      </c>
      <c r="CJ87" s="358">
        <f>(_xlfn.IFNA(VLOOKUP($A87,'Post 16'!$A:$AV,32,FALSE),0)/8)</f>
        <v>0</v>
      </c>
      <c r="CK87" s="358">
        <f>(VLOOKUP($A87,EY!A:CR,24,FALSE)*80%)+VLOOKUP($A87,EY!A:CC,72,FALSE)</f>
        <v>449.2384210526314</v>
      </c>
      <c r="CL87" s="358">
        <f>_xlfn.IFNA((VLOOKUP($A87,HN!$A:$K,9,FALSE)/12),0)+_xlfn.IFNA((VLOOKUP($A87,HN!$A:$K,10,FALSE)/12),0)</f>
        <v>0</v>
      </c>
      <c r="CM87" s="358">
        <f>_xlfn.IFNA((VLOOKUP($A87,HN!$A:$BS,15,FALSE)/12),0)</f>
        <v>0</v>
      </c>
      <c r="CN87" s="357">
        <f t="shared" si="88"/>
        <v>0</v>
      </c>
      <c r="CO87" s="357">
        <f t="shared" si="89"/>
        <v>0</v>
      </c>
      <c r="CP87" s="358">
        <f>_xlfn.IFNA(VLOOKUP(A87,'LA Deductions'!A:W,23,FALSE),0)</f>
        <v>-3291.75</v>
      </c>
      <c r="CQ87" s="358">
        <f>_xlfn.IFNA(VLOOKUP($A87,'Cash Advances'!$A:$S,13,FALSE),0)</f>
        <v>0</v>
      </c>
      <c r="CR87" s="358">
        <f>_xlfn.IFNA(VLOOKUP(A87,'LA Deductions'!A:AZ,25,FALSE),0)/9*3</f>
        <v>0</v>
      </c>
      <c r="CS87" s="357">
        <f t="shared" si="108"/>
        <v>206409.97897871508</v>
      </c>
      <c r="CT87" s="337">
        <f t="shared" si="90"/>
        <v>0</v>
      </c>
      <c r="CU87" s="337"/>
      <c r="CV87" s="338">
        <f>_xlfn.IFNA(VLOOKUP(A87,'LA Deductions'!$A$6:$AN$207,34,FALSE),0)</f>
        <v>0</v>
      </c>
      <c r="CW87" s="338">
        <f>_xlfn.IFNA((VLOOKUP($A87,HN!$A:$K,8,FALSE)/12),0)</f>
        <v>0</v>
      </c>
      <c r="CX87" s="338">
        <f>_xlfn.IFNA((VLOOKUP($A87,HN!$A:$BS,14,FALSE)/12),0)</f>
        <v>0</v>
      </c>
      <c r="CY87" s="338">
        <f>_xlfn.IFNA(VLOOKUP($A87,'Post 16'!$A:$AV,32,FALSE),0)/8</f>
        <v>0</v>
      </c>
      <c r="CZ87" s="338"/>
      <c r="DA87" s="338">
        <f>_xlfn.IFNA((VLOOKUP($A87,HN!$A:$K,9,FALSE)/12),0)+_xlfn.IFNA((VLOOKUP($A87,HN!$A:$K,10,FALSE)/12),0)</f>
        <v>0</v>
      </c>
      <c r="DB87" s="338">
        <f>_xlfn.IFNA((VLOOKUP($A87,HN!$A:$BS,15,FALSE)/12),0)</f>
        <v>0</v>
      </c>
      <c r="DC87" s="337">
        <f t="shared" si="91"/>
        <v>0</v>
      </c>
      <c r="DD87" s="337">
        <f t="shared" si="92"/>
        <v>0</v>
      </c>
      <c r="DE87" s="338"/>
      <c r="DF87" s="338">
        <f>_xlfn.IFNA(VLOOKUP($A87,'Cash Advances'!$A:$S,14,FALSE),0)</f>
        <v>0</v>
      </c>
      <c r="DG87" s="338">
        <f>(_xlfn.IFNA(VLOOKUP(A87,'LA Deductions'!A:AZ,25,FALSE),0)/9)+(_xlfn.IFNA(VLOOKUP(A87,'LA Deductions'!A:AZ,26,FALSE),0))</f>
        <v>0</v>
      </c>
      <c r="DH87" s="337">
        <f t="shared" si="109"/>
        <v>0</v>
      </c>
      <c r="DI87" s="330">
        <f t="shared" si="93"/>
        <v>0</v>
      </c>
      <c r="DJ87" s="330"/>
      <c r="DK87" s="331"/>
      <c r="DL87" s="331">
        <f>_xlfn.IFNA((VLOOKUP($A87,HN!$A:$K,8,FALSE)/12),0)+_xlfn.IFNA((VLOOKUP($A87,HN!$A:$AF,32,FALSE)*8/12),0)</f>
        <v>0</v>
      </c>
      <c r="DM87" s="331">
        <f>_xlfn.IFNA((VLOOKUP($A87,HN!$A:$BS,14,FALSE)/12),0)+_xlfn.IFNA(VLOOKUP($A87,HN!$A:$BS,31,FALSE),0)</f>
        <v>0</v>
      </c>
      <c r="DN87" s="331">
        <f>_xlfn.IFNA(VLOOKUP($A87,'Post 16'!$A:$AV,32,FALSE),0)/8</f>
        <v>0</v>
      </c>
      <c r="DO87" s="331"/>
      <c r="DP87" s="331">
        <f>_xlfn.IFNA((VLOOKUP($A87,HN!$A:$K,9,FALSE)/12),0)+_xlfn.IFNA((VLOOKUP($A87,HN!$A:$K,10,FALSE)/12),0)+_xlfn.IFNA((VLOOKUP($A87,HN!$A:$BZ,33,FALSE)*8/12),0)</f>
        <v>0</v>
      </c>
      <c r="DQ87" s="331">
        <f>_xlfn.IFNA((VLOOKUP($A87,HN!$A:$BS,15,FALSE)/12),0)</f>
        <v>0</v>
      </c>
      <c r="DR87" s="330">
        <f t="shared" si="94"/>
        <v>0</v>
      </c>
      <c r="DS87" s="330">
        <f t="shared" si="95"/>
        <v>0</v>
      </c>
      <c r="DT87" s="331"/>
      <c r="DU87" s="331"/>
      <c r="DV87" s="331">
        <f>(_xlfn.IFNA(VLOOKUP(A87,'LA Deductions'!A:AZ,25,FALSE),0)/9)+_xlfn.IFNA(VLOOKUP(A87,'LA Deductions'!A:AZ,27,FALSE),0)</f>
        <v>0</v>
      </c>
      <c r="DW87" s="330">
        <f t="shared" si="110"/>
        <v>0</v>
      </c>
      <c r="DX87" s="344">
        <f t="shared" si="96"/>
        <v>0</v>
      </c>
      <c r="DY87" s="344"/>
      <c r="DZ87" s="345"/>
      <c r="EA87" s="345">
        <f>_xlfn.IFNA((VLOOKUP($A87,HN!$A:$K,8,FALSE)/12),0)+_xlfn.IFNA((VLOOKUP($A87,HN!$A:$AF,32,FALSE)*1/12),0)</f>
        <v>0</v>
      </c>
      <c r="EB87" s="345">
        <f>_xlfn.IFNA((VLOOKUP($A87,HN!$A:$BS,14,FALSE)/12),0)</f>
        <v>0</v>
      </c>
      <c r="EC87" s="345">
        <f>_xlfn.IFNA(VLOOKUP($A87,'Post 16'!$A:$AV,32,FALSE),0)/8</f>
        <v>0</v>
      </c>
      <c r="ED87" s="345"/>
      <c r="EE87" s="345">
        <f>_xlfn.IFNA((VLOOKUP($A87,HN!$A:$K,9,FALSE)/12),0)+_xlfn.IFNA((VLOOKUP($A87,HN!$A:$K,10,FALSE)/12),0)+_xlfn.IFNA((VLOOKUP($A87,HN!$A:$BZ,33,FALSE)/12),0)</f>
        <v>0</v>
      </c>
      <c r="EF87" s="345">
        <f>_xlfn.IFNA((VLOOKUP($A87,HN!$A:$BS,15,FALSE)/12),0)</f>
        <v>0</v>
      </c>
      <c r="EG87" s="344">
        <f t="shared" si="97"/>
        <v>0</v>
      </c>
      <c r="EH87" s="344">
        <f t="shared" si="98"/>
        <v>0</v>
      </c>
      <c r="EI87" s="345"/>
      <c r="EJ87" s="345">
        <f>_xlfn.IFNA(VLOOKUP(A87,'Cash Advances'!A:P,16,FALSE),0)</f>
        <v>0</v>
      </c>
      <c r="EK87" s="345">
        <f>_xlfn.IFNA(VLOOKUP(A87,'LA Deductions'!A:AZ,25,FALSE),0)/9</f>
        <v>0</v>
      </c>
      <c r="EL87" s="344">
        <f t="shared" si="111"/>
        <v>0</v>
      </c>
      <c r="EM87" s="308">
        <f t="shared" si="99"/>
        <v>0</v>
      </c>
      <c r="EN87" s="308">
        <f>((VLOOKUP($A87,EY!$A:$BS,35,FALSE)-(VLOOKUP($A87,EY!$A:$BS,33,FALSE)*80%))+VLOOKUP($A87,EY!$A:$BS,43,FALSE))+(VLOOKUP(A87,EY!A:DF,110,FALSE)-VLOOKUP(A87,EY!A:DD,108,FALSE))+(VLOOKUP(A87,EY!A:CE,83,FALSE)-VLOOKUP(A87,EY!A:CC,81,FALSE))</f>
        <v>114181.86631578946</v>
      </c>
      <c r="EO87" s="309"/>
      <c r="EP87" s="309">
        <f>_xlfn.IFNA((VLOOKUP($A87,HN!$A:$K,8,FALSE)/12),0)+_xlfn.IFNA((VLOOKUP($A87,HN!$A:$AF,32,FALSE)*1/12),0)</f>
        <v>0</v>
      </c>
      <c r="EQ87" s="309">
        <f>_xlfn.IFNA((VLOOKUP($A87,HN!$A:$BS,14,FALSE)/12),0)+_xlfn.IFNA((VLOOKUP($A87,HN!$A:$BS,34,FALSE)/3),0)</f>
        <v>0</v>
      </c>
      <c r="ER87" s="309">
        <f>_xlfn.IFNA(VLOOKUP($A87,'Post 16'!$A:$AV,32,FALSE),0)/8</f>
        <v>0</v>
      </c>
      <c r="ES87" s="309">
        <f>((VLOOKUP($A87,EY!A:EV,33,FALSE)*80%))+VLOOKUP(A87,EY!A:DD,108,FALSE)+VLOOKUP(A87,EY!A:CC,81,FALSE)</f>
        <v>2043.6070083102493</v>
      </c>
      <c r="ET87" s="309">
        <f>_xlfn.IFNA((VLOOKUP($A87,HN!$A:$K,9,FALSE)/12),0)+_xlfn.IFNA((VLOOKUP($A87,HN!$A:$K,10,FALSE)/12),0)+_xlfn.IFNA((VLOOKUP($A87,HN!$A:$BZ,33,FALSE)/12),0)</f>
        <v>0</v>
      </c>
      <c r="EU87" s="309">
        <f>_xlfn.IFNA((VLOOKUP($A87,HN!$A:$BS,15,FALSE)/12),0)</f>
        <v>0</v>
      </c>
      <c r="EV87" s="308">
        <f t="shared" si="100"/>
        <v>0</v>
      </c>
      <c r="EW87" s="308">
        <f t="shared" si="101"/>
        <v>0</v>
      </c>
      <c r="EX87" s="309"/>
      <c r="EY87" s="309">
        <f>_xlfn.IFNA(VLOOKUP($A87,'Cash Advances'!$A:$S,17,FALSE),0)</f>
        <v>0</v>
      </c>
      <c r="EZ87" s="309">
        <f>_xlfn.IFNA(VLOOKUP(A87,'LA Deductions'!A:AZ,25,FALSE),0)/9</f>
        <v>0</v>
      </c>
      <c r="FA87" s="308">
        <f t="shared" si="112"/>
        <v>116225.47332409972</v>
      </c>
      <c r="FB87" s="315">
        <f t="shared" si="102"/>
        <v>0</v>
      </c>
      <c r="FC87" s="315"/>
      <c r="FD87" s="316"/>
      <c r="FE87" s="316">
        <f>_xlfn.IFNA((VLOOKUP($A87,HN!$A:$K,8,FALSE)/12),0)+_xlfn.IFNA((VLOOKUP($A87,HN!$A:$AF,32,FALSE)*1/12),0)</f>
        <v>0</v>
      </c>
      <c r="FF87" s="316">
        <f>_xlfn.IFNA((VLOOKUP($A87,HN!$A:$BS,14,FALSE)/12),0)+_xlfn.IFNA((VLOOKUP($A87,HN!$A:$BS,34,FALSE)/3),0)</f>
        <v>0</v>
      </c>
      <c r="FG87" s="316">
        <f>_xlfn.IFNA(VLOOKUP($A87,'Post 16'!$A:$AV,32,FALSE),0)/8</f>
        <v>0</v>
      </c>
      <c r="FH87" s="316"/>
      <c r="FI87" s="316">
        <f>_xlfn.IFNA((VLOOKUP($A87,HN!$A:$K,9,FALSE)/12),0)+_xlfn.IFNA((VLOOKUP($A87,HN!$A:$K,10,FALSE)/12),0)+_xlfn.IFNA((VLOOKUP($A87,HN!$A:$BZ,33,FALSE)/12),0)+_xlfn.IFNA((VLOOKUP($A87,HN!$A:$BZ,35,FALSE)/2),0)</f>
        <v>0</v>
      </c>
      <c r="FJ87" s="316">
        <f>_xlfn.IFNA((VLOOKUP($A87,HN!$A:$BS,15,FALSE)/12),0)+_xlfn.IFNA((VLOOKUP($A87,HN!$A:$CZ,36,FALSE)/2),0)</f>
        <v>0</v>
      </c>
      <c r="FK87" s="315">
        <f t="shared" si="103"/>
        <v>0</v>
      </c>
      <c r="FL87" s="315">
        <f t="shared" si="104"/>
        <v>0</v>
      </c>
      <c r="FM87" s="316"/>
      <c r="FN87" s="316">
        <f>_xlfn.IFNA(VLOOKUP($A87,'Cash Advances'!$A:$S,18,FALSE),0)</f>
        <v>0</v>
      </c>
      <c r="FO87" s="316">
        <f>_xlfn.IFNA(VLOOKUP(A87,'LA Deductions'!A:AZ,25,FALSE),0)/9</f>
        <v>0</v>
      </c>
      <c r="FP87" s="315">
        <f t="shared" si="113"/>
        <v>0</v>
      </c>
      <c r="FQ87" s="322">
        <f t="shared" si="105"/>
        <v>0</v>
      </c>
      <c r="FR87" s="322"/>
      <c r="FS87" s="323"/>
      <c r="FT87" s="323">
        <f>_xlfn.IFNA((VLOOKUP($A87,HN!$A:$K,8,FALSE)/12),0)+_xlfn.IFNA((VLOOKUP($A87,HN!$A:$AF,32,FALSE)*1/12),0)</f>
        <v>0</v>
      </c>
      <c r="FU87" s="323">
        <f>_xlfn.IFNA((VLOOKUP($A87,HN!$A:$BS,14,FALSE)/12),0)+_xlfn.IFNA((VLOOKUP($A87,HN!$A:$BS,34,FALSE)/3),0)</f>
        <v>0</v>
      </c>
      <c r="FV87" s="323">
        <f>_xlfn.IFNA(VLOOKUP($A87,'Post 16'!$A:$AV,32,FALSE),0)/8</f>
        <v>0</v>
      </c>
      <c r="FW87" s="323"/>
      <c r="FX87" s="323">
        <f>_xlfn.IFNA((VLOOKUP($A87,HN!$A:$K,9,FALSE)/12),0)+_xlfn.IFNA((VLOOKUP($A87,HN!$A:$K,10,FALSE)/12),0)+_xlfn.IFNA((VLOOKUP($A87,HN!$A:$BZ,33,FALSE)/12),0)+_xlfn.IFNA((VLOOKUP($A87,HN!$A:$BZ,35,FALSE)/2),0)</f>
        <v>0</v>
      </c>
      <c r="FY87" s="323">
        <f>_xlfn.IFNA((VLOOKUP($A87,HN!$A:$BS,15,FALSE)/12),0)+_xlfn.IFNA((VLOOKUP($A87,HN!$A:$CZ,36,FALSE)/2),0)</f>
        <v>0</v>
      </c>
      <c r="FZ87" s="322">
        <f t="shared" si="106"/>
        <v>0</v>
      </c>
      <c r="GA87" s="322">
        <f t="shared" si="107"/>
        <v>0</v>
      </c>
      <c r="GB87" s="323"/>
      <c r="GC87" s="323"/>
      <c r="GD87" s="323">
        <f>_xlfn.IFNA(VLOOKUP(A87,'LA Deductions'!A:AZ,25,FALSE),0)/9</f>
        <v>0</v>
      </c>
      <c r="GE87" s="322">
        <f t="shared" si="114"/>
        <v>0</v>
      </c>
      <c r="GG87" s="146">
        <f t="shared" si="115"/>
        <v>731280.424097087</v>
      </c>
      <c r="GH87" s="146">
        <f t="shared" si="115"/>
        <v>0</v>
      </c>
      <c r="GI87" s="146">
        <f t="shared" si="115"/>
        <v>3262.9927977839334</v>
      </c>
      <c r="GJ87" s="146">
        <f t="shared" si="115"/>
        <v>0</v>
      </c>
      <c r="GK87" s="146">
        <f t="shared" si="115"/>
        <v>0</v>
      </c>
      <c r="GL87" s="146">
        <f t="shared" si="115"/>
        <v>-3291.75</v>
      </c>
      <c r="GN87" s="146">
        <f t="shared" si="116"/>
        <v>731280.424097087</v>
      </c>
      <c r="GO87" s="146">
        <f t="shared" si="116"/>
        <v>0</v>
      </c>
      <c r="GP87" s="146">
        <f t="shared" si="116"/>
        <v>3262.9927977839334</v>
      </c>
      <c r="GQ87" s="146">
        <f t="shared" si="116"/>
        <v>0</v>
      </c>
      <c r="GR87" s="146">
        <f t="shared" si="116"/>
        <v>0</v>
      </c>
      <c r="GS87" s="146">
        <f t="shared" si="116"/>
        <v>-3291.75</v>
      </c>
      <c r="GU87" s="146"/>
      <c r="GV87" s="57"/>
    </row>
    <row r="88" spans="1:204">
      <c r="A88" s="185">
        <v>2133</v>
      </c>
      <c r="B88" s="185">
        <v>103233</v>
      </c>
      <c r="C88" s="185" t="s">
        <v>196</v>
      </c>
      <c r="D88" s="2" t="s">
        <v>197</v>
      </c>
      <c r="E88" s="191" t="s">
        <v>32</v>
      </c>
      <c r="F88" s="191" t="s">
        <v>912</v>
      </c>
      <c r="H88" s="279">
        <f>_xlfn.IFNA(VLOOKUP($A88,ISB!$A$4:$BY$454,67,FALSE),0)</f>
        <v>2724067.6081297249</v>
      </c>
      <c r="I88" s="279">
        <f>_xlfn.IFNA(VLOOKUP($A88,ISB!$A$4:$BY$454,72,FALSE),0)</f>
        <v>-10927.519999999999</v>
      </c>
      <c r="J88" s="279">
        <f>-_xlfn.IFNA(VLOOKUP($A88,ISB!$A$4:$BY$454,76,FALSE),0)</f>
        <v>-46374.720000000001</v>
      </c>
      <c r="K88" s="279">
        <f>_xlfn.IFNA(VLOOKUP($A88,ISB!$A$4:$BY$454,77,FALSE),0)</f>
        <v>2666765.3681297246</v>
      </c>
      <c r="M88" s="301">
        <f t="shared" si="72"/>
        <v>227005.63401081041</v>
      </c>
      <c r="N88" s="301">
        <f>VLOOKUP($A88,EY!$A:$H,8,FALSE)+(VLOOKUP($A88,EY!$A:$BS,17,FALSE)-S88)+VLOOKUP($A88,EY!$A:$BS,41,FALSE)</f>
        <v>0</v>
      </c>
      <c r="O88" s="302"/>
      <c r="P88" s="302">
        <f>_xlfn.IFNA((VLOOKUP($A88,HN!$A:$K,8,FALSE)/12),0)</f>
        <v>0</v>
      </c>
      <c r="Q88" s="302">
        <f>_xlfn.IFNA((VLOOKUP($A88,HN!$A:$BS,14,FALSE)/12),0)</f>
        <v>0</v>
      </c>
      <c r="R88" s="302">
        <f>_xlfn.IFNA(VLOOKUP($A88,'Post 16'!$A:$V,21,FALSE),0)/4</f>
        <v>0</v>
      </c>
      <c r="S88" s="302">
        <f>VLOOKUP($A88,EY!A:Q,15,FALSE)*80%</f>
        <v>0</v>
      </c>
      <c r="T88" s="302">
        <f>_xlfn.IFNA((VLOOKUP($A88,HN!$A:$K,9,FALSE)/12),0)+_xlfn.IFNA((VLOOKUP($A88,HN!$A:$K,10,FALSE)/12),0)</f>
        <v>0</v>
      </c>
      <c r="U88" s="302">
        <f>_xlfn.IFNA((VLOOKUP($A88,HN!$A:$BS,15,FALSE)/12),0)</f>
        <v>0</v>
      </c>
      <c r="V88" s="301">
        <f t="shared" si="73"/>
        <v>-910.62666666666655</v>
      </c>
      <c r="W88" s="301">
        <f t="shared" si="74"/>
        <v>-3864.56</v>
      </c>
      <c r="X88" s="302"/>
      <c r="Y88" s="302">
        <f>_xlfn.IFNA(VLOOKUP($A88,'Cash Advances'!$A:$S,8,FALSE),0)</f>
        <v>0</v>
      </c>
      <c r="Z88" s="301">
        <f t="shared" si="67"/>
        <v>222230.44734414373</v>
      </c>
      <c r="AA88" s="315">
        <f t="shared" si="75"/>
        <v>227005.63401081041</v>
      </c>
      <c r="AB88" s="315"/>
      <c r="AC88" s="316"/>
      <c r="AD88" s="316">
        <f>_xlfn.IFNA((VLOOKUP($A88,HN!$A:$K,8,FALSE)/12),0)</f>
        <v>0</v>
      </c>
      <c r="AE88" s="316">
        <f>_xlfn.IFNA((VLOOKUP($A88,HN!$A:$BS,14,FALSE)/12),0)</f>
        <v>0</v>
      </c>
      <c r="AF88" s="316">
        <f>_xlfn.IFNA(VLOOKUP($A88,'Post 16'!$A:$V,21,FALSE),0)/4</f>
        <v>0</v>
      </c>
      <c r="AG88" s="316"/>
      <c r="AH88" s="316">
        <f>_xlfn.IFNA((VLOOKUP($A88,HN!$A:$K,9,FALSE)/12),0)+_xlfn.IFNA((VLOOKUP($A88,HN!$A:$K,10,FALSE)/12),0)</f>
        <v>0</v>
      </c>
      <c r="AI88" s="316">
        <f>_xlfn.IFNA((VLOOKUP($A88,HN!$A:$BS,15,FALSE)/12),0)</f>
        <v>0</v>
      </c>
      <c r="AJ88" s="315">
        <f t="shared" si="76"/>
        <v>-910.62666666666655</v>
      </c>
      <c r="AK88" s="315">
        <f t="shared" si="77"/>
        <v>-3864.56</v>
      </c>
      <c r="AL88" s="316"/>
      <c r="AM88" s="316">
        <f>_xlfn.IFNA(VLOOKUP($A88,'Cash Advances'!$A:$S,9,FALSE),0)</f>
        <v>0</v>
      </c>
      <c r="AN88" s="315">
        <f t="shared" si="68"/>
        <v>222230.44734414373</v>
      </c>
      <c r="AO88" s="308">
        <f t="shared" si="78"/>
        <v>227005.63401081041</v>
      </c>
      <c r="AP88" s="308"/>
      <c r="AQ88" s="309"/>
      <c r="AR88" s="309">
        <f>_xlfn.IFNA((VLOOKUP($A88,HN!$A:$K,8,FALSE)/12),0)</f>
        <v>0</v>
      </c>
      <c r="AS88" s="309">
        <f>_xlfn.IFNA((VLOOKUP($A88,HN!$A:$BS,14,FALSE)/12),0)</f>
        <v>0</v>
      </c>
      <c r="AT88" s="309">
        <f>_xlfn.IFNA(VLOOKUP($A88,'Post 16'!$A:$V,21,FALSE),0)/4</f>
        <v>0</v>
      </c>
      <c r="AU88" s="309"/>
      <c r="AV88" s="309">
        <f>_xlfn.IFNA((VLOOKUP($A88,HN!$A:$K,9,FALSE)/12),0)+_xlfn.IFNA((VLOOKUP($A88,HN!$A:$K,10,FALSE)/12),0)+_xlfn.IFNA(VLOOKUP(A88,HN!A:V,19,FALSE),0)+_xlfn.IFNA(VLOOKUP(A88,HN!A:V,20,FALSE),0)+_xlfn.IFNA(VLOOKUP(A88,HN!A:V,21,FALSE),0)</f>
        <v>0</v>
      </c>
      <c r="AW88" s="309">
        <f>_xlfn.IFNA((VLOOKUP($A88,HN!$A:$BS,15,FALSE)/12),0)</f>
        <v>0</v>
      </c>
      <c r="AX88" s="308">
        <f t="shared" si="79"/>
        <v>-910.62666666666655</v>
      </c>
      <c r="AY88" s="308">
        <f t="shared" si="80"/>
        <v>-3864.56</v>
      </c>
      <c r="AZ88" s="309"/>
      <c r="BA88" s="309">
        <f>_xlfn.IFNA(VLOOKUP($A88,'Cash Advances'!$A:$S,10,FALSE),0)</f>
        <v>0</v>
      </c>
      <c r="BB88" s="308">
        <f t="shared" si="69"/>
        <v>222230.44734414373</v>
      </c>
      <c r="BC88" s="330">
        <f t="shared" si="81"/>
        <v>227005.63401081041</v>
      </c>
      <c r="BD88" s="330"/>
      <c r="BE88" s="331"/>
      <c r="BF88" s="331">
        <f>_xlfn.IFNA((VLOOKUP($A88,HN!$A:$K,8,FALSE)/12),0)</f>
        <v>0</v>
      </c>
      <c r="BG88" s="331">
        <f>_xlfn.IFNA((VLOOKUP($A88,HN!$A:$BS,14,FALSE)/12),0)</f>
        <v>0</v>
      </c>
      <c r="BH88" s="331">
        <f>_xlfn.IFNA(VLOOKUP($A88,'Post 16'!$A:$V,21,FALSE),0)/4</f>
        <v>0</v>
      </c>
      <c r="BI88" s="331"/>
      <c r="BJ88" s="331">
        <f>_xlfn.IFNA((VLOOKUP($A88,HN!$A:$K,9,FALSE)/12),0)+_xlfn.IFNA((VLOOKUP($A88,HN!$A:$K,10,FALSE)/12),0)</f>
        <v>0</v>
      </c>
      <c r="BK88" s="331">
        <f>_xlfn.IFNA((VLOOKUP($A88,HN!$A:$BS,15,FALSE)/12),0)</f>
        <v>0</v>
      </c>
      <c r="BL88" s="330">
        <f t="shared" si="82"/>
        <v>-910.62666666666655</v>
      </c>
      <c r="BM88" s="330">
        <f t="shared" si="83"/>
        <v>-3864.56</v>
      </c>
      <c r="BN88" s="331"/>
      <c r="BO88" s="331">
        <f>_xlfn.IFNA(VLOOKUP(A88,'Cash Advances'!A:K,11,FALSE),0)</f>
        <v>0</v>
      </c>
      <c r="BP88" s="330">
        <f t="shared" si="70"/>
        <v>222230.44734414373</v>
      </c>
      <c r="BQ88" s="322">
        <f t="shared" si="84"/>
        <v>227005.63401081041</v>
      </c>
      <c r="BR88" s="322"/>
      <c r="BS88" s="323"/>
      <c r="BT88" s="323">
        <f>_xlfn.IFNA((VLOOKUP($A88,HN!$A:$K,8,FALSE)/12),0)</f>
        <v>0</v>
      </c>
      <c r="BU88" s="323">
        <f>_xlfn.IFNA((VLOOKUP($A88,HN!$A:$BS,14,FALSE)/12),0)</f>
        <v>0</v>
      </c>
      <c r="BV88" s="323">
        <f>(_xlfn.IFNA(VLOOKUP($A88,'Post 16'!$A:$AV,32,FALSE),0)/8)+_xlfn.IFNA(VLOOKUP($A88,'Post 16'!$A:$AR,40,FALSE),0)</f>
        <v>0</v>
      </c>
      <c r="BW88" s="323"/>
      <c r="BX88" s="323">
        <f>_xlfn.IFNA((VLOOKUP($A88,HN!$A:$K,9,FALSE)/12),0)+_xlfn.IFNA((VLOOKUP($A88,HN!$A:$K,10,FALSE)/12),0)</f>
        <v>0</v>
      </c>
      <c r="BY88" s="323">
        <f>_xlfn.IFNA((VLOOKUP($A88,HN!$A:$BS,15,FALSE)/12),0)</f>
        <v>0</v>
      </c>
      <c r="BZ88" s="322">
        <f t="shared" si="85"/>
        <v>-910.62666666666655</v>
      </c>
      <c r="CA88" s="322">
        <f t="shared" si="86"/>
        <v>-3864.56</v>
      </c>
      <c r="CB88" s="323"/>
      <c r="CC88" s="323"/>
      <c r="CD88" s="322">
        <f t="shared" si="71"/>
        <v>222230.44734414373</v>
      </c>
      <c r="CE88" s="357">
        <f t="shared" si="87"/>
        <v>227005.63401081041</v>
      </c>
      <c r="CF88" s="357">
        <f>(VLOOKUP($A88,EY!$A:$BS,26,FALSE)-(VLOOKUP($A88,EY!A:CR,24,FALSE)*80%))+VLOOKUP($A88,EY!$A:$BS,42,FALSE)+(VLOOKUP($A88,EY!A:CC,74,FALSE)-VLOOKUP($A88,EY!A:CC,72,FALSE))</f>
        <v>0</v>
      </c>
      <c r="CG88" s="358"/>
      <c r="CH88" s="358">
        <f>_xlfn.IFNA((VLOOKUP($A88,HN!$A:$K,8,FALSE)/12),0)</f>
        <v>0</v>
      </c>
      <c r="CI88" s="358">
        <f>_xlfn.IFNA((VLOOKUP($A88,HN!$A:$BS,14,FALSE)/12),0)</f>
        <v>0</v>
      </c>
      <c r="CJ88" s="358">
        <f>(_xlfn.IFNA(VLOOKUP($A88,'Post 16'!$A:$AV,32,FALSE),0)/8)</f>
        <v>0</v>
      </c>
      <c r="CK88" s="358">
        <f>(VLOOKUP($A88,EY!A:CR,24,FALSE)*80%)+VLOOKUP($A88,EY!A:CC,72,FALSE)</f>
        <v>0</v>
      </c>
      <c r="CL88" s="358">
        <f>_xlfn.IFNA((VLOOKUP($A88,HN!$A:$K,9,FALSE)/12),0)+_xlfn.IFNA((VLOOKUP($A88,HN!$A:$K,10,FALSE)/12),0)</f>
        <v>0</v>
      </c>
      <c r="CM88" s="358">
        <f>_xlfn.IFNA((VLOOKUP($A88,HN!$A:$BS,15,FALSE)/12),0)</f>
        <v>0</v>
      </c>
      <c r="CN88" s="357">
        <f t="shared" si="88"/>
        <v>-910.62666666666655</v>
      </c>
      <c r="CO88" s="357">
        <f t="shared" si="89"/>
        <v>-3864.56</v>
      </c>
      <c r="CP88" s="358">
        <f>_xlfn.IFNA(VLOOKUP(A88,'LA Deductions'!A:W,23,FALSE),0)</f>
        <v>-9471</v>
      </c>
      <c r="CQ88" s="358">
        <f>_xlfn.IFNA(VLOOKUP($A88,'Cash Advances'!$A:$S,13,FALSE),0)</f>
        <v>0</v>
      </c>
      <c r="CR88" s="358">
        <f>_xlfn.IFNA(VLOOKUP(A88,'LA Deductions'!A:AZ,25,FALSE),0)/9*3</f>
        <v>0</v>
      </c>
      <c r="CS88" s="357">
        <f t="shared" si="108"/>
        <v>212759.44734414373</v>
      </c>
      <c r="CT88" s="337">
        <f t="shared" si="90"/>
        <v>227005.63401081041</v>
      </c>
      <c r="CU88" s="337"/>
      <c r="CV88" s="338">
        <f>_xlfn.IFNA(VLOOKUP(A88,'LA Deductions'!$A$6:$AN$207,34,FALSE),0)</f>
        <v>-4336.5414000000001</v>
      </c>
      <c r="CW88" s="338">
        <f>_xlfn.IFNA((VLOOKUP($A88,HN!$A:$K,8,FALSE)/12),0)</f>
        <v>0</v>
      </c>
      <c r="CX88" s="338">
        <f>_xlfn.IFNA((VLOOKUP($A88,HN!$A:$BS,14,FALSE)/12),0)</f>
        <v>0</v>
      </c>
      <c r="CY88" s="338">
        <f>_xlfn.IFNA(VLOOKUP($A88,'Post 16'!$A:$AV,32,FALSE),0)/8</f>
        <v>0</v>
      </c>
      <c r="CZ88" s="338"/>
      <c r="DA88" s="338">
        <f>_xlfn.IFNA((VLOOKUP($A88,HN!$A:$K,9,FALSE)/12),0)+_xlfn.IFNA((VLOOKUP($A88,HN!$A:$K,10,FALSE)/12),0)</f>
        <v>0</v>
      </c>
      <c r="DB88" s="338">
        <f>_xlfn.IFNA((VLOOKUP($A88,HN!$A:$BS,15,FALSE)/12),0)</f>
        <v>0</v>
      </c>
      <c r="DC88" s="337">
        <f t="shared" si="91"/>
        <v>-910.62666666666655</v>
      </c>
      <c r="DD88" s="337">
        <f t="shared" si="92"/>
        <v>-3864.56</v>
      </c>
      <c r="DE88" s="338"/>
      <c r="DF88" s="338">
        <f>_xlfn.IFNA(VLOOKUP($A88,'Cash Advances'!$A:$S,14,FALSE),0)</f>
        <v>0</v>
      </c>
      <c r="DG88" s="338">
        <f>(_xlfn.IFNA(VLOOKUP(A88,'LA Deductions'!A:AZ,25,FALSE),0)/9)+(_xlfn.IFNA(VLOOKUP(A88,'LA Deductions'!A:AZ,26,FALSE),0))</f>
        <v>0</v>
      </c>
      <c r="DH88" s="337">
        <f t="shared" si="109"/>
        <v>217893.90594414374</v>
      </c>
      <c r="DI88" s="330">
        <f t="shared" si="93"/>
        <v>227005.63401081041</v>
      </c>
      <c r="DJ88" s="330"/>
      <c r="DK88" s="331"/>
      <c r="DL88" s="331">
        <f>_xlfn.IFNA((VLOOKUP($A88,HN!$A:$K,8,FALSE)/12),0)+_xlfn.IFNA((VLOOKUP($A88,HN!$A:$AF,32,FALSE)*8/12),0)</f>
        <v>0</v>
      </c>
      <c r="DM88" s="331">
        <f>_xlfn.IFNA((VLOOKUP($A88,HN!$A:$BS,14,FALSE)/12),0)+_xlfn.IFNA(VLOOKUP($A88,HN!$A:$BS,31,FALSE),0)</f>
        <v>0</v>
      </c>
      <c r="DN88" s="331">
        <f>_xlfn.IFNA(VLOOKUP($A88,'Post 16'!$A:$AV,32,FALSE),0)/8</f>
        <v>0</v>
      </c>
      <c r="DO88" s="331"/>
      <c r="DP88" s="331">
        <f>_xlfn.IFNA((VLOOKUP($A88,HN!$A:$K,9,FALSE)/12),0)+_xlfn.IFNA((VLOOKUP($A88,HN!$A:$K,10,FALSE)/12),0)+_xlfn.IFNA((VLOOKUP($A88,HN!$A:$BZ,33,FALSE)*8/12),0)</f>
        <v>0</v>
      </c>
      <c r="DQ88" s="331">
        <f>_xlfn.IFNA((VLOOKUP($A88,HN!$A:$BS,15,FALSE)/12),0)</f>
        <v>0</v>
      </c>
      <c r="DR88" s="330">
        <f t="shared" si="94"/>
        <v>-910.62666666666655</v>
      </c>
      <c r="DS88" s="330">
        <f t="shared" si="95"/>
        <v>-3864.56</v>
      </c>
      <c r="DT88" s="331"/>
      <c r="DU88" s="331"/>
      <c r="DV88" s="331">
        <f>(_xlfn.IFNA(VLOOKUP(A88,'LA Deductions'!A:AZ,25,FALSE),0)/9)+_xlfn.IFNA(VLOOKUP(A88,'LA Deductions'!A:AZ,27,FALSE),0)</f>
        <v>0</v>
      </c>
      <c r="DW88" s="330">
        <f t="shared" si="110"/>
        <v>222230.44734414373</v>
      </c>
      <c r="DX88" s="344">
        <f t="shared" si="96"/>
        <v>227005.63401081041</v>
      </c>
      <c r="DY88" s="344"/>
      <c r="DZ88" s="345"/>
      <c r="EA88" s="345">
        <f>_xlfn.IFNA((VLOOKUP($A88,HN!$A:$K,8,FALSE)/12),0)+_xlfn.IFNA((VLOOKUP($A88,HN!$A:$AF,32,FALSE)*1/12),0)</f>
        <v>0</v>
      </c>
      <c r="EB88" s="345">
        <f>_xlfn.IFNA((VLOOKUP($A88,HN!$A:$BS,14,FALSE)/12),0)</f>
        <v>0</v>
      </c>
      <c r="EC88" s="345">
        <f>_xlfn.IFNA(VLOOKUP($A88,'Post 16'!$A:$AV,32,FALSE),0)/8</f>
        <v>0</v>
      </c>
      <c r="ED88" s="345"/>
      <c r="EE88" s="345">
        <f>_xlfn.IFNA((VLOOKUP($A88,HN!$A:$K,9,FALSE)/12),0)+_xlfn.IFNA((VLOOKUP($A88,HN!$A:$K,10,FALSE)/12),0)+_xlfn.IFNA((VLOOKUP($A88,HN!$A:$BZ,33,FALSE)/12),0)</f>
        <v>0</v>
      </c>
      <c r="EF88" s="345">
        <f>_xlfn.IFNA((VLOOKUP($A88,HN!$A:$BS,15,FALSE)/12),0)</f>
        <v>0</v>
      </c>
      <c r="EG88" s="344">
        <f t="shared" si="97"/>
        <v>-910.62666666666655</v>
      </c>
      <c r="EH88" s="344">
        <f t="shared" si="98"/>
        <v>-3864.56</v>
      </c>
      <c r="EI88" s="345"/>
      <c r="EJ88" s="345">
        <f>_xlfn.IFNA(VLOOKUP(A88,'Cash Advances'!A:P,16,FALSE),0)</f>
        <v>0</v>
      </c>
      <c r="EK88" s="345">
        <f>_xlfn.IFNA(VLOOKUP(A88,'LA Deductions'!A:AZ,25,FALSE),0)/9</f>
        <v>0</v>
      </c>
      <c r="EL88" s="344">
        <f t="shared" si="111"/>
        <v>222230.44734414373</v>
      </c>
      <c r="EM88" s="308">
        <f t="shared" si="99"/>
        <v>227005.63401081041</v>
      </c>
      <c r="EN88" s="308">
        <f>((VLOOKUP($A88,EY!$A:$BS,35,FALSE)-(VLOOKUP($A88,EY!$A:$BS,33,FALSE)*80%))+VLOOKUP($A88,EY!$A:$BS,43,FALSE))+(VLOOKUP(A88,EY!A:DF,110,FALSE)-VLOOKUP(A88,EY!A:DD,108,FALSE))+(VLOOKUP(A88,EY!A:CE,83,FALSE)-VLOOKUP(A88,EY!A:CC,81,FALSE))</f>
        <v>0</v>
      </c>
      <c r="EO88" s="309"/>
      <c r="EP88" s="309">
        <f>_xlfn.IFNA((VLOOKUP($A88,HN!$A:$K,8,FALSE)/12),0)+_xlfn.IFNA((VLOOKUP($A88,HN!$A:$AF,32,FALSE)*1/12),0)</f>
        <v>0</v>
      </c>
      <c r="EQ88" s="309">
        <f>_xlfn.IFNA((VLOOKUP($A88,HN!$A:$BS,14,FALSE)/12),0)+_xlfn.IFNA((VLOOKUP($A88,HN!$A:$BS,34,FALSE)/3),0)</f>
        <v>0</v>
      </c>
      <c r="ER88" s="309">
        <f>_xlfn.IFNA(VLOOKUP($A88,'Post 16'!$A:$AV,32,FALSE),0)/8</f>
        <v>0</v>
      </c>
      <c r="ES88" s="309">
        <f>((VLOOKUP($A88,EY!A:EV,33,FALSE)*80%))+VLOOKUP(A88,EY!A:DD,108,FALSE)+VLOOKUP(A88,EY!A:CC,81,FALSE)</f>
        <v>0</v>
      </c>
      <c r="ET88" s="309">
        <f>_xlfn.IFNA((VLOOKUP($A88,HN!$A:$K,9,FALSE)/12),0)+_xlfn.IFNA((VLOOKUP($A88,HN!$A:$K,10,FALSE)/12),0)+_xlfn.IFNA((VLOOKUP($A88,HN!$A:$BZ,33,FALSE)/12),0)</f>
        <v>0</v>
      </c>
      <c r="EU88" s="309">
        <f>_xlfn.IFNA((VLOOKUP($A88,HN!$A:$BS,15,FALSE)/12),0)</f>
        <v>0</v>
      </c>
      <c r="EV88" s="308">
        <f t="shared" si="100"/>
        <v>-910.62666666666655</v>
      </c>
      <c r="EW88" s="308">
        <f t="shared" si="101"/>
        <v>-3864.56</v>
      </c>
      <c r="EX88" s="309"/>
      <c r="EY88" s="309">
        <f>_xlfn.IFNA(VLOOKUP($A88,'Cash Advances'!$A:$S,17,FALSE),0)</f>
        <v>0</v>
      </c>
      <c r="EZ88" s="309">
        <f>_xlfn.IFNA(VLOOKUP(A88,'LA Deductions'!A:AZ,25,FALSE),0)/9</f>
        <v>0</v>
      </c>
      <c r="FA88" s="308">
        <f t="shared" si="112"/>
        <v>222230.44734414373</v>
      </c>
      <c r="FB88" s="315">
        <f t="shared" si="102"/>
        <v>227005.63401081041</v>
      </c>
      <c r="FC88" s="315"/>
      <c r="FD88" s="316"/>
      <c r="FE88" s="316">
        <f>_xlfn.IFNA((VLOOKUP($A88,HN!$A:$K,8,FALSE)/12),0)+_xlfn.IFNA((VLOOKUP($A88,HN!$A:$AF,32,FALSE)*1/12),0)</f>
        <v>0</v>
      </c>
      <c r="FF88" s="316">
        <f>_xlfn.IFNA((VLOOKUP($A88,HN!$A:$BS,14,FALSE)/12),0)+_xlfn.IFNA((VLOOKUP($A88,HN!$A:$BS,34,FALSE)/3),0)</f>
        <v>0</v>
      </c>
      <c r="FG88" s="316">
        <f>_xlfn.IFNA(VLOOKUP($A88,'Post 16'!$A:$AV,32,FALSE),0)/8</f>
        <v>0</v>
      </c>
      <c r="FH88" s="316"/>
      <c r="FI88" s="316">
        <f>_xlfn.IFNA((VLOOKUP($A88,HN!$A:$K,9,FALSE)/12),0)+_xlfn.IFNA((VLOOKUP($A88,HN!$A:$K,10,FALSE)/12),0)+_xlfn.IFNA((VLOOKUP($A88,HN!$A:$BZ,33,FALSE)/12),0)+_xlfn.IFNA((VLOOKUP($A88,HN!$A:$BZ,35,FALSE)/2),0)</f>
        <v>0</v>
      </c>
      <c r="FJ88" s="316">
        <f>_xlfn.IFNA((VLOOKUP($A88,HN!$A:$BS,15,FALSE)/12),0)+_xlfn.IFNA((VLOOKUP($A88,HN!$A:$CZ,36,FALSE)/2),0)</f>
        <v>0</v>
      </c>
      <c r="FK88" s="315">
        <f t="shared" si="103"/>
        <v>-910.62666666666655</v>
      </c>
      <c r="FL88" s="315">
        <f t="shared" si="104"/>
        <v>-3864.56</v>
      </c>
      <c r="FM88" s="316"/>
      <c r="FN88" s="316">
        <f>_xlfn.IFNA(VLOOKUP($A88,'Cash Advances'!$A:$S,18,FALSE),0)</f>
        <v>0</v>
      </c>
      <c r="FO88" s="316">
        <f>_xlfn.IFNA(VLOOKUP(A88,'LA Deductions'!A:AZ,25,FALSE),0)/9</f>
        <v>0</v>
      </c>
      <c r="FP88" s="315">
        <f t="shared" si="113"/>
        <v>222230.44734414373</v>
      </c>
      <c r="FQ88" s="322">
        <f t="shared" si="105"/>
        <v>227005.63401081041</v>
      </c>
      <c r="FR88" s="322"/>
      <c r="FS88" s="323"/>
      <c r="FT88" s="323">
        <f>_xlfn.IFNA((VLOOKUP($A88,HN!$A:$K,8,FALSE)/12),0)+_xlfn.IFNA((VLOOKUP($A88,HN!$A:$AF,32,FALSE)*1/12),0)</f>
        <v>0</v>
      </c>
      <c r="FU88" s="323">
        <f>_xlfn.IFNA((VLOOKUP($A88,HN!$A:$BS,14,FALSE)/12),0)+_xlfn.IFNA((VLOOKUP($A88,HN!$A:$BS,34,FALSE)/3),0)</f>
        <v>0</v>
      </c>
      <c r="FV88" s="323">
        <f>_xlfn.IFNA(VLOOKUP($A88,'Post 16'!$A:$AV,32,FALSE),0)/8</f>
        <v>0</v>
      </c>
      <c r="FW88" s="323"/>
      <c r="FX88" s="323">
        <f>_xlfn.IFNA((VLOOKUP($A88,HN!$A:$K,9,FALSE)/12),0)+_xlfn.IFNA((VLOOKUP($A88,HN!$A:$K,10,FALSE)/12),0)+_xlfn.IFNA((VLOOKUP($A88,HN!$A:$BZ,33,FALSE)/12),0)+_xlfn.IFNA((VLOOKUP($A88,HN!$A:$BZ,35,FALSE)/2),0)</f>
        <v>0</v>
      </c>
      <c r="FY88" s="323">
        <f>_xlfn.IFNA((VLOOKUP($A88,HN!$A:$BS,15,FALSE)/12),0)+_xlfn.IFNA((VLOOKUP($A88,HN!$A:$CZ,36,FALSE)/2),0)</f>
        <v>0</v>
      </c>
      <c r="FZ88" s="322">
        <f t="shared" si="106"/>
        <v>-910.62666666666655</v>
      </c>
      <c r="GA88" s="322">
        <f t="shared" si="107"/>
        <v>-3864.56</v>
      </c>
      <c r="GB88" s="323"/>
      <c r="GC88" s="323"/>
      <c r="GD88" s="323">
        <f>_xlfn.IFNA(VLOOKUP(A88,'LA Deductions'!A:AZ,25,FALSE),0)/9</f>
        <v>0</v>
      </c>
      <c r="GE88" s="322">
        <f t="shared" si="114"/>
        <v>222230.44734414373</v>
      </c>
      <c r="GG88" s="146">
        <f t="shared" ref="GG88:GL96" si="117">SUMIFS($M88:$GE88,$M$7:$GE$7,GG$7)</f>
        <v>2719731.0667297249</v>
      </c>
      <c r="GH88" s="146">
        <f t="shared" si="117"/>
        <v>0</v>
      </c>
      <c r="GI88" s="146">
        <f t="shared" si="117"/>
        <v>0</v>
      </c>
      <c r="GJ88" s="146">
        <f t="shared" si="117"/>
        <v>-10927.520000000002</v>
      </c>
      <c r="GK88" s="146">
        <f t="shared" si="117"/>
        <v>-46374.719999999994</v>
      </c>
      <c r="GL88" s="146">
        <f t="shared" si="117"/>
        <v>-9471</v>
      </c>
      <c r="GN88" s="146">
        <f t="shared" ref="GN88:GS96" si="118">SUMIFS($M88:$GE88,$M$7:$GE$7,GN$7,$M$4:$GE$4,$GN$6)</f>
        <v>2719731.0667297249</v>
      </c>
      <c r="GO88" s="146">
        <f t="shared" si="118"/>
        <v>0</v>
      </c>
      <c r="GP88" s="146">
        <f t="shared" si="118"/>
        <v>0</v>
      </c>
      <c r="GQ88" s="146">
        <f t="shared" si="118"/>
        <v>-10927.520000000002</v>
      </c>
      <c r="GR88" s="146">
        <f t="shared" si="118"/>
        <v>-46374.719999999994</v>
      </c>
      <c r="GS88" s="146">
        <f t="shared" si="118"/>
        <v>-9471</v>
      </c>
      <c r="GU88" s="146"/>
      <c r="GV88" s="57"/>
    </row>
    <row r="89" spans="1:204">
      <c r="A89" s="185">
        <v>2406</v>
      </c>
      <c r="B89" s="185">
        <v>103345</v>
      </c>
      <c r="C89" s="185" t="s">
        <v>200</v>
      </c>
      <c r="D89" s="2" t="s">
        <v>201</v>
      </c>
      <c r="E89" s="191" t="s">
        <v>32</v>
      </c>
      <c r="F89" s="191" t="s">
        <v>912</v>
      </c>
      <c r="H89" s="279">
        <f>_xlfn.IFNA(VLOOKUP($A89,ISB!$A$4:$BY$454,67,FALSE),0)</f>
        <v>1267715.2672000001</v>
      </c>
      <c r="I89" s="279">
        <f>_xlfn.IFNA(VLOOKUP($A89,ISB!$A$4:$BY$454,72,FALSE),0)</f>
        <v>-5268.16</v>
      </c>
      <c r="J89" s="279">
        <f>-_xlfn.IFNA(VLOOKUP($A89,ISB!$A$4:$BY$454,76,FALSE),0)</f>
        <v>-12359.45</v>
      </c>
      <c r="K89" s="279">
        <f>_xlfn.IFNA(VLOOKUP($A89,ISB!$A$4:$BY$454,77,FALSE),0)</f>
        <v>1250087.6572000002</v>
      </c>
      <c r="M89" s="301">
        <f t="shared" si="72"/>
        <v>105642.93893333334</v>
      </c>
      <c r="N89" s="301">
        <f>VLOOKUP($A89,EY!$A:$H,8,FALSE)+(VLOOKUP($A89,EY!$A:$BS,17,FALSE)-S89)+VLOOKUP($A89,EY!$A:$BS,41,FALSE)</f>
        <v>0</v>
      </c>
      <c r="O89" s="302"/>
      <c r="P89" s="302">
        <f>_xlfn.IFNA((VLOOKUP($A89,HN!$A:$K,8,FALSE)/12),0)</f>
        <v>0</v>
      </c>
      <c r="Q89" s="302">
        <f>_xlfn.IFNA((VLOOKUP($A89,HN!$A:$BS,14,FALSE)/12),0)</f>
        <v>0</v>
      </c>
      <c r="R89" s="302">
        <f>_xlfn.IFNA(VLOOKUP($A89,'Post 16'!$A:$V,21,FALSE),0)/4</f>
        <v>0</v>
      </c>
      <c r="S89" s="302">
        <f>VLOOKUP($A89,EY!A:Q,15,FALSE)*80%</f>
        <v>0</v>
      </c>
      <c r="T89" s="302">
        <f>_xlfn.IFNA((VLOOKUP($A89,HN!$A:$K,9,FALSE)/12),0)+_xlfn.IFNA((VLOOKUP($A89,HN!$A:$K,10,FALSE)/12),0)</f>
        <v>0</v>
      </c>
      <c r="U89" s="302">
        <f>_xlfn.IFNA((VLOOKUP($A89,HN!$A:$BS,15,FALSE)/12),0)</f>
        <v>0</v>
      </c>
      <c r="V89" s="301">
        <f t="shared" si="73"/>
        <v>-439.01333333333332</v>
      </c>
      <c r="W89" s="301">
        <f t="shared" si="74"/>
        <v>-1029.9541666666667</v>
      </c>
      <c r="X89" s="302"/>
      <c r="Y89" s="302">
        <f>_xlfn.IFNA(VLOOKUP($A89,'Cash Advances'!$A:$S,8,FALSE),0)</f>
        <v>0</v>
      </c>
      <c r="Z89" s="301">
        <f t="shared" si="67"/>
        <v>104173.97143333334</v>
      </c>
      <c r="AA89" s="315">
        <f t="shared" si="75"/>
        <v>105642.93893333334</v>
      </c>
      <c r="AB89" s="315"/>
      <c r="AC89" s="316"/>
      <c r="AD89" s="316">
        <f>_xlfn.IFNA((VLOOKUP($A89,HN!$A:$K,8,FALSE)/12),0)</f>
        <v>0</v>
      </c>
      <c r="AE89" s="316">
        <f>_xlfn.IFNA((VLOOKUP($A89,HN!$A:$BS,14,FALSE)/12),0)</f>
        <v>0</v>
      </c>
      <c r="AF89" s="316">
        <f>_xlfn.IFNA(VLOOKUP($A89,'Post 16'!$A:$V,21,FALSE),0)/4</f>
        <v>0</v>
      </c>
      <c r="AG89" s="316"/>
      <c r="AH89" s="316">
        <f>_xlfn.IFNA((VLOOKUP($A89,HN!$A:$K,9,FALSE)/12),0)+_xlfn.IFNA((VLOOKUP($A89,HN!$A:$K,10,FALSE)/12),0)</f>
        <v>0</v>
      </c>
      <c r="AI89" s="316">
        <f>_xlfn.IFNA((VLOOKUP($A89,HN!$A:$BS,15,FALSE)/12),0)</f>
        <v>0</v>
      </c>
      <c r="AJ89" s="315">
        <f t="shared" si="76"/>
        <v>-439.01333333333332</v>
      </c>
      <c r="AK89" s="315">
        <f t="shared" si="77"/>
        <v>-1029.9541666666667</v>
      </c>
      <c r="AL89" s="316"/>
      <c r="AM89" s="316">
        <f>_xlfn.IFNA(VLOOKUP($A89,'Cash Advances'!$A:$S,9,FALSE),0)</f>
        <v>0</v>
      </c>
      <c r="AN89" s="315">
        <f t="shared" si="68"/>
        <v>104173.97143333334</v>
      </c>
      <c r="AO89" s="308">
        <f t="shared" si="78"/>
        <v>105642.93893333334</v>
      </c>
      <c r="AP89" s="308"/>
      <c r="AQ89" s="309"/>
      <c r="AR89" s="309">
        <f>_xlfn.IFNA((VLOOKUP($A89,HN!$A:$K,8,FALSE)/12),0)</f>
        <v>0</v>
      </c>
      <c r="AS89" s="309">
        <f>_xlfn.IFNA((VLOOKUP($A89,HN!$A:$BS,14,FALSE)/12),0)</f>
        <v>0</v>
      </c>
      <c r="AT89" s="309">
        <f>_xlfn.IFNA(VLOOKUP($A89,'Post 16'!$A:$V,21,FALSE),0)/4</f>
        <v>0</v>
      </c>
      <c r="AU89" s="309"/>
      <c r="AV89" s="309">
        <f>_xlfn.IFNA((VLOOKUP($A89,HN!$A:$K,9,FALSE)/12),0)+_xlfn.IFNA((VLOOKUP($A89,HN!$A:$K,10,FALSE)/12),0)+_xlfn.IFNA(VLOOKUP(A89,HN!A:V,19,FALSE),0)+_xlfn.IFNA(VLOOKUP(A89,HN!A:V,20,FALSE),0)+_xlfn.IFNA(VLOOKUP(A89,HN!A:V,21,FALSE),0)</f>
        <v>0</v>
      </c>
      <c r="AW89" s="309">
        <f>_xlfn.IFNA((VLOOKUP($A89,HN!$A:$BS,15,FALSE)/12),0)</f>
        <v>0</v>
      </c>
      <c r="AX89" s="308">
        <f t="shared" si="79"/>
        <v>-439.01333333333332</v>
      </c>
      <c r="AY89" s="308">
        <f t="shared" si="80"/>
        <v>-1029.9541666666667</v>
      </c>
      <c r="AZ89" s="309"/>
      <c r="BA89" s="309">
        <f>_xlfn.IFNA(VLOOKUP($A89,'Cash Advances'!$A:$S,10,FALSE),0)</f>
        <v>0</v>
      </c>
      <c r="BB89" s="308">
        <f t="shared" si="69"/>
        <v>104173.97143333334</v>
      </c>
      <c r="BC89" s="330">
        <f t="shared" si="81"/>
        <v>105642.93893333334</v>
      </c>
      <c r="BD89" s="330"/>
      <c r="BE89" s="331"/>
      <c r="BF89" s="331">
        <f>_xlfn.IFNA((VLOOKUP($A89,HN!$A:$K,8,FALSE)/12),0)</f>
        <v>0</v>
      </c>
      <c r="BG89" s="331">
        <f>_xlfn.IFNA((VLOOKUP($A89,HN!$A:$BS,14,FALSE)/12),0)</f>
        <v>0</v>
      </c>
      <c r="BH89" s="331">
        <f>_xlfn.IFNA(VLOOKUP($A89,'Post 16'!$A:$V,21,FALSE),0)/4</f>
        <v>0</v>
      </c>
      <c r="BI89" s="331"/>
      <c r="BJ89" s="331">
        <f>_xlfn.IFNA((VLOOKUP($A89,HN!$A:$K,9,FALSE)/12),0)+_xlfn.IFNA((VLOOKUP($A89,HN!$A:$K,10,FALSE)/12),0)</f>
        <v>0</v>
      </c>
      <c r="BK89" s="331">
        <f>_xlfn.IFNA((VLOOKUP($A89,HN!$A:$BS,15,FALSE)/12),0)</f>
        <v>0</v>
      </c>
      <c r="BL89" s="330">
        <f t="shared" si="82"/>
        <v>-439.01333333333332</v>
      </c>
      <c r="BM89" s="330">
        <f t="shared" si="83"/>
        <v>-1029.9541666666667</v>
      </c>
      <c r="BN89" s="331"/>
      <c r="BO89" s="331">
        <f>_xlfn.IFNA(VLOOKUP(A89,'Cash Advances'!A:K,11,FALSE),0)</f>
        <v>0</v>
      </c>
      <c r="BP89" s="330">
        <f t="shared" si="70"/>
        <v>104173.97143333334</v>
      </c>
      <c r="BQ89" s="322">
        <f t="shared" si="84"/>
        <v>105642.93893333334</v>
      </c>
      <c r="BR89" s="322"/>
      <c r="BS89" s="323"/>
      <c r="BT89" s="323">
        <f>_xlfn.IFNA((VLOOKUP($A89,HN!$A:$K,8,FALSE)/12),0)</f>
        <v>0</v>
      </c>
      <c r="BU89" s="323">
        <f>_xlfn.IFNA((VLOOKUP($A89,HN!$A:$BS,14,FALSE)/12),0)</f>
        <v>0</v>
      </c>
      <c r="BV89" s="323">
        <f>(_xlfn.IFNA(VLOOKUP($A89,'Post 16'!$A:$AV,32,FALSE),0)/8)+_xlfn.IFNA(VLOOKUP($A89,'Post 16'!$A:$AR,40,FALSE),0)</f>
        <v>0</v>
      </c>
      <c r="BW89" s="323"/>
      <c r="BX89" s="323">
        <f>_xlfn.IFNA((VLOOKUP($A89,HN!$A:$K,9,FALSE)/12),0)+_xlfn.IFNA((VLOOKUP($A89,HN!$A:$K,10,FALSE)/12),0)</f>
        <v>0</v>
      </c>
      <c r="BY89" s="323">
        <f>_xlfn.IFNA((VLOOKUP($A89,HN!$A:$BS,15,FALSE)/12),0)</f>
        <v>0</v>
      </c>
      <c r="BZ89" s="322">
        <f t="shared" si="85"/>
        <v>-439.01333333333332</v>
      </c>
      <c r="CA89" s="322">
        <f t="shared" si="86"/>
        <v>-1029.9541666666667</v>
      </c>
      <c r="CB89" s="323"/>
      <c r="CC89" s="323"/>
      <c r="CD89" s="322">
        <f t="shared" si="71"/>
        <v>104173.97143333334</v>
      </c>
      <c r="CE89" s="357">
        <f t="shared" si="87"/>
        <v>105642.93893333334</v>
      </c>
      <c r="CF89" s="357">
        <f>(VLOOKUP($A89,EY!$A:$BS,26,FALSE)-(VLOOKUP($A89,EY!A:CR,24,FALSE)*80%))+VLOOKUP($A89,EY!$A:$BS,42,FALSE)+(VLOOKUP($A89,EY!A:CC,74,FALSE)-VLOOKUP($A89,EY!A:CC,72,FALSE))</f>
        <v>0</v>
      </c>
      <c r="CG89" s="358"/>
      <c r="CH89" s="358">
        <f>_xlfn.IFNA((VLOOKUP($A89,HN!$A:$K,8,FALSE)/12),0)</f>
        <v>0</v>
      </c>
      <c r="CI89" s="358">
        <f>_xlfn.IFNA((VLOOKUP($A89,HN!$A:$BS,14,FALSE)/12),0)</f>
        <v>0</v>
      </c>
      <c r="CJ89" s="358">
        <f>(_xlfn.IFNA(VLOOKUP($A89,'Post 16'!$A:$AV,32,FALSE),0)/8)</f>
        <v>0</v>
      </c>
      <c r="CK89" s="358">
        <f>(VLOOKUP($A89,EY!A:CR,24,FALSE)*80%)+VLOOKUP($A89,EY!A:CC,72,FALSE)</f>
        <v>0</v>
      </c>
      <c r="CL89" s="358">
        <f>_xlfn.IFNA((VLOOKUP($A89,HN!$A:$K,9,FALSE)/12),0)+_xlfn.IFNA((VLOOKUP($A89,HN!$A:$K,10,FALSE)/12),0)</f>
        <v>0</v>
      </c>
      <c r="CM89" s="358">
        <f>_xlfn.IFNA((VLOOKUP($A89,HN!$A:$BS,15,FALSE)/12),0)</f>
        <v>0</v>
      </c>
      <c r="CN89" s="357">
        <f t="shared" si="88"/>
        <v>-439.01333333333332</v>
      </c>
      <c r="CO89" s="357">
        <f t="shared" si="89"/>
        <v>-1029.9541666666667</v>
      </c>
      <c r="CP89" s="358">
        <f>_xlfn.IFNA(VLOOKUP(A89,'LA Deductions'!A:W,23,FALSE),0)</f>
        <v>-5139.75</v>
      </c>
      <c r="CQ89" s="358">
        <f>_xlfn.IFNA(VLOOKUP($A89,'Cash Advances'!$A:$S,13,FALSE),0)</f>
        <v>0</v>
      </c>
      <c r="CR89" s="358">
        <f>_xlfn.IFNA(VLOOKUP(A89,'LA Deductions'!A:AZ,25,FALSE),0)/9*3</f>
        <v>0</v>
      </c>
      <c r="CS89" s="357">
        <f t="shared" si="108"/>
        <v>99034.22143333334</v>
      </c>
      <c r="CT89" s="337">
        <f t="shared" si="90"/>
        <v>105642.93893333334</v>
      </c>
      <c r="CU89" s="337"/>
      <c r="CV89" s="338">
        <f>_xlfn.IFNA(VLOOKUP(A89,'LA Deductions'!$A$6:$AN$207,34,FALSE),0)</f>
        <v>0</v>
      </c>
      <c r="CW89" s="338">
        <f>_xlfn.IFNA((VLOOKUP($A89,HN!$A:$K,8,FALSE)/12),0)</f>
        <v>0</v>
      </c>
      <c r="CX89" s="338">
        <f>_xlfn.IFNA((VLOOKUP($A89,HN!$A:$BS,14,FALSE)/12),0)</f>
        <v>0</v>
      </c>
      <c r="CY89" s="338">
        <f>_xlfn.IFNA(VLOOKUP($A89,'Post 16'!$A:$AV,32,FALSE),0)/8</f>
        <v>0</v>
      </c>
      <c r="CZ89" s="338"/>
      <c r="DA89" s="338">
        <f>_xlfn.IFNA((VLOOKUP($A89,HN!$A:$K,9,FALSE)/12),0)+_xlfn.IFNA((VLOOKUP($A89,HN!$A:$K,10,FALSE)/12),0)</f>
        <v>0</v>
      </c>
      <c r="DB89" s="338">
        <f>_xlfn.IFNA((VLOOKUP($A89,HN!$A:$BS,15,FALSE)/12),0)</f>
        <v>0</v>
      </c>
      <c r="DC89" s="337">
        <f t="shared" si="91"/>
        <v>-439.01333333333332</v>
      </c>
      <c r="DD89" s="337">
        <f t="shared" si="92"/>
        <v>-1029.9541666666667</v>
      </c>
      <c r="DE89" s="338"/>
      <c r="DF89" s="338">
        <f>_xlfn.IFNA(VLOOKUP($A89,'Cash Advances'!$A:$S,14,FALSE),0)</f>
        <v>0</v>
      </c>
      <c r="DG89" s="338">
        <f>(_xlfn.IFNA(VLOOKUP(A89,'LA Deductions'!A:AZ,25,FALSE),0)/9)+(_xlfn.IFNA(VLOOKUP(A89,'LA Deductions'!A:AZ,26,FALSE),0))</f>
        <v>0</v>
      </c>
      <c r="DH89" s="337">
        <f t="shared" si="109"/>
        <v>104173.97143333334</v>
      </c>
      <c r="DI89" s="330">
        <f t="shared" si="93"/>
        <v>105642.93893333334</v>
      </c>
      <c r="DJ89" s="330"/>
      <c r="DK89" s="331"/>
      <c r="DL89" s="331">
        <f>_xlfn.IFNA((VLOOKUP($A89,HN!$A:$K,8,FALSE)/12),0)+_xlfn.IFNA((VLOOKUP($A89,HN!$A:$AF,32,FALSE)*8/12),0)</f>
        <v>0</v>
      </c>
      <c r="DM89" s="331">
        <f>_xlfn.IFNA((VLOOKUP($A89,HN!$A:$BS,14,FALSE)/12),0)+_xlfn.IFNA(VLOOKUP($A89,HN!$A:$BS,31,FALSE),0)</f>
        <v>0</v>
      </c>
      <c r="DN89" s="331">
        <f>_xlfn.IFNA(VLOOKUP($A89,'Post 16'!$A:$AV,32,FALSE),0)/8</f>
        <v>0</v>
      </c>
      <c r="DO89" s="331"/>
      <c r="DP89" s="331">
        <f>_xlfn.IFNA((VLOOKUP($A89,HN!$A:$K,9,FALSE)/12),0)+_xlfn.IFNA((VLOOKUP($A89,HN!$A:$K,10,FALSE)/12),0)+_xlfn.IFNA((VLOOKUP($A89,HN!$A:$BZ,33,FALSE)*8/12),0)</f>
        <v>0</v>
      </c>
      <c r="DQ89" s="331">
        <f>_xlfn.IFNA((VLOOKUP($A89,HN!$A:$BS,15,FALSE)/12),0)</f>
        <v>0</v>
      </c>
      <c r="DR89" s="330">
        <f t="shared" si="94"/>
        <v>-439.01333333333332</v>
      </c>
      <c r="DS89" s="330">
        <f t="shared" si="95"/>
        <v>-1029.9541666666667</v>
      </c>
      <c r="DT89" s="331"/>
      <c r="DU89" s="331"/>
      <c r="DV89" s="331">
        <f>(_xlfn.IFNA(VLOOKUP(A89,'LA Deductions'!A:AZ,25,FALSE),0)/9)+_xlfn.IFNA(VLOOKUP(A89,'LA Deductions'!A:AZ,27,FALSE),0)</f>
        <v>0</v>
      </c>
      <c r="DW89" s="330">
        <f t="shared" si="110"/>
        <v>104173.97143333334</v>
      </c>
      <c r="DX89" s="344">
        <f t="shared" si="96"/>
        <v>105642.93893333334</v>
      </c>
      <c r="DY89" s="344"/>
      <c r="DZ89" s="345"/>
      <c r="EA89" s="345">
        <f>_xlfn.IFNA((VLOOKUP($A89,HN!$A:$K,8,FALSE)/12),0)+_xlfn.IFNA((VLOOKUP($A89,HN!$A:$AF,32,FALSE)*1/12),0)</f>
        <v>0</v>
      </c>
      <c r="EB89" s="345">
        <f>_xlfn.IFNA((VLOOKUP($A89,HN!$A:$BS,14,FALSE)/12),0)</f>
        <v>0</v>
      </c>
      <c r="EC89" s="345">
        <f>_xlfn.IFNA(VLOOKUP($A89,'Post 16'!$A:$AV,32,FALSE),0)/8</f>
        <v>0</v>
      </c>
      <c r="ED89" s="345"/>
      <c r="EE89" s="345">
        <f>_xlfn.IFNA((VLOOKUP($A89,HN!$A:$K,9,FALSE)/12),0)+_xlfn.IFNA((VLOOKUP($A89,HN!$A:$K,10,FALSE)/12),0)+_xlfn.IFNA((VLOOKUP($A89,HN!$A:$BZ,33,FALSE)/12),0)</f>
        <v>0</v>
      </c>
      <c r="EF89" s="345">
        <f>_xlfn.IFNA((VLOOKUP($A89,HN!$A:$BS,15,FALSE)/12),0)</f>
        <v>0</v>
      </c>
      <c r="EG89" s="344">
        <f t="shared" si="97"/>
        <v>-439.01333333333332</v>
      </c>
      <c r="EH89" s="344">
        <f t="shared" si="98"/>
        <v>-1029.9541666666667</v>
      </c>
      <c r="EI89" s="345"/>
      <c r="EJ89" s="345">
        <f>_xlfn.IFNA(VLOOKUP(A89,'Cash Advances'!A:P,16,FALSE),0)</f>
        <v>0</v>
      </c>
      <c r="EK89" s="345">
        <f>_xlfn.IFNA(VLOOKUP(A89,'LA Deductions'!A:AZ,25,FALSE),0)/9</f>
        <v>0</v>
      </c>
      <c r="EL89" s="344">
        <f t="shared" si="111"/>
        <v>104173.97143333334</v>
      </c>
      <c r="EM89" s="308">
        <f t="shared" si="99"/>
        <v>105642.93893333334</v>
      </c>
      <c r="EN89" s="308">
        <f>((VLOOKUP($A89,EY!$A:$BS,35,FALSE)-(VLOOKUP($A89,EY!$A:$BS,33,FALSE)*80%))+VLOOKUP($A89,EY!$A:$BS,43,FALSE))+(VLOOKUP(A89,EY!A:DF,110,FALSE)-VLOOKUP(A89,EY!A:DD,108,FALSE))+(VLOOKUP(A89,EY!A:CE,83,FALSE)-VLOOKUP(A89,EY!A:CC,81,FALSE))</f>
        <v>0</v>
      </c>
      <c r="EO89" s="309"/>
      <c r="EP89" s="309">
        <f>_xlfn.IFNA((VLOOKUP($A89,HN!$A:$K,8,FALSE)/12),0)+_xlfn.IFNA((VLOOKUP($A89,HN!$A:$AF,32,FALSE)*1/12),0)</f>
        <v>0</v>
      </c>
      <c r="EQ89" s="309">
        <f>_xlfn.IFNA((VLOOKUP($A89,HN!$A:$BS,14,FALSE)/12),0)+_xlfn.IFNA((VLOOKUP($A89,HN!$A:$BS,34,FALSE)/3),0)</f>
        <v>0</v>
      </c>
      <c r="ER89" s="309">
        <f>_xlfn.IFNA(VLOOKUP($A89,'Post 16'!$A:$AV,32,FALSE),0)/8</f>
        <v>0</v>
      </c>
      <c r="ES89" s="309">
        <f>((VLOOKUP($A89,EY!A:EV,33,FALSE)*80%))+VLOOKUP(A89,EY!A:DD,108,FALSE)+VLOOKUP(A89,EY!A:CC,81,FALSE)</f>
        <v>0</v>
      </c>
      <c r="ET89" s="309">
        <f>_xlfn.IFNA((VLOOKUP($A89,HN!$A:$K,9,FALSE)/12),0)+_xlfn.IFNA((VLOOKUP($A89,HN!$A:$K,10,FALSE)/12),0)+_xlfn.IFNA((VLOOKUP($A89,HN!$A:$BZ,33,FALSE)/12),0)</f>
        <v>0</v>
      </c>
      <c r="EU89" s="309">
        <f>_xlfn.IFNA((VLOOKUP($A89,HN!$A:$BS,15,FALSE)/12),0)</f>
        <v>0</v>
      </c>
      <c r="EV89" s="308">
        <f t="shared" si="100"/>
        <v>-439.01333333333332</v>
      </c>
      <c r="EW89" s="308">
        <f t="shared" si="101"/>
        <v>-1029.9541666666667</v>
      </c>
      <c r="EX89" s="309"/>
      <c r="EY89" s="309">
        <f>_xlfn.IFNA(VLOOKUP($A89,'Cash Advances'!$A:$S,17,FALSE),0)</f>
        <v>0</v>
      </c>
      <c r="EZ89" s="309">
        <f>_xlfn.IFNA(VLOOKUP(A89,'LA Deductions'!A:AZ,25,FALSE),0)/9</f>
        <v>0</v>
      </c>
      <c r="FA89" s="308">
        <f t="shared" si="112"/>
        <v>104173.97143333334</v>
      </c>
      <c r="FB89" s="315">
        <f t="shared" si="102"/>
        <v>105642.93893333334</v>
      </c>
      <c r="FC89" s="315"/>
      <c r="FD89" s="316"/>
      <c r="FE89" s="316">
        <f>_xlfn.IFNA((VLOOKUP($A89,HN!$A:$K,8,FALSE)/12),0)+_xlfn.IFNA((VLOOKUP($A89,HN!$A:$AF,32,FALSE)*1/12),0)</f>
        <v>0</v>
      </c>
      <c r="FF89" s="316">
        <f>_xlfn.IFNA((VLOOKUP($A89,HN!$A:$BS,14,FALSE)/12),0)+_xlfn.IFNA((VLOOKUP($A89,HN!$A:$BS,34,FALSE)/3),0)</f>
        <v>0</v>
      </c>
      <c r="FG89" s="316">
        <f>_xlfn.IFNA(VLOOKUP($A89,'Post 16'!$A:$AV,32,FALSE),0)/8</f>
        <v>0</v>
      </c>
      <c r="FH89" s="316"/>
      <c r="FI89" s="316">
        <f>_xlfn.IFNA((VLOOKUP($A89,HN!$A:$K,9,FALSE)/12),0)+_xlfn.IFNA((VLOOKUP($A89,HN!$A:$K,10,FALSE)/12),0)+_xlfn.IFNA((VLOOKUP($A89,HN!$A:$BZ,33,FALSE)/12),0)+_xlfn.IFNA((VLOOKUP($A89,HN!$A:$BZ,35,FALSE)/2),0)</f>
        <v>0</v>
      </c>
      <c r="FJ89" s="316">
        <f>_xlfn.IFNA((VLOOKUP($A89,HN!$A:$BS,15,FALSE)/12),0)+_xlfn.IFNA((VLOOKUP($A89,HN!$A:$CZ,36,FALSE)/2),0)</f>
        <v>0</v>
      </c>
      <c r="FK89" s="315">
        <f t="shared" si="103"/>
        <v>-439.01333333333332</v>
      </c>
      <c r="FL89" s="315">
        <f t="shared" si="104"/>
        <v>-1029.9541666666667</v>
      </c>
      <c r="FM89" s="316"/>
      <c r="FN89" s="316">
        <f>_xlfn.IFNA(VLOOKUP($A89,'Cash Advances'!$A:$S,18,FALSE),0)</f>
        <v>0</v>
      </c>
      <c r="FO89" s="316">
        <f>_xlfn.IFNA(VLOOKUP(A89,'LA Deductions'!A:AZ,25,FALSE),0)/9</f>
        <v>0</v>
      </c>
      <c r="FP89" s="315">
        <f t="shared" si="113"/>
        <v>104173.97143333334</v>
      </c>
      <c r="FQ89" s="322">
        <f t="shared" si="105"/>
        <v>105642.93893333334</v>
      </c>
      <c r="FR89" s="322"/>
      <c r="FS89" s="323"/>
      <c r="FT89" s="323">
        <f>_xlfn.IFNA((VLOOKUP($A89,HN!$A:$K,8,FALSE)/12),0)+_xlfn.IFNA((VLOOKUP($A89,HN!$A:$AF,32,FALSE)*1/12),0)</f>
        <v>0</v>
      </c>
      <c r="FU89" s="323">
        <f>_xlfn.IFNA((VLOOKUP($A89,HN!$A:$BS,14,FALSE)/12),0)+_xlfn.IFNA((VLOOKUP($A89,HN!$A:$BS,34,FALSE)/3),0)</f>
        <v>0</v>
      </c>
      <c r="FV89" s="323">
        <f>_xlfn.IFNA(VLOOKUP($A89,'Post 16'!$A:$AV,32,FALSE),0)/8</f>
        <v>0</v>
      </c>
      <c r="FW89" s="323"/>
      <c r="FX89" s="323">
        <f>_xlfn.IFNA((VLOOKUP($A89,HN!$A:$K,9,FALSE)/12),0)+_xlfn.IFNA((VLOOKUP($A89,HN!$A:$K,10,FALSE)/12),0)+_xlfn.IFNA((VLOOKUP($A89,HN!$A:$BZ,33,FALSE)/12),0)+_xlfn.IFNA((VLOOKUP($A89,HN!$A:$BZ,35,FALSE)/2),0)</f>
        <v>0</v>
      </c>
      <c r="FY89" s="323">
        <f>_xlfn.IFNA((VLOOKUP($A89,HN!$A:$BS,15,FALSE)/12),0)+_xlfn.IFNA((VLOOKUP($A89,HN!$A:$CZ,36,FALSE)/2),0)</f>
        <v>0</v>
      </c>
      <c r="FZ89" s="322">
        <f t="shared" si="106"/>
        <v>-439.01333333333332</v>
      </c>
      <c r="GA89" s="322">
        <f t="shared" si="107"/>
        <v>-1029.9541666666667</v>
      </c>
      <c r="GB89" s="323"/>
      <c r="GC89" s="323"/>
      <c r="GD89" s="323">
        <f>_xlfn.IFNA(VLOOKUP(A89,'LA Deductions'!A:AZ,25,FALSE),0)/9</f>
        <v>0</v>
      </c>
      <c r="GE89" s="322">
        <f t="shared" si="114"/>
        <v>104173.97143333334</v>
      </c>
      <c r="GG89" s="146">
        <f t="shared" si="117"/>
        <v>1267715.2672000004</v>
      </c>
      <c r="GH89" s="146">
        <f t="shared" si="117"/>
        <v>0</v>
      </c>
      <c r="GI89" s="146">
        <f t="shared" si="117"/>
        <v>0</v>
      </c>
      <c r="GJ89" s="146">
        <f t="shared" si="117"/>
        <v>-5268.16</v>
      </c>
      <c r="GK89" s="146">
        <f t="shared" si="117"/>
        <v>-12359.449999999999</v>
      </c>
      <c r="GL89" s="146">
        <f t="shared" si="117"/>
        <v>-5139.75</v>
      </c>
      <c r="GN89" s="146">
        <f t="shared" si="118"/>
        <v>1267715.2672000004</v>
      </c>
      <c r="GO89" s="146">
        <f t="shared" si="118"/>
        <v>0</v>
      </c>
      <c r="GP89" s="146">
        <f t="shared" si="118"/>
        <v>0</v>
      </c>
      <c r="GQ89" s="146">
        <f t="shared" si="118"/>
        <v>-5268.16</v>
      </c>
      <c r="GR89" s="146">
        <f t="shared" si="118"/>
        <v>-12359.449999999999</v>
      </c>
      <c r="GS89" s="146">
        <f t="shared" si="118"/>
        <v>-5139.75</v>
      </c>
      <c r="GU89" s="146"/>
      <c r="GV89" s="57"/>
    </row>
    <row r="90" spans="1:204">
      <c r="A90" s="185">
        <v>2416</v>
      </c>
      <c r="B90" s="185">
        <v>103351</v>
      </c>
      <c r="C90" s="185" t="s">
        <v>202</v>
      </c>
      <c r="D90" s="2" t="s">
        <v>203</v>
      </c>
      <c r="E90" s="191" t="s">
        <v>32</v>
      </c>
      <c r="F90" s="191" t="s">
        <v>912</v>
      </c>
      <c r="H90" s="279">
        <f>_xlfn.IFNA(VLOOKUP($A90,ISB!$A$4:$BY$454,67,FALSE),0)</f>
        <v>2133514.7999999998</v>
      </c>
      <c r="I90" s="279">
        <f>_xlfn.IFNA(VLOOKUP($A90,ISB!$A$4:$BY$454,72,FALSE),0)</f>
        <v>-11057.92</v>
      </c>
      <c r="J90" s="279">
        <f>-_xlfn.IFNA(VLOOKUP($A90,ISB!$A$4:$BY$454,76,FALSE),0)</f>
        <v>-32594.799999999999</v>
      </c>
      <c r="K90" s="279">
        <f>_xlfn.IFNA(VLOOKUP($A90,ISB!$A$4:$BY$454,77,FALSE),0)</f>
        <v>2089862.0799999998</v>
      </c>
      <c r="M90" s="301">
        <f t="shared" si="72"/>
        <v>177792.9</v>
      </c>
      <c r="N90" s="301">
        <f>VLOOKUP($A90,EY!$A:$H,8,FALSE)+(VLOOKUP($A90,EY!$A:$BS,17,FALSE)-S90)+VLOOKUP($A90,EY!$A:$BS,41,FALSE)</f>
        <v>0</v>
      </c>
      <c r="O90" s="302"/>
      <c r="P90" s="302">
        <f>_xlfn.IFNA((VLOOKUP($A90,HN!$A:$K,8,FALSE)/12),0)</f>
        <v>0</v>
      </c>
      <c r="Q90" s="302">
        <f>_xlfn.IFNA((VLOOKUP($A90,HN!$A:$BS,14,FALSE)/12),0)</f>
        <v>0</v>
      </c>
      <c r="R90" s="302">
        <f>_xlfn.IFNA(VLOOKUP($A90,'Post 16'!$A:$V,21,FALSE),0)/4</f>
        <v>0</v>
      </c>
      <c r="S90" s="302">
        <f>VLOOKUP($A90,EY!A:Q,15,FALSE)*80%</f>
        <v>0</v>
      </c>
      <c r="T90" s="302">
        <f>_xlfn.IFNA((VLOOKUP($A90,HN!$A:$K,9,FALSE)/12),0)+_xlfn.IFNA((VLOOKUP($A90,HN!$A:$K,10,FALSE)/12),0)</f>
        <v>0</v>
      </c>
      <c r="U90" s="302">
        <f>_xlfn.IFNA((VLOOKUP($A90,HN!$A:$BS,15,FALSE)/12),0)</f>
        <v>0</v>
      </c>
      <c r="V90" s="301">
        <f t="shared" si="73"/>
        <v>-921.49333333333334</v>
      </c>
      <c r="W90" s="301">
        <f t="shared" si="74"/>
        <v>-2716.2333333333331</v>
      </c>
      <c r="X90" s="302"/>
      <c r="Y90" s="302">
        <f>_xlfn.IFNA(VLOOKUP($A90,'Cash Advances'!$A:$S,8,FALSE),0)</f>
        <v>0</v>
      </c>
      <c r="Z90" s="301">
        <f t="shared" si="67"/>
        <v>174155.17333333331</v>
      </c>
      <c r="AA90" s="315">
        <f t="shared" si="75"/>
        <v>177792.9</v>
      </c>
      <c r="AB90" s="315"/>
      <c r="AC90" s="316"/>
      <c r="AD90" s="316">
        <f>_xlfn.IFNA((VLOOKUP($A90,HN!$A:$K,8,FALSE)/12),0)</f>
        <v>0</v>
      </c>
      <c r="AE90" s="316">
        <f>_xlfn.IFNA((VLOOKUP($A90,HN!$A:$BS,14,FALSE)/12),0)</f>
        <v>0</v>
      </c>
      <c r="AF90" s="316">
        <f>_xlfn.IFNA(VLOOKUP($A90,'Post 16'!$A:$V,21,FALSE),0)/4</f>
        <v>0</v>
      </c>
      <c r="AG90" s="316"/>
      <c r="AH90" s="316">
        <f>_xlfn.IFNA((VLOOKUP($A90,HN!$A:$K,9,FALSE)/12),0)+_xlfn.IFNA((VLOOKUP($A90,HN!$A:$K,10,FALSE)/12),0)</f>
        <v>0</v>
      </c>
      <c r="AI90" s="316">
        <f>_xlfn.IFNA((VLOOKUP($A90,HN!$A:$BS,15,FALSE)/12),0)</f>
        <v>0</v>
      </c>
      <c r="AJ90" s="315">
        <f t="shared" si="76"/>
        <v>-921.49333333333334</v>
      </c>
      <c r="AK90" s="315">
        <f t="shared" si="77"/>
        <v>-2716.2333333333331</v>
      </c>
      <c r="AL90" s="316"/>
      <c r="AM90" s="316">
        <f>_xlfn.IFNA(VLOOKUP($A90,'Cash Advances'!$A:$S,9,FALSE),0)</f>
        <v>0</v>
      </c>
      <c r="AN90" s="315">
        <f t="shared" si="68"/>
        <v>174155.17333333331</v>
      </c>
      <c r="AO90" s="308">
        <f t="shared" si="78"/>
        <v>177792.9</v>
      </c>
      <c r="AP90" s="308"/>
      <c r="AQ90" s="309"/>
      <c r="AR90" s="309">
        <f>_xlfn.IFNA((VLOOKUP($A90,HN!$A:$K,8,FALSE)/12),0)</f>
        <v>0</v>
      </c>
      <c r="AS90" s="309">
        <f>_xlfn.IFNA((VLOOKUP($A90,HN!$A:$BS,14,FALSE)/12),0)</f>
        <v>0</v>
      </c>
      <c r="AT90" s="309">
        <f>_xlfn.IFNA(VLOOKUP($A90,'Post 16'!$A:$V,21,FALSE),0)/4</f>
        <v>0</v>
      </c>
      <c r="AU90" s="309"/>
      <c r="AV90" s="309">
        <f>_xlfn.IFNA((VLOOKUP($A90,HN!$A:$K,9,FALSE)/12),0)+_xlfn.IFNA((VLOOKUP($A90,HN!$A:$K,10,FALSE)/12),0)+_xlfn.IFNA(VLOOKUP(A90,HN!A:V,19,FALSE),0)+_xlfn.IFNA(VLOOKUP(A90,HN!A:V,20,FALSE),0)+_xlfn.IFNA(VLOOKUP(A90,HN!A:V,21,FALSE),0)</f>
        <v>0</v>
      </c>
      <c r="AW90" s="309">
        <f>_xlfn.IFNA((VLOOKUP($A90,HN!$A:$BS,15,FALSE)/12),0)</f>
        <v>0</v>
      </c>
      <c r="AX90" s="308">
        <f t="shared" si="79"/>
        <v>-921.49333333333334</v>
      </c>
      <c r="AY90" s="308">
        <f t="shared" si="80"/>
        <v>-2716.2333333333331</v>
      </c>
      <c r="AZ90" s="309"/>
      <c r="BA90" s="309">
        <f>_xlfn.IFNA(VLOOKUP($A90,'Cash Advances'!$A:$S,10,FALSE),0)</f>
        <v>0</v>
      </c>
      <c r="BB90" s="308">
        <f t="shared" si="69"/>
        <v>174155.17333333331</v>
      </c>
      <c r="BC90" s="330">
        <f t="shared" si="81"/>
        <v>177792.9</v>
      </c>
      <c r="BD90" s="330"/>
      <c r="BE90" s="331"/>
      <c r="BF90" s="331">
        <f>_xlfn.IFNA((VLOOKUP($A90,HN!$A:$K,8,FALSE)/12),0)</f>
        <v>0</v>
      </c>
      <c r="BG90" s="331">
        <f>_xlfn.IFNA((VLOOKUP($A90,HN!$A:$BS,14,FALSE)/12),0)</f>
        <v>0</v>
      </c>
      <c r="BH90" s="331">
        <f>_xlfn.IFNA(VLOOKUP($A90,'Post 16'!$A:$V,21,FALSE),0)/4</f>
        <v>0</v>
      </c>
      <c r="BI90" s="331"/>
      <c r="BJ90" s="331">
        <f>_xlfn.IFNA((VLOOKUP($A90,HN!$A:$K,9,FALSE)/12),0)+_xlfn.IFNA((VLOOKUP($A90,HN!$A:$K,10,FALSE)/12),0)</f>
        <v>0</v>
      </c>
      <c r="BK90" s="331">
        <f>_xlfn.IFNA((VLOOKUP($A90,HN!$A:$BS,15,FALSE)/12),0)</f>
        <v>0</v>
      </c>
      <c r="BL90" s="330">
        <f t="shared" si="82"/>
        <v>-921.49333333333334</v>
      </c>
      <c r="BM90" s="330">
        <f t="shared" si="83"/>
        <v>-2716.2333333333331</v>
      </c>
      <c r="BN90" s="331"/>
      <c r="BO90" s="331">
        <f>_xlfn.IFNA(VLOOKUP(A90,'Cash Advances'!A:K,11,FALSE),0)</f>
        <v>0</v>
      </c>
      <c r="BP90" s="330">
        <f t="shared" si="70"/>
        <v>174155.17333333331</v>
      </c>
      <c r="BQ90" s="322">
        <f t="shared" si="84"/>
        <v>177792.9</v>
      </c>
      <c r="BR90" s="322"/>
      <c r="BS90" s="323"/>
      <c r="BT90" s="323">
        <f>_xlfn.IFNA((VLOOKUP($A90,HN!$A:$K,8,FALSE)/12),0)</f>
        <v>0</v>
      </c>
      <c r="BU90" s="323">
        <f>_xlfn.IFNA((VLOOKUP($A90,HN!$A:$BS,14,FALSE)/12),0)</f>
        <v>0</v>
      </c>
      <c r="BV90" s="323">
        <f>(_xlfn.IFNA(VLOOKUP($A90,'Post 16'!$A:$AV,32,FALSE),0)/8)+_xlfn.IFNA(VLOOKUP($A90,'Post 16'!$A:$AR,40,FALSE),0)</f>
        <v>0</v>
      </c>
      <c r="BW90" s="323"/>
      <c r="BX90" s="323">
        <f>_xlfn.IFNA((VLOOKUP($A90,HN!$A:$K,9,FALSE)/12),0)+_xlfn.IFNA((VLOOKUP($A90,HN!$A:$K,10,FALSE)/12),0)</f>
        <v>0</v>
      </c>
      <c r="BY90" s="323">
        <f>_xlfn.IFNA((VLOOKUP($A90,HN!$A:$BS,15,FALSE)/12),0)</f>
        <v>0</v>
      </c>
      <c r="BZ90" s="322">
        <f t="shared" si="85"/>
        <v>-921.49333333333334</v>
      </c>
      <c r="CA90" s="322">
        <f t="shared" si="86"/>
        <v>-2716.2333333333331</v>
      </c>
      <c r="CB90" s="323"/>
      <c r="CC90" s="323"/>
      <c r="CD90" s="322">
        <f t="shared" si="71"/>
        <v>174155.17333333331</v>
      </c>
      <c r="CE90" s="357">
        <f t="shared" si="87"/>
        <v>177792.9</v>
      </c>
      <c r="CF90" s="357">
        <f>(VLOOKUP($A90,EY!$A:$BS,26,FALSE)-(VLOOKUP($A90,EY!A:CR,24,FALSE)*80%))+VLOOKUP($A90,EY!$A:$BS,42,FALSE)+(VLOOKUP($A90,EY!A:CC,74,FALSE)-VLOOKUP($A90,EY!A:CC,72,FALSE))</f>
        <v>0</v>
      </c>
      <c r="CG90" s="358"/>
      <c r="CH90" s="358">
        <f>_xlfn.IFNA((VLOOKUP($A90,HN!$A:$K,8,FALSE)/12),0)</f>
        <v>0</v>
      </c>
      <c r="CI90" s="358">
        <f>_xlfn.IFNA((VLOOKUP($A90,HN!$A:$BS,14,FALSE)/12),0)</f>
        <v>0</v>
      </c>
      <c r="CJ90" s="358">
        <f>(_xlfn.IFNA(VLOOKUP($A90,'Post 16'!$A:$AV,32,FALSE),0)/8)</f>
        <v>0</v>
      </c>
      <c r="CK90" s="358">
        <f>(VLOOKUP($A90,EY!A:CR,24,FALSE)*80%)+VLOOKUP($A90,EY!A:CC,72,FALSE)</f>
        <v>0</v>
      </c>
      <c r="CL90" s="358">
        <f>_xlfn.IFNA((VLOOKUP($A90,HN!$A:$K,9,FALSE)/12),0)+_xlfn.IFNA((VLOOKUP($A90,HN!$A:$K,10,FALSE)/12),0)</f>
        <v>0</v>
      </c>
      <c r="CM90" s="358">
        <f>_xlfn.IFNA((VLOOKUP($A90,HN!$A:$BS,15,FALSE)/12),0)</f>
        <v>0</v>
      </c>
      <c r="CN90" s="357">
        <f t="shared" si="88"/>
        <v>-921.49333333333334</v>
      </c>
      <c r="CO90" s="357">
        <f t="shared" si="89"/>
        <v>-2716.2333333333331</v>
      </c>
      <c r="CP90" s="358">
        <f>_xlfn.IFNA(VLOOKUP(A90,'LA Deductions'!A:W,23,FALSE),0)</f>
        <v>-11448</v>
      </c>
      <c r="CQ90" s="358">
        <f>_xlfn.IFNA(VLOOKUP($A90,'Cash Advances'!$A:$S,13,FALSE),0)</f>
        <v>0</v>
      </c>
      <c r="CR90" s="358">
        <f>_xlfn.IFNA(VLOOKUP(A90,'LA Deductions'!A:AZ,25,FALSE),0)/9*3</f>
        <v>0</v>
      </c>
      <c r="CS90" s="357">
        <f t="shared" si="108"/>
        <v>162707.17333333331</v>
      </c>
      <c r="CT90" s="337">
        <f t="shared" si="90"/>
        <v>177792.9</v>
      </c>
      <c r="CU90" s="337"/>
      <c r="CV90" s="338">
        <f>_xlfn.IFNA(VLOOKUP(A90,'LA Deductions'!$A$6:$AN$207,34,FALSE),0)</f>
        <v>0</v>
      </c>
      <c r="CW90" s="338">
        <f>_xlfn.IFNA((VLOOKUP($A90,HN!$A:$K,8,FALSE)/12),0)</f>
        <v>0</v>
      </c>
      <c r="CX90" s="338">
        <f>_xlfn.IFNA((VLOOKUP($A90,HN!$A:$BS,14,FALSE)/12),0)</f>
        <v>0</v>
      </c>
      <c r="CY90" s="338">
        <f>_xlfn.IFNA(VLOOKUP($A90,'Post 16'!$A:$AV,32,FALSE),0)/8</f>
        <v>0</v>
      </c>
      <c r="CZ90" s="338"/>
      <c r="DA90" s="338">
        <f>_xlfn.IFNA((VLOOKUP($A90,HN!$A:$K,9,FALSE)/12),0)+_xlfn.IFNA((VLOOKUP($A90,HN!$A:$K,10,FALSE)/12),0)</f>
        <v>0</v>
      </c>
      <c r="DB90" s="338">
        <f>_xlfn.IFNA((VLOOKUP($A90,HN!$A:$BS,15,FALSE)/12),0)</f>
        <v>0</v>
      </c>
      <c r="DC90" s="337">
        <f t="shared" si="91"/>
        <v>-921.49333333333334</v>
      </c>
      <c r="DD90" s="337">
        <f t="shared" si="92"/>
        <v>-2716.2333333333331</v>
      </c>
      <c r="DE90" s="338"/>
      <c r="DF90" s="338">
        <f>_xlfn.IFNA(VLOOKUP($A90,'Cash Advances'!$A:$S,14,FALSE),0)</f>
        <v>0</v>
      </c>
      <c r="DG90" s="338">
        <f>(_xlfn.IFNA(VLOOKUP(A90,'LA Deductions'!A:AZ,25,FALSE),0)/9)+(_xlfn.IFNA(VLOOKUP(A90,'LA Deductions'!A:AZ,26,FALSE),0))</f>
        <v>0</v>
      </c>
      <c r="DH90" s="337">
        <f t="shared" si="109"/>
        <v>174155.17333333331</v>
      </c>
      <c r="DI90" s="330">
        <f t="shared" si="93"/>
        <v>177792.9</v>
      </c>
      <c r="DJ90" s="330"/>
      <c r="DK90" s="331"/>
      <c r="DL90" s="331">
        <f>_xlfn.IFNA((VLOOKUP($A90,HN!$A:$K,8,FALSE)/12),0)+_xlfn.IFNA((VLOOKUP($A90,HN!$A:$AF,32,FALSE)*8/12),0)</f>
        <v>0</v>
      </c>
      <c r="DM90" s="331">
        <f>_xlfn.IFNA((VLOOKUP($A90,HN!$A:$BS,14,FALSE)/12),0)+_xlfn.IFNA(VLOOKUP($A90,HN!$A:$BS,31,FALSE),0)</f>
        <v>0</v>
      </c>
      <c r="DN90" s="331">
        <f>_xlfn.IFNA(VLOOKUP($A90,'Post 16'!$A:$AV,32,FALSE),0)/8</f>
        <v>0</v>
      </c>
      <c r="DO90" s="331"/>
      <c r="DP90" s="331">
        <f>_xlfn.IFNA((VLOOKUP($A90,HN!$A:$K,9,FALSE)/12),0)+_xlfn.IFNA((VLOOKUP($A90,HN!$A:$K,10,FALSE)/12),0)+_xlfn.IFNA((VLOOKUP($A90,HN!$A:$BZ,33,FALSE)*8/12),0)</f>
        <v>0</v>
      </c>
      <c r="DQ90" s="331">
        <f>_xlfn.IFNA((VLOOKUP($A90,HN!$A:$BS,15,FALSE)/12),0)</f>
        <v>0</v>
      </c>
      <c r="DR90" s="330">
        <f t="shared" si="94"/>
        <v>-921.49333333333334</v>
      </c>
      <c r="DS90" s="330">
        <f t="shared" si="95"/>
        <v>-2716.2333333333331</v>
      </c>
      <c r="DT90" s="331"/>
      <c r="DU90" s="331"/>
      <c r="DV90" s="331">
        <f>(_xlfn.IFNA(VLOOKUP(A90,'LA Deductions'!A:AZ,25,FALSE),0)/9)+_xlfn.IFNA(VLOOKUP(A90,'LA Deductions'!A:AZ,27,FALSE),0)</f>
        <v>0</v>
      </c>
      <c r="DW90" s="330">
        <f t="shared" si="110"/>
        <v>174155.17333333331</v>
      </c>
      <c r="DX90" s="344">
        <f t="shared" si="96"/>
        <v>177792.9</v>
      </c>
      <c r="DY90" s="344"/>
      <c r="DZ90" s="345"/>
      <c r="EA90" s="345">
        <f>_xlfn.IFNA((VLOOKUP($A90,HN!$A:$K,8,FALSE)/12),0)+_xlfn.IFNA((VLOOKUP($A90,HN!$A:$AF,32,FALSE)*1/12),0)</f>
        <v>0</v>
      </c>
      <c r="EB90" s="345">
        <f>_xlfn.IFNA((VLOOKUP($A90,HN!$A:$BS,14,FALSE)/12),0)</f>
        <v>0</v>
      </c>
      <c r="EC90" s="345">
        <f>_xlfn.IFNA(VLOOKUP($A90,'Post 16'!$A:$AV,32,FALSE),0)/8</f>
        <v>0</v>
      </c>
      <c r="ED90" s="345"/>
      <c r="EE90" s="345">
        <f>_xlfn.IFNA((VLOOKUP($A90,HN!$A:$K,9,FALSE)/12),0)+_xlfn.IFNA((VLOOKUP($A90,HN!$A:$K,10,FALSE)/12),0)+_xlfn.IFNA((VLOOKUP($A90,HN!$A:$BZ,33,FALSE)/12),0)</f>
        <v>0</v>
      </c>
      <c r="EF90" s="345">
        <f>_xlfn.IFNA((VLOOKUP($A90,HN!$A:$BS,15,FALSE)/12),0)</f>
        <v>0</v>
      </c>
      <c r="EG90" s="344">
        <f t="shared" si="97"/>
        <v>-921.49333333333334</v>
      </c>
      <c r="EH90" s="344">
        <f t="shared" si="98"/>
        <v>-2716.2333333333331</v>
      </c>
      <c r="EI90" s="345"/>
      <c r="EJ90" s="345">
        <f>_xlfn.IFNA(VLOOKUP(A90,'Cash Advances'!A:P,16,FALSE),0)</f>
        <v>0</v>
      </c>
      <c r="EK90" s="345">
        <f>_xlfn.IFNA(VLOOKUP(A90,'LA Deductions'!A:AZ,25,FALSE),0)/9</f>
        <v>0</v>
      </c>
      <c r="EL90" s="344">
        <f t="shared" si="111"/>
        <v>174155.17333333331</v>
      </c>
      <c r="EM90" s="308">
        <f t="shared" si="99"/>
        <v>177792.9</v>
      </c>
      <c r="EN90" s="308">
        <f>((VLOOKUP($A90,EY!$A:$BS,35,FALSE)-(VLOOKUP($A90,EY!$A:$BS,33,FALSE)*80%))+VLOOKUP($A90,EY!$A:$BS,43,FALSE))+(VLOOKUP(A90,EY!A:DF,110,FALSE)-VLOOKUP(A90,EY!A:DD,108,FALSE))+(VLOOKUP(A90,EY!A:CE,83,FALSE)-VLOOKUP(A90,EY!A:CC,81,FALSE))</f>
        <v>0</v>
      </c>
      <c r="EO90" s="309"/>
      <c r="EP90" s="309">
        <f>_xlfn.IFNA((VLOOKUP($A90,HN!$A:$K,8,FALSE)/12),0)+_xlfn.IFNA((VLOOKUP($A90,HN!$A:$AF,32,FALSE)*1/12),0)</f>
        <v>0</v>
      </c>
      <c r="EQ90" s="309">
        <f>_xlfn.IFNA((VLOOKUP($A90,HN!$A:$BS,14,FALSE)/12),0)+_xlfn.IFNA((VLOOKUP($A90,HN!$A:$BS,34,FALSE)/3),0)</f>
        <v>0</v>
      </c>
      <c r="ER90" s="309">
        <f>_xlfn.IFNA(VLOOKUP($A90,'Post 16'!$A:$AV,32,FALSE),0)/8</f>
        <v>0</v>
      </c>
      <c r="ES90" s="309">
        <f>((VLOOKUP($A90,EY!A:EV,33,FALSE)*80%))+VLOOKUP(A90,EY!A:DD,108,FALSE)+VLOOKUP(A90,EY!A:CC,81,FALSE)</f>
        <v>0</v>
      </c>
      <c r="ET90" s="309">
        <f>_xlfn.IFNA((VLOOKUP($A90,HN!$A:$K,9,FALSE)/12),0)+_xlfn.IFNA((VLOOKUP($A90,HN!$A:$K,10,FALSE)/12),0)+_xlfn.IFNA((VLOOKUP($A90,HN!$A:$BZ,33,FALSE)/12),0)</f>
        <v>0</v>
      </c>
      <c r="EU90" s="309">
        <f>_xlfn.IFNA((VLOOKUP($A90,HN!$A:$BS,15,FALSE)/12),0)</f>
        <v>0</v>
      </c>
      <c r="EV90" s="308">
        <f t="shared" si="100"/>
        <v>-921.49333333333334</v>
      </c>
      <c r="EW90" s="308">
        <f t="shared" si="101"/>
        <v>-2716.2333333333331</v>
      </c>
      <c r="EX90" s="309"/>
      <c r="EY90" s="309">
        <f>_xlfn.IFNA(VLOOKUP($A90,'Cash Advances'!$A:$S,17,FALSE),0)</f>
        <v>0</v>
      </c>
      <c r="EZ90" s="309">
        <f>_xlfn.IFNA(VLOOKUP(A90,'LA Deductions'!A:AZ,25,FALSE),0)/9</f>
        <v>0</v>
      </c>
      <c r="FA90" s="308">
        <f t="shared" si="112"/>
        <v>174155.17333333331</v>
      </c>
      <c r="FB90" s="315">
        <f t="shared" si="102"/>
        <v>177792.9</v>
      </c>
      <c r="FC90" s="315"/>
      <c r="FD90" s="316"/>
      <c r="FE90" s="316">
        <f>_xlfn.IFNA((VLOOKUP($A90,HN!$A:$K,8,FALSE)/12),0)+_xlfn.IFNA((VLOOKUP($A90,HN!$A:$AF,32,FALSE)*1/12),0)</f>
        <v>0</v>
      </c>
      <c r="FF90" s="316">
        <f>_xlfn.IFNA((VLOOKUP($A90,HN!$A:$BS,14,FALSE)/12),0)+_xlfn.IFNA((VLOOKUP($A90,HN!$A:$BS,34,FALSE)/3),0)</f>
        <v>0</v>
      </c>
      <c r="FG90" s="316">
        <f>_xlfn.IFNA(VLOOKUP($A90,'Post 16'!$A:$AV,32,FALSE),0)/8</f>
        <v>0</v>
      </c>
      <c r="FH90" s="316"/>
      <c r="FI90" s="316">
        <f>_xlfn.IFNA((VLOOKUP($A90,HN!$A:$K,9,FALSE)/12),0)+_xlfn.IFNA((VLOOKUP($A90,HN!$A:$K,10,FALSE)/12),0)+_xlfn.IFNA((VLOOKUP($A90,HN!$A:$BZ,33,FALSE)/12),0)+_xlfn.IFNA((VLOOKUP($A90,HN!$A:$BZ,35,FALSE)/2),0)</f>
        <v>0</v>
      </c>
      <c r="FJ90" s="316">
        <f>_xlfn.IFNA((VLOOKUP($A90,HN!$A:$BS,15,FALSE)/12),0)+_xlfn.IFNA((VLOOKUP($A90,HN!$A:$CZ,36,FALSE)/2),0)</f>
        <v>0</v>
      </c>
      <c r="FK90" s="315">
        <f t="shared" si="103"/>
        <v>-921.49333333333334</v>
      </c>
      <c r="FL90" s="315">
        <f t="shared" si="104"/>
        <v>-2716.2333333333331</v>
      </c>
      <c r="FM90" s="316"/>
      <c r="FN90" s="316">
        <f>_xlfn.IFNA(VLOOKUP($A90,'Cash Advances'!$A:$S,18,FALSE),0)</f>
        <v>0</v>
      </c>
      <c r="FO90" s="316">
        <f>_xlfn.IFNA(VLOOKUP(A90,'LA Deductions'!A:AZ,25,FALSE),0)/9</f>
        <v>0</v>
      </c>
      <c r="FP90" s="315">
        <f t="shared" si="113"/>
        <v>174155.17333333331</v>
      </c>
      <c r="FQ90" s="322">
        <f t="shared" si="105"/>
        <v>177792.9</v>
      </c>
      <c r="FR90" s="322"/>
      <c r="FS90" s="323"/>
      <c r="FT90" s="323">
        <f>_xlfn.IFNA((VLOOKUP($A90,HN!$A:$K,8,FALSE)/12),0)+_xlfn.IFNA((VLOOKUP($A90,HN!$A:$AF,32,FALSE)*1/12),0)</f>
        <v>0</v>
      </c>
      <c r="FU90" s="323">
        <f>_xlfn.IFNA((VLOOKUP($A90,HN!$A:$BS,14,FALSE)/12),0)+_xlfn.IFNA((VLOOKUP($A90,HN!$A:$BS,34,FALSE)/3),0)</f>
        <v>0</v>
      </c>
      <c r="FV90" s="323">
        <f>_xlfn.IFNA(VLOOKUP($A90,'Post 16'!$A:$AV,32,FALSE),0)/8</f>
        <v>0</v>
      </c>
      <c r="FW90" s="323"/>
      <c r="FX90" s="323">
        <f>_xlfn.IFNA((VLOOKUP($A90,HN!$A:$K,9,FALSE)/12),0)+_xlfn.IFNA((VLOOKUP($A90,HN!$A:$K,10,FALSE)/12),0)+_xlfn.IFNA((VLOOKUP($A90,HN!$A:$BZ,33,FALSE)/12),0)+_xlfn.IFNA((VLOOKUP($A90,HN!$A:$BZ,35,FALSE)/2),0)</f>
        <v>0</v>
      </c>
      <c r="FY90" s="323">
        <f>_xlfn.IFNA((VLOOKUP($A90,HN!$A:$BS,15,FALSE)/12),0)+_xlfn.IFNA((VLOOKUP($A90,HN!$A:$CZ,36,FALSE)/2),0)</f>
        <v>0</v>
      </c>
      <c r="FZ90" s="322">
        <f t="shared" si="106"/>
        <v>-921.49333333333334</v>
      </c>
      <c r="GA90" s="322">
        <f t="shared" si="107"/>
        <v>-2716.2333333333331</v>
      </c>
      <c r="GB90" s="323"/>
      <c r="GC90" s="323"/>
      <c r="GD90" s="323">
        <f>_xlfn.IFNA(VLOOKUP(A90,'LA Deductions'!A:AZ,25,FALSE),0)/9</f>
        <v>0</v>
      </c>
      <c r="GE90" s="322">
        <f t="shared" si="114"/>
        <v>174155.17333333331</v>
      </c>
      <c r="GG90" s="146">
        <f t="shared" si="117"/>
        <v>2133514.7999999993</v>
      </c>
      <c r="GH90" s="146">
        <f t="shared" si="117"/>
        <v>0</v>
      </c>
      <c r="GI90" s="146">
        <f t="shared" si="117"/>
        <v>0</v>
      </c>
      <c r="GJ90" s="146">
        <f t="shared" si="117"/>
        <v>-11057.920000000004</v>
      </c>
      <c r="GK90" s="146">
        <f t="shared" si="117"/>
        <v>-32594.799999999999</v>
      </c>
      <c r="GL90" s="146">
        <f t="shared" si="117"/>
        <v>-11448</v>
      </c>
      <c r="GN90" s="146">
        <f t="shared" si="118"/>
        <v>2133514.7999999993</v>
      </c>
      <c r="GO90" s="146">
        <f t="shared" si="118"/>
        <v>0</v>
      </c>
      <c r="GP90" s="146">
        <f t="shared" si="118"/>
        <v>0</v>
      </c>
      <c r="GQ90" s="146">
        <f t="shared" si="118"/>
        <v>-11057.920000000004</v>
      </c>
      <c r="GR90" s="146">
        <f t="shared" si="118"/>
        <v>-32594.799999999999</v>
      </c>
      <c r="GS90" s="146">
        <f t="shared" si="118"/>
        <v>-11448</v>
      </c>
      <c r="GU90" s="146"/>
      <c r="GV90" s="57"/>
    </row>
    <row r="91" spans="1:204">
      <c r="A91" s="185">
        <v>3003</v>
      </c>
      <c r="B91" s="185">
        <v>103398</v>
      </c>
      <c r="C91" s="185" t="s">
        <v>204</v>
      </c>
      <c r="D91" s="2" t="s">
        <v>205</v>
      </c>
      <c r="E91" s="191" t="s">
        <v>32</v>
      </c>
      <c r="F91" s="191" t="s">
        <v>912</v>
      </c>
      <c r="H91" s="279">
        <f>_xlfn.IFNA(VLOOKUP($A91,ISB!$A$4:$BY$454,67,FALSE),0)</f>
        <v>1123679.0124784689</v>
      </c>
      <c r="I91" s="279">
        <f>_xlfn.IFNA(VLOOKUP($A91,ISB!$A$4:$BY$454,72,FALSE),0)</f>
        <v>-5476.7999999999993</v>
      </c>
      <c r="J91" s="279">
        <f>-_xlfn.IFNA(VLOOKUP($A91,ISB!$A$4:$BY$454,76,FALSE),0)</f>
        <v>-49289.7</v>
      </c>
      <c r="K91" s="279">
        <f>_xlfn.IFNA(VLOOKUP($A91,ISB!$A$4:$BY$454,77,FALSE),0)</f>
        <v>1068912.5124784689</v>
      </c>
      <c r="M91" s="301">
        <f t="shared" si="72"/>
        <v>93639.917706539083</v>
      </c>
      <c r="N91" s="301">
        <f>VLOOKUP($A91,EY!$A:$H,8,FALSE)+(VLOOKUP($A91,EY!$A:$BS,17,FALSE)-S91)+VLOOKUP($A91,EY!$A:$BS,41,FALSE)</f>
        <v>0</v>
      </c>
      <c r="O91" s="302"/>
      <c r="P91" s="302">
        <f>_xlfn.IFNA((VLOOKUP($A91,HN!$A:$K,8,FALSE)/12),0)</f>
        <v>0</v>
      </c>
      <c r="Q91" s="302">
        <f>_xlfn.IFNA((VLOOKUP($A91,HN!$A:$BS,14,FALSE)/12),0)</f>
        <v>0</v>
      </c>
      <c r="R91" s="302">
        <f>_xlfn.IFNA(VLOOKUP($A91,'Post 16'!$A:$V,21,FALSE),0)/4</f>
        <v>0</v>
      </c>
      <c r="S91" s="302">
        <f>VLOOKUP($A91,EY!A:Q,15,FALSE)*80%</f>
        <v>0</v>
      </c>
      <c r="T91" s="302">
        <f>_xlfn.IFNA((VLOOKUP($A91,HN!$A:$K,9,FALSE)/12),0)+_xlfn.IFNA((VLOOKUP($A91,HN!$A:$K,10,FALSE)/12),0)</f>
        <v>0</v>
      </c>
      <c r="U91" s="302">
        <f>_xlfn.IFNA((VLOOKUP($A91,HN!$A:$BS,15,FALSE)/12),0)</f>
        <v>0</v>
      </c>
      <c r="V91" s="301">
        <f t="shared" si="73"/>
        <v>-456.39999999999992</v>
      </c>
      <c r="W91" s="301">
        <f t="shared" si="74"/>
        <v>-4107.4749999999995</v>
      </c>
      <c r="X91" s="302"/>
      <c r="Y91" s="302">
        <f>_xlfn.IFNA(VLOOKUP($A91,'Cash Advances'!$A:$S,8,FALSE),0)</f>
        <v>0</v>
      </c>
      <c r="Z91" s="301">
        <f t="shared" si="67"/>
        <v>89076.042706539083</v>
      </c>
      <c r="AA91" s="315">
        <f t="shared" si="75"/>
        <v>93639.917706539083</v>
      </c>
      <c r="AB91" s="315"/>
      <c r="AC91" s="316"/>
      <c r="AD91" s="316">
        <f>_xlfn.IFNA((VLOOKUP($A91,HN!$A:$K,8,FALSE)/12),0)</f>
        <v>0</v>
      </c>
      <c r="AE91" s="316">
        <f>_xlfn.IFNA((VLOOKUP($A91,HN!$A:$BS,14,FALSE)/12),0)</f>
        <v>0</v>
      </c>
      <c r="AF91" s="316">
        <f>_xlfn.IFNA(VLOOKUP($A91,'Post 16'!$A:$V,21,FALSE),0)/4</f>
        <v>0</v>
      </c>
      <c r="AG91" s="316"/>
      <c r="AH91" s="316">
        <f>_xlfn.IFNA((VLOOKUP($A91,HN!$A:$K,9,FALSE)/12),0)+_xlfn.IFNA((VLOOKUP($A91,HN!$A:$K,10,FALSE)/12),0)</f>
        <v>0</v>
      </c>
      <c r="AI91" s="316">
        <f>_xlfn.IFNA((VLOOKUP($A91,HN!$A:$BS,15,FALSE)/12),0)</f>
        <v>0</v>
      </c>
      <c r="AJ91" s="315">
        <f t="shared" si="76"/>
        <v>-456.39999999999992</v>
      </c>
      <c r="AK91" s="315">
        <f t="shared" si="77"/>
        <v>-4107.4749999999995</v>
      </c>
      <c r="AL91" s="316"/>
      <c r="AM91" s="316">
        <f>_xlfn.IFNA(VLOOKUP($A91,'Cash Advances'!$A:$S,9,FALSE),0)</f>
        <v>0</v>
      </c>
      <c r="AN91" s="315">
        <f t="shared" si="68"/>
        <v>89076.042706539083</v>
      </c>
      <c r="AO91" s="308">
        <f t="shared" si="78"/>
        <v>93639.917706539083</v>
      </c>
      <c r="AP91" s="308"/>
      <c r="AQ91" s="309"/>
      <c r="AR91" s="309">
        <f>_xlfn.IFNA((VLOOKUP($A91,HN!$A:$K,8,FALSE)/12),0)</f>
        <v>0</v>
      </c>
      <c r="AS91" s="309">
        <f>_xlfn.IFNA((VLOOKUP($A91,HN!$A:$BS,14,FALSE)/12),0)</f>
        <v>0</v>
      </c>
      <c r="AT91" s="309">
        <f>_xlfn.IFNA(VLOOKUP($A91,'Post 16'!$A:$V,21,FALSE),0)/4</f>
        <v>0</v>
      </c>
      <c r="AU91" s="309"/>
      <c r="AV91" s="309">
        <f>_xlfn.IFNA((VLOOKUP($A91,HN!$A:$K,9,FALSE)/12),0)+_xlfn.IFNA((VLOOKUP($A91,HN!$A:$K,10,FALSE)/12),0)+_xlfn.IFNA(VLOOKUP(A91,HN!A:V,19,FALSE),0)+_xlfn.IFNA(VLOOKUP(A91,HN!A:V,20,FALSE),0)+_xlfn.IFNA(VLOOKUP(A91,HN!A:V,21,FALSE),0)</f>
        <v>0</v>
      </c>
      <c r="AW91" s="309">
        <f>_xlfn.IFNA((VLOOKUP($A91,HN!$A:$BS,15,FALSE)/12),0)</f>
        <v>0</v>
      </c>
      <c r="AX91" s="308">
        <f t="shared" si="79"/>
        <v>-456.39999999999992</v>
      </c>
      <c r="AY91" s="308">
        <f t="shared" si="80"/>
        <v>-4107.4749999999995</v>
      </c>
      <c r="AZ91" s="309"/>
      <c r="BA91" s="309">
        <f>_xlfn.IFNA(VLOOKUP($A91,'Cash Advances'!$A:$S,10,FALSE),0)</f>
        <v>0</v>
      </c>
      <c r="BB91" s="308">
        <f t="shared" si="69"/>
        <v>89076.042706539083</v>
      </c>
      <c r="BC91" s="330">
        <f t="shared" si="81"/>
        <v>93639.917706539083</v>
      </c>
      <c r="BD91" s="330"/>
      <c r="BE91" s="331"/>
      <c r="BF91" s="331">
        <f>_xlfn.IFNA((VLOOKUP($A91,HN!$A:$K,8,FALSE)/12),0)</f>
        <v>0</v>
      </c>
      <c r="BG91" s="331">
        <f>_xlfn.IFNA((VLOOKUP($A91,HN!$A:$BS,14,FALSE)/12),0)</f>
        <v>0</v>
      </c>
      <c r="BH91" s="331">
        <f>_xlfn.IFNA(VLOOKUP($A91,'Post 16'!$A:$V,21,FALSE),0)/4</f>
        <v>0</v>
      </c>
      <c r="BI91" s="331"/>
      <c r="BJ91" s="331">
        <f>_xlfn.IFNA((VLOOKUP($A91,HN!$A:$K,9,FALSE)/12),0)+_xlfn.IFNA((VLOOKUP($A91,HN!$A:$K,10,FALSE)/12),0)</f>
        <v>0</v>
      </c>
      <c r="BK91" s="331">
        <f>_xlfn.IFNA((VLOOKUP($A91,HN!$A:$BS,15,FALSE)/12),0)</f>
        <v>0</v>
      </c>
      <c r="BL91" s="330">
        <f t="shared" si="82"/>
        <v>-456.39999999999992</v>
      </c>
      <c r="BM91" s="330">
        <f t="shared" si="83"/>
        <v>-4107.4749999999995</v>
      </c>
      <c r="BN91" s="331"/>
      <c r="BO91" s="331">
        <f>_xlfn.IFNA(VLOOKUP(A91,'Cash Advances'!A:K,11,FALSE),0)</f>
        <v>0</v>
      </c>
      <c r="BP91" s="330">
        <f t="shared" si="70"/>
        <v>89076.042706539083</v>
      </c>
      <c r="BQ91" s="322">
        <f t="shared" si="84"/>
        <v>93639.917706539083</v>
      </c>
      <c r="BR91" s="322"/>
      <c r="BS91" s="323"/>
      <c r="BT91" s="323">
        <f>_xlfn.IFNA((VLOOKUP($A91,HN!$A:$K,8,FALSE)/12),0)</f>
        <v>0</v>
      </c>
      <c r="BU91" s="323">
        <f>_xlfn.IFNA((VLOOKUP($A91,HN!$A:$BS,14,FALSE)/12),0)</f>
        <v>0</v>
      </c>
      <c r="BV91" s="323">
        <f>(_xlfn.IFNA(VLOOKUP($A91,'Post 16'!$A:$AV,32,FALSE),0)/8)+_xlfn.IFNA(VLOOKUP($A91,'Post 16'!$A:$AR,40,FALSE),0)</f>
        <v>0</v>
      </c>
      <c r="BW91" s="323"/>
      <c r="BX91" s="323">
        <f>_xlfn.IFNA((VLOOKUP($A91,HN!$A:$K,9,FALSE)/12),0)+_xlfn.IFNA((VLOOKUP($A91,HN!$A:$K,10,FALSE)/12),0)</f>
        <v>0</v>
      </c>
      <c r="BY91" s="323">
        <f>_xlfn.IFNA((VLOOKUP($A91,HN!$A:$BS,15,FALSE)/12),0)</f>
        <v>0</v>
      </c>
      <c r="BZ91" s="322">
        <f t="shared" si="85"/>
        <v>-456.39999999999992</v>
      </c>
      <c r="CA91" s="322">
        <f t="shared" si="86"/>
        <v>-4107.4749999999995</v>
      </c>
      <c r="CB91" s="323"/>
      <c r="CC91" s="323"/>
      <c r="CD91" s="322">
        <f t="shared" si="71"/>
        <v>89076.042706539083</v>
      </c>
      <c r="CE91" s="357">
        <f t="shared" si="87"/>
        <v>93639.917706539083</v>
      </c>
      <c r="CF91" s="357">
        <f>(VLOOKUP($A91,EY!$A:$BS,26,FALSE)-(VLOOKUP($A91,EY!A:CR,24,FALSE)*80%))+VLOOKUP($A91,EY!$A:$BS,42,FALSE)+(VLOOKUP($A91,EY!A:CC,74,FALSE)-VLOOKUP($A91,EY!A:CC,72,FALSE))</f>
        <v>0</v>
      </c>
      <c r="CG91" s="358"/>
      <c r="CH91" s="358">
        <f>_xlfn.IFNA((VLOOKUP($A91,HN!$A:$K,8,FALSE)/12),0)</f>
        <v>0</v>
      </c>
      <c r="CI91" s="358">
        <f>_xlfn.IFNA((VLOOKUP($A91,HN!$A:$BS,14,FALSE)/12),0)</f>
        <v>0</v>
      </c>
      <c r="CJ91" s="358">
        <f>(_xlfn.IFNA(VLOOKUP($A91,'Post 16'!$A:$AV,32,FALSE),0)/8)</f>
        <v>0</v>
      </c>
      <c r="CK91" s="358">
        <f>(VLOOKUP($A91,EY!A:CR,24,FALSE)*80%)+VLOOKUP($A91,EY!A:CC,72,FALSE)</f>
        <v>0</v>
      </c>
      <c r="CL91" s="358">
        <f>_xlfn.IFNA((VLOOKUP($A91,HN!$A:$K,9,FALSE)/12),0)+_xlfn.IFNA((VLOOKUP($A91,HN!$A:$K,10,FALSE)/12),0)</f>
        <v>0</v>
      </c>
      <c r="CM91" s="358">
        <f>_xlfn.IFNA((VLOOKUP($A91,HN!$A:$BS,15,FALSE)/12),0)</f>
        <v>0</v>
      </c>
      <c r="CN91" s="357">
        <f t="shared" si="88"/>
        <v>-456.39999999999992</v>
      </c>
      <c r="CO91" s="357">
        <f t="shared" si="89"/>
        <v>-4107.4749999999995</v>
      </c>
      <c r="CP91" s="358">
        <f>_xlfn.IFNA(VLOOKUP(A91,'LA Deductions'!A:W,23,FALSE),0)</f>
        <v>-5139.75</v>
      </c>
      <c r="CQ91" s="358">
        <f>_xlfn.IFNA(VLOOKUP($A91,'Cash Advances'!$A:$S,13,FALSE),0)</f>
        <v>0</v>
      </c>
      <c r="CR91" s="358">
        <f>_xlfn.IFNA(VLOOKUP(A91,'LA Deductions'!A:AZ,25,FALSE),0)/9*3</f>
        <v>0</v>
      </c>
      <c r="CS91" s="357">
        <f t="shared" si="108"/>
        <v>83936.292706539083</v>
      </c>
      <c r="CT91" s="337">
        <f t="shared" si="90"/>
        <v>93639.917706539083</v>
      </c>
      <c r="CU91" s="337"/>
      <c r="CV91" s="338">
        <f>_xlfn.IFNA(VLOOKUP(A91,'LA Deductions'!$A$6:$AN$207,34,FALSE),0)</f>
        <v>0</v>
      </c>
      <c r="CW91" s="338">
        <f>_xlfn.IFNA((VLOOKUP($A91,HN!$A:$K,8,FALSE)/12),0)</f>
        <v>0</v>
      </c>
      <c r="CX91" s="338">
        <f>_xlfn.IFNA((VLOOKUP($A91,HN!$A:$BS,14,FALSE)/12),0)</f>
        <v>0</v>
      </c>
      <c r="CY91" s="338">
        <f>_xlfn.IFNA(VLOOKUP($A91,'Post 16'!$A:$AV,32,FALSE),0)/8</f>
        <v>0</v>
      </c>
      <c r="CZ91" s="338"/>
      <c r="DA91" s="338">
        <f>_xlfn.IFNA((VLOOKUP($A91,HN!$A:$K,9,FALSE)/12),0)+_xlfn.IFNA((VLOOKUP($A91,HN!$A:$K,10,FALSE)/12),0)</f>
        <v>0</v>
      </c>
      <c r="DB91" s="338">
        <f>_xlfn.IFNA((VLOOKUP($A91,HN!$A:$BS,15,FALSE)/12),0)</f>
        <v>0</v>
      </c>
      <c r="DC91" s="337">
        <f t="shared" si="91"/>
        <v>-456.39999999999992</v>
      </c>
      <c r="DD91" s="337">
        <f t="shared" si="92"/>
        <v>-4107.4749999999995</v>
      </c>
      <c r="DE91" s="338"/>
      <c r="DF91" s="338">
        <f>_xlfn.IFNA(VLOOKUP($A91,'Cash Advances'!$A:$S,14,FALSE),0)</f>
        <v>0</v>
      </c>
      <c r="DG91" s="338">
        <f>(_xlfn.IFNA(VLOOKUP(A91,'LA Deductions'!A:AZ,25,FALSE),0)/9)+(_xlfn.IFNA(VLOOKUP(A91,'LA Deductions'!A:AZ,26,FALSE),0))</f>
        <v>0</v>
      </c>
      <c r="DH91" s="337">
        <f t="shared" si="109"/>
        <v>89076.042706539083</v>
      </c>
      <c r="DI91" s="330">
        <f t="shared" si="93"/>
        <v>93639.917706539083</v>
      </c>
      <c r="DJ91" s="330"/>
      <c r="DK91" s="331"/>
      <c r="DL91" s="331">
        <f>_xlfn.IFNA((VLOOKUP($A91,HN!$A:$K,8,FALSE)/12),0)+_xlfn.IFNA((VLOOKUP($A91,HN!$A:$AF,32,FALSE)*8/12),0)</f>
        <v>0</v>
      </c>
      <c r="DM91" s="331">
        <f>_xlfn.IFNA((VLOOKUP($A91,HN!$A:$BS,14,FALSE)/12),0)+_xlfn.IFNA(VLOOKUP($A91,HN!$A:$BS,31,FALSE),0)</f>
        <v>0</v>
      </c>
      <c r="DN91" s="331">
        <f>_xlfn.IFNA(VLOOKUP($A91,'Post 16'!$A:$AV,32,FALSE),0)/8</f>
        <v>0</v>
      </c>
      <c r="DO91" s="331"/>
      <c r="DP91" s="331">
        <f>_xlfn.IFNA((VLOOKUP($A91,HN!$A:$K,9,FALSE)/12),0)+_xlfn.IFNA((VLOOKUP($A91,HN!$A:$K,10,FALSE)/12),0)+_xlfn.IFNA((VLOOKUP($A91,HN!$A:$BZ,33,FALSE)*8/12),0)</f>
        <v>0</v>
      </c>
      <c r="DQ91" s="331">
        <f>_xlfn.IFNA((VLOOKUP($A91,HN!$A:$BS,15,FALSE)/12),0)</f>
        <v>0</v>
      </c>
      <c r="DR91" s="330">
        <f t="shared" si="94"/>
        <v>-456.39999999999992</v>
      </c>
      <c r="DS91" s="330">
        <f t="shared" si="95"/>
        <v>-4107.4749999999995</v>
      </c>
      <c r="DT91" s="331"/>
      <c r="DU91" s="331"/>
      <c r="DV91" s="331">
        <f>(_xlfn.IFNA(VLOOKUP(A91,'LA Deductions'!A:AZ,25,FALSE),0)/9)+_xlfn.IFNA(VLOOKUP(A91,'LA Deductions'!A:AZ,27,FALSE),0)</f>
        <v>0</v>
      </c>
      <c r="DW91" s="330">
        <f t="shared" si="110"/>
        <v>89076.042706539083</v>
      </c>
      <c r="DX91" s="344">
        <f t="shared" si="96"/>
        <v>93639.917706539083</v>
      </c>
      <c r="DY91" s="344"/>
      <c r="DZ91" s="345"/>
      <c r="EA91" s="345">
        <f>_xlfn.IFNA((VLOOKUP($A91,HN!$A:$K,8,FALSE)/12),0)+_xlfn.IFNA((VLOOKUP($A91,HN!$A:$AF,32,FALSE)*1/12),0)</f>
        <v>0</v>
      </c>
      <c r="EB91" s="345">
        <f>_xlfn.IFNA((VLOOKUP($A91,HN!$A:$BS,14,FALSE)/12),0)</f>
        <v>0</v>
      </c>
      <c r="EC91" s="345">
        <f>_xlfn.IFNA(VLOOKUP($A91,'Post 16'!$A:$AV,32,FALSE),0)/8</f>
        <v>0</v>
      </c>
      <c r="ED91" s="345"/>
      <c r="EE91" s="345">
        <f>_xlfn.IFNA((VLOOKUP($A91,HN!$A:$K,9,FALSE)/12),0)+_xlfn.IFNA((VLOOKUP($A91,HN!$A:$K,10,FALSE)/12),0)+_xlfn.IFNA((VLOOKUP($A91,HN!$A:$BZ,33,FALSE)/12),0)</f>
        <v>0</v>
      </c>
      <c r="EF91" s="345">
        <f>_xlfn.IFNA((VLOOKUP($A91,HN!$A:$BS,15,FALSE)/12),0)</f>
        <v>0</v>
      </c>
      <c r="EG91" s="344">
        <f t="shared" si="97"/>
        <v>-456.39999999999992</v>
      </c>
      <c r="EH91" s="344">
        <f t="shared" si="98"/>
        <v>-4107.4749999999995</v>
      </c>
      <c r="EI91" s="345"/>
      <c r="EJ91" s="345">
        <f>_xlfn.IFNA(VLOOKUP(A91,'Cash Advances'!A:P,16,FALSE),0)</f>
        <v>0</v>
      </c>
      <c r="EK91" s="345">
        <f>_xlfn.IFNA(VLOOKUP(A91,'LA Deductions'!A:AZ,25,FALSE),0)/9</f>
        <v>0</v>
      </c>
      <c r="EL91" s="344">
        <f t="shared" si="111"/>
        <v>89076.042706539083</v>
      </c>
      <c r="EM91" s="308">
        <f t="shared" si="99"/>
        <v>93639.917706539083</v>
      </c>
      <c r="EN91" s="308">
        <f>((VLOOKUP($A91,EY!$A:$BS,35,FALSE)-(VLOOKUP($A91,EY!$A:$BS,33,FALSE)*80%))+VLOOKUP($A91,EY!$A:$BS,43,FALSE))+(VLOOKUP(A91,EY!A:DF,110,FALSE)-VLOOKUP(A91,EY!A:DD,108,FALSE))+(VLOOKUP(A91,EY!A:CE,83,FALSE)-VLOOKUP(A91,EY!A:CC,81,FALSE))</f>
        <v>0</v>
      </c>
      <c r="EO91" s="309"/>
      <c r="EP91" s="309">
        <f>_xlfn.IFNA((VLOOKUP($A91,HN!$A:$K,8,FALSE)/12),0)+_xlfn.IFNA((VLOOKUP($A91,HN!$A:$AF,32,FALSE)*1/12),0)</f>
        <v>0</v>
      </c>
      <c r="EQ91" s="309">
        <f>_xlfn.IFNA((VLOOKUP($A91,HN!$A:$BS,14,FALSE)/12),0)+_xlfn.IFNA((VLOOKUP($A91,HN!$A:$BS,34,FALSE)/3),0)</f>
        <v>0</v>
      </c>
      <c r="ER91" s="309">
        <f>_xlfn.IFNA(VLOOKUP($A91,'Post 16'!$A:$AV,32,FALSE),0)/8</f>
        <v>0</v>
      </c>
      <c r="ES91" s="309">
        <f>((VLOOKUP($A91,EY!A:EV,33,FALSE)*80%))+VLOOKUP(A91,EY!A:DD,108,FALSE)+VLOOKUP(A91,EY!A:CC,81,FALSE)</f>
        <v>0</v>
      </c>
      <c r="ET91" s="309">
        <f>_xlfn.IFNA((VLOOKUP($A91,HN!$A:$K,9,FALSE)/12),0)+_xlfn.IFNA((VLOOKUP($A91,HN!$A:$K,10,FALSE)/12),0)+_xlfn.IFNA((VLOOKUP($A91,HN!$A:$BZ,33,FALSE)/12),0)</f>
        <v>0</v>
      </c>
      <c r="EU91" s="309">
        <f>_xlfn.IFNA((VLOOKUP($A91,HN!$A:$BS,15,FALSE)/12),0)</f>
        <v>0</v>
      </c>
      <c r="EV91" s="308">
        <f t="shared" si="100"/>
        <v>-456.39999999999992</v>
      </c>
      <c r="EW91" s="308">
        <f t="shared" si="101"/>
        <v>-4107.4749999999995</v>
      </c>
      <c r="EX91" s="309"/>
      <c r="EY91" s="309">
        <f>_xlfn.IFNA(VLOOKUP($A91,'Cash Advances'!$A:$S,17,FALSE),0)</f>
        <v>0</v>
      </c>
      <c r="EZ91" s="309">
        <f>_xlfn.IFNA(VLOOKUP(A91,'LA Deductions'!A:AZ,25,FALSE),0)/9</f>
        <v>0</v>
      </c>
      <c r="FA91" s="308">
        <f t="shared" si="112"/>
        <v>89076.042706539083</v>
      </c>
      <c r="FB91" s="315">
        <f t="shared" si="102"/>
        <v>93639.917706539083</v>
      </c>
      <c r="FC91" s="315"/>
      <c r="FD91" s="316"/>
      <c r="FE91" s="316">
        <f>_xlfn.IFNA((VLOOKUP($A91,HN!$A:$K,8,FALSE)/12),0)+_xlfn.IFNA((VLOOKUP($A91,HN!$A:$AF,32,FALSE)*1/12),0)</f>
        <v>0</v>
      </c>
      <c r="FF91" s="316">
        <f>_xlfn.IFNA((VLOOKUP($A91,HN!$A:$BS,14,FALSE)/12),0)+_xlfn.IFNA((VLOOKUP($A91,HN!$A:$BS,34,FALSE)/3),0)</f>
        <v>0</v>
      </c>
      <c r="FG91" s="316">
        <f>_xlfn.IFNA(VLOOKUP($A91,'Post 16'!$A:$AV,32,FALSE),0)/8</f>
        <v>0</v>
      </c>
      <c r="FH91" s="316"/>
      <c r="FI91" s="316">
        <f>_xlfn.IFNA((VLOOKUP($A91,HN!$A:$K,9,FALSE)/12),0)+_xlfn.IFNA((VLOOKUP($A91,HN!$A:$K,10,FALSE)/12),0)+_xlfn.IFNA((VLOOKUP($A91,HN!$A:$BZ,33,FALSE)/12),0)+_xlfn.IFNA((VLOOKUP($A91,HN!$A:$BZ,35,FALSE)/2),0)</f>
        <v>0</v>
      </c>
      <c r="FJ91" s="316">
        <f>_xlfn.IFNA((VLOOKUP($A91,HN!$A:$BS,15,FALSE)/12),0)+_xlfn.IFNA((VLOOKUP($A91,HN!$A:$CZ,36,FALSE)/2),0)</f>
        <v>0</v>
      </c>
      <c r="FK91" s="315">
        <f t="shared" si="103"/>
        <v>-456.39999999999992</v>
      </c>
      <c r="FL91" s="315">
        <f t="shared" si="104"/>
        <v>-4107.4749999999995</v>
      </c>
      <c r="FM91" s="316"/>
      <c r="FN91" s="316">
        <f>_xlfn.IFNA(VLOOKUP($A91,'Cash Advances'!$A:$S,18,FALSE),0)</f>
        <v>0</v>
      </c>
      <c r="FO91" s="316">
        <f>_xlfn.IFNA(VLOOKUP(A91,'LA Deductions'!A:AZ,25,FALSE),0)/9</f>
        <v>0</v>
      </c>
      <c r="FP91" s="315">
        <f t="shared" si="113"/>
        <v>89076.042706539083</v>
      </c>
      <c r="FQ91" s="322">
        <f t="shared" si="105"/>
        <v>93639.917706539083</v>
      </c>
      <c r="FR91" s="322"/>
      <c r="FS91" s="323"/>
      <c r="FT91" s="323">
        <f>_xlfn.IFNA((VLOOKUP($A91,HN!$A:$K,8,FALSE)/12),0)+_xlfn.IFNA((VLOOKUP($A91,HN!$A:$AF,32,FALSE)*1/12),0)</f>
        <v>0</v>
      </c>
      <c r="FU91" s="323">
        <f>_xlfn.IFNA((VLOOKUP($A91,HN!$A:$BS,14,FALSE)/12),0)+_xlfn.IFNA((VLOOKUP($A91,HN!$A:$BS,34,FALSE)/3),0)</f>
        <v>0</v>
      </c>
      <c r="FV91" s="323">
        <f>_xlfn.IFNA(VLOOKUP($A91,'Post 16'!$A:$AV,32,FALSE),0)/8</f>
        <v>0</v>
      </c>
      <c r="FW91" s="323"/>
      <c r="FX91" s="323">
        <f>_xlfn.IFNA((VLOOKUP($A91,HN!$A:$K,9,FALSE)/12),0)+_xlfn.IFNA((VLOOKUP($A91,HN!$A:$K,10,FALSE)/12),0)+_xlfn.IFNA((VLOOKUP($A91,HN!$A:$BZ,33,FALSE)/12),0)+_xlfn.IFNA((VLOOKUP($A91,HN!$A:$BZ,35,FALSE)/2),0)</f>
        <v>0</v>
      </c>
      <c r="FY91" s="323">
        <f>_xlfn.IFNA((VLOOKUP($A91,HN!$A:$BS,15,FALSE)/12),0)+_xlfn.IFNA((VLOOKUP($A91,HN!$A:$CZ,36,FALSE)/2),0)</f>
        <v>0</v>
      </c>
      <c r="FZ91" s="322">
        <f t="shared" si="106"/>
        <v>-456.39999999999992</v>
      </c>
      <c r="GA91" s="322">
        <f t="shared" si="107"/>
        <v>-4107.4749999999995</v>
      </c>
      <c r="GB91" s="323"/>
      <c r="GC91" s="323"/>
      <c r="GD91" s="323">
        <f>_xlfn.IFNA(VLOOKUP(A91,'LA Deductions'!A:AZ,25,FALSE),0)/9</f>
        <v>0</v>
      </c>
      <c r="GE91" s="322">
        <f t="shared" si="114"/>
        <v>89076.042706539083</v>
      </c>
      <c r="GG91" s="146">
        <f t="shared" si="117"/>
        <v>1123679.0124784687</v>
      </c>
      <c r="GH91" s="146">
        <f t="shared" si="117"/>
        <v>0</v>
      </c>
      <c r="GI91" s="146">
        <f t="shared" si="117"/>
        <v>0</v>
      </c>
      <c r="GJ91" s="146">
        <f t="shared" si="117"/>
        <v>-5476.7999999999984</v>
      </c>
      <c r="GK91" s="146">
        <f t="shared" si="117"/>
        <v>-49289.69999999999</v>
      </c>
      <c r="GL91" s="146">
        <f t="shared" si="117"/>
        <v>-5139.75</v>
      </c>
      <c r="GN91" s="146">
        <f t="shared" si="118"/>
        <v>1123679.0124784687</v>
      </c>
      <c r="GO91" s="146">
        <f t="shared" si="118"/>
        <v>0</v>
      </c>
      <c r="GP91" s="146">
        <f t="shared" si="118"/>
        <v>0</v>
      </c>
      <c r="GQ91" s="146">
        <f t="shared" si="118"/>
        <v>-5476.7999999999984</v>
      </c>
      <c r="GR91" s="146">
        <f t="shared" si="118"/>
        <v>-49289.69999999999</v>
      </c>
      <c r="GS91" s="146">
        <f t="shared" si="118"/>
        <v>-5139.75</v>
      </c>
      <c r="GU91" s="146"/>
      <c r="GV91" s="57"/>
    </row>
    <row r="92" spans="1:204">
      <c r="A92" s="185">
        <v>4245</v>
      </c>
      <c r="B92" s="185">
        <v>103519</v>
      </c>
      <c r="C92" s="185" t="s">
        <v>206</v>
      </c>
      <c r="D92" s="2" t="s">
        <v>207</v>
      </c>
      <c r="E92" s="191" t="s">
        <v>58</v>
      </c>
      <c r="F92" s="191" t="s">
        <v>912</v>
      </c>
      <c r="H92" s="279">
        <f>_xlfn.IFNA(VLOOKUP($A92,ISB!$A$4:$BY$454,67,FALSE),0)</f>
        <v>10413743.885898475</v>
      </c>
      <c r="I92" s="279">
        <f>_xlfn.IFNA(VLOOKUP($A92,ISB!$A$4:$BY$454,72,FALSE),0)</f>
        <v>-25464.449999999997</v>
      </c>
      <c r="J92" s="279">
        <f>-_xlfn.IFNA(VLOOKUP($A92,ISB!$A$4:$BY$454,76,FALSE),0)</f>
        <v>-22895.86</v>
      </c>
      <c r="K92" s="279">
        <f>_xlfn.IFNA(VLOOKUP($A92,ISB!$A$4:$BY$454,77,FALSE),0)</f>
        <v>10365383.575898476</v>
      </c>
      <c r="M92" s="301">
        <f t="shared" si="72"/>
        <v>867811.99049153959</v>
      </c>
      <c r="N92" s="301">
        <f>VLOOKUP($A92,EY!$A:$H,8,FALSE)+(VLOOKUP($A92,EY!$A:$BS,17,FALSE)-S92)+VLOOKUP($A92,EY!$A:$BS,41,FALSE)</f>
        <v>0</v>
      </c>
      <c r="O92" s="302"/>
      <c r="P92" s="302">
        <f>_xlfn.IFNA((VLOOKUP($A92,HN!$A:$K,8,FALSE)/12),0)</f>
        <v>0</v>
      </c>
      <c r="Q92" s="302">
        <f>_xlfn.IFNA((VLOOKUP($A92,HN!$A:$BS,14,FALSE)/12),0)</f>
        <v>0</v>
      </c>
      <c r="R92" s="302">
        <f>_xlfn.IFNA(VLOOKUP($A92,'Post 16'!$A:$V,21,FALSE),0)/4</f>
        <v>111744.25</v>
      </c>
      <c r="S92" s="302">
        <f>VLOOKUP($A92,EY!A:Q,15,FALSE)*80%</f>
        <v>0</v>
      </c>
      <c r="T92" s="302">
        <f>_xlfn.IFNA((VLOOKUP($A92,HN!$A:$K,9,FALSE)/12),0)+_xlfn.IFNA((VLOOKUP($A92,HN!$A:$K,10,FALSE)/12),0)</f>
        <v>0</v>
      </c>
      <c r="U92" s="302">
        <f>_xlfn.IFNA((VLOOKUP($A92,HN!$A:$BS,15,FALSE)/12),0)</f>
        <v>0</v>
      </c>
      <c r="V92" s="301">
        <f t="shared" si="73"/>
        <v>-2122.0374999999999</v>
      </c>
      <c r="W92" s="301">
        <f t="shared" si="74"/>
        <v>-1907.9883333333335</v>
      </c>
      <c r="X92" s="302"/>
      <c r="Y92" s="302">
        <f>_xlfn.IFNA(VLOOKUP($A92,'Cash Advances'!$A:$S,8,FALSE),0)</f>
        <v>0</v>
      </c>
      <c r="Z92" s="301">
        <f t="shared" si="67"/>
        <v>975526.21465820633</v>
      </c>
      <c r="AA92" s="315">
        <f t="shared" si="75"/>
        <v>867811.99049153959</v>
      </c>
      <c r="AB92" s="315"/>
      <c r="AC92" s="316"/>
      <c r="AD92" s="316">
        <f>_xlfn.IFNA((VLOOKUP($A92,HN!$A:$K,8,FALSE)/12),0)</f>
        <v>0</v>
      </c>
      <c r="AE92" s="316">
        <f>_xlfn.IFNA((VLOOKUP($A92,HN!$A:$BS,14,FALSE)/12),0)</f>
        <v>0</v>
      </c>
      <c r="AF92" s="316">
        <f>_xlfn.IFNA(VLOOKUP($A92,'Post 16'!$A:$V,21,FALSE),0)/4</f>
        <v>111744.25</v>
      </c>
      <c r="AG92" s="316"/>
      <c r="AH92" s="316">
        <f>_xlfn.IFNA((VLOOKUP($A92,HN!$A:$K,9,FALSE)/12),0)+_xlfn.IFNA((VLOOKUP($A92,HN!$A:$K,10,FALSE)/12),0)</f>
        <v>0</v>
      </c>
      <c r="AI92" s="316">
        <f>_xlfn.IFNA((VLOOKUP($A92,HN!$A:$BS,15,FALSE)/12),0)</f>
        <v>0</v>
      </c>
      <c r="AJ92" s="315">
        <f t="shared" si="76"/>
        <v>-2122.0374999999999</v>
      </c>
      <c r="AK92" s="315">
        <f t="shared" si="77"/>
        <v>-1907.9883333333335</v>
      </c>
      <c r="AL92" s="316"/>
      <c r="AM92" s="316">
        <f>_xlfn.IFNA(VLOOKUP($A92,'Cash Advances'!$A:$S,9,FALSE),0)</f>
        <v>0</v>
      </c>
      <c r="AN92" s="315">
        <f t="shared" si="68"/>
        <v>975526.21465820633</v>
      </c>
      <c r="AO92" s="308">
        <f t="shared" si="78"/>
        <v>867811.99049153959</v>
      </c>
      <c r="AP92" s="308"/>
      <c r="AQ92" s="309"/>
      <c r="AR92" s="309">
        <f>_xlfn.IFNA((VLOOKUP($A92,HN!$A:$K,8,FALSE)/12),0)</f>
        <v>0</v>
      </c>
      <c r="AS92" s="309">
        <f>_xlfn.IFNA((VLOOKUP($A92,HN!$A:$BS,14,FALSE)/12),0)</f>
        <v>0</v>
      </c>
      <c r="AT92" s="309">
        <f>_xlfn.IFNA(VLOOKUP($A92,'Post 16'!$A:$V,21,FALSE),0)/4</f>
        <v>111744.25</v>
      </c>
      <c r="AU92" s="309"/>
      <c r="AV92" s="309">
        <f>_xlfn.IFNA((VLOOKUP($A92,HN!$A:$K,9,FALSE)/12),0)+_xlfn.IFNA((VLOOKUP($A92,HN!$A:$K,10,FALSE)/12),0)+_xlfn.IFNA(VLOOKUP(A92,HN!A:V,19,FALSE),0)+_xlfn.IFNA(VLOOKUP(A92,HN!A:V,20,FALSE),0)+_xlfn.IFNA(VLOOKUP(A92,HN!A:V,21,FALSE),0)</f>
        <v>0</v>
      </c>
      <c r="AW92" s="309">
        <f>_xlfn.IFNA((VLOOKUP($A92,HN!$A:$BS,15,FALSE)/12),0)</f>
        <v>0</v>
      </c>
      <c r="AX92" s="308">
        <f t="shared" si="79"/>
        <v>-2122.0374999999999</v>
      </c>
      <c r="AY92" s="308">
        <f t="shared" si="80"/>
        <v>-1907.9883333333335</v>
      </c>
      <c r="AZ92" s="309"/>
      <c r="BA92" s="309">
        <f>_xlfn.IFNA(VLOOKUP($A92,'Cash Advances'!$A:$S,10,FALSE),0)</f>
        <v>0</v>
      </c>
      <c r="BB92" s="308">
        <f t="shared" si="69"/>
        <v>975526.21465820633</v>
      </c>
      <c r="BC92" s="330">
        <f t="shared" si="81"/>
        <v>867811.99049153959</v>
      </c>
      <c r="BD92" s="330"/>
      <c r="BE92" s="331"/>
      <c r="BF92" s="331">
        <f>_xlfn.IFNA((VLOOKUP($A92,HN!$A:$K,8,FALSE)/12),0)</f>
        <v>0</v>
      </c>
      <c r="BG92" s="331">
        <f>_xlfn.IFNA((VLOOKUP($A92,HN!$A:$BS,14,FALSE)/12),0)</f>
        <v>0</v>
      </c>
      <c r="BH92" s="331">
        <f>_xlfn.IFNA(VLOOKUP($A92,'Post 16'!$A:$V,21,FALSE),0)/4</f>
        <v>111744.25</v>
      </c>
      <c r="BI92" s="331"/>
      <c r="BJ92" s="331">
        <f>_xlfn.IFNA((VLOOKUP($A92,HN!$A:$K,9,FALSE)/12),0)+_xlfn.IFNA((VLOOKUP($A92,HN!$A:$K,10,FALSE)/12),0)</f>
        <v>0</v>
      </c>
      <c r="BK92" s="331">
        <f>_xlfn.IFNA((VLOOKUP($A92,HN!$A:$BS,15,FALSE)/12),0)</f>
        <v>0</v>
      </c>
      <c r="BL92" s="330">
        <f t="shared" si="82"/>
        <v>-2122.0374999999999</v>
      </c>
      <c r="BM92" s="330">
        <f t="shared" si="83"/>
        <v>-1907.9883333333335</v>
      </c>
      <c r="BN92" s="331"/>
      <c r="BO92" s="331">
        <f>_xlfn.IFNA(VLOOKUP(A92,'Cash Advances'!A:K,11,FALSE),0)</f>
        <v>0</v>
      </c>
      <c r="BP92" s="330">
        <f t="shared" si="70"/>
        <v>975526.21465820633</v>
      </c>
      <c r="BQ92" s="322">
        <f t="shared" si="84"/>
        <v>867811.99049153959</v>
      </c>
      <c r="BR92" s="322"/>
      <c r="BS92" s="323"/>
      <c r="BT92" s="323">
        <f>_xlfn.IFNA((VLOOKUP($A92,HN!$A:$K,8,FALSE)/12),0)</f>
        <v>0</v>
      </c>
      <c r="BU92" s="323">
        <f>_xlfn.IFNA((VLOOKUP($A92,HN!$A:$BS,14,FALSE)/12),0)</f>
        <v>0</v>
      </c>
      <c r="BV92" s="323">
        <f>(_xlfn.IFNA(VLOOKUP($A92,'Post 16'!$A:$AV,32,FALSE),0)/8)+_xlfn.IFNA(VLOOKUP($A92,'Post 16'!$A:$AR,40,FALSE),0)</f>
        <v>117252.25</v>
      </c>
      <c r="BW92" s="323"/>
      <c r="BX92" s="323">
        <f>_xlfn.IFNA((VLOOKUP($A92,HN!$A:$K,9,FALSE)/12),0)+_xlfn.IFNA((VLOOKUP($A92,HN!$A:$K,10,FALSE)/12),0)</f>
        <v>0</v>
      </c>
      <c r="BY92" s="323">
        <f>_xlfn.IFNA((VLOOKUP($A92,HN!$A:$BS,15,FALSE)/12),0)</f>
        <v>0</v>
      </c>
      <c r="BZ92" s="322">
        <f t="shared" si="85"/>
        <v>-2122.0374999999999</v>
      </c>
      <c r="CA92" s="322">
        <f t="shared" si="86"/>
        <v>-1907.9883333333335</v>
      </c>
      <c r="CB92" s="323"/>
      <c r="CC92" s="323"/>
      <c r="CD92" s="322">
        <f t="shared" si="71"/>
        <v>981034.21465820633</v>
      </c>
      <c r="CE92" s="357">
        <f t="shared" si="87"/>
        <v>867811.99049153959</v>
      </c>
      <c r="CF92" s="357">
        <f>(VLOOKUP($A92,EY!$A:$BS,26,FALSE)-(VLOOKUP($A92,EY!A:CR,24,FALSE)*80%))+VLOOKUP($A92,EY!$A:$BS,42,FALSE)+(VLOOKUP($A92,EY!A:CC,74,FALSE)-VLOOKUP($A92,EY!A:CC,72,FALSE))</f>
        <v>0</v>
      </c>
      <c r="CG92" s="358"/>
      <c r="CH92" s="358">
        <f>_xlfn.IFNA((VLOOKUP($A92,HN!$A:$K,8,FALSE)/12),0)</f>
        <v>0</v>
      </c>
      <c r="CI92" s="358">
        <f>_xlfn.IFNA((VLOOKUP($A92,HN!$A:$BS,14,FALSE)/12),0)</f>
        <v>0</v>
      </c>
      <c r="CJ92" s="358">
        <f>(_xlfn.IFNA(VLOOKUP($A92,'Post 16'!$A:$AV,32,FALSE),0)/8)</f>
        <v>117252.25</v>
      </c>
      <c r="CK92" s="358">
        <f>(VLOOKUP($A92,EY!A:CR,24,FALSE)*80%)+VLOOKUP($A92,EY!A:CC,72,FALSE)</f>
        <v>0</v>
      </c>
      <c r="CL92" s="358">
        <f>_xlfn.IFNA((VLOOKUP($A92,HN!$A:$K,9,FALSE)/12),0)+_xlfn.IFNA((VLOOKUP($A92,HN!$A:$K,10,FALSE)/12),0)</f>
        <v>0</v>
      </c>
      <c r="CM92" s="358">
        <f>_xlfn.IFNA((VLOOKUP($A92,HN!$A:$BS,15,FALSE)/12),0)</f>
        <v>0</v>
      </c>
      <c r="CN92" s="357">
        <f t="shared" si="88"/>
        <v>-2122.0374999999999</v>
      </c>
      <c r="CO92" s="357">
        <f t="shared" si="89"/>
        <v>-1907.9883333333335</v>
      </c>
      <c r="CP92" s="358">
        <f>_xlfn.IFNA(VLOOKUP(A92,'LA Deductions'!A:W,23,FALSE),0)</f>
        <v>-39285</v>
      </c>
      <c r="CQ92" s="358">
        <f>_xlfn.IFNA(VLOOKUP($A92,'Cash Advances'!$A:$S,13,FALSE),0)</f>
        <v>0</v>
      </c>
      <c r="CR92" s="358">
        <f>_xlfn.IFNA(VLOOKUP(A92,'LA Deductions'!A:AZ,25,FALSE),0)/9*3</f>
        <v>0</v>
      </c>
      <c r="CS92" s="357">
        <f t="shared" si="108"/>
        <v>941749.21465820633</v>
      </c>
      <c r="CT92" s="337">
        <f t="shared" si="90"/>
        <v>867811.99049153959</v>
      </c>
      <c r="CU92" s="337"/>
      <c r="CV92" s="338">
        <f>_xlfn.IFNA(VLOOKUP(A92,'LA Deductions'!$A$6:$AN$207,34,FALSE),0)</f>
        <v>-8868.9002166666651</v>
      </c>
      <c r="CW92" s="338">
        <f>_xlfn.IFNA((VLOOKUP($A92,HN!$A:$K,8,FALSE)/12),0)</f>
        <v>0</v>
      </c>
      <c r="CX92" s="338">
        <f>_xlfn.IFNA((VLOOKUP($A92,HN!$A:$BS,14,FALSE)/12),0)</f>
        <v>0</v>
      </c>
      <c r="CY92" s="338">
        <f>_xlfn.IFNA(VLOOKUP($A92,'Post 16'!$A:$AV,32,FALSE),0)/8</f>
        <v>117252.25</v>
      </c>
      <c r="CZ92" s="338"/>
      <c r="DA92" s="338">
        <f>_xlfn.IFNA((VLOOKUP($A92,HN!$A:$K,9,FALSE)/12),0)+_xlfn.IFNA((VLOOKUP($A92,HN!$A:$K,10,FALSE)/12),0)</f>
        <v>0</v>
      </c>
      <c r="DB92" s="338">
        <f>_xlfn.IFNA((VLOOKUP($A92,HN!$A:$BS,15,FALSE)/12),0)</f>
        <v>0</v>
      </c>
      <c r="DC92" s="337">
        <f t="shared" si="91"/>
        <v>-2122.0374999999999</v>
      </c>
      <c r="DD92" s="337">
        <f t="shared" si="92"/>
        <v>-1907.9883333333335</v>
      </c>
      <c r="DE92" s="338"/>
      <c r="DF92" s="338">
        <f>_xlfn.IFNA(VLOOKUP($A92,'Cash Advances'!$A:$S,14,FALSE),0)</f>
        <v>0</v>
      </c>
      <c r="DG92" s="338">
        <f>(_xlfn.IFNA(VLOOKUP(A92,'LA Deductions'!A:AZ,25,FALSE),0)/9)+(_xlfn.IFNA(VLOOKUP(A92,'LA Deductions'!A:AZ,26,FALSE),0))</f>
        <v>0</v>
      </c>
      <c r="DH92" s="337">
        <f t="shared" si="109"/>
        <v>972165.3144415397</v>
      </c>
      <c r="DI92" s="330">
        <f t="shared" si="93"/>
        <v>867811.99049153959</v>
      </c>
      <c r="DJ92" s="330"/>
      <c r="DK92" s="331"/>
      <c r="DL92" s="331">
        <f>_xlfn.IFNA((VLOOKUP($A92,HN!$A:$K,8,FALSE)/12),0)+_xlfn.IFNA((VLOOKUP($A92,HN!$A:$AF,32,FALSE)*8/12),0)</f>
        <v>0</v>
      </c>
      <c r="DM92" s="331">
        <f>_xlfn.IFNA((VLOOKUP($A92,HN!$A:$BS,14,FALSE)/12),0)+_xlfn.IFNA(VLOOKUP($A92,HN!$A:$BS,31,FALSE),0)</f>
        <v>0</v>
      </c>
      <c r="DN92" s="331">
        <f>_xlfn.IFNA(VLOOKUP($A92,'Post 16'!$A:$AV,32,FALSE),0)/8</f>
        <v>117252.25</v>
      </c>
      <c r="DO92" s="331"/>
      <c r="DP92" s="331">
        <f>_xlfn.IFNA((VLOOKUP($A92,HN!$A:$K,9,FALSE)/12),0)+_xlfn.IFNA((VLOOKUP($A92,HN!$A:$K,10,FALSE)/12),0)+_xlfn.IFNA((VLOOKUP($A92,HN!$A:$BZ,33,FALSE)*8/12),0)</f>
        <v>0</v>
      </c>
      <c r="DQ92" s="331">
        <f>_xlfn.IFNA((VLOOKUP($A92,HN!$A:$BS,15,FALSE)/12),0)</f>
        <v>0</v>
      </c>
      <c r="DR92" s="330">
        <f t="shared" si="94"/>
        <v>-2122.0374999999999</v>
      </c>
      <c r="DS92" s="330">
        <f t="shared" si="95"/>
        <v>-1907.9883333333335</v>
      </c>
      <c r="DT92" s="331"/>
      <c r="DU92" s="331"/>
      <c r="DV92" s="331">
        <f>(_xlfn.IFNA(VLOOKUP(A92,'LA Deductions'!A:AZ,25,FALSE),0)/9)+_xlfn.IFNA(VLOOKUP(A92,'LA Deductions'!A:AZ,27,FALSE),0)</f>
        <v>0</v>
      </c>
      <c r="DW92" s="330">
        <f t="shared" si="110"/>
        <v>981034.21465820633</v>
      </c>
      <c r="DX92" s="344">
        <f t="shared" si="96"/>
        <v>867811.99049153959</v>
      </c>
      <c r="DY92" s="344"/>
      <c r="DZ92" s="345"/>
      <c r="EA92" s="345">
        <f>_xlfn.IFNA((VLOOKUP($A92,HN!$A:$K,8,FALSE)/12),0)+_xlfn.IFNA((VLOOKUP($A92,HN!$A:$AF,32,FALSE)*1/12),0)</f>
        <v>0</v>
      </c>
      <c r="EB92" s="345">
        <f>_xlfn.IFNA((VLOOKUP($A92,HN!$A:$BS,14,FALSE)/12),0)</f>
        <v>0</v>
      </c>
      <c r="EC92" s="345">
        <f>_xlfn.IFNA(VLOOKUP($A92,'Post 16'!$A:$AV,32,FALSE),0)/8</f>
        <v>117252.25</v>
      </c>
      <c r="ED92" s="345"/>
      <c r="EE92" s="345">
        <f>_xlfn.IFNA((VLOOKUP($A92,HN!$A:$K,9,FALSE)/12),0)+_xlfn.IFNA((VLOOKUP($A92,HN!$A:$K,10,FALSE)/12),0)+_xlfn.IFNA((VLOOKUP($A92,HN!$A:$BZ,33,FALSE)/12),0)</f>
        <v>0</v>
      </c>
      <c r="EF92" s="345">
        <f>_xlfn.IFNA((VLOOKUP($A92,HN!$A:$BS,15,FALSE)/12),0)</f>
        <v>0</v>
      </c>
      <c r="EG92" s="344">
        <f t="shared" si="97"/>
        <v>-2122.0374999999999</v>
      </c>
      <c r="EH92" s="344">
        <f t="shared" si="98"/>
        <v>-1907.9883333333335</v>
      </c>
      <c r="EI92" s="345"/>
      <c r="EJ92" s="345">
        <f>_xlfn.IFNA(VLOOKUP(A92,'Cash Advances'!A:P,16,FALSE),0)</f>
        <v>0</v>
      </c>
      <c r="EK92" s="345">
        <f>_xlfn.IFNA(VLOOKUP(A92,'LA Deductions'!A:AZ,25,FALSE),0)/9</f>
        <v>0</v>
      </c>
      <c r="EL92" s="344">
        <f t="shared" si="111"/>
        <v>981034.21465820633</v>
      </c>
      <c r="EM92" s="308">
        <f t="shared" si="99"/>
        <v>867811.99049153959</v>
      </c>
      <c r="EN92" s="308">
        <f>((VLOOKUP($A92,EY!$A:$BS,35,FALSE)-(VLOOKUP($A92,EY!$A:$BS,33,FALSE)*80%))+VLOOKUP($A92,EY!$A:$BS,43,FALSE))+(VLOOKUP(A92,EY!A:DF,110,FALSE)-VLOOKUP(A92,EY!A:DD,108,FALSE))+(VLOOKUP(A92,EY!A:CE,83,FALSE)-VLOOKUP(A92,EY!A:CC,81,FALSE))</f>
        <v>0</v>
      </c>
      <c r="EO92" s="309"/>
      <c r="EP92" s="309">
        <f>_xlfn.IFNA((VLOOKUP($A92,HN!$A:$K,8,FALSE)/12),0)+_xlfn.IFNA((VLOOKUP($A92,HN!$A:$AF,32,FALSE)*1/12),0)</f>
        <v>0</v>
      </c>
      <c r="EQ92" s="309">
        <f>_xlfn.IFNA((VLOOKUP($A92,HN!$A:$BS,14,FALSE)/12),0)+_xlfn.IFNA((VLOOKUP($A92,HN!$A:$BS,34,FALSE)/3),0)</f>
        <v>0</v>
      </c>
      <c r="ER92" s="309">
        <f>_xlfn.IFNA(VLOOKUP($A92,'Post 16'!$A:$AV,32,FALSE),0)/8</f>
        <v>117252.25</v>
      </c>
      <c r="ES92" s="309">
        <f>((VLOOKUP($A92,EY!A:EV,33,FALSE)*80%))+VLOOKUP(A92,EY!A:DD,108,FALSE)+VLOOKUP(A92,EY!A:CC,81,FALSE)</f>
        <v>0</v>
      </c>
      <c r="ET92" s="309">
        <f>_xlfn.IFNA((VLOOKUP($A92,HN!$A:$K,9,FALSE)/12),0)+_xlfn.IFNA((VLOOKUP($A92,HN!$A:$K,10,FALSE)/12),0)+_xlfn.IFNA((VLOOKUP($A92,HN!$A:$BZ,33,FALSE)/12),0)</f>
        <v>0</v>
      </c>
      <c r="EU92" s="309">
        <f>_xlfn.IFNA((VLOOKUP($A92,HN!$A:$BS,15,FALSE)/12),0)</f>
        <v>0</v>
      </c>
      <c r="EV92" s="308">
        <f t="shared" si="100"/>
        <v>-2122.0374999999999</v>
      </c>
      <c r="EW92" s="308">
        <f t="shared" si="101"/>
        <v>-1907.9883333333335</v>
      </c>
      <c r="EX92" s="309"/>
      <c r="EY92" s="309">
        <f>_xlfn.IFNA(VLOOKUP($A92,'Cash Advances'!$A:$S,17,FALSE),0)</f>
        <v>0</v>
      </c>
      <c r="EZ92" s="309">
        <f>_xlfn.IFNA(VLOOKUP(A92,'LA Deductions'!A:AZ,25,FALSE),0)/9</f>
        <v>0</v>
      </c>
      <c r="FA92" s="308">
        <f t="shared" si="112"/>
        <v>981034.21465820633</v>
      </c>
      <c r="FB92" s="315">
        <f t="shared" si="102"/>
        <v>867811.99049153959</v>
      </c>
      <c r="FC92" s="315"/>
      <c r="FD92" s="316"/>
      <c r="FE92" s="316">
        <f>_xlfn.IFNA((VLOOKUP($A92,HN!$A:$K,8,FALSE)/12),0)+_xlfn.IFNA((VLOOKUP($A92,HN!$A:$AF,32,FALSE)*1/12),0)</f>
        <v>0</v>
      </c>
      <c r="FF92" s="316">
        <f>_xlfn.IFNA((VLOOKUP($A92,HN!$A:$BS,14,FALSE)/12),0)+_xlfn.IFNA((VLOOKUP($A92,HN!$A:$BS,34,FALSE)/3),0)</f>
        <v>0</v>
      </c>
      <c r="FG92" s="316">
        <f>_xlfn.IFNA(VLOOKUP($A92,'Post 16'!$A:$AV,32,FALSE),0)/8</f>
        <v>117252.25</v>
      </c>
      <c r="FH92" s="316"/>
      <c r="FI92" s="316">
        <f>_xlfn.IFNA((VLOOKUP($A92,HN!$A:$K,9,FALSE)/12),0)+_xlfn.IFNA((VLOOKUP($A92,HN!$A:$K,10,FALSE)/12),0)+_xlfn.IFNA((VLOOKUP($A92,HN!$A:$BZ,33,FALSE)/12),0)+_xlfn.IFNA((VLOOKUP($A92,HN!$A:$BZ,35,FALSE)/2),0)</f>
        <v>0</v>
      </c>
      <c r="FJ92" s="316">
        <f>_xlfn.IFNA((VLOOKUP($A92,HN!$A:$BS,15,FALSE)/12),0)+_xlfn.IFNA((VLOOKUP($A92,HN!$A:$CZ,36,FALSE)/2),0)</f>
        <v>0</v>
      </c>
      <c r="FK92" s="315">
        <f t="shared" si="103"/>
        <v>-2122.0374999999999</v>
      </c>
      <c r="FL92" s="315">
        <f t="shared" si="104"/>
        <v>-1907.9883333333335</v>
      </c>
      <c r="FM92" s="316"/>
      <c r="FN92" s="316">
        <f>_xlfn.IFNA(VLOOKUP($A92,'Cash Advances'!$A:$S,18,FALSE),0)</f>
        <v>0</v>
      </c>
      <c r="FO92" s="316">
        <f>_xlfn.IFNA(VLOOKUP(A92,'LA Deductions'!A:AZ,25,FALSE),0)/9</f>
        <v>0</v>
      </c>
      <c r="FP92" s="315">
        <f t="shared" si="113"/>
        <v>981034.21465820633</v>
      </c>
      <c r="FQ92" s="322">
        <f t="shared" si="105"/>
        <v>867811.99049153959</v>
      </c>
      <c r="FR92" s="322"/>
      <c r="FS92" s="323"/>
      <c r="FT92" s="323">
        <f>_xlfn.IFNA((VLOOKUP($A92,HN!$A:$K,8,FALSE)/12),0)+_xlfn.IFNA((VLOOKUP($A92,HN!$A:$AF,32,FALSE)*1/12),0)</f>
        <v>0</v>
      </c>
      <c r="FU92" s="323">
        <f>_xlfn.IFNA((VLOOKUP($A92,HN!$A:$BS,14,FALSE)/12),0)+_xlfn.IFNA((VLOOKUP($A92,HN!$A:$BS,34,FALSE)/3),0)</f>
        <v>0</v>
      </c>
      <c r="FV92" s="323">
        <f>_xlfn.IFNA(VLOOKUP($A92,'Post 16'!$A:$AV,32,FALSE),0)/8</f>
        <v>117252.25</v>
      </c>
      <c r="FW92" s="323"/>
      <c r="FX92" s="323">
        <f>_xlfn.IFNA((VLOOKUP($A92,HN!$A:$K,9,FALSE)/12),0)+_xlfn.IFNA((VLOOKUP($A92,HN!$A:$K,10,FALSE)/12),0)+_xlfn.IFNA((VLOOKUP($A92,HN!$A:$BZ,33,FALSE)/12),0)+_xlfn.IFNA((VLOOKUP($A92,HN!$A:$BZ,35,FALSE)/2),0)</f>
        <v>0</v>
      </c>
      <c r="FY92" s="323">
        <f>_xlfn.IFNA((VLOOKUP($A92,HN!$A:$BS,15,FALSE)/12),0)+_xlfn.IFNA((VLOOKUP($A92,HN!$A:$CZ,36,FALSE)/2),0)</f>
        <v>0</v>
      </c>
      <c r="FZ92" s="322">
        <f t="shared" si="106"/>
        <v>-2122.0374999999999</v>
      </c>
      <c r="GA92" s="322">
        <f t="shared" si="107"/>
        <v>-1907.9883333333335</v>
      </c>
      <c r="GB92" s="323"/>
      <c r="GC92" s="323"/>
      <c r="GD92" s="323">
        <f>_xlfn.IFNA(VLOOKUP(A92,'LA Deductions'!A:AZ,25,FALSE),0)/9</f>
        <v>0</v>
      </c>
      <c r="GE92" s="322">
        <f t="shared" si="114"/>
        <v>981034.21465820633</v>
      </c>
      <c r="GG92" s="146">
        <f t="shared" si="117"/>
        <v>10404874.985681806</v>
      </c>
      <c r="GH92" s="146">
        <f t="shared" si="117"/>
        <v>1384995</v>
      </c>
      <c r="GI92" s="146">
        <f t="shared" si="117"/>
        <v>0</v>
      </c>
      <c r="GJ92" s="146">
        <f t="shared" si="117"/>
        <v>-25464.449999999993</v>
      </c>
      <c r="GK92" s="146">
        <f t="shared" si="117"/>
        <v>-22895.860000000004</v>
      </c>
      <c r="GL92" s="146">
        <f t="shared" si="117"/>
        <v>-39285</v>
      </c>
      <c r="GN92" s="146">
        <f t="shared" si="118"/>
        <v>10404874.985681806</v>
      </c>
      <c r="GO92" s="146">
        <f t="shared" si="118"/>
        <v>1384995</v>
      </c>
      <c r="GP92" s="146">
        <f t="shared" si="118"/>
        <v>0</v>
      </c>
      <c r="GQ92" s="146">
        <f t="shared" si="118"/>
        <v>-25464.449999999993</v>
      </c>
      <c r="GR92" s="146">
        <f t="shared" si="118"/>
        <v>-22895.860000000004</v>
      </c>
      <c r="GS92" s="146">
        <f t="shared" si="118"/>
        <v>-39285</v>
      </c>
      <c r="GU92" s="146"/>
      <c r="GV92" s="57"/>
    </row>
    <row r="93" spans="1:204">
      <c r="A93" s="185">
        <v>2457</v>
      </c>
      <c r="B93" s="185">
        <v>103384</v>
      </c>
      <c r="C93" s="185" t="s">
        <v>208</v>
      </c>
      <c r="D93" s="2" t="s">
        <v>209</v>
      </c>
      <c r="E93" s="191" t="s">
        <v>32</v>
      </c>
      <c r="F93" s="191" t="s">
        <v>912</v>
      </c>
      <c r="H93" s="279">
        <f>_xlfn.IFNA(VLOOKUP($A93,ISB!$A$4:$BY$454,67,FALSE),0)</f>
        <v>2518091.9250295158</v>
      </c>
      <c r="I93" s="279">
        <f>_xlfn.IFNA(VLOOKUP($A93,ISB!$A$4:$BY$454,72,FALSE),0)</f>
        <v>-10849.279999999999</v>
      </c>
      <c r="J93" s="279">
        <f>-_xlfn.IFNA(VLOOKUP($A93,ISB!$A$4:$BY$454,76,FALSE),0)</f>
        <v>-31799.81</v>
      </c>
      <c r="K93" s="279">
        <f>_xlfn.IFNA(VLOOKUP($A93,ISB!$A$4:$BY$454,77,FALSE),0)</f>
        <v>2475442.8350295159</v>
      </c>
      <c r="M93" s="301">
        <f t="shared" si="72"/>
        <v>209840.99375245965</v>
      </c>
      <c r="N93" s="301">
        <f>VLOOKUP($A93,EY!$A:$H,8,FALSE)+(VLOOKUP($A93,EY!$A:$BS,17,FALSE)-S93)+VLOOKUP($A93,EY!$A:$BS,41,FALSE)</f>
        <v>45969.532631578957</v>
      </c>
      <c r="O93" s="302"/>
      <c r="P93" s="302">
        <f>_xlfn.IFNA((VLOOKUP($A93,HN!$A:$K,8,FALSE)/12),0)</f>
        <v>0</v>
      </c>
      <c r="Q93" s="302">
        <f>_xlfn.IFNA((VLOOKUP($A93,HN!$A:$BS,14,FALSE)/12),0)</f>
        <v>486.11111111111114</v>
      </c>
      <c r="R93" s="302">
        <f>_xlfn.IFNA(VLOOKUP($A93,'Post 16'!$A:$V,21,FALSE),0)/4</f>
        <v>0</v>
      </c>
      <c r="S93" s="302">
        <f>VLOOKUP($A93,EY!A:Q,15,FALSE)*80%</f>
        <v>0</v>
      </c>
      <c r="T93" s="302">
        <f>_xlfn.IFNA((VLOOKUP($A93,HN!$A:$K,9,FALSE)/12),0)+_xlfn.IFNA((VLOOKUP($A93,HN!$A:$K,10,FALSE)/12),0)</f>
        <v>0</v>
      </c>
      <c r="U93" s="302">
        <f>_xlfn.IFNA((VLOOKUP($A93,HN!$A:$BS,15,FALSE)/12),0)</f>
        <v>1612.9650000000001</v>
      </c>
      <c r="V93" s="301">
        <f t="shared" si="73"/>
        <v>-904.10666666666657</v>
      </c>
      <c r="W93" s="301">
        <f t="shared" si="74"/>
        <v>-2649.9841666666666</v>
      </c>
      <c r="X93" s="302"/>
      <c r="Y93" s="302">
        <f>_xlfn.IFNA(VLOOKUP($A93,'Cash Advances'!$A:$S,8,FALSE),0)</f>
        <v>0</v>
      </c>
      <c r="Z93" s="301">
        <f t="shared" si="67"/>
        <v>254355.51166181642</v>
      </c>
      <c r="AA93" s="315">
        <f t="shared" si="75"/>
        <v>209840.99375245965</v>
      </c>
      <c r="AB93" s="315"/>
      <c r="AC93" s="316"/>
      <c r="AD93" s="316">
        <f>_xlfn.IFNA((VLOOKUP($A93,HN!$A:$K,8,FALSE)/12),0)</f>
        <v>0</v>
      </c>
      <c r="AE93" s="316">
        <f>_xlfn.IFNA((VLOOKUP($A93,HN!$A:$BS,14,FALSE)/12),0)</f>
        <v>486.11111111111114</v>
      </c>
      <c r="AF93" s="316">
        <f>_xlfn.IFNA(VLOOKUP($A93,'Post 16'!$A:$V,21,FALSE),0)/4</f>
        <v>0</v>
      </c>
      <c r="AG93" s="316"/>
      <c r="AH93" s="316">
        <f>_xlfn.IFNA((VLOOKUP($A93,HN!$A:$K,9,FALSE)/12),0)+_xlfn.IFNA((VLOOKUP($A93,HN!$A:$K,10,FALSE)/12),0)</f>
        <v>0</v>
      </c>
      <c r="AI93" s="316">
        <f>_xlfn.IFNA((VLOOKUP($A93,HN!$A:$BS,15,FALSE)/12),0)</f>
        <v>1612.9650000000001</v>
      </c>
      <c r="AJ93" s="315">
        <f t="shared" si="76"/>
        <v>-904.10666666666657</v>
      </c>
      <c r="AK93" s="315">
        <f t="shared" si="77"/>
        <v>-2649.9841666666666</v>
      </c>
      <c r="AL93" s="316"/>
      <c r="AM93" s="316">
        <f>_xlfn.IFNA(VLOOKUP($A93,'Cash Advances'!$A:$S,9,FALSE),0)</f>
        <v>0</v>
      </c>
      <c r="AN93" s="315">
        <f t="shared" si="68"/>
        <v>208385.97903023745</v>
      </c>
      <c r="AO93" s="308">
        <f t="shared" si="78"/>
        <v>209840.99375245965</v>
      </c>
      <c r="AP93" s="308"/>
      <c r="AQ93" s="309"/>
      <c r="AR93" s="309">
        <f>_xlfn.IFNA((VLOOKUP($A93,HN!$A:$K,8,FALSE)/12),0)</f>
        <v>0</v>
      </c>
      <c r="AS93" s="309">
        <f>_xlfn.IFNA((VLOOKUP($A93,HN!$A:$BS,14,FALSE)/12),0)</f>
        <v>486.11111111111114</v>
      </c>
      <c r="AT93" s="309">
        <f>_xlfn.IFNA(VLOOKUP($A93,'Post 16'!$A:$V,21,FALSE),0)/4</f>
        <v>0</v>
      </c>
      <c r="AU93" s="309"/>
      <c r="AV93" s="309">
        <f>_xlfn.IFNA((VLOOKUP($A93,HN!$A:$K,9,FALSE)/12),0)+_xlfn.IFNA((VLOOKUP($A93,HN!$A:$K,10,FALSE)/12),0)+_xlfn.IFNA(VLOOKUP(A93,HN!A:V,19,FALSE),0)+_xlfn.IFNA(VLOOKUP(A93,HN!A:V,20,FALSE),0)+_xlfn.IFNA(VLOOKUP(A93,HN!A:V,21,FALSE),0)</f>
        <v>0</v>
      </c>
      <c r="AW93" s="309">
        <f>_xlfn.IFNA((VLOOKUP($A93,HN!$A:$BS,15,FALSE)/12),0)</f>
        <v>1612.9650000000001</v>
      </c>
      <c r="AX93" s="308">
        <f t="shared" si="79"/>
        <v>-904.10666666666657</v>
      </c>
      <c r="AY93" s="308">
        <f t="shared" si="80"/>
        <v>-2649.9841666666666</v>
      </c>
      <c r="AZ93" s="309"/>
      <c r="BA93" s="309">
        <f>_xlfn.IFNA(VLOOKUP($A93,'Cash Advances'!$A:$S,10,FALSE),0)</f>
        <v>0</v>
      </c>
      <c r="BB93" s="308">
        <f t="shared" si="69"/>
        <v>208385.97903023745</v>
      </c>
      <c r="BC93" s="330">
        <f t="shared" si="81"/>
        <v>209840.99375245965</v>
      </c>
      <c r="BD93" s="330"/>
      <c r="BE93" s="331"/>
      <c r="BF93" s="331">
        <f>_xlfn.IFNA((VLOOKUP($A93,HN!$A:$K,8,FALSE)/12),0)</f>
        <v>0</v>
      </c>
      <c r="BG93" s="331">
        <f>_xlfn.IFNA((VLOOKUP($A93,HN!$A:$BS,14,FALSE)/12),0)</f>
        <v>486.11111111111114</v>
      </c>
      <c r="BH93" s="331">
        <f>_xlfn.IFNA(VLOOKUP($A93,'Post 16'!$A:$V,21,FALSE),0)/4</f>
        <v>0</v>
      </c>
      <c r="BI93" s="331"/>
      <c r="BJ93" s="331">
        <f>_xlfn.IFNA((VLOOKUP($A93,HN!$A:$K,9,FALSE)/12),0)+_xlfn.IFNA((VLOOKUP($A93,HN!$A:$K,10,FALSE)/12),0)</f>
        <v>0</v>
      </c>
      <c r="BK93" s="331">
        <f>_xlfn.IFNA((VLOOKUP($A93,HN!$A:$BS,15,FALSE)/12),0)</f>
        <v>1612.9650000000001</v>
      </c>
      <c r="BL93" s="330">
        <f t="shared" si="82"/>
        <v>-904.10666666666657</v>
      </c>
      <c r="BM93" s="330">
        <f t="shared" si="83"/>
        <v>-2649.9841666666666</v>
      </c>
      <c r="BN93" s="331"/>
      <c r="BO93" s="331">
        <f>_xlfn.IFNA(VLOOKUP(A93,'Cash Advances'!A:K,11,FALSE),0)</f>
        <v>0</v>
      </c>
      <c r="BP93" s="330">
        <f t="shared" si="70"/>
        <v>208385.97903023745</v>
      </c>
      <c r="BQ93" s="322">
        <f t="shared" si="84"/>
        <v>209840.99375245965</v>
      </c>
      <c r="BR93" s="322"/>
      <c r="BS93" s="323"/>
      <c r="BT93" s="323">
        <f>_xlfn.IFNA((VLOOKUP($A93,HN!$A:$K,8,FALSE)/12),0)</f>
        <v>0</v>
      </c>
      <c r="BU93" s="323">
        <f>_xlfn.IFNA((VLOOKUP($A93,HN!$A:$BS,14,FALSE)/12),0)</f>
        <v>486.11111111111114</v>
      </c>
      <c r="BV93" s="323">
        <f>(_xlfn.IFNA(VLOOKUP($A93,'Post 16'!$A:$AV,32,FALSE),0)/8)+_xlfn.IFNA(VLOOKUP($A93,'Post 16'!$A:$AR,40,FALSE),0)</f>
        <v>0</v>
      </c>
      <c r="BW93" s="323"/>
      <c r="BX93" s="323">
        <f>_xlfn.IFNA((VLOOKUP($A93,HN!$A:$K,9,FALSE)/12),0)+_xlfn.IFNA((VLOOKUP($A93,HN!$A:$K,10,FALSE)/12),0)</f>
        <v>0</v>
      </c>
      <c r="BY93" s="323">
        <f>_xlfn.IFNA((VLOOKUP($A93,HN!$A:$BS,15,FALSE)/12),0)</f>
        <v>1612.9650000000001</v>
      </c>
      <c r="BZ93" s="322">
        <f t="shared" si="85"/>
        <v>-904.10666666666657</v>
      </c>
      <c r="CA93" s="322">
        <f t="shared" si="86"/>
        <v>-2649.9841666666666</v>
      </c>
      <c r="CB93" s="323"/>
      <c r="CC93" s="323"/>
      <c r="CD93" s="322">
        <f t="shared" si="71"/>
        <v>208385.97903023745</v>
      </c>
      <c r="CE93" s="357">
        <f t="shared" si="87"/>
        <v>209840.99375245965</v>
      </c>
      <c r="CF93" s="357">
        <f>(VLOOKUP($A93,EY!$A:$BS,26,FALSE)-(VLOOKUP($A93,EY!A:CR,24,FALSE)*80%))+VLOOKUP($A93,EY!$A:$BS,42,FALSE)+(VLOOKUP($A93,EY!A:CC,74,FALSE)-VLOOKUP($A93,EY!A:CC,72,FALSE))</f>
        <v>10773.838947368416</v>
      </c>
      <c r="CG93" s="358"/>
      <c r="CH93" s="358">
        <f>_xlfn.IFNA((VLOOKUP($A93,HN!$A:$K,8,FALSE)/12),0)</f>
        <v>0</v>
      </c>
      <c r="CI93" s="358">
        <f>_xlfn.IFNA((VLOOKUP($A93,HN!$A:$BS,14,FALSE)/12),0)</f>
        <v>486.11111111111114</v>
      </c>
      <c r="CJ93" s="358">
        <f>(_xlfn.IFNA(VLOOKUP($A93,'Post 16'!$A:$AV,32,FALSE),0)/8)</f>
        <v>0</v>
      </c>
      <c r="CK93" s="358">
        <f>(VLOOKUP($A93,EY!A:CR,24,FALSE)*80%)+VLOOKUP($A93,EY!A:CC,72,FALSE)</f>
        <v>0</v>
      </c>
      <c r="CL93" s="358">
        <f>_xlfn.IFNA((VLOOKUP($A93,HN!$A:$K,9,FALSE)/12),0)+_xlfn.IFNA((VLOOKUP($A93,HN!$A:$K,10,FALSE)/12),0)</f>
        <v>0</v>
      </c>
      <c r="CM93" s="358">
        <f>_xlfn.IFNA((VLOOKUP($A93,HN!$A:$BS,15,FALSE)/12),0)</f>
        <v>1612.9650000000001</v>
      </c>
      <c r="CN93" s="357">
        <f t="shared" si="88"/>
        <v>-904.10666666666657</v>
      </c>
      <c r="CO93" s="357">
        <f t="shared" si="89"/>
        <v>-2649.9841666666666</v>
      </c>
      <c r="CP93" s="358">
        <f>_xlfn.IFNA(VLOOKUP(A93,'LA Deductions'!A:W,23,FALSE),0)</f>
        <v>-9471</v>
      </c>
      <c r="CQ93" s="358">
        <f>_xlfn.IFNA(VLOOKUP($A93,'Cash Advances'!$A:$S,13,FALSE),0)</f>
        <v>0</v>
      </c>
      <c r="CR93" s="358">
        <f>_xlfn.IFNA(VLOOKUP(A93,'LA Deductions'!A:AZ,25,FALSE),0)/9*3</f>
        <v>0</v>
      </c>
      <c r="CS93" s="357">
        <f t="shared" si="108"/>
        <v>209688.81797760585</v>
      </c>
      <c r="CT93" s="337">
        <f t="shared" si="90"/>
        <v>209840.99375245965</v>
      </c>
      <c r="CU93" s="337"/>
      <c r="CV93" s="338">
        <f>_xlfn.IFNA(VLOOKUP(A93,'LA Deductions'!$A$6:$AN$207,34,FALSE),0)</f>
        <v>-3832.5414000000001</v>
      </c>
      <c r="CW93" s="338">
        <f>_xlfn.IFNA((VLOOKUP($A93,HN!$A:$K,8,FALSE)/12),0)</f>
        <v>0</v>
      </c>
      <c r="CX93" s="338">
        <f>_xlfn.IFNA((VLOOKUP($A93,HN!$A:$BS,14,FALSE)/12),0)</f>
        <v>486.11111111111114</v>
      </c>
      <c r="CY93" s="338">
        <f>_xlfn.IFNA(VLOOKUP($A93,'Post 16'!$A:$AV,32,FALSE),0)/8</f>
        <v>0</v>
      </c>
      <c r="CZ93" s="338"/>
      <c r="DA93" s="338">
        <f>_xlfn.IFNA((VLOOKUP($A93,HN!$A:$K,9,FALSE)/12),0)+_xlfn.IFNA((VLOOKUP($A93,HN!$A:$K,10,FALSE)/12),0)</f>
        <v>0</v>
      </c>
      <c r="DB93" s="338">
        <f>_xlfn.IFNA((VLOOKUP($A93,HN!$A:$BS,15,FALSE)/12),0)</f>
        <v>1612.9650000000001</v>
      </c>
      <c r="DC93" s="337">
        <f t="shared" si="91"/>
        <v>-904.10666666666657</v>
      </c>
      <c r="DD93" s="337">
        <f t="shared" si="92"/>
        <v>-2649.9841666666666</v>
      </c>
      <c r="DE93" s="338"/>
      <c r="DF93" s="338">
        <f>_xlfn.IFNA(VLOOKUP($A93,'Cash Advances'!$A:$S,14,FALSE),0)</f>
        <v>0</v>
      </c>
      <c r="DG93" s="338">
        <f>(_xlfn.IFNA(VLOOKUP(A93,'LA Deductions'!A:AZ,25,FALSE),0)/9)+(_xlfn.IFNA(VLOOKUP(A93,'LA Deductions'!A:AZ,26,FALSE),0))</f>
        <v>0</v>
      </c>
      <c r="DH93" s="337">
        <f t="shared" si="109"/>
        <v>204553.43763023746</v>
      </c>
      <c r="DI93" s="330">
        <f t="shared" si="93"/>
        <v>209840.99375245965</v>
      </c>
      <c r="DJ93" s="330"/>
      <c r="DK93" s="331"/>
      <c r="DL93" s="331">
        <f>_xlfn.IFNA((VLOOKUP($A93,HN!$A:$K,8,FALSE)/12),0)+_xlfn.IFNA((VLOOKUP($A93,HN!$A:$AF,32,FALSE)*8/12),0)</f>
        <v>0</v>
      </c>
      <c r="DM93" s="331">
        <f>_xlfn.IFNA((VLOOKUP($A93,HN!$A:$BS,14,FALSE)/12),0)+_xlfn.IFNA(VLOOKUP($A93,HN!$A:$BS,31,FALSE),0)</f>
        <v>486.11111111111114</v>
      </c>
      <c r="DN93" s="331">
        <f>_xlfn.IFNA(VLOOKUP($A93,'Post 16'!$A:$AV,32,FALSE),0)/8</f>
        <v>0</v>
      </c>
      <c r="DO93" s="331"/>
      <c r="DP93" s="331">
        <f>_xlfn.IFNA((VLOOKUP($A93,HN!$A:$K,9,FALSE)/12),0)+_xlfn.IFNA((VLOOKUP($A93,HN!$A:$K,10,FALSE)/12),0)+_xlfn.IFNA((VLOOKUP($A93,HN!$A:$BZ,33,FALSE)*8/12),0)</f>
        <v>0</v>
      </c>
      <c r="DQ93" s="331">
        <f>_xlfn.IFNA((VLOOKUP($A93,HN!$A:$BS,15,FALSE)/12),0)</f>
        <v>1612.9650000000001</v>
      </c>
      <c r="DR93" s="330">
        <f t="shared" si="94"/>
        <v>-904.10666666666657</v>
      </c>
      <c r="DS93" s="330">
        <f t="shared" si="95"/>
        <v>-2649.9841666666666</v>
      </c>
      <c r="DT93" s="331"/>
      <c r="DU93" s="331"/>
      <c r="DV93" s="331">
        <f>(_xlfn.IFNA(VLOOKUP(A93,'LA Deductions'!A:AZ,25,FALSE),0)/9)+_xlfn.IFNA(VLOOKUP(A93,'LA Deductions'!A:AZ,27,FALSE),0)</f>
        <v>0</v>
      </c>
      <c r="DW93" s="330">
        <f t="shared" si="110"/>
        <v>208385.97903023745</v>
      </c>
      <c r="DX93" s="344">
        <f t="shared" si="96"/>
        <v>209840.99375245965</v>
      </c>
      <c r="DY93" s="344"/>
      <c r="DZ93" s="345"/>
      <c r="EA93" s="345">
        <f>_xlfn.IFNA((VLOOKUP($A93,HN!$A:$K,8,FALSE)/12),0)+_xlfn.IFNA((VLOOKUP($A93,HN!$A:$AF,32,FALSE)*1/12),0)</f>
        <v>0</v>
      </c>
      <c r="EB93" s="345">
        <f>_xlfn.IFNA((VLOOKUP($A93,HN!$A:$BS,14,FALSE)/12),0)</f>
        <v>486.11111111111114</v>
      </c>
      <c r="EC93" s="345">
        <f>_xlfn.IFNA(VLOOKUP($A93,'Post 16'!$A:$AV,32,FALSE),0)/8</f>
        <v>0</v>
      </c>
      <c r="ED93" s="345"/>
      <c r="EE93" s="345">
        <f>_xlfn.IFNA((VLOOKUP($A93,HN!$A:$K,9,FALSE)/12),0)+_xlfn.IFNA((VLOOKUP($A93,HN!$A:$K,10,FALSE)/12),0)+_xlfn.IFNA((VLOOKUP($A93,HN!$A:$BZ,33,FALSE)/12),0)</f>
        <v>0</v>
      </c>
      <c r="EF93" s="345">
        <f>_xlfn.IFNA((VLOOKUP($A93,HN!$A:$BS,15,FALSE)/12),0)</f>
        <v>1612.9650000000001</v>
      </c>
      <c r="EG93" s="344">
        <f t="shared" si="97"/>
        <v>-904.10666666666657</v>
      </c>
      <c r="EH93" s="344">
        <f t="shared" si="98"/>
        <v>-2649.9841666666666</v>
      </c>
      <c r="EI93" s="345"/>
      <c r="EJ93" s="345">
        <f>_xlfn.IFNA(VLOOKUP(A93,'Cash Advances'!A:P,16,FALSE),0)</f>
        <v>0</v>
      </c>
      <c r="EK93" s="345">
        <f>_xlfn.IFNA(VLOOKUP(A93,'LA Deductions'!A:AZ,25,FALSE),0)/9</f>
        <v>0</v>
      </c>
      <c r="EL93" s="344">
        <f t="shared" si="111"/>
        <v>208385.97903023745</v>
      </c>
      <c r="EM93" s="308">
        <f t="shared" si="99"/>
        <v>209840.99375245965</v>
      </c>
      <c r="EN93" s="308">
        <f>((VLOOKUP($A93,EY!$A:$BS,35,FALSE)-(VLOOKUP($A93,EY!$A:$BS,33,FALSE)*80%))+VLOOKUP($A93,EY!$A:$BS,43,FALSE))+(VLOOKUP(A93,EY!A:DF,110,FALSE)-VLOOKUP(A93,EY!A:DD,108,FALSE))+(VLOOKUP(A93,EY!A:CE,83,FALSE)-VLOOKUP(A93,EY!A:CC,81,FALSE))</f>
        <v>44074.969972299179</v>
      </c>
      <c r="EO93" s="309"/>
      <c r="EP93" s="309">
        <f>_xlfn.IFNA((VLOOKUP($A93,HN!$A:$K,8,FALSE)/12),0)+_xlfn.IFNA((VLOOKUP($A93,HN!$A:$AF,32,FALSE)*1/12),0)</f>
        <v>0</v>
      </c>
      <c r="EQ93" s="309">
        <f>_xlfn.IFNA((VLOOKUP($A93,HN!$A:$BS,14,FALSE)/12),0)+_xlfn.IFNA((VLOOKUP($A93,HN!$A:$BS,34,FALSE)/3),0)</f>
        <v>486.11111111111114</v>
      </c>
      <c r="ER93" s="309">
        <f>_xlfn.IFNA(VLOOKUP($A93,'Post 16'!$A:$AV,32,FALSE),0)/8</f>
        <v>0</v>
      </c>
      <c r="ES93" s="309">
        <f>((VLOOKUP($A93,EY!A:EV,33,FALSE)*80%))+VLOOKUP(A93,EY!A:DD,108,FALSE)+VLOOKUP(A93,EY!A:CC,81,FALSE)</f>
        <v>0</v>
      </c>
      <c r="ET93" s="309">
        <f>_xlfn.IFNA((VLOOKUP($A93,HN!$A:$K,9,FALSE)/12),0)+_xlfn.IFNA((VLOOKUP($A93,HN!$A:$K,10,FALSE)/12),0)+_xlfn.IFNA((VLOOKUP($A93,HN!$A:$BZ,33,FALSE)/12),0)</f>
        <v>0</v>
      </c>
      <c r="EU93" s="309">
        <f>_xlfn.IFNA((VLOOKUP($A93,HN!$A:$BS,15,FALSE)/12),0)</f>
        <v>1612.9650000000001</v>
      </c>
      <c r="EV93" s="308">
        <f t="shared" si="100"/>
        <v>-904.10666666666657</v>
      </c>
      <c r="EW93" s="308">
        <f t="shared" si="101"/>
        <v>-2649.9841666666666</v>
      </c>
      <c r="EX93" s="309"/>
      <c r="EY93" s="309">
        <f>_xlfn.IFNA(VLOOKUP($A93,'Cash Advances'!$A:$S,17,FALSE),0)</f>
        <v>0</v>
      </c>
      <c r="EZ93" s="309">
        <f>_xlfn.IFNA(VLOOKUP(A93,'LA Deductions'!A:AZ,25,FALSE),0)/9</f>
        <v>0</v>
      </c>
      <c r="FA93" s="308">
        <f t="shared" si="112"/>
        <v>252460.94900253662</v>
      </c>
      <c r="FB93" s="315">
        <f t="shared" si="102"/>
        <v>209840.99375245965</v>
      </c>
      <c r="FC93" s="315"/>
      <c r="FD93" s="316"/>
      <c r="FE93" s="316">
        <f>_xlfn.IFNA((VLOOKUP($A93,HN!$A:$K,8,FALSE)/12),0)+_xlfn.IFNA((VLOOKUP($A93,HN!$A:$AF,32,FALSE)*1/12),0)</f>
        <v>0</v>
      </c>
      <c r="FF93" s="316">
        <f>_xlfn.IFNA((VLOOKUP($A93,HN!$A:$BS,14,FALSE)/12),0)+_xlfn.IFNA((VLOOKUP($A93,HN!$A:$BS,34,FALSE)/3),0)</f>
        <v>486.11111111111114</v>
      </c>
      <c r="FG93" s="316">
        <f>_xlfn.IFNA(VLOOKUP($A93,'Post 16'!$A:$AV,32,FALSE),0)/8</f>
        <v>0</v>
      </c>
      <c r="FH93" s="316"/>
      <c r="FI93" s="316">
        <f>_xlfn.IFNA((VLOOKUP($A93,HN!$A:$K,9,FALSE)/12),0)+_xlfn.IFNA((VLOOKUP($A93,HN!$A:$K,10,FALSE)/12),0)+_xlfn.IFNA((VLOOKUP($A93,HN!$A:$BZ,33,FALSE)/12),0)+_xlfn.IFNA((VLOOKUP($A93,HN!$A:$BZ,35,FALSE)/2),0)</f>
        <v>0</v>
      </c>
      <c r="FJ93" s="316">
        <f>_xlfn.IFNA((VLOOKUP($A93,HN!$A:$BS,15,FALSE)/12),0)+_xlfn.IFNA((VLOOKUP($A93,HN!$A:$CZ,36,FALSE)/2),0)</f>
        <v>-3970.375</v>
      </c>
      <c r="FK93" s="315">
        <f t="shared" si="103"/>
        <v>-904.10666666666657</v>
      </c>
      <c r="FL93" s="315">
        <f t="shared" si="104"/>
        <v>-2649.9841666666666</v>
      </c>
      <c r="FM93" s="316"/>
      <c r="FN93" s="316">
        <f>_xlfn.IFNA(VLOOKUP($A93,'Cash Advances'!$A:$S,18,FALSE),0)</f>
        <v>0</v>
      </c>
      <c r="FO93" s="316">
        <f>_xlfn.IFNA(VLOOKUP(A93,'LA Deductions'!A:AZ,25,FALSE),0)/9</f>
        <v>0</v>
      </c>
      <c r="FP93" s="315">
        <f t="shared" si="113"/>
        <v>202802.63903023745</v>
      </c>
      <c r="FQ93" s="322">
        <f t="shared" si="105"/>
        <v>209840.99375245965</v>
      </c>
      <c r="FR93" s="322"/>
      <c r="FS93" s="323"/>
      <c r="FT93" s="323">
        <f>_xlfn.IFNA((VLOOKUP($A93,HN!$A:$K,8,FALSE)/12),0)+_xlfn.IFNA((VLOOKUP($A93,HN!$A:$AF,32,FALSE)*1/12),0)</f>
        <v>0</v>
      </c>
      <c r="FU93" s="323">
        <f>_xlfn.IFNA((VLOOKUP($A93,HN!$A:$BS,14,FALSE)/12),0)+_xlfn.IFNA((VLOOKUP($A93,HN!$A:$BS,34,FALSE)/3),0)</f>
        <v>486.11111111111114</v>
      </c>
      <c r="FV93" s="323">
        <f>_xlfn.IFNA(VLOOKUP($A93,'Post 16'!$A:$AV,32,FALSE),0)/8</f>
        <v>0</v>
      </c>
      <c r="FW93" s="323"/>
      <c r="FX93" s="323">
        <f>_xlfn.IFNA((VLOOKUP($A93,HN!$A:$K,9,FALSE)/12),0)+_xlfn.IFNA((VLOOKUP($A93,HN!$A:$K,10,FALSE)/12),0)+_xlfn.IFNA((VLOOKUP($A93,HN!$A:$BZ,33,FALSE)/12),0)+_xlfn.IFNA((VLOOKUP($A93,HN!$A:$BZ,35,FALSE)/2),0)</f>
        <v>0</v>
      </c>
      <c r="FY93" s="323">
        <f>_xlfn.IFNA((VLOOKUP($A93,HN!$A:$BS,15,FALSE)/12),0)+_xlfn.IFNA((VLOOKUP($A93,HN!$A:$CZ,36,FALSE)/2),0)</f>
        <v>-3970.375</v>
      </c>
      <c r="FZ93" s="322">
        <f t="shared" si="106"/>
        <v>-904.10666666666657</v>
      </c>
      <c r="GA93" s="322">
        <f t="shared" si="107"/>
        <v>-2649.9841666666666</v>
      </c>
      <c r="GB93" s="323"/>
      <c r="GC93" s="323"/>
      <c r="GD93" s="323">
        <f>_xlfn.IFNA(VLOOKUP(A93,'LA Deductions'!A:AZ,25,FALSE),0)/9</f>
        <v>0</v>
      </c>
      <c r="GE93" s="322">
        <f t="shared" si="114"/>
        <v>202802.63903023745</v>
      </c>
      <c r="GG93" s="146">
        <f t="shared" si="117"/>
        <v>2620911.058514094</v>
      </c>
      <c r="GH93" s="146">
        <f t="shared" si="117"/>
        <v>0</v>
      </c>
      <c r="GI93" s="146">
        <f t="shared" si="117"/>
        <v>8188.9000000000015</v>
      </c>
      <c r="GJ93" s="146">
        <f t="shared" si="117"/>
        <v>-10849.279999999999</v>
      </c>
      <c r="GK93" s="146">
        <f t="shared" si="117"/>
        <v>-31799.809999999994</v>
      </c>
      <c r="GL93" s="146">
        <f t="shared" si="117"/>
        <v>-9471</v>
      </c>
      <c r="GN93" s="146">
        <f t="shared" si="118"/>
        <v>2620911.058514094</v>
      </c>
      <c r="GO93" s="146">
        <f t="shared" si="118"/>
        <v>0</v>
      </c>
      <c r="GP93" s="146">
        <f t="shared" si="118"/>
        <v>8188.9000000000015</v>
      </c>
      <c r="GQ93" s="146">
        <f t="shared" si="118"/>
        <v>-10849.279999999999</v>
      </c>
      <c r="GR93" s="146">
        <f t="shared" si="118"/>
        <v>-31799.809999999994</v>
      </c>
      <c r="GS93" s="146">
        <f t="shared" si="118"/>
        <v>-9471</v>
      </c>
      <c r="GU93" s="146"/>
      <c r="GV93" s="57"/>
    </row>
    <row r="94" spans="1:204">
      <c r="A94" s="185">
        <v>2142</v>
      </c>
      <c r="B94" s="185">
        <v>103237</v>
      </c>
      <c r="C94" s="185" t="s">
        <v>210</v>
      </c>
      <c r="D94" s="2" t="s">
        <v>211</v>
      </c>
      <c r="E94" s="191" t="s">
        <v>32</v>
      </c>
      <c r="F94" s="191" t="s">
        <v>912</v>
      </c>
      <c r="H94" s="279">
        <f>_xlfn.IFNA(VLOOKUP($A94,ISB!$A$4:$BY$454,67,FALSE),0)</f>
        <v>2653567.6910690647</v>
      </c>
      <c r="I94" s="279">
        <f>_xlfn.IFNA(VLOOKUP($A94,ISB!$A$4:$BY$454,72,FALSE),0)</f>
        <v>-10797.119999999999</v>
      </c>
      <c r="J94" s="279">
        <f>-_xlfn.IFNA(VLOOKUP($A94,ISB!$A$4:$BY$454,76,FALSE),0)</f>
        <v>-23115.16</v>
      </c>
      <c r="K94" s="279">
        <f>_xlfn.IFNA(VLOOKUP($A94,ISB!$A$4:$BY$454,77,FALSE),0)</f>
        <v>2619655.4110690644</v>
      </c>
      <c r="M94" s="301">
        <f t="shared" si="72"/>
        <v>221130.64092242206</v>
      </c>
      <c r="N94" s="301">
        <f>VLOOKUP($A94,EY!$A:$H,8,FALSE)+(VLOOKUP($A94,EY!$A:$BS,17,FALSE)-S94)+VLOOKUP($A94,EY!$A:$BS,41,FALSE)</f>
        <v>23233.08</v>
      </c>
      <c r="O94" s="302"/>
      <c r="P94" s="302">
        <f>_xlfn.IFNA((VLOOKUP($A94,HN!$A:$K,8,FALSE)/12),0)</f>
        <v>0</v>
      </c>
      <c r="Q94" s="302">
        <f>_xlfn.IFNA((VLOOKUP($A94,HN!$A:$BS,14,FALSE)/12),0)</f>
        <v>0</v>
      </c>
      <c r="R94" s="302">
        <f>_xlfn.IFNA(VLOOKUP($A94,'Post 16'!$A:$V,21,FALSE),0)/4</f>
        <v>0</v>
      </c>
      <c r="S94" s="302">
        <f>VLOOKUP($A94,EY!A:Q,15,FALSE)*80%</f>
        <v>0</v>
      </c>
      <c r="T94" s="302">
        <f>_xlfn.IFNA((VLOOKUP($A94,HN!$A:$K,9,FALSE)/12),0)+_xlfn.IFNA((VLOOKUP($A94,HN!$A:$K,10,FALSE)/12),0)</f>
        <v>0</v>
      </c>
      <c r="U94" s="302">
        <f>_xlfn.IFNA((VLOOKUP($A94,HN!$A:$BS,15,FALSE)/12),0)</f>
        <v>0</v>
      </c>
      <c r="V94" s="301">
        <f t="shared" si="73"/>
        <v>-899.75999999999988</v>
      </c>
      <c r="W94" s="301">
        <f t="shared" si="74"/>
        <v>-1926.2633333333333</v>
      </c>
      <c r="X94" s="302"/>
      <c r="Y94" s="302">
        <f>_xlfn.IFNA(VLOOKUP($A94,'Cash Advances'!$A:$S,8,FALSE),0)</f>
        <v>0</v>
      </c>
      <c r="Z94" s="301">
        <f t="shared" si="67"/>
        <v>241537.69758908873</v>
      </c>
      <c r="AA94" s="315">
        <f t="shared" si="75"/>
        <v>221130.64092242206</v>
      </c>
      <c r="AB94" s="315"/>
      <c r="AC94" s="316"/>
      <c r="AD94" s="316">
        <f>_xlfn.IFNA((VLOOKUP($A94,HN!$A:$K,8,FALSE)/12),0)</f>
        <v>0</v>
      </c>
      <c r="AE94" s="316">
        <f>_xlfn.IFNA((VLOOKUP($A94,HN!$A:$BS,14,FALSE)/12),0)</f>
        <v>0</v>
      </c>
      <c r="AF94" s="316">
        <f>_xlfn.IFNA(VLOOKUP($A94,'Post 16'!$A:$V,21,FALSE),0)/4</f>
        <v>0</v>
      </c>
      <c r="AG94" s="316"/>
      <c r="AH94" s="316">
        <f>_xlfn.IFNA((VLOOKUP($A94,HN!$A:$K,9,FALSE)/12),0)+_xlfn.IFNA((VLOOKUP($A94,HN!$A:$K,10,FALSE)/12),0)</f>
        <v>0</v>
      </c>
      <c r="AI94" s="316">
        <f>_xlfn.IFNA((VLOOKUP($A94,HN!$A:$BS,15,FALSE)/12),0)</f>
        <v>0</v>
      </c>
      <c r="AJ94" s="315">
        <f t="shared" si="76"/>
        <v>-899.75999999999988</v>
      </c>
      <c r="AK94" s="315">
        <f t="shared" si="77"/>
        <v>-1926.2633333333333</v>
      </c>
      <c r="AL94" s="316"/>
      <c r="AM94" s="316">
        <f>_xlfn.IFNA(VLOOKUP($A94,'Cash Advances'!$A:$S,9,FALSE),0)</f>
        <v>0</v>
      </c>
      <c r="AN94" s="315">
        <f t="shared" si="68"/>
        <v>218304.61758908871</v>
      </c>
      <c r="AO94" s="308">
        <f t="shared" si="78"/>
        <v>221130.64092242206</v>
      </c>
      <c r="AP94" s="308"/>
      <c r="AQ94" s="309"/>
      <c r="AR94" s="309">
        <f>_xlfn.IFNA((VLOOKUP($A94,HN!$A:$K,8,FALSE)/12),0)</f>
        <v>0</v>
      </c>
      <c r="AS94" s="309">
        <f>_xlfn.IFNA((VLOOKUP($A94,HN!$A:$BS,14,FALSE)/12),0)</f>
        <v>0</v>
      </c>
      <c r="AT94" s="309">
        <f>_xlfn.IFNA(VLOOKUP($A94,'Post 16'!$A:$V,21,FALSE),0)/4</f>
        <v>0</v>
      </c>
      <c r="AU94" s="309"/>
      <c r="AV94" s="309">
        <f>_xlfn.IFNA((VLOOKUP($A94,HN!$A:$K,9,FALSE)/12),0)+_xlfn.IFNA((VLOOKUP($A94,HN!$A:$K,10,FALSE)/12),0)+_xlfn.IFNA(VLOOKUP(A94,HN!A:V,19,FALSE),0)+_xlfn.IFNA(VLOOKUP(A94,HN!A:V,20,FALSE),0)+_xlfn.IFNA(VLOOKUP(A94,HN!A:V,21,FALSE),0)</f>
        <v>0</v>
      </c>
      <c r="AW94" s="309">
        <f>_xlfn.IFNA((VLOOKUP($A94,HN!$A:$BS,15,FALSE)/12),0)</f>
        <v>0</v>
      </c>
      <c r="AX94" s="308">
        <f t="shared" si="79"/>
        <v>-899.75999999999988</v>
      </c>
      <c r="AY94" s="308">
        <f t="shared" si="80"/>
        <v>-1926.2633333333333</v>
      </c>
      <c r="AZ94" s="309"/>
      <c r="BA94" s="309">
        <f>_xlfn.IFNA(VLOOKUP($A94,'Cash Advances'!$A:$S,10,FALSE),0)</f>
        <v>0</v>
      </c>
      <c r="BB94" s="308">
        <f t="shared" si="69"/>
        <v>218304.61758908871</v>
      </c>
      <c r="BC94" s="330">
        <f t="shared" si="81"/>
        <v>221130.64092242206</v>
      </c>
      <c r="BD94" s="330"/>
      <c r="BE94" s="331"/>
      <c r="BF94" s="331">
        <f>_xlfn.IFNA((VLOOKUP($A94,HN!$A:$K,8,FALSE)/12),0)</f>
        <v>0</v>
      </c>
      <c r="BG94" s="331">
        <f>_xlfn.IFNA((VLOOKUP($A94,HN!$A:$BS,14,FALSE)/12),0)</f>
        <v>0</v>
      </c>
      <c r="BH94" s="331">
        <f>_xlfn.IFNA(VLOOKUP($A94,'Post 16'!$A:$V,21,FALSE),0)/4</f>
        <v>0</v>
      </c>
      <c r="BI94" s="331"/>
      <c r="BJ94" s="331">
        <f>_xlfn.IFNA((VLOOKUP($A94,HN!$A:$K,9,FALSE)/12),0)+_xlfn.IFNA((VLOOKUP($A94,HN!$A:$K,10,FALSE)/12),0)</f>
        <v>0</v>
      </c>
      <c r="BK94" s="331">
        <f>_xlfn.IFNA((VLOOKUP($A94,HN!$A:$BS,15,FALSE)/12),0)</f>
        <v>0</v>
      </c>
      <c r="BL94" s="330">
        <f t="shared" si="82"/>
        <v>-899.75999999999988</v>
      </c>
      <c r="BM94" s="330">
        <f t="shared" si="83"/>
        <v>-1926.2633333333333</v>
      </c>
      <c r="BN94" s="331"/>
      <c r="BO94" s="331">
        <f>_xlfn.IFNA(VLOOKUP(A94,'Cash Advances'!A:K,11,FALSE),0)</f>
        <v>0</v>
      </c>
      <c r="BP94" s="330">
        <f t="shared" si="70"/>
        <v>218304.61758908871</v>
      </c>
      <c r="BQ94" s="322">
        <f t="shared" si="84"/>
        <v>221130.64092242206</v>
      </c>
      <c r="BR94" s="322"/>
      <c r="BS94" s="323"/>
      <c r="BT94" s="323">
        <f>_xlfn.IFNA((VLOOKUP($A94,HN!$A:$K,8,FALSE)/12),0)</f>
        <v>0</v>
      </c>
      <c r="BU94" s="323">
        <f>_xlfn.IFNA((VLOOKUP($A94,HN!$A:$BS,14,FALSE)/12),0)</f>
        <v>0</v>
      </c>
      <c r="BV94" s="323">
        <f>(_xlfn.IFNA(VLOOKUP($A94,'Post 16'!$A:$AV,32,FALSE),0)/8)+_xlfn.IFNA(VLOOKUP($A94,'Post 16'!$A:$AR,40,FALSE),0)</f>
        <v>0</v>
      </c>
      <c r="BW94" s="323"/>
      <c r="BX94" s="323">
        <f>_xlfn.IFNA((VLOOKUP($A94,HN!$A:$K,9,FALSE)/12),0)+_xlfn.IFNA((VLOOKUP($A94,HN!$A:$K,10,FALSE)/12),0)</f>
        <v>0</v>
      </c>
      <c r="BY94" s="323">
        <f>_xlfn.IFNA((VLOOKUP($A94,HN!$A:$BS,15,FALSE)/12),0)</f>
        <v>0</v>
      </c>
      <c r="BZ94" s="322">
        <f t="shared" si="85"/>
        <v>-899.75999999999988</v>
      </c>
      <c r="CA94" s="322">
        <f t="shared" si="86"/>
        <v>-1926.2633333333333</v>
      </c>
      <c r="CB94" s="323"/>
      <c r="CC94" s="323"/>
      <c r="CD94" s="322">
        <f t="shared" si="71"/>
        <v>218304.61758908871</v>
      </c>
      <c r="CE94" s="357">
        <f t="shared" si="87"/>
        <v>221130.64092242206</v>
      </c>
      <c r="CF94" s="357">
        <f>(VLOOKUP($A94,EY!$A:$BS,26,FALSE)-(VLOOKUP($A94,EY!A:CR,24,FALSE)*80%))+VLOOKUP($A94,EY!$A:$BS,42,FALSE)+(VLOOKUP($A94,EY!A:CC,74,FALSE)-VLOOKUP($A94,EY!A:CC,72,FALSE))</f>
        <v>37617.38842105263</v>
      </c>
      <c r="CG94" s="358"/>
      <c r="CH94" s="358">
        <f>_xlfn.IFNA((VLOOKUP($A94,HN!$A:$K,8,FALSE)/12),0)</f>
        <v>0</v>
      </c>
      <c r="CI94" s="358">
        <f>_xlfn.IFNA((VLOOKUP($A94,HN!$A:$BS,14,FALSE)/12),0)</f>
        <v>0</v>
      </c>
      <c r="CJ94" s="358">
        <f>(_xlfn.IFNA(VLOOKUP($A94,'Post 16'!$A:$AV,32,FALSE),0)/8)</f>
        <v>0</v>
      </c>
      <c r="CK94" s="358">
        <f>(VLOOKUP($A94,EY!A:CR,24,FALSE)*80%)+VLOOKUP($A94,EY!A:CC,72,FALSE)</f>
        <v>0</v>
      </c>
      <c r="CL94" s="358">
        <f>_xlfn.IFNA((VLOOKUP($A94,HN!$A:$K,9,FALSE)/12),0)+_xlfn.IFNA((VLOOKUP($A94,HN!$A:$K,10,FALSE)/12),0)</f>
        <v>0</v>
      </c>
      <c r="CM94" s="358">
        <f>_xlfn.IFNA((VLOOKUP($A94,HN!$A:$BS,15,FALSE)/12),0)</f>
        <v>0</v>
      </c>
      <c r="CN94" s="357">
        <f t="shared" si="88"/>
        <v>-899.75999999999988</v>
      </c>
      <c r="CO94" s="357">
        <f t="shared" si="89"/>
        <v>-1926.2633333333333</v>
      </c>
      <c r="CP94" s="358">
        <f>_xlfn.IFNA(VLOOKUP(A94,'LA Deductions'!A:W,23,FALSE),0)</f>
        <v>-9471</v>
      </c>
      <c r="CQ94" s="358">
        <f>_xlfn.IFNA(VLOOKUP($A94,'Cash Advances'!$A:$S,13,FALSE),0)</f>
        <v>0</v>
      </c>
      <c r="CR94" s="358">
        <f>_xlfn.IFNA(VLOOKUP(A94,'LA Deductions'!A:AZ,25,FALSE),0)/9*3</f>
        <v>0</v>
      </c>
      <c r="CS94" s="357">
        <f t="shared" si="108"/>
        <v>246451.00601014134</v>
      </c>
      <c r="CT94" s="337">
        <f t="shared" si="90"/>
        <v>221130.64092242206</v>
      </c>
      <c r="CU94" s="337"/>
      <c r="CV94" s="338">
        <f>_xlfn.IFNA(VLOOKUP(A94,'LA Deductions'!$A$6:$AN$207,34,FALSE),0)</f>
        <v>0</v>
      </c>
      <c r="CW94" s="338">
        <f>_xlfn.IFNA((VLOOKUP($A94,HN!$A:$K,8,FALSE)/12),0)</f>
        <v>0</v>
      </c>
      <c r="CX94" s="338">
        <f>_xlfn.IFNA((VLOOKUP($A94,HN!$A:$BS,14,FALSE)/12),0)</f>
        <v>0</v>
      </c>
      <c r="CY94" s="338">
        <f>_xlfn.IFNA(VLOOKUP($A94,'Post 16'!$A:$AV,32,FALSE),0)/8</f>
        <v>0</v>
      </c>
      <c r="CZ94" s="338"/>
      <c r="DA94" s="338">
        <f>_xlfn.IFNA((VLOOKUP($A94,HN!$A:$K,9,FALSE)/12),0)+_xlfn.IFNA((VLOOKUP($A94,HN!$A:$K,10,FALSE)/12),0)</f>
        <v>0</v>
      </c>
      <c r="DB94" s="338">
        <f>_xlfn.IFNA((VLOOKUP($A94,HN!$A:$BS,15,FALSE)/12),0)</f>
        <v>0</v>
      </c>
      <c r="DC94" s="337">
        <f t="shared" si="91"/>
        <v>-899.75999999999988</v>
      </c>
      <c r="DD94" s="337">
        <f t="shared" si="92"/>
        <v>-1926.2633333333333</v>
      </c>
      <c r="DE94" s="338"/>
      <c r="DF94" s="338">
        <f>_xlfn.IFNA(VLOOKUP($A94,'Cash Advances'!$A:$S,14,FALSE),0)</f>
        <v>0</v>
      </c>
      <c r="DG94" s="338">
        <f>(_xlfn.IFNA(VLOOKUP(A94,'LA Deductions'!A:AZ,25,FALSE),0)/9)+(_xlfn.IFNA(VLOOKUP(A94,'LA Deductions'!A:AZ,26,FALSE),0))</f>
        <v>0</v>
      </c>
      <c r="DH94" s="337">
        <f t="shared" si="109"/>
        <v>218304.61758908871</v>
      </c>
      <c r="DI94" s="330">
        <f t="shared" si="93"/>
        <v>221130.64092242206</v>
      </c>
      <c r="DJ94" s="330"/>
      <c r="DK94" s="331"/>
      <c r="DL94" s="331">
        <f>_xlfn.IFNA((VLOOKUP($A94,HN!$A:$K,8,FALSE)/12),0)+_xlfn.IFNA((VLOOKUP($A94,HN!$A:$AF,32,FALSE)*8/12),0)</f>
        <v>0</v>
      </c>
      <c r="DM94" s="331">
        <f>_xlfn.IFNA((VLOOKUP($A94,HN!$A:$BS,14,FALSE)/12),0)+_xlfn.IFNA(VLOOKUP($A94,HN!$A:$BS,31,FALSE),0)</f>
        <v>0</v>
      </c>
      <c r="DN94" s="331">
        <f>_xlfn.IFNA(VLOOKUP($A94,'Post 16'!$A:$AV,32,FALSE),0)/8</f>
        <v>0</v>
      </c>
      <c r="DO94" s="331"/>
      <c r="DP94" s="331">
        <f>_xlfn.IFNA((VLOOKUP($A94,HN!$A:$K,9,FALSE)/12),0)+_xlfn.IFNA((VLOOKUP($A94,HN!$A:$K,10,FALSE)/12),0)+_xlfn.IFNA((VLOOKUP($A94,HN!$A:$BZ,33,FALSE)*8/12),0)</f>
        <v>0</v>
      </c>
      <c r="DQ94" s="331">
        <f>_xlfn.IFNA((VLOOKUP($A94,HN!$A:$BS,15,FALSE)/12),0)</f>
        <v>0</v>
      </c>
      <c r="DR94" s="330">
        <f t="shared" si="94"/>
        <v>-899.75999999999988</v>
      </c>
      <c r="DS94" s="330">
        <f t="shared" si="95"/>
        <v>-1926.2633333333333</v>
      </c>
      <c r="DT94" s="331"/>
      <c r="DU94" s="331"/>
      <c r="DV94" s="331">
        <f>(_xlfn.IFNA(VLOOKUP(A94,'LA Deductions'!A:AZ,25,FALSE),0)/9)+_xlfn.IFNA(VLOOKUP(A94,'LA Deductions'!A:AZ,27,FALSE),0)</f>
        <v>0</v>
      </c>
      <c r="DW94" s="330">
        <f t="shared" si="110"/>
        <v>218304.61758908871</v>
      </c>
      <c r="DX94" s="344">
        <f t="shared" si="96"/>
        <v>221130.64092242206</v>
      </c>
      <c r="DY94" s="344"/>
      <c r="DZ94" s="345"/>
      <c r="EA94" s="345">
        <f>_xlfn.IFNA((VLOOKUP($A94,HN!$A:$K,8,FALSE)/12),0)+_xlfn.IFNA((VLOOKUP($A94,HN!$A:$AF,32,FALSE)*1/12),0)</f>
        <v>0</v>
      </c>
      <c r="EB94" s="345">
        <f>_xlfn.IFNA((VLOOKUP($A94,HN!$A:$BS,14,FALSE)/12),0)</f>
        <v>0</v>
      </c>
      <c r="EC94" s="345">
        <f>_xlfn.IFNA(VLOOKUP($A94,'Post 16'!$A:$AV,32,FALSE),0)/8</f>
        <v>0</v>
      </c>
      <c r="ED94" s="345"/>
      <c r="EE94" s="345">
        <f>_xlfn.IFNA((VLOOKUP($A94,HN!$A:$K,9,FALSE)/12),0)+_xlfn.IFNA((VLOOKUP($A94,HN!$A:$K,10,FALSE)/12),0)+_xlfn.IFNA((VLOOKUP($A94,HN!$A:$BZ,33,FALSE)/12),0)</f>
        <v>0</v>
      </c>
      <c r="EF94" s="345">
        <f>_xlfn.IFNA((VLOOKUP($A94,HN!$A:$BS,15,FALSE)/12),0)</f>
        <v>0</v>
      </c>
      <c r="EG94" s="344">
        <f t="shared" si="97"/>
        <v>-899.75999999999988</v>
      </c>
      <c r="EH94" s="344">
        <f t="shared" si="98"/>
        <v>-1926.2633333333333</v>
      </c>
      <c r="EI94" s="345"/>
      <c r="EJ94" s="345">
        <f>_xlfn.IFNA(VLOOKUP(A94,'Cash Advances'!A:P,16,FALSE),0)</f>
        <v>0</v>
      </c>
      <c r="EK94" s="345">
        <f>_xlfn.IFNA(VLOOKUP(A94,'LA Deductions'!A:AZ,25,FALSE),0)/9</f>
        <v>0</v>
      </c>
      <c r="EL94" s="344">
        <f t="shared" si="111"/>
        <v>218304.61758908871</v>
      </c>
      <c r="EM94" s="308">
        <f t="shared" si="99"/>
        <v>221130.64092242206</v>
      </c>
      <c r="EN94" s="308">
        <f>((VLOOKUP($A94,EY!$A:$BS,35,FALSE)-(VLOOKUP($A94,EY!$A:$BS,33,FALSE)*80%))+VLOOKUP($A94,EY!$A:$BS,43,FALSE))+(VLOOKUP(A94,EY!A:DF,110,FALSE)-VLOOKUP(A94,EY!A:DD,108,FALSE))+(VLOOKUP(A94,EY!A:CE,83,FALSE)-VLOOKUP(A94,EY!A:CC,81,FALSE))</f>
        <v>28090.684681440442</v>
      </c>
      <c r="EO94" s="309"/>
      <c r="EP94" s="309">
        <f>_xlfn.IFNA((VLOOKUP($A94,HN!$A:$K,8,FALSE)/12),0)+_xlfn.IFNA((VLOOKUP($A94,HN!$A:$AF,32,FALSE)*1/12),0)</f>
        <v>0</v>
      </c>
      <c r="EQ94" s="309">
        <f>_xlfn.IFNA((VLOOKUP($A94,HN!$A:$BS,14,FALSE)/12),0)+_xlfn.IFNA((VLOOKUP($A94,HN!$A:$BS,34,FALSE)/3),0)</f>
        <v>0</v>
      </c>
      <c r="ER94" s="309">
        <f>_xlfn.IFNA(VLOOKUP($A94,'Post 16'!$A:$AV,32,FALSE),0)/8</f>
        <v>0</v>
      </c>
      <c r="ES94" s="309">
        <f>((VLOOKUP($A94,EY!A:EV,33,FALSE)*80%))+VLOOKUP(A94,EY!A:DD,108,FALSE)+VLOOKUP(A94,EY!A:CC,81,FALSE)</f>
        <v>0</v>
      </c>
      <c r="ET94" s="309">
        <f>_xlfn.IFNA((VLOOKUP($A94,HN!$A:$K,9,FALSE)/12),0)+_xlfn.IFNA((VLOOKUP($A94,HN!$A:$K,10,FALSE)/12),0)+_xlfn.IFNA((VLOOKUP($A94,HN!$A:$BZ,33,FALSE)/12),0)</f>
        <v>0</v>
      </c>
      <c r="EU94" s="309">
        <f>_xlfn.IFNA((VLOOKUP($A94,HN!$A:$BS,15,FALSE)/12),0)</f>
        <v>0</v>
      </c>
      <c r="EV94" s="308">
        <f t="shared" si="100"/>
        <v>-899.75999999999988</v>
      </c>
      <c r="EW94" s="308">
        <f t="shared" si="101"/>
        <v>-1926.2633333333333</v>
      </c>
      <c r="EX94" s="309"/>
      <c r="EY94" s="309">
        <f>_xlfn.IFNA(VLOOKUP($A94,'Cash Advances'!$A:$S,17,FALSE),0)</f>
        <v>0</v>
      </c>
      <c r="EZ94" s="309">
        <f>_xlfn.IFNA(VLOOKUP(A94,'LA Deductions'!A:AZ,25,FALSE),0)/9</f>
        <v>0</v>
      </c>
      <c r="FA94" s="308">
        <f t="shared" si="112"/>
        <v>246395.30227052915</v>
      </c>
      <c r="FB94" s="315">
        <f t="shared" si="102"/>
        <v>221130.64092242206</v>
      </c>
      <c r="FC94" s="315"/>
      <c r="FD94" s="316"/>
      <c r="FE94" s="316">
        <f>_xlfn.IFNA((VLOOKUP($A94,HN!$A:$K,8,FALSE)/12),0)+_xlfn.IFNA((VLOOKUP($A94,HN!$A:$AF,32,FALSE)*1/12),0)</f>
        <v>0</v>
      </c>
      <c r="FF94" s="316">
        <f>_xlfn.IFNA((VLOOKUP($A94,HN!$A:$BS,14,FALSE)/12),0)+_xlfn.IFNA((VLOOKUP($A94,HN!$A:$BS,34,FALSE)/3),0)</f>
        <v>0</v>
      </c>
      <c r="FG94" s="316">
        <f>_xlfn.IFNA(VLOOKUP($A94,'Post 16'!$A:$AV,32,FALSE),0)/8</f>
        <v>0</v>
      </c>
      <c r="FH94" s="316"/>
      <c r="FI94" s="316">
        <f>_xlfn.IFNA((VLOOKUP($A94,HN!$A:$K,9,FALSE)/12),0)+_xlfn.IFNA((VLOOKUP($A94,HN!$A:$K,10,FALSE)/12),0)+_xlfn.IFNA((VLOOKUP($A94,HN!$A:$BZ,33,FALSE)/12),0)+_xlfn.IFNA((VLOOKUP($A94,HN!$A:$BZ,35,FALSE)/2),0)</f>
        <v>0</v>
      </c>
      <c r="FJ94" s="316">
        <f>_xlfn.IFNA((VLOOKUP($A94,HN!$A:$BS,15,FALSE)/12),0)+_xlfn.IFNA((VLOOKUP($A94,HN!$A:$CZ,36,FALSE)/2),0)</f>
        <v>0</v>
      </c>
      <c r="FK94" s="315">
        <f t="shared" si="103"/>
        <v>-899.75999999999988</v>
      </c>
      <c r="FL94" s="315">
        <f t="shared" si="104"/>
        <v>-1926.2633333333333</v>
      </c>
      <c r="FM94" s="316"/>
      <c r="FN94" s="316">
        <f>_xlfn.IFNA(VLOOKUP($A94,'Cash Advances'!$A:$S,18,FALSE),0)</f>
        <v>0</v>
      </c>
      <c r="FO94" s="316">
        <f>_xlfn.IFNA(VLOOKUP(A94,'LA Deductions'!A:AZ,25,FALSE),0)/9</f>
        <v>0</v>
      </c>
      <c r="FP94" s="315">
        <f t="shared" si="113"/>
        <v>218304.61758908871</v>
      </c>
      <c r="FQ94" s="322">
        <f t="shared" si="105"/>
        <v>221130.64092242206</v>
      </c>
      <c r="FR94" s="322"/>
      <c r="FS94" s="323"/>
      <c r="FT94" s="323">
        <f>_xlfn.IFNA((VLOOKUP($A94,HN!$A:$K,8,FALSE)/12),0)+_xlfn.IFNA((VLOOKUP($A94,HN!$A:$AF,32,FALSE)*1/12),0)</f>
        <v>0</v>
      </c>
      <c r="FU94" s="323">
        <f>_xlfn.IFNA((VLOOKUP($A94,HN!$A:$BS,14,FALSE)/12),0)+_xlfn.IFNA((VLOOKUP($A94,HN!$A:$BS,34,FALSE)/3),0)</f>
        <v>0</v>
      </c>
      <c r="FV94" s="323">
        <f>_xlfn.IFNA(VLOOKUP($A94,'Post 16'!$A:$AV,32,FALSE),0)/8</f>
        <v>0</v>
      </c>
      <c r="FW94" s="323"/>
      <c r="FX94" s="323">
        <f>_xlfn.IFNA((VLOOKUP($A94,HN!$A:$K,9,FALSE)/12),0)+_xlfn.IFNA((VLOOKUP($A94,HN!$A:$K,10,FALSE)/12),0)+_xlfn.IFNA((VLOOKUP($A94,HN!$A:$BZ,33,FALSE)/12),0)+_xlfn.IFNA((VLOOKUP($A94,HN!$A:$BZ,35,FALSE)/2),0)</f>
        <v>0</v>
      </c>
      <c r="FY94" s="323">
        <f>_xlfn.IFNA((VLOOKUP($A94,HN!$A:$BS,15,FALSE)/12),0)+_xlfn.IFNA((VLOOKUP($A94,HN!$A:$CZ,36,FALSE)/2),0)</f>
        <v>0</v>
      </c>
      <c r="FZ94" s="322">
        <f t="shared" si="106"/>
        <v>-899.75999999999988</v>
      </c>
      <c r="GA94" s="322">
        <f t="shared" si="107"/>
        <v>-1926.2633333333333</v>
      </c>
      <c r="GB94" s="323"/>
      <c r="GC94" s="323"/>
      <c r="GD94" s="323">
        <f>_xlfn.IFNA(VLOOKUP(A94,'LA Deductions'!A:AZ,25,FALSE),0)/9</f>
        <v>0</v>
      </c>
      <c r="GE94" s="322">
        <f t="shared" si="114"/>
        <v>218304.61758908871</v>
      </c>
      <c r="GG94" s="146">
        <f t="shared" si="117"/>
        <v>2742508.8441715576</v>
      </c>
      <c r="GH94" s="146">
        <f t="shared" si="117"/>
        <v>0</v>
      </c>
      <c r="GI94" s="146">
        <f t="shared" si="117"/>
        <v>0</v>
      </c>
      <c r="GJ94" s="146">
        <f t="shared" si="117"/>
        <v>-10797.12</v>
      </c>
      <c r="GK94" s="146">
        <f t="shared" si="117"/>
        <v>-23115.159999999993</v>
      </c>
      <c r="GL94" s="146">
        <f t="shared" si="117"/>
        <v>-9471</v>
      </c>
      <c r="GN94" s="146">
        <f t="shared" si="118"/>
        <v>2742508.8441715576</v>
      </c>
      <c r="GO94" s="146">
        <f t="shared" si="118"/>
        <v>0</v>
      </c>
      <c r="GP94" s="146">
        <f t="shared" si="118"/>
        <v>0</v>
      </c>
      <c r="GQ94" s="146">
        <f t="shared" si="118"/>
        <v>-10797.12</v>
      </c>
      <c r="GR94" s="146">
        <f t="shared" si="118"/>
        <v>-23115.159999999993</v>
      </c>
      <c r="GS94" s="146">
        <f t="shared" si="118"/>
        <v>-9471</v>
      </c>
      <c r="GU94" s="146"/>
      <c r="GV94" s="57"/>
    </row>
    <row r="95" spans="1:204">
      <c r="A95" s="185">
        <v>2469</v>
      </c>
      <c r="B95" s="185">
        <v>103395</v>
      </c>
      <c r="C95" s="185" t="s">
        <v>212</v>
      </c>
      <c r="D95" s="2" t="s">
        <v>213</v>
      </c>
      <c r="E95" s="191" t="s">
        <v>32</v>
      </c>
      <c r="F95" s="191" t="s">
        <v>912</v>
      </c>
      <c r="H95" s="279">
        <f>_xlfn.IFNA(VLOOKUP($A95,ISB!$A$4:$BY$454,67,FALSE),0)</f>
        <v>1868807.9348310106</v>
      </c>
      <c r="I95" s="279">
        <f>_xlfn.IFNA(VLOOKUP($A95,ISB!$A$4:$BY$454,72,FALSE),0)</f>
        <v>-8267.3599999999988</v>
      </c>
      <c r="J95" s="279">
        <f>-_xlfn.IFNA(VLOOKUP($A95,ISB!$A$4:$BY$454,76,FALSE),0)</f>
        <v>-25052.19</v>
      </c>
      <c r="K95" s="279">
        <f>_xlfn.IFNA(VLOOKUP($A95,ISB!$A$4:$BY$454,77,FALSE),0)</f>
        <v>1835488.3848310106</v>
      </c>
      <c r="M95" s="301">
        <f t="shared" si="72"/>
        <v>155733.99456925088</v>
      </c>
      <c r="N95" s="301">
        <f>VLOOKUP($A95,EY!$A:$H,8,FALSE)+(VLOOKUP($A95,EY!$A:$BS,17,FALSE)-S95)+VLOOKUP($A95,EY!$A:$BS,41,FALSE)</f>
        <v>0</v>
      </c>
      <c r="O95" s="302"/>
      <c r="P95" s="302">
        <f>_xlfn.IFNA((VLOOKUP($A95,HN!$A:$K,8,FALSE)/12),0)</f>
        <v>0</v>
      </c>
      <c r="Q95" s="302">
        <f>_xlfn.IFNA((VLOOKUP($A95,HN!$A:$BS,14,FALSE)/12),0)</f>
        <v>0</v>
      </c>
      <c r="R95" s="302">
        <f>_xlfn.IFNA(VLOOKUP($A95,'Post 16'!$A:$V,21,FALSE),0)/4</f>
        <v>0</v>
      </c>
      <c r="S95" s="302">
        <f>VLOOKUP($A95,EY!A:Q,15,FALSE)*80%</f>
        <v>0</v>
      </c>
      <c r="T95" s="302">
        <f>_xlfn.IFNA((VLOOKUP($A95,HN!$A:$K,9,FALSE)/12),0)+_xlfn.IFNA((VLOOKUP($A95,HN!$A:$K,10,FALSE)/12),0)</f>
        <v>0</v>
      </c>
      <c r="U95" s="302">
        <f>_xlfn.IFNA((VLOOKUP($A95,HN!$A:$BS,15,FALSE)/12),0)</f>
        <v>0</v>
      </c>
      <c r="V95" s="301">
        <f t="shared" si="73"/>
        <v>-688.9466666666666</v>
      </c>
      <c r="W95" s="301">
        <f t="shared" si="74"/>
        <v>-2087.6824999999999</v>
      </c>
      <c r="X95" s="302"/>
      <c r="Y95" s="302">
        <f>_xlfn.IFNA(VLOOKUP($A95,'Cash Advances'!$A:$S,8,FALSE),0)</f>
        <v>0</v>
      </c>
      <c r="Z95" s="301">
        <f t="shared" si="67"/>
        <v>152957.36540258423</v>
      </c>
      <c r="AA95" s="315">
        <f t="shared" si="75"/>
        <v>155733.99456925088</v>
      </c>
      <c r="AB95" s="315"/>
      <c r="AC95" s="316"/>
      <c r="AD95" s="316">
        <f>_xlfn.IFNA((VLOOKUP($A95,HN!$A:$K,8,FALSE)/12),0)</f>
        <v>0</v>
      </c>
      <c r="AE95" s="316">
        <f>_xlfn.IFNA((VLOOKUP($A95,HN!$A:$BS,14,FALSE)/12),0)</f>
        <v>0</v>
      </c>
      <c r="AF95" s="316">
        <f>_xlfn.IFNA(VLOOKUP($A95,'Post 16'!$A:$V,21,FALSE),0)/4</f>
        <v>0</v>
      </c>
      <c r="AG95" s="316"/>
      <c r="AH95" s="316">
        <f>_xlfn.IFNA((VLOOKUP($A95,HN!$A:$K,9,FALSE)/12),0)+_xlfn.IFNA((VLOOKUP($A95,HN!$A:$K,10,FALSE)/12),0)</f>
        <v>0</v>
      </c>
      <c r="AI95" s="316">
        <f>_xlfn.IFNA((VLOOKUP($A95,HN!$A:$BS,15,FALSE)/12),0)</f>
        <v>0</v>
      </c>
      <c r="AJ95" s="315">
        <f t="shared" si="76"/>
        <v>-688.9466666666666</v>
      </c>
      <c r="AK95" s="315">
        <f t="shared" si="77"/>
        <v>-2087.6824999999999</v>
      </c>
      <c r="AL95" s="316"/>
      <c r="AM95" s="316">
        <f>_xlfn.IFNA(VLOOKUP($A95,'Cash Advances'!$A:$S,9,FALSE),0)</f>
        <v>0</v>
      </c>
      <c r="AN95" s="315">
        <f t="shared" si="68"/>
        <v>152957.36540258423</v>
      </c>
      <c r="AO95" s="308">
        <f t="shared" si="78"/>
        <v>155733.99456925088</v>
      </c>
      <c r="AP95" s="308"/>
      <c r="AQ95" s="309"/>
      <c r="AR95" s="309">
        <f>_xlfn.IFNA((VLOOKUP($A95,HN!$A:$K,8,FALSE)/12),0)</f>
        <v>0</v>
      </c>
      <c r="AS95" s="309">
        <f>_xlfn.IFNA((VLOOKUP($A95,HN!$A:$BS,14,FALSE)/12),0)</f>
        <v>0</v>
      </c>
      <c r="AT95" s="309">
        <f>_xlfn.IFNA(VLOOKUP($A95,'Post 16'!$A:$V,21,FALSE),0)/4</f>
        <v>0</v>
      </c>
      <c r="AU95" s="309"/>
      <c r="AV95" s="309">
        <f>_xlfn.IFNA((VLOOKUP($A95,HN!$A:$K,9,FALSE)/12),0)+_xlfn.IFNA((VLOOKUP($A95,HN!$A:$K,10,FALSE)/12),0)+_xlfn.IFNA(VLOOKUP(A95,HN!A:V,19,FALSE),0)+_xlfn.IFNA(VLOOKUP(A95,HN!A:V,20,FALSE),0)+_xlfn.IFNA(VLOOKUP(A95,HN!A:V,21,FALSE),0)</f>
        <v>0</v>
      </c>
      <c r="AW95" s="309">
        <f>_xlfn.IFNA((VLOOKUP($A95,HN!$A:$BS,15,FALSE)/12),0)</f>
        <v>0</v>
      </c>
      <c r="AX95" s="308">
        <f t="shared" si="79"/>
        <v>-688.9466666666666</v>
      </c>
      <c r="AY95" s="308">
        <f t="shared" si="80"/>
        <v>-2087.6824999999999</v>
      </c>
      <c r="AZ95" s="309"/>
      <c r="BA95" s="309">
        <f>_xlfn.IFNA(VLOOKUP($A95,'Cash Advances'!$A:$S,10,FALSE),0)</f>
        <v>0</v>
      </c>
      <c r="BB95" s="308">
        <f t="shared" si="69"/>
        <v>152957.36540258423</v>
      </c>
      <c r="BC95" s="330">
        <f t="shared" si="81"/>
        <v>155733.99456925088</v>
      </c>
      <c r="BD95" s="330"/>
      <c r="BE95" s="331"/>
      <c r="BF95" s="331">
        <f>_xlfn.IFNA((VLOOKUP($A95,HN!$A:$K,8,FALSE)/12),0)</f>
        <v>0</v>
      </c>
      <c r="BG95" s="331">
        <f>_xlfn.IFNA((VLOOKUP($A95,HN!$A:$BS,14,FALSE)/12),0)</f>
        <v>0</v>
      </c>
      <c r="BH95" s="331">
        <f>_xlfn.IFNA(VLOOKUP($A95,'Post 16'!$A:$V,21,FALSE),0)/4</f>
        <v>0</v>
      </c>
      <c r="BI95" s="331"/>
      <c r="BJ95" s="331">
        <f>_xlfn.IFNA((VLOOKUP($A95,HN!$A:$K,9,FALSE)/12),0)+_xlfn.IFNA((VLOOKUP($A95,HN!$A:$K,10,FALSE)/12),0)</f>
        <v>0</v>
      </c>
      <c r="BK95" s="331">
        <f>_xlfn.IFNA((VLOOKUP($A95,HN!$A:$BS,15,FALSE)/12),0)</f>
        <v>0</v>
      </c>
      <c r="BL95" s="330">
        <f t="shared" si="82"/>
        <v>-688.9466666666666</v>
      </c>
      <c r="BM95" s="330">
        <f t="shared" si="83"/>
        <v>-2087.6824999999999</v>
      </c>
      <c r="BN95" s="331"/>
      <c r="BO95" s="331">
        <f>_xlfn.IFNA(VLOOKUP(A95,'Cash Advances'!A:K,11,FALSE),0)</f>
        <v>0</v>
      </c>
      <c r="BP95" s="330">
        <f t="shared" si="70"/>
        <v>152957.36540258423</v>
      </c>
      <c r="BQ95" s="322">
        <f t="shared" si="84"/>
        <v>155733.99456925088</v>
      </c>
      <c r="BR95" s="322"/>
      <c r="BS95" s="323"/>
      <c r="BT95" s="323">
        <f>_xlfn.IFNA((VLOOKUP($A95,HN!$A:$K,8,FALSE)/12),0)</f>
        <v>0</v>
      </c>
      <c r="BU95" s="323">
        <f>_xlfn.IFNA((VLOOKUP($A95,HN!$A:$BS,14,FALSE)/12),0)</f>
        <v>0</v>
      </c>
      <c r="BV95" s="323">
        <f>(_xlfn.IFNA(VLOOKUP($A95,'Post 16'!$A:$AV,32,FALSE),0)/8)+_xlfn.IFNA(VLOOKUP($A95,'Post 16'!$A:$AR,40,FALSE),0)</f>
        <v>0</v>
      </c>
      <c r="BW95" s="323"/>
      <c r="BX95" s="323">
        <f>_xlfn.IFNA((VLOOKUP($A95,HN!$A:$K,9,FALSE)/12),0)+_xlfn.IFNA((VLOOKUP($A95,HN!$A:$K,10,FALSE)/12),0)</f>
        <v>0</v>
      </c>
      <c r="BY95" s="323">
        <f>_xlfn.IFNA((VLOOKUP($A95,HN!$A:$BS,15,FALSE)/12),0)</f>
        <v>0</v>
      </c>
      <c r="BZ95" s="322">
        <f t="shared" si="85"/>
        <v>-688.9466666666666</v>
      </c>
      <c r="CA95" s="322">
        <f t="shared" si="86"/>
        <v>-2087.6824999999999</v>
      </c>
      <c r="CB95" s="323"/>
      <c r="CC95" s="323"/>
      <c r="CD95" s="322">
        <f t="shared" si="71"/>
        <v>152957.36540258423</v>
      </c>
      <c r="CE95" s="357">
        <f t="shared" si="87"/>
        <v>155733.99456925088</v>
      </c>
      <c r="CF95" s="357">
        <f>(VLOOKUP($A95,EY!$A:$BS,26,FALSE)-(VLOOKUP($A95,EY!A:CR,24,FALSE)*80%))+VLOOKUP($A95,EY!$A:$BS,42,FALSE)+(VLOOKUP($A95,EY!A:CC,74,FALSE)-VLOOKUP($A95,EY!A:CC,72,FALSE))</f>
        <v>0</v>
      </c>
      <c r="CG95" s="358"/>
      <c r="CH95" s="358">
        <f>_xlfn.IFNA((VLOOKUP($A95,HN!$A:$K,8,FALSE)/12),0)</f>
        <v>0</v>
      </c>
      <c r="CI95" s="358">
        <f>_xlfn.IFNA((VLOOKUP($A95,HN!$A:$BS,14,FALSE)/12),0)</f>
        <v>0</v>
      </c>
      <c r="CJ95" s="358">
        <f>(_xlfn.IFNA(VLOOKUP($A95,'Post 16'!$A:$AV,32,FALSE),0)/8)</f>
        <v>0</v>
      </c>
      <c r="CK95" s="358">
        <f>(VLOOKUP($A95,EY!A:CR,24,FALSE)*80%)+VLOOKUP($A95,EY!A:CC,72,FALSE)</f>
        <v>0</v>
      </c>
      <c r="CL95" s="358">
        <f>_xlfn.IFNA((VLOOKUP($A95,HN!$A:$K,9,FALSE)/12),0)+_xlfn.IFNA((VLOOKUP($A95,HN!$A:$K,10,FALSE)/12),0)</f>
        <v>0</v>
      </c>
      <c r="CM95" s="358">
        <f>_xlfn.IFNA((VLOOKUP($A95,HN!$A:$BS,15,FALSE)/12),0)</f>
        <v>0</v>
      </c>
      <c r="CN95" s="357">
        <f t="shared" si="88"/>
        <v>-688.9466666666666</v>
      </c>
      <c r="CO95" s="357">
        <f t="shared" si="89"/>
        <v>-2087.6824999999999</v>
      </c>
      <c r="CP95" s="358">
        <f>_xlfn.IFNA(VLOOKUP(A95,'LA Deductions'!A:W,23,FALSE),0)</f>
        <v>-8559</v>
      </c>
      <c r="CQ95" s="358">
        <f>_xlfn.IFNA(VLOOKUP($A95,'Cash Advances'!$A:$S,13,FALSE),0)</f>
        <v>0</v>
      </c>
      <c r="CR95" s="358">
        <f>_xlfn.IFNA(VLOOKUP(A95,'LA Deductions'!A:AZ,25,FALSE),0)/9*3</f>
        <v>0</v>
      </c>
      <c r="CS95" s="357">
        <f t="shared" si="108"/>
        <v>144398.36540258423</v>
      </c>
      <c r="CT95" s="337">
        <f t="shared" si="90"/>
        <v>155733.99456925088</v>
      </c>
      <c r="CU95" s="337"/>
      <c r="CV95" s="338">
        <f>_xlfn.IFNA(VLOOKUP(A95,'LA Deductions'!$A$6:$AN$207,34,FALSE),0)</f>
        <v>0</v>
      </c>
      <c r="CW95" s="338">
        <f>_xlfn.IFNA((VLOOKUP($A95,HN!$A:$K,8,FALSE)/12),0)</f>
        <v>0</v>
      </c>
      <c r="CX95" s="338">
        <f>_xlfn.IFNA((VLOOKUP($A95,HN!$A:$BS,14,FALSE)/12),0)</f>
        <v>0</v>
      </c>
      <c r="CY95" s="338">
        <f>_xlfn.IFNA(VLOOKUP($A95,'Post 16'!$A:$AV,32,FALSE),0)/8</f>
        <v>0</v>
      </c>
      <c r="CZ95" s="338"/>
      <c r="DA95" s="338">
        <f>_xlfn.IFNA((VLOOKUP($A95,HN!$A:$K,9,FALSE)/12),0)+_xlfn.IFNA((VLOOKUP($A95,HN!$A:$K,10,FALSE)/12),0)</f>
        <v>0</v>
      </c>
      <c r="DB95" s="338">
        <f>_xlfn.IFNA((VLOOKUP($A95,HN!$A:$BS,15,FALSE)/12),0)</f>
        <v>0</v>
      </c>
      <c r="DC95" s="337">
        <f t="shared" si="91"/>
        <v>-688.9466666666666</v>
      </c>
      <c r="DD95" s="337">
        <f t="shared" si="92"/>
        <v>-2087.6824999999999</v>
      </c>
      <c r="DE95" s="338"/>
      <c r="DF95" s="338">
        <f>_xlfn.IFNA(VLOOKUP($A95,'Cash Advances'!$A:$S,14,FALSE),0)</f>
        <v>0</v>
      </c>
      <c r="DG95" s="338">
        <f>(_xlfn.IFNA(VLOOKUP(A95,'LA Deductions'!A:AZ,25,FALSE),0)/9)+(_xlfn.IFNA(VLOOKUP(A95,'LA Deductions'!A:AZ,26,FALSE),0))</f>
        <v>0</v>
      </c>
      <c r="DH95" s="337">
        <f t="shared" si="109"/>
        <v>152957.36540258423</v>
      </c>
      <c r="DI95" s="330">
        <f t="shared" si="93"/>
        <v>155733.99456925088</v>
      </c>
      <c r="DJ95" s="330"/>
      <c r="DK95" s="331"/>
      <c r="DL95" s="331">
        <f>_xlfn.IFNA((VLOOKUP($A95,HN!$A:$K,8,FALSE)/12),0)+_xlfn.IFNA((VLOOKUP($A95,HN!$A:$AF,32,FALSE)*8/12),0)</f>
        <v>0</v>
      </c>
      <c r="DM95" s="331">
        <f>_xlfn.IFNA((VLOOKUP($A95,HN!$A:$BS,14,FALSE)/12),0)+_xlfn.IFNA(VLOOKUP($A95,HN!$A:$BS,31,FALSE),0)</f>
        <v>0</v>
      </c>
      <c r="DN95" s="331">
        <f>_xlfn.IFNA(VLOOKUP($A95,'Post 16'!$A:$AV,32,FALSE),0)/8</f>
        <v>0</v>
      </c>
      <c r="DO95" s="331"/>
      <c r="DP95" s="331">
        <f>_xlfn.IFNA((VLOOKUP($A95,HN!$A:$K,9,FALSE)/12),0)+_xlfn.IFNA((VLOOKUP($A95,HN!$A:$K,10,FALSE)/12),0)+_xlfn.IFNA((VLOOKUP($A95,HN!$A:$BZ,33,FALSE)*8/12),0)</f>
        <v>0</v>
      </c>
      <c r="DQ95" s="331">
        <f>_xlfn.IFNA((VLOOKUP($A95,HN!$A:$BS,15,FALSE)/12),0)</f>
        <v>0</v>
      </c>
      <c r="DR95" s="330">
        <f t="shared" si="94"/>
        <v>-688.9466666666666</v>
      </c>
      <c r="DS95" s="330">
        <f t="shared" si="95"/>
        <v>-2087.6824999999999</v>
      </c>
      <c r="DT95" s="331"/>
      <c r="DU95" s="331"/>
      <c r="DV95" s="331">
        <f>(_xlfn.IFNA(VLOOKUP(A95,'LA Deductions'!A:AZ,25,FALSE),0)/9)+_xlfn.IFNA(VLOOKUP(A95,'LA Deductions'!A:AZ,27,FALSE),0)</f>
        <v>0</v>
      </c>
      <c r="DW95" s="330">
        <f t="shared" si="110"/>
        <v>152957.36540258423</v>
      </c>
      <c r="DX95" s="344">
        <f t="shared" si="96"/>
        <v>155733.99456925088</v>
      </c>
      <c r="DY95" s="344"/>
      <c r="DZ95" s="345"/>
      <c r="EA95" s="345">
        <f>_xlfn.IFNA((VLOOKUP($A95,HN!$A:$K,8,FALSE)/12),0)+_xlfn.IFNA((VLOOKUP($A95,HN!$A:$AF,32,FALSE)*1/12),0)</f>
        <v>0</v>
      </c>
      <c r="EB95" s="345">
        <f>_xlfn.IFNA((VLOOKUP($A95,HN!$A:$BS,14,FALSE)/12),0)</f>
        <v>0</v>
      </c>
      <c r="EC95" s="345">
        <f>_xlfn.IFNA(VLOOKUP($A95,'Post 16'!$A:$AV,32,FALSE),0)/8</f>
        <v>0</v>
      </c>
      <c r="ED95" s="345"/>
      <c r="EE95" s="345">
        <f>_xlfn.IFNA((VLOOKUP($A95,HN!$A:$K,9,FALSE)/12),0)+_xlfn.IFNA((VLOOKUP($A95,HN!$A:$K,10,FALSE)/12),0)+_xlfn.IFNA((VLOOKUP($A95,HN!$A:$BZ,33,FALSE)/12),0)</f>
        <v>0</v>
      </c>
      <c r="EF95" s="345">
        <f>_xlfn.IFNA((VLOOKUP($A95,HN!$A:$BS,15,FALSE)/12),0)</f>
        <v>0</v>
      </c>
      <c r="EG95" s="344">
        <f t="shared" si="97"/>
        <v>-688.9466666666666</v>
      </c>
      <c r="EH95" s="344">
        <f t="shared" si="98"/>
        <v>-2087.6824999999999</v>
      </c>
      <c r="EI95" s="345"/>
      <c r="EJ95" s="345">
        <f>_xlfn.IFNA(VLOOKUP(A95,'Cash Advances'!A:P,16,FALSE),0)</f>
        <v>0</v>
      </c>
      <c r="EK95" s="345">
        <f>_xlfn.IFNA(VLOOKUP(A95,'LA Deductions'!A:AZ,25,FALSE),0)/9</f>
        <v>0</v>
      </c>
      <c r="EL95" s="344">
        <f t="shared" si="111"/>
        <v>152957.36540258423</v>
      </c>
      <c r="EM95" s="308">
        <f t="shared" si="99"/>
        <v>155733.99456925088</v>
      </c>
      <c r="EN95" s="308">
        <f>((VLOOKUP($A95,EY!$A:$BS,35,FALSE)-(VLOOKUP($A95,EY!$A:$BS,33,FALSE)*80%))+VLOOKUP($A95,EY!$A:$BS,43,FALSE))+(VLOOKUP(A95,EY!A:DF,110,FALSE)-VLOOKUP(A95,EY!A:DD,108,FALSE))+(VLOOKUP(A95,EY!A:CE,83,FALSE)-VLOOKUP(A95,EY!A:CC,81,FALSE))</f>
        <v>0</v>
      </c>
      <c r="EO95" s="309"/>
      <c r="EP95" s="309">
        <f>_xlfn.IFNA((VLOOKUP($A95,HN!$A:$K,8,FALSE)/12),0)+_xlfn.IFNA((VLOOKUP($A95,HN!$A:$AF,32,FALSE)*1/12),0)</f>
        <v>0</v>
      </c>
      <c r="EQ95" s="309">
        <f>_xlfn.IFNA((VLOOKUP($A95,HN!$A:$BS,14,FALSE)/12),0)+_xlfn.IFNA((VLOOKUP($A95,HN!$A:$BS,34,FALSE)/3),0)</f>
        <v>0</v>
      </c>
      <c r="ER95" s="309">
        <f>_xlfn.IFNA(VLOOKUP($A95,'Post 16'!$A:$AV,32,FALSE),0)/8</f>
        <v>0</v>
      </c>
      <c r="ES95" s="309">
        <f>((VLOOKUP($A95,EY!A:EV,33,FALSE)*80%))+VLOOKUP(A95,EY!A:DD,108,FALSE)+VLOOKUP(A95,EY!A:CC,81,FALSE)</f>
        <v>0</v>
      </c>
      <c r="ET95" s="309">
        <f>_xlfn.IFNA((VLOOKUP($A95,HN!$A:$K,9,FALSE)/12),0)+_xlfn.IFNA((VLOOKUP($A95,HN!$A:$K,10,FALSE)/12),0)+_xlfn.IFNA((VLOOKUP($A95,HN!$A:$BZ,33,FALSE)/12),0)</f>
        <v>0</v>
      </c>
      <c r="EU95" s="309">
        <f>_xlfn.IFNA((VLOOKUP($A95,HN!$A:$BS,15,FALSE)/12),0)</f>
        <v>0</v>
      </c>
      <c r="EV95" s="308">
        <f t="shared" si="100"/>
        <v>-688.9466666666666</v>
      </c>
      <c r="EW95" s="308">
        <f t="shared" si="101"/>
        <v>-2087.6824999999999</v>
      </c>
      <c r="EX95" s="309"/>
      <c r="EY95" s="309">
        <f>_xlfn.IFNA(VLOOKUP($A95,'Cash Advances'!$A:$S,17,FALSE),0)</f>
        <v>0</v>
      </c>
      <c r="EZ95" s="309">
        <f>_xlfn.IFNA(VLOOKUP(A95,'LA Deductions'!A:AZ,25,FALSE),0)/9</f>
        <v>0</v>
      </c>
      <c r="FA95" s="308">
        <f t="shared" si="112"/>
        <v>152957.36540258423</v>
      </c>
      <c r="FB95" s="315">
        <f t="shared" si="102"/>
        <v>155733.99456925088</v>
      </c>
      <c r="FC95" s="315"/>
      <c r="FD95" s="316"/>
      <c r="FE95" s="316">
        <f>_xlfn.IFNA((VLOOKUP($A95,HN!$A:$K,8,FALSE)/12),0)+_xlfn.IFNA((VLOOKUP($A95,HN!$A:$AF,32,FALSE)*1/12),0)</f>
        <v>0</v>
      </c>
      <c r="FF95" s="316">
        <f>_xlfn.IFNA((VLOOKUP($A95,HN!$A:$BS,14,FALSE)/12),0)+_xlfn.IFNA((VLOOKUP($A95,HN!$A:$BS,34,FALSE)/3),0)</f>
        <v>0</v>
      </c>
      <c r="FG95" s="316">
        <f>_xlfn.IFNA(VLOOKUP($A95,'Post 16'!$A:$AV,32,FALSE),0)/8</f>
        <v>0</v>
      </c>
      <c r="FH95" s="316"/>
      <c r="FI95" s="316">
        <f>_xlfn.IFNA((VLOOKUP($A95,HN!$A:$K,9,FALSE)/12),0)+_xlfn.IFNA((VLOOKUP($A95,HN!$A:$K,10,FALSE)/12),0)+_xlfn.IFNA((VLOOKUP($A95,HN!$A:$BZ,33,FALSE)/12),0)+_xlfn.IFNA((VLOOKUP($A95,HN!$A:$BZ,35,FALSE)/2),0)</f>
        <v>0</v>
      </c>
      <c r="FJ95" s="316">
        <f>_xlfn.IFNA((VLOOKUP($A95,HN!$A:$BS,15,FALSE)/12),0)+_xlfn.IFNA((VLOOKUP($A95,HN!$A:$CZ,36,FALSE)/2),0)</f>
        <v>0</v>
      </c>
      <c r="FK95" s="315">
        <f t="shared" si="103"/>
        <v>-688.9466666666666</v>
      </c>
      <c r="FL95" s="315">
        <f t="shared" si="104"/>
        <v>-2087.6824999999999</v>
      </c>
      <c r="FM95" s="316"/>
      <c r="FN95" s="316">
        <f>_xlfn.IFNA(VLOOKUP($A95,'Cash Advances'!$A:$S,18,FALSE),0)</f>
        <v>0</v>
      </c>
      <c r="FO95" s="316">
        <f>_xlfn.IFNA(VLOOKUP(A95,'LA Deductions'!A:AZ,25,FALSE),0)/9</f>
        <v>0</v>
      </c>
      <c r="FP95" s="315">
        <f t="shared" si="113"/>
        <v>152957.36540258423</v>
      </c>
      <c r="FQ95" s="322">
        <f t="shared" si="105"/>
        <v>155733.99456925088</v>
      </c>
      <c r="FR95" s="322"/>
      <c r="FS95" s="323"/>
      <c r="FT95" s="323">
        <f>_xlfn.IFNA((VLOOKUP($A95,HN!$A:$K,8,FALSE)/12),0)+_xlfn.IFNA((VLOOKUP($A95,HN!$A:$AF,32,FALSE)*1/12),0)</f>
        <v>0</v>
      </c>
      <c r="FU95" s="323">
        <f>_xlfn.IFNA((VLOOKUP($A95,HN!$A:$BS,14,FALSE)/12),0)+_xlfn.IFNA((VLOOKUP($A95,HN!$A:$BS,34,FALSE)/3),0)</f>
        <v>0</v>
      </c>
      <c r="FV95" s="323">
        <f>_xlfn.IFNA(VLOOKUP($A95,'Post 16'!$A:$AV,32,FALSE),0)/8</f>
        <v>0</v>
      </c>
      <c r="FW95" s="323"/>
      <c r="FX95" s="323">
        <f>_xlfn.IFNA((VLOOKUP($A95,HN!$A:$K,9,FALSE)/12),0)+_xlfn.IFNA((VLOOKUP($A95,HN!$A:$K,10,FALSE)/12),0)+_xlfn.IFNA((VLOOKUP($A95,HN!$A:$BZ,33,FALSE)/12),0)+_xlfn.IFNA((VLOOKUP($A95,HN!$A:$BZ,35,FALSE)/2),0)</f>
        <v>0</v>
      </c>
      <c r="FY95" s="323">
        <f>_xlfn.IFNA((VLOOKUP($A95,HN!$A:$BS,15,FALSE)/12),0)+_xlfn.IFNA((VLOOKUP($A95,HN!$A:$CZ,36,FALSE)/2),0)</f>
        <v>0</v>
      </c>
      <c r="FZ95" s="322">
        <f t="shared" si="106"/>
        <v>-688.9466666666666</v>
      </c>
      <c r="GA95" s="322">
        <f t="shared" si="107"/>
        <v>-2087.6824999999999</v>
      </c>
      <c r="GB95" s="323"/>
      <c r="GC95" s="323"/>
      <c r="GD95" s="323">
        <f>_xlfn.IFNA(VLOOKUP(A95,'LA Deductions'!A:AZ,25,FALSE),0)/9</f>
        <v>0</v>
      </c>
      <c r="GE95" s="322">
        <f t="shared" si="114"/>
        <v>152957.36540258423</v>
      </c>
      <c r="GG95" s="146">
        <f t="shared" si="117"/>
        <v>1868807.9348310104</v>
      </c>
      <c r="GH95" s="146">
        <f t="shared" si="117"/>
        <v>0</v>
      </c>
      <c r="GI95" s="146">
        <f t="shared" si="117"/>
        <v>0</v>
      </c>
      <c r="GJ95" s="146">
        <f t="shared" si="117"/>
        <v>-8267.3599999999988</v>
      </c>
      <c r="GK95" s="146">
        <f t="shared" si="117"/>
        <v>-25052.189999999991</v>
      </c>
      <c r="GL95" s="146">
        <f t="shared" si="117"/>
        <v>-8559</v>
      </c>
      <c r="GN95" s="146">
        <f t="shared" si="118"/>
        <v>1868807.9348310104</v>
      </c>
      <c r="GO95" s="146">
        <f t="shared" si="118"/>
        <v>0</v>
      </c>
      <c r="GP95" s="146">
        <f t="shared" si="118"/>
        <v>0</v>
      </c>
      <c r="GQ95" s="146">
        <f t="shared" si="118"/>
        <v>-8267.3599999999988</v>
      </c>
      <c r="GR95" s="146">
        <f t="shared" si="118"/>
        <v>-25052.189999999991</v>
      </c>
      <c r="GS95" s="146">
        <f t="shared" si="118"/>
        <v>-8559</v>
      </c>
      <c r="GU95" s="146"/>
      <c r="GV95" s="57"/>
    </row>
    <row r="96" spans="1:204">
      <c r="A96" s="185">
        <v>1049</v>
      </c>
      <c r="B96" s="185">
        <v>103145</v>
      </c>
      <c r="C96" s="185" t="s">
        <v>214</v>
      </c>
      <c r="D96" s="2" t="s">
        <v>215</v>
      </c>
      <c r="E96" s="191" t="s">
        <v>29</v>
      </c>
      <c r="F96" s="191" t="s">
        <v>912</v>
      </c>
      <c r="H96" s="279">
        <f>_xlfn.IFNA(VLOOKUP($A96,ISB!$A$4:$BY$454,67,FALSE),0)</f>
        <v>0</v>
      </c>
      <c r="I96" s="279">
        <f>_xlfn.IFNA(VLOOKUP($A96,ISB!$A$4:$BY$454,72,FALSE),0)</f>
        <v>0</v>
      </c>
      <c r="J96" s="279">
        <f>-_xlfn.IFNA(VLOOKUP($A96,ISB!$A$4:$BY$454,76,FALSE),0)</f>
        <v>0</v>
      </c>
      <c r="K96" s="279">
        <f>_xlfn.IFNA(VLOOKUP($A96,ISB!$A$4:$BY$454,77,FALSE),0)</f>
        <v>0</v>
      </c>
      <c r="M96" s="301">
        <f t="shared" si="72"/>
        <v>0</v>
      </c>
      <c r="N96" s="301">
        <f>VLOOKUP($A96,EY!$A:$H,8,FALSE)+(VLOOKUP($A96,EY!$A:$BS,17,FALSE)-S96)+VLOOKUP($A96,EY!$A:$BS,41,FALSE)</f>
        <v>445239.11252034741</v>
      </c>
      <c r="O96" s="302"/>
      <c r="P96" s="302">
        <f>_xlfn.IFNA((VLOOKUP($A96,HN!$A:$K,8,FALSE)/12),0)</f>
        <v>0</v>
      </c>
      <c r="Q96" s="302">
        <f>_xlfn.IFNA((VLOOKUP($A96,HN!$A:$BS,14,FALSE)/12),0)</f>
        <v>0</v>
      </c>
      <c r="R96" s="302">
        <f>_xlfn.IFNA(VLOOKUP($A96,'Post 16'!$A:$V,21,FALSE),0)/4</f>
        <v>0</v>
      </c>
      <c r="S96" s="302">
        <f>VLOOKUP($A96,EY!A:Q,15,FALSE)*80%</f>
        <v>1540.2947368421055</v>
      </c>
      <c r="T96" s="302">
        <f>_xlfn.IFNA((VLOOKUP($A96,HN!$A:$K,9,FALSE)/12),0)+_xlfn.IFNA((VLOOKUP($A96,HN!$A:$K,10,FALSE)/12),0)</f>
        <v>0</v>
      </c>
      <c r="U96" s="302">
        <f>_xlfn.IFNA((VLOOKUP($A96,HN!$A:$BS,15,FALSE)/12),0)</f>
        <v>0</v>
      </c>
      <c r="V96" s="301">
        <f t="shared" si="73"/>
        <v>0</v>
      </c>
      <c r="W96" s="301">
        <f t="shared" si="74"/>
        <v>0</v>
      </c>
      <c r="X96" s="302"/>
      <c r="Y96" s="302">
        <f>_xlfn.IFNA(VLOOKUP($A96,'Cash Advances'!$A:$S,8,FALSE),0)</f>
        <v>0</v>
      </c>
      <c r="Z96" s="301">
        <f t="shared" si="67"/>
        <v>446779.40725718951</v>
      </c>
      <c r="AA96" s="315">
        <f t="shared" si="75"/>
        <v>0</v>
      </c>
      <c r="AB96" s="315"/>
      <c r="AC96" s="316"/>
      <c r="AD96" s="316">
        <f>_xlfn.IFNA((VLOOKUP($A96,HN!$A:$K,8,FALSE)/12),0)</f>
        <v>0</v>
      </c>
      <c r="AE96" s="316">
        <f>_xlfn.IFNA((VLOOKUP($A96,HN!$A:$BS,14,FALSE)/12),0)</f>
        <v>0</v>
      </c>
      <c r="AF96" s="316">
        <f>_xlfn.IFNA(VLOOKUP($A96,'Post 16'!$A:$V,21,FALSE),0)/4</f>
        <v>0</v>
      </c>
      <c r="AG96" s="316"/>
      <c r="AH96" s="316">
        <f>_xlfn.IFNA((VLOOKUP($A96,HN!$A:$K,9,FALSE)/12),0)+_xlfn.IFNA((VLOOKUP($A96,HN!$A:$K,10,FALSE)/12),0)</f>
        <v>0</v>
      </c>
      <c r="AI96" s="316">
        <f>_xlfn.IFNA((VLOOKUP($A96,HN!$A:$BS,15,FALSE)/12),0)</f>
        <v>0</v>
      </c>
      <c r="AJ96" s="315">
        <f t="shared" si="76"/>
        <v>0</v>
      </c>
      <c r="AK96" s="315">
        <f t="shared" si="77"/>
        <v>0</v>
      </c>
      <c r="AL96" s="316"/>
      <c r="AM96" s="316">
        <f>_xlfn.IFNA(VLOOKUP($A96,'Cash Advances'!$A:$S,9,FALSE),0)</f>
        <v>0</v>
      </c>
      <c r="AN96" s="315">
        <f t="shared" si="68"/>
        <v>0</v>
      </c>
      <c r="AO96" s="308">
        <f t="shared" si="78"/>
        <v>0</v>
      </c>
      <c r="AP96" s="308"/>
      <c r="AQ96" s="309"/>
      <c r="AR96" s="309">
        <f>_xlfn.IFNA((VLOOKUP($A96,HN!$A:$K,8,FALSE)/12),0)</f>
        <v>0</v>
      </c>
      <c r="AS96" s="309">
        <f>_xlfn.IFNA((VLOOKUP($A96,HN!$A:$BS,14,FALSE)/12),0)</f>
        <v>0</v>
      </c>
      <c r="AT96" s="309">
        <f>_xlfn.IFNA(VLOOKUP($A96,'Post 16'!$A:$V,21,FALSE),0)/4</f>
        <v>0</v>
      </c>
      <c r="AU96" s="309"/>
      <c r="AV96" s="309">
        <f>_xlfn.IFNA((VLOOKUP($A96,HN!$A:$K,9,FALSE)/12),0)+_xlfn.IFNA((VLOOKUP($A96,HN!$A:$K,10,FALSE)/12),0)+_xlfn.IFNA(VLOOKUP(A96,HN!A:V,19,FALSE),0)+_xlfn.IFNA(VLOOKUP(A96,HN!A:V,20,FALSE),0)+_xlfn.IFNA(VLOOKUP(A96,HN!A:V,21,FALSE),0)</f>
        <v>0</v>
      </c>
      <c r="AW96" s="309">
        <f>_xlfn.IFNA((VLOOKUP($A96,HN!$A:$BS,15,FALSE)/12),0)</f>
        <v>0</v>
      </c>
      <c r="AX96" s="308">
        <f t="shared" si="79"/>
        <v>0</v>
      </c>
      <c r="AY96" s="308">
        <f t="shared" si="80"/>
        <v>0</v>
      </c>
      <c r="AZ96" s="309"/>
      <c r="BA96" s="309">
        <f>_xlfn.IFNA(VLOOKUP($A96,'Cash Advances'!$A:$S,10,FALSE),0)</f>
        <v>0</v>
      </c>
      <c r="BB96" s="308">
        <f t="shared" si="69"/>
        <v>0</v>
      </c>
      <c r="BC96" s="330">
        <f t="shared" si="81"/>
        <v>0</v>
      </c>
      <c r="BD96" s="330"/>
      <c r="BE96" s="331"/>
      <c r="BF96" s="331">
        <f>_xlfn.IFNA((VLOOKUP($A96,HN!$A:$K,8,FALSE)/12),0)</f>
        <v>0</v>
      </c>
      <c r="BG96" s="331">
        <f>_xlfn.IFNA((VLOOKUP($A96,HN!$A:$BS,14,FALSE)/12),0)</f>
        <v>0</v>
      </c>
      <c r="BH96" s="331">
        <f>_xlfn.IFNA(VLOOKUP($A96,'Post 16'!$A:$V,21,FALSE),0)/4</f>
        <v>0</v>
      </c>
      <c r="BI96" s="331"/>
      <c r="BJ96" s="331">
        <f>_xlfn.IFNA((VLOOKUP($A96,HN!$A:$K,9,FALSE)/12),0)+_xlfn.IFNA((VLOOKUP($A96,HN!$A:$K,10,FALSE)/12),0)</f>
        <v>0</v>
      </c>
      <c r="BK96" s="331">
        <f>_xlfn.IFNA((VLOOKUP($A96,HN!$A:$BS,15,FALSE)/12),0)</f>
        <v>0</v>
      </c>
      <c r="BL96" s="330">
        <f t="shared" si="82"/>
        <v>0</v>
      </c>
      <c r="BM96" s="330">
        <f t="shared" si="83"/>
        <v>0</v>
      </c>
      <c r="BN96" s="331"/>
      <c r="BO96" s="331">
        <f>_xlfn.IFNA(VLOOKUP(A96,'Cash Advances'!A:K,11,FALSE),0)</f>
        <v>0</v>
      </c>
      <c r="BP96" s="330">
        <f t="shared" si="70"/>
        <v>0</v>
      </c>
      <c r="BQ96" s="322">
        <f t="shared" si="84"/>
        <v>0</v>
      </c>
      <c r="BR96" s="322"/>
      <c r="BS96" s="323"/>
      <c r="BT96" s="323">
        <f>_xlfn.IFNA((VLOOKUP($A96,HN!$A:$K,8,FALSE)/12),0)</f>
        <v>0</v>
      </c>
      <c r="BU96" s="323">
        <f>_xlfn.IFNA((VLOOKUP($A96,HN!$A:$BS,14,FALSE)/12),0)</f>
        <v>0</v>
      </c>
      <c r="BV96" s="323">
        <f>(_xlfn.IFNA(VLOOKUP($A96,'Post 16'!$A:$AV,32,FALSE),0)/8)+_xlfn.IFNA(VLOOKUP($A96,'Post 16'!$A:$AR,40,FALSE),0)</f>
        <v>0</v>
      </c>
      <c r="BW96" s="323"/>
      <c r="BX96" s="323">
        <f>_xlfn.IFNA((VLOOKUP($A96,HN!$A:$K,9,FALSE)/12),0)+_xlfn.IFNA((VLOOKUP($A96,HN!$A:$K,10,FALSE)/12),0)</f>
        <v>0</v>
      </c>
      <c r="BY96" s="323">
        <f>_xlfn.IFNA((VLOOKUP($A96,HN!$A:$BS,15,FALSE)/12),0)</f>
        <v>0</v>
      </c>
      <c r="BZ96" s="322">
        <f t="shared" si="85"/>
        <v>0</v>
      </c>
      <c r="CA96" s="322">
        <f t="shared" si="86"/>
        <v>0</v>
      </c>
      <c r="CB96" s="323"/>
      <c r="CC96" s="323"/>
      <c r="CD96" s="322">
        <f t="shared" si="71"/>
        <v>0</v>
      </c>
      <c r="CE96" s="357">
        <f t="shared" si="87"/>
        <v>0</v>
      </c>
      <c r="CF96" s="357">
        <f>(VLOOKUP($A96,EY!$A:$BS,26,FALSE)-(VLOOKUP($A96,EY!A:CR,24,FALSE)*80%))+VLOOKUP($A96,EY!$A:$BS,42,FALSE)+(VLOOKUP($A96,EY!A:CC,74,FALSE)-VLOOKUP($A96,EY!A:CC,72,FALSE))</f>
        <v>165280.18147515197</v>
      </c>
      <c r="CG96" s="358"/>
      <c r="CH96" s="358">
        <f>_xlfn.IFNA((VLOOKUP($A96,HN!$A:$K,8,FALSE)/12),0)</f>
        <v>0</v>
      </c>
      <c r="CI96" s="358">
        <f>_xlfn.IFNA((VLOOKUP($A96,HN!$A:$BS,14,FALSE)/12),0)</f>
        <v>0</v>
      </c>
      <c r="CJ96" s="358">
        <f>(_xlfn.IFNA(VLOOKUP($A96,'Post 16'!$A:$AV,32,FALSE),0)/8)</f>
        <v>0</v>
      </c>
      <c r="CK96" s="358">
        <f>(VLOOKUP($A96,EY!A:CR,24,FALSE)*80%)+VLOOKUP($A96,EY!A:CC,72,FALSE)</f>
        <v>2053.6884210526314</v>
      </c>
      <c r="CL96" s="358">
        <f>_xlfn.IFNA((VLOOKUP($A96,HN!$A:$K,9,FALSE)/12),0)+_xlfn.IFNA((VLOOKUP($A96,HN!$A:$K,10,FALSE)/12),0)</f>
        <v>0</v>
      </c>
      <c r="CM96" s="358">
        <f>_xlfn.IFNA((VLOOKUP($A96,HN!$A:$BS,15,FALSE)/12),0)</f>
        <v>0</v>
      </c>
      <c r="CN96" s="357">
        <f t="shared" si="88"/>
        <v>0</v>
      </c>
      <c r="CO96" s="357">
        <f t="shared" si="89"/>
        <v>0</v>
      </c>
      <c r="CP96" s="358">
        <f>_xlfn.IFNA(VLOOKUP(A96,'LA Deductions'!A:W,23,FALSE),0)</f>
        <v>-3291.75</v>
      </c>
      <c r="CQ96" s="358">
        <f>_xlfn.IFNA(VLOOKUP($A96,'Cash Advances'!$A:$S,13,FALSE),0)</f>
        <v>0</v>
      </c>
      <c r="CR96" s="358">
        <f>_xlfn.IFNA(VLOOKUP(A96,'LA Deductions'!A:AZ,25,FALSE),0)/9*3</f>
        <v>0</v>
      </c>
      <c r="CS96" s="357">
        <f t="shared" si="108"/>
        <v>164042.11989620459</v>
      </c>
      <c r="CT96" s="337">
        <f t="shared" si="90"/>
        <v>0</v>
      </c>
      <c r="CU96" s="337"/>
      <c r="CV96" s="338">
        <f>_xlfn.IFNA(VLOOKUP(A96,'LA Deductions'!$A$6:$AN$207,34,FALSE),0)</f>
        <v>0</v>
      </c>
      <c r="CW96" s="338">
        <f>_xlfn.IFNA((VLOOKUP($A96,HN!$A:$K,8,FALSE)/12),0)</f>
        <v>0</v>
      </c>
      <c r="CX96" s="338">
        <f>_xlfn.IFNA((VLOOKUP($A96,HN!$A:$BS,14,FALSE)/12),0)</f>
        <v>0</v>
      </c>
      <c r="CY96" s="338">
        <f>_xlfn.IFNA(VLOOKUP($A96,'Post 16'!$A:$AV,32,FALSE),0)/8</f>
        <v>0</v>
      </c>
      <c r="CZ96" s="338"/>
      <c r="DA96" s="338">
        <f>_xlfn.IFNA((VLOOKUP($A96,HN!$A:$K,9,FALSE)/12),0)+_xlfn.IFNA((VLOOKUP($A96,HN!$A:$K,10,FALSE)/12),0)</f>
        <v>0</v>
      </c>
      <c r="DB96" s="338">
        <f>_xlfn.IFNA((VLOOKUP($A96,HN!$A:$BS,15,FALSE)/12),0)</f>
        <v>0</v>
      </c>
      <c r="DC96" s="337">
        <f t="shared" si="91"/>
        <v>0</v>
      </c>
      <c r="DD96" s="337">
        <f t="shared" si="92"/>
        <v>0</v>
      </c>
      <c r="DE96" s="338"/>
      <c r="DF96" s="338">
        <f>_xlfn.IFNA(VLOOKUP($A96,'Cash Advances'!$A:$S,14,FALSE),0)</f>
        <v>0</v>
      </c>
      <c r="DG96" s="338">
        <f>(_xlfn.IFNA(VLOOKUP(A96,'LA Deductions'!A:AZ,25,FALSE),0)/9)+(_xlfn.IFNA(VLOOKUP(A96,'LA Deductions'!A:AZ,26,FALSE),0))</f>
        <v>0</v>
      </c>
      <c r="DH96" s="337">
        <f t="shared" si="109"/>
        <v>0</v>
      </c>
      <c r="DI96" s="330">
        <f t="shared" si="93"/>
        <v>0</v>
      </c>
      <c r="DJ96" s="330"/>
      <c r="DK96" s="331"/>
      <c r="DL96" s="331">
        <f>_xlfn.IFNA((VLOOKUP($A96,HN!$A:$K,8,FALSE)/12),0)+_xlfn.IFNA((VLOOKUP($A96,HN!$A:$AF,32,FALSE)*8/12),0)</f>
        <v>0</v>
      </c>
      <c r="DM96" s="331">
        <f>_xlfn.IFNA((VLOOKUP($A96,HN!$A:$BS,14,FALSE)/12),0)+_xlfn.IFNA(VLOOKUP($A96,HN!$A:$BS,31,FALSE),0)</f>
        <v>0</v>
      </c>
      <c r="DN96" s="331">
        <f>_xlfn.IFNA(VLOOKUP($A96,'Post 16'!$A:$AV,32,FALSE),0)/8</f>
        <v>0</v>
      </c>
      <c r="DO96" s="331"/>
      <c r="DP96" s="331">
        <f>_xlfn.IFNA((VLOOKUP($A96,HN!$A:$K,9,FALSE)/12),0)+_xlfn.IFNA((VLOOKUP($A96,HN!$A:$K,10,FALSE)/12),0)+_xlfn.IFNA((VLOOKUP($A96,HN!$A:$BZ,33,FALSE)*8/12),0)</f>
        <v>0</v>
      </c>
      <c r="DQ96" s="331">
        <f>_xlfn.IFNA((VLOOKUP($A96,HN!$A:$BS,15,FALSE)/12),0)</f>
        <v>0</v>
      </c>
      <c r="DR96" s="330">
        <f t="shared" si="94"/>
        <v>0</v>
      </c>
      <c r="DS96" s="330">
        <f t="shared" si="95"/>
        <v>0</v>
      </c>
      <c r="DT96" s="331"/>
      <c r="DU96" s="331"/>
      <c r="DV96" s="331">
        <f>(_xlfn.IFNA(VLOOKUP(A96,'LA Deductions'!A:AZ,25,FALSE),0)/9)+_xlfn.IFNA(VLOOKUP(A96,'LA Deductions'!A:AZ,27,FALSE),0)</f>
        <v>0</v>
      </c>
      <c r="DW96" s="330">
        <f t="shared" si="110"/>
        <v>0</v>
      </c>
      <c r="DX96" s="344">
        <f t="shared" si="96"/>
        <v>0</v>
      </c>
      <c r="DY96" s="344"/>
      <c r="DZ96" s="345"/>
      <c r="EA96" s="345">
        <f>_xlfn.IFNA((VLOOKUP($A96,HN!$A:$K,8,FALSE)/12),0)+_xlfn.IFNA((VLOOKUP($A96,HN!$A:$AF,32,FALSE)*1/12),0)</f>
        <v>0</v>
      </c>
      <c r="EB96" s="345">
        <f>_xlfn.IFNA((VLOOKUP($A96,HN!$A:$BS,14,FALSE)/12),0)</f>
        <v>0</v>
      </c>
      <c r="EC96" s="345">
        <f>_xlfn.IFNA(VLOOKUP($A96,'Post 16'!$A:$AV,32,FALSE),0)/8</f>
        <v>0</v>
      </c>
      <c r="ED96" s="345"/>
      <c r="EE96" s="345">
        <f>_xlfn.IFNA((VLOOKUP($A96,HN!$A:$K,9,FALSE)/12),0)+_xlfn.IFNA((VLOOKUP($A96,HN!$A:$K,10,FALSE)/12),0)+_xlfn.IFNA((VLOOKUP($A96,HN!$A:$BZ,33,FALSE)/12),0)</f>
        <v>0</v>
      </c>
      <c r="EF96" s="345">
        <f>_xlfn.IFNA((VLOOKUP($A96,HN!$A:$BS,15,FALSE)/12),0)</f>
        <v>0</v>
      </c>
      <c r="EG96" s="344">
        <f t="shared" si="97"/>
        <v>0</v>
      </c>
      <c r="EH96" s="344">
        <f t="shared" si="98"/>
        <v>0</v>
      </c>
      <c r="EI96" s="345"/>
      <c r="EJ96" s="345">
        <f>_xlfn.IFNA(VLOOKUP(A96,'Cash Advances'!A:P,16,FALSE),0)</f>
        <v>0</v>
      </c>
      <c r="EK96" s="345">
        <f>_xlfn.IFNA(VLOOKUP(A96,'LA Deductions'!A:AZ,25,FALSE),0)/9</f>
        <v>0</v>
      </c>
      <c r="EL96" s="344">
        <f t="shared" si="111"/>
        <v>0</v>
      </c>
      <c r="EM96" s="308">
        <f t="shared" si="99"/>
        <v>0</v>
      </c>
      <c r="EN96" s="308">
        <f>((VLOOKUP($A96,EY!$A:$BS,35,FALSE)-(VLOOKUP($A96,EY!$A:$BS,33,FALSE)*80%))+VLOOKUP($A96,EY!$A:$BS,43,FALSE))+(VLOOKUP(A96,EY!A:DF,110,FALSE)-VLOOKUP(A96,EY!A:DD,108,FALSE))+(VLOOKUP(A96,EY!A:CE,83,FALSE)-VLOOKUP(A96,EY!A:CC,81,FALSE))</f>
        <v>193415.10468144045</v>
      </c>
      <c r="EO96" s="309"/>
      <c r="EP96" s="309">
        <f>_xlfn.IFNA((VLOOKUP($A96,HN!$A:$K,8,FALSE)/12),0)+_xlfn.IFNA((VLOOKUP($A96,HN!$A:$AF,32,FALSE)*1/12),0)</f>
        <v>0</v>
      </c>
      <c r="EQ96" s="309">
        <f>_xlfn.IFNA((VLOOKUP($A96,HN!$A:$BS,14,FALSE)/12),0)+_xlfn.IFNA((VLOOKUP($A96,HN!$A:$BS,34,FALSE)/3),0)</f>
        <v>0</v>
      </c>
      <c r="ER96" s="309">
        <f>_xlfn.IFNA(VLOOKUP($A96,'Post 16'!$A:$AV,32,FALSE),0)/8</f>
        <v>0</v>
      </c>
      <c r="ES96" s="309">
        <f>((VLOOKUP($A96,EY!A:EV,33,FALSE)*80%))+VLOOKUP(A96,EY!A:DD,108,FALSE)+VLOOKUP(A96,EY!A:CC,81,FALSE)</f>
        <v>7058.1631024930748</v>
      </c>
      <c r="ET96" s="309">
        <f>_xlfn.IFNA((VLOOKUP($A96,HN!$A:$K,9,FALSE)/12),0)+_xlfn.IFNA((VLOOKUP($A96,HN!$A:$K,10,FALSE)/12),0)+_xlfn.IFNA((VLOOKUP($A96,HN!$A:$BZ,33,FALSE)/12),0)</f>
        <v>0</v>
      </c>
      <c r="EU96" s="309">
        <f>_xlfn.IFNA((VLOOKUP($A96,HN!$A:$BS,15,FALSE)/12),0)</f>
        <v>0</v>
      </c>
      <c r="EV96" s="308">
        <f t="shared" si="100"/>
        <v>0</v>
      </c>
      <c r="EW96" s="308">
        <f t="shared" si="101"/>
        <v>0</v>
      </c>
      <c r="EX96" s="309"/>
      <c r="EY96" s="309">
        <f>_xlfn.IFNA(VLOOKUP($A96,'Cash Advances'!$A:$S,17,FALSE),0)</f>
        <v>0</v>
      </c>
      <c r="EZ96" s="309">
        <f>_xlfn.IFNA(VLOOKUP(A96,'LA Deductions'!A:AZ,25,FALSE),0)/9</f>
        <v>0</v>
      </c>
      <c r="FA96" s="308">
        <f t="shared" si="112"/>
        <v>200473.26778393352</v>
      </c>
      <c r="FB96" s="315">
        <f t="shared" si="102"/>
        <v>0</v>
      </c>
      <c r="FC96" s="315"/>
      <c r="FD96" s="316"/>
      <c r="FE96" s="316">
        <f>_xlfn.IFNA((VLOOKUP($A96,HN!$A:$K,8,FALSE)/12),0)+_xlfn.IFNA((VLOOKUP($A96,HN!$A:$AF,32,FALSE)*1/12),0)</f>
        <v>0</v>
      </c>
      <c r="FF96" s="316">
        <f>_xlfn.IFNA((VLOOKUP($A96,HN!$A:$BS,14,FALSE)/12),0)+_xlfn.IFNA((VLOOKUP($A96,HN!$A:$BS,34,FALSE)/3),0)</f>
        <v>0</v>
      </c>
      <c r="FG96" s="316">
        <f>_xlfn.IFNA(VLOOKUP($A96,'Post 16'!$A:$AV,32,FALSE),0)/8</f>
        <v>0</v>
      </c>
      <c r="FH96" s="316"/>
      <c r="FI96" s="316">
        <f>_xlfn.IFNA((VLOOKUP($A96,HN!$A:$K,9,FALSE)/12),0)+_xlfn.IFNA((VLOOKUP($A96,HN!$A:$K,10,FALSE)/12),0)+_xlfn.IFNA((VLOOKUP($A96,HN!$A:$BZ,33,FALSE)/12),0)+_xlfn.IFNA((VLOOKUP($A96,HN!$A:$BZ,35,FALSE)/2),0)</f>
        <v>0</v>
      </c>
      <c r="FJ96" s="316">
        <f>_xlfn.IFNA((VLOOKUP($A96,HN!$A:$BS,15,FALSE)/12),0)+_xlfn.IFNA((VLOOKUP($A96,HN!$A:$CZ,36,FALSE)/2),0)</f>
        <v>0</v>
      </c>
      <c r="FK96" s="315">
        <f t="shared" si="103"/>
        <v>0</v>
      </c>
      <c r="FL96" s="315">
        <f t="shared" si="104"/>
        <v>0</v>
      </c>
      <c r="FM96" s="316"/>
      <c r="FN96" s="316">
        <f>_xlfn.IFNA(VLOOKUP($A96,'Cash Advances'!$A:$S,18,FALSE),0)</f>
        <v>0</v>
      </c>
      <c r="FO96" s="316">
        <f>_xlfn.IFNA(VLOOKUP(A96,'LA Deductions'!A:AZ,25,FALSE),0)/9</f>
        <v>0</v>
      </c>
      <c r="FP96" s="315">
        <f t="shared" si="113"/>
        <v>0</v>
      </c>
      <c r="FQ96" s="322">
        <f t="shared" si="105"/>
        <v>0</v>
      </c>
      <c r="FR96" s="322"/>
      <c r="FS96" s="323"/>
      <c r="FT96" s="323">
        <f>_xlfn.IFNA((VLOOKUP($A96,HN!$A:$K,8,FALSE)/12),0)+_xlfn.IFNA((VLOOKUP($A96,HN!$A:$AF,32,FALSE)*1/12),0)</f>
        <v>0</v>
      </c>
      <c r="FU96" s="323">
        <f>_xlfn.IFNA((VLOOKUP($A96,HN!$A:$BS,14,FALSE)/12),0)+_xlfn.IFNA((VLOOKUP($A96,HN!$A:$BS,34,FALSE)/3),0)</f>
        <v>0</v>
      </c>
      <c r="FV96" s="323">
        <f>_xlfn.IFNA(VLOOKUP($A96,'Post 16'!$A:$AV,32,FALSE),0)/8</f>
        <v>0</v>
      </c>
      <c r="FW96" s="323"/>
      <c r="FX96" s="323">
        <f>_xlfn.IFNA((VLOOKUP($A96,HN!$A:$K,9,FALSE)/12),0)+_xlfn.IFNA((VLOOKUP($A96,HN!$A:$K,10,FALSE)/12),0)+_xlfn.IFNA((VLOOKUP($A96,HN!$A:$BZ,33,FALSE)/12),0)+_xlfn.IFNA((VLOOKUP($A96,HN!$A:$BZ,35,FALSE)/2),0)</f>
        <v>0</v>
      </c>
      <c r="FY96" s="323">
        <f>_xlfn.IFNA((VLOOKUP($A96,HN!$A:$BS,15,FALSE)/12),0)+_xlfn.IFNA((VLOOKUP($A96,HN!$A:$CZ,36,FALSE)/2),0)</f>
        <v>0</v>
      </c>
      <c r="FZ96" s="322">
        <f t="shared" si="106"/>
        <v>0</v>
      </c>
      <c r="GA96" s="322">
        <f t="shared" si="107"/>
        <v>0</v>
      </c>
      <c r="GB96" s="323"/>
      <c r="GC96" s="323"/>
      <c r="GD96" s="323">
        <f>_xlfn.IFNA(VLOOKUP(A96,'LA Deductions'!A:AZ,25,FALSE),0)/9</f>
        <v>0</v>
      </c>
      <c r="GE96" s="322">
        <f t="shared" si="114"/>
        <v>0</v>
      </c>
      <c r="GG96" s="146">
        <f t="shared" si="117"/>
        <v>803934.39867693977</v>
      </c>
      <c r="GH96" s="146">
        <f t="shared" si="117"/>
        <v>0</v>
      </c>
      <c r="GI96" s="146">
        <f t="shared" si="117"/>
        <v>10652.146260387812</v>
      </c>
      <c r="GJ96" s="146">
        <f t="shared" si="117"/>
        <v>0</v>
      </c>
      <c r="GK96" s="146">
        <f t="shared" si="117"/>
        <v>0</v>
      </c>
      <c r="GL96" s="146">
        <f t="shared" si="117"/>
        <v>-3291.75</v>
      </c>
      <c r="GN96" s="146">
        <f t="shared" si="118"/>
        <v>803934.39867693977</v>
      </c>
      <c r="GO96" s="146">
        <f t="shared" si="118"/>
        <v>0</v>
      </c>
      <c r="GP96" s="146">
        <f t="shared" si="118"/>
        <v>10652.146260387812</v>
      </c>
      <c r="GQ96" s="146">
        <f t="shared" si="118"/>
        <v>0</v>
      </c>
      <c r="GR96" s="146">
        <f t="shared" si="118"/>
        <v>0</v>
      </c>
      <c r="GS96" s="146">
        <f t="shared" si="118"/>
        <v>-3291.75</v>
      </c>
      <c r="GU96" s="146"/>
      <c r="GV96" s="57"/>
    </row>
    <row r="97" spans="1:204">
      <c r="A97" s="185">
        <v>3351</v>
      </c>
      <c r="B97" s="185">
        <v>103443</v>
      </c>
      <c r="C97" s="185" t="s">
        <v>218</v>
      </c>
      <c r="D97" s="2" t="s">
        <v>219</v>
      </c>
      <c r="E97" s="191" t="s">
        <v>32</v>
      </c>
      <c r="F97" s="191" t="s">
        <v>912</v>
      </c>
      <c r="H97" s="279">
        <f>_xlfn.IFNA(VLOOKUP($A97,ISB!$A$4:$BY$454,67,FALSE),0)</f>
        <v>1317723.7599071092</v>
      </c>
      <c r="I97" s="279">
        <f>_xlfn.IFNA(VLOOKUP($A97,ISB!$A$4:$BY$454,72,FALSE),0)</f>
        <v>-5424.6399999999994</v>
      </c>
      <c r="J97" s="279">
        <f>-_xlfn.IFNA(VLOOKUP($A97,ISB!$A$4:$BY$454,76,FALSE),0)</f>
        <v>-21610.93</v>
      </c>
      <c r="K97" s="279">
        <f>_xlfn.IFNA(VLOOKUP($A97,ISB!$A$4:$BY$454,77,FALSE),0)</f>
        <v>1290688.1899071094</v>
      </c>
      <c r="M97" s="301">
        <f t="shared" si="72"/>
        <v>109810.31332559243</v>
      </c>
      <c r="N97" s="301">
        <f>VLOOKUP($A97,EY!$A:$H,8,FALSE)+(VLOOKUP($A97,EY!$A:$BS,17,FALSE)-S97)+VLOOKUP($A97,EY!$A:$BS,41,FALSE)</f>
        <v>27221.562105263165</v>
      </c>
      <c r="O97" s="302"/>
      <c r="P97" s="302">
        <f>_xlfn.IFNA((VLOOKUP($A97,HN!$A:$K,8,FALSE)/12),0)</f>
        <v>0</v>
      </c>
      <c r="Q97" s="302">
        <f>_xlfn.IFNA((VLOOKUP($A97,HN!$A:$BS,14,FALSE)/12),0)</f>
        <v>0</v>
      </c>
      <c r="R97" s="302">
        <f>_xlfn.IFNA(VLOOKUP($A97,'Post 16'!$A:$V,21,FALSE),0)/4</f>
        <v>0</v>
      </c>
      <c r="S97" s="302">
        <f>VLOOKUP($A97,EY!A:Q,15,FALSE)*80%</f>
        <v>0</v>
      </c>
      <c r="T97" s="302">
        <f>_xlfn.IFNA((VLOOKUP($A97,HN!$A:$K,9,FALSE)/12),0)+_xlfn.IFNA((VLOOKUP($A97,HN!$A:$K,10,FALSE)/12),0)</f>
        <v>0</v>
      </c>
      <c r="U97" s="302">
        <f>_xlfn.IFNA((VLOOKUP($A97,HN!$A:$BS,15,FALSE)/12),0)</f>
        <v>0</v>
      </c>
      <c r="V97" s="301">
        <f t="shared" si="73"/>
        <v>-452.05333333333328</v>
      </c>
      <c r="W97" s="301">
        <f t="shared" si="74"/>
        <v>-1800.9108333333334</v>
      </c>
      <c r="X97" s="302"/>
      <c r="Y97" s="302">
        <f>_xlfn.IFNA(VLOOKUP($A97,'Cash Advances'!$A:$S,8,FALSE),0)</f>
        <v>0</v>
      </c>
      <c r="Z97" s="301">
        <f t="shared" si="67"/>
        <v>134778.91126418894</v>
      </c>
      <c r="AA97" s="315">
        <f t="shared" si="75"/>
        <v>109810.31332559243</v>
      </c>
      <c r="AB97" s="315"/>
      <c r="AC97" s="316"/>
      <c r="AD97" s="316">
        <f>_xlfn.IFNA((VLOOKUP($A97,HN!$A:$K,8,FALSE)/12),0)</f>
        <v>0</v>
      </c>
      <c r="AE97" s="316">
        <f>_xlfn.IFNA((VLOOKUP($A97,HN!$A:$BS,14,FALSE)/12),0)</f>
        <v>0</v>
      </c>
      <c r="AF97" s="316">
        <f>_xlfn.IFNA(VLOOKUP($A97,'Post 16'!$A:$V,21,FALSE),0)/4</f>
        <v>0</v>
      </c>
      <c r="AG97" s="316"/>
      <c r="AH97" s="316">
        <f>_xlfn.IFNA((VLOOKUP($A97,HN!$A:$K,9,FALSE)/12),0)+_xlfn.IFNA((VLOOKUP($A97,HN!$A:$K,10,FALSE)/12),0)</f>
        <v>0</v>
      </c>
      <c r="AI97" s="316">
        <f>_xlfn.IFNA((VLOOKUP($A97,HN!$A:$BS,15,FALSE)/12),0)</f>
        <v>0</v>
      </c>
      <c r="AJ97" s="315">
        <f t="shared" si="76"/>
        <v>-452.05333333333328</v>
      </c>
      <c r="AK97" s="315">
        <f t="shared" si="77"/>
        <v>-1800.9108333333334</v>
      </c>
      <c r="AL97" s="316"/>
      <c r="AM97" s="316">
        <f>_xlfn.IFNA(VLOOKUP($A97,'Cash Advances'!$A:$S,9,FALSE),0)</f>
        <v>0</v>
      </c>
      <c r="AN97" s="315">
        <f t="shared" si="68"/>
        <v>107557.34915892578</v>
      </c>
      <c r="AO97" s="308">
        <f t="shared" si="78"/>
        <v>109810.31332559243</v>
      </c>
      <c r="AP97" s="308"/>
      <c r="AQ97" s="309"/>
      <c r="AR97" s="309">
        <f>_xlfn.IFNA((VLOOKUP($A97,HN!$A:$K,8,FALSE)/12),0)</f>
        <v>0</v>
      </c>
      <c r="AS97" s="309">
        <f>_xlfn.IFNA((VLOOKUP($A97,HN!$A:$BS,14,FALSE)/12),0)</f>
        <v>0</v>
      </c>
      <c r="AT97" s="309">
        <f>_xlfn.IFNA(VLOOKUP($A97,'Post 16'!$A:$V,21,FALSE),0)/4</f>
        <v>0</v>
      </c>
      <c r="AU97" s="309"/>
      <c r="AV97" s="309">
        <f>_xlfn.IFNA((VLOOKUP($A97,HN!$A:$K,9,FALSE)/12),0)+_xlfn.IFNA((VLOOKUP($A97,HN!$A:$K,10,FALSE)/12),0)+_xlfn.IFNA(VLOOKUP(A97,HN!A:V,19,FALSE),0)+_xlfn.IFNA(VLOOKUP(A97,HN!A:V,20,FALSE),0)+_xlfn.IFNA(VLOOKUP(A97,HN!A:V,21,FALSE),0)</f>
        <v>0</v>
      </c>
      <c r="AW97" s="309">
        <f>_xlfn.IFNA((VLOOKUP($A97,HN!$A:$BS,15,FALSE)/12),0)</f>
        <v>0</v>
      </c>
      <c r="AX97" s="308">
        <f t="shared" si="79"/>
        <v>-452.05333333333328</v>
      </c>
      <c r="AY97" s="308">
        <f t="shared" si="80"/>
        <v>-1800.9108333333334</v>
      </c>
      <c r="AZ97" s="309"/>
      <c r="BA97" s="309">
        <f>_xlfn.IFNA(VLOOKUP($A97,'Cash Advances'!$A:$S,10,FALSE),0)</f>
        <v>0</v>
      </c>
      <c r="BB97" s="308">
        <f t="shared" si="69"/>
        <v>107557.34915892578</v>
      </c>
      <c r="BC97" s="330">
        <f t="shared" si="81"/>
        <v>109810.31332559243</v>
      </c>
      <c r="BD97" s="330"/>
      <c r="BE97" s="331"/>
      <c r="BF97" s="331">
        <f>_xlfn.IFNA((VLOOKUP($A97,HN!$A:$K,8,FALSE)/12),0)</f>
        <v>0</v>
      </c>
      <c r="BG97" s="331">
        <f>_xlfn.IFNA((VLOOKUP($A97,HN!$A:$BS,14,FALSE)/12),0)</f>
        <v>0</v>
      </c>
      <c r="BH97" s="331">
        <f>_xlfn.IFNA(VLOOKUP($A97,'Post 16'!$A:$V,21,FALSE),0)/4</f>
        <v>0</v>
      </c>
      <c r="BI97" s="331"/>
      <c r="BJ97" s="331">
        <f>_xlfn.IFNA((VLOOKUP($A97,HN!$A:$K,9,FALSE)/12),0)+_xlfn.IFNA((VLOOKUP($A97,HN!$A:$K,10,FALSE)/12),0)</f>
        <v>0</v>
      </c>
      <c r="BK97" s="331">
        <f>_xlfn.IFNA((VLOOKUP($A97,HN!$A:$BS,15,FALSE)/12),0)</f>
        <v>0</v>
      </c>
      <c r="BL97" s="330">
        <f t="shared" si="82"/>
        <v>-452.05333333333328</v>
      </c>
      <c r="BM97" s="330">
        <f t="shared" si="83"/>
        <v>-1800.9108333333334</v>
      </c>
      <c r="BN97" s="331"/>
      <c r="BO97" s="331">
        <f>_xlfn.IFNA(VLOOKUP(A97,'Cash Advances'!A:K,11,FALSE),0)</f>
        <v>0</v>
      </c>
      <c r="BP97" s="330">
        <f t="shared" si="70"/>
        <v>107557.34915892578</v>
      </c>
      <c r="BQ97" s="322">
        <f t="shared" si="84"/>
        <v>109810.31332559243</v>
      </c>
      <c r="BR97" s="322"/>
      <c r="BS97" s="323"/>
      <c r="BT97" s="323">
        <f>_xlfn.IFNA((VLOOKUP($A97,HN!$A:$K,8,FALSE)/12),0)</f>
        <v>0</v>
      </c>
      <c r="BU97" s="323">
        <f>_xlfn.IFNA((VLOOKUP($A97,HN!$A:$BS,14,FALSE)/12),0)</f>
        <v>0</v>
      </c>
      <c r="BV97" s="323">
        <f>(_xlfn.IFNA(VLOOKUP($A97,'Post 16'!$A:$AV,32,FALSE),0)/8)+_xlfn.IFNA(VLOOKUP($A97,'Post 16'!$A:$AR,40,FALSE),0)</f>
        <v>0</v>
      </c>
      <c r="BW97" s="323"/>
      <c r="BX97" s="323">
        <f>_xlfn.IFNA((VLOOKUP($A97,HN!$A:$K,9,FALSE)/12),0)+_xlfn.IFNA((VLOOKUP($A97,HN!$A:$K,10,FALSE)/12),0)</f>
        <v>0</v>
      </c>
      <c r="BY97" s="323">
        <f>_xlfn.IFNA((VLOOKUP($A97,HN!$A:$BS,15,FALSE)/12),0)</f>
        <v>0</v>
      </c>
      <c r="BZ97" s="322">
        <f t="shared" si="85"/>
        <v>-452.05333333333328</v>
      </c>
      <c r="CA97" s="322">
        <f t="shared" si="86"/>
        <v>-1800.9108333333334</v>
      </c>
      <c r="CB97" s="323"/>
      <c r="CC97" s="323"/>
      <c r="CD97" s="322">
        <f t="shared" si="71"/>
        <v>107557.34915892578</v>
      </c>
      <c r="CE97" s="357">
        <f t="shared" si="87"/>
        <v>109810.31332559243</v>
      </c>
      <c r="CF97" s="357">
        <f>(VLOOKUP($A97,EY!$A:$BS,26,FALSE)-(VLOOKUP($A97,EY!A:CR,24,FALSE)*80%))+VLOOKUP($A97,EY!$A:$BS,42,FALSE)+(VLOOKUP($A97,EY!A:CC,74,FALSE)-VLOOKUP($A97,EY!A:CC,72,FALSE))</f>
        <v>26977.859999999993</v>
      </c>
      <c r="CG97" s="358"/>
      <c r="CH97" s="358">
        <f>_xlfn.IFNA((VLOOKUP($A97,HN!$A:$K,8,FALSE)/12),0)</f>
        <v>0</v>
      </c>
      <c r="CI97" s="358">
        <f>_xlfn.IFNA((VLOOKUP($A97,HN!$A:$BS,14,FALSE)/12),0)</f>
        <v>0</v>
      </c>
      <c r="CJ97" s="358">
        <f>(_xlfn.IFNA(VLOOKUP($A97,'Post 16'!$A:$AV,32,FALSE),0)/8)</f>
        <v>0</v>
      </c>
      <c r="CK97" s="358">
        <f>(VLOOKUP($A97,EY!A:CR,24,FALSE)*80%)+VLOOKUP($A97,EY!A:CC,72,FALSE)</f>
        <v>0</v>
      </c>
      <c r="CL97" s="358">
        <f>_xlfn.IFNA((VLOOKUP($A97,HN!$A:$K,9,FALSE)/12),0)+_xlfn.IFNA((VLOOKUP($A97,HN!$A:$K,10,FALSE)/12),0)</f>
        <v>0</v>
      </c>
      <c r="CM97" s="358">
        <f>_xlfn.IFNA((VLOOKUP($A97,HN!$A:$BS,15,FALSE)/12),0)</f>
        <v>0</v>
      </c>
      <c r="CN97" s="357">
        <f t="shared" si="88"/>
        <v>-452.05333333333328</v>
      </c>
      <c r="CO97" s="357">
        <f t="shared" si="89"/>
        <v>-1800.9108333333334</v>
      </c>
      <c r="CP97" s="358">
        <f>_xlfn.IFNA(VLOOKUP(A97,'LA Deductions'!A:W,23,FALSE),0)</f>
        <v>-5139.75</v>
      </c>
      <c r="CQ97" s="358">
        <f>_xlfn.IFNA(VLOOKUP($A97,'Cash Advances'!$A:$S,13,FALSE),0)</f>
        <v>0</v>
      </c>
      <c r="CR97" s="358">
        <f>_xlfn.IFNA(VLOOKUP(A97,'LA Deductions'!A:AZ,25,FALSE),0)/9*3</f>
        <v>0</v>
      </c>
      <c r="CS97" s="357">
        <f t="shared" si="108"/>
        <v>129395.45915892575</v>
      </c>
      <c r="CT97" s="337">
        <f t="shared" si="90"/>
        <v>109810.31332559243</v>
      </c>
      <c r="CU97" s="337"/>
      <c r="CV97" s="338">
        <f>_xlfn.IFNA(VLOOKUP(A97,'LA Deductions'!$A$6:$AN$207,34,FALSE),0)</f>
        <v>0</v>
      </c>
      <c r="CW97" s="338">
        <f>_xlfn.IFNA((VLOOKUP($A97,HN!$A:$K,8,FALSE)/12),0)</f>
        <v>0</v>
      </c>
      <c r="CX97" s="338">
        <f>_xlfn.IFNA((VLOOKUP($A97,HN!$A:$BS,14,FALSE)/12),0)</f>
        <v>0</v>
      </c>
      <c r="CY97" s="338">
        <f>_xlfn.IFNA(VLOOKUP($A97,'Post 16'!$A:$AV,32,FALSE),0)/8</f>
        <v>0</v>
      </c>
      <c r="CZ97" s="338"/>
      <c r="DA97" s="338">
        <f>_xlfn.IFNA((VLOOKUP($A97,HN!$A:$K,9,FALSE)/12),0)+_xlfn.IFNA((VLOOKUP($A97,HN!$A:$K,10,FALSE)/12),0)</f>
        <v>0</v>
      </c>
      <c r="DB97" s="338">
        <f>_xlfn.IFNA((VLOOKUP($A97,HN!$A:$BS,15,FALSE)/12),0)</f>
        <v>0</v>
      </c>
      <c r="DC97" s="337">
        <f t="shared" si="91"/>
        <v>-452.05333333333328</v>
      </c>
      <c r="DD97" s="337">
        <f t="shared" si="92"/>
        <v>-1800.9108333333334</v>
      </c>
      <c r="DE97" s="338"/>
      <c r="DF97" s="338">
        <f>_xlfn.IFNA(VLOOKUP($A97,'Cash Advances'!$A:$S,14,FALSE),0)</f>
        <v>0</v>
      </c>
      <c r="DG97" s="338">
        <f>(_xlfn.IFNA(VLOOKUP(A97,'LA Deductions'!A:AZ,25,FALSE),0)/9)+(_xlfn.IFNA(VLOOKUP(A97,'LA Deductions'!A:AZ,26,FALSE),0))</f>
        <v>0</v>
      </c>
      <c r="DH97" s="337">
        <f t="shared" si="109"/>
        <v>107557.34915892578</v>
      </c>
      <c r="DI97" s="330">
        <f t="shared" si="93"/>
        <v>109810.31332559243</v>
      </c>
      <c r="DJ97" s="330"/>
      <c r="DK97" s="331"/>
      <c r="DL97" s="331">
        <f>_xlfn.IFNA((VLOOKUP($A97,HN!$A:$K,8,FALSE)/12),0)+_xlfn.IFNA((VLOOKUP($A97,HN!$A:$AF,32,FALSE)*8/12),0)</f>
        <v>0</v>
      </c>
      <c r="DM97" s="331">
        <f>_xlfn.IFNA((VLOOKUP($A97,HN!$A:$BS,14,FALSE)/12),0)+_xlfn.IFNA(VLOOKUP($A97,HN!$A:$BS,31,FALSE),0)</f>
        <v>0</v>
      </c>
      <c r="DN97" s="331">
        <f>_xlfn.IFNA(VLOOKUP($A97,'Post 16'!$A:$AV,32,FALSE),0)/8</f>
        <v>0</v>
      </c>
      <c r="DO97" s="331"/>
      <c r="DP97" s="331">
        <f>_xlfn.IFNA((VLOOKUP($A97,HN!$A:$K,9,FALSE)/12),0)+_xlfn.IFNA((VLOOKUP($A97,HN!$A:$K,10,FALSE)/12),0)+_xlfn.IFNA((VLOOKUP($A97,HN!$A:$BZ,33,FALSE)*8/12),0)</f>
        <v>0</v>
      </c>
      <c r="DQ97" s="331">
        <f>_xlfn.IFNA((VLOOKUP($A97,HN!$A:$BS,15,FALSE)/12),0)</f>
        <v>0</v>
      </c>
      <c r="DR97" s="330">
        <f t="shared" si="94"/>
        <v>-452.05333333333328</v>
      </c>
      <c r="DS97" s="330">
        <f t="shared" si="95"/>
        <v>-1800.9108333333334</v>
      </c>
      <c r="DT97" s="331"/>
      <c r="DU97" s="331"/>
      <c r="DV97" s="331">
        <f>(_xlfn.IFNA(VLOOKUP(A97,'LA Deductions'!A:AZ,25,FALSE),0)/9)+_xlfn.IFNA(VLOOKUP(A97,'LA Deductions'!A:AZ,27,FALSE),0)</f>
        <v>0</v>
      </c>
      <c r="DW97" s="330">
        <f t="shared" si="110"/>
        <v>107557.34915892578</v>
      </c>
      <c r="DX97" s="344">
        <f t="shared" si="96"/>
        <v>109810.31332559243</v>
      </c>
      <c r="DY97" s="344"/>
      <c r="DZ97" s="345"/>
      <c r="EA97" s="345">
        <f>_xlfn.IFNA((VLOOKUP($A97,HN!$A:$K,8,FALSE)/12),0)+_xlfn.IFNA((VLOOKUP($A97,HN!$A:$AF,32,FALSE)*1/12),0)</f>
        <v>0</v>
      </c>
      <c r="EB97" s="345">
        <f>_xlfn.IFNA((VLOOKUP($A97,HN!$A:$BS,14,FALSE)/12),0)</f>
        <v>0</v>
      </c>
      <c r="EC97" s="345">
        <f>_xlfn.IFNA(VLOOKUP($A97,'Post 16'!$A:$AV,32,FALSE),0)/8</f>
        <v>0</v>
      </c>
      <c r="ED97" s="345"/>
      <c r="EE97" s="345">
        <f>_xlfn.IFNA((VLOOKUP($A97,HN!$A:$K,9,FALSE)/12),0)+_xlfn.IFNA((VLOOKUP($A97,HN!$A:$K,10,FALSE)/12),0)+_xlfn.IFNA((VLOOKUP($A97,HN!$A:$BZ,33,FALSE)/12),0)</f>
        <v>0</v>
      </c>
      <c r="EF97" s="345">
        <f>_xlfn.IFNA((VLOOKUP($A97,HN!$A:$BS,15,FALSE)/12),0)</f>
        <v>0</v>
      </c>
      <c r="EG97" s="344">
        <f t="shared" si="97"/>
        <v>-452.05333333333328</v>
      </c>
      <c r="EH97" s="344">
        <f t="shared" si="98"/>
        <v>-1800.9108333333334</v>
      </c>
      <c r="EI97" s="345"/>
      <c r="EJ97" s="345">
        <f>_xlfn.IFNA(VLOOKUP(A97,'Cash Advances'!A:P,16,FALSE),0)</f>
        <v>0</v>
      </c>
      <c r="EK97" s="345">
        <f>_xlfn.IFNA(VLOOKUP(A97,'LA Deductions'!A:AZ,25,FALSE),0)/9</f>
        <v>0</v>
      </c>
      <c r="EL97" s="344">
        <f t="shared" si="111"/>
        <v>107557.34915892578</v>
      </c>
      <c r="EM97" s="308">
        <f t="shared" si="99"/>
        <v>109810.31332559243</v>
      </c>
      <c r="EN97" s="308">
        <f>((VLOOKUP($A97,EY!$A:$BS,35,FALSE)-(VLOOKUP($A97,EY!$A:$BS,33,FALSE)*80%))+VLOOKUP($A97,EY!$A:$BS,43,FALSE))+(VLOOKUP(A97,EY!A:DF,110,FALSE)-VLOOKUP(A97,EY!A:DD,108,FALSE))+(VLOOKUP(A97,EY!A:CE,83,FALSE)-VLOOKUP(A97,EY!A:CC,81,FALSE))</f>
        <v>39349.235817174522</v>
      </c>
      <c r="EO97" s="309"/>
      <c r="EP97" s="309">
        <f>_xlfn.IFNA((VLOOKUP($A97,HN!$A:$K,8,FALSE)/12),0)+_xlfn.IFNA((VLOOKUP($A97,HN!$A:$AF,32,FALSE)*1/12),0)</f>
        <v>0</v>
      </c>
      <c r="EQ97" s="309">
        <f>_xlfn.IFNA((VLOOKUP($A97,HN!$A:$BS,14,FALSE)/12),0)+_xlfn.IFNA((VLOOKUP($A97,HN!$A:$BS,34,FALSE)/3),0)</f>
        <v>0</v>
      </c>
      <c r="ER97" s="309">
        <f>_xlfn.IFNA(VLOOKUP($A97,'Post 16'!$A:$AV,32,FALSE),0)/8</f>
        <v>0</v>
      </c>
      <c r="ES97" s="309">
        <f>((VLOOKUP($A97,EY!A:EV,33,FALSE)*80%))+VLOOKUP(A97,EY!A:DD,108,FALSE)+VLOOKUP(A97,EY!A:CC,81,FALSE)</f>
        <v>0</v>
      </c>
      <c r="ET97" s="309">
        <f>_xlfn.IFNA((VLOOKUP($A97,HN!$A:$K,9,FALSE)/12),0)+_xlfn.IFNA((VLOOKUP($A97,HN!$A:$K,10,FALSE)/12),0)+_xlfn.IFNA((VLOOKUP($A97,HN!$A:$BZ,33,FALSE)/12),0)</f>
        <v>0</v>
      </c>
      <c r="EU97" s="309">
        <f>_xlfn.IFNA((VLOOKUP($A97,HN!$A:$BS,15,FALSE)/12),0)</f>
        <v>0</v>
      </c>
      <c r="EV97" s="308">
        <f t="shared" si="100"/>
        <v>-452.05333333333328</v>
      </c>
      <c r="EW97" s="308">
        <f t="shared" si="101"/>
        <v>-1800.9108333333334</v>
      </c>
      <c r="EX97" s="309"/>
      <c r="EY97" s="309">
        <f>_xlfn.IFNA(VLOOKUP($A97,'Cash Advances'!$A:$S,17,FALSE),0)</f>
        <v>0</v>
      </c>
      <c r="EZ97" s="309">
        <f>_xlfn.IFNA(VLOOKUP(A97,'LA Deductions'!A:AZ,25,FALSE),0)/9</f>
        <v>0</v>
      </c>
      <c r="FA97" s="308">
        <f t="shared" si="112"/>
        <v>146906.58497610028</v>
      </c>
      <c r="FB97" s="315">
        <f t="shared" si="102"/>
        <v>109810.31332559243</v>
      </c>
      <c r="FC97" s="315"/>
      <c r="FD97" s="316"/>
      <c r="FE97" s="316">
        <f>_xlfn.IFNA((VLOOKUP($A97,HN!$A:$K,8,FALSE)/12),0)+_xlfn.IFNA((VLOOKUP($A97,HN!$A:$AF,32,FALSE)*1/12),0)</f>
        <v>0</v>
      </c>
      <c r="FF97" s="316">
        <f>_xlfn.IFNA((VLOOKUP($A97,HN!$A:$BS,14,FALSE)/12),0)+_xlfn.IFNA((VLOOKUP($A97,HN!$A:$BS,34,FALSE)/3),0)</f>
        <v>0</v>
      </c>
      <c r="FG97" s="316">
        <f>_xlfn.IFNA(VLOOKUP($A97,'Post 16'!$A:$AV,32,FALSE),0)/8</f>
        <v>0</v>
      </c>
      <c r="FH97" s="316"/>
      <c r="FI97" s="316">
        <f>_xlfn.IFNA((VLOOKUP($A97,HN!$A:$K,9,FALSE)/12),0)+_xlfn.IFNA((VLOOKUP($A97,HN!$A:$K,10,FALSE)/12),0)+_xlfn.IFNA((VLOOKUP($A97,HN!$A:$BZ,33,FALSE)/12),0)+_xlfn.IFNA((VLOOKUP($A97,HN!$A:$BZ,35,FALSE)/2),0)</f>
        <v>0</v>
      </c>
      <c r="FJ97" s="316">
        <f>_xlfn.IFNA((VLOOKUP($A97,HN!$A:$BS,15,FALSE)/12),0)+_xlfn.IFNA((VLOOKUP($A97,HN!$A:$CZ,36,FALSE)/2),0)</f>
        <v>0</v>
      </c>
      <c r="FK97" s="315">
        <f t="shared" si="103"/>
        <v>-452.05333333333328</v>
      </c>
      <c r="FL97" s="315">
        <f t="shared" si="104"/>
        <v>-1800.9108333333334</v>
      </c>
      <c r="FM97" s="316"/>
      <c r="FN97" s="316">
        <f>_xlfn.IFNA(VLOOKUP($A97,'Cash Advances'!$A:$S,18,FALSE),0)</f>
        <v>0</v>
      </c>
      <c r="FO97" s="316">
        <f>_xlfn.IFNA(VLOOKUP(A97,'LA Deductions'!A:AZ,25,FALSE),0)/9</f>
        <v>0</v>
      </c>
      <c r="FP97" s="315">
        <f t="shared" si="113"/>
        <v>107557.34915892578</v>
      </c>
      <c r="FQ97" s="322">
        <f t="shared" si="105"/>
        <v>109810.31332559243</v>
      </c>
      <c r="FR97" s="322"/>
      <c r="FS97" s="323"/>
      <c r="FT97" s="323">
        <f>_xlfn.IFNA((VLOOKUP($A97,HN!$A:$K,8,FALSE)/12),0)+_xlfn.IFNA((VLOOKUP($A97,HN!$A:$AF,32,FALSE)*1/12),0)</f>
        <v>0</v>
      </c>
      <c r="FU97" s="323">
        <f>_xlfn.IFNA((VLOOKUP($A97,HN!$A:$BS,14,FALSE)/12),0)+_xlfn.IFNA((VLOOKUP($A97,HN!$A:$BS,34,FALSE)/3),0)</f>
        <v>0</v>
      </c>
      <c r="FV97" s="323">
        <f>_xlfn.IFNA(VLOOKUP($A97,'Post 16'!$A:$AV,32,FALSE),0)/8</f>
        <v>0</v>
      </c>
      <c r="FW97" s="323"/>
      <c r="FX97" s="323">
        <f>_xlfn.IFNA((VLOOKUP($A97,HN!$A:$K,9,FALSE)/12),0)+_xlfn.IFNA((VLOOKUP($A97,HN!$A:$K,10,FALSE)/12),0)+_xlfn.IFNA((VLOOKUP($A97,HN!$A:$BZ,33,FALSE)/12),0)+_xlfn.IFNA((VLOOKUP($A97,HN!$A:$BZ,35,FALSE)/2),0)</f>
        <v>0</v>
      </c>
      <c r="FY97" s="323">
        <f>_xlfn.IFNA((VLOOKUP($A97,HN!$A:$BS,15,FALSE)/12),0)+_xlfn.IFNA((VLOOKUP($A97,HN!$A:$CZ,36,FALSE)/2),0)</f>
        <v>0</v>
      </c>
      <c r="FZ97" s="322">
        <f t="shared" si="106"/>
        <v>-452.05333333333328</v>
      </c>
      <c r="GA97" s="322">
        <f t="shared" si="107"/>
        <v>-1800.9108333333334</v>
      </c>
      <c r="GB97" s="323"/>
      <c r="GC97" s="323"/>
      <c r="GD97" s="323">
        <f>_xlfn.IFNA(VLOOKUP(A97,'LA Deductions'!A:AZ,25,FALSE),0)/9</f>
        <v>0</v>
      </c>
      <c r="GE97" s="322">
        <f t="shared" si="114"/>
        <v>107557.34915892578</v>
      </c>
      <c r="GG97" s="146">
        <f t="shared" ref="GG97:GL106" si="119">SUMIFS($M97:$GE97,$M$7:$GE$7,GG$7)</f>
        <v>1411272.4178295466</v>
      </c>
      <c r="GH97" s="146">
        <f t="shared" si="119"/>
        <v>0</v>
      </c>
      <c r="GI97" s="146">
        <f t="shared" si="119"/>
        <v>0</v>
      </c>
      <c r="GJ97" s="146">
        <f t="shared" si="119"/>
        <v>-5424.6399999999994</v>
      </c>
      <c r="GK97" s="146">
        <f t="shared" si="119"/>
        <v>-21610.93</v>
      </c>
      <c r="GL97" s="146">
        <f t="shared" si="119"/>
        <v>-5139.75</v>
      </c>
      <c r="GN97" s="146">
        <f t="shared" ref="GN97:GS106" si="120">SUMIFS($M97:$GE97,$M$7:$GE$7,GN$7,$M$4:$GE$4,$GN$6)</f>
        <v>1411272.4178295466</v>
      </c>
      <c r="GO97" s="146">
        <f t="shared" si="120"/>
        <v>0</v>
      </c>
      <c r="GP97" s="146">
        <f t="shared" si="120"/>
        <v>0</v>
      </c>
      <c r="GQ97" s="146">
        <f t="shared" si="120"/>
        <v>-5424.6399999999994</v>
      </c>
      <c r="GR97" s="146">
        <f t="shared" si="120"/>
        <v>-21610.93</v>
      </c>
      <c r="GS97" s="146">
        <f t="shared" si="120"/>
        <v>-5139.75</v>
      </c>
      <c r="GU97" s="146"/>
      <c r="GV97" s="57"/>
    </row>
    <row r="98" spans="1:204">
      <c r="A98" s="185">
        <v>3328</v>
      </c>
      <c r="B98" s="185">
        <v>103430</v>
      </c>
      <c r="C98" s="185" t="s">
        <v>220</v>
      </c>
      <c r="D98" s="2" t="s">
        <v>221</v>
      </c>
      <c r="E98" s="191" t="s">
        <v>32</v>
      </c>
      <c r="F98" s="191" t="s">
        <v>912</v>
      </c>
      <c r="H98" s="279">
        <f>_xlfn.IFNA(VLOOKUP($A98,ISB!$A$4:$BY$454,67,FALSE),0)</f>
        <v>1185158.891862019</v>
      </c>
      <c r="I98" s="279">
        <f>_xlfn.IFNA(VLOOKUP($A98,ISB!$A$4:$BY$454,72,FALSE),0)</f>
        <v>-5450.7199999999993</v>
      </c>
      <c r="J98" s="279">
        <f>-_xlfn.IFNA(VLOOKUP($A98,ISB!$A$4:$BY$454,76,FALSE),0)</f>
        <v>-3471.48</v>
      </c>
      <c r="K98" s="279">
        <f>_xlfn.IFNA(VLOOKUP($A98,ISB!$A$4:$BY$454,77,FALSE),0)</f>
        <v>1176236.691862019</v>
      </c>
      <c r="M98" s="301">
        <f t="shared" si="72"/>
        <v>98763.24098850158</v>
      </c>
      <c r="N98" s="301">
        <f>VLOOKUP($A98,EY!$A:$H,8,FALSE)+(VLOOKUP($A98,EY!$A:$BS,17,FALSE)-S98)+VLOOKUP($A98,EY!$A:$BS,41,FALSE)</f>
        <v>21832.200000000004</v>
      </c>
      <c r="O98" s="302"/>
      <c r="P98" s="302">
        <f>_xlfn.IFNA((VLOOKUP($A98,HN!$A:$K,8,FALSE)/12),0)</f>
        <v>0</v>
      </c>
      <c r="Q98" s="302">
        <f>_xlfn.IFNA((VLOOKUP($A98,HN!$A:$BS,14,FALSE)/12),0)</f>
        <v>0</v>
      </c>
      <c r="R98" s="302">
        <f>_xlfn.IFNA(VLOOKUP($A98,'Post 16'!$A:$V,21,FALSE),0)/4</f>
        <v>0</v>
      </c>
      <c r="S98" s="302">
        <f>VLOOKUP($A98,EY!A:Q,15,FALSE)*80%</f>
        <v>0</v>
      </c>
      <c r="T98" s="302">
        <f>_xlfn.IFNA((VLOOKUP($A98,HN!$A:$K,9,FALSE)/12),0)+_xlfn.IFNA((VLOOKUP($A98,HN!$A:$K,10,FALSE)/12),0)</f>
        <v>0</v>
      </c>
      <c r="U98" s="302">
        <f>_xlfn.IFNA((VLOOKUP($A98,HN!$A:$BS,15,FALSE)/12),0)</f>
        <v>0</v>
      </c>
      <c r="V98" s="301">
        <f t="shared" si="73"/>
        <v>-454.22666666666663</v>
      </c>
      <c r="W98" s="301">
        <f t="shared" si="74"/>
        <v>-289.29000000000002</v>
      </c>
      <c r="X98" s="302"/>
      <c r="Y98" s="302">
        <f>_xlfn.IFNA(VLOOKUP($A98,'Cash Advances'!$A:$S,8,FALSE),0)</f>
        <v>0</v>
      </c>
      <c r="Z98" s="301">
        <f t="shared" si="67"/>
        <v>119851.92432183493</v>
      </c>
      <c r="AA98" s="315">
        <f t="shared" si="75"/>
        <v>98763.24098850158</v>
      </c>
      <c r="AB98" s="315"/>
      <c r="AC98" s="316"/>
      <c r="AD98" s="316">
        <f>_xlfn.IFNA((VLOOKUP($A98,HN!$A:$K,8,FALSE)/12),0)</f>
        <v>0</v>
      </c>
      <c r="AE98" s="316">
        <f>_xlfn.IFNA((VLOOKUP($A98,HN!$A:$BS,14,FALSE)/12),0)</f>
        <v>0</v>
      </c>
      <c r="AF98" s="316">
        <f>_xlfn.IFNA(VLOOKUP($A98,'Post 16'!$A:$V,21,FALSE),0)/4</f>
        <v>0</v>
      </c>
      <c r="AG98" s="316"/>
      <c r="AH98" s="316">
        <f>_xlfn.IFNA((VLOOKUP($A98,HN!$A:$K,9,FALSE)/12),0)+_xlfn.IFNA((VLOOKUP($A98,HN!$A:$K,10,FALSE)/12),0)</f>
        <v>0</v>
      </c>
      <c r="AI98" s="316">
        <f>_xlfn.IFNA((VLOOKUP($A98,HN!$A:$BS,15,FALSE)/12),0)</f>
        <v>0</v>
      </c>
      <c r="AJ98" s="315">
        <f t="shared" si="76"/>
        <v>-454.22666666666663</v>
      </c>
      <c r="AK98" s="315">
        <f t="shared" si="77"/>
        <v>-289.29000000000002</v>
      </c>
      <c r="AL98" s="316"/>
      <c r="AM98" s="316">
        <f>_xlfn.IFNA(VLOOKUP($A98,'Cash Advances'!$A:$S,9,FALSE),0)</f>
        <v>0</v>
      </c>
      <c r="AN98" s="315">
        <f t="shared" si="68"/>
        <v>98019.724321834918</v>
      </c>
      <c r="AO98" s="308">
        <f t="shared" si="78"/>
        <v>98763.24098850158</v>
      </c>
      <c r="AP98" s="308"/>
      <c r="AQ98" s="309"/>
      <c r="AR98" s="309">
        <f>_xlfn.IFNA((VLOOKUP($A98,HN!$A:$K,8,FALSE)/12),0)</f>
        <v>0</v>
      </c>
      <c r="AS98" s="309">
        <f>_xlfn.IFNA((VLOOKUP($A98,HN!$A:$BS,14,FALSE)/12),0)</f>
        <v>0</v>
      </c>
      <c r="AT98" s="309">
        <f>_xlfn.IFNA(VLOOKUP($A98,'Post 16'!$A:$V,21,FALSE),0)/4</f>
        <v>0</v>
      </c>
      <c r="AU98" s="309"/>
      <c r="AV98" s="309">
        <f>_xlfn.IFNA((VLOOKUP($A98,HN!$A:$K,9,FALSE)/12),0)+_xlfn.IFNA((VLOOKUP($A98,HN!$A:$K,10,FALSE)/12),0)+_xlfn.IFNA(VLOOKUP(A98,HN!A:V,19,FALSE),0)+_xlfn.IFNA(VLOOKUP(A98,HN!A:V,20,FALSE),0)+_xlfn.IFNA(VLOOKUP(A98,HN!A:V,21,FALSE),0)</f>
        <v>0</v>
      </c>
      <c r="AW98" s="309">
        <f>_xlfn.IFNA((VLOOKUP($A98,HN!$A:$BS,15,FALSE)/12),0)</f>
        <v>0</v>
      </c>
      <c r="AX98" s="308">
        <f t="shared" si="79"/>
        <v>-454.22666666666663</v>
      </c>
      <c r="AY98" s="308">
        <f t="shared" si="80"/>
        <v>-289.29000000000002</v>
      </c>
      <c r="AZ98" s="309"/>
      <c r="BA98" s="309">
        <f>_xlfn.IFNA(VLOOKUP($A98,'Cash Advances'!$A:$S,10,FALSE),0)</f>
        <v>0</v>
      </c>
      <c r="BB98" s="308">
        <f t="shared" si="69"/>
        <v>98019.724321834918</v>
      </c>
      <c r="BC98" s="330">
        <f t="shared" si="81"/>
        <v>98763.24098850158</v>
      </c>
      <c r="BD98" s="330"/>
      <c r="BE98" s="331"/>
      <c r="BF98" s="331">
        <f>_xlfn.IFNA((VLOOKUP($A98,HN!$A:$K,8,FALSE)/12),0)</f>
        <v>0</v>
      </c>
      <c r="BG98" s="331">
        <f>_xlfn.IFNA((VLOOKUP($A98,HN!$A:$BS,14,FALSE)/12),0)</f>
        <v>0</v>
      </c>
      <c r="BH98" s="331">
        <f>_xlfn.IFNA(VLOOKUP($A98,'Post 16'!$A:$V,21,FALSE),0)/4</f>
        <v>0</v>
      </c>
      <c r="BI98" s="331"/>
      <c r="BJ98" s="331">
        <f>_xlfn.IFNA((VLOOKUP($A98,HN!$A:$K,9,FALSE)/12),0)+_xlfn.IFNA((VLOOKUP($A98,HN!$A:$K,10,FALSE)/12),0)</f>
        <v>0</v>
      </c>
      <c r="BK98" s="331">
        <f>_xlfn.IFNA((VLOOKUP($A98,HN!$A:$BS,15,FALSE)/12),0)</f>
        <v>0</v>
      </c>
      <c r="BL98" s="330">
        <f t="shared" si="82"/>
        <v>-454.22666666666663</v>
      </c>
      <c r="BM98" s="330">
        <f t="shared" si="83"/>
        <v>-289.29000000000002</v>
      </c>
      <c r="BN98" s="331"/>
      <c r="BO98" s="331">
        <f>_xlfn.IFNA(VLOOKUP(A98,'Cash Advances'!A:K,11,FALSE),0)</f>
        <v>0</v>
      </c>
      <c r="BP98" s="330">
        <f t="shared" si="70"/>
        <v>98019.724321834918</v>
      </c>
      <c r="BQ98" s="322">
        <f t="shared" si="84"/>
        <v>98763.24098850158</v>
      </c>
      <c r="BR98" s="322"/>
      <c r="BS98" s="323"/>
      <c r="BT98" s="323">
        <f>_xlfn.IFNA((VLOOKUP($A98,HN!$A:$K,8,FALSE)/12),0)</f>
        <v>0</v>
      </c>
      <c r="BU98" s="323">
        <f>_xlfn.IFNA((VLOOKUP($A98,HN!$A:$BS,14,FALSE)/12),0)</f>
        <v>0</v>
      </c>
      <c r="BV98" s="323">
        <f>(_xlfn.IFNA(VLOOKUP($A98,'Post 16'!$A:$AV,32,FALSE),0)/8)+_xlfn.IFNA(VLOOKUP($A98,'Post 16'!$A:$AR,40,FALSE),0)</f>
        <v>0</v>
      </c>
      <c r="BW98" s="323"/>
      <c r="BX98" s="323">
        <f>_xlfn.IFNA((VLOOKUP($A98,HN!$A:$K,9,FALSE)/12),0)+_xlfn.IFNA((VLOOKUP($A98,HN!$A:$K,10,FALSE)/12),0)</f>
        <v>0</v>
      </c>
      <c r="BY98" s="323">
        <f>_xlfn.IFNA((VLOOKUP($A98,HN!$A:$BS,15,FALSE)/12),0)</f>
        <v>0</v>
      </c>
      <c r="BZ98" s="322">
        <f t="shared" si="85"/>
        <v>-454.22666666666663</v>
      </c>
      <c r="CA98" s="322">
        <f t="shared" si="86"/>
        <v>-289.29000000000002</v>
      </c>
      <c r="CB98" s="323"/>
      <c r="CC98" s="323"/>
      <c r="CD98" s="322">
        <f t="shared" si="71"/>
        <v>98019.724321834918</v>
      </c>
      <c r="CE98" s="357">
        <f t="shared" si="87"/>
        <v>98763.24098850158</v>
      </c>
      <c r="CF98" s="357">
        <f>(VLOOKUP($A98,EY!$A:$BS,26,FALSE)-(VLOOKUP($A98,EY!A:CR,24,FALSE)*80%))+VLOOKUP($A98,EY!$A:$BS,42,FALSE)+(VLOOKUP($A98,EY!A:CC,74,FALSE)-VLOOKUP($A98,EY!A:CC,72,FALSE))</f>
        <v>3184.7194736842084</v>
      </c>
      <c r="CG98" s="358"/>
      <c r="CH98" s="358">
        <f>_xlfn.IFNA((VLOOKUP($A98,HN!$A:$K,8,FALSE)/12),0)</f>
        <v>0</v>
      </c>
      <c r="CI98" s="358">
        <f>_xlfn.IFNA((VLOOKUP($A98,HN!$A:$BS,14,FALSE)/12),0)</f>
        <v>0</v>
      </c>
      <c r="CJ98" s="358">
        <f>(_xlfn.IFNA(VLOOKUP($A98,'Post 16'!$A:$AV,32,FALSE),0)/8)</f>
        <v>0</v>
      </c>
      <c r="CK98" s="358">
        <f>(VLOOKUP($A98,EY!A:CR,24,FALSE)*80%)+VLOOKUP($A98,EY!A:CC,72,FALSE)</f>
        <v>0</v>
      </c>
      <c r="CL98" s="358">
        <f>_xlfn.IFNA((VLOOKUP($A98,HN!$A:$K,9,FALSE)/12),0)+_xlfn.IFNA((VLOOKUP($A98,HN!$A:$K,10,FALSE)/12),0)</f>
        <v>0</v>
      </c>
      <c r="CM98" s="358">
        <f>_xlfn.IFNA((VLOOKUP($A98,HN!$A:$BS,15,FALSE)/12),0)</f>
        <v>0</v>
      </c>
      <c r="CN98" s="357">
        <f t="shared" si="88"/>
        <v>-454.22666666666663</v>
      </c>
      <c r="CO98" s="357">
        <f t="shared" si="89"/>
        <v>-289.29000000000002</v>
      </c>
      <c r="CP98" s="358">
        <f>_xlfn.IFNA(VLOOKUP(A98,'LA Deductions'!A:W,23,FALSE),0)</f>
        <v>-5139.75</v>
      </c>
      <c r="CQ98" s="358">
        <f>_xlfn.IFNA(VLOOKUP($A98,'Cash Advances'!$A:$S,13,FALSE),0)</f>
        <v>0</v>
      </c>
      <c r="CR98" s="358">
        <f>_xlfn.IFNA(VLOOKUP(A98,'LA Deductions'!A:AZ,25,FALSE),0)/9*3</f>
        <v>0</v>
      </c>
      <c r="CS98" s="357">
        <f t="shared" si="108"/>
        <v>96064.693795519124</v>
      </c>
      <c r="CT98" s="337">
        <f t="shared" si="90"/>
        <v>98763.24098850158</v>
      </c>
      <c r="CU98" s="337"/>
      <c r="CV98" s="338">
        <f>_xlfn.IFNA(VLOOKUP(A98,'LA Deductions'!$A$6:$AN$207,34,FALSE),0)</f>
        <v>0</v>
      </c>
      <c r="CW98" s="338">
        <f>_xlfn.IFNA((VLOOKUP($A98,HN!$A:$K,8,FALSE)/12),0)</f>
        <v>0</v>
      </c>
      <c r="CX98" s="338">
        <f>_xlfn.IFNA((VLOOKUP($A98,HN!$A:$BS,14,FALSE)/12),0)</f>
        <v>0</v>
      </c>
      <c r="CY98" s="338">
        <f>_xlfn.IFNA(VLOOKUP($A98,'Post 16'!$A:$AV,32,FALSE),0)/8</f>
        <v>0</v>
      </c>
      <c r="CZ98" s="338"/>
      <c r="DA98" s="338">
        <f>_xlfn.IFNA((VLOOKUP($A98,HN!$A:$K,9,FALSE)/12),0)+_xlfn.IFNA((VLOOKUP($A98,HN!$A:$K,10,FALSE)/12),0)</f>
        <v>0</v>
      </c>
      <c r="DB98" s="338">
        <f>_xlfn.IFNA((VLOOKUP($A98,HN!$A:$BS,15,FALSE)/12),0)</f>
        <v>0</v>
      </c>
      <c r="DC98" s="337">
        <f t="shared" si="91"/>
        <v>-454.22666666666663</v>
      </c>
      <c r="DD98" s="337">
        <f t="shared" si="92"/>
        <v>-289.29000000000002</v>
      </c>
      <c r="DE98" s="338"/>
      <c r="DF98" s="338">
        <f>_xlfn.IFNA(VLOOKUP($A98,'Cash Advances'!$A:$S,14,FALSE),0)</f>
        <v>0</v>
      </c>
      <c r="DG98" s="338">
        <f>(_xlfn.IFNA(VLOOKUP(A98,'LA Deductions'!A:AZ,25,FALSE),0)/9)+(_xlfn.IFNA(VLOOKUP(A98,'LA Deductions'!A:AZ,26,FALSE),0))</f>
        <v>0</v>
      </c>
      <c r="DH98" s="337">
        <f t="shared" si="109"/>
        <v>98019.724321834918</v>
      </c>
      <c r="DI98" s="330">
        <f t="shared" si="93"/>
        <v>98763.24098850158</v>
      </c>
      <c r="DJ98" s="330"/>
      <c r="DK98" s="331"/>
      <c r="DL98" s="331">
        <f>_xlfn.IFNA((VLOOKUP($A98,HN!$A:$K,8,FALSE)/12),0)+_xlfn.IFNA((VLOOKUP($A98,HN!$A:$AF,32,FALSE)*8/12),0)</f>
        <v>0</v>
      </c>
      <c r="DM98" s="331">
        <f>_xlfn.IFNA((VLOOKUP($A98,HN!$A:$BS,14,FALSE)/12),0)+_xlfn.IFNA(VLOOKUP($A98,HN!$A:$BS,31,FALSE),0)</f>
        <v>0</v>
      </c>
      <c r="DN98" s="331">
        <f>_xlfn.IFNA(VLOOKUP($A98,'Post 16'!$A:$AV,32,FALSE),0)/8</f>
        <v>0</v>
      </c>
      <c r="DO98" s="331"/>
      <c r="DP98" s="331">
        <f>_xlfn.IFNA((VLOOKUP($A98,HN!$A:$K,9,FALSE)/12),0)+_xlfn.IFNA((VLOOKUP($A98,HN!$A:$K,10,FALSE)/12),0)+_xlfn.IFNA((VLOOKUP($A98,HN!$A:$BZ,33,FALSE)*8/12),0)</f>
        <v>0</v>
      </c>
      <c r="DQ98" s="331">
        <f>_xlfn.IFNA((VLOOKUP($A98,HN!$A:$BS,15,FALSE)/12),0)</f>
        <v>0</v>
      </c>
      <c r="DR98" s="330">
        <f t="shared" si="94"/>
        <v>-454.22666666666663</v>
      </c>
      <c r="DS98" s="330">
        <f t="shared" si="95"/>
        <v>-289.29000000000002</v>
      </c>
      <c r="DT98" s="331"/>
      <c r="DU98" s="331"/>
      <c r="DV98" s="331">
        <f>(_xlfn.IFNA(VLOOKUP(A98,'LA Deductions'!A:AZ,25,FALSE),0)/9)+_xlfn.IFNA(VLOOKUP(A98,'LA Deductions'!A:AZ,27,FALSE),0)</f>
        <v>0</v>
      </c>
      <c r="DW98" s="330">
        <f t="shared" si="110"/>
        <v>98019.724321834918</v>
      </c>
      <c r="DX98" s="344">
        <f t="shared" si="96"/>
        <v>98763.24098850158</v>
      </c>
      <c r="DY98" s="344"/>
      <c r="DZ98" s="345"/>
      <c r="EA98" s="345">
        <f>_xlfn.IFNA((VLOOKUP($A98,HN!$A:$K,8,FALSE)/12),0)+_xlfn.IFNA((VLOOKUP($A98,HN!$A:$AF,32,FALSE)*1/12),0)</f>
        <v>0</v>
      </c>
      <c r="EB98" s="345">
        <f>_xlfn.IFNA((VLOOKUP($A98,HN!$A:$BS,14,FALSE)/12),0)</f>
        <v>0</v>
      </c>
      <c r="EC98" s="345">
        <f>_xlfn.IFNA(VLOOKUP($A98,'Post 16'!$A:$AV,32,FALSE),0)/8</f>
        <v>0</v>
      </c>
      <c r="ED98" s="345"/>
      <c r="EE98" s="345">
        <f>_xlfn.IFNA((VLOOKUP($A98,HN!$A:$K,9,FALSE)/12),0)+_xlfn.IFNA((VLOOKUP($A98,HN!$A:$K,10,FALSE)/12),0)+_xlfn.IFNA((VLOOKUP($A98,HN!$A:$BZ,33,FALSE)/12),0)</f>
        <v>0</v>
      </c>
      <c r="EF98" s="345">
        <f>_xlfn.IFNA((VLOOKUP($A98,HN!$A:$BS,15,FALSE)/12),0)</f>
        <v>0</v>
      </c>
      <c r="EG98" s="344">
        <f t="shared" si="97"/>
        <v>-454.22666666666663</v>
      </c>
      <c r="EH98" s="344">
        <f t="shared" si="98"/>
        <v>-289.29000000000002</v>
      </c>
      <c r="EI98" s="345"/>
      <c r="EJ98" s="345">
        <f>_xlfn.IFNA(VLOOKUP(A98,'Cash Advances'!A:P,16,FALSE),0)</f>
        <v>0</v>
      </c>
      <c r="EK98" s="345">
        <f>_xlfn.IFNA(VLOOKUP(A98,'LA Deductions'!A:AZ,25,FALSE),0)/9</f>
        <v>0</v>
      </c>
      <c r="EL98" s="344">
        <f t="shared" si="111"/>
        <v>98019.724321834918</v>
      </c>
      <c r="EM98" s="308">
        <f t="shared" si="99"/>
        <v>98763.24098850158</v>
      </c>
      <c r="EN98" s="308">
        <f>((VLOOKUP($A98,EY!$A:$BS,35,FALSE)-(VLOOKUP($A98,EY!$A:$BS,33,FALSE)*80%))+VLOOKUP($A98,EY!$A:$BS,43,FALSE))+(VLOOKUP(A98,EY!A:DF,110,FALSE)-VLOOKUP(A98,EY!A:DD,108,FALSE))+(VLOOKUP(A98,EY!A:CE,83,FALSE)-VLOOKUP(A98,EY!A:CC,81,FALSE))</f>
        <v>16214.544016620501</v>
      </c>
      <c r="EO98" s="309"/>
      <c r="EP98" s="309">
        <f>_xlfn.IFNA((VLOOKUP($A98,HN!$A:$K,8,FALSE)/12),0)+_xlfn.IFNA((VLOOKUP($A98,HN!$A:$AF,32,FALSE)*1/12),0)</f>
        <v>0</v>
      </c>
      <c r="EQ98" s="309">
        <f>_xlfn.IFNA((VLOOKUP($A98,HN!$A:$BS,14,FALSE)/12),0)+_xlfn.IFNA((VLOOKUP($A98,HN!$A:$BS,34,FALSE)/3),0)</f>
        <v>0</v>
      </c>
      <c r="ER98" s="309">
        <f>_xlfn.IFNA(VLOOKUP($A98,'Post 16'!$A:$AV,32,FALSE),0)/8</f>
        <v>0</v>
      </c>
      <c r="ES98" s="309">
        <f>((VLOOKUP($A98,EY!A:EV,33,FALSE)*80%))+VLOOKUP(A98,EY!A:DD,108,FALSE)+VLOOKUP(A98,EY!A:CC,81,FALSE)</f>
        <v>0</v>
      </c>
      <c r="ET98" s="309">
        <f>_xlfn.IFNA((VLOOKUP($A98,HN!$A:$K,9,FALSE)/12),0)+_xlfn.IFNA((VLOOKUP($A98,HN!$A:$K,10,FALSE)/12),0)+_xlfn.IFNA((VLOOKUP($A98,HN!$A:$BZ,33,FALSE)/12),0)</f>
        <v>0</v>
      </c>
      <c r="EU98" s="309">
        <f>_xlfn.IFNA((VLOOKUP($A98,HN!$A:$BS,15,FALSE)/12),0)</f>
        <v>0</v>
      </c>
      <c r="EV98" s="308">
        <f t="shared" si="100"/>
        <v>-454.22666666666663</v>
      </c>
      <c r="EW98" s="308">
        <f t="shared" si="101"/>
        <v>-289.29000000000002</v>
      </c>
      <c r="EX98" s="309"/>
      <c r="EY98" s="309">
        <f>_xlfn.IFNA(VLOOKUP($A98,'Cash Advances'!$A:$S,17,FALSE),0)</f>
        <v>0</v>
      </c>
      <c r="EZ98" s="309">
        <f>_xlfn.IFNA(VLOOKUP(A98,'LA Deductions'!A:AZ,25,FALSE),0)/9</f>
        <v>0</v>
      </c>
      <c r="FA98" s="308">
        <f t="shared" si="112"/>
        <v>114234.26833845541</v>
      </c>
      <c r="FB98" s="315">
        <f t="shared" si="102"/>
        <v>98763.24098850158</v>
      </c>
      <c r="FC98" s="315"/>
      <c r="FD98" s="316"/>
      <c r="FE98" s="316">
        <f>_xlfn.IFNA((VLOOKUP($A98,HN!$A:$K,8,FALSE)/12),0)+_xlfn.IFNA((VLOOKUP($A98,HN!$A:$AF,32,FALSE)*1/12),0)</f>
        <v>0</v>
      </c>
      <c r="FF98" s="316">
        <f>_xlfn.IFNA((VLOOKUP($A98,HN!$A:$BS,14,FALSE)/12),0)+_xlfn.IFNA((VLOOKUP($A98,HN!$A:$BS,34,FALSE)/3),0)</f>
        <v>0</v>
      </c>
      <c r="FG98" s="316">
        <f>_xlfn.IFNA(VLOOKUP($A98,'Post 16'!$A:$AV,32,FALSE),0)/8</f>
        <v>0</v>
      </c>
      <c r="FH98" s="316"/>
      <c r="FI98" s="316">
        <f>_xlfn.IFNA((VLOOKUP($A98,HN!$A:$K,9,FALSE)/12),0)+_xlfn.IFNA((VLOOKUP($A98,HN!$A:$K,10,FALSE)/12),0)+_xlfn.IFNA((VLOOKUP($A98,HN!$A:$BZ,33,FALSE)/12),0)+_xlfn.IFNA((VLOOKUP($A98,HN!$A:$BZ,35,FALSE)/2),0)</f>
        <v>0</v>
      </c>
      <c r="FJ98" s="316">
        <f>_xlfn.IFNA((VLOOKUP($A98,HN!$A:$BS,15,FALSE)/12),0)+_xlfn.IFNA((VLOOKUP($A98,HN!$A:$CZ,36,FALSE)/2),0)</f>
        <v>0</v>
      </c>
      <c r="FK98" s="315">
        <f t="shared" si="103"/>
        <v>-454.22666666666663</v>
      </c>
      <c r="FL98" s="315">
        <f t="shared" si="104"/>
        <v>-289.29000000000002</v>
      </c>
      <c r="FM98" s="316"/>
      <c r="FN98" s="316">
        <f>_xlfn.IFNA(VLOOKUP($A98,'Cash Advances'!$A:$S,18,FALSE),0)</f>
        <v>0</v>
      </c>
      <c r="FO98" s="316">
        <f>_xlfn.IFNA(VLOOKUP(A98,'LA Deductions'!A:AZ,25,FALSE),0)/9</f>
        <v>0</v>
      </c>
      <c r="FP98" s="315">
        <f t="shared" si="113"/>
        <v>98019.724321834918</v>
      </c>
      <c r="FQ98" s="322">
        <f t="shared" si="105"/>
        <v>98763.24098850158</v>
      </c>
      <c r="FR98" s="322"/>
      <c r="FS98" s="323"/>
      <c r="FT98" s="323">
        <f>_xlfn.IFNA((VLOOKUP($A98,HN!$A:$K,8,FALSE)/12),0)+_xlfn.IFNA((VLOOKUP($A98,HN!$A:$AF,32,FALSE)*1/12),0)</f>
        <v>0</v>
      </c>
      <c r="FU98" s="323">
        <f>_xlfn.IFNA((VLOOKUP($A98,HN!$A:$BS,14,FALSE)/12),0)+_xlfn.IFNA((VLOOKUP($A98,HN!$A:$BS,34,FALSE)/3),0)</f>
        <v>0</v>
      </c>
      <c r="FV98" s="323">
        <f>_xlfn.IFNA(VLOOKUP($A98,'Post 16'!$A:$AV,32,FALSE),0)/8</f>
        <v>0</v>
      </c>
      <c r="FW98" s="323"/>
      <c r="FX98" s="323">
        <f>_xlfn.IFNA((VLOOKUP($A98,HN!$A:$K,9,FALSE)/12),0)+_xlfn.IFNA((VLOOKUP($A98,HN!$A:$K,10,FALSE)/12),0)+_xlfn.IFNA((VLOOKUP($A98,HN!$A:$BZ,33,FALSE)/12),0)+_xlfn.IFNA((VLOOKUP($A98,HN!$A:$BZ,35,FALSE)/2),0)</f>
        <v>0</v>
      </c>
      <c r="FY98" s="323">
        <f>_xlfn.IFNA((VLOOKUP($A98,HN!$A:$BS,15,FALSE)/12),0)+_xlfn.IFNA((VLOOKUP($A98,HN!$A:$CZ,36,FALSE)/2),0)</f>
        <v>0</v>
      </c>
      <c r="FZ98" s="322">
        <f t="shared" si="106"/>
        <v>-454.22666666666663</v>
      </c>
      <c r="GA98" s="322">
        <f t="shared" si="107"/>
        <v>-289.29000000000002</v>
      </c>
      <c r="GB98" s="323"/>
      <c r="GC98" s="323"/>
      <c r="GD98" s="323">
        <f>_xlfn.IFNA(VLOOKUP(A98,'LA Deductions'!A:AZ,25,FALSE),0)/9</f>
        <v>0</v>
      </c>
      <c r="GE98" s="322">
        <f t="shared" si="114"/>
        <v>98019.724321834918</v>
      </c>
      <c r="GG98" s="146">
        <f t="shared" si="119"/>
        <v>1226390.3553523237</v>
      </c>
      <c r="GH98" s="146">
        <f t="shared" si="119"/>
        <v>0</v>
      </c>
      <c r="GI98" s="146">
        <f t="shared" si="119"/>
        <v>0</v>
      </c>
      <c r="GJ98" s="146">
        <f t="shared" si="119"/>
        <v>-5450.7199999999984</v>
      </c>
      <c r="GK98" s="146">
        <f t="shared" si="119"/>
        <v>-3471.48</v>
      </c>
      <c r="GL98" s="146">
        <f t="shared" si="119"/>
        <v>-5139.75</v>
      </c>
      <c r="GN98" s="146">
        <f t="shared" si="120"/>
        <v>1226390.3553523237</v>
      </c>
      <c r="GO98" s="146">
        <f t="shared" si="120"/>
        <v>0</v>
      </c>
      <c r="GP98" s="146">
        <f t="shared" si="120"/>
        <v>0</v>
      </c>
      <c r="GQ98" s="146">
        <f t="shared" si="120"/>
        <v>-5450.7199999999984</v>
      </c>
      <c r="GR98" s="146">
        <f t="shared" si="120"/>
        <v>-3471.48</v>
      </c>
      <c r="GS98" s="146">
        <f t="shared" si="120"/>
        <v>-5139.75</v>
      </c>
      <c r="GU98" s="146"/>
      <c r="GV98" s="57"/>
    </row>
    <row r="99" spans="1:204">
      <c r="A99" s="185">
        <v>1008</v>
      </c>
      <c r="B99" s="185">
        <v>103123</v>
      </c>
      <c r="C99" s="185" t="s">
        <v>222</v>
      </c>
      <c r="D99" s="2" t="s">
        <v>223</v>
      </c>
      <c r="E99" s="191" t="s">
        <v>29</v>
      </c>
      <c r="F99" s="191" t="s">
        <v>912</v>
      </c>
      <c r="H99" s="279">
        <f>_xlfn.IFNA(VLOOKUP($A99,ISB!$A$4:$BY$454,67,FALSE),0)</f>
        <v>0</v>
      </c>
      <c r="I99" s="279">
        <f>_xlfn.IFNA(VLOOKUP($A99,ISB!$A$4:$BY$454,72,FALSE),0)</f>
        <v>0</v>
      </c>
      <c r="J99" s="279">
        <f>-_xlfn.IFNA(VLOOKUP($A99,ISB!$A$4:$BY$454,76,FALSE),0)</f>
        <v>0</v>
      </c>
      <c r="K99" s="279">
        <f>_xlfn.IFNA(VLOOKUP($A99,ISB!$A$4:$BY$454,77,FALSE),0)</f>
        <v>0</v>
      </c>
      <c r="M99" s="301">
        <f t="shared" si="72"/>
        <v>0</v>
      </c>
      <c r="N99" s="301">
        <f>VLOOKUP($A99,EY!$A:$H,8,FALSE)+(VLOOKUP($A99,EY!$A:$BS,17,FALSE)-S99)+VLOOKUP($A99,EY!$A:$BS,41,FALSE)</f>
        <v>275795.38686270971</v>
      </c>
      <c r="O99" s="302"/>
      <c r="P99" s="302">
        <f>_xlfn.IFNA((VLOOKUP($A99,HN!$A:$K,8,FALSE)/12),0)</f>
        <v>0</v>
      </c>
      <c r="Q99" s="302">
        <f>_xlfn.IFNA((VLOOKUP($A99,HN!$A:$BS,14,FALSE)/12),0)</f>
        <v>0</v>
      </c>
      <c r="R99" s="302">
        <f>_xlfn.IFNA(VLOOKUP($A99,'Post 16'!$A:$V,21,FALSE),0)/4</f>
        <v>0</v>
      </c>
      <c r="S99" s="302">
        <f>VLOOKUP($A99,EY!A:Q,15,FALSE)*80%</f>
        <v>0</v>
      </c>
      <c r="T99" s="302">
        <f>_xlfn.IFNA((VLOOKUP($A99,HN!$A:$K,9,FALSE)/12),0)+_xlfn.IFNA((VLOOKUP($A99,HN!$A:$K,10,FALSE)/12),0)</f>
        <v>0</v>
      </c>
      <c r="U99" s="302">
        <f>_xlfn.IFNA((VLOOKUP($A99,HN!$A:$BS,15,FALSE)/12),0)</f>
        <v>0</v>
      </c>
      <c r="V99" s="301">
        <f t="shared" si="73"/>
        <v>0</v>
      </c>
      <c r="W99" s="301">
        <f t="shared" si="74"/>
        <v>0</v>
      </c>
      <c r="X99" s="302"/>
      <c r="Y99" s="302">
        <f>_xlfn.IFNA(VLOOKUP($A99,'Cash Advances'!$A:$S,8,FALSE),0)</f>
        <v>0</v>
      </c>
      <c r="Z99" s="301">
        <f t="shared" si="67"/>
        <v>275795.38686270971</v>
      </c>
      <c r="AA99" s="315">
        <f t="shared" si="75"/>
        <v>0</v>
      </c>
      <c r="AB99" s="315"/>
      <c r="AC99" s="316"/>
      <c r="AD99" s="316">
        <f>_xlfn.IFNA((VLOOKUP($A99,HN!$A:$K,8,FALSE)/12),0)</f>
        <v>0</v>
      </c>
      <c r="AE99" s="316">
        <f>_xlfn.IFNA((VLOOKUP($A99,HN!$A:$BS,14,FALSE)/12),0)</f>
        <v>0</v>
      </c>
      <c r="AF99" s="316">
        <f>_xlfn.IFNA(VLOOKUP($A99,'Post 16'!$A:$V,21,FALSE),0)/4</f>
        <v>0</v>
      </c>
      <c r="AG99" s="316"/>
      <c r="AH99" s="316">
        <f>_xlfn.IFNA((VLOOKUP($A99,HN!$A:$K,9,FALSE)/12),0)+_xlfn.IFNA((VLOOKUP($A99,HN!$A:$K,10,FALSE)/12),0)</f>
        <v>0</v>
      </c>
      <c r="AI99" s="316">
        <f>_xlfn.IFNA((VLOOKUP($A99,HN!$A:$BS,15,FALSE)/12),0)</f>
        <v>0</v>
      </c>
      <c r="AJ99" s="315">
        <f t="shared" si="76"/>
        <v>0</v>
      </c>
      <c r="AK99" s="315">
        <f t="shared" si="77"/>
        <v>0</v>
      </c>
      <c r="AL99" s="316"/>
      <c r="AM99" s="316">
        <f>_xlfn.IFNA(VLOOKUP($A99,'Cash Advances'!$A:$S,9,FALSE),0)</f>
        <v>0</v>
      </c>
      <c r="AN99" s="315">
        <f t="shared" si="68"/>
        <v>0</v>
      </c>
      <c r="AO99" s="308">
        <f t="shared" si="78"/>
        <v>0</v>
      </c>
      <c r="AP99" s="308"/>
      <c r="AQ99" s="309"/>
      <c r="AR99" s="309">
        <f>_xlfn.IFNA((VLOOKUP($A99,HN!$A:$K,8,FALSE)/12),0)</f>
        <v>0</v>
      </c>
      <c r="AS99" s="309">
        <f>_xlfn.IFNA((VLOOKUP($A99,HN!$A:$BS,14,FALSE)/12),0)</f>
        <v>0</v>
      </c>
      <c r="AT99" s="309">
        <f>_xlfn.IFNA(VLOOKUP($A99,'Post 16'!$A:$V,21,FALSE),0)/4</f>
        <v>0</v>
      </c>
      <c r="AU99" s="309"/>
      <c r="AV99" s="309">
        <f>_xlfn.IFNA((VLOOKUP($A99,HN!$A:$K,9,FALSE)/12),0)+_xlfn.IFNA((VLOOKUP($A99,HN!$A:$K,10,FALSE)/12),0)+_xlfn.IFNA(VLOOKUP(A99,HN!A:V,19,FALSE),0)+_xlfn.IFNA(VLOOKUP(A99,HN!A:V,20,FALSE),0)+_xlfn.IFNA(VLOOKUP(A99,HN!A:V,21,FALSE),0)</f>
        <v>0</v>
      </c>
      <c r="AW99" s="309">
        <f>_xlfn.IFNA((VLOOKUP($A99,HN!$A:$BS,15,FALSE)/12),0)</f>
        <v>0</v>
      </c>
      <c r="AX99" s="308">
        <f t="shared" si="79"/>
        <v>0</v>
      </c>
      <c r="AY99" s="308">
        <f t="shared" si="80"/>
        <v>0</v>
      </c>
      <c r="AZ99" s="309"/>
      <c r="BA99" s="309">
        <f>_xlfn.IFNA(VLOOKUP($A99,'Cash Advances'!$A:$S,10,FALSE),0)</f>
        <v>0</v>
      </c>
      <c r="BB99" s="308">
        <f t="shared" si="69"/>
        <v>0</v>
      </c>
      <c r="BC99" s="330">
        <f t="shared" si="81"/>
        <v>0</v>
      </c>
      <c r="BD99" s="330"/>
      <c r="BE99" s="331"/>
      <c r="BF99" s="331">
        <f>_xlfn.IFNA((VLOOKUP($A99,HN!$A:$K,8,FALSE)/12),0)</f>
        <v>0</v>
      </c>
      <c r="BG99" s="331">
        <f>_xlfn.IFNA((VLOOKUP($A99,HN!$A:$BS,14,FALSE)/12),0)</f>
        <v>0</v>
      </c>
      <c r="BH99" s="331">
        <f>_xlfn.IFNA(VLOOKUP($A99,'Post 16'!$A:$V,21,FALSE),0)/4</f>
        <v>0</v>
      </c>
      <c r="BI99" s="331"/>
      <c r="BJ99" s="331">
        <f>_xlfn.IFNA((VLOOKUP($A99,HN!$A:$K,9,FALSE)/12),0)+_xlfn.IFNA((VLOOKUP($A99,HN!$A:$K,10,FALSE)/12),0)</f>
        <v>0</v>
      </c>
      <c r="BK99" s="331">
        <f>_xlfn.IFNA((VLOOKUP($A99,HN!$A:$BS,15,FALSE)/12),0)</f>
        <v>0</v>
      </c>
      <c r="BL99" s="330">
        <f t="shared" si="82"/>
        <v>0</v>
      </c>
      <c r="BM99" s="330">
        <f t="shared" si="83"/>
        <v>0</v>
      </c>
      <c r="BN99" s="331"/>
      <c r="BO99" s="331">
        <f>_xlfn.IFNA(VLOOKUP(A99,'Cash Advances'!A:K,11,FALSE),0)</f>
        <v>0</v>
      </c>
      <c r="BP99" s="330">
        <f t="shared" si="70"/>
        <v>0</v>
      </c>
      <c r="BQ99" s="322">
        <f t="shared" si="84"/>
        <v>0</v>
      </c>
      <c r="BR99" s="322"/>
      <c r="BS99" s="323"/>
      <c r="BT99" s="323">
        <f>_xlfn.IFNA((VLOOKUP($A99,HN!$A:$K,8,FALSE)/12),0)</f>
        <v>0</v>
      </c>
      <c r="BU99" s="323">
        <f>_xlfn.IFNA((VLOOKUP($A99,HN!$A:$BS,14,FALSE)/12),0)</f>
        <v>0</v>
      </c>
      <c r="BV99" s="323">
        <f>(_xlfn.IFNA(VLOOKUP($A99,'Post 16'!$A:$AV,32,FALSE),0)/8)+_xlfn.IFNA(VLOOKUP($A99,'Post 16'!$A:$AR,40,FALSE),0)</f>
        <v>0</v>
      </c>
      <c r="BW99" s="323"/>
      <c r="BX99" s="323">
        <f>_xlfn.IFNA((VLOOKUP($A99,HN!$A:$K,9,FALSE)/12),0)+_xlfn.IFNA((VLOOKUP($A99,HN!$A:$K,10,FALSE)/12),0)</f>
        <v>0</v>
      </c>
      <c r="BY99" s="323">
        <f>_xlfn.IFNA((VLOOKUP($A99,HN!$A:$BS,15,FALSE)/12),0)</f>
        <v>0</v>
      </c>
      <c r="BZ99" s="322">
        <f t="shared" si="85"/>
        <v>0</v>
      </c>
      <c r="CA99" s="322">
        <f t="shared" si="86"/>
        <v>0</v>
      </c>
      <c r="CB99" s="323"/>
      <c r="CC99" s="323"/>
      <c r="CD99" s="322">
        <f t="shared" si="71"/>
        <v>0</v>
      </c>
      <c r="CE99" s="357">
        <f t="shared" si="87"/>
        <v>0</v>
      </c>
      <c r="CF99" s="357">
        <f>(VLOOKUP($A99,EY!$A:$BS,26,FALSE)-(VLOOKUP($A99,EY!A:CR,24,FALSE)*80%))+VLOOKUP($A99,EY!$A:$BS,42,FALSE)+(VLOOKUP($A99,EY!A:CC,74,FALSE)-VLOOKUP($A99,EY!A:CC,72,FALSE))</f>
        <v>98683.261354305447</v>
      </c>
      <c r="CG99" s="358"/>
      <c r="CH99" s="358">
        <f>_xlfn.IFNA((VLOOKUP($A99,HN!$A:$K,8,FALSE)/12),0)</f>
        <v>0</v>
      </c>
      <c r="CI99" s="358">
        <f>_xlfn.IFNA((VLOOKUP($A99,HN!$A:$BS,14,FALSE)/12),0)</f>
        <v>0</v>
      </c>
      <c r="CJ99" s="358">
        <f>(_xlfn.IFNA(VLOOKUP($A99,'Post 16'!$A:$AV,32,FALSE),0)/8)</f>
        <v>0</v>
      </c>
      <c r="CK99" s="358">
        <f>(VLOOKUP($A99,EY!A:CR,24,FALSE)*80%)+VLOOKUP($A99,EY!A:CC,72,FALSE)</f>
        <v>577.60578947368413</v>
      </c>
      <c r="CL99" s="358">
        <f>_xlfn.IFNA((VLOOKUP($A99,HN!$A:$K,9,FALSE)/12),0)+_xlfn.IFNA((VLOOKUP($A99,HN!$A:$K,10,FALSE)/12),0)</f>
        <v>0</v>
      </c>
      <c r="CM99" s="358">
        <f>_xlfn.IFNA((VLOOKUP($A99,HN!$A:$BS,15,FALSE)/12),0)</f>
        <v>0</v>
      </c>
      <c r="CN99" s="357">
        <f t="shared" si="88"/>
        <v>0</v>
      </c>
      <c r="CO99" s="357">
        <f t="shared" si="89"/>
        <v>0</v>
      </c>
      <c r="CP99" s="358">
        <f>_xlfn.IFNA(VLOOKUP(A99,'LA Deductions'!A:W,23,FALSE),0)</f>
        <v>-3291.75</v>
      </c>
      <c r="CQ99" s="358">
        <f>_xlfn.IFNA(VLOOKUP($A99,'Cash Advances'!$A:$S,13,FALSE),0)</f>
        <v>0</v>
      </c>
      <c r="CR99" s="358">
        <f>_xlfn.IFNA(VLOOKUP(A99,'LA Deductions'!A:AZ,25,FALSE),0)/9*3</f>
        <v>0</v>
      </c>
      <c r="CS99" s="357">
        <f t="shared" si="108"/>
        <v>95969.117143779134</v>
      </c>
      <c r="CT99" s="337">
        <f t="shared" si="90"/>
        <v>0</v>
      </c>
      <c r="CU99" s="337"/>
      <c r="CV99" s="338">
        <f>_xlfn.IFNA(VLOOKUP(A99,'LA Deductions'!$A$6:$AN$207,34,FALSE),0)</f>
        <v>0</v>
      </c>
      <c r="CW99" s="338">
        <f>_xlfn.IFNA((VLOOKUP($A99,HN!$A:$K,8,FALSE)/12),0)</f>
        <v>0</v>
      </c>
      <c r="CX99" s="338">
        <f>_xlfn.IFNA((VLOOKUP($A99,HN!$A:$BS,14,FALSE)/12),0)</f>
        <v>0</v>
      </c>
      <c r="CY99" s="338">
        <f>_xlfn.IFNA(VLOOKUP($A99,'Post 16'!$A:$AV,32,FALSE),0)/8</f>
        <v>0</v>
      </c>
      <c r="CZ99" s="338"/>
      <c r="DA99" s="338">
        <f>_xlfn.IFNA((VLOOKUP($A99,HN!$A:$K,9,FALSE)/12),0)+_xlfn.IFNA((VLOOKUP($A99,HN!$A:$K,10,FALSE)/12),0)</f>
        <v>0</v>
      </c>
      <c r="DB99" s="338">
        <f>_xlfn.IFNA((VLOOKUP($A99,HN!$A:$BS,15,FALSE)/12),0)</f>
        <v>0</v>
      </c>
      <c r="DC99" s="337">
        <f t="shared" si="91"/>
        <v>0</v>
      </c>
      <c r="DD99" s="337">
        <f t="shared" si="92"/>
        <v>0</v>
      </c>
      <c r="DE99" s="338"/>
      <c r="DF99" s="338">
        <f>_xlfn.IFNA(VLOOKUP($A99,'Cash Advances'!$A:$S,14,FALSE),0)</f>
        <v>0</v>
      </c>
      <c r="DG99" s="338">
        <f>(_xlfn.IFNA(VLOOKUP(A99,'LA Deductions'!A:AZ,25,FALSE),0)/9)+(_xlfn.IFNA(VLOOKUP(A99,'LA Deductions'!A:AZ,26,FALSE),0))</f>
        <v>0</v>
      </c>
      <c r="DH99" s="337">
        <f t="shared" si="109"/>
        <v>0</v>
      </c>
      <c r="DI99" s="330">
        <f t="shared" si="93"/>
        <v>0</v>
      </c>
      <c r="DJ99" s="330"/>
      <c r="DK99" s="331"/>
      <c r="DL99" s="331">
        <f>_xlfn.IFNA((VLOOKUP($A99,HN!$A:$K,8,FALSE)/12),0)+_xlfn.IFNA((VLOOKUP($A99,HN!$A:$AF,32,FALSE)*8/12),0)</f>
        <v>0</v>
      </c>
      <c r="DM99" s="331">
        <f>_xlfn.IFNA((VLOOKUP($A99,HN!$A:$BS,14,FALSE)/12),0)+_xlfn.IFNA(VLOOKUP($A99,HN!$A:$BS,31,FALSE),0)</f>
        <v>0</v>
      </c>
      <c r="DN99" s="331">
        <f>_xlfn.IFNA(VLOOKUP($A99,'Post 16'!$A:$AV,32,FALSE),0)/8</f>
        <v>0</v>
      </c>
      <c r="DO99" s="331"/>
      <c r="DP99" s="331">
        <f>_xlfn.IFNA((VLOOKUP($A99,HN!$A:$K,9,FALSE)/12),0)+_xlfn.IFNA((VLOOKUP($A99,HN!$A:$K,10,FALSE)/12),0)+_xlfn.IFNA((VLOOKUP($A99,HN!$A:$BZ,33,FALSE)*8/12),0)</f>
        <v>0</v>
      </c>
      <c r="DQ99" s="331">
        <f>_xlfn.IFNA((VLOOKUP($A99,HN!$A:$BS,15,FALSE)/12),0)</f>
        <v>0</v>
      </c>
      <c r="DR99" s="330">
        <f t="shared" si="94"/>
        <v>0</v>
      </c>
      <c r="DS99" s="330">
        <f t="shared" si="95"/>
        <v>0</v>
      </c>
      <c r="DT99" s="331"/>
      <c r="DU99" s="331"/>
      <c r="DV99" s="331">
        <f>(_xlfn.IFNA(VLOOKUP(A99,'LA Deductions'!A:AZ,25,FALSE),0)/9)+_xlfn.IFNA(VLOOKUP(A99,'LA Deductions'!A:AZ,27,FALSE),0)</f>
        <v>0</v>
      </c>
      <c r="DW99" s="330">
        <f t="shared" si="110"/>
        <v>0</v>
      </c>
      <c r="DX99" s="344">
        <f t="shared" si="96"/>
        <v>0</v>
      </c>
      <c r="DY99" s="344"/>
      <c r="DZ99" s="345"/>
      <c r="EA99" s="345">
        <f>_xlfn.IFNA((VLOOKUP($A99,HN!$A:$K,8,FALSE)/12),0)+_xlfn.IFNA((VLOOKUP($A99,HN!$A:$AF,32,FALSE)*1/12),0)</f>
        <v>0</v>
      </c>
      <c r="EB99" s="345">
        <f>_xlfn.IFNA((VLOOKUP($A99,HN!$A:$BS,14,FALSE)/12),0)</f>
        <v>0</v>
      </c>
      <c r="EC99" s="345">
        <f>_xlfn.IFNA(VLOOKUP($A99,'Post 16'!$A:$AV,32,FALSE),0)/8</f>
        <v>0</v>
      </c>
      <c r="ED99" s="345"/>
      <c r="EE99" s="345">
        <f>_xlfn.IFNA((VLOOKUP($A99,HN!$A:$K,9,FALSE)/12),0)+_xlfn.IFNA((VLOOKUP($A99,HN!$A:$K,10,FALSE)/12),0)+_xlfn.IFNA((VLOOKUP($A99,HN!$A:$BZ,33,FALSE)/12),0)</f>
        <v>0</v>
      </c>
      <c r="EF99" s="345">
        <f>_xlfn.IFNA((VLOOKUP($A99,HN!$A:$BS,15,FALSE)/12),0)</f>
        <v>0</v>
      </c>
      <c r="EG99" s="344">
        <f t="shared" si="97"/>
        <v>0</v>
      </c>
      <c r="EH99" s="344">
        <f t="shared" si="98"/>
        <v>0</v>
      </c>
      <c r="EI99" s="345"/>
      <c r="EJ99" s="345">
        <f>_xlfn.IFNA(VLOOKUP(A99,'Cash Advances'!A:P,16,FALSE),0)</f>
        <v>0</v>
      </c>
      <c r="EK99" s="345">
        <f>_xlfn.IFNA(VLOOKUP(A99,'LA Deductions'!A:AZ,25,FALSE),0)/9</f>
        <v>0</v>
      </c>
      <c r="EL99" s="344">
        <f t="shared" si="111"/>
        <v>0</v>
      </c>
      <c r="EM99" s="308">
        <f t="shared" si="99"/>
        <v>0</v>
      </c>
      <c r="EN99" s="308">
        <f>((VLOOKUP($A99,EY!$A:$BS,35,FALSE)-(VLOOKUP($A99,EY!$A:$BS,33,FALSE)*80%))+VLOOKUP($A99,EY!$A:$BS,43,FALSE))+(VLOOKUP(A99,EY!A:DF,110,FALSE)-VLOOKUP(A99,EY!A:DD,108,FALSE))+(VLOOKUP(A99,EY!A:CE,83,FALSE)-VLOOKUP(A99,EY!A:CC,81,FALSE))</f>
        <v>88408.552631578932</v>
      </c>
      <c r="EO99" s="309"/>
      <c r="EP99" s="309">
        <f>_xlfn.IFNA((VLOOKUP($A99,HN!$A:$K,8,FALSE)/12),0)+_xlfn.IFNA((VLOOKUP($A99,HN!$A:$AF,32,FALSE)*1/12),0)</f>
        <v>0</v>
      </c>
      <c r="EQ99" s="309">
        <f>_xlfn.IFNA((VLOOKUP($A99,HN!$A:$BS,14,FALSE)/12),0)+_xlfn.IFNA((VLOOKUP($A99,HN!$A:$BS,34,FALSE)/3),0)</f>
        <v>0</v>
      </c>
      <c r="ER99" s="309">
        <f>_xlfn.IFNA(VLOOKUP($A99,'Post 16'!$A:$AV,32,FALSE),0)/8</f>
        <v>0</v>
      </c>
      <c r="ES99" s="309">
        <f>((VLOOKUP($A99,EY!A:EV,33,FALSE)*80%))+VLOOKUP(A99,EY!A:DD,108,FALSE)+VLOOKUP(A99,EY!A:CC,81,FALSE)</f>
        <v>435.22634349030477</v>
      </c>
      <c r="ET99" s="309">
        <f>_xlfn.IFNA((VLOOKUP($A99,HN!$A:$K,9,FALSE)/12),0)+_xlfn.IFNA((VLOOKUP($A99,HN!$A:$K,10,FALSE)/12),0)+_xlfn.IFNA((VLOOKUP($A99,HN!$A:$BZ,33,FALSE)/12),0)</f>
        <v>0</v>
      </c>
      <c r="EU99" s="309">
        <f>_xlfn.IFNA((VLOOKUP($A99,HN!$A:$BS,15,FALSE)/12),0)</f>
        <v>0</v>
      </c>
      <c r="EV99" s="308">
        <f t="shared" si="100"/>
        <v>0</v>
      </c>
      <c r="EW99" s="308">
        <f t="shared" si="101"/>
        <v>0</v>
      </c>
      <c r="EX99" s="309"/>
      <c r="EY99" s="309">
        <f>_xlfn.IFNA(VLOOKUP($A99,'Cash Advances'!$A:$S,17,FALSE),0)</f>
        <v>0</v>
      </c>
      <c r="EZ99" s="309">
        <f>_xlfn.IFNA(VLOOKUP(A99,'LA Deductions'!A:AZ,25,FALSE),0)/9</f>
        <v>0</v>
      </c>
      <c r="FA99" s="308">
        <f t="shared" si="112"/>
        <v>88843.778975069232</v>
      </c>
      <c r="FB99" s="315">
        <f t="shared" si="102"/>
        <v>0</v>
      </c>
      <c r="FC99" s="315"/>
      <c r="FD99" s="316"/>
      <c r="FE99" s="316">
        <f>_xlfn.IFNA((VLOOKUP($A99,HN!$A:$K,8,FALSE)/12),0)+_xlfn.IFNA((VLOOKUP($A99,HN!$A:$AF,32,FALSE)*1/12),0)</f>
        <v>0</v>
      </c>
      <c r="FF99" s="316">
        <f>_xlfn.IFNA((VLOOKUP($A99,HN!$A:$BS,14,FALSE)/12),0)+_xlfn.IFNA((VLOOKUP($A99,HN!$A:$BS,34,FALSE)/3),0)</f>
        <v>0</v>
      </c>
      <c r="FG99" s="316">
        <f>_xlfn.IFNA(VLOOKUP($A99,'Post 16'!$A:$AV,32,FALSE),0)/8</f>
        <v>0</v>
      </c>
      <c r="FH99" s="316"/>
      <c r="FI99" s="316">
        <f>_xlfn.IFNA((VLOOKUP($A99,HN!$A:$K,9,FALSE)/12),0)+_xlfn.IFNA((VLOOKUP($A99,HN!$A:$K,10,FALSE)/12),0)+_xlfn.IFNA((VLOOKUP($A99,HN!$A:$BZ,33,FALSE)/12),0)+_xlfn.IFNA((VLOOKUP($A99,HN!$A:$BZ,35,FALSE)/2),0)</f>
        <v>0</v>
      </c>
      <c r="FJ99" s="316">
        <f>_xlfn.IFNA((VLOOKUP($A99,HN!$A:$BS,15,FALSE)/12),0)+_xlfn.IFNA((VLOOKUP($A99,HN!$A:$CZ,36,FALSE)/2),0)</f>
        <v>0</v>
      </c>
      <c r="FK99" s="315">
        <f t="shared" si="103"/>
        <v>0</v>
      </c>
      <c r="FL99" s="315">
        <f t="shared" si="104"/>
        <v>0</v>
      </c>
      <c r="FM99" s="316"/>
      <c r="FN99" s="316">
        <f>_xlfn.IFNA(VLOOKUP($A99,'Cash Advances'!$A:$S,18,FALSE),0)</f>
        <v>0</v>
      </c>
      <c r="FO99" s="316">
        <f>_xlfn.IFNA(VLOOKUP(A99,'LA Deductions'!A:AZ,25,FALSE),0)/9</f>
        <v>0</v>
      </c>
      <c r="FP99" s="315">
        <f t="shared" si="113"/>
        <v>0</v>
      </c>
      <c r="FQ99" s="322">
        <f t="shared" si="105"/>
        <v>0</v>
      </c>
      <c r="FR99" s="322"/>
      <c r="FS99" s="323"/>
      <c r="FT99" s="323">
        <f>_xlfn.IFNA((VLOOKUP($A99,HN!$A:$K,8,FALSE)/12),0)+_xlfn.IFNA((VLOOKUP($A99,HN!$A:$AF,32,FALSE)*1/12),0)</f>
        <v>0</v>
      </c>
      <c r="FU99" s="323">
        <f>_xlfn.IFNA((VLOOKUP($A99,HN!$A:$BS,14,FALSE)/12),0)+_xlfn.IFNA((VLOOKUP($A99,HN!$A:$BS,34,FALSE)/3),0)</f>
        <v>0</v>
      </c>
      <c r="FV99" s="323">
        <f>_xlfn.IFNA(VLOOKUP($A99,'Post 16'!$A:$AV,32,FALSE),0)/8</f>
        <v>0</v>
      </c>
      <c r="FW99" s="323"/>
      <c r="FX99" s="323">
        <f>_xlfn.IFNA((VLOOKUP($A99,HN!$A:$K,9,FALSE)/12),0)+_xlfn.IFNA((VLOOKUP($A99,HN!$A:$K,10,FALSE)/12),0)+_xlfn.IFNA((VLOOKUP($A99,HN!$A:$BZ,33,FALSE)/12),0)+_xlfn.IFNA((VLOOKUP($A99,HN!$A:$BZ,35,FALSE)/2),0)</f>
        <v>0</v>
      </c>
      <c r="FY99" s="323">
        <f>_xlfn.IFNA((VLOOKUP($A99,HN!$A:$BS,15,FALSE)/12),0)+_xlfn.IFNA((VLOOKUP($A99,HN!$A:$CZ,36,FALSE)/2),0)</f>
        <v>0</v>
      </c>
      <c r="FZ99" s="322">
        <f t="shared" si="106"/>
        <v>0</v>
      </c>
      <c r="GA99" s="322">
        <f t="shared" si="107"/>
        <v>0</v>
      </c>
      <c r="GB99" s="323"/>
      <c r="GC99" s="323"/>
      <c r="GD99" s="323">
        <f>_xlfn.IFNA(VLOOKUP(A99,'LA Deductions'!A:AZ,25,FALSE),0)/9</f>
        <v>0</v>
      </c>
      <c r="GE99" s="322">
        <f t="shared" si="114"/>
        <v>0</v>
      </c>
      <c r="GG99" s="146">
        <f t="shared" si="119"/>
        <v>462887.20084859408</v>
      </c>
      <c r="GH99" s="146">
        <f t="shared" si="119"/>
        <v>0</v>
      </c>
      <c r="GI99" s="146">
        <f t="shared" si="119"/>
        <v>1012.8321329639889</v>
      </c>
      <c r="GJ99" s="146">
        <f t="shared" si="119"/>
        <v>0</v>
      </c>
      <c r="GK99" s="146">
        <f t="shared" si="119"/>
        <v>0</v>
      </c>
      <c r="GL99" s="146">
        <f t="shared" si="119"/>
        <v>-3291.75</v>
      </c>
      <c r="GN99" s="146">
        <f t="shared" si="120"/>
        <v>462887.20084859408</v>
      </c>
      <c r="GO99" s="146">
        <f t="shared" si="120"/>
        <v>0</v>
      </c>
      <c r="GP99" s="146">
        <f t="shared" si="120"/>
        <v>1012.8321329639889</v>
      </c>
      <c r="GQ99" s="146">
        <f t="shared" si="120"/>
        <v>0</v>
      </c>
      <c r="GR99" s="146">
        <f t="shared" si="120"/>
        <v>0</v>
      </c>
      <c r="GS99" s="146">
        <f t="shared" si="120"/>
        <v>-3291.75</v>
      </c>
      <c r="GU99" s="146"/>
      <c r="GV99" s="57"/>
    </row>
    <row r="100" spans="1:204">
      <c r="A100" s="185">
        <v>4173</v>
      </c>
      <c r="B100" s="185">
        <v>103497</v>
      </c>
      <c r="C100" s="185" t="s">
        <v>224</v>
      </c>
      <c r="D100" s="2" t="s">
        <v>225</v>
      </c>
      <c r="E100" s="191" t="s">
        <v>58</v>
      </c>
      <c r="F100" s="191" t="s">
        <v>912</v>
      </c>
      <c r="H100" s="279">
        <f>_xlfn.IFNA(VLOOKUP($A100,ISB!$A$4:$BY$454,67,FALSE),0)</f>
        <v>6920096.4908452248</v>
      </c>
      <c r="I100" s="279">
        <f>_xlfn.IFNA(VLOOKUP($A100,ISB!$A$4:$BY$454,72,FALSE),0)</f>
        <v>-18278.04</v>
      </c>
      <c r="J100" s="279">
        <f>-_xlfn.IFNA(VLOOKUP($A100,ISB!$A$4:$BY$454,76,FALSE),0)</f>
        <v>-81387.16</v>
      </c>
      <c r="K100" s="279">
        <f>_xlfn.IFNA(VLOOKUP($A100,ISB!$A$4:$BY$454,77,FALSE),0)</f>
        <v>6820431.2908452246</v>
      </c>
      <c r="M100" s="301">
        <f t="shared" si="72"/>
        <v>576674.70757043536</v>
      </c>
      <c r="N100" s="301">
        <f>VLOOKUP($A100,EY!$A:$H,8,FALSE)+(VLOOKUP($A100,EY!$A:$BS,17,FALSE)-S100)+VLOOKUP($A100,EY!$A:$BS,41,FALSE)</f>
        <v>0</v>
      </c>
      <c r="O100" s="302"/>
      <c r="P100" s="302">
        <f>_xlfn.IFNA((VLOOKUP($A100,HN!$A:$K,8,FALSE)/12),0)</f>
        <v>0</v>
      </c>
      <c r="Q100" s="302">
        <f>_xlfn.IFNA((VLOOKUP($A100,HN!$A:$BS,14,FALSE)/12),0)</f>
        <v>0</v>
      </c>
      <c r="R100" s="302">
        <f>_xlfn.IFNA(VLOOKUP($A100,'Post 16'!$A:$V,21,FALSE),0)/4</f>
        <v>0</v>
      </c>
      <c r="S100" s="302">
        <f>VLOOKUP($A100,EY!A:Q,15,FALSE)*80%</f>
        <v>0</v>
      </c>
      <c r="T100" s="302">
        <f>_xlfn.IFNA((VLOOKUP($A100,HN!$A:$K,9,FALSE)/12),0)+_xlfn.IFNA((VLOOKUP($A100,HN!$A:$K,10,FALSE)/12),0)</f>
        <v>0</v>
      </c>
      <c r="U100" s="302">
        <f>_xlfn.IFNA((VLOOKUP($A100,HN!$A:$BS,15,FALSE)/12),0)</f>
        <v>0</v>
      </c>
      <c r="V100" s="301">
        <f t="shared" si="73"/>
        <v>-1523.17</v>
      </c>
      <c r="W100" s="301">
        <f t="shared" si="74"/>
        <v>-6782.2633333333333</v>
      </c>
      <c r="X100" s="302"/>
      <c r="Y100" s="302">
        <f>_xlfn.IFNA(VLOOKUP($A100,'Cash Advances'!$A:$S,8,FALSE),0)</f>
        <v>0</v>
      </c>
      <c r="Z100" s="301">
        <f t="shared" ref="Z100:Z131" si="121">SUM(M100:Y100)</f>
        <v>568369.27423710201</v>
      </c>
      <c r="AA100" s="315">
        <f t="shared" si="75"/>
        <v>576674.70757043536</v>
      </c>
      <c r="AB100" s="315"/>
      <c r="AC100" s="316"/>
      <c r="AD100" s="316">
        <f>_xlfn.IFNA((VLOOKUP($A100,HN!$A:$K,8,FALSE)/12),0)</f>
        <v>0</v>
      </c>
      <c r="AE100" s="316">
        <f>_xlfn.IFNA((VLOOKUP($A100,HN!$A:$BS,14,FALSE)/12),0)</f>
        <v>0</v>
      </c>
      <c r="AF100" s="316">
        <f>_xlfn.IFNA(VLOOKUP($A100,'Post 16'!$A:$V,21,FALSE),0)/4</f>
        <v>0</v>
      </c>
      <c r="AG100" s="316"/>
      <c r="AH100" s="316">
        <f>_xlfn.IFNA((VLOOKUP($A100,HN!$A:$K,9,FALSE)/12),0)+_xlfn.IFNA((VLOOKUP($A100,HN!$A:$K,10,FALSE)/12),0)</f>
        <v>0</v>
      </c>
      <c r="AI100" s="316">
        <f>_xlfn.IFNA((VLOOKUP($A100,HN!$A:$BS,15,FALSE)/12),0)</f>
        <v>0</v>
      </c>
      <c r="AJ100" s="315">
        <f t="shared" si="76"/>
        <v>-1523.17</v>
      </c>
      <c r="AK100" s="315">
        <f t="shared" si="77"/>
        <v>-6782.2633333333333</v>
      </c>
      <c r="AL100" s="316"/>
      <c r="AM100" s="316">
        <f>_xlfn.IFNA(VLOOKUP($A100,'Cash Advances'!$A:$S,9,FALSE),0)</f>
        <v>0</v>
      </c>
      <c r="AN100" s="315">
        <f t="shared" ref="AN100:AN131" si="122">SUM(AA100:AM100)</f>
        <v>568369.27423710201</v>
      </c>
      <c r="AO100" s="308">
        <f t="shared" si="78"/>
        <v>576674.70757043536</v>
      </c>
      <c r="AP100" s="308"/>
      <c r="AQ100" s="309"/>
      <c r="AR100" s="309">
        <f>_xlfn.IFNA((VLOOKUP($A100,HN!$A:$K,8,FALSE)/12),0)</f>
        <v>0</v>
      </c>
      <c r="AS100" s="309">
        <f>_xlfn.IFNA((VLOOKUP($A100,HN!$A:$BS,14,FALSE)/12),0)</f>
        <v>0</v>
      </c>
      <c r="AT100" s="309">
        <f>_xlfn.IFNA(VLOOKUP($A100,'Post 16'!$A:$V,21,FALSE),0)/4</f>
        <v>0</v>
      </c>
      <c r="AU100" s="309"/>
      <c r="AV100" s="309">
        <f>_xlfn.IFNA((VLOOKUP($A100,HN!$A:$K,9,FALSE)/12),0)+_xlfn.IFNA((VLOOKUP($A100,HN!$A:$K,10,FALSE)/12),0)+_xlfn.IFNA(VLOOKUP(A100,HN!A:V,19,FALSE),0)+_xlfn.IFNA(VLOOKUP(A100,HN!A:V,20,FALSE),0)+_xlfn.IFNA(VLOOKUP(A100,HN!A:V,21,FALSE),0)</f>
        <v>0</v>
      </c>
      <c r="AW100" s="309">
        <f>_xlfn.IFNA((VLOOKUP($A100,HN!$A:$BS,15,FALSE)/12),0)</f>
        <v>0</v>
      </c>
      <c r="AX100" s="308">
        <f t="shared" si="79"/>
        <v>-1523.17</v>
      </c>
      <c r="AY100" s="308">
        <f t="shared" si="80"/>
        <v>-6782.2633333333333</v>
      </c>
      <c r="AZ100" s="309"/>
      <c r="BA100" s="309">
        <f>_xlfn.IFNA(VLOOKUP($A100,'Cash Advances'!$A:$S,10,FALSE),0)</f>
        <v>0</v>
      </c>
      <c r="BB100" s="308">
        <f t="shared" ref="BB100:BB131" si="123">SUM(AO100:BA100)</f>
        <v>568369.27423710201</v>
      </c>
      <c r="BC100" s="330">
        <f t="shared" si="81"/>
        <v>576674.70757043536</v>
      </c>
      <c r="BD100" s="330"/>
      <c r="BE100" s="331"/>
      <c r="BF100" s="331">
        <f>_xlfn.IFNA((VLOOKUP($A100,HN!$A:$K,8,FALSE)/12),0)</f>
        <v>0</v>
      </c>
      <c r="BG100" s="331">
        <f>_xlfn.IFNA((VLOOKUP($A100,HN!$A:$BS,14,FALSE)/12),0)</f>
        <v>0</v>
      </c>
      <c r="BH100" s="331">
        <f>_xlfn.IFNA(VLOOKUP($A100,'Post 16'!$A:$V,21,FALSE),0)/4</f>
        <v>0</v>
      </c>
      <c r="BI100" s="331"/>
      <c r="BJ100" s="331">
        <f>_xlfn.IFNA((VLOOKUP($A100,HN!$A:$K,9,FALSE)/12),0)+_xlfn.IFNA((VLOOKUP($A100,HN!$A:$K,10,FALSE)/12),0)</f>
        <v>0</v>
      </c>
      <c r="BK100" s="331">
        <f>_xlfn.IFNA((VLOOKUP($A100,HN!$A:$BS,15,FALSE)/12),0)</f>
        <v>0</v>
      </c>
      <c r="BL100" s="330">
        <f t="shared" si="82"/>
        <v>-1523.17</v>
      </c>
      <c r="BM100" s="330">
        <f t="shared" si="83"/>
        <v>-6782.2633333333333</v>
      </c>
      <c r="BN100" s="331"/>
      <c r="BO100" s="331">
        <f>_xlfn.IFNA(VLOOKUP(A100,'Cash Advances'!A:K,11,FALSE),0)</f>
        <v>0</v>
      </c>
      <c r="BP100" s="330">
        <f t="shared" ref="BP100:BP131" si="124">SUM(BC100:BO100)</f>
        <v>568369.27423710201</v>
      </c>
      <c r="BQ100" s="322">
        <f t="shared" si="84"/>
        <v>576674.70757043536</v>
      </c>
      <c r="BR100" s="322"/>
      <c r="BS100" s="323"/>
      <c r="BT100" s="323">
        <f>_xlfn.IFNA((VLOOKUP($A100,HN!$A:$K,8,FALSE)/12),0)</f>
        <v>0</v>
      </c>
      <c r="BU100" s="323">
        <f>_xlfn.IFNA((VLOOKUP($A100,HN!$A:$BS,14,FALSE)/12),0)</f>
        <v>0</v>
      </c>
      <c r="BV100" s="323">
        <f>(_xlfn.IFNA(VLOOKUP($A100,'Post 16'!$A:$AV,32,FALSE),0)/8)+_xlfn.IFNA(VLOOKUP($A100,'Post 16'!$A:$AR,40,FALSE),0)</f>
        <v>0</v>
      </c>
      <c r="BW100" s="323"/>
      <c r="BX100" s="323">
        <f>_xlfn.IFNA((VLOOKUP($A100,HN!$A:$K,9,FALSE)/12),0)+_xlfn.IFNA((VLOOKUP($A100,HN!$A:$K,10,FALSE)/12),0)</f>
        <v>0</v>
      </c>
      <c r="BY100" s="323">
        <f>_xlfn.IFNA((VLOOKUP($A100,HN!$A:$BS,15,FALSE)/12),0)</f>
        <v>0</v>
      </c>
      <c r="BZ100" s="322">
        <f t="shared" si="85"/>
        <v>-1523.17</v>
      </c>
      <c r="CA100" s="322">
        <f t="shared" si="86"/>
        <v>-6782.2633333333333</v>
      </c>
      <c r="CB100" s="323"/>
      <c r="CC100" s="323"/>
      <c r="CD100" s="322">
        <f t="shared" ref="CD100:CD131" si="125">SUM(BQ100:CC100)</f>
        <v>568369.27423710201</v>
      </c>
      <c r="CE100" s="357">
        <f t="shared" si="87"/>
        <v>576674.70757043536</v>
      </c>
      <c r="CF100" s="357">
        <f>(VLOOKUP($A100,EY!$A:$BS,26,FALSE)-(VLOOKUP($A100,EY!A:CR,24,FALSE)*80%))+VLOOKUP($A100,EY!$A:$BS,42,FALSE)+(VLOOKUP($A100,EY!A:CC,74,FALSE)-VLOOKUP($A100,EY!A:CC,72,FALSE))</f>
        <v>0</v>
      </c>
      <c r="CG100" s="358"/>
      <c r="CH100" s="358">
        <f>_xlfn.IFNA((VLOOKUP($A100,HN!$A:$K,8,FALSE)/12),0)</f>
        <v>0</v>
      </c>
      <c r="CI100" s="358">
        <f>_xlfn.IFNA((VLOOKUP($A100,HN!$A:$BS,14,FALSE)/12),0)</f>
        <v>0</v>
      </c>
      <c r="CJ100" s="358">
        <f>(_xlfn.IFNA(VLOOKUP($A100,'Post 16'!$A:$AV,32,FALSE),0)/8)</f>
        <v>0</v>
      </c>
      <c r="CK100" s="358">
        <f>(VLOOKUP($A100,EY!A:CR,24,FALSE)*80%)+VLOOKUP($A100,EY!A:CC,72,FALSE)</f>
        <v>0</v>
      </c>
      <c r="CL100" s="358">
        <f>_xlfn.IFNA((VLOOKUP($A100,HN!$A:$K,9,FALSE)/12),0)+_xlfn.IFNA((VLOOKUP($A100,HN!$A:$K,10,FALSE)/12),0)</f>
        <v>0</v>
      </c>
      <c r="CM100" s="358">
        <f>_xlfn.IFNA((VLOOKUP($A100,HN!$A:$BS,15,FALSE)/12),0)</f>
        <v>0</v>
      </c>
      <c r="CN100" s="357">
        <f t="shared" si="88"/>
        <v>-1523.17</v>
      </c>
      <c r="CO100" s="357">
        <f t="shared" si="89"/>
        <v>-6782.2633333333333</v>
      </c>
      <c r="CP100" s="358">
        <f>_xlfn.IFNA(VLOOKUP(A100,'LA Deductions'!A:W,23,FALSE),0)</f>
        <v>-24312.75</v>
      </c>
      <c r="CQ100" s="358">
        <f>_xlfn.IFNA(VLOOKUP($A100,'Cash Advances'!$A:$S,13,FALSE),0)</f>
        <v>0</v>
      </c>
      <c r="CR100" s="358">
        <f>_xlfn.IFNA(VLOOKUP(A100,'LA Deductions'!A:AZ,25,FALSE),0)/9*3</f>
        <v>0</v>
      </c>
      <c r="CS100" s="357">
        <f t="shared" si="108"/>
        <v>544056.52423710201</v>
      </c>
      <c r="CT100" s="337">
        <f t="shared" si="90"/>
        <v>576674.70757043536</v>
      </c>
      <c r="CU100" s="337"/>
      <c r="CV100" s="338">
        <f>_xlfn.IFNA(VLOOKUP(A100,'LA Deductions'!$A$6:$AN$207,34,FALSE),0)</f>
        <v>-6405.5177999999996</v>
      </c>
      <c r="CW100" s="338">
        <f>_xlfn.IFNA((VLOOKUP($A100,HN!$A:$K,8,FALSE)/12),0)</f>
        <v>0</v>
      </c>
      <c r="CX100" s="338">
        <f>_xlfn.IFNA((VLOOKUP($A100,HN!$A:$BS,14,FALSE)/12),0)</f>
        <v>0</v>
      </c>
      <c r="CY100" s="338">
        <f>_xlfn.IFNA(VLOOKUP($A100,'Post 16'!$A:$AV,32,FALSE),0)/8</f>
        <v>0</v>
      </c>
      <c r="CZ100" s="338"/>
      <c r="DA100" s="338">
        <f>_xlfn.IFNA((VLOOKUP($A100,HN!$A:$K,9,FALSE)/12),0)+_xlfn.IFNA((VLOOKUP($A100,HN!$A:$K,10,FALSE)/12),0)</f>
        <v>0</v>
      </c>
      <c r="DB100" s="338">
        <f>_xlfn.IFNA((VLOOKUP($A100,HN!$A:$BS,15,FALSE)/12),0)</f>
        <v>0</v>
      </c>
      <c r="DC100" s="337">
        <f t="shared" si="91"/>
        <v>-1523.17</v>
      </c>
      <c r="DD100" s="337">
        <f t="shared" si="92"/>
        <v>-6782.2633333333333</v>
      </c>
      <c r="DE100" s="338"/>
      <c r="DF100" s="338">
        <f>_xlfn.IFNA(VLOOKUP($A100,'Cash Advances'!$A:$S,14,FALSE),0)</f>
        <v>0</v>
      </c>
      <c r="DG100" s="338">
        <f>(_xlfn.IFNA(VLOOKUP(A100,'LA Deductions'!A:AZ,25,FALSE),0)/9)+(_xlfn.IFNA(VLOOKUP(A100,'LA Deductions'!A:AZ,26,FALSE),0))</f>
        <v>0</v>
      </c>
      <c r="DH100" s="337">
        <f t="shared" si="109"/>
        <v>561963.75643710198</v>
      </c>
      <c r="DI100" s="330">
        <f t="shared" si="93"/>
        <v>576674.70757043536</v>
      </c>
      <c r="DJ100" s="330"/>
      <c r="DK100" s="331"/>
      <c r="DL100" s="331">
        <f>_xlfn.IFNA((VLOOKUP($A100,HN!$A:$K,8,FALSE)/12),0)+_xlfn.IFNA((VLOOKUP($A100,HN!$A:$AF,32,FALSE)*8/12),0)</f>
        <v>0</v>
      </c>
      <c r="DM100" s="331">
        <f>_xlfn.IFNA((VLOOKUP($A100,HN!$A:$BS,14,FALSE)/12),0)+_xlfn.IFNA(VLOOKUP($A100,HN!$A:$BS,31,FALSE),0)</f>
        <v>0</v>
      </c>
      <c r="DN100" s="331">
        <f>_xlfn.IFNA(VLOOKUP($A100,'Post 16'!$A:$AV,32,FALSE),0)/8</f>
        <v>0</v>
      </c>
      <c r="DO100" s="331"/>
      <c r="DP100" s="331">
        <f>_xlfn.IFNA((VLOOKUP($A100,HN!$A:$K,9,FALSE)/12),0)+_xlfn.IFNA((VLOOKUP($A100,HN!$A:$K,10,FALSE)/12),0)+_xlfn.IFNA((VLOOKUP($A100,HN!$A:$BZ,33,FALSE)*8/12),0)</f>
        <v>0</v>
      </c>
      <c r="DQ100" s="331">
        <f>_xlfn.IFNA((VLOOKUP($A100,HN!$A:$BS,15,FALSE)/12),0)</f>
        <v>0</v>
      </c>
      <c r="DR100" s="330">
        <f t="shared" si="94"/>
        <v>-1523.17</v>
      </c>
      <c r="DS100" s="330">
        <f t="shared" si="95"/>
        <v>-6782.2633333333333</v>
      </c>
      <c r="DT100" s="331"/>
      <c r="DU100" s="331"/>
      <c r="DV100" s="331">
        <f>(_xlfn.IFNA(VLOOKUP(A100,'LA Deductions'!A:AZ,25,FALSE),0)/9)+_xlfn.IFNA(VLOOKUP(A100,'LA Deductions'!A:AZ,27,FALSE),0)</f>
        <v>0</v>
      </c>
      <c r="DW100" s="330">
        <f t="shared" si="110"/>
        <v>568369.27423710201</v>
      </c>
      <c r="DX100" s="344">
        <f t="shared" si="96"/>
        <v>576674.70757043536</v>
      </c>
      <c r="DY100" s="344"/>
      <c r="DZ100" s="345"/>
      <c r="EA100" s="345">
        <f>_xlfn.IFNA((VLOOKUP($A100,HN!$A:$K,8,FALSE)/12),0)+_xlfn.IFNA((VLOOKUP($A100,HN!$A:$AF,32,FALSE)*1/12),0)</f>
        <v>0</v>
      </c>
      <c r="EB100" s="345">
        <f>_xlfn.IFNA((VLOOKUP($A100,HN!$A:$BS,14,FALSE)/12),0)</f>
        <v>0</v>
      </c>
      <c r="EC100" s="345">
        <f>_xlfn.IFNA(VLOOKUP($A100,'Post 16'!$A:$AV,32,FALSE),0)/8</f>
        <v>0</v>
      </c>
      <c r="ED100" s="345"/>
      <c r="EE100" s="345">
        <f>_xlfn.IFNA((VLOOKUP($A100,HN!$A:$K,9,FALSE)/12),0)+_xlfn.IFNA((VLOOKUP($A100,HN!$A:$K,10,FALSE)/12),0)+_xlfn.IFNA((VLOOKUP($A100,HN!$A:$BZ,33,FALSE)/12),0)</f>
        <v>0</v>
      </c>
      <c r="EF100" s="345">
        <f>_xlfn.IFNA((VLOOKUP($A100,HN!$A:$BS,15,FALSE)/12),0)</f>
        <v>0</v>
      </c>
      <c r="EG100" s="344">
        <f t="shared" si="97"/>
        <v>-1523.17</v>
      </c>
      <c r="EH100" s="344">
        <f t="shared" si="98"/>
        <v>-6782.2633333333333</v>
      </c>
      <c r="EI100" s="345"/>
      <c r="EJ100" s="345">
        <f>_xlfn.IFNA(VLOOKUP(A100,'Cash Advances'!A:P,16,FALSE),0)</f>
        <v>0</v>
      </c>
      <c r="EK100" s="345">
        <f>_xlfn.IFNA(VLOOKUP(A100,'LA Deductions'!A:AZ,25,FALSE),0)/9</f>
        <v>0</v>
      </c>
      <c r="EL100" s="344">
        <f t="shared" si="111"/>
        <v>568369.27423710201</v>
      </c>
      <c r="EM100" s="308">
        <f t="shared" si="99"/>
        <v>576674.70757043536</v>
      </c>
      <c r="EN100" s="308">
        <f>((VLOOKUP($A100,EY!$A:$BS,35,FALSE)-(VLOOKUP($A100,EY!$A:$BS,33,FALSE)*80%))+VLOOKUP($A100,EY!$A:$BS,43,FALSE))+(VLOOKUP(A100,EY!A:DF,110,FALSE)-VLOOKUP(A100,EY!A:DD,108,FALSE))+(VLOOKUP(A100,EY!A:CE,83,FALSE)-VLOOKUP(A100,EY!A:CC,81,FALSE))</f>
        <v>0</v>
      </c>
      <c r="EO100" s="309"/>
      <c r="EP100" s="309">
        <f>_xlfn.IFNA((VLOOKUP($A100,HN!$A:$K,8,FALSE)/12),0)+_xlfn.IFNA((VLOOKUP($A100,HN!$A:$AF,32,FALSE)*1/12),0)</f>
        <v>0</v>
      </c>
      <c r="EQ100" s="309">
        <f>_xlfn.IFNA((VLOOKUP($A100,HN!$A:$BS,14,FALSE)/12),0)+_xlfn.IFNA((VLOOKUP($A100,HN!$A:$BS,34,FALSE)/3),0)</f>
        <v>0</v>
      </c>
      <c r="ER100" s="309">
        <f>_xlfn.IFNA(VLOOKUP($A100,'Post 16'!$A:$AV,32,FALSE),0)/8</f>
        <v>0</v>
      </c>
      <c r="ES100" s="309">
        <f>((VLOOKUP($A100,EY!A:EV,33,FALSE)*80%))+VLOOKUP(A100,EY!A:DD,108,FALSE)+VLOOKUP(A100,EY!A:CC,81,FALSE)</f>
        <v>0</v>
      </c>
      <c r="ET100" s="309">
        <f>_xlfn.IFNA((VLOOKUP($A100,HN!$A:$K,9,FALSE)/12),0)+_xlfn.IFNA((VLOOKUP($A100,HN!$A:$K,10,FALSE)/12),0)+_xlfn.IFNA((VLOOKUP($A100,HN!$A:$BZ,33,FALSE)/12),0)</f>
        <v>0</v>
      </c>
      <c r="EU100" s="309">
        <f>_xlfn.IFNA((VLOOKUP($A100,HN!$A:$BS,15,FALSE)/12),0)</f>
        <v>0</v>
      </c>
      <c r="EV100" s="308">
        <f t="shared" si="100"/>
        <v>-1523.17</v>
      </c>
      <c r="EW100" s="308">
        <f t="shared" si="101"/>
        <v>-6782.2633333333333</v>
      </c>
      <c r="EX100" s="309"/>
      <c r="EY100" s="309">
        <f>_xlfn.IFNA(VLOOKUP($A100,'Cash Advances'!$A:$S,17,FALSE),0)</f>
        <v>0</v>
      </c>
      <c r="EZ100" s="309">
        <f>_xlfn.IFNA(VLOOKUP(A100,'LA Deductions'!A:AZ,25,FALSE),0)/9</f>
        <v>0</v>
      </c>
      <c r="FA100" s="308">
        <f t="shared" si="112"/>
        <v>568369.27423710201</v>
      </c>
      <c r="FB100" s="315">
        <f t="shared" si="102"/>
        <v>576674.70757043536</v>
      </c>
      <c r="FC100" s="315"/>
      <c r="FD100" s="316"/>
      <c r="FE100" s="316">
        <f>_xlfn.IFNA((VLOOKUP($A100,HN!$A:$K,8,FALSE)/12),0)+_xlfn.IFNA((VLOOKUP($A100,HN!$A:$AF,32,FALSE)*1/12),0)</f>
        <v>0</v>
      </c>
      <c r="FF100" s="316">
        <f>_xlfn.IFNA((VLOOKUP($A100,HN!$A:$BS,14,FALSE)/12),0)+_xlfn.IFNA((VLOOKUP($A100,HN!$A:$BS,34,FALSE)/3),0)</f>
        <v>0</v>
      </c>
      <c r="FG100" s="316">
        <f>_xlfn.IFNA(VLOOKUP($A100,'Post 16'!$A:$AV,32,FALSE),0)/8</f>
        <v>0</v>
      </c>
      <c r="FH100" s="316"/>
      <c r="FI100" s="316">
        <f>_xlfn.IFNA((VLOOKUP($A100,HN!$A:$K,9,FALSE)/12),0)+_xlfn.IFNA((VLOOKUP($A100,HN!$A:$K,10,FALSE)/12),0)+_xlfn.IFNA((VLOOKUP($A100,HN!$A:$BZ,33,FALSE)/12),0)+_xlfn.IFNA((VLOOKUP($A100,HN!$A:$BZ,35,FALSE)/2),0)</f>
        <v>0</v>
      </c>
      <c r="FJ100" s="316">
        <f>_xlfn.IFNA((VLOOKUP($A100,HN!$A:$BS,15,FALSE)/12),0)+_xlfn.IFNA((VLOOKUP($A100,HN!$A:$CZ,36,FALSE)/2),0)</f>
        <v>0</v>
      </c>
      <c r="FK100" s="315">
        <f t="shared" si="103"/>
        <v>-1523.17</v>
      </c>
      <c r="FL100" s="315">
        <f t="shared" si="104"/>
        <v>-6782.2633333333333</v>
      </c>
      <c r="FM100" s="316"/>
      <c r="FN100" s="316">
        <f>_xlfn.IFNA(VLOOKUP($A100,'Cash Advances'!$A:$S,18,FALSE),0)</f>
        <v>0</v>
      </c>
      <c r="FO100" s="316">
        <f>_xlfn.IFNA(VLOOKUP(A100,'LA Deductions'!A:AZ,25,FALSE),0)/9</f>
        <v>0</v>
      </c>
      <c r="FP100" s="315">
        <f t="shared" si="113"/>
        <v>568369.27423710201</v>
      </c>
      <c r="FQ100" s="322">
        <f t="shared" si="105"/>
        <v>576674.70757043536</v>
      </c>
      <c r="FR100" s="322"/>
      <c r="FS100" s="323"/>
      <c r="FT100" s="323">
        <f>_xlfn.IFNA((VLOOKUP($A100,HN!$A:$K,8,FALSE)/12),0)+_xlfn.IFNA((VLOOKUP($A100,HN!$A:$AF,32,FALSE)*1/12),0)</f>
        <v>0</v>
      </c>
      <c r="FU100" s="323">
        <f>_xlfn.IFNA((VLOOKUP($A100,HN!$A:$BS,14,FALSE)/12),0)+_xlfn.IFNA((VLOOKUP($A100,HN!$A:$BS,34,FALSE)/3),0)</f>
        <v>0</v>
      </c>
      <c r="FV100" s="323">
        <f>_xlfn.IFNA(VLOOKUP($A100,'Post 16'!$A:$AV,32,FALSE),0)/8</f>
        <v>0</v>
      </c>
      <c r="FW100" s="323"/>
      <c r="FX100" s="323">
        <f>_xlfn.IFNA((VLOOKUP($A100,HN!$A:$K,9,FALSE)/12),0)+_xlfn.IFNA((VLOOKUP($A100,HN!$A:$K,10,FALSE)/12),0)+_xlfn.IFNA((VLOOKUP($A100,HN!$A:$BZ,33,FALSE)/12),0)+_xlfn.IFNA((VLOOKUP($A100,HN!$A:$BZ,35,FALSE)/2),0)</f>
        <v>0</v>
      </c>
      <c r="FY100" s="323">
        <f>_xlfn.IFNA((VLOOKUP($A100,HN!$A:$BS,15,FALSE)/12),0)+_xlfn.IFNA((VLOOKUP($A100,HN!$A:$CZ,36,FALSE)/2),0)</f>
        <v>0</v>
      </c>
      <c r="FZ100" s="322">
        <f t="shared" si="106"/>
        <v>-1523.17</v>
      </c>
      <c r="GA100" s="322">
        <f t="shared" si="107"/>
        <v>-6782.2633333333333</v>
      </c>
      <c r="GB100" s="323"/>
      <c r="GC100" s="323"/>
      <c r="GD100" s="323">
        <f>_xlfn.IFNA(VLOOKUP(A100,'LA Deductions'!A:AZ,25,FALSE),0)/9</f>
        <v>0</v>
      </c>
      <c r="GE100" s="322">
        <f t="shared" si="114"/>
        <v>568369.27423710201</v>
      </c>
      <c r="GG100" s="146">
        <f t="shared" si="119"/>
        <v>6913690.9730452253</v>
      </c>
      <c r="GH100" s="146">
        <f t="shared" si="119"/>
        <v>0</v>
      </c>
      <c r="GI100" s="146">
        <f t="shared" si="119"/>
        <v>0</v>
      </c>
      <c r="GJ100" s="146">
        <f t="shared" si="119"/>
        <v>-18278.04</v>
      </c>
      <c r="GK100" s="146">
        <f t="shared" si="119"/>
        <v>-81387.160000000018</v>
      </c>
      <c r="GL100" s="146">
        <f t="shared" si="119"/>
        <v>-24312.75</v>
      </c>
      <c r="GN100" s="146">
        <f t="shared" si="120"/>
        <v>6913690.9730452253</v>
      </c>
      <c r="GO100" s="146">
        <f t="shared" si="120"/>
        <v>0</v>
      </c>
      <c r="GP100" s="146">
        <f t="shared" si="120"/>
        <v>0</v>
      </c>
      <c r="GQ100" s="146">
        <f t="shared" si="120"/>
        <v>-18278.04</v>
      </c>
      <c r="GR100" s="146">
        <f t="shared" si="120"/>
        <v>-81387.160000000018</v>
      </c>
      <c r="GS100" s="146">
        <f t="shared" si="120"/>
        <v>-24312.75</v>
      </c>
      <c r="GU100" s="146"/>
      <c r="GV100" s="57"/>
    </row>
    <row r="101" spans="1:204">
      <c r="A101" s="185">
        <v>2159</v>
      </c>
      <c r="B101" s="185">
        <v>103247</v>
      </c>
      <c r="C101" s="185" t="s">
        <v>226</v>
      </c>
      <c r="D101" s="2" t="s">
        <v>227</v>
      </c>
      <c r="E101" s="191" t="s">
        <v>32</v>
      </c>
      <c r="F101" s="191" t="s">
        <v>912</v>
      </c>
      <c r="H101" s="279">
        <f>_xlfn.IFNA(VLOOKUP($A101,ISB!$A$4:$BY$454,67,FALSE),0)</f>
        <v>1343198.4861667487</v>
      </c>
      <c r="I101" s="279">
        <f>_xlfn.IFNA(VLOOKUP($A101,ISB!$A$4:$BY$454,72,FALSE),0)</f>
        <v>-5424.6399999999994</v>
      </c>
      <c r="J101" s="279">
        <f>-_xlfn.IFNA(VLOOKUP($A101,ISB!$A$4:$BY$454,76,FALSE),0)</f>
        <v>-16658.41</v>
      </c>
      <c r="K101" s="279">
        <f>_xlfn.IFNA(VLOOKUP($A101,ISB!$A$4:$BY$454,77,FALSE),0)</f>
        <v>1321115.4361667489</v>
      </c>
      <c r="M101" s="301">
        <f t="shared" si="72"/>
        <v>111933.20718056239</v>
      </c>
      <c r="N101" s="301">
        <f>VLOOKUP($A101,EY!$A:$H,8,FALSE)+(VLOOKUP($A101,EY!$A:$BS,17,FALSE)-S101)+VLOOKUP($A101,EY!$A:$BS,41,FALSE)</f>
        <v>0</v>
      </c>
      <c r="O101" s="302"/>
      <c r="P101" s="302">
        <f>_xlfn.IFNA((VLOOKUP($A101,HN!$A:$K,8,FALSE)/12),0)</f>
        <v>0</v>
      </c>
      <c r="Q101" s="302">
        <f>_xlfn.IFNA((VLOOKUP($A101,HN!$A:$BS,14,FALSE)/12),0)</f>
        <v>0</v>
      </c>
      <c r="R101" s="302">
        <f>_xlfn.IFNA(VLOOKUP($A101,'Post 16'!$A:$V,21,FALSE),0)/4</f>
        <v>0</v>
      </c>
      <c r="S101" s="302">
        <f>VLOOKUP($A101,EY!A:Q,15,FALSE)*80%</f>
        <v>0</v>
      </c>
      <c r="T101" s="302">
        <f>_xlfn.IFNA((VLOOKUP($A101,HN!$A:$K,9,FALSE)/12),0)+_xlfn.IFNA((VLOOKUP($A101,HN!$A:$K,10,FALSE)/12),0)</f>
        <v>0</v>
      </c>
      <c r="U101" s="302">
        <f>_xlfn.IFNA((VLOOKUP($A101,HN!$A:$BS,15,FALSE)/12),0)</f>
        <v>0</v>
      </c>
      <c r="V101" s="301">
        <f t="shared" si="73"/>
        <v>-452.05333333333328</v>
      </c>
      <c r="W101" s="301">
        <f t="shared" si="74"/>
        <v>-1388.2008333333333</v>
      </c>
      <c r="X101" s="302"/>
      <c r="Y101" s="302">
        <f>_xlfn.IFNA(VLOOKUP($A101,'Cash Advances'!$A:$S,8,FALSE),0)</f>
        <v>0</v>
      </c>
      <c r="Z101" s="301">
        <f t="shared" si="121"/>
        <v>110092.95301389572</v>
      </c>
      <c r="AA101" s="315">
        <f t="shared" si="75"/>
        <v>111933.20718056239</v>
      </c>
      <c r="AB101" s="315"/>
      <c r="AC101" s="316"/>
      <c r="AD101" s="316">
        <f>_xlfn.IFNA((VLOOKUP($A101,HN!$A:$K,8,FALSE)/12),0)</f>
        <v>0</v>
      </c>
      <c r="AE101" s="316">
        <f>_xlfn.IFNA((VLOOKUP($A101,HN!$A:$BS,14,FALSE)/12),0)</f>
        <v>0</v>
      </c>
      <c r="AF101" s="316">
        <f>_xlfn.IFNA(VLOOKUP($A101,'Post 16'!$A:$V,21,FALSE),0)/4</f>
        <v>0</v>
      </c>
      <c r="AG101" s="316"/>
      <c r="AH101" s="316">
        <f>_xlfn.IFNA((VLOOKUP($A101,HN!$A:$K,9,FALSE)/12),0)+_xlfn.IFNA((VLOOKUP($A101,HN!$A:$K,10,FALSE)/12),0)</f>
        <v>0</v>
      </c>
      <c r="AI101" s="316">
        <f>_xlfn.IFNA((VLOOKUP($A101,HN!$A:$BS,15,FALSE)/12),0)</f>
        <v>0</v>
      </c>
      <c r="AJ101" s="315">
        <f t="shared" si="76"/>
        <v>-452.05333333333328</v>
      </c>
      <c r="AK101" s="315">
        <f t="shared" si="77"/>
        <v>-1388.2008333333333</v>
      </c>
      <c r="AL101" s="316"/>
      <c r="AM101" s="316">
        <f>_xlfn.IFNA(VLOOKUP($A101,'Cash Advances'!$A:$S,9,FALSE),0)</f>
        <v>0</v>
      </c>
      <c r="AN101" s="315">
        <f t="shared" si="122"/>
        <v>110092.95301389572</v>
      </c>
      <c r="AO101" s="308">
        <f t="shared" si="78"/>
        <v>111933.20718056239</v>
      </c>
      <c r="AP101" s="308"/>
      <c r="AQ101" s="309"/>
      <c r="AR101" s="309">
        <f>_xlfn.IFNA((VLOOKUP($A101,HN!$A:$K,8,FALSE)/12),0)</f>
        <v>0</v>
      </c>
      <c r="AS101" s="309">
        <f>_xlfn.IFNA((VLOOKUP($A101,HN!$A:$BS,14,FALSE)/12),0)</f>
        <v>0</v>
      </c>
      <c r="AT101" s="309">
        <f>_xlfn.IFNA(VLOOKUP($A101,'Post 16'!$A:$V,21,FALSE),0)/4</f>
        <v>0</v>
      </c>
      <c r="AU101" s="309"/>
      <c r="AV101" s="309">
        <f>_xlfn.IFNA((VLOOKUP($A101,HN!$A:$K,9,FALSE)/12),0)+_xlfn.IFNA((VLOOKUP($A101,HN!$A:$K,10,FALSE)/12),0)+_xlfn.IFNA(VLOOKUP(A101,HN!A:V,19,FALSE),0)+_xlfn.IFNA(VLOOKUP(A101,HN!A:V,20,FALSE),0)+_xlfn.IFNA(VLOOKUP(A101,HN!A:V,21,FALSE),0)</f>
        <v>0</v>
      </c>
      <c r="AW101" s="309">
        <f>_xlfn.IFNA((VLOOKUP($A101,HN!$A:$BS,15,FALSE)/12),0)</f>
        <v>0</v>
      </c>
      <c r="AX101" s="308">
        <f t="shared" si="79"/>
        <v>-452.05333333333328</v>
      </c>
      <c r="AY101" s="308">
        <f t="shared" si="80"/>
        <v>-1388.2008333333333</v>
      </c>
      <c r="AZ101" s="309"/>
      <c r="BA101" s="309">
        <f>_xlfn.IFNA(VLOOKUP($A101,'Cash Advances'!$A:$S,10,FALSE),0)</f>
        <v>0</v>
      </c>
      <c r="BB101" s="308">
        <f t="shared" si="123"/>
        <v>110092.95301389572</v>
      </c>
      <c r="BC101" s="330">
        <f t="shared" si="81"/>
        <v>111933.20718056239</v>
      </c>
      <c r="BD101" s="330"/>
      <c r="BE101" s="331"/>
      <c r="BF101" s="331">
        <f>_xlfn.IFNA((VLOOKUP($A101,HN!$A:$K,8,FALSE)/12),0)</f>
        <v>0</v>
      </c>
      <c r="BG101" s="331">
        <f>_xlfn.IFNA((VLOOKUP($A101,HN!$A:$BS,14,FALSE)/12),0)</f>
        <v>0</v>
      </c>
      <c r="BH101" s="331">
        <f>_xlfn.IFNA(VLOOKUP($A101,'Post 16'!$A:$V,21,FALSE),0)/4</f>
        <v>0</v>
      </c>
      <c r="BI101" s="331"/>
      <c r="BJ101" s="331">
        <f>_xlfn.IFNA((VLOOKUP($A101,HN!$A:$K,9,FALSE)/12),0)+_xlfn.IFNA((VLOOKUP($A101,HN!$A:$K,10,FALSE)/12),0)</f>
        <v>0</v>
      </c>
      <c r="BK101" s="331">
        <f>_xlfn.IFNA((VLOOKUP($A101,HN!$A:$BS,15,FALSE)/12),0)</f>
        <v>0</v>
      </c>
      <c r="BL101" s="330">
        <f t="shared" si="82"/>
        <v>-452.05333333333328</v>
      </c>
      <c r="BM101" s="330">
        <f t="shared" si="83"/>
        <v>-1388.2008333333333</v>
      </c>
      <c r="BN101" s="331"/>
      <c r="BO101" s="331">
        <f>_xlfn.IFNA(VLOOKUP(A101,'Cash Advances'!A:K,11,FALSE),0)</f>
        <v>0</v>
      </c>
      <c r="BP101" s="330">
        <f t="shared" si="124"/>
        <v>110092.95301389572</v>
      </c>
      <c r="BQ101" s="322">
        <f t="shared" si="84"/>
        <v>111933.20718056239</v>
      </c>
      <c r="BR101" s="322"/>
      <c r="BS101" s="323"/>
      <c r="BT101" s="323">
        <f>_xlfn.IFNA((VLOOKUP($A101,HN!$A:$K,8,FALSE)/12),0)</f>
        <v>0</v>
      </c>
      <c r="BU101" s="323">
        <f>_xlfn.IFNA((VLOOKUP($A101,HN!$A:$BS,14,FALSE)/12),0)</f>
        <v>0</v>
      </c>
      <c r="BV101" s="323">
        <f>(_xlfn.IFNA(VLOOKUP($A101,'Post 16'!$A:$AV,32,FALSE),0)/8)+_xlfn.IFNA(VLOOKUP($A101,'Post 16'!$A:$AR,40,FALSE),0)</f>
        <v>0</v>
      </c>
      <c r="BW101" s="323"/>
      <c r="BX101" s="323">
        <f>_xlfn.IFNA((VLOOKUP($A101,HN!$A:$K,9,FALSE)/12),0)+_xlfn.IFNA((VLOOKUP($A101,HN!$A:$K,10,FALSE)/12),0)</f>
        <v>0</v>
      </c>
      <c r="BY101" s="323">
        <f>_xlfn.IFNA((VLOOKUP($A101,HN!$A:$BS,15,FALSE)/12),0)</f>
        <v>0</v>
      </c>
      <c r="BZ101" s="322">
        <f t="shared" si="85"/>
        <v>-452.05333333333328</v>
      </c>
      <c r="CA101" s="322">
        <f t="shared" si="86"/>
        <v>-1388.2008333333333</v>
      </c>
      <c r="CB101" s="323"/>
      <c r="CC101" s="323"/>
      <c r="CD101" s="322">
        <f t="shared" si="125"/>
        <v>110092.95301389572</v>
      </c>
      <c r="CE101" s="357">
        <f t="shared" si="87"/>
        <v>111933.20718056239</v>
      </c>
      <c r="CF101" s="357">
        <f>(VLOOKUP($A101,EY!$A:$BS,26,FALSE)-(VLOOKUP($A101,EY!A:CR,24,FALSE)*80%))+VLOOKUP($A101,EY!$A:$BS,42,FALSE)+(VLOOKUP($A101,EY!A:CC,74,FALSE)-VLOOKUP($A101,EY!A:CC,72,FALSE))</f>
        <v>0</v>
      </c>
      <c r="CG101" s="358"/>
      <c r="CH101" s="358">
        <f>_xlfn.IFNA((VLOOKUP($A101,HN!$A:$K,8,FALSE)/12),0)</f>
        <v>0</v>
      </c>
      <c r="CI101" s="358">
        <f>_xlfn.IFNA((VLOOKUP($A101,HN!$A:$BS,14,FALSE)/12),0)</f>
        <v>0</v>
      </c>
      <c r="CJ101" s="358">
        <f>(_xlfn.IFNA(VLOOKUP($A101,'Post 16'!$A:$AV,32,FALSE),0)/8)</f>
        <v>0</v>
      </c>
      <c r="CK101" s="358">
        <f>(VLOOKUP($A101,EY!A:CR,24,FALSE)*80%)+VLOOKUP($A101,EY!A:CC,72,FALSE)</f>
        <v>0</v>
      </c>
      <c r="CL101" s="358">
        <f>_xlfn.IFNA((VLOOKUP($A101,HN!$A:$K,9,FALSE)/12),0)+_xlfn.IFNA((VLOOKUP($A101,HN!$A:$K,10,FALSE)/12),0)</f>
        <v>0</v>
      </c>
      <c r="CM101" s="358">
        <f>_xlfn.IFNA((VLOOKUP($A101,HN!$A:$BS,15,FALSE)/12),0)</f>
        <v>0</v>
      </c>
      <c r="CN101" s="357">
        <f t="shared" si="88"/>
        <v>-452.05333333333328</v>
      </c>
      <c r="CO101" s="357">
        <f t="shared" si="89"/>
        <v>-1388.2008333333333</v>
      </c>
      <c r="CP101" s="358">
        <f>_xlfn.IFNA(VLOOKUP(A101,'LA Deductions'!A:W,23,FALSE),0)</f>
        <v>-5139.75</v>
      </c>
      <c r="CQ101" s="358">
        <f>_xlfn.IFNA(VLOOKUP($A101,'Cash Advances'!$A:$S,13,FALSE),0)</f>
        <v>0</v>
      </c>
      <c r="CR101" s="358">
        <f>_xlfn.IFNA(VLOOKUP(A101,'LA Deductions'!A:AZ,25,FALSE),0)/9*3</f>
        <v>0</v>
      </c>
      <c r="CS101" s="357">
        <f t="shared" si="108"/>
        <v>104953.20301389572</v>
      </c>
      <c r="CT101" s="337">
        <f t="shared" si="90"/>
        <v>111933.20718056239</v>
      </c>
      <c r="CU101" s="337"/>
      <c r="CV101" s="338">
        <f>_xlfn.IFNA(VLOOKUP(A101,'LA Deductions'!$A$6:$AN$207,34,FALSE),0)</f>
        <v>0</v>
      </c>
      <c r="CW101" s="338">
        <f>_xlfn.IFNA((VLOOKUP($A101,HN!$A:$K,8,FALSE)/12),0)</f>
        <v>0</v>
      </c>
      <c r="CX101" s="338">
        <f>_xlfn.IFNA((VLOOKUP($A101,HN!$A:$BS,14,FALSE)/12),0)</f>
        <v>0</v>
      </c>
      <c r="CY101" s="338">
        <f>_xlfn.IFNA(VLOOKUP($A101,'Post 16'!$A:$AV,32,FALSE),0)/8</f>
        <v>0</v>
      </c>
      <c r="CZ101" s="338"/>
      <c r="DA101" s="338">
        <f>_xlfn.IFNA((VLOOKUP($A101,HN!$A:$K,9,FALSE)/12),0)+_xlfn.IFNA((VLOOKUP($A101,HN!$A:$K,10,FALSE)/12),0)</f>
        <v>0</v>
      </c>
      <c r="DB101" s="338">
        <f>_xlfn.IFNA((VLOOKUP($A101,HN!$A:$BS,15,FALSE)/12),0)</f>
        <v>0</v>
      </c>
      <c r="DC101" s="337">
        <f t="shared" si="91"/>
        <v>-452.05333333333328</v>
      </c>
      <c r="DD101" s="337">
        <f t="shared" si="92"/>
        <v>-1388.2008333333333</v>
      </c>
      <c r="DE101" s="338"/>
      <c r="DF101" s="338">
        <f>_xlfn.IFNA(VLOOKUP($A101,'Cash Advances'!$A:$S,14,FALSE),0)</f>
        <v>0</v>
      </c>
      <c r="DG101" s="338">
        <f>(_xlfn.IFNA(VLOOKUP(A101,'LA Deductions'!A:AZ,25,FALSE),0)/9)+(_xlfn.IFNA(VLOOKUP(A101,'LA Deductions'!A:AZ,26,FALSE),0))</f>
        <v>0</v>
      </c>
      <c r="DH101" s="337">
        <f t="shared" si="109"/>
        <v>110092.95301389572</v>
      </c>
      <c r="DI101" s="330">
        <f t="shared" si="93"/>
        <v>111933.20718056239</v>
      </c>
      <c r="DJ101" s="330"/>
      <c r="DK101" s="331"/>
      <c r="DL101" s="331">
        <f>_xlfn.IFNA((VLOOKUP($A101,HN!$A:$K,8,FALSE)/12),0)+_xlfn.IFNA((VLOOKUP($A101,HN!$A:$AF,32,FALSE)*8/12),0)</f>
        <v>0</v>
      </c>
      <c r="DM101" s="331">
        <f>_xlfn.IFNA((VLOOKUP($A101,HN!$A:$BS,14,FALSE)/12),0)+_xlfn.IFNA(VLOOKUP($A101,HN!$A:$BS,31,FALSE),0)</f>
        <v>0</v>
      </c>
      <c r="DN101" s="331">
        <f>_xlfn.IFNA(VLOOKUP($A101,'Post 16'!$A:$AV,32,FALSE),0)/8</f>
        <v>0</v>
      </c>
      <c r="DO101" s="331"/>
      <c r="DP101" s="331">
        <f>_xlfn.IFNA((VLOOKUP($A101,HN!$A:$K,9,FALSE)/12),0)+_xlfn.IFNA((VLOOKUP($A101,HN!$A:$K,10,FALSE)/12),0)+_xlfn.IFNA((VLOOKUP($A101,HN!$A:$BZ,33,FALSE)*8/12),0)</f>
        <v>0</v>
      </c>
      <c r="DQ101" s="331">
        <f>_xlfn.IFNA((VLOOKUP($A101,HN!$A:$BS,15,FALSE)/12),0)</f>
        <v>0</v>
      </c>
      <c r="DR101" s="330">
        <f t="shared" si="94"/>
        <v>-452.05333333333328</v>
      </c>
      <c r="DS101" s="330">
        <f t="shared" si="95"/>
        <v>-1388.2008333333333</v>
      </c>
      <c r="DT101" s="331"/>
      <c r="DU101" s="331"/>
      <c r="DV101" s="331">
        <f>(_xlfn.IFNA(VLOOKUP(A101,'LA Deductions'!A:AZ,25,FALSE),0)/9)+_xlfn.IFNA(VLOOKUP(A101,'LA Deductions'!A:AZ,27,FALSE),0)</f>
        <v>0</v>
      </c>
      <c r="DW101" s="330">
        <f t="shared" si="110"/>
        <v>110092.95301389572</v>
      </c>
      <c r="DX101" s="344">
        <f t="shared" si="96"/>
        <v>111933.20718056239</v>
      </c>
      <c r="DY101" s="344"/>
      <c r="DZ101" s="345"/>
      <c r="EA101" s="345">
        <f>_xlfn.IFNA((VLOOKUP($A101,HN!$A:$K,8,FALSE)/12),0)+_xlfn.IFNA((VLOOKUP($A101,HN!$A:$AF,32,FALSE)*1/12),0)</f>
        <v>0</v>
      </c>
      <c r="EB101" s="345">
        <f>_xlfn.IFNA((VLOOKUP($A101,HN!$A:$BS,14,FALSE)/12),0)</f>
        <v>0</v>
      </c>
      <c r="EC101" s="345">
        <f>_xlfn.IFNA(VLOOKUP($A101,'Post 16'!$A:$AV,32,FALSE),0)/8</f>
        <v>0</v>
      </c>
      <c r="ED101" s="345"/>
      <c r="EE101" s="345">
        <f>_xlfn.IFNA((VLOOKUP($A101,HN!$A:$K,9,FALSE)/12),0)+_xlfn.IFNA((VLOOKUP($A101,HN!$A:$K,10,FALSE)/12),0)+_xlfn.IFNA((VLOOKUP($A101,HN!$A:$BZ,33,FALSE)/12),0)</f>
        <v>0</v>
      </c>
      <c r="EF101" s="345">
        <f>_xlfn.IFNA((VLOOKUP($A101,HN!$A:$BS,15,FALSE)/12),0)</f>
        <v>0</v>
      </c>
      <c r="EG101" s="344">
        <f t="shared" si="97"/>
        <v>-452.05333333333328</v>
      </c>
      <c r="EH101" s="344">
        <f t="shared" si="98"/>
        <v>-1388.2008333333333</v>
      </c>
      <c r="EI101" s="345"/>
      <c r="EJ101" s="345">
        <f>_xlfn.IFNA(VLOOKUP(A101,'Cash Advances'!A:P,16,FALSE),0)</f>
        <v>0</v>
      </c>
      <c r="EK101" s="345">
        <f>_xlfn.IFNA(VLOOKUP(A101,'LA Deductions'!A:AZ,25,FALSE),0)/9</f>
        <v>0</v>
      </c>
      <c r="EL101" s="344">
        <f t="shared" si="111"/>
        <v>110092.95301389572</v>
      </c>
      <c r="EM101" s="308">
        <f t="shared" si="99"/>
        <v>111933.20718056239</v>
      </c>
      <c r="EN101" s="308">
        <f>((VLOOKUP($A101,EY!$A:$BS,35,FALSE)-(VLOOKUP($A101,EY!$A:$BS,33,FALSE)*80%))+VLOOKUP($A101,EY!$A:$BS,43,FALSE))+(VLOOKUP(A101,EY!A:DF,110,FALSE)-VLOOKUP(A101,EY!A:DD,108,FALSE))+(VLOOKUP(A101,EY!A:CE,83,FALSE)-VLOOKUP(A101,EY!A:CC,81,FALSE))</f>
        <v>0</v>
      </c>
      <c r="EO101" s="309"/>
      <c r="EP101" s="309">
        <f>_xlfn.IFNA((VLOOKUP($A101,HN!$A:$K,8,FALSE)/12),0)+_xlfn.IFNA((VLOOKUP($A101,HN!$A:$AF,32,FALSE)*1/12),0)</f>
        <v>0</v>
      </c>
      <c r="EQ101" s="309">
        <f>_xlfn.IFNA((VLOOKUP($A101,HN!$A:$BS,14,FALSE)/12),0)+_xlfn.IFNA((VLOOKUP($A101,HN!$A:$BS,34,FALSE)/3),0)</f>
        <v>0</v>
      </c>
      <c r="ER101" s="309">
        <f>_xlfn.IFNA(VLOOKUP($A101,'Post 16'!$A:$AV,32,FALSE),0)/8</f>
        <v>0</v>
      </c>
      <c r="ES101" s="309">
        <f>((VLOOKUP($A101,EY!A:EV,33,FALSE)*80%))+VLOOKUP(A101,EY!A:DD,108,FALSE)+VLOOKUP(A101,EY!A:CC,81,FALSE)</f>
        <v>0</v>
      </c>
      <c r="ET101" s="309">
        <f>_xlfn.IFNA((VLOOKUP($A101,HN!$A:$K,9,FALSE)/12),0)+_xlfn.IFNA((VLOOKUP($A101,HN!$A:$K,10,FALSE)/12),0)+_xlfn.IFNA((VLOOKUP($A101,HN!$A:$BZ,33,FALSE)/12),0)</f>
        <v>0</v>
      </c>
      <c r="EU101" s="309">
        <f>_xlfn.IFNA((VLOOKUP($A101,HN!$A:$BS,15,FALSE)/12),0)</f>
        <v>0</v>
      </c>
      <c r="EV101" s="308">
        <f t="shared" si="100"/>
        <v>-452.05333333333328</v>
      </c>
      <c r="EW101" s="308">
        <f t="shared" si="101"/>
        <v>-1388.2008333333333</v>
      </c>
      <c r="EX101" s="309"/>
      <c r="EY101" s="309">
        <f>_xlfn.IFNA(VLOOKUP($A101,'Cash Advances'!$A:$S,17,FALSE),0)</f>
        <v>0</v>
      </c>
      <c r="EZ101" s="309">
        <f>_xlfn.IFNA(VLOOKUP(A101,'LA Deductions'!A:AZ,25,FALSE),0)/9</f>
        <v>0</v>
      </c>
      <c r="FA101" s="308">
        <f t="shared" si="112"/>
        <v>110092.95301389572</v>
      </c>
      <c r="FB101" s="315">
        <f t="shared" si="102"/>
        <v>111933.20718056239</v>
      </c>
      <c r="FC101" s="315"/>
      <c r="FD101" s="316"/>
      <c r="FE101" s="316">
        <f>_xlfn.IFNA((VLOOKUP($A101,HN!$A:$K,8,FALSE)/12),0)+_xlfn.IFNA((VLOOKUP($A101,HN!$A:$AF,32,FALSE)*1/12),0)</f>
        <v>0</v>
      </c>
      <c r="FF101" s="316">
        <f>_xlfn.IFNA((VLOOKUP($A101,HN!$A:$BS,14,FALSE)/12),0)+_xlfn.IFNA((VLOOKUP($A101,HN!$A:$BS,34,FALSE)/3),0)</f>
        <v>0</v>
      </c>
      <c r="FG101" s="316">
        <f>_xlfn.IFNA(VLOOKUP($A101,'Post 16'!$A:$AV,32,FALSE),0)/8</f>
        <v>0</v>
      </c>
      <c r="FH101" s="316"/>
      <c r="FI101" s="316">
        <f>_xlfn.IFNA((VLOOKUP($A101,HN!$A:$K,9,FALSE)/12),0)+_xlfn.IFNA((VLOOKUP($A101,HN!$A:$K,10,FALSE)/12),0)+_xlfn.IFNA((VLOOKUP($A101,HN!$A:$BZ,33,FALSE)/12),0)+_xlfn.IFNA((VLOOKUP($A101,HN!$A:$BZ,35,FALSE)/2),0)</f>
        <v>0</v>
      </c>
      <c r="FJ101" s="316">
        <f>_xlfn.IFNA((VLOOKUP($A101,HN!$A:$BS,15,FALSE)/12),0)+_xlfn.IFNA((VLOOKUP($A101,HN!$A:$CZ,36,FALSE)/2),0)</f>
        <v>0</v>
      </c>
      <c r="FK101" s="315">
        <f t="shared" si="103"/>
        <v>-452.05333333333328</v>
      </c>
      <c r="FL101" s="315">
        <f t="shared" si="104"/>
        <v>-1388.2008333333333</v>
      </c>
      <c r="FM101" s="316"/>
      <c r="FN101" s="316">
        <f>_xlfn.IFNA(VLOOKUP($A101,'Cash Advances'!$A:$S,18,FALSE),0)</f>
        <v>0</v>
      </c>
      <c r="FO101" s="316">
        <f>_xlfn.IFNA(VLOOKUP(A101,'LA Deductions'!A:AZ,25,FALSE),0)/9</f>
        <v>0</v>
      </c>
      <c r="FP101" s="315">
        <f t="shared" si="113"/>
        <v>110092.95301389572</v>
      </c>
      <c r="FQ101" s="322">
        <f t="shared" si="105"/>
        <v>111933.20718056239</v>
      </c>
      <c r="FR101" s="322"/>
      <c r="FS101" s="323"/>
      <c r="FT101" s="323">
        <f>_xlfn.IFNA((VLOOKUP($A101,HN!$A:$K,8,FALSE)/12),0)+_xlfn.IFNA((VLOOKUP($A101,HN!$A:$AF,32,FALSE)*1/12),0)</f>
        <v>0</v>
      </c>
      <c r="FU101" s="323">
        <f>_xlfn.IFNA((VLOOKUP($A101,HN!$A:$BS,14,FALSE)/12),0)+_xlfn.IFNA((VLOOKUP($A101,HN!$A:$BS,34,FALSE)/3),0)</f>
        <v>0</v>
      </c>
      <c r="FV101" s="323">
        <f>_xlfn.IFNA(VLOOKUP($A101,'Post 16'!$A:$AV,32,FALSE),0)/8</f>
        <v>0</v>
      </c>
      <c r="FW101" s="323"/>
      <c r="FX101" s="323">
        <f>_xlfn.IFNA((VLOOKUP($A101,HN!$A:$K,9,FALSE)/12),0)+_xlfn.IFNA((VLOOKUP($A101,HN!$A:$K,10,FALSE)/12),0)+_xlfn.IFNA((VLOOKUP($A101,HN!$A:$BZ,33,FALSE)/12),0)+_xlfn.IFNA((VLOOKUP($A101,HN!$A:$BZ,35,FALSE)/2),0)</f>
        <v>0</v>
      </c>
      <c r="FY101" s="323">
        <f>_xlfn.IFNA((VLOOKUP($A101,HN!$A:$BS,15,FALSE)/12),0)+_xlfn.IFNA((VLOOKUP($A101,HN!$A:$CZ,36,FALSE)/2),0)</f>
        <v>0</v>
      </c>
      <c r="FZ101" s="322">
        <f t="shared" si="106"/>
        <v>-452.05333333333328</v>
      </c>
      <c r="GA101" s="322">
        <f t="shared" si="107"/>
        <v>-1388.2008333333333</v>
      </c>
      <c r="GB101" s="323"/>
      <c r="GC101" s="323"/>
      <c r="GD101" s="323">
        <f>_xlfn.IFNA(VLOOKUP(A101,'LA Deductions'!A:AZ,25,FALSE),0)/9</f>
        <v>0</v>
      </c>
      <c r="GE101" s="322">
        <f t="shared" si="114"/>
        <v>110092.95301389572</v>
      </c>
      <c r="GG101" s="146">
        <f t="shared" si="119"/>
        <v>1343198.4861667489</v>
      </c>
      <c r="GH101" s="146">
        <f t="shared" si="119"/>
        <v>0</v>
      </c>
      <c r="GI101" s="146">
        <f t="shared" si="119"/>
        <v>0</v>
      </c>
      <c r="GJ101" s="146">
        <f t="shared" si="119"/>
        <v>-5424.6399999999994</v>
      </c>
      <c r="GK101" s="146">
        <f t="shared" si="119"/>
        <v>-16658.409999999996</v>
      </c>
      <c r="GL101" s="146">
        <f t="shared" si="119"/>
        <v>-5139.75</v>
      </c>
      <c r="GN101" s="146">
        <f t="shared" si="120"/>
        <v>1343198.4861667489</v>
      </c>
      <c r="GO101" s="146">
        <f t="shared" si="120"/>
        <v>0</v>
      </c>
      <c r="GP101" s="146">
        <f t="shared" si="120"/>
        <v>0</v>
      </c>
      <c r="GQ101" s="146">
        <f t="shared" si="120"/>
        <v>-5424.6399999999994</v>
      </c>
      <c r="GR101" s="146">
        <f t="shared" si="120"/>
        <v>-16658.409999999996</v>
      </c>
      <c r="GS101" s="146">
        <f t="shared" si="120"/>
        <v>-5139.75</v>
      </c>
      <c r="GU101" s="146"/>
      <c r="GV101" s="57"/>
    </row>
    <row r="102" spans="1:204">
      <c r="A102" s="185">
        <v>2161</v>
      </c>
      <c r="B102" s="185">
        <v>103249</v>
      </c>
      <c r="C102" s="185" t="s">
        <v>228</v>
      </c>
      <c r="D102" s="2" t="s">
        <v>229</v>
      </c>
      <c r="E102" s="191" t="s">
        <v>32</v>
      </c>
      <c r="F102" s="191" t="s">
        <v>912</v>
      </c>
      <c r="H102" s="279">
        <f>_xlfn.IFNA(VLOOKUP($A102,ISB!$A$4:$BY$454,67,FALSE),0)</f>
        <v>1447718.6536941174</v>
      </c>
      <c r="I102" s="279">
        <f>_xlfn.IFNA(VLOOKUP($A102,ISB!$A$4:$BY$454,72,FALSE),0)</f>
        <v>-6259.2</v>
      </c>
      <c r="J102" s="279">
        <f>-_xlfn.IFNA(VLOOKUP($A102,ISB!$A$4:$BY$454,76,FALSE),0)</f>
        <v>-14190.66</v>
      </c>
      <c r="K102" s="279">
        <f>_xlfn.IFNA(VLOOKUP($A102,ISB!$A$4:$BY$454,77,FALSE),0)</f>
        <v>1427268.7936941176</v>
      </c>
      <c r="M102" s="301">
        <f t="shared" si="72"/>
        <v>120643.22114117646</v>
      </c>
      <c r="N102" s="301">
        <f>VLOOKUP($A102,EY!$A:$H,8,FALSE)+(VLOOKUP($A102,EY!$A:$BS,17,FALSE)-S102)+VLOOKUP($A102,EY!$A:$BS,41,FALSE)</f>
        <v>48984</v>
      </c>
      <c r="O102" s="302"/>
      <c r="P102" s="302">
        <f>_xlfn.IFNA((VLOOKUP($A102,HN!$A:$K,8,FALSE)/12),0)</f>
        <v>0</v>
      </c>
      <c r="Q102" s="302">
        <f>_xlfn.IFNA((VLOOKUP($A102,HN!$A:$BS,14,FALSE)/12),0)</f>
        <v>0</v>
      </c>
      <c r="R102" s="302">
        <f>_xlfn.IFNA(VLOOKUP($A102,'Post 16'!$A:$V,21,FALSE),0)/4</f>
        <v>0</v>
      </c>
      <c r="S102" s="302">
        <f>VLOOKUP($A102,EY!A:Q,15,FALSE)*80%</f>
        <v>0</v>
      </c>
      <c r="T102" s="302">
        <f>_xlfn.IFNA((VLOOKUP($A102,HN!$A:$K,9,FALSE)/12),0)+_xlfn.IFNA((VLOOKUP($A102,HN!$A:$K,10,FALSE)/12),0)</f>
        <v>0</v>
      </c>
      <c r="U102" s="302">
        <f>_xlfn.IFNA((VLOOKUP($A102,HN!$A:$BS,15,FALSE)/12),0)</f>
        <v>0</v>
      </c>
      <c r="V102" s="301">
        <f t="shared" si="73"/>
        <v>-521.6</v>
      </c>
      <c r="W102" s="301">
        <f t="shared" si="74"/>
        <v>-1182.5550000000001</v>
      </c>
      <c r="X102" s="302"/>
      <c r="Y102" s="302">
        <f>_xlfn.IFNA(VLOOKUP($A102,'Cash Advances'!$A:$S,8,FALSE),0)</f>
        <v>0</v>
      </c>
      <c r="Z102" s="301">
        <f t="shared" si="121"/>
        <v>167923.06614117647</v>
      </c>
      <c r="AA102" s="315">
        <f t="shared" si="75"/>
        <v>120643.22114117646</v>
      </c>
      <c r="AB102" s="315"/>
      <c r="AC102" s="316"/>
      <c r="AD102" s="316">
        <f>_xlfn.IFNA((VLOOKUP($A102,HN!$A:$K,8,FALSE)/12),0)</f>
        <v>0</v>
      </c>
      <c r="AE102" s="316">
        <f>_xlfn.IFNA((VLOOKUP($A102,HN!$A:$BS,14,FALSE)/12),0)</f>
        <v>0</v>
      </c>
      <c r="AF102" s="316">
        <f>_xlfn.IFNA(VLOOKUP($A102,'Post 16'!$A:$V,21,FALSE),0)/4</f>
        <v>0</v>
      </c>
      <c r="AG102" s="316"/>
      <c r="AH102" s="316">
        <f>_xlfn.IFNA((VLOOKUP($A102,HN!$A:$K,9,FALSE)/12),0)+_xlfn.IFNA((VLOOKUP($A102,HN!$A:$K,10,FALSE)/12),0)</f>
        <v>0</v>
      </c>
      <c r="AI102" s="316">
        <f>_xlfn.IFNA((VLOOKUP($A102,HN!$A:$BS,15,FALSE)/12),0)</f>
        <v>0</v>
      </c>
      <c r="AJ102" s="315">
        <f t="shared" si="76"/>
        <v>-521.6</v>
      </c>
      <c r="AK102" s="315">
        <f t="shared" si="77"/>
        <v>-1182.5550000000001</v>
      </c>
      <c r="AL102" s="316"/>
      <c r="AM102" s="316">
        <f>_xlfn.IFNA(VLOOKUP($A102,'Cash Advances'!$A:$S,9,FALSE),0)</f>
        <v>0</v>
      </c>
      <c r="AN102" s="315">
        <f t="shared" si="122"/>
        <v>118939.06614117646</v>
      </c>
      <c r="AO102" s="308">
        <f t="shared" si="78"/>
        <v>120643.22114117646</v>
      </c>
      <c r="AP102" s="308"/>
      <c r="AQ102" s="309"/>
      <c r="AR102" s="309">
        <f>_xlfn.IFNA((VLOOKUP($A102,HN!$A:$K,8,FALSE)/12),0)</f>
        <v>0</v>
      </c>
      <c r="AS102" s="309">
        <f>_xlfn.IFNA((VLOOKUP($A102,HN!$A:$BS,14,FALSE)/12),0)</f>
        <v>0</v>
      </c>
      <c r="AT102" s="309">
        <f>_xlfn.IFNA(VLOOKUP($A102,'Post 16'!$A:$V,21,FALSE),0)/4</f>
        <v>0</v>
      </c>
      <c r="AU102" s="309"/>
      <c r="AV102" s="309">
        <f>_xlfn.IFNA((VLOOKUP($A102,HN!$A:$K,9,FALSE)/12),0)+_xlfn.IFNA((VLOOKUP($A102,HN!$A:$K,10,FALSE)/12),0)+_xlfn.IFNA(VLOOKUP(A102,HN!A:V,19,FALSE),0)+_xlfn.IFNA(VLOOKUP(A102,HN!A:V,20,FALSE),0)+_xlfn.IFNA(VLOOKUP(A102,HN!A:V,21,FALSE),0)</f>
        <v>0</v>
      </c>
      <c r="AW102" s="309">
        <f>_xlfn.IFNA((VLOOKUP($A102,HN!$A:$BS,15,FALSE)/12),0)</f>
        <v>0</v>
      </c>
      <c r="AX102" s="308">
        <f t="shared" si="79"/>
        <v>-521.6</v>
      </c>
      <c r="AY102" s="308">
        <f t="shared" si="80"/>
        <v>-1182.5550000000001</v>
      </c>
      <c r="AZ102" s="309"/>
      <c r="BA102" s="309">
        <f>_xlfn.IFNA(VLOOKUP($A102,'Cash Advances'!$A:$S,10,FALSE),0)</f>
        <v>0</v>
      </c>
      <c r="BB102" s="308">
        <f t="shared" si="123"/>
        <v>118939.06614117646</v>
      </c>
      <c r="BC102" s="330">
        <f t="shared" si="81"/>
        <v>120643.22114117646</v>
      </c>
      <c r="BD102" s="330"/>
      <c r="BE102" s="331"/>
      <c r="BF102" s="331">
        <f>_xlfn.IFNA((VLOOKUP($A102,HN!$A:$K,8,FALSE)/12),0)</f>
        <v>0</v>
      </c>
      <c r="BG102" s="331">
        <f>_xlfn.IFNA((VLOOKUP($A102,HN!$A:$BS,14,FALSE)/12),0)</f>
        <v>0</v>
      </c>
      <c r="BH102" s="331">
        <f>_xlfn.IFNA(VLOOKUP($A102,'Post 16'!$A:$V,21,FALSE),0)/4</f>
        <v>0</v>
      </c>
      <c r="BI102" s="331"/>
      <c r="BJ102" s="331">
        <f>_xlfn.IFNA((VLOOKUP($A102,HN!$A:$K,9,FALSE)/12),0)+_xlfn.IFNA((VLOOKUP($A102,HN!$A:$K,10,FALSE)/12),0)</f>
        <v>0</v>
      </c>
      <c r="BK102" s="331">
        <f>_xlfn.IFNA((VLOOKUP($A102,HN!$A:$BS,15,FALSE)/12),0)</f>
        <v>0</v>
      </c>
      <c r="BL102" s="330">
        <f t="shared" si="82"/>
        <v>-521.6</v>
      </c>
      <c r="BM102" s="330">
        <f t="shared" si="83"/>
        <v>-1182.5550000000001</v>
      </c>
      <c r="BN102" s="331"/>
      <c r="BO102" s="331">
        <f>_xlfn.IFNA(VLOOKUP(A102,'Cash Advances'!A:K,11,FALSE),0)</f>
        <v>0</v>
      </c>
      <c r="BP102" s="330">
        <f t="shared" si="124"/>
        <v>118939.06614117646</v>
      </c>
      <c r="BQ102" s="322">
        <f t="shared" si="84"/>
        <v>120643.22114117646</v>
      </c>
      <c r="BR102" s="322"/>
      <c r="BS102" s="323"/>
      <c r="BT102" s="323">
        <f>_xlfn.IFNA((VLOOKUP($A102,HN!$A:$K,8,FALSE)/12),0)</f>
        <v>0</v>
      </c>
      <c r="BU102" s="323">
        <f>_xlfn.IFNA((VLOOKUP($A102,HN!$A:$BS,14,FALSE)/12),0)</f>
        <v>0</v>
      </c>
      <c r="BV102" s="323">
        <f>(_xlfn.IFNA(VLOOKUP($A102,'Post 16'!$A:$AV,32,FALSE),0)/8)+_xlfn.IFNA(VLOOKUP($A102,'Post 16'!$A:$AR,40,FALSE),0)</f>
        <v>0</v>
      </c>
      <c r="BW102" s="323"/>
      <c r="BX102" s="323">
        <f>_xlfn.IFNA((VLOOKUP($A102,HN!$A:$K,9,FALSE)/12),0)+_xlfn.IFNA((VLOOKUP($A102,HN!$A:$K,10,FALSE)/12),0)</f>
        <v>0</v>
      </c>
      <c r="BY102" s="323">
        <f>_xlfn.IFNA((VLOOKUP($A102,HN!$A:$BS,15,FALSE)/12),0)</f>
        <v>0</v>
      </c>
      <c r="BZ102" s="322">
        <f t="shared" si="85"/>
        <v>-521.6</v>
      </c>
      <c r="CA102" s="322">
        <f t="shared" si="86"/>
        <v>-1182.5550000000001</v>
      </c>
      <c r="CB102" s="323"/>
      <c r="CC102" s="323"/>
      <c r="CD102" s="322">
        <f t="shared" si="125"/>
        <v>118939.06614117646</v>
      </c>
      <c r="CE102" s="357">
        <f t="shared" si="87"/>
        <v>120643.22114117646</v>
      </c>
      <c r="CF102" s="357">
        <f>(VLOOKUP($A102,EY!$A:$BS,26,FALSE)-(VLOOKUP($A102,EY!A:CR,24,FALSE)*80%))+VLOOKUP($A102,EY!$A:$BS,42,FALSE)+(VLOOKUP($A102,EY!A:CC,74,FALSE)-VLOOKUP($A102,EY!A:CC,72,FALSE))</f>
        <v>59476.950000000012</v>
      </c>
      <c r="CG102" s="358"/>
      <c r="CH102" s="358">
        <f>_xlfn.IFNA((VLOOKUP($A102,HN!$A:$K,8,FALSE)/12),0)</f>
        <v>0</v>
      </c>
      <c r="CI102" s="358">
        <f>_xlfn.IFNA((VLOOKUP($A102,HN!$A:$BS,14,FALSE)/12),0)</f>
        <v>0</v>
      </c>
      <c r="CJ102" s="358">
        <f>(_xlfn.IFNA(VLOOKUP($A102,'Post 16'!$A:$AV,32,FALSE),0)/8)</f>
        <v>0</v>
      </c>
      <c r="CK102" s="358">
        <f>(VLOOKUP($A102,EY!A:CR,24,FALSE)*80%)+VLOOKUP($A102,EY!A:CC,72,FALSE)</f>
        <v>0</v>
      </c>
      <c r="CL102" s="358">
        <f>_xlfn.IFNA((VLOOKUP($A102,HN!$A:$K,9,FALSE)/12),0)+_xlfn.IFNA((VLOOKUP($A102,HN!$A:$K,10,FALSE)/12),0)</f>
        <v>0</v>
      </c>
      <c r="CM102" s="358">
        <f>_xlfn.IFNA((VLOOKUP($A102,HN!$A:$BS,15,FALSE)/12),0)</f>
        <v>0</v>
      </c>
      <c r="CN102" s="357">
        <f t="shared" si="88"/>
        <v>-521.6</v>
      </c>
      <c r="CO102" s="357">
        <f t="shared" si="89"/>
        <v>-1182.5550000000001</v>
      </c>
      <c r="CP102" s="358">
        <f>_xlfn.IFNA(VLOOKUP(A102,'LA Deductions'!A:W,23,FALSE),0)</f>
        <v>-5139.75</v>
      </c>
      <c r="CQ102" s="358">
        <f>_xlfn.IFNA(VLOOKUP($A102,'Cash Advances'!$A:$S,13,FALSE),0)</f>
        <v>0</v>
      </c>
      <c r="CR102" s="358">
        <f>_xlfn.IFNA(VLOOKUP(A102,'LA Deductions'!A:AZ,25,FALSE),0)/9*3</f>
        <v>0</v>
      </c>
      <c r="CS102" s="357">
        <f t="shared" si="108"/>
        <v>173276.26614117649</v>
      </c>
      <c r="CT102" s="337">
        <f t="shared" si="90"/>
        <v>120643.22114117646</v>
      </c>
      <c r="CU102" s="337"/>
      <c r="CV102" s="338">
        <f>_xlfn.IFNA(VLOOKUP(A102,'LA Deductions'!$A$6:$AN$207,34,FALSE),0)</f>
        <v>0</v>
      </c>
      <c r="CW102" s="338">
        <f>_xlfn.IFNA((VLOOKUP($A102,HN!$A:$K,8,FALSE)/12),0)</f>
        <v>0</v>
      </c>
      <c r="CX102" s="338">
        <f>_xlfn.IFNA((VLOOKUP($A102,HN!$A:$BS,14,FALSE)/12),0)</f>
        <v>0</v>
      </c>
      <c r="CY102" s="338">
        <f>_xlfn.IFNA(VLOOKUP($A102,'Post 16'!$A:$AV,32,FALSE),0)/8</f>
        <v>0</v>
      </c>
      <c r="CZ102" s="338"/>
      <c r="DA102" s="338">
        <f>_xlfn.IFNA((VLOOKUP($A102,HN!$A:$K,9,FALSE)/12),0)+_xlfn.IFNA((VLOOKUP($A102,HN!$A:$K,10,FALSE)/12),0)</f>
        <v>0</v>
      </c>
      <c r="DB102" s="338">
        <f>_xlfn.IFNA((VLOOKUP($A102,HN!$A:$BS,15,FALSE)/12),0)</f>
        <v>0</v>
      </c>
      <c r="DC102" s="337">
        <f t="shared" si="91"/>
        <v>-521.6</v>
      </c>
      <c r="DD102" s="337">
        <f t="shared" si="92"/>
        <v>-1182.5550000000001</v>
      </c>
      <c r="DE102" s="338"/>
      <c r="DF102" s="338">
        <f>_xlfn.IFNA(VLOOKUP($A102,'Cash Advances'!$A:$S,14,FALSE),0)</f>
        <v>0</v>
      </c>
      <c r="DG102" s="338">
        <f>(_xlfn.IFNA(VLOOKUP(A102,'LA Deductions'!A:AZ,25,FALSE),0)/9)+(_xlfn.IFNA(VLOOKUP(A102,'LA Deductions'!A:AZ,26,FALSE),0))</f>
        <v>0</v>
      </c>
      <c r="DH102" s="337">
        <f t="shared" si="109"/>
        <v>118939.06614117646</v>
      </c>
      <c r="DI102" s="330">
        <f t="shared" si="93"/>
        <v>120643.22114117646</v>
      </c>
      <c r="DJ102" s="330"/>
      <c r="DK102" s="331"/>
      <c r="DL102" s="331">
        <f>_xlfn.IFNA((VLOOKUP($A102,HN!$A:$K,8,FALSE)/12),0)+_xlfn.IFNA((VLOOKUP($A102,HN!$A:$AF,32,FALSE)*8/12),0)</f>
        <v>0</v>
      </c>
      <c r="DM102" s="331">
        <f>_xlfn.IFNA((VLOOKUP($A102,HN!$A:$BS,14,FALSE)/12),0)+_xlfn.IFNA(VLOOKUP($A102,HN!$A:$BS,31,FALSE),0)</f>
        <v>0</v>
      </c>
      <c r="DN102" s="331">
        <f>_xlfn.IFNA(VLOOKUP($A102,'Post 16'!$A:$AV,32,FALSE),0)/8</f>
        <v>0</v>
      </c>
      <c r="DO102" s="331"/>
      <c r="DP102" s="331">
        <f>_xlfn.IFNA((VLOOKUP($A102,HN!$A:$K,9,FALSE)/12),0)+_xlfn.IFNA((VLOOKUP($A102,HN!$A:$K,10,FALSE)/12),0)+_xlfn.IFNA((VLOOKUP($A102,HN!$A:$BZ,33,FALSE)*8/12),0)</f>
        <v>0</v>
      </c>
      <c r="DQ102" s="331">
        <f>_xlfn.IFNA((VLOOKUP($A102,HN!$A:$BS,15,FALSE)/12),0)</f>
        <v>0</v>
      </c>
      <c r="DR102" s="330">
        <f t="shared" si="94"/>
        <v>-521.6</v>
      </c>
      <c r="DS102" s="330">
        <f t="shared" si="95"/>
        <v>-1182.5550000000001</v>
      </c>
      <c r="DT102" s="331"/>
      <c r="DU102" s="331"/>
      <c r="DV102" s="331">
        <f>(_xlfn.IFNA(VLOOKUP(A102,'LA Deductions'!A:AZ,25,FALSE),0)/9)+_xlfn.IFNA(VLOOKUP(A102,'LA Deductions'!A:AZ,27,FALSE),0)</f>
        <v>0</v>
      </c>
      <c r="DW102" s="330">
        <f t="shared" si="110"/>
        <v>118939.06614117646</v>
      </c>
      <c r="DX102" s="344">
        <f t="shared" si="96"/>
        <v>120643.22114117646</v>
      </c>
      <c r="DY102" s="344"/>
      <c r="DZ102" s="345"/>
      <c r="EA102" s="345">
        <f>_xlfn.IFNA((VLOOKUP($A102,HN!$A:$K,8,FALSE)/12),0)+_xlfn.IFNA((VLOOKUP($A102,HN!$A:$AF,32,FALSE)*1/12),0)</f>
        <v>0</v>
      </c>
      <c r="EB102" s="345">
        <f>_xlfn.IFNA((VLOOKUP($A102,HN!$A:$BS,14,FALSE)/12),0)</f>
        <v>0</v>
      </c>
      <c r="EC102" s="345">
        <f>_xlfn.IFNA(VLOOKUP($A102,'Post 16'!$A:$AV,32,FALSE),0)/8</f>
        <v>0</v>
      </c>
      <c r="ED102" s="345"/>
      <c r="EE102" s="345">
        <f>_xlfn.IFNA((VLOOKUP($A102,HN!$A:$K,9,FALSE)/12),0)+_xlfn.IFNA((VLOOKUP($A102,HN!$A:$K,10,FALSE)/12),0)+_xlfn.IFNA((VLOOKUP($A102,HN!$A:$BZ,33,FALSE)/12),0)</f>
        <v>0</v>
      </c>
      <c r="EF102" s="345">
        <f>_xlfn.IFNA((VLOOKUP($A102,HN!$A:$BS,15,FALSE)/12),0)</f>
        <v>0</v>
      </c>
      <c r="EG102" s="344">
        <f t="shared" si="97"/>
        <v>-521.6</v>
      </c>
      <c r="EH102" s="344">
        <f t="shared" si="98"/>
        <v>-1182.5550000000001</v>
      </c>
      <c r="EI102" s="345"/>
      <c r="EJ102" s="345">
        <f>_xlfn.IFNA(VLOOKUP(A102,'Cash Advances'!A:P,16,FALSE),0)</f>
        <v>0</v>
      </c>
      <c r="EK102" s="345">
        <f>_xlfn.IFNA(VLOOKUP(A102,'LA Deductions'!A:AZ,25,FALSE),0)/9</f>
        <v>0</v>
      </c>
      <c r="EL102" s="344">
        <f t="shared" si="111"/>
        <v>118939.06614117646</v>
      </c>
      <c r="EM102" s="308">
        <f t="shared" si="99"/>
        <v>120643.22114117646</v>
      </c>
      <c r="EN102" s="308">
        <f>((VLOOKUP($A102,EY!$A:$BS,35,FALSE)-(VLOOKUP($A102,EY!$A:$BS,33,FALSE)*80%))+VLOOKUP($A102,EY!$A:$BS,43,FALSE))+(VLOOKUP(A102,EY!A:DF,110,FALSE)-VLOOKUP(A102,EY!A:DD,108,FALSE))+(VLOOKUP(A102,EY!A:CE,83,FALSE)-VLOOKUP(A102,EY!A:CC,81,FALSE))</f>
        <v>50004.986315789472</v>
      </c>
      <c r="EO102" s="309"/>
      <c r="EP102" s="309">
        <f>_xlfn.IFNA((VLOOKUP($A102,HN!$A:$K,8,FALSE)/12),0)+_xlfn.IFNA((VLOOKUP($A102,HN!$A:$AF,32,FALSE)*1/12),0)</f>
        <v>0</v>
      </c>
      <c r="EQ102" s="309">
        <f>_xlfn.IFNA((VLOOKUP($A102,HN!$A:$BS,14,FALSE)/12),0)+_xlfn.IFNA((VLOOKUP($A102,HN!$A:$BS,34,FALSE)/3),0)</f>
        <v>0</v>
      </c>
      <c r="ER102" s="309">
        <f>_xlfn.IFNA(VLOOKUP($A102,'Post 16'!$A:$AV,32,FALSE),0)/8</f>
        <v>0</v>
      </c>
      <c r="ES102" s="309">
        <f>((VLOOKUP($A102,EY!A:EV,33,FALSE)*80%))+VLOOKUP(A102,EY!A:DD,108,FALSE)+VLOOKUP(A102,EY!A:CC,81,FALSE)</f>
        <v>0</v>
      </c>
      <c r="ET102" s="309">
        <f>_xlfn.IFNA((VLOOKUP($A102,HN!$A:$K,9,FALSE)/12),0)+_xlfn.IFNA((VLOOKUP($A102,HN!$A:$K,10,FALSE)/12),0)+_xlfn.IFNA((VLOOKUP($A102,HN!$A:$BZ,33,FALSE)/12),0)</f>
        <v>0</v>
      </c>
      <c r="EU102" s="309">
        <f>_xlfn.IFNA((VLOOKUP($A102,HN!$A:$BS,15,FALSE)/12),0)</f>
        <v>0</v>
      </c>
      <c r="EV102" s="308">
        <f t="shared" si="100"/>
        <v>-521.6</v>
      </c>
      <c r="EW102" s="308">
        <f t="shared" si="101"/>
        <v>-1182.5550000000001</v>
      </c>
      <c r="EX102" s="309"/>
      <c r="EY102" s="309">
        <f>_xlfn.IFNA(VLOOKUP($A102,'Cash Advances'!$A:$S,17,FALSE),0)</f>
        <v>0</v>
      </c>
      <c r="EZ102" s="309">
        <f>_xlfn.IFNA(VLOOKUP(A102,'LA Deductions'!A:AZ,25,FALSE),0)/9</f>
        <v>0</v>
      </c>
      <c r="FA102" s="308">
        <f t="shared" si="112"/>
        <v>168944.05245696593</v>
      </c>
      <c r="FB102" s="315">
        <f t="shared" si="102"/>
        <v>120643.22114117646</v>
      </c>
      <c r="FC102" s="315"/>
      <c r="FD102" s="316"/>
      <c r="FE102" s="316">
        <f>_xlfn.IFNA((VLOOKUP($A102,HN!$A:$K,8,FALSE)/12),0)+_xlfn.IFNA((VLOOKUP($A102,HN!$A:$AF,32,FALSE)*1/12),0)</f>
        <v>0</v>
      </c>
      <c r="FF102" s="316">
        <f>_xlfn.IFNA((VLOOKUP($A102,HN!$A:$BS,14,FALSE)/12),0)+_xlfn.IFNA((VLOOKUP($A102,HN!$A:$BS,34,FALSE)/3),0)</f>
        <v>0</v>
      </c>
      <c r="FG102" s="316">
        <f>_xlfn.IFNA(VLOOKUP($A102,'Post 16'!$A:$AV,32,FALSE),0)/8</f>
        <v>0</v>
      </c>
      <c r="FH102" s="316"/>
      <c r="FI102" s="316">
        <f>_xlfn.IFNA((VLOOKUP($A102,HN!$A:$K,9,FALSE)/12),0)+_xlfn.IFNA((VLOOKUP($A102,HN!$A:$K,10,FALSE)/12),0)+_xlfn.IFNA((VLOOKUP($A102,HN!$A:$BZ,33,FALSE)/12),0)+_xlfn.IFNA((VLOOKUP($A102,HN!$A:$BZ,35,FALSE)/2),0)</f>
        <v>0</v>
      </c>
      <c r="FJ102" s="316">
        <f>_xlfn.IFNA((VLOOKUP($A102,HN!$A:$BS,15,FALSE)/12),0)+_xlfn.IFNA((VLOOKUP($A102,HN!$A:$CZ,36,FALSE)/2),0)</f>
        <v>0</v>
      </c>
      <c r="FK102" s="315">
        <f t="shared" si="103"/>
        <v>-521.6</v>
      </c>
      <c r="FL102" s="315">
        <f t="shared" si="104"/>
        <v>-1182.5550000000001</v>
      </c>
      <c r="FM102" s="316"/>
      <c r="FN102" s="316">
        <f>_xlfn.IFNA(VLOOKUP($A102,'Cash Advances'!$A:$S,18,FALSE),0)</f>
        <v>0</v>
      </c>
      <c r="FO102" s="316">
        <f>_xlfn.IFNA(VLOOKUP(A102,'LA Deductions'!A:AZ,25,FALSE),0)/9</f>
        <v>0</v>
      </c>
      <c r="FP102" s="315">
        <f t="shared" si="113"/>
        <v>118939.06614117646</v>
      </c>
      <c r="FQ102" s="322">
        <f t="shared" si="105"/>
        <v>120643.22114117646</v>
      </c>
      <c r="FR102" s="322"/>
      <c r="FS102" s="323"/>
      <c r="FT102" s="323">
        <f>_xlfn.IFNA((VLOOKUP($A102,HN!$A:$K,8,FALSE)/12),0)+_xlfn.IFNA((VLOOKUP($A102,HN!$A:$AF,32,FALSE)*1/12),0)</f>
        <v>0</v>
      </c>
      <c r="FU102" s="323">
        <f>_xlfn.IFNA((VLOOKUP($A102,HN!$A:$BS,14,FALSE)/12),0)+_xlfn.IFNA((VLOOKUP($A102,HN!$A:$BS,34,FALSE)/3),0)</f>
        <v>0</v>
      </c>
      <c r="FV102" s="323">
        <f>_xlfn.IFNA(VLOOKUP($A102,'Post 16'!$A:$AV,32,FALSE),0)/8</f>
        <v>0</v>
      </c>
      <c r="FW102" s="323"/>
      <c r="FX102" s="323">
        <f>_xlfn.IFNA((VLOOKUP($A102,HN!$A:$K,9,FALSE)/12),0)+_xlfn.IFNA((VLOOKUP($A102,HN!$A:$K,10,FALSE)/12),0)+_xlfn.IFNA((VLOOKUP($A102,HN!$A:$BZ,33,FALSE)/12),0)+_xlfn.IFNA((VLOOKUP($A102,HN!$A:$BZ,35,FALSE)/2),0)</f>
        <v>0</v>
      </c>
      <c r="FY102" s="323">
        <f>_xlfn.IFNA((VLOOKUP($A102,HN!$A:$BS,15,FALSE)/12),0)+_xlfn.IFNA((VLOOKUP($A102,HN!$A:$CZ,36,FALSE)/2),0)</f>
        <v>0</v>
      </c>
      <c r="FZ102" s="322">
        <f t="shared" si="106"/>
        <v>-521.6</v>
      </c>
      <c r="GA102" s="322">
        <f t="shared" si="107"/>
        <v>-1182.5550000000001</v>
      </c>
      <c r="GB102" s="323"/>
      <c r="GC102" s="323"/>
      <c r="GD102" s="323">
        <f>_xlfn.IFNA(VLOOKUP(A102,'LA Deductions'!A:AZ,25,FALSE),0)/9</f>
        <v>0</v>
      </c>
      <c r="GE102" s="322">
        <f t="shared" si="114"/>
        <v>118939.06614117646</v>
      </c>
      <c r="GG102" s="146">
        <f t="shared" si="119"/>
        <v>1606184.590009907</v>
      </c>
      <c r="GH102" s="146">
        <f t="shared" si="119"/>
        <v>0</v>
      </c>
      <c r="GI102" s="146">
        <f t="shared" si="119"/>
        <v>0</v>
      </c>
      <c r="GJ102" s="146">
        <f t="shared" si="119"/>
        <v>-6259.2000000000016</v>
      </c>
      <c r="GK102" s="146">
        <f t="shared" si="119"/>
        <v>-14190.660000000002</v>
      </c>
      <c r="GL102" s="146">
        <f t="shared" si="119"/>
        <v>-5139.75</v>
      </c>
      <c r="GN102" s="146">
        <f t="shared" si="120"/>
        <v>1606184.590009907</v>
      </c>
      <c r="GO102" s="146">
        <f t="shared" si="120"/>
        <v>0</v>
      </c>
      <c r="GP102" s="146">
        <f t="shared" si="120"/>
        <v>0</v>
      </c>
      <c r="GQ102" s="146">
        <f t="shared" si="120"/>
        <v>-6259.2000000000016</v>
      </c>
      <c r="GR102" s="146">
        <f t="shared" si="120"/>
        <v>-14190.660000000002</v>
      </c>
      <c r="GS102" s="146">
        <f t="shared" si="120"/>
        <v>-5139.75</v>
      </c>
      <c r="GU102" s="146"/>
      <c r="GV102" s="57"/>
    </row>
    <row r="103" spans="1:204">
      <c r="A103" s="185">
        <v>2160</v>
      </c>
      <c r="B103" s="185">
        <v>103248</v>
      </c>
      <c r="C103" s="185" t="s">
        <v>230</v>
      </c>
      <c r="D103" s="2" t="s">
        <v>231</v>
      </c>
      <c r="E103" s="191" t="s">
        <v>32</v>
      </c>
      <c r="F103" s="191" t="s">
        <v>912</v>
      </c>
      <c r="H103" s="279">
        <f>_xlfn.IFNA(VLOOKUP($A103,ISB!$A$4:$BY$454,67,FALSE),0)</f>
        <v>2039017.1434583578</v>
      </c>
      <c r="I103" s="279">
        <f>_xlfn.IFNA(VLOOKUP($A103,ISB!$A$4:$BY$454,72,FALSE),0)</f>
        <v>-8945.4399999999987</v>
      </c>
      <c r="J103" s="279">
        <f>-_xlfn.IFNA(VLOOKUP($A103,ISB!$A$4:$BY$454,76,FALSE),0)</f>
        <v>-26354.1</v>
      </c>
      <c r="K103" s="279">
        <f>_xlfn.IFNA(VLOOKUP($A103,ISB!$A$4:$BY$454,77,FALSE),0)</f>
        <v>2003717.6034583577</v>
      </c>
      <c r="M103" s="301">
        <f t="shared" si="72"/>
        <v>169918.09528819649</v>
      </c>
      <c r="N103" s="301">
        <f>VLOOKUP($A103,EY!$A:$H,8,FALSE)+(VLOOKUP($A103,EY!$A:$BS,17,FALSE)-S103)+VLOOKUP($A103,EY!$A:$BS,41,FALSE)</f>
        <v>0</v>
      </c>
      <c r="O103" s="302"/>
      <c r="P103" s="302">
        <f>_xlfn.IFNA((VLOOKUP($A103,HN!$A:$K,8,FALSE)/12),0)</f>
        <v>0</v>
      </c>
      <c r="Q103" s="302">
        <f>_xlfn.IFNA((VLOOKUP($A103,HN!$A:$BS,14,FALSE)/12),0)</f>
        <v>0</v>
      </c>
      <c r="R103" s="302">
        <f>_xlfn.IFNA(VLOOKUP($A103,'Post 16'!$A:$V,21,FALSE),0)/4</f>
        <v>0</v>
      </c>
      <c r="S103" s="302">
        <f>VLOOKUP($A103,EY!A:Q,15,FALSE)*80%</f>
        <v>0</v>
      </c>
      <c r="T103" s="302">
        <f>_xlfn.IFNA((VLOOKUP($A103,HN!$A:$K,9,FALSE)/12),0)+_xlfn.IFNA((VLOOKUP($A103,HN!$A:$K,10,FALSE)/12),0)</f>
        <v>0</v>
      </c>
      <c r="U103" s="302">
        <f>_xlfn.IFNA((VLOOKUP($A103,HN!$A:$BS,15,FALSE)/12),0)</f>
        <v>0</v>
      </c>
      <c r="V103" s="301">
        <f t="shared" si="73"/>
        <v>-745.45333333333326</v>
      </c>
      <c r="W103" s="301">
        <f t="shared" si="74"/>
        <v>-2196.1749999999997</v>
      </c>
      <c r="X103" s="302"/>
      <c r="Y103" s="302">
        <f>_xlfn.IFNA(VLOOKUP($A103,'Cash Advances'!$A:$S,8,FALSE),0)</f>
        <v>0</v>
      </c>
      <c r="Z103" s="301">
        <f t="shared" si="121"/>
        <v>166976.46695486316</v>
      </c>
      <c r="AA103" s="315">
        <f t="shared" si="75"/>
        <v>169918.09528819649</v>
      </c>
      <c r="AB103" s="315"/>
      <c r="AC103" s="316"/>
      <c r="AD103" s="316">
        <f>_xlfn.IFNA((VLOOKUP($A103,HN!$A:$K,8,FALSE)/12),0)</f>
        <v>0</v>
      </c>
      <c r="AE103" s="316">
        <f>_xlfn.IFNA((VLOOKUP($A103,HN!$A:$BS,14,FALSE)/12),0)</f>
        <v>0</v>
      </c>
      <c r="AF103" s="316">
        <f>_xlfn.IFNA(VLOOKUP($A103,'Post 16'!$A:$V,21,FALSE),0)/4</f>
        <v>0</v>
      </c>
      <c r="AG103" s="316"/>
      <c r="AH103" s="316">
        <f>_xlfn.IFNA((VLOOKUP($A103,HN!$A:$K,9,FALSE)/12),0)+_xlfn.IFNA((VLOOKUP($A103,HN!$A:$K,10,FALSE)/12),0)</f>
        <v>0</v>
      </c>
      <c r="AI103" s="316">
        <f>_xlfn.IFNA((VLOOKUP($A103,HN!$A:$BS,15,FALSE)/12),0)</f>
        <v>0</v>
      </c>
      <c r="AJ103" s="315">
        <f t="shared" si="76"/>
        <v>-745.45333333333326</v>
      </c>
      <c r="AK103" s="315">
        <f t="shared" si="77"/>
        <v>-2196.1749999999997</v>
      </c>
      <c r="AL103" s="316"/>
      <c r="AM103" s="316">
        <f>_xlfn.IFNA(VLOOKUP($A103,'Cash Advances'!$A:$S,9,FALSE),0)</f>
        <v>0</v>
      </c>
      <c r="AN103" s="315">
        <f t="shared" si="122"/>
        <v>166976.46695486316</v>
      </c>
      <c r="AO103" s="308">
        <f t="shared" si="78"/>
        <v>169918.09528819649</v>
      </c>
      <c r="AP103" s="308"/>
      <c r="AQ103" s="309"/>
      <c r="AR103" s="309">
        <f>_xlfn.IFNA((VLOOKUP($A103,HN!$A:$K,8,FALSE)/12),0)</f>
        <v>0</v>
      </c>
      <c r="AS103" s="309">
        <f>_xlfn.IFNA((VLOOKUP($A103,HN!$A:$BS,14,FALSE)/12),0)</f>
        <v>0</v>
      </c>
      <c r="AT103" s="309">
        <f>_xlfn.IFNA(VLOOKUP($A103,'Post 16'!$A:$V,21,FALSE),0)/4</f>
        <v>0</v>
      </c>
      <c r="AU103" s="309"/>
      <c r="AV103" s="309">
        <f>_xlfn.IFNA((VLOOKUP($A103,HN!$A:$K,9,FALSE)/12),0)+_xlfn.IFNA((VLOOKUP($A103,HN!$A:$K,10,FALSE)/12),0)+_xlfn.IFNA(VLOOKUP(A103,HN!A:V,19,FALSE),0)+_xlfn.IFNA(VLOOKUP(A103,HN!A:V,20,FALSE),0)+_xlfn.IFNA(VLOOKUP(A103,HN!A:V,21,FALSE),0)</f>
        <v>0</v>
      </c>
      <c r="AW103" s="309">
        <f>_xlfn.IFNA((VLOOKUP($A103,HN!$A:$BS,15,FALSE)/12),0)</f>
        <v>0</v>
      </c>
      <c r="AX103" s="308">
        <f t="shared" si="79"/>
        <v>-745.45333333333326</v>
      </c>
      <c r="AY103" s="308">
        <f t="shared" si="80"/>
        <v>-2196.1749999999997</v>
      </c>
      <c r="AZ103" s="309"/>
      <c r="BA103" s="309">
        <f>_xlfn.IFNA(VLOOKUP($A103,'Cash Advances'!$A:$S,10,FALSE),0)</f>
        <v>0</v>
      </c>
      <c r="BB103" s="308">
        <f t="shared" si="123"/>
        <v>166976.46695486316</v>
      </c>
      <c r="BC103" s="330">
        <f t="shared" si="81"/>
        <v>169918.09528819649</v>
      </c>
      <c r="BD103" s="330"/>
      <c r="BE103" s="331"/>
      <c r="BF103" s="331">
        <f>_xlfn.IFNA((VLOOKUP($A103,HN!$A:$K,8,FALSE)/12),0)</f>
        <v>0</v>
      </c>
      <c r="BG103" s="331">
        <f>_xlfn.IFNA((VLOOKUP($A103,HN!$A:$BS,14,FALSE)/12),0)</f>
        <v>0</v>
      </c>
      <c r="BH103" s="331">
        <f>_xlfn.IFNA(VLOOKUP($A103,'Post 16'!$A:$V,21,FALSE),0)/4</f>
        <v>0</v>
      </c>
      <c r="BI103" s="331"/>
      <c r="BJ103" s="331">
        <f>_xlfn.IFNA((VLOOKUP($A103,HN!$A:$K,9,FALSE)/12),0)+_xlfn.IFNA((VLOOKUP($A103,HN!$A:$K,10,FALSE)/12),0)</f>
        <v>0</v>
      </c>
      <c r="BK103" s="331">
        <f>_xlfn.IFNA((VLOOKUP($A103,HN!$A:$BS,15,FALSE)/12),0)</f>
        <v>0</v>
      </c>
      <c r="BL103" s="330">
        <f t="shared" si="82"/>
        <v>-745.45333333333326</v>
      </c>
      <c r="BM103" s="330">
        <f t="shared" si="83"/>
        <v>-2196.1749999999997</v>
      </c>
      <c r="BN103" s="331"/>
      <c r="BO103" s="331">
        <f>_xlfn.IFNA(VLOOKUP(A103,'Cash Advances'!A:K,11,FALSE),0)</f>
        <v>0</v>
      </c>
      <c r="BP103" s="330">
        <f t="shared" si="124"/>
        <v>166976.46695486316</v>
      </c>
      <c r="BQ103" s="322">
        <f t="shared" si="84"/>
        <v>169918.09528819649</v>
      </c>
      <c r="BR103" s="322"/>
      <c r="BS103" s="323"/>
      <c r="BT103" s="323">
        <f>_xlfn.IFNA((VLOOKUP($A103,HN!$A:$K,8,FALSE)/12),0)</f>
        <v>0</v>
      </c>
      <c r="BU103" s="323">
        <f>_xlfn.IFNA((VLOOKUP($A103,HN!$A:$BS,14,FALSE)/12),0)</f>
        <v>0</v>
      </c>
      <c r="BV103" s="323">
        <f>(_xlfn.IFNA(VLOOKUP($A103,'Post 16'!$A:$AV,32,FALSE),0)/8)+_xlfn.IFNA(VLOOKUP($A103,'Post 16'!$A:$AR,40,FALSE),0)</f>
        <v>0</v>
      </c>
      <c r="BW103" s="323"/>
      <c r="BX103" s="323">
        <f>_xlfn.IFNA((VLOOKUP($A103,HN!$A:$K,9,FALSE)/12),0)+_xlfn.IFNA((VLOOKUP($A103,HN!$A:$K,10,FALSE)/12),0)</f>
        <v>0</v>
      </c>
      <c r="BY103" s="323">
        <f>_xlfn.IFNA((VLOOKUP($A103,HN!$A:$BS,15,FALSE)/12),0)</f>
        <v>0</v>
      </c>
      <c r="BZ103" s="322">
        <f t="shared" si="85"/>
        <v>-745.45333333333326</v>
      </c>
      <c r="CA103" s="322">
        <f t="shared" si="86"/>
        <v>-2196.1749999999997</v>
      </c>
      <c r="CB103" s="323"/>
      <c r="CC103" s="323"/>
      <c r="CD103" s="322">
        <f t="shared" si="125"/>
        <v>166976.46695486316</v>
      </c>
      <c r="CE103" s="357">
        <f t="shared" si="87"/>
        <v>169918.09528819649</v>
      </c>
      <c r="CF103" s="357">
        <f>(VLOOKUP($A103,EY!$A:$BS,26,FALSE)-(VLOOKUP($A103,EY!A:CR,24,FALSE)*80%))+VLOOKUP($A103,EY!$A:$BS,42,FALSE)+(VLOOKUP($A103,EY!A:CC,74,FALSE)-VLOOKUP($A103,EY!A:CC,72,FALSE))</f>
        <v>0</v>
      </c>
      <c r="CG103" s="358"/>
      <c r="CH103" s="358">
        <f>_xlfn.IFNA((VLOOKUP($A103,HN!$A:$K,8,FALSE)/12),0)</f>
        <v>0</v>
      </c>
      <c r="CI103" s="358">
        <f>_xlfn.IFNA((VLOOKUP($A103,HN!$A:$BS,14,FALSE)/12),0)</f>
        <v>0</v>
      </c>
      <c r="CJ103" s="358">
        <f>(_xlfn.IFNA(VLOOKUP($A103,'Post 16'!$A:$AV,32,FALSE),0)/8)</f>
        <v>0</v>
      </c>
      <c r="CK103" s="358">
        <f>(VLOOKUP($A103,EY!A:CR,24,FALSE)*80%)+VLOOKUP($A103,EY!A:CC,72,FALSE)</f>
        <v>0</v>
      </c>
      <c r="CL103" s="358">
        <f>_xlfn.IFNA((VLOOKUP($A103,HN!$A:$K,9,FALSE)/12),0)+_xlfn.IFNA((VLOOKUP($A103,HN!$A:$K,10,FALSE)/12),0)</f>
        <v>0</v>
      </c>
      <c r="CM103" s="358">
        <f>_xlfn.IFNA((VLOOKUP($A103,HN!$A:$BS,15,FALSE)/12),0)</f>
        <v>0</v>
      </c>
      <c r="CN103" s="357">
        <f t="shared" si="88"/>
        <v>-745.45333333333326</v>
      </c>
      <c r="CO103" s="357">
        <f t="shared" si="89"/>
        <v>-2196.1749999999997</v>
      </c>
      <c r="CP103" s="358">
        <f>_xlfn.IFNA(VLOOKUP(A103,'LA Deductions'!A:W,23,FALSE),0)</f>
        <v>-9471</v>
      </c>
      <c r="CQ103" s="358">
        <f>_xlfn.IFNA(VLOOKUP($A103,'Cash Advances'!$A:$S,13,FALSE),0)</f>
        <v>0</v>
      </c>
      <c r="CR103" s="358">
        <f>_xlfn.IFNA(VLOOKUP(A103,'LA Deductions'!A:AZ,25,FALSE),0)/9*3</f>
        <v>0</v>
      </c>
      <c r="CS103" s="357">
        <f t="shared" si="108"/>
        <v>157505.46695486316</v>
      </c>
      <c r="CT103" s="337">
        <f t="shared" si="90"/>
        <v>169918.09528819649</v>
      </c>
      <c r="CU103" s="337"/>
      <c r="CV103" s="338">
        <f>_xlfn.IFNA(VLOOKUP(A103,'LA Deductions'!$A$6:$AN$207,34,FALSE),0)</f>
        <v>-9222.0828000000001</v>
      </c>
      <c r="CW103" s="338">
        <f>_xlfn.IFNA((VLOOKUP($A103,HN!$A:$K,8,FALSE)/12),0)</f>
        <v>0</v>
      </c>
      <c r="CX103" s="338">
        <f>_xlfn.IFNA((VLOOKUP($A103,HN!$A:$BS,14,FALSE)/12),0)</f>
        <v>0</v>
      </c>
      <c r="CY103" s="338">
        <f>_xlfn.IFNA(VLOOKUP($A103,'Post 16'!$A:$AV,32,FALSE),0)/8</f>
        <v>0</v>
      </c>
      <c r="CZ103" s="338"/>
      <c r="DA103" s="338">
        <f>_xlfn.IFNA((VLOOKUP($A103,HN!$A:$K,9,FALSE)/12),0)+_xlfn.IFNA((VLOOKUP($A103,HN!$A:$K,10,FALSE)/12),0)</f>
        <v>0</v>
      </c>
      <c r="DB103" s="338">
        <f>_xlfn.IFNA((VLOOKUP($A103,HN!$A:$BS,15,FALSE)/12),0)</f>
        <v>0</v>
      </c>
      <c r="DC103" s="337">
        <f t="shared" si="91"/>
        <v>-745.45333333333326</v>
      </c>
      <c r="DD103" s="337">
        <f t="shared" si="92"/>
        <v>-2196.1749999999997</v>
      </c>
      <c r="DE103" s="338"/>
      <c r="DF103" s="338">
        <f>_xlfn.IFNA(VLOOKUP($A103,'Cash Advances'!$A:$S,14,FALSE),0)</f>
        <v>0</v>
      </c>
      <c r="DG103" s="338">
        <f>(_xlfn.IFNA(VLOOKUP(A103,'LA Deductions'!A:AZ,25,FALSE),0)/9)+(_xlfn.IFNA(VLOOKUP(A103,'LA Deductions'!A:AZ,26,FALSE),0))</f>
        <v>0</v>
      </c>
      <c r="DH103" s="337">
        <f t="shared" si="109"/>
        <v>157754.38415486316</v>
      </c>
      <c r="DI103" s="330">
        <f t="shared" si="93"/>
        <v>169918.09528819649</v>
      </c>
      <c r="DJ103" s="330"/>
      <c r="DK103" s="331"/>
      <c r="DL103" s="331">
        <f>_xlfn.IFNA((VLOOKUP($A103,HN!$A:$K,8,FALSE)/12),0)+_xlfn.IFNA((VLOOKUP($A103,HN!$A:$AF,32,FALSE)*8/12),0)</f>
        <v>0</v>
      </c>
      <c r="DM103" s="331">
        <f>_xlfn.IFNA((VLOOKUP($A103,HN!$A:$BS,14,FALSE)/12),0)+_xlfn.IFNA(VLOOKUP($A103,HN!$A:$BS,31,FALSE),0)</f>
        <v>0</v>
      </c>
      <c r="DN103" s="331">
        <f>_xlfn.IFNA(VLOOKUP($A103,'Post 16'!$A:$AV,32,FALSE),0)/8</f>
        <v>0</v>
      </c>
      <c r="DO103" s="331"/>
      <c r="DP103" s="331">
        <f>_xlfn.IFNA((VLOOKUP($A103,HN!$A:$K,9,FALSE)/12),0)+_xlfn.IFNA((VLOOKUP($A103,HN!$A:$K,10,FALSE)/12),0)+_xlfn.IFNA((VLOOKUP($A103,HN!$A:$BZ,33,FALSE)*8/12),0)</f>
        <v>0</v>
      </c>
      <c r="DQ103" s="331">
        <f>_xlfn.IFNA((VLOOKUP($A103,HN!$A:$BS,15,FALSE)/12),0)</f>
        <v>0</v>
      </c>
      <c r="DR103" s="330">
        <f t="shared" si="94"/>
        <v>-745.45333333333326</v>
      </c>
      <c r="DS103" s="330">
        <f t="shared" si="95"/>
        <v>-2196.1749999999997</v>
      </c>
      <c r="DT103" s="331"/>
      <c r="DU103" s="331"/>
      <c r="DV103" s="331">
        <f>(_xlfn.IFNA(VLOOKUP(A103,'LA Deductions'!A:AZ,25,FALSE),0)/9)+_xlfn.IFNA(VLOOKUP(A103,'LA Deductions'!A:AZ,27,FALSE),0)</f>
        <v>0</v>
      </c>
      <c r="DW103" s="330">
        <f t="shared" si="110"/>
        <v>166976.46695486316</v>
      </c>
      <c r="DX103" s="344">
        <f t="shared" si="96"/>
        <v>169918.09528819649</v>
      </c>
      <c r="DY103" s="344"/>
      <c r="DZ103" s="345"/>
      <c r="EA103" s="345">
        <f>_xlfn.IFNA((VLOOKUP($A103,HN!$A:$K,8,FALSE)/12),0)+_xlfn.IFNA((VLOOKUP($A103,HN!$A:$AF,32,FALSE)*1/12),0)</f>
        <v>0</v>
      </c>
      <c r="EB103" s="345">
        <f>_xlfn.IFNA((VLOOKUP($A103,HN!$A:$BS,14,FALSE)/12),0)</f>
        <v>0</v>
      </c>
      <c r="EC103" s="345">
        <f>_xlfn.IFNA(VLOOKUP($A103,'Post 16'!$A:$AV,32,FALSE),0)/8</f>
        <v>0</v>
      </c>
      <c r="ED103" s="345"/>
      <c r="EE103" s="345">
        <f>_xlfn.IFNA((VLOOKUP($A103,HN!$A:$K,9,FALSE)/12),0)+_xlfn.IFNA((VLOOKUP($A103,HN!$A:$K,10,FALSE)/12),0)+_xlfn.IFNA((VLOOKUP($A103,HN!$A:$BZ,33,FALSE)/12),0)</f>
        <v>0</v>
      </c>
      <c r="EF103" s="345">
        <f>_xlfn.IFNA((VLOOKUP($A103,HN!$A:$BS,15,FALSE)/12),0)</f>
        <v>0</v>
      </c>
      <c r="EG103" s="344">
        <f t="shared" si="97"/>
        <v>-745.45333333333326</v>
      </c>
      <c r="EH103" s="344">
        <f t="shared" si="98"/>
        <v>-2196.1749999999997</v>
      </c>
      <c r="EI103" s="345"/>
      <c r="EJ103" s="345">
        <f>_xlfn.IFNA(VLOOKUP(A103,'Cash Advances'!A:P,16,FALSE),0)</f>
        <v>0</v>
      </c>
      <c r="EK103" s="345">
        <f>_xlfn.IFNA(VLOOKUP(A103,'LA Deductions'!A:AZ,25,FALSE),0)/9</f>
        <v>0</v>
      </c>
      <c r="EL103" s="344">
        <f t="shared" si="111"/>
        <v>166976.46695486316</v>
      </c>
      <c r="EM103" s="308">
        <f t="shared" si="99"/>
        <v>169918.09528819649</v>
      </c>
      <c r="EN103" s="308">
        <f>((VLOOKUP($A103,EY!$A:$BS,35,FALSE)-(VLOOKUP($A103,EY!$A:$BS,33,FALSE)*80%))+VLOOKUP($A103,EY!$A:$BS,43,FALSE))+(VLOOKUP(A103,EY!A:DF,110,FALSE)-VLOOKUP(A103,EY!A:DD,108,FALSE))+(VLOOKUP(A103,EY!A:CE,83,FALSE)-VLOOKUP(A103,EY!A:CC,81,FALSE))</f>
        <v>0</v>
      </c>
      <c r="EO103" s="309"/>
      <c r="EP103" s="309">
        <f>_xlfn.IFNA((VLOOKUP($A103,HN!$A:$K,8,FALSE)/12),0)+_xlfn.IFNA((VLOOKUP($A103,HN!$A:$AF,32,FALSE)*1/12),0)</f>
        <v>0</v>
      </c>
      <c r="EQ103" s="309">
        <f>_xlfn.IFNA((VLOOKUP($A103,HN!$A:$BS,14,FALSE)/12),0)+_xlfn.IFNA((VLOOKUP($A103,HN!$A:$BS,34,FALSE)/3),0)</f>
        <v>0</v>
      </c>
      <c r="ER103" s="309">
        <f>_xlfn.IFNA(VLOOKUP($A103,'Post 16'!$A:$AV,32,FALSE),0)/8</f>
        <v>0</v>
      </c>
      <c r="ES103" s="309">
        <f>((VLOOKUP($A103,EY!A:EV,33,FALSE)*80%))+VLOOKUP(A103,EY!A:DD,108,FALSE)+VLOOKUP(A103,EY!A:CC,81,FALSE)</f>
        <v>0</v>
      </c>
      <c r="ET103" s="309">
        <f>_xlfn.IFNA((VLOOKUP($A103,HN!$A:$K,9,FALSE)/12),0)+_xlfn.IFNA((VLOOKUP($A103,HN!$A:$K,10,FALSE)/12),0)+_xlfn.IFNA((VLOOKUP($A103,HN!$A:$BZ,33,FALSE)/12),0)</f>
        <v>0</v>
      </c>
      <c r="EU103" s="309">
        <f>_xlfn.IFNA((VLOOKUP($A103,HN!$A:$BS,15,FALSE)/12),0)</f>
        <v>0</v>
      </c>
      <c r="EV103" s="308">
        <f t="shared" si="100"/>
        <v>-745.45333333333326</v>
      </c>
      <c r="EW103" s="308">
        <f t="shared" si="101"/>
        <v>-2196.1749999999997</v>
      </c>
      <c r="EX103" s="309"/>
      <c r="EY103" s="309">
        <f>_xlfn.IFNA(VLOOKUP($A103,'Cash Advances'!$A:$S,17,FALSE),0)</f>
        <v>0</v>
      </c>
      <c r="EZ103" s="309">
        <f>_xlfn.IFNA(VLOOKUP(A103,'LA Deductions'!A:AZ,25,FALSE),0)/9</f>
        <v>0</v>
      </c>
      <c r="FA103" s="308">
        <f t="shared" si="112"/>
        <v>166976.46695486316</v>
      </c>
      <c r="FB103" s="315">
        <f t="shared" si="102"/>
        <v>169918.09528819649</v>
      </c>
      <c r="FC103" s="315"/>
      <c r="FD103" s="316"/>
      <c r="FE103" s="316">
        <f>_xlfn.IFNA((VLOOKUP($A103,HN!$A:$K,8,FALSE)/12),0)+_xlfn.IFNA((VLOOKUP($A103,HN!$A:$AF,32,FALSE)*1/12),0)</f>
        <v>0</v>
      </c>
      <c r="FF103" s="316">
        <f>_xlfn.IFNA((VLOOKUP($A103,HN!$A:$BS,14,FALSE)/12),0)+_xlfn.IFNA((VLOOKUP($A103,HN!$A:$BS,34,FALSE)/3),0)</f>
        <v>0</v>
      </c>
      <c r="FG103" s="316">
        <f>_xlfn.IFNA(VLOOKUP($A103,'Post 16'!$A:$AV,32,FALSE),0)/8</f>
        <v>0</v>
      </c>
      <c r="FH103" s="316"/>
      <c r="FI103" s="316">
        <f>_xlfn.IFNA((VLOOKUP($A103,HN!$A:$K,9,FALSE)/12),0)+_xlfn.IFNA((VLOOKUP($A103,HN!$A:$K,10,FALSE)/12),0)+_xlfn.IFNA((VLOOKUP($A103,HN!$A:$BZ,33,FALSE)/12),0)+_xlfn.IFNA((VLOOKUP($A103,HN!$A:$BZ,35,FALSE)/2),0)</f>
        <v>0</v>
      </c>
      <c r="FJ103" s="316">
        <f>_xlfn.IFNA((VLOOKUP($A103,HN!$A:$BS,15,FALSE)/12),0)+_xlfn.IFNA((VLOOKUP($A103,HN!$A:$CZ,36,FALSE)/2),0)</f>
        <v>0</v>
      </c>
      <c r="FK103" s="315">
        <f t="shared" si="103"/>
        <v>-745.45333333333326</v>
      </c>
      <c r="FL103" s="315">
        <f t="shared" si="104"/>
        <v>-2196.1749999999997</v>
      </c>
      <c r="FM103" s="316"/>
      <c r="FN103" s="316">
        <f>_xlfn.IFNA(VLOOKUP($A103,'Cash Advances'!$A:$S,18,FALSE),0)</f>
        <v>0</v>
      </c>
      <c r="FO103" s="316">
        <f>_xlfn.IFNA(VLOOKUP(A103,'LA Deductions'!A:AZ,25,FALSE),0)/9</f>
        <v>0</v>
      </c>
      <c r="FP103" s="315">
        <f t="shared" si="113"/>
        <v>166976.46695486316</v>
      </c>
      <c r="FQ103" s="322">
        <f t="shared" si="105"/>
        <v>169918.09528819649</v>
      </c>
      <c r="FR103" s="322"/>
      <c r="FS103" s="323"/>
      <c r="FT103" s="323">
        <f>_xlfn.IFNA((VLOOKUP($A103,HN!$A:$K,8,FALSE)/12),0)+_xlfn.IFNA((VLOOKUP($A103,HN!$A:$AF,32,FALSE)*1/12),0)</f>
        <v>0</v>
      </c>
      <c r="FU103" s="323">
        <f>_xlfn.IFNA((VLOOKUP($A103,HN!$A:$BS,14,FALSE)/12),0)+_xlfn.IFNA((VLOOKUP($A103,HN!$A:$BS,34,FALSE)/3),0)</f>
        <v>0</v>
      </c>
      <c r="FV103" s="323">
        <f>_xlfn.IFNA(VLOOKUP($A103,'Post 16'!$A:$AV,32,FALSE),0)/8</f>
        <v>0</v>
      </c>
      <c r="FW103" s="323"/>
      <c r="FX103" s="323">
        <f>_xlfn.IFNA((VLOOKUP($A103,HN!$A:$K,9,FALSE)/12),0)+_xlfn.IFNA((VLOOKUP($A103,HN!$A:$K,10,FALSE)/12),0)+_xlfn.IFNA((VLOOKUP($A103,HN!$A:$BZ,33,FALSE)/12),0)+_xlfn.IFNA((VLOOKUP($A103,HN!$A:$BZ,35,FALSE)/2),0)</f>
        <v>0</v>
      </c>
      <c r="FY103" s="323">
        <f>_xlfn.IFNA((VLOOKUP($A103,HN!$A:$BS,15,FALSE)/12),0)+_xlfn.IFNA((VLOOKUP($A103,HN!$A:$CZ,36,FALSE)/2),0)</f>
        <v>0</v>
      </c>
      <c r="FZ103" s="322">
        <f t="shared" si="106"/>
        <v>-745.45333333333326</v>
      </c>
      <c r="GA103" s="322">
        <f t="shared" si="107"/>
        <v>-2196.1749999999997</v>
      </c>
      <c r="GB103" s="323"/>
      <c r="GC103" s="323"/>
      <c r="GD103" s="323">
        <f>_xlfn.IFNA(VLOOKUP(A103,'LA Deductions'!A:AZ,25,FALSE),0)/9</f>
        <v>0</v>
      </c>
      <c r="GE103" s="322">
        <f t="shared" si="114"/>
        <v>166976.46695486316</v>
      </c>
      <c r="GG103" s="146">
        <f t="shared" si="119"/>
        <v>2029795.0606583583</v>
      </c>
      <c r="GH103" s="146">
        <f t="shared" si="119"/>
        <v>0</v>
      </c>
      <c r="GI103" s="146">
        <f t="shared" si="119"/>
        <v>0</v>
      </c>
      <c r="GJ103" s="146">
        <f t="shared" si="119"/>
        <v>-8945.4399999999969</v>
      </c>
      <c r="GK103" s="146">
        <f t="shared" si="119"/>
        <v>-26354.099999999995</v>
      </c>
      <c r="GL103" s="146">
        <f t="shared" si="119"/>
        <v>-9471</v>
      </c>
      <c r="GN103" s="146">
        <f t="shared" si="120"/>
        <v>2029795.0606583583</v>
      </c>
      <c r="GO103" s="146">
        <f t="shared" si="120"/>
        <v>0</v>
      </c>
      <c r="GP103" s="146">
        <f t="shared" si="120"/>
        <v>0</v>
      </c>
      <c r="GQ103" s="146">
        <f t="shared" si="120"/>
        <v>-8945.4399999999969</v>
      </c>
      <c r="GR103" s="146">
        <f t="shared" si="120"/>
        <v>-26354.099999999995</v>
      </c>
      <c r="GS103" s="146">
        <f t="shared" si="120"/>
        <v>-9471</v>
      </c>
      <c r="GU103" s="146"/>
      <c r="GV103" s="57"/>
    </row>
    <row r="104" spans="1:204">
      <c r="A104" s="185">
        <v>2063</v>
      </c>
      <c r="B104" s="185">
        <v>103193</v>
      </c>
      <c r="C104" s="185" t="s">
        <v>232</v>
      </c>
      <c r="D104" s="2" t="s">
        <v>233</v>
      </c>
      <c r="E104" s="191" t="s">
        <v>32</v>
      </c>
      <c r="F104" s="191" t="s">
        <v>912</v>
      </c>
      <c r="H104" s="279">
        <f>_xlfn.IFNA(VLOOKUP($A104,ISB!$A$4:$BY$454,67,FALSE),0)</f>
        <v>2476983.4618709348</v>
      </c>
      <c r="I104" s="279">
        <f>_xlfn.IFNA(VLOOKUP($A104,ISB!$A$4:$BY$454,72,FALSE),0)</f>
        <v>-9884.32</v>
      </c>
      <c r="J104" s="279">
        <f>-_xlfn.IFNA(VLOOKUP($A104,ISB!$A$4:$BY$454,76,FALSE),0)</f>
        <v>-60475.18</v>
      </c>
      <c r="K104" s="279">
        <f>_xlfn.IFNA(VLOOKUP($A104,ISB!$A$4:$BY$454,77,FALSE),0)</f>
        <v>2406623.9618709348</v>
      </c>
      <c r="M104" s="301">
        <f t="shared" si="72"/>
        <v>206415.28848924456</v>
      </c>
      <c r="N104" s="301">
        <f>VLOOKUP($A104,EY!$A:$H,8,FALSE)+(VLOOKUP($A104,EY!$A:$BS,17,FALSE)-S104)+VLOOKUP($A104,EY!$A:$BS,41,FALSE)</f>
        <v>32037.720000000005</v>
      </c>
      <c r="O104" s="302"/>
      <c r="P104" s="302">
        <f>_xlfn.IFNA((VLOOKUP($A104,HN!$A:$K,8,FALSE)/12),0)</f>
        <v>0</v>
      </c>
      <c r="Q104" s="302">
        <f>_xlfn.IFNA((VLOOKUP($A104,HN!$A:$BS,14,FALSE)/12),0)</f>
        <v>0</v>
      </c>
      <c r="R104" s="302">
        <f>_xlfn.IFNA(VLOOKUP($A104,'Post 16'!$A:$V,21,FALSE),0)/4</f>
        <v>0</v>
      </c>
      <c r="S104" s="302">
        <f>VLOOKUP($A104,EY!A:Q,15,FALSE)*80%</f>
        <v>0</v>
      </c>
      <c r="T104" s="302">
        <f>_xlfn.IFNA((VLOOKUP($A104,HN!$A:$K,9,FALSE)/12),0)+_xlfn.IFNA((VLOOKUP($A104,HN!$A:$K,10,FALSE)/12),0)</f>
        <v>0</v>
      </c>
      <c r="U104" s="302">
        <f>_xlfn.IFNA((VLOOKUP($A104,HN!$A:$BS,15,FALSE)/12),0)</f>
        <v>0</v>
      </c>
      <c r="V104" s="301">
        <f t="shared" si="73"/>
        <v>-823.69333333333327</v>
      </c>
      <c r="W104" s="301">
        <f t="shared" si="74"/>
        <v>-5039.5983333333334</v>
      </c>
      <c r="X104" s="302"/>
      <c r="Y104" s="302">
        <f>_xlfn.IFNA(VLOOKUP($A104,'Cash Advances'!$A:$S,8,FALSE),0)</f>
        <v>0</v>
      </c>
      <c r="Z104" s="301">
        <f t="shared" si="121"/>
        <v>232589.7168225779</v>
      </c>
      <c r="AA104" s="315">
        <f t="shared" si="75"/>
        <v>206415.28848924456</v>
      </c>
      <c r="AB104" s="315"/>
      <c r="AC104" s="316"/>
      <c r="AD104" s="316">
        <f>_xlfn.IFNA((VLOOKUP($A104,HN!$A:$K,8,FALSE)/12),0)</f>
        <v>0</v>
      </c>
      <c r="AE104" s="316">
        <f>_xlfn.IFNA((VLOOKUP($A104,HN!$A:$BS,14,FALSE)/12),0)</f>
        <v>0</v>
      </c>
      <c r="AF104" s="316">
        <f>_xlfn.IFNA(VLOOKUP($A104,'Post 16'!$A:$V,21,FALSE),0)/4</f>
        <v>0</v>
      </c>
      <c r="AG104" s="316"/>
      <c r="AH104" s="316">
        <f>_xlfn.IFNA((VLOOKUP($A104,HN!$A:$K,9,FALSE)/12),0)+_xlfn.IFNA((VLOOKUP($A104,HN!$A:$K,10,FALSE)/12),0)</f>
        <v>0</v>
      </c>
      <c r="AI104" s="316">
        <f>_xlfn.IFNA((VLOOKUP($A104,HN!$A:$BS,15,FALSE)/12),0)</f>
        <v>0</v>
      </c>
      <c r="AJ104" s="315">
        <f t="shared" si="76"/>
        <v>-823.69333333333327</v>
      </c>
      <c r="AK104" s="315">
        <f t="shared" si="77"/>
        <v>-5039.5983333333334</v>
      </c>
      <c r="AL104" s="316"/>
      <c r="AM104" s="316">
        <f>_xlfn.IFNA(VLOOKUP($A104,'Cash Advances'!$A:$S,9,FALSE),0)</f>
        <v>0</v>
      </c>
      <c r="AN104" s="315">
        <f t="shared" si="122"/>
        <v>200551.9968225779</v>
      </c>
      <c r="AO104" s="308">
        <f t="shared" si="78"/>
        <v>206415.28848924456</v>
      </c>
      <c r="AP104" s="308"/>
      <c r="AQ104" s="309"/>
      <c r="AR104" s="309">
        <f>_xlfn.IFNA((VLOOKUP($A104,HN!$A:$K,8,FALSE)/12),0)</f>
        <v>0</v>
      </c>
      <c r="AS104" s="309">
        <f>_xlfn.IFNA((VLOOKUP($A104,HN!$A:$BS,14,FALSE)/12),0)</f>
        <v>0</v>
      </c>
      <c r="AT104" s="309">
        <f>_xlfn.IFNA(VLOOKUP($A104,'Post 16'!$A:$V,21,FALSE),0)/4</f>
        <v>0</v>
      </c>
      <c r="AU104" s="309"/>
      <c r="AV104" s="309">
        <f>_xlfn.IFNA((VLOOKUP($A104,HN!$A:$K,9,FALSE)/12),0)+_xlfn.IFNA((VLOOKUP($A104,HN!$A:$K,10,FALSE)/12),0)+_xlfn.IFNA(VLOOKUP(A104,HN!A:V,19,FALSE),0)+_xlfn.IFNA(VLOOKUP(A104,HN!A:V,20,FALSE),0)+_xlfn.IFNA(VLOOKUP(A104,HN!A:V,21,FALSE),0)</f>
        <v>0</v>
      </c>
      <c r="AW104" s="309">
        <f>_xlfn.IFNA((VLOOKUP($A104,HN!$A:$BS,15,FALSE)/12),0)</f>
        <v>0</v>
      </c>
      <c r="AX104" s="308">
        <f t="shared" si="79"/>
        <v>-823.69333333333327</v>
      </c>
      <c r="AY104" s="308">
        <f t="shared" si="80"/>
        <v>-5039.5983333333334</v>
      </c>
      <c r="AZ104" s="309"/>
      <c r="BA104" s="309">
        <f>_xlfn.IFNA(VLOOKUP($A104,'Cash Advances'!$A:$S,10,FALSE),0)</f>
        <v>0</v>
      </c>
      <c r="BB104" s="308">
        <f t="shared" si="123"/>
        <v>200551.9968225779</v>
      </c>
      <c r="BC104" s="330">
        <f t="shared" si="81"/>
        <v>206415.28848924456</v>
      </c>
      <c r="BD104" s="330"/>
      <c r="BE104" s="331"/>
      <c r="BF104" s="331">
        <f>_xlfn.IFNA((VLOOKUP($A104,HN!$A:$K,8,FALSE)/12),0)</f>
        <v>0</v>
      </c>
      <c r="BG104" s="331">
        <f>_xlfn.IFNA((VLOOKUP($A104,HN!$A:$BS,14,FALSE)/12),0)</f>
        <v>0</v>
      </c>
      <c r="BH104" s="331">
        <f>_xlfn.IFNA(VLOOKUP($A104,'Post 16'!$A:$V,21,FALSE),0)/4</f>
        <v>0</v>
      </c>
      <c r="BI104" s="331"/>
      <c r="BJ104" s="331">
        <f>_xlfn.IFNA((VLOOKUP($A104,HN!$A:$K,9,FALSE)/12),0)+_xlfn.IFNA((VLOOKUP($A104,HN!$A:$K,10,FALSE)/12),0)</f>
        <v>0</v>
      </c>
      <c r="BK104" s="331">
        <f>_xlfn.IFNA((VLOOKUP($A104,HN!$A:$BS,15,FALSE)/12),0)</f>
        <v>0</v>
      </c>
      <c r="BL104" s="330">
        <f t="shared" si="82"/>
        <v>-823.69333333333327</v>
      </c>
      <c r="BM104" s="330">
        <f t="shared" si="83"/>
        <v>-5039.5983333333334</v>
      </c>
      <c r="BN104" s="331"/>
      <c r="BO104" s="331">
        <f>_xlfn.IFNA(VLOOKUP(A104,'Cash Advances'!A:K,11,FALSE),0)</f>
        <v>0</v>
      </c>
      <c r="BP104" s="330">
        <f t="shared" si="124"/>
        <v>200551.9968225779</v>
      </c>
      <c r="BQ104" s="322">
        <f t="shared" si="84"/>
        <v>206415.28848924456</v>
      </c>
      <c r="BR104" s="322"/>
      <c r="BS104" s="323"/>
      <c r="BT104" s="323">
        <f>_xlfn.IFNA((VLOOKUP($A104,HN!$A:$K,8,FALSE)/12),0)</f>
        <v>0</v>
      </c>
      <c r="BU104" s="323">
        <f>_xlfn.IFNA((VLOOKUP($A104,HN!$A:$BS,14,FALSE)/12),0)</f>
        <v>0</v>
      </c>
      <c r="BV104" s="323">
        <f>(_xlfn.IFNA(VLOOKUP($A104,'Post 16'!$A:$AV,32,FALSE),0)/8)+_xlfn.IFNA(VLOOKUP($A104,'Post 16'!$A:$AR,40,FALSE),0)</f>
        <v>0</v>
      </c>
      <c r="BW104" s="323"/>
      <c r="BX104" s="323">
        <f>_xlfn.IFNA((VLOOKUP($A104,HN!$A:$K,9,FALSE)/12),0)+_xlfn.IFNA((VLOOKUP($A104,HN!$A:$K,10,FALSE)/12),0)</f>
        <v>0</v>
      </c>
      <c r="BY104" s="323">
        <f>_xlfn.IFNA((VLOOKUP($A104,HN!$A:$BS,15,FALSE)/12),0)</f>
        <v>0</v>
      </c>
      <c r="BZ104" s="322">
        <f t="shared" si="85"/>
        <v>-823.69333333333327</v>
      </c>
      <c r="CA104" s="322">
        <f t="shared" si="86"/>
        <v>-5039.5983333333334</v>
      </c>
      <c r="CB104" s="323"/>
      <c r="CC104" s="323"/>
      <c r="CD104" s="322">
        <f t="shared" si="125"/>
        <v>200551.9968225779</v>
      </c>
      <c r="CE104" s="357">
        <f t="shared" si="87"/>
        <v>206415.28848924456</v>
      </c>
      <c r="CF104" s="357">
        <f>(VLOOKUP($A104,EY!$A:$BS,26,FALSE)-(VLOOKUP($A104,EY!A:CR,24,FALSE)*80%))+VLOOKUP($A104,EY!$A:$BS,42,FALSE)+(VLOOKUP($A104,EY!A:CC,74,FALSE)-VLOOKUP($A104,EY!A:CC,72,FALSE))</f>
        <v>33870.329999999994</v>
      </c>
      <c r="CG104" s="358"/>
      <c r="CH104" s="358">
        <f>_xlfn.IFNA((VLOOKUP($A104,HN!$A:$K,8,FALSE)/12),0)</f>
        <v>0</v>
      </c>
      <c r="CI104" s="358">
        <f>_xlfn.IFNA((VLOOKUP($A104,HN!$A:$BS,14,FALSE)/12),0)</f>
        <v>0</v>
      </c>
      <c r="CJ104" s="358">
        <f>(_xlfn.IFNA(VLOOKUP($A104,'Post 16'!$A:$AV,32,FALSE),0)/8)</f>
        <v>0</v>
      </c>
      <c r="CK104" s="358">
        <f>(VLOOKUP($A104,EY!A:CR,24,FALSE)*80%)+VLOOKUP($A104,EY!A:CC,72,FALSE)</f>
        <v>0</v>
      </c>
      <c r="CL104" s="358">
        <f>_xlfn.IFNA((VLOOKUP($A104,HN!$A:$K,9,FALSE)/12),0)+_xlfn.IFNA((VLOOKUP($A104,HN!$A:$K,10,FALSE)/12),0)</f>
        <v>0</v>
      </c>
      <c r="CM104" s="358">
        <f>_xlfn.IFNA((VLOOKUP($A104,HN!$A:$BS,15,FALSE)/12),0)</f>
        <v>0</v>
      </c>
      <c r="CN104" s="357">
        <f t="shared" si="88"/>
        <v>-823.69333333333327</v>
      </c>
      <c r="CO104" s="357">
        <f t="shared" si="89"/>
        <v>-5039.5983333333334</v>
      </c>
      <c r="CP104" s="358">
        <f>_xlfn.IFNA(VLOOKUP(A104,'LA Deductions'!A:W,23,FALSE),0)</f>
        <v>-9471</v>
      </c>
      <c r="CQ104" s="358">
        <f>_xlfn.IFNA(VLOOKUP($A104,'Cash Advances'!$A:$S,13,FALSE),0)</f>
        <v>0</v>
      </c>
      <c r="CR104" s="358">
        <f>_xlfn.IFNA(VLOOKUP(A104,'LA Deductions'!A:AZ,25,FALSE),0)/9*3</f>
        <v>0</v>
      </c>
      <c r="CS104" s="357">
        <f t="shared" si="108"/>
        <v>224951.32682257789</v>
      </c>
      <c r="CT104" s="337">
        <f t="shared" si="90"/>
        <v>206415.28848924456</v>
      </c>
      <c r="CU104" s="337"/>
      <c r="CV104" s="338">
        <f>_xlfn.IFNA(VLOOKUP(A104,'LA Deductions'!$A$6:$AN$207,34,FALSE),0)</f>
        <v>0</v>
      </c>
      <c r="CW104" s="338">
        <f>_xlfn.IFNA((VLOOKUP($A104,HN!$A:$K,8,FALSE)/12),0)</f>
        <v>0</v>
      </c>
      <c r="CX104" s="338">
        <f>_xlfn.IFNA((VLOOKUP($A104,HN!$A:$BS,14,FALSE)/12),0)</f>
        <v>0</v>
      </c>
      <c r="CY104" s="338">
        <f>_xlfn.IFNA(VLOOKUP($A104,'Post 16'!$A:$AV,32,FALSE),0)/8</f>
        <v>0</v>
      </c>
      <c r="CZ104" s="338"/>
      <c r="DA104" s="338">
        <f>_xlfn.IFNA((VLOOKUP($A104,HN!$A:$K,9,FALSE)/12),0)+_xlfn.IFNA((VLOOKUP($A104,HN!$A:$K,10,FALSE)/12),0)</f>
        <v>0</v>
      </c>
      <c r="DB104" s="338">
        <f>_xlfn.IFNA((VLOOKUP($A104,HN!$A:$BS,15,FALSE)/12),0)</f>
        <v>0</v>
      </c>
      <c r="DC104" s="337">
        <f t="shared" si="91"/>
        <v>-823.69333333333327</v>
      </c>
      <c r="DD104" s="337">
        <f t="shared" si="92"/>
        <v>-5039.5983333333334</v>
      </c>
      <c r="DE104" s="338"/>
      <c r="DF104" s="338">
        <f>_xlfn.IFNA(VLOOKUP($A104,'Cash Advances'!$A:$S,14,FALSE),0)</f>
        <v>0</v>
      </c>
      <c r="DG104" s="338">
        <f>(_xlfn.IFNA(VLOOKUP(A104,'LA Deductions'!A:AZ,25,FALSE),0)/9)+(_xlfn.IFNA(VLOOKUP(A104,'LA Deductions'!A:AZ,26,FALSE),0))</f>
        <v>0</v>
      </c>
      <c r="DH104" s="337">
        <f t="shared" si="109"/>
        <v>200551.9968225779</v>
      </c>
      <c r="DI104" s="330">
        <f t="shared" si="93"/>
        <v>206415.28848924456</v>
      </c>
      <c r="DJ104" s="330"/>
      <c r="DK104" s="331"/>
      <c r="DL104" s="331">
        <f>_xlfn.IFNA((VLOOKUP($A104,HN!$A:$K,8,FALSE)/12),0)+_xlfn.IFNA((VLOOKUP($A104,HN!$A:$AF,32,FALSE)*8/12),0)</f>
        <v>0</v>
      </c>
      <c r="DM104" s="331">
        <f>_xlfn.IFNA((VLOOKUP($A104,HN!$A:$BS,14,FALSE)/12),0)+_xlfn.IFNA(VLOOKUP($A104,HN!$A:$BS,31,FALSE),0)</f>
        <v>0</v>
      </c>
      <c r="DN104" s="331">
        <f>_xlfn.IFNA(VLOOKUP($A104,'Post 16'!$A:$AV,32,FALSE),0)/8</f>
        <v>0</v>
      </c>
      <c r="DO104" s="331"/>
      <c r="DP104" s="331">
        <f>_xlfn.IFNA((VLOOKUP($A104,HN!$A:$K,9,FALSE)/12),0)+_xlfn.IFNA((VLOOKUP($A104,HN!$A:$K,10,FALSE)/12),0)+_xlfn.IFNA((VLOOKUP($A104,HN!$A:$BZ,33,FALSE)*8/12),0)</f>
        <v>0</v>
      </c>
      <c r="DQ104" s="331">
        <f>_xlfn.IFNA((VLOOKUP($A104,HN!$A:$BS,15,FALSE)/12),0)</f>
        <v>0</v>
      </c>
      <c r="DR104" s="330">
        <f t="shared" si="94"/>
        <v>-823.69333333333327</v>
      </c>
      <c r="DS104" s="330">
        <f t="shared" si="95"/>
        <v>-5039.5983333333334</v>
      </c>
      <c r="DT104" s="331"/>
      <c r="DU104" s="331"/>
      <c r="DV104" s="331">
        <f>(_xlfn.IFNA(VLOOKUP(A104,'LA Deductions'!A:AZ,25,FALSE),0)/9)+_xlfn.IFNA(VLOOKUP(A104,'LA Deductions'!A:AZ,27,FALSE),0)</f>
        <v>0</v>
      </c>
      <c r="DW104" s="330">
        <f t="shared" si="110"/>
        <v>200551.9968225779</v>
      </c>
      <c r="DX104" s="344">
        <f t="shared" si="96"/>
        <v>206415.28848924456</v>
      </c>
      <c r="DY104" s="344"/>
      <c r="DZ104" s="345"/>
      <c r="EA104" s="345">
        <f>_xlfn.IFNA((VLOOKUP($A104,HN!$A:$K,8,FALSE)/12),0)+_xlfn.IFNA((VLOOKUP($A104,HN!$A:$AF,32,FALSE)*1/12),0)</f>
        <v>0</v>
      </c>
      <c r="EB104" s="345">
        <f>_xlfn.IFNA((VLOOKUP($A104,HN!$A:$BS,14,FALSE)/12),0)</f>
        <v>0</v>
      </c>
      <c r="EC104" s="345">
        <f>_xlfn.IFNA(VLOOKUP($A104,'Post 16'!$A:$AV,32,FALSE),0)/8</f>
        <v>0</v>
      </c>
      <c r="ED104" s="345"/>
      <c r="EE104" s="345">
        <f>_xlfn.IFNA((VLOOKUP($A104,HN!$A:$K,9,FALSE)/12),0)+_xlfn.IFNA((VLOOKUP($A104,HN!$A:$K,10,FALSE)/12),0)+_xlfn.IFNA((VLOOKUP($A104,HN!$A:$BZ,33,FALSE)/12),0)</f>
        <v>0</v>
      </c>
      <c r="EF104" s="345">
        <f>_xlfn.IFNA((VLOOKUP($A104,HN!$A:$BS,15,FALSE)/12),0)</f>
        <v>0</v>
      </c>
      <c r="EG104" s="344">
        <f t="shared" si="97"/>
        <v>-823.69333333333327</v>
      </c>
      <c r="EH104" s="344">
        <f t="shared" si="98"/>
        <v>-5039.5983333333334</v>
      </c>
      <c r="EI104" s="345"/>
      <c r="EJ104" s="345">
        <f>_xlfn.IFNA(VLOOKUP(A104,'Cash Advances'!A:P,16,FALSE),0)</f>
        <v>0</v>
      </c>
      <c r="EK104" s="345">
        <f>_xlfn.IFNA(VLOOKUP(A104,'LA Deductions'!A:AZ,25,FALSE),0)/9</f>
        <v>0</v>
      </c>
      <c r="EL104" s="344">
        <f t="shared" si="111"/>
        <v>200551.9968225779</v>
      </c>
      <c r="EM104" s="308">
        <f t="shared" si="99"/>
        <v>206415.28848924456</v>
      </c>
      <c r="EN104" s="308">
        <f>((VLOOKUP($A104,EY!$A:$BS,35,FALSE)-(VLOOKUP($A104,EY!$A:$BS,33,FALSE)*80%))+VLOOKUP($A104,EY!$A:$BS,43,FALSE))+(VLOOKUP(A104,EY!A:DF,110,FALSE)-VLOOKUP(A104,EY!A:DD,108,FALSE))+(VLOOKUP(A104,EY!A:CE,83,FALSE)-VLOOKUP(A104,EY!A:CC,81,FALSE))</f>
        <v>23496.814736842101</v>
      </c>
      <c r="EO104" s="309"/>
      <c r="EP104" s="309">
        <f>_xlfn.IFNA((VLOOKUP($A104,HN!$A:$K,8,FALSE)/12),0)+_xlfn.IFNA((VLOOKUP($A104,HN!$A:$AF,32,FALSE)*1/12),0)</f>
        <v>0</v>
      </c>
      <c r="EQ104" s="309">
        <f>_xlfn.IFNA((VLOOKUP($A104,HN!$A:$BS,14,FALSE)/12),0)+_xlfn.IFNA((VLOOKUP($A104,HN!$A:$BS,34,FALSE)/3),0)</f>
        <v>0</v>
      </c>
      <c r="ER104" s="309">
        <f>_xlfn.IFNA(VLOOKUP($A104,'Post 16'!$A:$AV,32,FALSE),0)/8</f>
        <v>0</v>
      </c>
      <c r="ES104" s="309">
        <f>((VLOOKUP($A104,EY!A:EV,33,FALSE)*80%))+VLOOKUP(A104,EY!A:DD,108,FALSE)+VLOOKUP(A104,EY!A:CC,81,FALSE)</f>
        <v>0</v>
      </c>
      <c r="ET104" s="309">
        <f>_xlfn.IFNA((VLOOKUP($A104,HN!$A:$K,9,FALSE)/12),0)+_xlfn.IFNA((VLOOKUP($A104,HN!$A:$K,10,FALSE)/12),0)+_xlfn.IFNA((VLOOKUP($A104,HN!$A:$BZ,33,FALSE)/12),0)</f>
        <v>0</v>
      </c>
      <c r="EU104" s="309">
        <f>_xlfn.IFNA((VLOOKUP($A104,HN!$A:$BS,15,FALSE)/12),0)</f>
        <v>0</v>
      </c>
      <c r="EV104" s="308">
        <f t="shared" si="100"/>
        <v>-823.69333333333327</v>
      </c>
      <c r="EW104" s="308">
        <f t="shared" si="101"/>
        <v>-5039.5983333333334</v>
      </c>
      <c r="EX104" s="309"/>
      <c r="EY104" s="309">
        <f>_xlfn.IFNA(VLOOKUP($A104,'Cash Advances'!$A:$S,17,FALSE),0)</f>
        <v>0</v>
      </c>
      <c r="EZ104" s="309">
        <f>_xlfn.IFNA(VLOOKUP(A104,'LA Deductions'!A:AZ,25,FALSE),0)/9</f>
        <v>0</v>
      </c>
      <c r="FA104" s="308">
        <f t="shared" si="112"/>
        <v>224048.81155941999</v>
      </c>
      <c r="FB104" s="315">
        <f t="shared" si="102"/>
        <v>206415.28848924456</v>
      </c>
      <c r="FC104" s="315"/>
      <c r="FD104" s="316"/>
      <c r="FE104" s="316">
        <f>_xlfn.IFNA((VLOOKUP($A104,HN!$A:$K,8,FALSE)/12),0)+_xlfn.IFNA((VLOOKUP($A104,HN!$A:$AF,32,FALSE)*1/12),0)</f>
        <v>0</v>
      </c>
      <c r="FF104" s="316">
        <f>_xlfn.IFNA((VLOOKUP($A104,HN!$A:$BS,14,FALSE)/12),0)+_xlfn.IFNA((VLOOKUP($A104,HN!$A:$BS,34,FALSE)/3),0)</f>
        <v>0</v>
      </c>
      <c r="FG104" s="316">
        <f>_xlfn.IFNA(VLOOKUP($A104,'Post 16'!$A:$AV,32,FALSE),0)/8</f>
        <v>0</v>
      </c>
      <c r="FH104" s="316"/>
      <c r="FI104" s="316">
        <f>_xlfn.IFNA((VLOOKUP($A104,HN!$A:$K,9,FALSE)/12),0)+_xlfn.IFNA((VLOOKUP($A104,HN!$A:$K,10,FALSE)/12),0)+_xlfn.IFNA((VLOOKUP($A104,HN!$A:$BZ,33,FALSE)/12),0)+_xlfn.IFNA((VLOOKUP($A104,HN!$A:$BZ,35,FALSE)/2),0)</f>
        <v>0</v>
      </c>
      <c r="FJ104" s="316">
        <f>_xlfn.IFNA((VLOOKUP($A104,HN!$A:$BS,15,FALSE)/12),0)+_xlfn.IFNA((VLOOKUP($A104,HN!$A:$CZ,36,FALSE)/2),0)</f>
        <v>0</v>
      </c>
      <c r="FK104" s="315">
        <f t="shared" si="103"/>
        <v>-823.69333333333327</v>
      </c>
      <c r="FL104" s="315">
        <f t="shared" si="104"/>
        <v>-5039.5983333333334</v>
      </c>
      <c r="FM104" s="316"/>
      <c r="FN104" s="316">
        <f>_xlfn.IFNA(VLOOKUP($A104,'Cash Advances'!$A:$S,18,FALSE),0)</f>
        <v>0</v>
      </c>
      <c r="FO104" s="316">
        <f>_xlfn.IFNA(VLOOKUP(A104,'LA Deductions'!A:AZ,25,FALSE),0)/9</f>
        <v>0</v>
      </c>
      <c r="FP104" s="315">
        <f t="shared" si="113"/>
        <v>200551.9968225779</v>
      </c>
      <c r="FQ104" s="322">
        <f t="shared" si="105"/>
        <v>206415.28848924456</v>
      </c>
      <c r="FR104" s="322"/>
      <c r="FS104" s="323"/>
      <c r="FT104" s="323">
        <f>_xlfn.IFNA((VLOOKUP($A104,HN!$A:$K,8,FALSE)/12),0)+_xlfn.IFNA((VLOOKUP($A104,HN!$A:$AF,32,FALSE)*1/12),0)</f>
        <v>0</v>
      </c>
      <c r="FU104" s="323">
        <f>_xlfn.IFNA((VLOOKUP($A104,HN!$A:$BS,14,FALSE)/12),0)+_xlfn.IFNA((VLOOKUP($A104,HN!$A:$BS,34,FALSE)/3),0)</f>
        <v>0</v>
      </c>
      <c r="FV104" s="323">
        <f>_xlfn.IFNA(VLOOKUP($A104,'Post 16'!$A:$AV,32,FALSE),0)/8</f>
        <v>0</v>
      </c>
      <c r="FW104" s="323"/>
      <c r="FX104" s="323">
        <f>_xlfn.IFNA((VLOOKUP($A104,HN!$A:$K,9,FALSE)/12),0)+_xlfn.IFNA((VLOOKUP($A104,HN!$A:$K,10,FALSE)/12),0)+_xlfn.IFNA((VLOOKUP($A104,HN!$A:$BZ,33,FALSE)/12),0)+_xlfn.IFNA((VLOOKUP($A104,HN!$A:$BZ,35,FALSE)/2),0)</f>
        <v>0</v>
      </c>
      <c r="FY104" s="323">
        <f>_xlfn.IFNA((VLOOKUP($A104,HN!$A:$BS,15,FALSE)/12),0)+_xlfn.IFNA((VLOOKUP($A104,HN!$A:$CZ,36,FALSE)/2),0)</f>
        <v>0</v>
      </c>
      <c r="FZ104" s="322">
        <f t="shared" si="106"/>
        <v>-823.69333333333327</v>
      </c>
      <c r="GA104" s="322">
        <f t="shared" si="107"/>
        <v>-5039.5983333333334</v>
      </c>
      <c r="GB104" s="323"/>
      <c r="GC104" s="323"/>
      <c r="GD104" s="323">
        <f>_xlfn.IFNA(VLOOKUP(A104,'LA Deductions'!A:AZ,25,FALSE),0)/9</f>
        <v>0</v>
      </c>
      <c r="GE104" s="322">
        <f t="shared" si="114"/>
        <v>200551.9968225779</v>
      </c>
      <c r="GG104" s="146">
        <f t="shared" si="119"/>
        <v>2566388.3266077768</v>
      </c>
      <c r="GH104" s="146">
        <f t="shared" si="119"/>
        <v>0</v>
      </c>
      <c r="GI104" s="146">
        <f t="shared" si="119"/>
        <v>0</v>
      </c>
      <c r="GJ104" s="146">
        <f t="shared" si="119"/>
        <v>-9884.32</v>
      </c>
      <c r="GK104" s="146">
        <f t="shared" si="119"/>
        <v>-60475.180000000015</v>
      </c>
      <c r="GL104" s="146">
        <f t="shared" si="119"/>
        <v>-9471</v>
      </c>
      <c r="GN104" s="146">
        <f t="shared" si="120"/>
        <v>2566388.3266077768</v>
      </c>
      <c r="GO104" s="146">
        <f t="shared" si="120"/>
        <v>0</v>
      </c>
      <c r="GP104" s="146">
        <f t="shared" si="120"/>
        <v>0</v>
      </c>
      <c r="GQ104" s="146">
        <f t="shared" si="120"/>
        <v>-9884.32</v>
      </c>
      <c r="GR104" s="146">
        <f t="shared" si="120"/>
        <v>-60475.180000000015</v>
      </c>
      <c r="GS104" s="146">
        <f t="shared" si="120"/>
        <v>-9471</v>
      </c>
      <c r="GU104" s="146"/>
      <c r="GV104" s="57"/>
    </row>
    <row r="105" spans="1:204">
      <c r="A105" s="185">
        <v>1018</v>
      </c>
      <c r="B105" s="185">
        <v>103131</v>
      </c>
      <c r="C105" s="185" t="s">
        <v>234</v>
      </c>
      <c r="D105" s="2" t="s">
        <v>235</v>
      </c>
      <c r="E105" s="191" t="s">
        <v>29</v>
      </c>
      <c r="F105" s="191" t="s">
        <v>912</v>
      </c>
      <c r="H105" s="279">
        <f>_xlfn.IFNA(VLOOKUP($A105,ISB!$A$4:$BY$454,67,FALSE),0)</f>
        <v>0</v>
      </c>
      <c r="I105" s="279">
        <f>_xlfn.IFNA(VLOOKUP($A105,ISB!$A$4:$BY$454,72,FALSE),0)</f>
        <v>0</v>
      </c>
      <c r="J105" s="279">
        <f>-_xlfn.IFNA(VLOOKUP($A105,ISB!$A$4:$BY$454,76,FALSE),0)</f>
        <v>0</v>
      </c>
      <c r="K105" s="279">
        <f>_xlfn.IFNA(VLOOKUP($A105,ISB!$A$4:$BY$454,77,FALSE),0)</f>
        <v>0</v>
      </c>
      <c r="M105" s="301">
        <f t="shared" si="72"/>
        <v>0</v>
      </c>
      <c r="N105" s="301">
        <f>VLOOKUP($A105,EY!$A:$H,8,FALSE)+(VLOOKUP($A105,EY!$A:$BS,17,FALSE)-S105)+VLOOKUP($A105,EY!$A:$BS,41,FALSE)</f>
        <v>549935.82513142866</v>
      </c>
      <c r="O105" s="302"/>
      <c r="P105" s="302">
        <f>_xlfn.IFNA((VLOOKUP($A105,HN!$A:$K,8,FALSE)/12),0)</f>
        <v>0</v>
      </c>
      <c r="Q105" s="302">
        <f>_xlfn.IFNA((VLOOKUP($A105,HN!$A:$BS,14,FALSE)/12),0)</f>
        <v>0</v>
      </c>
      <c r="R105" s="302">
        <f>_xlfn.IFNA(VLOOKUP($A105,'Post 16'!$A:$V,21,FALSE),0)/4</f>
        <v>0</v>
      </c>
      <c r="S105" s="302">
        <f>VLOOKUP($A105,EY!A:Q,15,FALSE)*80%</f>
        <v>2567.1578947368421</v>
      </c>
      <c r="T105" s="302">
        <f>_xlfn.IFNA((VLOOKUP($A105,HN!$A:$K,9,FALSE)/12),0)+_xlfn.IFNA((VLOOKUP($A105,HN!$A:$K,10,FALSE)/12),0)</f>
        <v>0</v>
      </c>
      <c r="U105" s="302">
        <f>_xlfn.IFNA((VLOOKUP($A105,HN!$A:$BS,15,FALSE)/12),0)</f>
        <v>0</v>
      </c>
      <c r="V105" s="301">
        <f t="shared" si="73"/>
        <v>0</v>
      </c>
      <c r="W105" s="301">
        <f t="shared" si="74"/>
        <v>0</v>
      </c>
      <c r="X105" s="302"/>
      <c r="Y105" s="302">
        <f>_xlfn.IFNA(VLOOKUP($A105,'Cash Advances'!$A:$S,8,FALSE),0)</f>
        <v>0</v>
      </c>
      <c r="Z105" s="301">
        <f t="shared" si="121"/>
        <v>552502.98302616552</v>
      </c>
      <c r="AA105" s="315">
        <f t="shared" si="75"/>
        <v>0</v>
      </c>
      <c r="AB105" s="315"/>
      <c r="AC105" s="316"/>
      <c r="AD105" s="316">
        <f>_xlfn.IFNA((VLOOKUP($A105,HN!$A:$K,8,FALSE)/12),0)</f>
        <v>0</v>
      </c>
      <c r="AE105" s="316">
        <f>_xlfn.IFNA((VLOOKUP($A105,HN!$A:$BS,14,FALSE)/12),0)</f>
        <v>0</v>
      </c>
      <c r="AF105" s="316">
        <f>_xlfn.IFNA(VLOOKUP($A105,'Post 16'!$A:$V,21,FALSE),0)/4</f>
        <v>0</v>
      </c>
      <c r="AG105" s="316"/>
      <c r="AH105" s="316">
        <f>_xlfn.IFNA((VLOOKUP($A105,HN!$A:$K,9,FALSE)/12),0)+_xlfn.IFNA((VLOOKUP($A105,HN!$A:$K,10,FALSE)/12),0)</f>
        <v>0</v>
      </c>
      <c r="AI105" s="316">
        <f>_xlfn.IFNA((VLOOKUP($A105,HN!$A:$BS,15,FALSE)/12),0)</f>
        <v>0</v>
      </c>
      <c r="AJ105" s="315">
        <f t="shared" si="76"/>
        <v>0</v>
      </c>
      <c r="AK105" s="315">
        <f t="shared" si="77"/>
        <v>0</v>
      </c>
      <c r="AL105" s="316"/>
      <c r="AM105" s="316">
        <f>_xlfn.IFNA(VLOOKUP($A105,'Cash Advances'!$A:$S,9,FALSE),0)</f>
        <v>0</v>
      </c>
      <c r="AN105" s="315">
        <f t="shared" si="122"/>
        <v>0</v>
      </c>
      <c r="AO105" s="308">
        <f t="shared" si="78"/>
        <v>0</v>
      </c>
      <c r="AP105" s="308"/>
      <c r="AQ105" s="309"/>
      <c r="AR105" s="309">
        <f>_xlfn.IFNA((VLOOKUP($A105,HN!$A:$K,8,FALSE)/12),0)</f>
        <v>0</v>
      </c>
      <c r="AS105" s="309">
        <f>_xlfn.IFNA((VLOOKUP($A105,HN!$A:$BS,14,FALSE)/12),0)</f>
        <v>0</v>
      </c>
      <c r="AT105" s="309">
        <f>_xlfn.IFNA(VLOOKUP($A105,'Post 16'!$A:$V,21,FALSE),0)/4</f>
        <v>0</v>
      </c>
      <c r="AU105" s="309"/>
      <c r="AV105" s="309">
        <f>_xlfn.IFNA((VLOOKUP($A105,HN!$A:$K,9,FALSE)/12),0)+_xlfn.IFNA((VLOOKUP($A105,HN!$A:$K,10,FALSE)/12),0)+_xlfn.IFNA(VLOOKUP(A105,HN!A:V,19,FALSE),0)+_xlfn.IFNA(VLOOKUP(A105,HN!A:V,20,FALSE),0)+_xlfn.IFNA(VLOOKUP(A105,HN!A:V,21,FALSE),0)</f>
        <v>0</v>
      </c>
      <c r="AW105" s="309">
        <f>_xlfn.IFNA((VLOOKUP($A105,HN!$A:$BS,15,FALSE)/12),0)</f>
        <v>0</v>
      </c>
      <c r="AX105" s="308">
        <f t="shared" si="79"/>
        <v>0</v>
      </c>
      <c r="AY105" s="308">
        <f t="shared" si="80"/>
        <v>0</v>
      </c>
      <c r="AZ105" s="309"/>
      <c r="BA105" s="309">
        <f>_xlfn.IFNA(VLOOKUP($A105,'Cash Advances'!$A:$S,10,FALSE),0)</f>
        <v>0</v>
      </c>
      <c r="BB105" s="308">
        <f t="shared" si="123"/>
        <v>0</v>
      </c>
      <c r="BC105" s="330">
        <f t="shared" si="81"/>
        <v>0</v>
      </c>
      <c r="BD105" s="330"/>
      <c r="BE105" s="331"/>
      <c r="BF105" s="331">
        <f>_xlfn.IFNA((VLOOKUP($A105,HN!$A:$K,8,FALSE)/12),0)</f>
        <v>0</v>
      </c>
      <c r="BG105" s="331">
        <f>_xlfn.IFNA((VLOOKUP($A105,HN!$A:$BS,14,FALSE)/12),0)</f>
        <v>0</v>
      </c>
      <c r="BH105" s="331">
        <f>_xlfn.IFNA(VLOOKUP($A105,'Post 16'!$A:$V,21,FALSE),0)/4</f>
        <v>0</v>
      </c>
      <c r="BI105" s="331"/>
      <c r="BJ105" s="331">
        <f>_xlfn.IFNA((VLOOKUP($A105,HN!$A:$K,9,FALSE)/12),0)+_xlfn.IFNA((VLOOKUP($A105,HN!$A:$K,10,FALSE)/12),0)</f>
        <v>0</v>
      </c>
      <c r="BK105" s="331">
        <f>_xlfn.IFNA((VLOOKUP($A105,HN!$A:$BS,15,FALSE)/12),0)</f>
        <v>0</v>
      </c>
      <c r="BL105" s="330">
        <f t="shared" si="82"/>
        <v>0</v>
      </c>
      <c r="BM105" s="330">
        <f t="shared" si="83"/>
        <v>0</v>
      </c>
      <c r="BN105" s="331"/>
      <c r="BO105" s="331">
        <f>_xlfn.IFNA(VLOOKUP(A105,'Cash Advances'!A:K,11,FALSE),0)</f>
        <v>0</v>
      </c>
      <c r="BP105" s="330">
        <f t="shared" si="124"/>
        <v>0</v>
      </c>
      <c r="BQ105" s="322">
        <f t="shared" si="84"/>
        <v>0</v>
      </c>
      <c r="BR105" s="322"/>
      <c r="BS105" s="323"/>
      <c r="BT105" s="323">
        <f>_xlfn.IFNA((VLOOKUP($A105,HN!$A:$K,8,FALSE)/12),0)</f>
        <v>0</v>
      </c>
      <c r="BU105" s="323">
        <f>_xlfn.IFNA((VLOOKUP($A105,HN!$A:$BS,14,FALSE)/12),0)</f>
        <v>0</v>
      </c>
      <c r="BV105" s="323">
        <f>(_xlfn.IFNA(VLOOKUP($A105,'Post 16'!$A:$AV,32,FALSE),0)/8)+_xlfn.IFNA(VLOOKUP($A105,'Post 16'!$A:$AR,40,FALSE),0)</f>
        <v>0</v>
      </c>
      <c r="BW105" s="323"/>
      <c r="BX105" s="323">
        <f>_xlfn.IFNA((VLOOKUP($A105,HN!$A:$K,9,FALSE)/12),0)+_xlfn.IFNA((VLOOKUP($A105,HN!$A:$K,10,FALSE)/12),0)</f>
        <v>0</v>
      </c>
      <c r="BY105" s="323">
        <f>_xlfn.IFNA((VLOOKUP($A105,HN!$A:$BS,15,FALSE)/12),0)</f>
        <v>0</v>
      </c>
      <c r="BZ105" s="322">
        <f t="shared" si="85"/>
        <v>0</v>
      </c>
      <c r="CA105" s="322">
        <f t="shared" si="86"/>
        <v>0</v>
      </c>
      <c r="CB105" s="323"/>
      <c r="CC105" s="323"/>
      <c r="CD105" s="322">
        <f t="shared" si="125"/>
        <v>0</v>
      </c>
      <c r="CE105" s="357">
        <f t="shared" si="87"/>
        <v>0</v>
      </c>
      <c r="CF105" s="357">
        <f>(VLOOKUP($A105,EY!$A:$BS,26,FALSE)-(VLOOKUP($A105,EY!A:CR,24,FALSE)*80%))+VLOOKUP($A105,EY!$A:$BS,42,FALSE)+(VLOOKUP($A105,EY!A:CC,74,FALSE)-VLOOKUP($A105,EY!A:CC,72,FALSE))</f>
        <v>208009.56088092961</v>
      </c>
      <c r="CG105" s="358"/>
      <c r="CH105" s="358">
        <f>_xlfn.IFNA((VLOOKUP($A105,HN!$A:$K,8,FALSE)/12),0)</f>
        <v>0</v>
      </c>
      <c r="CI105" s="358">
        <f>_xlfn.IFNA((VLOOKUP($A105,HN!$A:$BS,14,FALSE)/12),0)</f>
        <v>0</v>
      </c>
      <c r="CJ105" s="358">
        <f>(_xlfn.IFNA(VLOOKUP($A105,'Post 16'!$A:$AV,32,FALSE),0)/8)</f>
        <v>0</v>
      </c>
      <c r="CK105" s="358">
        <f>(VLOOKUP($A105,EY!A:CR,24,FALSE)*80%)+VLOOKUP($A105,EY!A:CC,72,FALSE)</f>
        <v>4428.266842105264</v>
      </c>
      <c r="CL105" s="358">
        <f>_xlfn.IFNA((VLOOKUP($A105,HN!$A:$K,9,FALSE)/12),0)+_xlfn.IFNA((VLOOKUP($A105,HN!$A:$K,10,FALSE)/12),0)</f>
        <v>0</v>
      </c>
      <c r="CM105" s="358">
        <f>_xlfn.IFNA((VLOOKUP($A105,HN!$A:$BS,15,FALSE)/12),0)</f>
        <v>0</v>
      </c>
      <c r="CN105" s="357">
        <f t="shared" si="88"/>
        <v>0</v>
      </c>
      <c r="CO105" s="357">
        <f t="shared" si="89"/>
        <v>0</v>
      </c>
      <c r="CP105" s="358">
        <f>_xlfn.IFNA(VLOOKUP(A105,'LA Deductions'!A:W,23,FALSE),0)</f>
        <v>-3291.75</v>
      </c>
      <c r="CQ105" s="358">
        <f>_xlfn.IFNA(VLOOKUP($A105,'Cash Advances'!$A:$S,13,FALSE),0)</f>
        <v>0</v>
      </c>
      <c r="CR105" s="358">
        <f>_xlfn.IFNA(VLOOKUP(A105,'LA Deductions'!A:AZ,25,FALSE),0)/9*3</f>
        <v>0</v>
      </c>
      <c r="CS105" s="357">
        <f t="shared" si="108"/>
        <v>209146.07772303486</v>
      </c>
      <c r="CT105" s="337">
        <f t="shared" si="90"/>
        <v>0</v>
      </c>
      <c r="CU105" s="337"/>
      <c r="CV105" s="338">
        <f>_xlfn.IFNA(VLOOKUP(A105,'LA Deductions'!$A$6:$AN$207,34,FALSE),0)</f>
        <v>0</v>
      </c>
      <c r="CW105" s="338">
        <f>_xlfn.IFNA((VLOOKUP($A105,HN!$A:$K,8,FALSE)/12),0)</f>
        <v>0</v>
      </c>
      <c r="CX105" s="338">
        <f>_xlfn.IFNA((VLOOKUP($A105,HN!$A:$BS,14,FALSE)/12),0)</f>
        <v>0</v>
      </c>
      <c r="CY105" s="338">
        <f>_xlfn.IFNA(VLOOKUP($A105,'Post 16'!$A:$AV,32,FALSE),0)/8</f>
        <v>0</v>
      </c>
      <c r="CZ105" s="338"/>
      <c r="DA105" s="338">
        <f>_xlfn.IFNA((VLOOKUP($A105,HN!$A:$K,9,FALSE)/12),0)+_xlfn.IFNA((VLOOKUP($A105,HN!$A:$K,10,FALSE)/12),0)</f>
        <v>0</v>
      </c>
      <c r="DB105" s="338">
        <f>_xlfn.IFNA((VLOOKUP($A105,HN!$A:$BS,15,FALSE)/12),0)</f>
        <v>0</v>
      </c>
      <c r="DC105" s="337">
        <f t="shared" si="91"/>
        <v>0</v>
      </c>
      <c r="DD105" s="337">
        <f t="shared" si="92"/>
        <v>0</v>
      </c>
      <c r="DE105" s="338"/>
      <c r="DF105" s="338">
        <f>_xlfn.IFNA(VLOOKUP($A105,'Cash Advances'!$A:$S,14,FALSE),0)</f>
        <v>0</v>
      </c>
      <c r="DG105" s="338">
        <f>(_xlfn.IFNA(VLOOKUP(A105,'LA Deductions'!A:AZ,25,FALSE),0)/9)+(_xlfn.IFNA(VLOOKUP(A105,'LA Deductions'!A:AZ,26,FALSE),0))</f>
        <v>0</v>
      </c>
      <c r="DH105" s="337">
        <f t="shared" si="109"/>
        <v>0</v>
      </c>
      <c r="DI105" s="330">
        <f t="shared" si="93"/>
        <v>0</v>
      </c>
      <c r="DJ105" s="330"/>
      <c r="DK105" s="331"/>
      <c r="DL105" s="331">
        <f>_xlfn.IFNA((VLOOKUP($A105,HN!$A:$K,8,FALSE)/12),0)+_xlfn.IFNA((VLOOKUP($A105,HN!$A:$AF,32,FALSE)*8/12),0)</f>
        <v>0</v>
      </c>
      <c r="DM105" s="331">
        <f>_xlfn.IFNA((VLOOKUP($A105,HN!$A:$BS,14,FALSE)/12),0)+_xlfn.IFNA(VLOOKUP($A105,HN!$A:$BS,31,FALSE),0)</f>
        <v>0</v>
      </c>
      <c r="DN105" s="331">
        <f>_xlfn.IFNA(VLOOKUP($A105,'Post 16'!$A:$AV,32,FALSE),0)/8</f>
        <v>0</v>
      </c>
      <c r="DO105" s="331"/>
      <c r="DP105" s="331">
        <f>_xlfn.IFNA((VLOOKUP($A105,HN!$A:$K,9,FALSE)/12),0)+_xlfn.IFNA((VLOOKUP($A105,HN!$A:$K,10,FALSE)/12),0)+_xlfn.IFNA((VLOOKUP($A105,HN!$A:$BZ,33,FALSE)*8/12),0)</f>
        <v>0</v>
      </c>
      <c r="DQ105" s="331">
        <f>_xlfn.IFNA((VLOOKUP($A105,HN!$A:$BS,15,FALSE)/12),0)</f>
        <v>0</v>
      </c>
      <c r="DR105" s="330">
        <f t="shared" si="94"/>
        <v>0</v>
      </c>
      <c r="DS105" s="330">
        <f t="shared" si="95"/>
        <v>0</v>
      </c>
      <c r="DT105" s="331"/>
      <c r="DU105" s="331"/>
      <c r="DV105" s="331">
        <f>(_xlfn.IFNA(VLOOKUP(A105,'LA Deductions'!A:AZ,25,FALSE),0)/9)+_xlfn.IFNA(VLOOKUP(A105,'LA Deductions'!A:AZ,27,FALSE),0)</f>
        <v>0</v>
      </c>
      <c r="DW105" s="330">
        <f t="shared" si="110"/>
        <v>0</v>
      </c>
      <c r="DX105" s="344">
        <f t="shared" si="96"/>
        <v>0</v>
      </c>
      <c r="DY105" s="344"/>
      <c r="DZ105" s="345"/>
      <c r="EA105" s="345">
        <f>_xlfn.IFNA((VLOOKUP($A105,HN!$A:$K,8,FALSE)/12),0)+_xlfn.IFNA((VLOOKUP($A105,HN!$A:$AF,32,FALSE)*1/12),0)</f>
        <v>0</v>
      </c>
      <c r="EB105" s="345">
        <f>_xlfn.IFNA((VLOOKUP($A105,HN!$A:$BS,14,FALSE)/12),0)</f>
        <v>0</v>
      </c>
      <c r="EC105" s="345">
        <f>_xlfn.IFNA(VLOOKUP($A105,'Post 16'!$A:$AV,32,FALSE),0)/8</f>
        <v>0</v>
      </c>
      <c r="ED105" s="345"/>
      <c r="EE105" s="345">
        <f>_xlfn.IFNA((VLOOKUP($A105,HN!$A:$K,9,FALSE)/12),0)+_xlfn.IFNA((VLOOKUP($A105,HN!$A:$K,10,FALSE)/12),0)+_xlfn.IFNA((VLOOKUP($A105,HN!$A:$BZ,33,FALSE)/12),0)</f>
        <v>0</v>
      </c>
      <c r="EF105" s="345">
        <f>_xlfn.IFNA((VLOOKUP($A105,HN!$A:$BS,15,FALSE)/12),0)</f>
        <v>0</v>
      </c>
      <c r="EG105" s="344">
        <f t="shared" si="97"/>
        <v>0</v>
      </c>
      <c r="EH105" s="344">
        <f t="shared" si="98"/>
        <v>0</v>
      </c>
      <c r="EI105" s="345"/>
      <c r="EJ105" s="345">
        <f>_xlfn.IFNA(VLOOKUP(A105,'Cash Advances'!A:P,16,FALSE),0)</f>
        <v>0</v>
      </c>
      <c r="EK105" s="345">
        <f>_xlfn.IFNA(VLOOKUP(A105,'LA Deductions'!A:AZ,25,FALSE),0)/9</f>
        <v>0</v>
      </c>
      <c r="EL105" s="344">
        <f t="shared" si="111"/>
        <v>0</v>
      </c>
      <c r="EM105" s="308">
        <f t="shared" si="99"/>
        <v>0</v>
      </c>
      <c r="EN105" s="308">
        <f>((VLOOKUP($A105,EY!$A:$BS,35,FALSE)-(VLOOKUP($A105,EY!$A:$BS,33,FALSE)*80%))+VLOOKUP($A105,EY!$A:$BS,43,FALSE))+(VLOOKUP(A105,EY!A:DF,110,FALSE)-VLOOKUP(A105,EY!A:DD,108,FALSE))+(VLOOKUP(A105,EY!A:CE,83,FALSE)-VLOOKUP(A105,EY!A:CC,81,FALSE))</f>
        <v>224471.09121883658</v>
      </c>
      <c r="EO105" s="309"/>
      <c r="EP105" s="309">
        <f>_xlfn.IFNA((VLOOKUP($A105,HN!$A:$K,8,FALSE)/12),0)+_xlfn.IFNA((VLOOKUP($A105,HN!$A:$AF,32,FALSE)*1/12),0)</f>
        <v>0</v>
      </c>
      <c r="EQ105" s="309">
        <f>_xlfn.IFNA((VLOOKUP($A105,HN!$A:$BS,14,FALSE)/12),0)+_xlfn.IFNA((VLOOKUP($A105,HN!$A:$BS,34,FALSE)/3),0)</f>
        <v>0</v>
      </c>
      <c r="ER105" s="309">
        <f>_xlfn.IFNA(VLOOKUP($A105,'Post 16'!$A:$AV,32,FALSE),0)/8</f>
        <v>0</v>
      </c>
      <c r="ES105" s="309">
        <f>((VLOOKUP($A105,EY!A:EV,33,FALSE)*80%))+VLOOKUP(A105,EY!A:DD,108,FALSE)+VLOOKUP(A105,EY!A:CC,81,FALSE)</f>
        <v>15511.378587257617</v>
      </c>
      <c r="ET105" s="309">
        <f>_xlfn.IFNA((VLOOKUP($A105,HN!$A:$K,9,FALSE)/12),0)+_xlfn.IFNA((VLOOKUP($A105,HN!$A:$K,10,FALSE)/12),0)+_xlfn.IFNA((VLOOKUP($A105,HN!$A:$BZ,33,FALSE)/12),0)</f>
        <v>0</v>
      </c>
      <c r="EU105" s="309">
        <f>_xlfn.IFNA((VLOOKUP($A105,HN!$A:$BS,15,FALSE)/12),0)</f>
        <v>0</v>
      </c>
      <c r="EV105" s="308">
        <f t="shared" si="100"/>
        <v>0</v>
      </c>
      <c r="EW105" s="308">
        <f t="shared" si="101"/>
        <v>0</v>
      </c>
      <c r="EX105" s="309"/>
      <c r="EY105" s="309">
        <f>_xlfn.IFNA(VLOOKUP($A105,'Cash Advances'!$A:$S,17,FALSE),0)</f>
        <v>0</v>
      </c>
      <c r="EZ105" s="309">
        <f>_xlfn.IFNA(VLOOKUP(A105,'LA Deductions'!A:AZ,25,FALSE),0)/9</f>
        <v>0</v>
      </c>
      <c r="FA105" s="308">
        <f t="shared" si="112"/>
        <v>239982.46980609419</v>
      </c>
      <c r="FB105" s="315">
        <f t="shared" si="102"/>
        <v>0</v>
      </c>
      <c r="FC105" s="315"/>
      <c r="FD105" s="316"/>
      <c r="FE105" s="316">
        <f>_xlfn.IFNA((VLOOKUP($A105,HN!$A:$K,8,FALSE)/12),0)+_xlfn.IFNA((VLOOKUP($A105,HN!$A:$AF,32,FALSE)*1/12),0)</f>
        <v>0</v>
      </c>
      <c r="FF105" s="316">
        <f>_xlfn.IFNA((VLOOKUP($A105,HN!$A:$BS,14,FALSE)/12),0)+_xlfn.IFNA((VLOOKUP($A105,HN!$A:$BS,34,FALSE)/3),0)</f>
        <v>0</v>
      </c>
      <c r="FG105" s="316">
        <f>_xlfn.IFNA(VLOOKUP($A105,'Post 16'!$A:$AV,32,FALSE),0)/8</f>
        <v>0</v>
      </c>
      <c r="FH105" s="316"/>
      <c r="FI105" s="316">
        <f>_xlfn.IFNA((VLOOKUP($A105,HN!$A:$K,9,FALSE)/12),0)+_xlfn.IFNA((VLOOKUP($A105,HN!$A:$K,10,FALSE)/12),0)+_xlfn.IFNA((VLOOKUP($A105,HN!$A:$BZ,33,FALSE)/12),0)+_xlfn.IFNA((VLOOKUP($A105,HN!$A:$BZ,35,FALSE)/2),0)</f>
        <v>0</v>
      </c>
      <c r="FJ105" s="316">
        <f>_xlfn.IFNA((VLOOKUP($A105,HN!$A:$BS,15,FALSE)/12),0)+_xlfn.IFNA((VLOOKUP($A105,HN!$A:$CZ,36,FALSE)/2),0)</f>
        <v>0</v>
      </c>
      <c r="FK105" s="315">
        <f t="shared" si="103"/>
        <v>0</v>
      </c>
      <c r="FL105" s="315">
        <f t="shared" si="104"/>
        <v>0</v>
      </c>
      <c r="FM105" s="316"/>
      <c r="FN105" s="316">
        <f>_xlfn.IFNA(VLOOKUP($A105,'Cash Advances'!$A:$S,18,FALSE),0)</f>
        <v>0</v>
      </c>
      <c r="FO105" s="316">
        <f>_xlfn.IFNA(VLOOKUP(A105,'LA Deductions'!A:AZ,25,FALSE),0)/9</f>
        <v>0</v>
      </c>
      <c r="FP105" s="315">
        <f t="shared" si="113"/>
        <v>0</v>
      </c>
      <c r="FQ105" s="322">
        <f t="shared" si="105"/>
        <v>0</v>
      </c>
      <c r="FR105" s="322"/>
      <c r="FS105" s="323"/>
      <c r="FT105" s="323">
        <f>_xlfn.IFNA((VLOOKUP($A105,HN!$A:$K,8,FALSE)/12),0)+_xlfn.IFNA((VLOOKUP($A105,HN!$A:$AF,32,FALSE)*1/12),0)</f>
        <v>0</v>
      </c>
      <c r="FU105" s="323">
        <f>_xlfn.IFNA((VLOOKUP($A105,HN!$A:$BS,14,FALSE)/12),0)+_xlfn.IFNA((VLOOKUP($A105,HN!$A:$BS,34,FALSE)/3),0)</f>
        <v>0</v>
      </c>
      <c r="FV105" s="323">
        <f>_xlfn.IFNA(VLOOKUP($A105,'Post 16'!$A:$AV,32,FALSE),0)/8</f>
        <v>0</v>
      </c>
      <c r="FW105" s="323"/>
      <c r="FX105" s="323">
        <f>_xlfn.IFNA((VLOOKUP($A105,HN!$A:$K,9,FALSE)/12),0)+_xlfn.IFNA((VLOOKUP($A105,HN!$A:$K,10,FALSE)/12),0)+_xlfn.IFNA((VLOOKUP($A105,HN!$A:$BZ,33,FALSE)/12),0)+_xlfn.IFNA((VLOOKUP($A105,HN!$A:$BZ,35,FALSE)/2),0)</f>
        <v>0</v>
      </c>
      <c r="FY105" s="323">
        <f>_xlfn.IFNA((VLOOKUP($A105,HN!$A:$BS,15,FALSE)/12),0)+_xlfn.IFNA((VLOOKUP($A105,HN!$A:$CZ,36,FALSE)/2),0)</f>
        <v>0</v>
      </c>
      <c r="FZ105" s="322">
        <f t="shared" si="106"/>
        <v>0</v>
      </c>
      <c r="GA105" s="322">
        <f t="shared" si="107"/>
        <v>0</v>
      </c>
      <c r="GB105" s="323"/>
      <c r="GC105" s="323"/>
      <c r="GD105" s="323">
        <f>_xlfn.IFNA(VLOOKUP(A105,'LA Deductions'!A:AZ,25,FALSE),0)/9</f>
        <v>0</v>
      </c>
      <c r="GE105" s="322">
        <f t="shared" si="114"/>
        <v>0</v>
      </c>
      <c r="GG105" s="146">
        <f t="shared" si="119"/>
        <v>982416.47723119485</v>
      </c>
      <c r="GH105" s="146">
        <f t="shared" si="119"/>
        <v>0</v>
      </c>
      <c r="GI105" s="146">
        <f t="shared" si="119"/>
        <v>22506.803324099725</v>
      </c>
      <c r="GJ105" s="146">
        <f t="shared" si="119"/>
        <v>0</v>
      </c>
      <c r="GK105" s="146">
        <f t="shared" si="119"/>
        <v>0</v>
      </c>
      <c r="GL105" s="146">
        <f t="shared" si="119"/>
        <v>-3291.75</v>
      </c>
      <c r="GN105" s="146">
        <f t="shared" si="120"/>
        <v>982416.47723119485</v>
      </c>
      <c r="GO105" s="146">
        <f t="shared" si="120"/>
        <v>0</v>
      </c>
      <c r="GP105" s="146">
        <f t="shared" si="120"/>
        <v>22506.803324099725</v>
      </c>
      <c r="GQ105" s="146">
        <f t="shared" si="120"/>
        <v>0</v>
      </c>
      <c r="GR105" s="146">
        <f t="shared" si="120"/>
        <v>0</v>
      </c>
      <c r="GS105" s="146">
        <f t="shared" si="120"/>
        <v>-3291.75</v>
      </c>
      <c r="GU105" s="146"/>
      <c r="GV105" s="57"/>
    </row>
    <row r="106" spans="1:204">
      <c r="A106" s="185">
        <v>7033</v>
      </c>
      <c r="B106" s="185">
        <v>103613</v>
      </c>
      <c r="C106" s="185" t="s">
        <v>236</v>
      </c>
      <c r="D106" s="2" t="s">
        <v>237</v>
      </c>
      <c r="E106" s="191" t="s">
        <v>47</v>
      </c>
      <c r="F106" s="191" t="s">
        <v>912</v>
      </c>
      <c r="H106" s="279">
        <f>_xlfn.IFNA(VLOOKUP($A106,ISB!$A$4:$BY$454,67,FALSE),0)</f>
        <v>0</v>
      </c>
      <c r="I106" s="279">
        <f>_xlfn.IFNA(VLOOKUP($A106,ISB!$A$4:$BY$454,72,FALSE),0)</f>
        <v>0</v>
      </c>
      <c r="J106" s="279">
        <f>-_xlfn.IFNA(VLOOKUP($A106,ISB!$A$4:$BY$454,76,FALSE),0)</f>
        <v>0</v>
      </c>
      <c r="K106" s="279">
        <f>_xlfn.IFNA(VLOOKUP($A106,ISB!$A$4:$BY$454,77,FALSE),0)</f>
        <v>0</v>
      </c>
      <c r="M106" s="301">
        <f t="shared" si="72"/>
        <v>0</v>
      </c>
      <c r="N106" s="301">
        <f>VLOOKUP($A106,EY!$A:$H,8,FALSE)+(VLOOKUP($A106,EY!$A:$BS,17,FALSE)-S106)+VLOOKUP($A106,EY!$A:$BS,41,FALSE)</f>
        <v>0</v>
      </c>
      <c r="O106" s="302"/>
      <c r="P106" s="302">
        <f>_xlfn.IFNA((VLOOKUP($A106,HN!$A:$K,8,FALSE)/12),0)</f>
        <v>363893.75</v>
      </c>
      <c r="Q106" s="302">
        <f>_xlfn.IFNA((VLOOKUP($A106,HN!$A:$BS,14,FALSE)/12),0)</f>
        <v>0</v>
      </c>
      <c r="R106" s="302">
        <f>_xlfn.IFNA(VLOOKUP($A106,'Post 16'!$A:$V,21,FALSE),0)/4</f>
        <v>0</v>
      </c>
      <c r="S106" s="302">
        <f>VLOOKUP($A106,EY!A:Q,15,FALSE)*80%</f>
        <v>0</v>
      </c>
      <c r="T106" s="302">
        <f>_xlfn.IFNA((VLOOKUP($A106,HN!$A:$K,9,FALSE)/12),0)+_xlfn.IFNA((VLOOKUP($A106,HN!$A:$K,10,FALSE)/12),0)</f>
        <v>210568.21907463562</v>
      </c>
      <c r="U106" s="302">
        <f>_xlfn.IFNA((VLOOKUP($A106,HN!$A:$BS,15,FALSE)/12),0)</f>
        <v>0</v>
      </c>
      <c r="V106" s="301">
        <f t="shared" si="73"/>
        <v>0</v>
      </c>
      <c r="W106" s="301">
        <f t="shared" si="74"/>
        <v>0</v>
      </c>
      <c r="X106" s="302"/>
      <c r="Y106" s="302">
        <f>_xlfn.IFNA(VLOOKUP($A106,'Cash Advances'!$A:$S,8,FALSE),0)</f>
        <v>0</v>
      </c>
      <c r="Z106" s="301">
        <f t="shared" si="121"/>
        <v>574461.96907463565</v>
      </c>
      <c r="AA106" s="315">
        <f t="shared" si="75"/>
        <v>0</v>
      </c>
      <c r="AB106" s="315"/>
      <c r="AC106" s="316"/>
      <c r="AD106" s="316">
        <f>_xlfn.IFNA((VLOOKUP($A106,HN!$A:$K,8,FALSE)/12),0)</f>
        <v>363893.75</v>
      </c>
      <c r="AE106" s="316">
        <f>_xlfn.IFNA((VLOOKUP($A106,HN!$A:$BS,14,FALSE)/12),0)</f>
        <v>0</v>
      </c>
      <c r="AF106" s="316">
        <f>_xlfn.IFNA(VLOOKUP($A106,'Post 16'!$A:$V,21,FALSE),0)/4</f>
        <v>0</v>
      </c>
      <c r="AG106" s="316"/>
      <c r="AH106" s="316">
        <f>_xlfn.IFNA((VLOOKUP($A106,HN!$A:$K,9,FALSE)/12),0)+_xlfn.IFNA((VLOOKUP($A106,HN!$A:$K,10,FALSE)/12),0)</f>
        <v>210568.21907463562</v>
      </c>
      <c r="AI106" s="316">
        <f>_xlfn.IFNA((VLOOKUP($A106,HN!$A:$BS,15,FALSE)/12),0)</f>
        <v>0</v>
      </c>
      <c r="AJ106" s="315">
        <f t="shared" si="76"/>
        <v>0</v>
      </c>
      <c r="AK106" s="315">
        <f t="shared" si="77"/>
        <v>0</v>
      </c>
      <c r="AL106" s="316"/>
      <c r="AM106" s="316">
        <f>_xlfn.IFNA(VLOOKUP($A106,'Cash Advances'!$A:$S,9,FALSE),0)</f>
        <v>0</v>
      </c>
      <c r="AN106" s="315">
        <f t="shared" si="122"/>
        <v>574461.96907463565</v>
      </c>
      <c r="AO106" s="308">
        <f t="shared" si="78"/>
        <v>0</v>
      </c>
      <c r="AP106" s="308"/>
      <c r="AQ106" s="309"/>
      <c r="AR106" s="309">
        <f>_xlfn.IFNA((VLOOKUP($A106,HN!$A:$K,8,FALSE)/12),0)</f>
        <v>363893.75</v>
      </c>
      <c r="AS106" s="309">
        <f>_xlfn.IFNA((VLOOKUP($A106,HN!$A:$BS,14,FALSE)/12),0)</f>
        <v>0</v>
      </c>
      <c r="AT106" s="309">
        <f>_xlfn.IFNA(VLOOKUP($A106,'Post 16'!$A:$V,21,FALSE),0)/4</f>
        <v>0</v>
      </c>
      <c r="AU106" s="309"/>
      <c r="AV106" s="309">
        <f>_xlfn.IFNA((VLOOKUP($A106,HN!$A:$K,9,FALSE)/12),0)+_xlfn.IFNA((VLOOKUP($A106,HN!$A:$K,10,FALSE)/12),0)+_xlfn.IFNA(VLOOKUP(A106,HN!A:V,19,FALSE),0)+_xlfn.IFNA(VLOOKUP(A106,HN!A:V,20,FALSE),0)+_xlfn.IFNA(VLOOKUP(A106,HN!A:V,21,FALSE),0)</f>
        <v>422668.21907463565</v>
      </c>
      <c r="AW106" s="309">
        <f>_xlfn.IFNA((VLOOKUP($A106,HN!$A:$BS,15,FALSE)/12),0)</f>
        <v>0</v>
      </c>
      <c r="AX106" s="308">
        <f t="shared" si="79"/>
        <v>0</v>
      </c>
      <c r="AY106" s="308">
        <f t="shared" si="80"/>
        <v>0</v>
      </c>
      <c r="AZ106" s="309"/>
      <c r="BA106" s="309">
        <f>_xlfn.IFNA(VLOOKUP($A106,'Cash Advances'!$A:$S,10,FALSE),0)</f>
        <v>0</v>
      </c>
      <c r="BB106" s="308">
        <f t="shared" si="123"/>
        <v>786561.96907463565</v>
      </c>
      <c r="BC106" s="330">
        <f t="shared" si="81"/>
        <v>0</v>
      </c>
      <c r="BD106" s="330"/>
      <c r="BE106" s="331"/>
      <c r="BF106" s="331">
        <f>_xlfn.IFNA((VLOOKUP($A106,HN!$A:$K,8,FALSE)/12),0)</f>
        <v>363893.75</v>
      </c>
      <c r="BG106" s="331">
        <f>_xlfn.IFNA((VLOOKUP($A106,HN!$A:$BS,14,FALSE)/12),0)</f>
        <v>0</v>
      </c>
      <c r="BH106" s="331">
        <f>_xlfn.IFNA(VLOOKUP($A106,'Post 16'!$A:$V,21,FALSE),0)/4</f>
        <v>0</v>
      </c>
      <c r="BI106" s="331"/>
      <c r="BJ106" s="331">
        <f>_xlfn.IFNA((VLOOKUP($A106,HN!$A:$K,9,FALSE)/12),0)+_xlfn.IFNA((VLOOKUP($A106,HN!$A:$K,10,FALSE)/12),0)</f>
        <v>210568.21907463562</v>
      </c>
      <c r="BK106" s="331">
        <f>_xlfn.IFNA((VLOOKUP($A106,HN!$A:$BS,15,FALSE)/12),0)</f>
        <v>0</v>
      </c>
      <c r="BL106" s="330">
        <f t="shared" si="82"/>
        <v>0</v>
      </c>
      <c r="BM106" s="330">
        <f t="shared" si="83"/>
        <v>0</v>
      </c>
      <c r="BN106" s="331"/>
      <c r="BO106" s="331">
        <f>_xlfn.IFNA(VLOOKUP(A106,'Cash Advances'!A:K,11,FALSE),0)</f>
        <v>0</v>
      </c>
      <c r="BP106" s="330">
        <f t="shared" si="124"/>
        <v>574461.96907463565</v>
      </c>
      <c r="BQ106" s="322">
        <f t="shared" si="84"/>
        <v>0</v>
      </c>
      <c r="BR106" s="322"/>
      <c r="BS106" s="323"/>
      <c r="BT106" s="323">
        <f>_xlfn.IFNA((VLOOKUP($A106,HN!$A:$K,8,FALSE)/12),0)</f>
        <v>363893.75</v>
      </c>
      <c r="BU106" s="323">
        <f>_xlfn.IFNA((VLOOKUP($A106,HN!$A:$BS,14,FALSE)/12),0)</f>
        <v>0</v>
      </c>
      <c r="BV106" s="323">
        <f>(_xlfn.IFNA(VLOOKUP($A106,'Post 16'!$A:$AV,32,FALSE),0)/8)+_xlfn.IFNA(VLOOKUP($A106,'Post 16'!$A:$AR,40,FALSE),0)</f>
        <v>0</v>
      </c>
      <c r="BW106" s="323"/>
      <c r="BX106" s="323">
        <f>_xlfn.IFNA((VLOOKUP($A106,HN!$A:$K,9,FALSE)/12),0)+_xlfn.IFNA((VLOOKUP($A106,HN!$A:$K,10,FALSE)/12),0)</f>
        <v>210568.21907463562</v>
      </c>
      <c r="BY106" s="323">
        <f>_xlfn.IFNA((VLOOKUP($A106,HN!$A:$BS,15,FALSE)/12),0)</f>
        <v>0</v>
      </c>
      <c r="BZ106" s="322">
        <f t="shared" si="85"/>
        <v>0</v>
      </c>
      <c r="CA106" s="322">
        <f t="shared" si="86"/>
        <v>0</v>
      </c>
      <c r="CB106" s="323"/>
      <c r="CC106" s="323"/>
      <c r="CD106" s="322">
        <f t="shared" si="125"/>
        <v>574461.96907463565</v>
      </c>
      <c r="CE106" s="357">
        <f t="shared" si="87"/>
        <v>0</v>
      </c>
      <c r="CF106" s="357">
        <f>(VLOOKUP($A106,EY!$A:$BS,26,FALSE)-(VLOOKUP($A106,EY!A:CR,24,FALSE)*80%))+VLOOKUP($A106,EY!$A:$BS,42,FALSE)+(VLOOKUP($A106,EY!A:CC,74,FALSE)-VLOOKUP($A106,EY!A:CC,72,FALSE))</f>
        <v>0</v>
      </c>
      <c r="CG106" s="358"/>
      <c r="CH106" s="358">
        <f>_xlfn.IFNA((VLOOKUP($A106,HN!$A:$K,8,FALSE)/12),0)</f>
        <v>363893.75</v>
      </c>
      <c r="CI106" s="358">
        <f>_xlfn.IFNA((VLOOKUP($A106,HN!$A:$BS,14,FALSE)/12),0)</f>
        <v>0</v>
      </c>
      <c r="CJ106" s="358">
        <f>(_xlfn.IFNA(VLOOKUP($A106,'Post 16'!$A:$AV,32,FALSE),0)/8)</f>
        <v>0</v>
      </c>
      <c r="CK106" s="358">
        <f>(VLOOKUP($A106,EY!A:CR,24,FALSE)*80%)+VLOOKUP($A106,EY!A:CC,72,FALSE)</f>
        <v>0</v>
      </c>
      <c r="CL106" s="358">
        <f>_xlfn.IFNA((VLOOKUP($A106,HN!$A:$K,9,FALSE)/12),0)+_xlfn.IFNA((VLOOKUP($A106,HN!$A:$K,10,FALSE)/12),0)</f>
        <v>210568.21907463562</v>
      </c>
      <c r="CM106" s="358">
        <f>_xlfn.IFNA((VLOOKUP($A106,HN!$A:$BS,15,FALSE)/12),0)</f>
        <v>0</v>
      </c>
      <c r="CN106" s="357">
        <f t="shared" si="88"/>
        <v>0</v>
      </c>
      <c r="CO106" s="357">
        <f t="shared" si="89"/>
        <v>0</v>
      </c>
      <c r="CP106" s="358">
        <f>_xlfn.IFNA(VLOOKUP(A106,'LA Deductions'!A:W,23,FALSE),0)</f>
        <v>-9471</v>
      </c>
      <c r="CQ106" s="358">
        <f>_xlfn.IFNA(VLOOKUP($A106,'Cash Advances'!$A:$S,13,FALSE),0)</f>
        <v>0</v>
      </c>
      <c r="CR106" s="358">
        <f>_xlfn.IFNA(VLOOKUP(A106,'LA Deductions'!A:AZ,25,FALSE),0)/9*3</f>
        <v>0</v>
      </c>
      <c r="CS106" s="357">
        <f t="shared" si="108"/>
        <v>564990.96907463565</v>
      </c>
      <c r="CT106" s="337">
        <f t="shared" si="90"/>
        <v>0</v>
      </c>
      <c r="CU106" s="337"/>
      <c r="CV106" s="338">
        <f>_xlfn.IFNA(VLOOKUP(A106,'LA Deductions'!$A$6:$AN$207,34,FALSE),0)</f>
        <v>0</v>
      </c>
      <c r="CW106" s="338">
        <f>_xlfn.IFNA((VLOOKUP($A106,HN!$A:$K,8,FALSE)/12),0)</f>
        <v>363893.75</v>
      </c>
      <c r="CX106" s="338">
        <f>_xlfn.IFNA((VLOOKUP($A106,HN!$A:$BS,14,FALSE)/12),0)</f>
        <v>0</v>
      </c>
      <c r="CY106" s="338">
        <f>_xlfn.IFNA(VLOOKUP($A106,'Post 16'!$A:$AV,32,FALSE),0)/8</f>
        <v>0</v>
      </c>
      <c r="CZ106" s="338"/>
      <c r="DA106" s="338">
        <f>_xlfn.IFNA((VLOOKUP($A106,HN!$A:$K,9,FALSE)/12),0)+_xlfn.IFNA((VLOOKUP($A106,HN!$A:$K,10,FALSE)/12),0)</f>
        <v>210568.21907463562</v>
      </c>
      <c r="DB106" s="338">
        <f>_xlfn.IFNA((VLOOKUP($A106,HN!$A:$BS,15,FALSE)/12),0)</f>
        <v>0</v>
      </c>
      <c r="DC106" s="337">
        <f t="shared" si="91"/>
        <v>0</v>
      </c>
      <c r="DD106" s="337">
        <f t="shared" si="92"/>
        <v>0</v>
      </c>
      <c r="DE106" s="338"/>
      <c r="DF106" s="338">
        <f>_xlfn.IFNA(VLOOKUP($A106,'Cash Advances'!$A:$S,14,FALSE),0)</f>
        <v>0</v>
      </c>
      <c r="DG106" s="338">
        <f>(_xlfn.IFNA(VLOOKUP(A106,'LA Deductions'!A:AZ,25,FALSE),0)/9)+(_xlfn.IFNA(VLOOKUP(A106,'LA Deductions'!A:AZ,26,FALSE),0))</f>
        <v>0</v>
      </c>
      <c r="DH106" s="337">
        <f t="shared" si="109"/>
        <v>574461.96907463565</v>
      </c>
      <c r="DI106" s="330">
        <f t="shared" si="93"/>
        <v>0</v>
      </c>
      <c r="DJ106" s="330"/>
      <c r="DK106" s="331"/>
      <c r="DL106" s="331">
        <f>_xlfn.IFNA((VLOOKUP($A106,HN!$A:$K,8,FALSE)/12),0)+_xlfn.IFNA((VLOOKUP($A106,HN!$A:$AF,32,FALSE)*8/12),0)</f>
        <v>363893.75</v>
      </c>
      <c r="DM106" s="331">
        <f>_xlfn.IFNA((VLOOKUP($A106,HN!$A:$BS,14,FALSE)/12),0)+_xlfn.IFNA(VLOOKUP($A106,HN!$A:$BS,31,FALSE),0)</f>
        <v>0</v>
      </c>
      <c r="DN106" s="331">
        <f>_xlfn.IFNA(VLOOKUP($A106,'Post 16'!$A:$AV,32,FALSE),0)/8</f>
        <v>0</v>
      </c>
      <c r="DO106" s="331"/>
      <c r="DP106" s="331">
        <f>_xlfn.IFNA((VLOOKUP($A106,HN!$A:$K,9,FALSE)/12),0)+_xlfn.IFNA((VLOOKUP($A106,HN!$A:$K,10,FALSE)/12),0)+_xlfn.IFNA((VLOOKUP($A106,HN!$A:$BZ,33,FALSE)*8/12),0)</f>
        <v>309927.05831064552</v>
      </c>
      <c r="DQ106" s="331">
        <f>_xlfn.IFNA((VLOOKUP($A106,HN!$A:$BS,15,FALSE)/12),0)</f>
        <v>0</v>
      </c>
      <c r="DR106" s="330">
        <f t="shared" si="94"/>
        <v>0</v>
      </c>
      <c r="DS106" s="330">
        <f t="shared" si="95"/>
        <v>0</v>
      </c>
      <c r="DT106" s="331"/>
      <c r="DU106" s="331"/>
      <c r="DV106" s="331">
        <f>(_xlfn.IFNA(VLOOKUP(A106,'LA Deductions'!A:AZ,25,FALSE),0)/9)+_xlfn.IFNA(VLOOKUP(A106,'LA Deductions'!A:AZ,27,FALSE),0)</f>
        <v>0</v>
      </c>
      <c r="DW106" s="330">
        <f t="shared" si="110"/>
        <v>673820.80831064552</v>
      </c>
      <c r="DX106" s="344">
        <f t="shared" si="96"/>
        <v>0</v>
      </c>
      <c r="DY106" s="344"/>
      <c r="DZ106" s="345"/>
      <c r="EA106" s="345">
        <f>_xlfn.IFNA((VLOOKUP($A106,HN!$A:$K,8,FALSE)/12),0)+_xlfn.IFNA((VLOOKUP($A106,HN!$A:$AF,32,FALSE)*1/12),0)</f>
        <v>363893.75</v>
      </c>
      <c r="EB106" s="345">
        <f>_xlfn.IFNA((VLOOKUP($A106,HN!$A:$BS,14,FALSE)/12),0)</f>
        <v>0</v>
      </c>
      <c r="EC106" s="345">
        <f>_xlfn.IFNA(VLOOKUP($A106,'Post 16'!$A:$AV,32,FALSE),0)/8</f>
        <v>0</v>
      </c>
      <c r="ED106" s="345"/>
      <c r="EE106" s="345">
        <f>_xlfn.IFNA((VLOOKUP($A106,HN!$A:$K,9,FALSE)/12),0)+_xlfn.IFNA((VLOOKUP($A106,HN!$A:$K,10,FALSE)/12),0)+_xlfn.IFNA((VLOOKUP($A106,HN!$A:$BZ,33,FALSE)/12),0)</f>
        <v>222988.07397913685</v>
      </c>
      <c r="EF106" s="345">
        <f>_xlfn.IFNA((VLOOKUP($A106,HN!$A:$BS,15,FALSE)/12),0)</f>
        <v>0</v>
      </c>
      <c r="EG106" s="344">
        <f t="shared" si="97"/>
        <v>0</v>
      </c>
      <c r="EH106" s="344">
        <f t="shared" si="98"/>
        <v>0</v>
      </c>
      <c r="EI106" s="345"/>
      <c r="EJ106" s="345">
        <f>_xlfn.IFNA(VLOOKUP(A106,'Cash Advances'!A:P,16,FALSE),0)</f>
        <v>0</v>
      </c>
      <c r="EK106" s="345">
        <f>_xlfn.IFNA(VLOOKUP(A106,'LA Deductions'!A:AZ,25,FALSE),0)/9</f>
        <v>0</v>
      </c>
      <c r="EL106" s="344">
        <f t="shared" si="111"/>
        <v>586881.82397913688</v>
      </c>
      <c r="EM106" s="308">
        <f t="shared" si="99"/>
        <v>0</v>
      </c>
      <c r="EN106" s="308">
        <f>((VLOOKUP($A106,EY!$A:$BS,35,FALSE)-(VLOOKUP($A106,EY!$A:$BS,33,FALSE)*80%))+VLOOKUP($A106,EY!$A:$BS,43,FALSE))+(VLOOKUP(A106,EY!A:DF,110,FALSE)-VLOOKUP(A106,EY!A:DD,108,FALSE))+(VLOOKUP(A106,EY!A:CE,83,FALSE)-VLOOKUP(A106,EY!A:CC,81,FALSE))</f>
        <v>0</v>
      </c>
      <c r="EO106" s="309"/>
      <c r="EP106" s="309">
        <f>_xlfn.IFNA((VLOOKUP($A106,HN!$A:$K,8,FALSE)/12),0)+_xlfn.IFNA((VLOOKUP($A106,HN!$A:$AF,32,FALSE)*1/12),0)</f>
        <v>363893.75</v>
      </c>
      <c r="EQ106" s="309">
        <f>_xlfn.IFNA((VLOOKUP($A106,HN!$A:$BS,14,FALSE)/12),0)+_xlfn.IFNA((VLOOKUP($A106,HN!$A:$BS,34,FALSE)/3),0)</f>
        <v>0</v>
      </c>
      <c r="ER106" s="309">
        <f>_xlfn.IFNA(VLOOKUP($A106,'Post 16'!$A:$AV,32,FALSE),0)/8</f>
        <v>0</v>
      </c>
      <c r="ES106" s="309">
        <f>((VLOOKUP($A106,EY!A:EV,33,FALSE)*80%))+VLOOKUP(A106,EY!A:DD,108,FALSE)+VLOOKUP(A106,EY!A:CC,81,FALSE)</f>
        <v>0</v>
      </c>
      <c r="ET106" s="309">
        <f>_xlfn.IFNA((VLOOKUP($A106,HN!$A:$K,9,FALSE)/12),0)+_xlfn.IFNA((VLOOKUP($A106,HN!$A:$K,10,FALSE)/12),0)+_xlfn.IFNA((VLOOKUP($A106,HN!$A:$BZ,33,FALSE)/12),0)</f>
        <v>222988.07397913685</v>
      </c>
      <c r="EU106" s="309">
        <f>_xlfn.IFNA((VLOOKUP($A106,HN!$A:$BS,15,FALSE)/12),0)</f>
        <v>0</v>
      </c>
      <c r="EV106" s="308">
        <f t="shared" si="100"/>
        <v>0</v>
      </c>
      <c r="EW106" s="308">
        <f t="shared" si="101"/>
        <v>0</v>
      </c>
      <c r="EX106" s="309"/>
      <c r="EY106" s="309">
        <f>_xlfn.IFNA(VLOOKUP($A106,'Cash Advances'!$A:$S,17,FALSE),0)</f>
        <v>0</v>
      </c>
      <c r="EZ106" s="309">
        <f>_xlfn.IFNA(VLOOKUP(A106,'LA Deductions'!A:AZ,25,FALSE),0)/9</f>
        <v>0</v>
      </c>
      <c r="FA106" s="308">
        <f t="shared" si="112"/>
        <v>586881.82397913688</v>
      </c>
      <c r="FB106" s="315">
        <f t="shared" si="102"/>
        <v>0</v>
      </c>
      <c r="FC106" s="315"/>
      <c r="FD106" s="316"/>
      <c r="FE106" s="316">
        <f>_xlfn.IFNA((VLOOKUP($A106,HN!$A:$K,8,FALSE)/12),0)+_xlfn.IFNA((VLOOKUP($A106,HN!$A:$AF,32,FALSE)*1/12),0)</f>
        <v>363893.75</v>
      </c>
      <c r="FF106" s="316">
        <f>_xlfn.IFNA((VLOOKUP($A106,HN!$A:$BS,14,FALSE)/12),0)+_xlfn.IFNA((VLOOKUP($A106,HN!$A:$BS,34,FALSE)/3),0)</f>
        <v>0</v>
      </c>
      <c r="FG106" s="316">
        <f>_xlfn.IFNA(VLOOKUP($A106,'Post 16'!$A:$AV,32,FALSE),0)/8</f>
        <v>0</v>
      </c>
      <c r="FH106" s="316"/>
      <c r="FI106" s="316">
        <f>_xlfn.IFNA((VLOOKUP($A106,HN!$A:$K,9,FALSE)/12),0)+_xlfn.IFNA((VLOOKUP($A106,HN!$A:$K,10,FALSE)/12),0)+_xlfn.IFNA((VLOOKUP($A106,HN!$A:$BZ,33,FALSE)/12),0)+_xlfn.IFNA((VLOOKUP($A106,HN!$A:$BZ,35,FALSE)/2),0)</f>
        <v>225704.02897913684</v>
      </c>
      <c r="FJ106" s="316">
        <f>_xlfn.IFNA((VLOOKUP($A106,HN!$A:$BS,15,FALSE)/12),0)+_xlfn.IFNA((VLOOKUP($A106,HN!$A:$CZ,36,FALSE)/2),0)</f>
        <v>0</v>
      </c>
      <c r="FK106" s="315">
        <f t="shared" si="103"/>
        <v>0</v>
      </c>
      <c r="FL106" s="315">
        <f t="shared" si="104"/>
        <v>0</v>
      </c>
      <c r="FM106" s="316"/>
      <c r="FN106" s="316">
        <f>_xlfn.IFNA(VLOOKUP($A106,'Cash Advances'!$A:$S,18,FALSE),0)</f>
        <v>0</v>
      </c>
      <c r="FO106" s="316">
        <f>_xlfn.IFNA(VLOOKUP(A106,'LA Deductions'!A:AZ,25,FALSE),0)/9</f>
        <v>0</v>
      </c>
      <c r="FP106" s="315">
        <f t="shared" si="113"/>
        <v>589597.77897913684</v>
      </c>
      <c r="FQ106" s="322">
        <f t="shared" si="105"/>
        <v>0</v>
      </c>
      <c r="FR106" s="322"/>
      <c r="FS106" s="323"/>
      <c r="FT106" s="323">
        <f>_xlfn.IFNA((VLOOKUP($A106,HN!$A:$K,8,FALSE)/12),0)+_xlfn.IFNA((VLOOKUP($A106,HN!$A:$AF,32,FALSE)*1/12),0)</f>
        <v>363893.75</v>
      </c>
      <c r="FU106" s="323">
        <f>_xlfn.IFNA((VLOOKUP($A106,HN!$A:$BS,14,FALSE)/12),0)+_xlfn.IFNA((VLOOKUP($A106,HN!$A:$BS,34,FALSE)/3),0)</f>
        <v>0</v>
      </c>
      <c r="FV106" s="323">
        <f>_xlfn.IFNA(VLOOKUP($A106,'Post 16'!$A:$AV,32,FALSE),0)/8</f>
        <v>0</v>
      </c>
      <c r="FW106" s="323"/>
      <c r="FX106" s="323">
        <f>_xlfn.IFNA((VLOOKUP($A106,HN!$A:$K,9,FALSE)/12),0)+_xlfn.IFNA((VLOOKUP($A106,HN!$A:$K,10,FALSE)/12),0)+_xlfn.IFNA((VLOOKUP($A106,HN!$A:$BZ,33,FALSE)/12),0)+_xlfn.IFNA((VLOOKUP($A106,HN!$A:$BZ,35,FALSE)/2),0)</f>
        <v>225704.02897913684</v>
      </c>
      <c r="FY106" s="323">
        <f>_xlfn.IFNA((VLOOKUP($A106,HN!$A:$BS,15,FALSE)/12),0)+_xlfn.IFNA((VLOOKUP($A106,HN!$A:$CZ,36,FALSE)/2),0)</f>
        <v>0</v>
      </c>
      <c r="FZ106" s="322">
        <f t="shared" si="106"/>
        <v>0</v>
      </c>
      <c r="GA106" s="322">
        <f t="shared" si="107"/>
        <v>0</v>
      </c>
      <c r="GB106" s="323"/>
      <c r="GC106" s="323"/>
      <c r="GD106" s="323">
        <f>_xlfn.IFNA(VLOOKUP(A106,'LA Deductions'!A:AZ,25,FALSE),0)/9</f>
        <v>0</v>
      </c>
      <c r="GE106" s="322">
        <f t="shared" si="114"/>
        <v>589597.77897913684</v>
      </c>
      <c r="GG106" s="146">
        <f t="shared" si="119"/>
        <v>4366725</v>
      </c>
      <c r="GH106" s="146">
        <f t="shared" si="119"/>
        <v>0</v>
      </c>
      <c r="GI106" s="146">
        <f t="shared" si="119"/>
        <v>2893388.7977496423</v>
      </c>
      <c r="GJ106" s="146">
        <f t="shared" si="119"/>
        <v>0</v>
      </c>
      <c r="GK106" s="146">
        <f t="shared" si="119"/>
        <v>0</v>
      </c>
      <c r="GL106" s="146">
        <f t="shared" si="119"/>
        <v>-9471</v>
      </c>
      <c r="GN106" s="146">
        <f t="shared" si="120"/>
        <v>4366725</v>
      </c>
      <c r="GO106" s="146">
        <f t="shared" si="120"/>
        <v>0</v>
      </c>
      <c r="GP106" s="146">
        <f t="shared" si="120"/>
        <v>2893388.7977496423</v>
      </c>
      <c r="GQ106" s="146">
        <f t="shared" si="120"/>
        <v>0</v>
      </c>
      <c r="GR106" s="146">
        <f t="shared" si="120"/>
        <v>0</v>
      </c>
      <c r="GS106" s="146">
        <f t="shared" si="120"/>
        <v>-9471</v>
      </c>
      <c r="GU106" s="146"/>
      <c r="GV106" s="57"/>
    </row>
    <row r="107" spans="1:204">
      <c r="A107" s="185">
        <v>4177</v>
      </c>
      <c r="B107" s="185">
        <v>103498</v>
      </c>
      <c r="C107" s="185" t="s">
        <v>238</v>
      </c>
      <c r="D107" s="2" t="s">
        <v>239</v>
      </c>
      <c r="E107" s="191" t="s">
        <v>58</v>
      </c>
      <c r="F107" s="191" t="s">
        <v>912</v>
      </c>
      <c r="H107" s="279">
        <f>_xlfn.IFNA(VLOOKUP($A107,ISB!$A$4:$BY$454,67,FALSE),0)</f>
        <v>6706745.3157706521</v>
      </c>
      <c r="I107" s="279">
        <f>_xlfn.IFNA(VLOOKUP($A107,ISB!$A$4:$BY$454,72,FALSE),0)</f>
        <v>-16607.25</v>
      </c>
      <c r="J107" s="279">
        <f>-_xlfn.IFNA(VLOOKUP($A107,ISB!$A$4:$BY$454,76,FALSE),0)</f>
        <v>-111907.34</v>
      </c>
      <c r="K107" s="279">
        <f>_xlfn.IFNA(VLOOKUP($A107,ISB!$A$4:$BY$454,77,FALSE),0)</f>
        <v>6578230.7257706523</v>
      </c>
      <c r="M107" s="301">
        <f t="shared" si="72"/>
        <v>558895.44298088772</v>
      </c>
      <c r="N107" s="301">
        <f>VLOOKUP($A107,EY!$A:$H,8,FALSE)+(VLOOKUP($A107,EY!$A:$BS,17,FALSE)-S107)+VLOOKUP($A107,EY!$A:$BS,41,FALSE)</f>
        <v>0</v>
      </c>
      <c r="O107" s="302"/>
      <c r="P107" s="302">
        <f>_xlfn.IFNA((VLOOKUP($A107,HN!$A:$K,8,FALSE)/12),0)</f>
        <v>0</v>
      </c>
      <c r="Q107" s="302">
        <f>_xlfn.IFNA((VLOOKUP($A107,HN!$A:$BS,14,FALSE)/12),0)</f>
        <v>0</v>
      </c>
      <c r="R107" s="302">
        <f>_xlfn.IFNA(VLOOKUP($A107,'Post 16'!$A:$V,21,FALSE),0)/4</f>
        <v>0</v>
      </c>
      <c r="S107" s="302">
        <f>VLOOKUP($A107,EY!A:Q,15,FALSE)*80%</f>
        <v>0</v>
      </c>
      <c r="T107" s="302">
        <f>_xlfn.IFNA((VLOOKUP($A107,HN!$A:$K,9,FALSE)/12),0)+_xlfn.IFNA((VLOOKUP($A107,HN!$A:$K,10,FALSE)/12),0)</f>
        <v>0</v>
      </c>
      <c r="U107" s="302">
        <f>_xlfn.IFNA((VLOOKUP($A107,HN!$A:$BS,15,FALSE)/12),0)</f>
        <v>0</v>
      </c>
      <c r="V107" s="301">
        <f t="shared" si="73"/>
        <v>-1383.9375</v>
      </c>
      <c r="W107" s="301">
        <f t="shared" si="74"/>
        <v>-9325.6116666666658</v>
      </c>
      <c r="X107" s="302"/>
      <c r="Y107" s="302">
        <f>_xlfn.IFNA(VLOOKUP($A107,'Cash Advances'!$A:$S,8,FALSE),0)</f>
        <v>0</v>
      </c>
      <c r="Z107" s="301">
        <f t="shared" si="121"/>
        <v>548185.89381422102</v>
      </c>
      <c r="AA107" s="315">
        <f t="shared" si="75"/>
        <v>558895.44298088772</v>
      </c>
      <c r="AB107" s="315"/>
      <c r="AC107" s="316"/>
      <c r="AD107" s="316">
        <f>_xlfn.IFNA((VLOOKUP($A107,HN!$A:$K,8,FALSE)/12),0)</f>
        <v>0</v>
      </c>
      <c r="AE107" s="316">
        <f>_xlfn.IFNA((VLOOKUP($A107,HN!$A:$BS,14,FALSE)/12),0)</f>
        <v>0</v>
      </c>
      <c r="AF107" s="316">
        <f>_xlfn.IFNA(VLOOKUP($A107,'Post 16'!$A:$V,21,FALSE),0)/4</f>
        <v>0</v>
      </c>
      <c r="AG107" s="316"/>
      <c r="AH107" s="316">
        <f>_xlfn.IFNA((VLOOKUP($A107,HN!$A:$K,9,FALSE)/12),0)+_xlfn.IFNA((VLOOKUP($A107,HN!$A:$K,10,FALSE)/12),0)</f>
        <v>0</v>
      </c>
      <c r="AI107" s="316">
        <f>_xlfn.IFNA((VLOOKUP($A107,HN!$A:$BS,15,FALSE)/12),0)</f>
        <v>0</v>
      </c>
      <c r="AJ107" s="315">
        <f t="shared" si="76"/>
        <v>-1383.9375</v>
      </c>
      <c r="AK107" s="315">
        <f t="shared" si="77"/>
        <v>-9325.6116666666658</v>
      </c>
      <c r="AL107" s="316"/>
      <c r="AM107" s="316">
        <f>_xlfn.IFNA(VLOOKUP($A107,'Cash Advances'!$A:$S,9,FALSE),0)</f>
        <v>0</v>
      </c>
      <c r="AN107" s="315">
        <f t="shared" si="122"/>
        <v>548185.89381422102</v>
      </c>
      <c r="AO107" s="308">
        <f t="shared" si="78"/>
        <v>558895.44298088772</v>
      </c>
      <c r="AP107" s="308"/>
      <c r="AQ107" s="309"/>
      <c r="AR107" s="309">
        <f>_xlfn.IFNA((VLOOKUP($A107,HN!$A:$K,8,FALSE)/12),0)</f>
        <v>0</v>
      </c>
      <c r="AS107" s="309">
        <f>_xlfn.IFNA((VLOOKUP($A107,HN!$A:$BS,14,FALSE)/12),0)</f>
        <v>0</v>
      </c>
      <c r="AT107" s="309">
        <f>_xlfn.IFNA(VLOOKUP($A107,'Post 16'!$A:$V,21,FALSE),0)/4</f>
        <v>0</v>
      </c>
      <c r="AU107" s="309"/>
      <c r="AV107" s="309">
        <f>_xlfn.IFNA((VLOOKUP($A107,HN!$A:$K,9,FALSE)/12),0)+_xlfn.IFNA((VLOOKUP($A107,HN!$A:$K,10,FALSE)/12),0)+_xlfn.IFNA(VLOOKUP(A107,HN!A:V,19,FALSE),0)+_xlfn.IFNA(VLOOKUP(A107,HN!A:V,20,FALSE),0)+_xlfn.IFNA(VLOOKUP(A107,HN!A:V,21,FALSE),0)</f>
        <v>0</v>
      </c>
      <c r="AW107" s="309">
        <f>_xlfn.IFNA((VLOOKUP($A107,HN!$A:$BS,15,FALSE)/12),0)</f>
        <v>0</v>
      </c>
      <c r="AX107" s="308">
        <f t="shared" si="79"/>
        <v>-1383.9375</v>
      </c>
      <c r="AY107" s="308">
        <f t="shared" si="80"/>
        <v>-9325.6116666666658</v>
      </c>
      <c r="AZ107" s="309"/>
      <c r="BA107" s="309">
        <f>_xlfn.IFNA(VLOOKUP($A107,'Cash Advances'!$A:$S,10,FALSE),0)</f>
        <v>0</v>
      </c>
      <c r="BB107" s="308">
        <f t="shared" si="123"/>
        <v>548185.89381422102</v>
      </c>
      <c r="BC107" s="330">
        <f t="shared" si="81"/>
        <v>558895.44298088772</v>
      </c>
      <c r="BD107" s="330"/>
      <c r="BE107" s="331"/>
      <c r="BF107" s="331">
        <f>_xlfn.IFNA((VLOOKUP($A107,HN!$A:$K,8,FALSE)/12),0)</f>
        <v>0</v>
      </c>
      <c r="BG107" s="331">
        <f>_xlfn.IFNA((VLOOKUP($A107,HN!$A:$BS,14,FALSE)/12),0)</f>
        <v>0</v>
      </c>
      <c r="BH107" s="331">
        <f>_xlfn.IFNA(VLOOKUP($A107,'Post 16'!$A:$V,21,FALSE),0)/4</f>
        <v>0</v>
      </c>
      <c r="BI107" s="331"/>
      <c r="BJ107" s="331">
        <f>_xlfn.IFNA((VLOOKUP($A107,HN!$A:$K,9,FALSE)/12),0)+_xlfn.IFNA((VLOOKUP($A107,HN!$A:$K,10,FALSE)/12),0)</f>
        <v>0</v>
      </c>
      <c r="BK107" s="331">
        <f>_xlfn.IFNA((VLOOKUP($A107,HN!$A:$BS,15,FALSE)/12),0)</f>
        <v>0</v>
      </c>
      <c r="BL107" s="330">
        <f t="shared" si="82"/>
        <v>-1383.9375</v>
      </c>
      <c r="BM107" s="330">
        <f t="shared" si="83"/>
        <v>-9325.6116666666658</v>
      </c>
      <c r="BN107" s="331"/>
      <c r="BO107" s="331">
        <f>_xlfn.IFNA(VLOOKUP(A107,'Cash Advances'!A:K,11,FALSE),0)</f>
        <v>0</v>
      </c>
      <c r="BP107" s="330">
        <f t="shared" si="124"/>
        <v>548185.89381422102</v>
      </c>
      <c r="BQ107" s="322">
        <f t="shared" si="84"/>
        <v>558895.44298088772</v>
      </c>
      <c r="BR107" s="322"/>
      <c r="BS107" s="323"/>
      <c r="BT107" s="323">
        <f>_xlfn.IFNA((VLOOKUP($A107,HN!$A:$K,8,FALSE)/12),0)</f>
        <v>0</v>
      </c>
      <c r="BU107" s="323">
        <f>_xlfn.IFNA((VLOOKUP($A107,HN!$A:$BS,14,FALSE)/12),0)</f>
        <v>0</v>
      </c>
      <c r="BV107" s="323">
        <f>(_xlfn.IFNA(VLOOKUP($A107,'Post 16'!$A:$AV,32,FALSE),0)/8)+_xlfn.IFNA(VLOOKUP($A107,'Post 16'!$A:$AR,40,FALSE),0)</f>
        <v>0</v>
      </c>
      <c r="BW107" s="323"/>
      <c r="BX107" s="323">
        <f>_xlfn.IFNA((VLOOKUP($A107,HN!$A:$K,9,FALSE)/12),0)+_xlfn.IFNA((VLOOKUP($A107,HN!$A:$K,10,FALSE)/12),0)</f>
        <v>0</v>
      </c>
      <c r="BY107" s="323">
        <f>_xlfn.IFNA((VLOOKUP($A107,HN!$A:$BS,15,FALSE)/12),0)</f>
        <v>0</v>
      </c>
      <c r="BZ107" s="322">
        <f t="shared" si="85"/>
        <v>-1383.9375</v>
      </c>
      <c r="CA107" s="322">
        <f t="shared" si="86"/>
        <v>-9325.6116666666658</v>
      </c>
      <c r="CB107" s="323"/>
      <c r="CC107" s="323"/>
      <c r="CD107" s="322">
        <f t="shared" si="125"/>
        <v>548185.89381422102</v>
      </c>
      <c r="CE107" s="357">
        <f t="shared" si="87"/>
        <v>558895.44298088772</v>
      </c>
      <c r="CF107" s="357">
        <f>(VLOOKUP($A107,EY!$A:$BS,26,FALSE)-(VLOOKUP($A107,EY!A:CR,24,FALSE)*80%))+VLOOKUP($A107,EY!$A:$BS,42,FALSE)+(VLOOKUP($A107,EY!A:CC,74,FALSE)-VLOOKUP($A107,EY!A:CC,72,FALSE))</f>
        <v>0</v>
      </c>
      <c r="CG107" s="358"/>
      <c r="CH107" s="358">
        <f>_xlfn.IFNA((VLOOKUP($A107,HN!$A:$K,8,FALSE)/12),0)</f>
        <v>0</v>
      </c>
      <c r="CI107" s="358">
        <f>_xlfn.IFNA((VLOOKUP($A107,HN!$A:$BS,14,FALSE)/12),0)</f>
        <v>0</v>
      </c>
      <c r="CJ107" s="358">
        <f>(_xlfn.IFNA(VLOOKUP($A107,'Post 16'!$A:$AV,32,FALSE),0)/8)</f>
        <v>0</v>
      </c>
      <c r="CK107" s="358">
        <f>(VLOOKUP($A107,EY!A:CR,24,FALSE)*80%)+VLOOKUP($A107,EY!A:CC,72,FALSE)</f>
        <v>0</v>
      </c>
      <c r="CL107" s="358">
        <f>_xlfn.IFNA((VLOOKUP($A107,HN!$A:$K,9,FALSE)/12),0)+_xlfn.IFNA((VLOOKUP($A107,HN!$A:$K,10,FALSE)/12),0)</f>
        <v>0</v>
      </c>
      <c r="CM107" s="358">
        <f>_xlfn.IFNA((VLOOKUP($A107,HN!$A:$BS,15,FALSE)/12),0)</f>
        <v>0</v>
      </c>
      <c r="CN107" s="357">
        <f t="shared" si="88"/>
        <v>-1383.9375</v>
      </c>
      <c r="CO107" s="357">
        <f t="shared" si="89"/>
        <v>-9325.6116666666658</v>
      </c>
      <c r="CP107" s="358">
        <f>_xlfn.IFNA(VLOOKUP(A107,'LA Deductions'!A:W,23,FALSE),0)</f>
        <v>-24312.75</v>
      </c>
      <c r="CQ107" s="358">
        <f>_xlfn.IFNA(VLOOKUP($A107,'Cash Advances'!$A:$S,13,FALSE),0)</f>
        <v>0</v>
      </c>
      <c r="CR107" s="358">
        <f>_xlfn.IFNA(VLOOKUP(A107,'LA Deductions'!A:AZ,25,FALSE),0)/9*3</f>
        <v>0</v>
      </c>
      <c r="CS107" s="357">
        <f t="shared" si="108"/>
        <v>523873.14381422102</v>
      </c>
      <c r="CT107" s="337">
        <f t="shared" si="90"/>
        <v>558895.44298088772</v>
      </c>
      <c r="CU107" s="337"/>
      <c r="CV107" s="338">
        <f>_xlfn.IFNA(VLOOKUP(A107,'LA Deductions'!$A$6:$AN$207,34,FALSE),0)</f>
        <v>0</v>
      </c>
      <c r="CW107" s="338">
        <f>_xlfn.IFNA((VLOOKUP($A107,HN!$A:$K,8,FALSE)/12),0)</f>
        <v>0</v>
      </c>
      <c r="CX107" s="338">
        <f>_xlfn.IFNA((VLOOKUP($A107,HN!$A:$BS,14,FALSE)/12),0)</f>
        <v>0</v>
      </c>
      <c r="CY107" s="338">
        <f>_xlfn.IFNA(VLOOKUP($A107,'Post 16'!$A:$AV,32,FALSE),0)/8</f>
        <v>0</v>
      </c>
      <c r="CZ107" s="338"/>
      <c r="DA107" s="338">
        <f>_xlfn.IFNA((VLOOKUP($A107,HN!$A:$K,9,FALSE)/12),0)+_xlfn.IFNA((VLOOKUP($A107,HN!$A:$K,10,FALSE)/12),0)</f>
        <v>0</v>
      </c>
      <c r="DB107" s="338">
        <f>_xlfn.IFNA((VLOOKUP($A107,HN!$A:$BS,15,FALSE)/12),0)</f>
        <v>0</v>
      </c>
      <c r="DC107" s="337">
        <f t="shared" si="91"/>
        <v>-1383.9375</v>
      </c>
      <c r="DD107" s="337">
        <f t="shared" si="92"/>
        <v>-9325.6116666666658</v>
      </c>
      <c r="DE107" s="338"/>
      <c r="DF107" s="338">
        <f>_xlfn.IFNA(VLOOKUP($A107,'Cash Advances'!$A:$S,14,FALSE),0)</f>
        <v>0</v>
      </c>
      <c r="DG107" s="338">
        <f>(_xlfn.IFNA(VLOOKUP(A107,'LA Deductions'!A:AZ,25,FALSE),0)/9)+(_xlfn.IFNA(VLOOKUP(A107,'LA Deductions'!A:AZ,26,FALSE),0))</f>
        <v>0</v>
      </c>
      <c r="DH107" s="337">
        <f t="shared" si="109"/>
        <v>548185.89381422102</v>
      </c>
      <c r="DI107" s="330">
        <f t="shared" si="93"/>
        <v>558895.44298088772</v>
      </c>
      <c r="DJ107" s="330"/>
      <c r="DK107" s="331"/>
      <c r="DL107" s="331">
        <f>_xlfn.IFNA((VLOOKUP($A107,HN!$A:$K,8,FALSE)/12),0)+_xlfn.IFNA((VLOOKUP($A107,HN!$A:$AF,32,FALSE)*8/12),0)</f>
        <v>0</v>
      </c>
      <c r="DM107" s="331">
        <f>_xlfn.IFNA((VLOOKUP($A107,HN!$A:$BS,14,FALSE)/12),0)+_xlfn.IFNA(VLOOKUP($A107,HN!$A:$BS,31,FALSE),0)</f>
        <v>0</v>
      </c>
      <c r="DN107" s="331">
        <f>_xlfn.IFNA(VLOOKUP($A107,'Post 16'!$A:$AV,32,FALSE),0)/8</f>
        <v>0</v>
      </c>
      <c r="DO107" s="331"/>
      <c r="DP107" s="331">
        <f>_xlfn.IFNA((VLOOKUP($A107,HN!$A:$K,9,FALSE)/12),0)+_xlfn.IFNA((VLOOKUP($A107,HN!$A:$K,10,FALSE)/12),0)+_xlfn.IFNA((VLOOKUP($A107,HN!$A:$BZ,33,FALSE)*8/12),0)</f>
        <v>0</v>
      </c>
      <c r="DQ107" s="331">
        <f>_xlfn.IFNA((VLOOKUP($A107,HN!$A:$BS,15,FALSE)/12),0)</f>
        <v>0</v>
      </c>
      <c r="DR107" s="330">
        <f t="shared" si="94"/>
        <v>-1383.9375</v>
      </c>
      <c r="DS107" s="330">
        <f t="shared" si="95"/>
        <v>-9325.6116666666658</v>
      </c>
      <c r="DT107" s="331"/>
      <c r="DU107" s="331"/>
      <c r="DV107" s="331">
        <f>(_xlfn.IFNA(VLOOKUP(A107,'LA Deductions'!A:AZ,25,FALSE),0)/9)+_xlfn.IFNA(VLOOKUP(A107,'LA Deductions'!A:AZ,27,FALSE),0)</f>
        <v>0</v>
      </c>
      <c r="DW107" s="330">
        <f t="shared" si="110"/>
        <v>548185.89381422102</v>
      </c>
      <c r="DX107" s="344">
        <f t="shared" si="96"/>
        <v>558895.44298088772</v>
      </c>
      <c r="DY107" s="344"/>
      <c r="DZ107" s="345"/>
      <c r="EA107" s="345">
        <f>_xlfn.IFNA((VLOOKUP($A107,HN!$A:$K,8,FALSE)/12),0)+_xlfn.IFNA((VLOOKUP($A107,HN!$A:$AF,32,FALSE)*1/12),0)</f>
        <v>0</v>
      </c>
      <c r="EB107" s="345">
        <f>_xlfn.IFNA((VLOOKUP($A107,HN!$A:$BS,14,FALSE)/12),0)</f>
        <v>0</v>
      </c>
      <c r="EC107" s="345">
        <f>_xlfn.IFNA(VLOOKUP($A107,'Post 16'!$A:$AV,32,FALSE),0)/8</f>
        <v>0</v>
      </c>
      <c r="ED107" s="345"/>
      <c r="EE107" s="345">
        <f>_xlfn.IFNA((VLOOKUP($A107,HN!$A:$K,9,FALSE)/12),0)+_xlfn.IFNA((VLOOKUP($A107,HN!$A:$K,10,FALSE)/12),0)+_xlfn.IFNA((VLOOKUP($A107,HN!$A:$BZ,33,FALSE)/12),0)</f>
        <v>0</v>
      </c>
      <c r="EF107" s="345">
        <f>_xlfn.IFNA((VLOOKUP($A107,HN!$A:$BS,15,FALSE)/12),0)</f>
        <v>0</v>
      </c>
      <c r="EG107" s="344">
        <f t="shared" si="97"/>
        <v>-1383.9375</v>
      </c>
      <c r="EH107" s="344">
        <f t="shared" si="98"/>
        <v>-9325.6116666666658</v>
      </c>
      <c r="EI107" s="345"/>
      <c r="EJ107" s="345">
        <f>_xlfn.IFNA(VLOOKUP(A107,'Cash Advances'!A:P,16,FALSE),0)</f>
        <v>0</v>
      </c>
      <c r="EK107" s="345">
        <f>_xlfn.IFNA(VLOOKUP(A107,'LA Deductions'!A:AZ,25,FALSE),0)/9</f>
        <v>0</v>
      </c>
      <c r="EL107" s="344">
        <f t="shared" si="111"/>
        <v>548185.89381422102</v>
      </c>
      <c r="EM107" s="308">
        <f t="shared" si="99"/>
        <v>558895.44298088772</v>
      </c>
      <c r="EN107" s="308">
        <f>((VLOOKUP($A107,EY!$A:$BS,35,FALSE)-(VLOOKUP($A107,EY!$A:$BS,33,FALSE)*80%))+VLOOKUP($A107,EY!$A:$BS,43,FALSE))+(VLOOKUP(A107,EY!A:DF,110,FALSE)-VLOOKUP(A107,EY!A:DD,108,FALSE))+(VLOOKUP(A107,EY!A:CE,83,FALSE)-VLOOKUP(A107,EY!A:CC,81,FALSE))</f>
        <v>0</v>
      </c>
      <c r="EO107" s="309"/>
      <c r="EP107" s="309">
        <f>_xlfn.IFNA((VLOOKUP($A107,HN!$A:$K,8,FALSE)/12),0)+_xlfn.IFNA((VLOOKUP($A107,HN!$A:$AF,32,FALSE)*1/12),0)</f>
        <v>0</v>
      </c>
      <c r="EQ107" s="309">
        <f>_xlfn.IFNA((VLOOKUP($A107,HN!$A:$BS,14,FALSE)/12),0)+_xlfn.IFNA((VLOOKUP($A107,HN!$A:$BS,34,FALSE)/3),0)</f>
        <v>0</v>
      </c>
      <c r="ER107" s="309">
        <f>_xlfn.IFNA(VLOOKUP($A107,'Post 16'!$A:$AV,32,FALSE),0)/8</f>
        <v>0</v>
      </c>
      <c r="ES107" s="309">
        <f>((VLOOKUP($A107,EY!A:EV,33,FALSE)*80%))+VLOOKUP(A107,EY!A:DD,108,FALSE)+VLOOKUP(A107,EY!A:CC,81,FALSE)</f>
        <v>0</v>
      </c>
      <c r="ET107" s="309">
        <f>_xlfn.IFNA((VLOOKUP($A107,HN!$A:$K,9,FALSE)/12),0)+_xlfn.IFNA((VLOOKUP($A107,HN!$A:$K,10,FALSE)/12),0)+_xlfn.IFNA((VLOOKUP($A107,HN!$A:$BZ,33,FALSE)/12),0)</f>
        <v>0</v>
      </c>
      <c r="EU107" s="309">
        <f>_xlfn.IFNA((VLOOKUP($A107,HN!$A:$BS,15,FALSE)/12),0)</f>
        <v>0</v>
      </c>
      <c r="EV107" s="308">
        <f t="shared" si="100"/>
        <v>-1383.9375</v>
      </c>
      <c r="EW107" s="308">
        <f t="shared" si="101"/>
        <v>-9325.6116666666658</v>
      </c>
      <c r="EX107" s="309"/>
      <c r="EY107" s="309">
        <f>_xlfn.IFNA(VLOOKUP($A107,'Cash Advances'!$A:$S,17,FALSE),0)</f>
        <v>0</v>
      </c>
      <c r="EZ107" s="309">
        <f>_xlfn.IFNA(VLOOKUP(A107,'LA Deductions'!A:AZ,25,FALSE),0)/9</f>
        <v>0</v>
      </c>
      <c r="FA107" s="308">
        <f t="shared" si="112"/>
        <v>548185.89381422102</v>
      </c>
      <c r="FB107" s="315">
        <f t="shared" si="102"/>
        <v>558895.44298088772</v>
      </c>
      <c r="FC107" s="315"/>
      <c r="FD107" s="316"/>
      <c r="FE107" s="316">
        <f>_xlfn.IFNA((VLOOKUP($A107,HN!$A:$K,8,FALSE)/12),0)+_xlfn.IFNA((VLOOKUP($A107,HN!$A:$AF,32,FALSE)*1/12),0)</f>
        <v>0</v>
      </c>
      <c r="FF107" s="316">
        <f>_xlfn.IFNA((VLOOKUP($A107,HN!$A:$BS,14,FALSE)/12),0)+_xlfn.IFNA((VLOOKUP($A107,HN!$A:$BS,34,FALSE)/3),0)</f>
        <v>0</v>
      </c>
      <c r="FG107" s="316">
        <f>_xlfn.IFNA(VLOOKUP($A107,'Post 16'!$A:$AV,32,FALSE),0)/8</f>
        <v>0</v>
      </c>
      <c r="FH107" s="316"/>
      <c r="FI107" s="316">
        <f>_xlfn.IFNA((VLOOKUP($A107,HN!$A:$K,9,FALSE)/12),0)+_xlfn.IFNA((VLOOKUP($A107,HN!$A:$K,10,FALSE)/12),0)+_xlfn.IFNA((VLOOKUP($A107,HN!$A:$BZ,33,FALSE)/12),0)+_xlfn.IFNA((VLOOKUP($A107,HN!$A:$BZ,35,FALSE)/2),0)</f>
        <v>0</v>
      </c>
      <c r="FJ107" s="316">
        <f>_xlfn.IFNA((VLOOKUP($A107,HN!$A:$BS,15,FALSE)/12),0)+_xlfn.IFNA((VLOOKUP($A107,HN!$A:$CZ,36,FALSE)/2),0)</f>
        <v>0</v>
      </c>
      <c r="FK107" s="315">
        <f t="shared" si="103"/>
        <v>-1383.9375</v>
      </c>
      <c r="FL107" s="315">
        <f t="shared" si="104"/>
        <v>-9325.6116666666658</v>
      </c>
      <c r="FM107" s="316"/>
      <c r="FN107" s="316">
        <f>_xlfn.IFNA(VLOOKUP($A107,'Cash Advances'!$A:$S,18,FALSE),0)</f>
        <v>0</v>
      </c>
      <c r="FO107" s="316">
        <f>_xlfn.IFNA(VLOOKUP(A107,'LA Deductions'!A:AZ,25,FALSE),0)/9</f>
        <v>0</v>
      </c>
      <c r="FP107" s="315">
        <f t="shared" si="113"/>
        <v>548185.89381422102</v>
      </c>
      <c r="FQ107" s="322">
        <f t="shared" si="105"/>
        <v>558895.44298088772</v>
      </c>
      <c r="FR107" s="322"/>
      <c r="FS107" s="323"/>
      <c r="FT107" s="323">
        <f>_xlfn.IFNA((VLOOKUP($A107,HN!$A:$K,8,FALSE)/12),0)+_xlfn.IFNA((VLOOKUP($A107,HN!$A:$AF,32,FALSE)*1/12),0)</f>
        <v>0</v>
      </c>
      <c r="FU107" s="323">
        <f>_xlfn.IFNA((VLOOKUP($A107,HN!$A:$BS,14,FALSE)/12),0)+_xlfn.IFNA((VLOOKUP($A107,HN!$A:$BS,34,FALSE)/3),0)</f>
        <v>0</v>
      </c>
      <c r="FV107" s="323">
        <f>_xlfn.IFNA(VLOOKUP($A107,'Post 16'!$A:$AV,32,FALSE),0)/8</f>
        <v>0</v>
      </c>
      <c r="FW107" s="323"/>
      <c r="FX107" s="323">
        <f>_xlfn.IFNA((VLOOKUP($A107,HN!$A:$K,9,FALSE)/12),0)+_xlfn.IFNA((VLOOKUP($A107,HN!$A:$K,10,FALSE)/12),0)+_xlfn.IFNA((VLOOKUP($A107,HN!$A:$BZ,33,FALSE)/12),0)+_xlfn.IFNA((VLOOKUP($A107,HN!$A:$BZ,35,FALSE)/2),0)</f>
        <v>0</v>
      </c>
      <c r="FY107" s="323">
        <f>_xlfn.IFNA((VLOOKUP($A107,HN!$A:$BS,15,FALSE)/12),0)+_xlfn.IFNA((VLOOKUP($A107,HN!$A:$CZ,36,FALSE)/2),0)</f>
        <v>0</v>
      </c>
      <c r="FZ107" s="322">
        <f t="shared" si="106"/>
        <v>-1383.9375</v>
      </c>
      <c r="GA107" s="322">
        <f t="shared" si="107"/>
        <v>-9325.6116666666658</v>
      </c>
      <c r="GB107" s="323"/>
      <c r="GC107" s="323"/>
      <c r="GD107" s="323">
        <f>_xlfn.IFNA(VLOOKUP(A107,'LA Deductions'!A:AZ,25,FALSE),0)/9</f>
        <v>0</v>
      </c>
      <c r="GE107" s="322">
        <f t="shared" si="114"/>
        <v>548185.89381422102</v>
      </c>
      <c r="GG107" s="146">
        <f t="shared" ref="GG107:GL116" si="126">SUMIFS($M107:$GE107,$M$7:$GE$7,GG$7)</f>
        <v>6706745.3157706512</v>
      </c>
      <c r="GH107" s="146">
        <f t="shared" si="126"/>
        <v>0</v>
      </c>
      <c r="GI107" s="146">
        <f t="shared" si="126"/>
        <v>0</v>
      </c>
      <c r="GJ107" s="146">
        <f t="shared" si="126"/>
        <v>-16607.25</v>
      </c>
      <c r="GK107" s="146">
        <f t="shared" si="126"/>
        <v>-111907.33999999998</v>
      </c>
      <c r="GL107" s="146">
        <f t="shared" si="126"/>
        <v>-24312.75</v>
      </c>
      <c r="GN107" s="146">
        <f t="shared" ref="GN107:GS116" si="127">SUMIFS($M107:$GE107,$M$7:$GE$7,GN$7,$M$4:$GE$4,$GN$6)</f>
        <v>6706745.3157706512</v>
      </c>
      <c r="GO107" s="146">
        <f t="shared" si="127"/>
        <v>0</v>
      </c>
      <c r="GP107" s="146">
        <f t="shared" si="127"/>
        <v>0</v>
      </c>
      <c r="GQ107" s="146">
        <f t="shared" si="127"/>
        <v>-16607.25</v>
      </c>
      <c r="GR107" s="146">
        <f t="shared" si="127"/>
        <v>-111907.33999999998</v>
      </c>
      <c r="GS107" s="146">
        <f t="shared" si="127"/>
        <v>-24312.75</v>
      </c>
      <c r="GU107" s="146"/>
      <c r="GV107" s="57"/>
    </row>
    <row r="108" spans="1:204">
      <c r="A108" s="185">
        <v>2169</v>
      </c>
      <c r="B108" s="185">
        <v>103252</v>
      </c>
      <c r="C108" s="185" t="s">
        <v>240</v>
      </c>
      <c r="D108" s="2" t="s">
        <v>241</v>
      </c>
      <c r="E108" s="191" t="s">
        <v>32</v>
      </c>
      <c r="F108" s="191" t="s">
        <v>912</v>
      </c>
      <c r="H108" s="279">
        <f>_xlfn.IFNA(VLOOKUP($A108,ISB!$A$4:$BY$454,67,FALSE),0)</f>
        <v>2345745.1730824737</v>
      </c>
      <c r="I108" s="279">
        <f>_xlfn.IFNA(VLOOKUP($A108,ISB!$A$4:$BY$454,72,FALSE),0)</f>
        <v>-9493.119999999999</v>
      </c>
      <c r="J108" s="279">
        <f>-_xlfn.IFNA(VLOOKUP($A108,ISB!$A$4:$BY$454,76,FALSE),0)</f>
        <v>-29679.82</v>
      </c>
      <c r="K108" s="279">
        <f>_xlfn.IFNA(VLOOKUP($A108,ISB!$A$4:$BY$454,77,FALSE),0)</f>
        <v>2306572.2330824737</v>
      </c>
      <c r="M108" s="301">
        <f t="shared" si="72"/>
        <v>195478.76442353948</v>
      </c>
      <c r="N108" s="301">
        <f>VLOOKUP($A108,EY!$A:$H,8,FALSE)+(VLOOKUP($A108,EY!$A:$BS,17,FALSE)-S108)+VLOOKUP($A108,EY!$A:$BS,41,FALSE)</f>
        <v>36630.360000000008</v>
      </c>
      <c r="O108" s="302"/>
      <c r="P108" s="302">
        <f>_xlfn.IFNA((VLOOKUP($A108,HN!$A:$K,8,FALSE)/12),0)</f>
        <v>0</v>
      </c>
      <c r="Q108" s="302">
        <f>_xlfn.IFNA((VLOOKUP($A108,HN!$A:$BS,14,FALSE)/12),0)</f>
        <v>0</v>
      </c>
      <c r="R108" s="302">
        <f>_xlfn.IFNA(VLOOKUP($A108,'Post 16'!$A:$V,21,FALSE),0)/4</f>
        <v>0</v>
      </c>
      <c r="S108" s="302">
        <f>VLOOKUP($A108,EY!A:Q,15,FALSE)*80%</f>
        <v>0</v>
      </c>
      <c r="T108" s="302">
        <f>_xlfn.IFNA((VLOOKUP($A108,HN!$A:$K,9,FALSE)/12),0)+_xlfn.IFNA((VLOOKUP($A108,HN!$A:$K,10,FALSE)/12),0)</f>
        <v>0</v>
      </c>
      <c r="U108" s="302">
        <f>_xlfn.IFNA((VLOOKUP($A108,HN!$A:$BS,15,FALSE)/12),0)</f>
        <v>0</v>
      </c>
      <c r="V108" s="301">
        <f t="shared" si="73"/>
        <v>-791.09333333333325</v>
      </c>
      <c r="W108" s="301">
        <f t="shared" si="74"/>
        <v>-2473.3183333333332</v>
      </c>
      <c r="X108" s="302"/>
      <c r="Y108" s="302">
        <f>_xlfn.IFNA(VLOOKUP($A108,'Cash Advances'!$A:$S,8,FALSE),0)</f>
        <v>0</v>
      </c>
      <c r="Z108" s="301">
        <f t="shared" si="121"/>
        <v>228844.71275687285</v>
      </c>
      <c r="AA108" s="315">
        <f t="shared" si="75"/>
        <v>195478.76442353948</v>
      </c>
      <c r="AB108" s="315"/>
      <c r="AC108" s="316"/>
      <c r="AD108" s="316">
        <f>_xlfn.IFNA((VLOOKUP($A108,HN!$A:$K,8,FALSE)/12),0)</f>
        <v>0</v>
      </c>
      <c r="AE108" s="316">
        <f>_xlfn.IFNA((VLOOKUP($A108,HN!$A:$BS,14,FALSE)/12),0)</f>
        <v>0</v>
      </c>
      <c r="AF108" s="316">
        <f>_xlfn.IFNA(VLOOKUP($A108,'Post 16'!$A:$V,21,FALSE),0)/4</f>
        <v>0</v>
      </c>
      <c r="AG108" s="316"/>
      <c r="AH108" s="316">
        <f>_xlfn.IFNA((VLOOKUP($A108,HN!$A:$K,9,FALSE)/12),0)+_xlfn.IFNA((VLOOKUP($A108,HN!$A:$K,10,FALSE)/12),0)</f>
        <v>0</v>
      </c>
      <c r="AI108" s="316">
        <f>_xlfn.IFNA((VLOOKUP($A108,HN!$A:$BS,15,FALSE)/12),0)</f>
        <v>0</v>
      </c>
      <c r="AJ108" s="315">
        <f t="shared" si="76"/>
        <v>-791.09333333333325</v>
      </c>
      <c r="AK108" s="315">
        <f t="shared" si="77"/>
        <v>-2473.3183333333332</v>
      </c>
      <c r="AL108" s="316"/>
      <c r="AM108" s="316">
        <f>_xlfn.IFNA(VLOOKUP($A108,'Cash Advances'!$A:$S,9,FALSE),0)</f>
        <v>0</v>
      </c>
      <c r="AN108" s="315">
        <f t="shared" si="122"/>
        <v>192214.35275687283</v>
      </c>
      <c r="AO108" s="308">
        <f t="shared" si="78"/>
        <v>195478.76442353948</v>
      </c>
      <c r="AP108" s="308"/>
      <c r="AQ108" s="309"/>
      <c r="AR108" s="309">
        <f>_xlfn.IFNA((VLOOKUP($A108,HN!$A:$K,8,FALSE)/12),0)</f>
        <v>0</v>
      </c>
      <c r="AS108" s="309">
        <f>_xlfn.IFNA((VLOOKUP($A108,HN!$A:$BS,14,FALSE)/12),0)</f>
        <v>0</v>
      </c>
      <c r="AT108" s="309">
        <f>_xlfn.IFNA(VLOOKUP($A108,'Post 16'!$A:$V,21,FALSE),0)/4</f>
        <v>0</v>
      </c>
      <c r="AU108" s="309"/>
      <c r="AV108" s="309">
        <f>_xlfn.IFNA((VLOOKUP($A108,HN!$A:$K,9,FALSE)/12),0)+_xlfn.IFNA((VLOOKUP($A108,HN!$A:$K,10,FALSE)/12),0)+_xlfn.IFNA(VLOOKUP(A108,HN!A:V,19,FALSE),0)+_xlfn.IFNA(VLOOKUP(A108,HN!A:V,20,FALSE),0)+_xlfn.IFNA(VLOOKUP(A108,HN!A:V,21,FALSE),0)</f>
        <v>0</v>
      </c>
      <c r="AW108" s="309">
        <f>_xlfn.IFNA((VLOOKUP($A108,HN!$A:$BS,15,FALSE)/12),0)</f>
        <v>0</v>
      </c>
      <c r="AX108" s="308">
        <f t="shared" si="79"/>
        <v>-791.09333333333325</v>
      </c>
      <c r="AY108" s="308">
        <f t="shared" si="80"/>
        <v>-2473.3183333333332</v>
      </c>
      <c r="AZ108" s="309"/>
      <c r="BA108" s="309">
        <f>_xlfn.IFNA(VLOOKUP($A108,'Cash Advances'!$A:$S,10,FALSE),0)</f>
        <v>0</v>
      </c>
      <c r="BB108" s="308">
        <f t="shared" si="123"/>
        <v>192214.35275687283</v>
      </c>
      <c r="BC108" s="330">
        <f t="shared" si="81"/>
        <v>195478.76442353948</v>
      </c>
      <c r="BD108" s="330"/>
      <c r="BE108" s="331"/>
      <c r="BF108" s="331">
        <f>_xlfn.IFNA((VLOOKUP($A108,HN!$A:$K,8,FALSE)/12),0)</f>
        <v>0</v>
      </c>
      <c r="BG108" s="331">
        <f>_xlfn.IFNA((VLOOKUP($A108,HN!$A:$BS,14,FALSE)/12),0)</f>
        <v>0</v>
      </c>
      <c r="BH108" s="331">
        <f>_xlfn.IFNA(VLOOKUP($A108,'Post 16'!$A:$V,21,FALSE),0)/4</f>
        <v>0</v>
      </c>
      <c r="BI108" s="331"/>
      <c r="BJ108" s="331">
        <f>_xlfn.IFNA((VLOOKUP($A108,HN!$A:$K,9,FALSE)/12),0)+_xlfn.IFNA((VLOOKUP($A108,HN!$A:$K,10,FALSE)/12),0)</f>
        <v>0</v>
      </c>
      <c r="BK108" s="331">
        <f>_xlfn.IFNA((VLOOKUP($A108,HN!$A:$BS,15,FALSE)/12),0)</f>
        <v>0</v>
      </c>
      <c r="BL108" s="330">
        <f t="shared" si="82"/>
        <v>-791.09333333333325</v>
      </c>
      <c r="BM108" s="330">
        <f t="shared" si="83"/>
        <v>-2473.3183333333332</v>
      </c>
      <c r="BN108" s="331"/>
      <c r="BO108" s="331">
        <f>_xlfn.IFNA(VLOOKUP(A108,'Cash Advances'!A:K,11,FALSE),0)</f>
        <v>0</v>
      </c>
      <c r="BP108" s="330">
        <f t="shared" si="124"/>
        <v>192214.35275687283</v>
      </c>
      <c r="BQ108" s="322">
        <f t="shared" si="84"/>
        <v>195478.76442353948</v>
      </c>
      <c r="BR108" s="322"/>
      <c r="BS108" s="323"/>
      <c r="BT108" s="323">
        <f>_xlfn.IFNA((VLOOKUP($A108,HN!$A:$K,8,FALSE)/12),0)</f>
        <v>0</v>
      </c>
      <c r="BU108" s="323">
        <f>_xlfn.IFNA((VLOOKUP($A108,HN!$A:$BS,14,FALSE)/12),0)</f>
        <v>0</v>
      </c>
      <c r="BV108" s="323">
        <f>(_xlfn.IFNA(VLOOKUP($A108,'Post 16'!$A:$AV,32,FALSE),0)/8)+_xlfn.IFNA(VLOOKUP($A108,'Post 16'!$A:$AR,40,FALSE),0)</f>
        <v>0</v>
      </c>
      <c r="BW108" s="323"/>
      <c r="BX108" s="323">
        <f>_xlfn.IFNA((VLOOKUP($A108,HN!$A:$K,9,FALSE)/12),0)+_xlfn.IFNA((VLOOKUP($A108,HN!$A:$K,10,FALSE)/12),0)</f>
        <v>0</v>
      </c>
      <c r="BY108" s="323">
        <f>_xlfn.IFNA((VLOOKUP($A108,HN!$A:$BS,15,FALSE)/12),0)</f>
        <v>0</v>
      </c>
      <c r="BZ108" s="322">
        <f t="shared" si="85"/>
        <v>-791.09333333333325</v>
      </c>
      <c r="CA108" s="322">
        <f t="shared" si="86"/>
        <v>-2473.3183333333332</v>
      </c>
      <c r="CB108" s="323"/>
      <c r="CC108" s="323"/>
      <c r="CD108" s="322">
        <f t="shared" si="125"/>
        <v>192214.35275687283</v>
      </c>
      <c r="CE108" s="357">
        <f t="shared" si="87"/>
        <v>195478.76442353948</v>
      </c>
      <c r="CF108" s="357">
        <f>(VLOOKUP($A108,EY!$A:$BS,26,FALSE)-(VLOOKUP($A108,EY!A:CR,24,FALSE)*80%))+VLOOKUP($A108,EY!$A:$BS,42,FALSE)+(VLOOKUP($A108,EY!A:CC,74,FALSE)-VLOOKUP($A108,EY!A:CC,72,FALSE))</f>
        <v>47263.183157894746</v>
      </c>
      <c r="CG108" s="358"/>
      <c r="CH108" s="358">
        <f>_xlfn.IFNA((VLOOKUP($A108,HN!$A:$K,8,FALSE)/12),0)</f>
        <v>0</v>
      </c>
      <c r="CI108" s="358">
        <f>_xlfn.IFNA((VLOOKUP($A108,HN!$A:$BS,14,FALSE)/12),0)</f>
        <v>0</v>
      </c>
      <c r="CJ108" s="358">
        <f>(_xlfn.IFNA(VLOOKUP($A108,'Post 16'!$A:$AV,32,FALSE),0)/8)</f>
        <v>0</v>
      </c>
      <c r="CK108" s="358">
        <f>(VLOOKUP($A108,EY!A:CR,24,FALSE)*80%)+VLOOKUP($A108,EY!A:CC,72,FALSE)</f>
        <v>0</v>
      </c>
      <c r="CL108" s="358">
        <f>_xlfn.IFNA((VLOOKUP($A108,HN!$A:$K,9,FALSE)/12),0)+_xlfn.IFNA((VLOOKUP($A108,HN!$A:$K,10,FALSE)/12),0)</f>
        <v>0</v>
      </c>
      <c r="CM108" s="358">
        <f>_xlfn.IFNA((VLOOKUP($A108,HN!$A:$BS,15,FALSE)/12),0)</f>
        <v>0</v>
      </c>
      <c r="CN108" s="357">
        <f t="shared" si="88"/>
        <v>-791.09333333333325</v>
      </c>
      <c r="CO108" s="357">
        <f t="shared" si="89"/>
        <v>-2473.3183333333332</v>
      </c>
      <c r="CP108" s="358">
        <f>_xlfn.IFNA(VLOOKUP(A108,'LA Deductions'!A:W,23,FALSE),0)</f>
        <v>-9471</v>
      </c>
      <c r="CQ108" s="358">
        <f>_xlfn.IFNA(VLOOKUP($A108,'Cash Advances'!$A:$S,13,FALSE),0)</f>
        <v>0</v>
      </c>
      <c r="CR108" s="358">
        <f>_xlfn.IFNA(VLOOKUP(A108,'LA Deductions'!A:AZ,25,FALSE),0)/9*3</f>
        <v>0</v>
      </c>
      <c r="CS108" s="357">
        <f t="shared" si="108"/>
        <v>230006.53591476756</v>
      </c>
      <c r="CT108" s="337">
        <f t="shared" si="90"/>
        <v>195478.76442353948</v>
      </c>
      <c r="CU108" s="337"/>
      <c r="CV108" s="338">
        <f>_xlfn.IFNA(VLOOKUP(A108,'LA Deductions'!$A$6:$AN$207,34,FALSE),0)</f>
        <v>0</v>
      </c>
      <c r="CW108" s="338">
        <f>_xlfn.IFNA((VLOOKUP($A108,HN!$A:$K,8,FALSE)/12),0)</f>
        <v>0</v>
      </c>
      <c r="CX108" s="338">
        <f>_xlfn.IFNA((VLOOKUP($A108,HN!$A:$BS,14,FALSE)/12),0)</f>
        <v>0</v>
      </c>
      <c r="CY108" s="338">
        <f>_xlfn.IFNA(VLOOKUP($A108,'Post 16'!$A:$AV,32,FALSE),0)/8</f>
        <v>0</v>
      </c>
      <c r="CZ108" s="338"/>
      <c r="DA108" s="338">
        <f>_xlfn.IFNA((VLOOKUP($A108,HN!$A:$K,9,FALSE)/12),0)+_xlfn.IFNA((VLOOKUP($A108,HN!$A:$K,10,FALSE)/12),0)</f>
        <v>0</v>
      </c>
      <c r="DB108" s="338">
        <f>_xlfn.IFNA((VLOOKUP($A108,HN!$A:$BS,15,FALSE)/12),0)</f>
        <v>0</v>
      </c>
      <c r="DC108" s="337">
        <f t="shared" si="91"/>
        <v>-791.09333333333325</v>
      </c>
      <c r="DD108" s="337">
        <f t="shared" si="92"/>
        <v>-2473.3183333333332</v>
      </c>
      <c r="DE108" s="338"/>
      <c r="DF108" s="338">
        <f>_xlfn.IFNA(VLOOKUP($A108,'Cash Advances'!$A:$S,14,FALSE),0)</f>
        <v>0</v>
      </c>
      <c r="DG108" s="338">
        <f>(_xlfn.IFNA(VLOOKUP(A108,'LA Deductions'!A:AZ,25,FALSE),0)/9)+(_xlfn.IFNA(VLOOKUP(A108,'LA Deductions'!A:AZ,26,FALSE),0))</f>
        <v>0</v>
      </c>
      <c r="DH108" s="337">
        <f t="shared" si="109"/>
        <v>192214.35275687283</v>
      </c>
      <c r="DI108" s="330">
        <f t="shared" si="93"/>
        <v>195478.76442353948</v>
      </c>
      <c r="DJ108" s="330"/>
      <c r="DK108" s="331"/>
      <c r="DL108" s="331">
        <f>_xlfn.IFNA((VLOOKUP($A108,HN!$A:$K,8,FALSE)/12),0)+_xlfn.IFNA((VLOOKUP($A108,HN!$A:$AF,32,FALSE)*8/12),0)</f>
        <v>0</v>
      </c>
      <c r="DM108" s="331">
        <f>_xlfn.IFNA((VLOOKUP($A108,HN!$A:$BS,14,FALSE)/12),0)+_xlfn.IFNA(VLOOKUP($A108,HN!$A:$BS,31,FALSE),0)</f>
        <v>0</v>
      </c>
      <c r="DN108" s="331">
        <f>_xlfn.IFNA(VLOOKUP($A108,'Post 16'!$A:$AV,32,FALSE),0)/8</f>
        <v>0</v>
      </c>
      <c r="DO108" s="331"/>
      <c r="DP108" s="331">
        <f>_xlfn.IFNA((VLOOKUP($A108,HN!$A:$K,9,FALSE)/12),0)+_xlfn.IFNA((VLOOKUP($A108,HN!$A:$K,10,FALSE)/12),0)+_xlfn.IFNA((VLOOKUP($A108,HN!$A:$BZ,33,FALSE)*8/12),0)</f>
        <v>0</v>
      </c>
      <c r="DQ108" s="331">
        <f>_xlfn.IFNA((VLOOKUP($A108,HN!$A:$BS,15,FALSE)/12),0)</f>
        <v>0</v>
      </c>
      <c r="DR108" s="330">
        <f t="shared" si="94"/>
        <v>-791.09333333333325</v>
      </c>
      <c r="DS108" s="330">
        <f t="shared" si="95"/>
        <v>-2473.3183333333332</v>
      </c>
      <c r="DT108" s="331"/>
      <c r="DU108" s="331"/>
      <c r="DV108" s="331">
        <f>(_xlfn.IFNA(VLOOKUP(A108,'LA Deductions'!A:AZ,25,FALSE),0)/9)+_xlfn.IFNA(VLOOKUP(A108,'LA Deductions'!A:AZ,27,FALSE),0)</f>
        <v>0</v>
      </c>
      <c r="DW108" s="330">
        <f t="shared" si="110"/>
        <v>192214.35275687283</v>
      </c>
      <c r="DX108" s="344">
        <f t="shared" si="96"/>
        <v>195478.76442353948</v>
      </c>
      <c r="DY108" s="344"/>
      <c r="DZ108" s="345"/>
      <c r="EA108" s="345">
        <f>_xlfn.IFNA((VLOOKUP($A108,HN!$A:$K,8,FALSE)/12),0)+_xlfn.IFNA((VLOOKUP($A108,HN!$A:$AF,32,FALSE)*1/12),0)</f>
        <v>0</v>
      </c>
      <c r="EB108" s="345">
        <f>_xlfn.IFNA((VLOOKUP($A108,HN!$A:$BS,14,FALSE)/12),0)</f>
        <v>0</v>
      </c>
      <c r="EC108" s="345">
        <f>_xlfn.IFNA(VLOOKUP($A108,'Post 16'!$A:$AV,32,FALSE),0)/8</f>
        <v>0</v>
      </c>
      <c r="ED108" s="345"/>
      <c r="EE108" s="345">
        <f>_xlfn.IFNA((VLOOKUP($A108,HN!$A:$K,9,FALSE)/12),0)+_xlfn.IFNA((VLOOKUP($A108,HN!$A:$K,10,FALSE)/12),0)+_xlfn.IFNA((VLOOKUP($A108,HN!$A:$BZ,33,FALSE)/12),0)</f>
        <v>0</v>
      </c>
      <c r="EF108" s="345">
        <f>_xlfn.IFNA((VLOOKUP($A108,HN!$A:$BS,15,FALSE)/12),0)</f>
        <v>0</v>
      </c>
      <c r="EG108" s="344">
        <f t="shared" si="97"/>
        <v>-791.09333333333325</v>
      </c>
      <c r="EH108" s="344">
        <f t="shared" si="98"/>
        <v>-2473.3183333333332</v>
      </c>
      <c r="EI108" s="345"/>
      <c r="EJ108" s="345">
        <f>_xlfn.IFNA(VLOOKUP(A108,'Cash Advances'!A:P,16,FALSE),0)</f>
        <v>0</v>
      </c>
      <c r="EK108" s="345">
        <f>_xlfn.IFNA(VLOOKUP(A108,'LA Deductions'!A:AZ,25,FALSE),0)/9</f>
        <v>0</v>
      </c>
      <c r="EL108" s="344">
        <f t="shared" si="111"/>
        <v>192214.35275687283</v>
      </c>
      <c r="EM108" s="308">
        <f t="shared" si="99"/>
        <v>195478.76442353948</v>
      </c>
      <c r="EN108" s="308">
        <f>((VLOOKUP($A108,EY!$A:$BS,35,FALSE)-(VLOOKUP($A108,EY!$A:$BS,33,FALSE)*80%))+VLOOKUP($A108,EY!$A:$BS,43,FALSE))+(VLOOKUP(A108,EY!A:DF,110,FALSE)-VLOOKUP(A108,EY!A:DD,108,FALSE))+(VLOOKUP(A108,EY!A:CE,83,FALSE)-VLOOKUP(A108,EY!A:CC,81,FALSE))</f>
        <v>26678.978393351808</v>
      </c>
      <c r="EO108" s="309"/>
      <c r="EP108" s="309">
        <f>_xlfn.IFNA((VLOOKUP($A108,HN!$A:$K,8,FALSE)/12),0)+_xlfn.IFNA((VLOOKUP($A108,HN!$A:$AF,32,FALSE)*1/12),0)</f>
        <v>0</v>
      </c>
      <c r="EQ108" s="309">
        <f>_xlfn.IFNA((VLOOKUP($A108,HN!$A:$BS,14,FALSE)/12),0)+_xlfn.IFNA((VLOOKUP($A108,HN!$A:$BS,34,FALSE)/3),0)</f>
        <v>0</v>
      </c>
      <c r="ER108" s="309">
        <f>_xlfn.IFNA(VLOOKUP($A108,'Post 16'!$A:$AV,32,FALSE),0)/8</f>
        <v>0</v>
      </c>
      <c r="ES108" s="309">
        <f>((VLOOKUP($A108,EY!A:EV,33,FALSE)*80%))+VLOOKUP(A108,EY!A:DD,108,FALSE)+VLOOKUP(A108,EY!A:CC,81,FALSE)</f>
        <v>0</v>
      </c>
      <c r="ET108" s="309">
        <f>_xlfn.IFNA((VLOOKUP($A108,HN!$A:$K,9,FALSE)/12),0)+_xlfn.IFNA((VLOOKUP($A108,HN!$A:$K,10,FALSE)/12),0)+_xlfn.IFNA((VLOOKUP($A108,HN!$A:$BZ,33,FALSE)/12),0)</f>
        <v>0</v>
      </c>
      <c r="EU108" s="309">
        <f>_xlfn.IFNA((VLOOKUP($A108,HN!$A:$BS,15,FALSE)/12),0)</f>
        <v>0</v>
      </c>
      <c r="EV108" s="308">
        <f t="shared" si="100"/>
        <v>-791.09333333333325</v>
      </c>
      <c r="EW108" s="308">
        <f t="shared" si="101"/>
        <v>-2473.3183333333332</v>
      </c>
      <c r="EX108" s="309"/>
      <c r="EY108" s="309">
        <f>_xlfn.IFNA(VLOOKUP($A108,'Cash Advances'!$A:$S,17,FALSE),0)</f>
        <v>0</v>
      </c>
      <c r="EZ108" s="309">
        <f>_xlfn.IFNA(VLOOKUP(A108,'LA Deductions'!A:AZ,25,FALSE),0)/9</f>
        <v>0</v>
      </c>
      <c r="FA108" s="308">
        <f t="shared" si="112"/>
        <v>218893.33115022464</v>
      </c>
      <c r="FB108" s="315">
        <f t="shared" si="102"/>
        <v>195478.76442353948</v>
      </c>
      <c r="FC108" s="315"/>
      <c r="FD108" s="316"/>
      <c r="FE108" s="316">
        <f>_xlfn.IFNA((VLOOKUP($A108,HN!$A:$K,8,FALSE)/12),0)+_xlfn.IFNA((VLOOKUP($A108,HN!$A:$AF,32,FALSE)*1/12),0)</f>
        <v>0</v>
      </c>
      <c r="FF108" s="316">
        <f>_xlfn.IFNA((VLOOKUP($A108,HN!$A:$BS,14,FALSE)/12),0)+_xlfn.IFNA((VLOOKUP($A108,HN!$A:$BS,34,FALSE)/3),0)</f>
        <v>0</v>
      </c>
      <c r="FG108" s="316">
        <f>_xlfn.IFNA(VLOOKUP($A108,'Post 16'!$A:$AV,32,FALSE),0)/8</f>
        <v>0</v>
      </c>
      <c r="FH108" s="316"/>
      <c r="FI108" s="316">
        <f>_xlfn.IFNA((VLOOKUP($A108,HN!$A:$K,9,FALSE)/12),0)+_xlfn.IFNA((VLOOKUP($A108,HN!$A:$K,10,FALSE)/12),0)+_xlfn.IFNA((VLOOKUP($A108,HN!$A:$BZ,33,FALSE)/12),0)+_xlfn.IFNA((VLOOKUP($A108,HN!$A:$BZ,35,FALSE)/2),0)</f>
        <v>0</v>
      </c>
      <c r="FJ108" s="316">
        <f>_xlfn.IFNA((VLOOKUP($A108,HN!$A:$BS,15,FALSE)/12),0)+_xlfn.IFNA((VLOOKUP($A108,HN!$A:$CZ,36,FALSE)/2),0)</f>
        <v>0</v>
      </c>
      <c r="FK108" s="315">
        <f t="shared" si="103"/>
        <v>-791.09333333333325</v>
      </c>
      <c r="FL108" s="315">
        <f t="shared" si="104"/>
        <v>-2473.3183333333332</v>
      </c>
      <c r="FM108" s="316"/>
      <c r="FN108" s="316">
        <f>_xlfn.IFNA(VLOOKUP($A108,'Cash Advances'!$A:$S,18,FALSE),0)</f>
        <v>0</v>
      </c>
      <c r="FO108" s="316">
        <f>_xlfn.IFNA(VLOOKUP(A108,'LA Deductions'!A:AZ,25,FALSE),0)/9</f>
        <v>0</v>
      </c>
      <c r="FP108" s="315">
        <f t="shared" si="113"/>
        <v>192214.35275687283</v>
      </c>
      <c r="FQ108" s="322">
        <f t="shared" si="105"/>
        <v>195478.76442353948</v>
      </c>
      <c r="FR108" s="322"/>
      <c r="FS108" s="323"/>
      <c r="FT108" s="323">
        <f>_xlfn.IFNA((VLOOKUP($A108,HN!$A:$K,8,FALSE)/12),0)+_xlfn.IFNA((VLOOKUP($A108,HN!$A:$AF,32,FALSE)*1/12),0)</f>
        <v>0</v>
      </c>
      <c r="FU108" s="323">
        <f>_xlfn.IFNA((VLOOKUP($A108,HN!$A:$BS,14,FALSE)/12),0)+_xlfn.IFNA((VLOOKUP($A108,HN!$A:$BS,34,FALSE)/3),0)</f>
        <v>0</v>
      </c>
      <c r="FV108" s="323">
        <f>_xlfn.IFNA(VLOOKUP($A108,'Post 16'!$A:$AV,32,FALSE),0)/8</f>
        <v>0</v>
      </c>
      <c r="FW108" s="323"/>
      <c r="FX108" s="323">
        <f>_xlfn.IFNA((VLOOKUP($A108,HN!$A:$K,9,FALSE)/12),0)+_xlfn.IFNA((VLOOKUP($A108,HN!$A:$K,10,FALSE)/12),0)+_xlfn.IFNA((VLOOKUP($A108,HN!$A:$BZ,33,FALSE)/12),0)+_xlfn.IFNA((VLOOKUP($A108,HN!$A:$BZ,35,FALSE)/2),0)</f>
        <v>0</v>
      </c>
      <c r="FY108" s="323">
        <f>_xlfn.IFNA((VLOOKUP($A108,HN!$A:$BS,15,FALSE)/12),0)+_xlfn.IFNA((VLOOKUP($A108,HN!$A:$CZ,36,FALSE)/2),0)</f>
        <v>0</v>
      </c>
      <c r="FZ108" s="322">
        <f t="shared" si="106"/>
        <v>-791.09333333333325</v>
      </c>
      <c r="GA108" s="322">
        <f t="shared" si="107"/>
        <v>-2473.3183333333332</v>
      </c>
      <c r="GB108" s="323"/>
      <c r="GC108" s="323"/>
      <c r="GD108" s="323">
        <f>_xlfn.IFNA(VLOOKUP(A108,'LA Deductions'!A:AZ,25,FALSE),0)/9</f>
        <v>0</v>
      </c>
      <c r="GE108" s="322">
        <f t="shared" si="114"/>
        <v>192214.35275687283</v>
      </c>
      <c r="GG108" s="146">
        <f t="shared" si="126"/>
        <v>2456317.69463372</v>
      </c>
      <c r="GH108" s="146">
        <f t="shared" si="126"/>
        <v>0</v>
      </c>
      <c r="GI108" s="146">
        <f t="shared" si="126"/>
        <v>0</v>
      </c>
      <c r="GJ108" s="146">
        <f t="shared" si="126"/>
        <v>-9493.119999999999</v>
      </c>
      <c r="GK108" s="146">
        <f t="shared" si="126"/>
        <v>-29679.819999999996</v>
      </c>
      <c r="GL108" s="146">
        <f t="shared" si="126"/>
        <v>-9471</v>
      </c>
      <c r="GN108" s="146">
        <f t="shared" si="127"/>
        <v>2456317.69463372</v>
      </c>
      <c r="GO108" s="146">
        <f t="shared" si="127"/>
        <v>0</v>
      </c>
      <c r="GP108" s="146">
        <f t="shared" si="127"/>
        <v>0</v>
      </c>
      <c r="GQ108" s="146">
        <f t="shared" si="127"/>
        <v>-9493.119999999999</v>
      </c>
      <c r="GR108" s="146">
        <f t="shared" si="127"/>
        <v>-29679.819999999996</v>
      </c>
      <c r="GS108" s="146">
        <f t="shared" si="127"/>
        <v>-9471</v>
      </c>
      <c r="GU108" s="146"/>
      <c r="GV108" s="57"/>
    </row>
    <row r="109" spans="1:204">
      <c r="A109" s="185">
        <v>2008</v>
      </c>
      <c r="B109" s="185">
        <v>103157</v>
      </c>
      <c r="C109" s="185" t="s">
        <v>242</v>
      </c>
      <c r="D109" s="2" t="s">
        <v>243</v>
      </c>
      <c r="E109" s="191" t="s">
        <v>32</v>
      </c>
      <c r="F109" s="191" t="s">
        <v>912</v>
      </c>
      <c r="H109" s="279">
        <f>_xlfn.IFNA(VLOOKUP($A109,ISB!$A$4:$BY$454,67,FALSE),0)</f>
        <v>2535059.5683084903</v>
      </c>
      <c r="I109" s="279">
        <f>_xlfn.IFNA(VLOOKUP($A109,ISB!$A$4:$BY$454,72,FALSE),0)</f>
        <v>-11110.08</v>
      </c>
      <c r="J109" s="279">
        <f>-_xlfn.IFNA(VLOOKUP($A109,ISB!$A$4:$BY$454,76,FALSE),0)</f>
        <v>-28884.83</v>
      </c>
      <c r="K109" s="279">
        <f>_xlfn.IFNA(VLOOKUP($A109,ISB!$A$4:$BY$454,77,FALSE),0)</f>
        <v>2495064.6583084902</v>
      </c>
      <c r="M109" s="301">
        <f t="shared" si="72"/>
        <v>211254.96402570754</v>
      </c>
      <c r="N109" s="301">
        <f>VLOOKUP($A109,EY!$A:$H,8,FALSE)+(VLOOKUP($A109,EY!$A:$BS,17,FALSE)-S109)+VLOOKUP($A109,EY!$A:$BS,41,FALSE)</f>
        <v>52618.006315789477</v>
      </c>
      <c r="O109" s="302"/>
      <c r="P109" s="302">
        <f>_xlfn.IFNA((VLOOKUP($A109,HN!$A:$K,8,FALSE)/12),0)</f>
        <v>0</v>
      </c>
      <c r="Q109" s="302">
        <f>_xlfn.IFNA((VLOOKUP($A109,HN!$A:$BS,14,FALSE)/12),0)</f>
        <v>0</v>
      </c>
      <c r="R109" s="302">
        <f>_xlfn.IFNA(VLOOKUP($A109,'Post 16'!$A:$V,21,FALSE),0)/4</f>
        <v>0</v>
      </c>
      <c r="S109" s="302">
        <f>VLOOKUP($A109,EY!A:Q,15,FALSE)*80%</f>
        <v>0</v>
      </c>
      <c r="T109" s="302">
        <f>_xlfn.IFNA((VLOOKUP($A109,HN!$A:$K,9,FALSE)/12),0)+_xlfn.IFNA((VLOOKUP($A109,HN!$A:$K,10,FALSE)/12),0)</f>
        <v>0</v>
      </c>
      <c r="U109" s="302">
        <f>_xlfn.IFNA((VLOOKUP($A109,HN!$A:$BS,15,FALSE)/12),0)</f>
        <v>0</v>
      </c>
      <c r="V109" s="301">
        <f t="shared" si="73"/>
        <v>-925.84</v>
      </c>
      <c r="W109" s="301">
        <f t="shared" si="74"/>
        <v>-2407.0691666666667</v>
      </c>
      <c r="X109" s="302"/>
      <c r="Y109" s="302">
        <f>_xlfn.IFNA(VLOOKUP($A109,'Cash Advances'!$A:$S,8,FALSE),0)</f>
        <v>0</v>
      </c>
      <c r="Z109" s="301">
        <f t="shared" si="121"/>
        <v>260540.06117483031</v>
      </c>
      <c r="AA109" s="315">
        <f t="shared" si="75"/>
        <v>211254.96402570754</v>
      </c>
      <c r="AB109" s="315"/>
      <c r="AC109" s="316"/>
      <c r="AD109" s="316">
        <f>_xlfn.IFNA((VLOOKUP($A109,HN!$A:$K,8,FALSE)/12),0)</f>
        <v>0</v>
      </c>
      <c r="AE109" s="316">
        <f>_xlfn.IFNA((VLOOKUP($A109,HN!$A:$BS,14,FALSE)/12),0)</f>
        <v>0</v>
      </c>
      <c r="AF109" s="316">
        <f>_xlfn.IFNA(VLOOKUP($A109,'Post 16'!$A:$V,21,FALSE),0)/4</f>
        <v>0</v>
      </c>
      <c r="AG109" s="316"/>
      <c r="AH109" s="316">
        <f>_xlfn.IFNA((VLOOKUP($A109,HN!$A:$K,9,FALSE)/12),0)+_xlfn.IFNA((VLOOKUP($A109,HN!$A:$K,10,FALSE)/12),0)</f>
        <v>0</v>
      </c>
      <c r="AI109" s="316">
        <f>_xlfn.IFNA((VLOOKUP($A109,HN!$A:$BS,15,FALSE)/12),0)</f>
        <v>0</v>
      </c>
      <c r="AJ109" s="315">
        <f t="shared" si="76"/>
        <v>-925.84</v>
      </c>
      <c r="AK109" s="315">
        <f t="shared" si="77"/>
        <v>-2407.0691666666667</v>
      </c>
      <c r="AL109" s="316"/>
      <c r="AM109" s="316">
        <f>_xlfn.IFNA(VLOOKUP($A109,'Cash Advances'!$A:$S,9,FALSE),0)</f>
        <v>0</v>
      </c>
      <c r="AN109" s="315">
        <f t="shared" si="122"/>
        <v>207922.05485904089</v>
      </c>
      <c r="AO109" s="308">
        <f t="shared" si="78"/>
        <v>211254.96402570754</v>
      </c>
      <c r="AP109" s="308"/>
      <c r="AQ109" s="309"/>
      <c r="AR109" s="309">
        <f>_xlfn.IFNA((VLOOKUP($A109,HN!$A:$K,8,FALSE)/12),0)</f>
        <v>0</v>
      </c>
      <c r="AS109" s="309">
        <f>_xlfn.IFNA((VLOOKUP($A109,HN!$A:$BS,14,FALSE)/12),0)</f>
        <v>0</v>
      </c>
      <c r="AT109" s="309">
        <f>_xlfn.IFNA(VLOOKUP($A109,'Post 16'!$A:$V,21,FALSE),0)/4</f>
        <v>0</v>
      </c>
      <c r="AU109" s="309"/>
      <c r="AV109" s="309">
        <f>_xlfn.IFNA((VLOOKUP($A109,HN!$A:$K,9,FALSE)/12),0)+_xlfn.IFNA((VLOOKUP($A109,HN!$A:$K,10,FALSE)/12),0)+_xlfn.IFNA(VLOOKUP(A109,HN!A:V,19,FALSE),0)+_xlfn.IFNA(VLOOKUP(A109,HN!A:V,20,FALSE),0)+_xlfn.IFNA(VLOOKUP(A109,HN!A:V,21,FALSE),0)</f>
        <v>0</v>
      </c>
      <c r="AW109" s="309">
        <f>_xlfn.IFNA((VLOOKUP($A109,HN!$A:$BS,15,FALSE)/12),0)</f>
        <v>0</v>
      </c>
      <c r="AX109" s="308">
        <f t="shared" si="79"/>
        <v>-925.84</v>
      </c>
      <c r="AY109" s="308">
        <f t="shared" si="80"/>
        <v>-2407.0691666666667</v>
      </c>
      <c r="AZ109" s="309"/>
      <c r="BA109" s="309">
        <f>_xlfn.IFNA(VLOOKUP($A109,'Cash Advances'!$A:$S,10,FALSE),0)</f>
        <v>0</v>
      </c>
      <c r="BB109" s="308">
        <f t="shared" si="123"/>
        <v>207922.05485904089</v>
      </c>
      <c r="BC109" s="330">
        <f t="shared" si="81"/>
        <v>211254.96402570754</v>
      </c>
      <c r="BD109" s="330"/>
      <c r="BE109" s="331"/>
      <c r="BF109" s="331">
        <f>_xlfn.IFNA((VLOOKUP($A109,HN!$A:$K,8,FALSE)/12),0)</f>
        <v>0</v>
      </c>
      <c r="BG109" s="331">
        <f>_xlfn.IFNA((VLOOKUP($A109,HN!$A:$BS,14,FALSE)/12),0)</f>
        <v>0</v>
      </c>
      <c r="BH109" s="331">
        <f>_xlfn.IFNA(VLOOKUP($A109,'Post 16'!$A:$V,21,FALSE),0)/4</f>
        <v>0</v>
      </c>
      <c r="BI109" s="331"/>
      <c r="BJ109" s="331">
        <f>_xlfn.IFNA((VLOOKUP($A109,HN!$A:$K,9,FALSE)/12),0)+_xlfn.IFNA((VLOOKUP($A109,HN!$A:$K,10,FALSE)/12),0)</f>
        <v>0</v>
      </c>
      <c r="BK109" s="331">
        <f>_xlfn.IFNA((VLOOKUP($A109,HN!$A:$BS,15,FALSE)/12),0)</f>
        <v>0</v>
      </c>
      <c r="BL109" s="330">
        <f t="shared" si="82"/>
        <v>-925.84</v>
      </c>
      <c r="BM109" s="330">
        <f t="shared" si="83"/>
        <v>-2407.0691666666667</v>
      </c>
      <c r="BN109" s="331"/>
      <c r="BO109" s="331">
        <f>_xlfn.IFNA(VLOOKUP(A109,'Cash Advances'!A:K,11,FALSE),0)</f>
        <v>0</v>
      </c>
      <c r="BP109" s="330">
        <f t="shared" si="124"/>
        <v>207922.05485904089</v>
      </c>
      <c r="BQ109" s="322">
        <f t="shared" si="84"/>
        <v>211254.96402570754</v>
      </c>
      <c r="BR109" s="322"/>
      <c r="BS109" s="323"/>
      <c r="BT109" s="323">
        <f>_xlfn.IFNA((VLOOKUP($A109,HN!$A:$K,8,FALSE)/12),0)</f>
        <v>0</v>
      </c>
      <c r="BU109" s="323">
        <f>_xlfn.IFNA((VLOOKUP($A109,HN!$A:$BS,14,FALSE)/12),0)</f>
        <v>0</v>
      </c>
      <c r="BV109" s="323">
        <f>(_xlfn.IFNA(VLOOKUP($A109,'Post 16'!$A:$AV,32,FALSE),0)/8)+_xlfn.IFNA(VLOOKUP($A109,'Post 16'!$A:$AR,40,FALSE),0)</f>
        <v>0</v>
      </c>
      <c r="BW109" s="323"/>
      <c r="BX109" s="323">
        <f>_xlfn.IFNA((VLOOKUP($A109,HN!$A:$K,9,FALSE)/12),0)+_xlfn.IFNA((VLOOKUP($A109,HN!$A:$K,10,FALSE)/12),0)</f>
        <v>0</v>
      </c>
      <c r="BY109" s="323">
        <f>_xlfn.IFNA((VLOOKUP($A109,HN!$A:$BS,15,FALSE)/12),0)</f>
        <v>0</v>
      </c>
      <c r="BZ109" s="322">
        <f t="shared" si="85"/>
        <v>-925.84</v>
      </c>
      <c r="CA109" s="322">
        <f t="shared" si="86"/>
        <v>-2407.0691666666667</v>
      </c>
      <c r="CB109" s="323"/>
      <c r="CC109" s="323"/>
      <c r="CD109" s="322">
        <f t="shared" si="125"/>
        <v>207922.05485904089</v>
      </c>
      <c r="CE109" s="357">
        <f t="shared" si="87"/>
        <v>211254.96402570754</v>
      </c>
      <c r="CF109" s="357">
        <f>(VLOOKUP($A109,EY!$A:$BS,26,FALSE)-(VLOOKUP($A109,EY!A:CR,24,FALSE)*80%))+VLOOKUP($A109,EY!$A:$BS,42,FALSE)+(VLOOKUP($A109,EY!A:CC,74,FALSE)-VLOOKUP($A109,EY!A:CC,72,FALSE))</f>
        <v>54350.379473684203</v>
      </c>
      <c r="CG109" s="358"/>
      <c r="CH109" s="358">
        <f>_xlfn.IFNA((VLOOKUP($A109,HN!$A:$K,8,FALSE)/12),0)</f>
        <v>0</v>
      </c>
      <c r="CI109" s="358">
        <f>_xlfn.IFNA((VLOOKUP($A109,HN!$A:$BS,14,FALSE)/12),0)</f>
        <v>0</v>
      </c>
      <c r="CJ109" s="358">
        <f>(_xlfn.IFNA(VLOOKUP($A109,'Post 16'!$A:$AV,32,FALSE),0)/8)</f>
        <v>0</v>
      </c>
      <c r="CK109" s="358">
        <f>(VLOOKUP($A109,EY!A:CR,24,FALSE)*80%)+VLOOKUP($A109,EY!A:CC,72,FALSE)</f>
        <v>0</v>
      </c>
      <c r="CL109" s="358">
        <f>_xlfn.IFNA((VLOOKUP($A109,HN!$A:$K,9,FALSE)/12),0)+_xlfn.IFNA((VLOOKUP($A109,HN!$A:$K,10,FALSE)/12),0)</f>
        <v>0</v>
      </c>
      <c r="CM109" s="358">
        <f>_xlfn.IFNA((VLOOKUP($A109,HN!$A:$BS,15,FALSE)/12),0)</f>
        <v>0</v>
      </c>
      <c r="CN109" s="357">
        <f t="shared" si="88"/>
        <v>-925.84</v>
      </c>
      <c r="CO109" s="357">
        <f t="shared" si="89"/>
        <v>-2407.0691666666667</v>
      </c>
      <c r="CP109" s="358">
        <f>_xlfn.IFNA(VLOOKUP(A109,'LA Deductions'!A:W,23,FALSE),0)</f>
        <v>-9471</v>
      </c>
      <c r="CQ109" s="358">
        <f>_xlfn.IFNA(VLOOKUP($A109,'Cash Advances'!$A:$S,13,FALSE),0)</f>
        <v>0</v>
      </c>
      <c r="CR109" s="358">
        <f>_xlfn.IFNA(VLOOKUP(A109,'LA Deductions'!A:AZ,25,FALSE),0)/9*3</f>
        <v>0</v>
      </c>
      <c r="CS109" s="357">
        <f t="shared" si="108"/>
        <v>252801.43433272507</v>
      </c>
      <c r="CT109" s="337">
        <f t="shared" si="90"/>
        <v>211254.96402570754</v>
      </c>
      <c r="CU109" s="337"/>
      <c r="CV109" s="338">
        <f>_xlfn.IFNA(VLOOKUP(A109,'LA Deductions'!$A$6:$AN$207,34,FALSE),0)</f>
        <v>0</v>
      </c>
      <c r="CW109" s="338">
        <f>_xlfn.IFNA((VLOOKUP($A109,HN!$A:$K,8,FALSE)/12),0)</f>
        <v>0</v>
      </c>
      <c r="CX109" s="338">
        <f>_xlfn.IFNA((VLOOKUP($A109,HN!$A:$BS,14,FALSE)/12),0)</f>
        <v>0</v>
      </c>
      <c r="CY109" s="338">
        <f>_xlfn.IFNA(VLOOKUP($A109,'Post 16'!$A:$AV,32,FALSE),0)/8</f>
        <v>0</v>
      </c>
      <c r="CZ109" s="338"/>
      <c r="DA109" s="338">
        <f>_xlfn.IFNA((VLOOKUP($A109,HN!$A:$K,9,FALSE)/12),0)+_xlfn.IFNA((VLOOKUP($A109,HN!$A:$K,10,FALSE)/12),0)</f>
        <v>0</v>
      </c>
      <c r="DB109" s="338">
        <f>_xlfn.IFNA((VLOOKUP($A109,HN!$A:$BS,15,FALSE)/12),0)</f>
        <v>0</v>
      </c>
      <c r="DC109" s="337">
        <f t="shared" si="91"/>
        <v>-925.84</v>
      </c>
      <c r="DD109" s="337">
        <f t="shared" si="92"/>
        <v>-2407.0691666666667</v>
      </c>
      <c r="DE109" s="338"/>
      <c r="DF109" s="338">
        <f>_xlfn.IFNA(VLOOKUP($A109,'Cash Advances'!$A:$S,14,FALSE),0)</f>
        <v>0</v>
      </c>
      <c r="DG109" s="338">
        <f>(_xlfn.IFNA(VLOOKUP(A109,'LA Deductions'!A:AZ,25,FALSE),0)/9)+(_xlfn.IFNA(VLOOKUP(A109,'LA Deductions'!A:AZ,26,FALSE),0))</f>
        <v>0</v>
      </c>
      <c r="DH109" s="337">
        <f t="shared" si="109"/>
        <v>207922.05485904089</v>
      </c>
      <c r="DI109" s="330">
        <f t="shared" si="93"/>
        <v>211254.96402570754</v>
      </c>
      <c r="DJ109" s="330"/>
      <c r="DK109" s="331"/>
      <c r="DL109" s="331">
        <f>_xlfn.IFNA((VLOOKUP($A109,HN!$A:$K,8,FALSE)/12),0)+_xlfn.IFNA((VLOOKUP($A109,HN!$A:$AF,32,FALSE)*8/12),0)</f>
        <v>0</v>
      </c>
      <c r="DM109" s="331">
        <f>_xlfn.IFNA((VLOOKUP($A109,HN!$A:$BS,14,FALSE)/12),0)+_xlfn.IFNA(VLOOKUP($A109,HN!$A:$BS,31,FALSE),0)</f>
        <v>0</v>
      </c>
      <c r="DN109" s="331">
        <f>_xlfn.IFNA(VLOOKUP($A109,'Post 16'!$A:$AV,32,FALSE),0)/8</f>
        <v>0</v>
      </c>
      <c r="DO109" s="331"/>
      <c r="DP109" s="331">
        <f>_xlfn.IFNA((VLOOKUP($A109,HN!$A:$K,9,FALSE)/12),0)+_xlfn.IFNA((VLOOKUP($A109,HN!$A:$K,10,FALSE)/12),0)+_xlfn.IFNA((VLOOKUP($A109,HN!$A:$BZ,33,FALSE)*8/12),0)</f>
        <v>0</v>
      </c>
      <c r="DQ109" s="331">
        <f>_xlfn.IFNA((VLOOKUP($A109,HN!$A:$BS,15,FALSE)/12),0)</f>
        <v>0</v>
      </c>
      <c r="DR109" s="330">
        <f t="shared" si="94"/>
        <v>-925.84</v>
      </c>
      <c r="DS109" s="330">
        <f t="shared" si="95"/>
        <v>-2407.0691666666667</v>
      </c>
      <c r="DT109" s="331"/>
      <c r="DU109" s="331"/>
      <c r="DV109" s="331">
        <f>(_xlfn.IFNA(VLOOKUP(A109,'LA Deductions'!A:AZ,25,FALSE),0)/9)+_xlfn.IFNA(VLOOKUP(A109,'LA Deductions'!A:AZ,27,FALSE),0)</f>
        <v>0</v>
      </c>
      <c r="DW109" s="330">
        <f t="shared" si="110"/>
        <v>207922.05485904089</v>
      </c>
      <c r="DX109" s="344">
        <f t="shared" si="96"/>
        <v>211254.96402570754</v>
      </c>
      <c r="DY109" s="344"/>
      <c r="DZ109" s="345"/>
      <c r="EA109" s="345">
        <f>_xlfn.IFNA((VLOOKUP($A109,HN!$A:$K,8,FALSE)/12),0)+_xlfn.IFNA((VLOOKUP($A109,HN!$A:$AF,32,FALSE)*1/12),0)</f>
        <v>0</v>
      </c>
      <c r="EB109" s="345">
        <f>_xlfn.IFNA((VLOOKUP($A109,HN!$A:$BS,14,FALSE)/12),0)</f>
        <v>0</v>
      </c>
      <c r="EC109" s="345">
        <f>_xlfn.IFNA(VLOOKUP($A109,'Post 16'!$A:$AV,32,FALSE),0)/8</f>
        <v>0</v>
      </c>
      <c r="ED109" s="345"/>
      <c r="EE109" s="345">
        <f>_xlfn.IFNA((VLOOKUP($A109,HN!$A:$K,9,FALSE)/12),0)+_xlfn.IFNA((VLOOKUP($A109,HN!$A:$K,10,FALSE)/12),0)+_xlfn.IFNA((VLOOKUP($A109,HN!$A:$BZ,33,FALSE)/12),0)</f>
        <v>0</v>
      </c>
      <c r="EF109" s="345">
        <f>_xlfn.IFNA((VLOOKUP($A109,HN!$A:$BS,15,FALSE)/12),0)</f>
        <v>0</v>
      </c>
      <c r="EG109" s="344">
        <f t="shared" si="97"/>
        <v>-925.84</v>
      </c>
      <c r="EH109" s="344">
        <f t="shared" si="98"/>
        <v>-2407.0691666666667</v>
      </c>
      <c r="EI109" s="345"/>
      <c r="EJ109" s="345">
        <f>_xlfn.IFNA(VLOOKUP(A109,'Cash Advances'!A:P,16,FALSE),0)</f>
        <v>0</v>
      </c>
      <c r="EK109" s="345">
        <f>_xlfn.IFNA(VLOOKUP(A109,'LA Deductions'!A:AZ,25,FALSE),0)/9</f>
        <v>0</v>
      </c>
      <c r="EL109" s="344">
        <f t="shared" si="111"/>
        <v>207922.05485904089</v>
      </c>
      <c r="EM109" s="308">
        <f t="shared" si="99"/>
        <v>211254.96402570754</v>
      </c>
      <c r="EN109" s="308">
        <f>((VLOOKUP($A109,EY!$A:$BS,35,FALSE)-(VLOOKUP($A109,EY!$A:$BS,33,FALSE)*80%))+VLOOKUP($A109,EY!$A:$BS,43,FALSE))+(VLOOKUP(A109,EY!A:DF,110,FALSE)-VLOOKUP(A109,EY!A:DD,108,FALSE))+(VLOOKUP(A109,EY!A:CE,83,FALSE)-VLOOKUP(A109,EY!A:CC,81,FALSE))</f>
        <v>44377.709916897511</v>
      </c>
      <c r="EO109" s="309"/>
      <c r="EP109" s="309">
        <f>_xlfn.IFNA((VLOOKUP($A109,HN!$A:$K,8,FALSE)/12),0)+_xlfn.IFNA((VLOOKUP($A109,HN!$A:$AF,32,FALSE)*1/12),0)</f>
        <v>0</v>
      </c>
      <c r="EQ109" s="309">
        <f>_xlfn.IFNA((VLOOKUP($A109,HN!$A:$BS,14,FALSE)/12),0)+_xlfn.IFNA((VLOOKUP($A109,HN!$A:$BS,34,FALSE)/3),0)</f>
        <v>0</v>
      </c>
      <c r="ER109" s="309">
        <f>_xlfn.IFNA(VLOOKUP($A109,'Post 16'!$A:$AV,32,FALSE),0)/8</f>
        <v>0</v>
      </c>
      <c r="ES109" s="309">
        <f>((VLOOKUP($A109,EY!A:EV,33,FALSE)*80%))+VLOOKUP(A109,EY!A:DD,108,FALSE)+VLOOKUP(A109,EY!A:CC,81,FALSE)</f>
        <v>0</v>
      </c>
      <c r="ET109" s="309">
        <f>_xlfn.IFNA((VLOOKUP($A109,HN!$A:$K,9,FALSE)/12),0)+_xlfn.IFNA((VLOOKUP($A109,HN!$A:$K,10,FALSE)/12),0)+_xlfn.IFNA((VLOOKUP($A109,HN!$A:$BZ,33,FALSE)/12),0)</f>
        <v>0</v>
      </c>
      <c r="EU109" s="309">
        <f>_xlfn.IFNA((VLOOKUP($A109,HN!$A:$BS,15,FALSE)/12),0)</f>
        <v>0</v>
      </c>
      <c r="EV109" s="308">
        <f t="shared" si="100"/>
        <v>-925.84</v>
      </c>
      <c r="EW109" s="308">
        <f t="shared" si="101"/>
        <v>-2407.0691666666667</v>
      </c>
      <c r="EX109" s="309"/>
      <c r="EY109" s="309">
        <f>_xlfn.IFNA(VLOOKUP($A109,'Cash Advances'!$A:$S,17,FALSE),0)</f>
        <v>0</v>
      </c>
      <c r="EZ109" s="309">
        <f>_xlfn.IFNA(VLOOKUP(A109,'LA Deductions'!A:AZ,25,FALSE),0)/9</f>
        <v>0</v>
      </c>
      <c r="FA109" s="308">
        <f t="shared" si="112"/>
        <v>252299.76477593838</v>
      </c>
      <c r="FB109" s="315">
        <f t="shared" si="102"/>
        <v>211254.96402570754</v>
      </c>
      <c r="FC109" s="315"/>
      <c r="FD109" s="316"/>
      <c r="FE109" s="316">
        <f>_xlfn.IFNA((VLOOKUP($A109,HN!$A:$K,8,FALSE)/12),0)+_xlfn.IFNA((VLOOKUP($A109,HN!$A:$AF,32,FALSE)*1/12),0)</f>
        <v>0</v>
      </c>
      <c r="FF109" s="316">
        <f>_xlfn.IFNA((VLOOKUP($A109,HN!$A:$BS,14,FALSE)/12),0)+_xlfn.IFNA((VLOOKUP($A109,HN!$A:$BS,34,FALSE)/3),0)</f>
        <v>0</v>
      </c>
      <c r="FG109" s="316">
        <f>_xlfn.IFNA(VLOOKUP($A109,'Post 16'!$A:$AV,32,FALSE),0)/8</f>
        <v>0</v>
      </c>
      <c r="FH109" s="316"/>
      <c r="FI109" s="316">
        <f>_xlfn.IFNA((VLOOKUP($A109,HN!$A:$K,9,FALSE)/12),0)+_xlfn.IFNA((VLOOKUP($A109,HN!$A:$K,10,FALSE)/12),0)+_xlfn.IFNA((VLOOKUP($A109,HN!$A:$BZ,33,FALSE)/12),0)+_xlfn.IFNA((VLOOKUP($A109,HN!$A:$BZ,35,FALSE)/2),0)</f>
        <v>0</v>
      </c>
      <c r="FJ109" s="316">
        <f>_xlfn.IFNA((VLOOKUP($A109,HN!$A:$BS,15,FALSE)/12),0)+_xlfn.IFNA((VLOOKUP($A109,HN!$A:$CZ,36,FALSE)/2),0)</f>
        <v>0</v>
      </c>
      <c r="FK109" s="315">
        <f t="shared" si="103"/>
        <v>-925.84</v>
      </c>
      <c r="FL109" s="315">
        <f t="shared" si="104"/>
        <v>-2407.0691666666667</v>
      </c>
      <c r="FM109" s="316"/>
      <c r="FN109" s="316">
        <f>_xlfn.IFNA(VLOOKUP($A109,'Cash Advances'!$A:$S,18,FALSE),0)</f>
        <v>0</v>
      </c>
      <c r="FO109" s="316">
        <f>_xlfn.IFNA(VLOOKUP(A109,'LA Deductions'!A:AZ,25,FALSE),0)/9</f>
        <v>0</v>
      </c>
      <c r="FP109" s="315">
        <f t="shared" si="113"/>
        <v>207922.05485904089</v>
      </c>
      <c r="FQ109" s="322">
        <f t="shared" si="105"/>
        <v>211254.96402570754</v>
      </c>
      <c r="FR109" s="322"/>
      <c r="FS109" s="323"/>
      <c r="FT109" s="323">
        <f>_xlfn.IFNA((VLOOKUP($A109,HN!$A:$K,8,FALSE)/12),0)+_xlfn.IFNA((VLOOKUP($A109,HN!$A:$AF,32,FALSE)*1/12),0)</f>
        <v>0</v>
      </c>
      <c r="FU109" s="323">
        <f>_xlfn.IFNA((VLOOKUP($A109,HN!$A:$BS,14,FALSE)/12),0)+_xlfn.IFNA((VLOOKUP($A109,HN!$A:$BS,34,FALSE)/3),0)</f>
        <v>0</v>
      </c>
      <c r="FV109" s="323">
        <f>_xlfn.IFNA(VLOOKUP($A109,'Post 16'!$A:$AV,32,FALSE),0)/8</f>
        <v>0</v>
      </c>
      <c r="FW109" s="323"/>
      <c r="FX109" s="323">
        <f>_xlfn.IFNA((VLOOKUP($A109,HN!$A:$K,9,FALSE)/12),0)+_xlfn.IFNA((VLOOKUP($A109,HN!$A:$K,10,FALSE)/12),0)+_xlfn.IFNA((VLOOKUP($A109,HN!$A:$BZ,33,FALSE)/12),0)+_xlfn.IFNA((VLOOKUP($A109,HN!$A:$BZ,35,FALSE)/2),0)</f>
        <v>0</v>
      </c>
      <c r="FY109" s="323">
        <f>_xlfn.IFNA((VLOOKUP($A109,HN!$A:$BS,15,FALSE)/12),0)+_xlfn.IFNA((VLOOKUP($A109,HN!$A:$CZ,36,FALSE)/2),0)</f>
        <v>0</v>
      </c>
      <c r="FZ109" s="322">
        <f t="shared" si="106"/>
        <v>-925.84</v>
      </c>
      <c r="GA109" s="322">
        <f t="shared" si="107"/>
        <v>-2407.0691666666667</v>
      </c>
      <c r="GB109" s="323"/>
      <c r="GC109" s="323"/>
      <c r="GD109" s="323">
        <f>_xlfn.IFNA(VLOOKUP(A109,'LA Deductions'!A:AZ,25,FALSE),0)/9</f>
        <v>0</v>
      </c>
      <c r="GE109" s="322">
        <f t="shared" si="114"/>
        <v>207922.05485904089</v>
      </c>
      <c r="GG109" s="146">
        <f t="shared" si="126"/>
        <v>2686405.664014861</v>
      </c>
      <c r="GH109" s="146">
        <f t="shared" si="126"/>
        <v>0</v>
      </c>
      <c r="GI109" s="146">
        <f t="shared" si="126"/>
        <v>0</v>
      </c>
      <c r="GJ109" s="146">
        <f t="shared" si="126"/>
        <v>-11110.08</v>
      </c>
      <c r="GK109" s="146">
        <f t="shared" si="126"/>
        <v>-28884.830000000005</v>
      </c>
      <c r="GL109" s="146">
        <f t="shared" si="126"/>
        <v>-9471</v>
      </c>
      <c r="GN109" s="146">
        <f t="shared" si="127"/>
        <v>2686405.664014861</v>
      </c>
      <c r="GO109" s="146">
        <f t="shared" si="127"/>
        <v>0</v>
      </c>
      <c r="GP109" s="146">
        <f t="shared" si="127"/>
        <v>0</v>
      </c>
      <c r="GQ109" s="146">
        <f t="shared" si="127"/>
        <v>-11110.08</v>
      </c>
      <c r="GR109" s="146">
        <f t="shared" si="127"/>
        <v>-28884.830000000005</v>
      </c>
      <c r="GS109" s="146">
        <f t="shared" si="127"/>
        <v>-9471</v>
      </c>
      <c r="GU109" s="146"/>
      <c r="GV109" s="57"/>
    </row>
    <row r="110" spans="1:204">
      <c r="A110" s="185">
        <v>1038</v>
      </c>
      <c r="B110" s="185">
        <v>103142</v>
      </c>
      <c r="C110" s="185" t="s">
        <v>244</v>
      </c>
      <c r="D110" s="2" t="s">
        <v>245</v>
      </c>
      <c r="E110" s="191" t="s">
        <v>29</v>
      </c>
      <c r="F110" s="191" t="s">
        <v>912</v>
      </c>
      <c r="H110" s="279">
        <f>_xlfn.IFNA(VLOOKUP($A110,ISB!$A$4:$BY$454,67,FALSE),0)</f>
        <v>0</v>
      </c>
      <c r="I110" s="279">
        <f>_xlfn.IFNA(VLOOKUP($A110,ISB!$A$4:$BY$454,72,FALSE),0)</f>
        <v>0</v>
      </c>
      <c r="J110" s="279">
        <f>-_xlfn.IFNA(VLOOKUP($A110,ISB!$A$4:$BY$454,76,FALSE),0)</f>
        <v>0</v>
      </c>
      <c r="K110" s="279">
        <f>_xlfn.IFNA(VLOOKUP($A110,ISB!$A$4:$BY$454,77,FALSE),0)</f>
        <v>0</v>
      </c>
      <c r="M110" s="301">
        <f t="shared" si="72"/>
        <v>0</v>
      </c>
      <c r="N110" s="301">
        <f>VLOOKUP($A110,EY!$A:$H,8,FALSE)+(VLOOKUP($A110,EY!$A:$BS,17,FALSE)-S110)+VLOOKUP($A110,EY!$A:$BS,41,FALSE)</f>
        <v>535461.02767380688</v>
      </c>
      <c r="O110" s="302"/>
      <c r="P110" s="302">
        <f>_xlfn.IFNA((VLOOKUP($A110,HN!$A:$K,8,FALSE)/12),0)</f>
        <v>0</v>
      </c>
      <c r="Q110" s="302">
        <f>_xlfn.IFNA((VLOOKUP($A110,HN!$A:$BS,14,FALSE)/12),0)</f>
        <v>0</v>
      </c>
      <c r="R110" s="302">
        <f>_xlfn.IFNA(VLOOKUP($A110,'Post 16'!$A:$V,21,FALSE),0)/4</f>
        <v>0</v>
      </c>
      <c r="S110" s="302">
        <f>VLOOKUP($A110,EY!A:Q,15,FALSE)*80%</f>
        <v>0</v>
      </c>
      <c r="T110" s="302">
        <f>_xlfn.IFNA((VLOOKUP($A110,HN!$A:$K,9,FALSE)/12),0)+_xlfn.IFNA((VLOOKUP($A110,HN!$A:$K,10,FALSE)/12),0)</f>
        <v>0</v>
      </c>
      <c r="U110" s="302">
        <f>_xlfn.IFNA((VLOOKUP($A110,HN!$A:$BS,15,FALSE)/12),0)</f>
        <v>0</v>
      </c>
      <c r="V110" s="301">
        <f t="shared" si="73"/>
        <v>0</v>
      </c>
      <c r="W110" s="301">
        <f t="shared" si="74"/>
        <v>0</v>
      </c>
      <c r="X110" s="302"/>
      <c r="Y110" s="302">
        <f>_xlfn.IFNA(VLOOKUP($A110,'Cash Advances'!$A:$S,8,FALSE),0)</f>
        <v>0</v>
      </c>
      <c r="Z110" s="301">
        <f t="shared" si="121"/>
        <v>535461.02767380688</v>
      </c>
      <c r="AA110" s="315">
        <f t="shared" si="75"/>
        <v>0</v>
      </c>
      <c r="AB110" s="315"/>
      <c r="AC110" s="316"/>
      <c r="AD110" s="316">
        <f>_xlfn.IFNA((VLOOKUP($A110,HN!$A:$K,8,FALSE)/12),0)</f>
        <v>0</v>
      </c>
      <c r="AE110" s="316">
        <f>_xlfn.IFNA((VLOOKUP($A110,HN!$A:$BS,14,FALSE)/12),0)</f>
        <v>0</v>
      </c>
      <c r="AF110" s="316">
        <f>_xlfn.IFNA(VLOOKUP($A110,'Post 16'!$A:$V,21,FALSE),0)/4</f>
        <v>0</v>
      </c>
      <c r="AG110" s="316"/>
      <c r="AH110" s="316">
        <f>_xlfn.IFNA((VLOOKUP($A110,HN!$A:$K,9,FALSE)/12),0)+_xlfn.IFNA((VLOOKUP($A110,HN!$A:$K,10,FALSE)/12),0)</f>
        <v>0</v>
      </c>
      <c r="AI110" s="316">
        <f>_xlfn.IFNA((VLOOKUP($A110,HN!$A:$BS,15,FALSE)/12),0)</f>
        <v>0</v>
      </c>
      <c r="AJ110" s="315">
        <f t="shared" si="76"/>
        <v>0</v>
      </c>
      <c r="AK110" s="315">
        <f t="shared" si="77"/>
        <v>0</v>
      </c>
      <c r="AL110" s="316"/>
      <c r="AM110" s="316">
        <f>_xlfn.IFNA(VLOOKUP($A110,'Cash Advances'!$A:$S,9,FALSE),0)</f>
        <v>0</v>
      </c>
      <c r="AN110" s="315">
        <f t="shared" si="122"/>
        <v>0</v>
      </c>
      <c r="AO110" s="308">
        <f t="shared" si="78"/>
        <v>0</v>
      </c>
      <c r="AP110" s="308"/>
      <c r="AQ110" s="309"/>
      <c r="AR110" s="309">
        <f>_xlfn.IFNA((VLOOKUP($A110,HN!$A:$K,8,FALSE)/12),0)</f>
        <v>0</v>
      </c>
      <c r="AS110" s="309">
        <f>_xlfn.IFNA((VLOOKUP($A110,HN!$A:$BS,14,FALSE)/12),0)</f>
        <v>0</v>
      </c>
      <c r="AT110" s="309">
        <f>_xlfn.IFNA(VLOOKUP($A110,'Post 16'!$A:$V,21,FALSE),0)/4</f>
        <v>0</v>
      </c>
      <c r="AU110" s="309"/>
      <c r="AV110" s="309">
        <f>_xlfn.IFNA((VLOOKUP($A110,HN!$A:$K,9,FALSE)/12),0)+_xlfn.IFNA((VLOOKUP($A110,HN!$A:$K,10,FALSE)/12),0)+_xlfn.IFNA(VLOOKUP(A110,HN!A:V,19,FALSE),0)+_xlfn.IFNA(VLOOKUP(A110,HN!A:V,20,FALSE),0)+_xlfn.IFNA(VLOOKUP(A110,HN!A:V,21,FALSE),0)</f>
        <v>0</v>
      </c>
      <c r="AW110" s="309">
        <f>_xlfn.IFNA((VLOOKUP($A110,HN!$A:$BS,15,FALSE)/12),0)</f>
        <v>0</v>
      </c>
      <c r="AX110" s="308">
        <f t="shared" si="79"/>
        <v>0</v>
      </c>
      <c r="AY110" s="308">
        <f t="shared" si="80"/>
        <v>0</v>
      </c>
      <c r="AZ110" s="309"/>
      <c r="BA110" s="309">
        <f>_xlfn.IFNA(VLOOKUP($A110,'Cash Advances'!$A:$S,10,FALSE),0)</f>
        <v>0</v>
      </c>
      <c r="BB110" s="308">
        <f t="shared" si="123"/>
        <v>0</v>
      </c>
      <c r="BC110" s="330">
        <f t="shared" si="81"/>
        <v>0</v>
      </c>
      <c r="BD110" s="330"/>
      <c r="BE110" s="331"/>
      <c r="BF110" s="331">
        <f>_xlfn.IFNA((VLOOKUP($A110,HN!$A:$K,8,FALSE)/12),0)</f>
        <v>0</v>
      </c>
      <c r="BG110" s="331">
        <f>_xlfn.IFNA((VLOOKUP($A110,HN!$A:$BS,14,FALSE)/12),0)</f>
        <v>0</v>
      </c>
      <c r="BH110" s="331">
        <f>_xlfn.IFNA(VLOOKUP($A110,'Post 16'!$A:$V,21,FALSE),0)/4</f>
        <v>0</v>
      </c>
      <c r="BI110" s="331"/>
      <c r="BJ110" s="331">
        <f>_xlfn.IFNA((VLOOKUP($A110,HN!$A:$K,9,FALSE)/12),0)+_xlfn.IFNA((VLOOKUP($A110,HN!$A:$K,10,FALSE)/12),0)</f>
        <v>0</v>
      </c>
      <c r="BK110" s="331">
        <f>_xlfn.IFNA((VLOOKUP($A110,HN!$A:$BS,15,FALSE)/12),0)</f>
        <v>0</v>
      </c>
      <c r="BL110" s="330">
        <f t="shared" si="82"/>
        <v>0</v>
      </c>
      <c r="BM110" s="330">
        <f t="shared" si="83"/>
        <v>0</v>
      </c>
      <c r="BN110" s="331"/>
      <c r="BO110" s="331">
        <f>_xlfn.IFNA(VLOOKUP(A110,'Cash Advances'!A:K,11,FALSE),0)</f>
        <v>0</v>
      </c>
      <c r="BP110" s="330">
        <f t="shared" si="124"/>
        <v>0</v>
      </c>
      <c r="BQ110" s="322">
        <f t="shared" si="84"/>
        <v>0</v>
      </c>
      <c r="BR110" s="322"/>
      <c r="BS110" s="323"/>
      <c r="BT110" s="323">
        <f>_xlfn.IFNA((VLOOKUP($A110,HN!$A:$K,8,FALSE)/12),0)</f>
        <v>0</v>
      </c>
      <c r="BU110" s="323">
        <f>_xlfn.IFNA((VLOOKUP($A110,HN!$A:$BS,14,FALSE)/12),0)</f>
        <v>0</v>
      </c>
      <c r="BV110" s="323">
        <f>(_xlfn.IFNA(VLOOKUP($A110,'Post 16'!$A:$AV,32,FALSE),0)/8)+_xlfn.IFNA(VLOOKUP($A110,'Post 16'!$A:$AR,40,FALSE),0)</f>
        <v>0</v>
      </c>
      <c r="BW110" s="323"/>
      <c r="BX110" s="323">
        <f>_xlfn.IFNA((VLOOKUP($A110,HN!$A:$K,9,FALSE)/12),0)+_xlfn.IFNA((VLOOKUP($A110,HN!$A:$K,10,FALSE)/12),0)</f>
        <v>0</v>
      </c>
      <c r="BY110" s="323">
        <f>_xlfn.IFNA((VLOOKUP($A110,HN!$A:$BS,15,FALSE)/12),0)</f>
        <v>0</v>
      </c>
      <c r="BZ110" s="322">
        <f t="shared" si="85"/>
        <v>0</v>
      </c>
      <c r="CA110" s="322">
        <f t="shared" si="86"/>
        <v>0</v>
      </c>
      <c r="CB110" s="323"/>
      <c r="CC110" s="323"/>
      <c r="CD110" s="322">
        <f t="shared" si="125"/>
        <v>0</v>
      </c>
      <c r="CE110" s="357">
        <f t="shared" si="87"/>
        <v>0</v>
      </c>
      <c r="CF110" s="357">
        <f>(VLOOKUP($A110,EY!$A:$BS,26,FALSE)-(VLOOKUP($A110,EY!A:CR,24,FALSE)*80%))+VLOOKUP($A110,EY!$A:$BS,42,FALSE)+(VLOOKUP($A110,EY!A:CC,74,FALSE)-VLOOKUP($A110,EY!A:CC,72,FALSE))</f>
        <v>242813.6188534364</v>
      </c>
      <c r="CG110" s="358"/>
      <c r="CH110" s="358">
        <f>_xlfn.IFNA((VLOOKUP($A110,HN!$A:$K,8,FALSE)/12),0)</f>
        <v>0</v>
      </c>
      <c r="CI110" s="358">
        <f>_xlfn.IFNA((VLOOKUP($A110,HN!$A:$BS,14,FALSE)/12),0)</f>
        <v>0</v>
      </c>
      <c r="CJ110" s="358">
        <f>(_xlfn.IFNA(VLOOKUP($A110,'Post 16'!$A:$AV,32,FALSE),0)/8)</f>
        <v>0</v>
      </c>
      <c r="CK110" s="358">
        <f>(VLOOKUP($A110,EY!A:CR,24,FALSE)*80%)+VLOOKUP($A110,EY!A:CC,72,FALSE)</f>
        <v>1732.8173684210528</v>
      </c>
      <c r="CL110" s="358">
        <f>_xlfn.IFNA((VLOOKUP($A110,HN!$A:$K,9,FALSE)/12),0)+_xlfn.IFNA((VLOOKUP($A110,HN!$A:$K,10,FALSE)/12),0)</f>
        <v>0</v>
      </c>
      <c r="CM110" s="358">
        <f>_xlfn.IFNA((VLOOKUP($A110,HN!$A:$BS,15,FALSE)/12),0)</f>
        <v>0</v>
      </c>
      <c r="CN110" s="357">
        <f t="shared" si="88"/>
        <v>0</v>
      </c>
      <c r="CO110" s="357">
        <f t="shared" si="89"/>
        <v>0</v>
      </c>
      <c r="CP110" s="358">
        <f>_xlfn.IFNA(VLOOKUP(A110,'LA Deductions'!A:W,23,FALSE),0)</f>
        <v>-3291.75</v>
      </c>
      <c r="CQ110" s="358">
        <f>_xlfn.IFNA(VLOOKUP($A110,'Cash Advances'!$A:$S,13,FALSE),0)</f>
        <v>0</v>
      </c>
      <c r="CR110" s="358">
        <f>_xlfn.IFNA(VLOOKUP(A110,'LA Deductions'!A:AZ,25,FALSE),0)/9*3</f>
        <v>0</v>
      </c>
      <c r="CS110" s="357">
        <f t="shared" si="108"/>
        <v>241254.68622185747</v>
      </c>
      <c r="CT110" s="337">
        <f t="shared" si="90"/>
        <v>0</v>
      </c>
      <c r="CU110" s="337"/>
      <c r="CV110" s="338">
        <f>_xlfn.IFNA(VLOOKUP(A110,'LA Deductions'!$A$6:$AN$207,34,FALSE),0)</f>
        <v>0</v>
      </c>
      <c r="CW110" s="338">
        <f>_xlfn.IFNA((VLOOKUP($A110,HN!$A:$K,8,FALSE)/12),0)</f>
        <v>0</v>
      </c>
      <c r="CX110" s="338">
        <f>_xlfn.IFNA((VLOOKUP($A110,HN!$A:$BS,14,FALSE)/12),0)</f>
        <v>0</v>
      </c>
      <c r="CY110" s="338">
        <f>_xlfn.IFNA(VLOOKUP($A110,'Post 16'!$A:$AV,32,FALSE),0)/8</f>
        <v>0</v>
      </c>
      <c r="CZ110" s="338"/>
      <c r="DA110" s="338">
        <f>_xlfn.IFNA((VLOOKUP($A110,HN!$A:$K,9,FALSE)/12),0)+_xlfn.IFNA((VLOOKUP($A110,HN!$A:$K,10,FALSE)/12),0)</f>
        <v>0</v>
      </c>
      <c r="DB110" s="338">
        <f>_xlfn.IFNA((VLOOKUP($A110,HN!$A:$BS,15,FALSE)/12),0)</f>
        <v>0</v>
      </c>
      <c r="DC110" s="337">
        <f t="shared" si="91"/>
        <v>0</v>
      </c>
      <c r="DD110" s="337">
        <f t="shared" si="92"/>
        <v>0</v>
      </c>
      <c r="DE110" s="338"/>
      <c r="DF110" s="338">
        <f>_xlfn.IFNA(VLOOKUP($A110,'Cash Advances'!$A:$S,14,FALSE),0)</f>
        <v>0</v>
      </c>
      <c r="DG110" s="338">
        <f>(_xlfn.IFNA(VLOOKUP(A110,'LA Deductions'!A:AZ,25,FALSE),0)/9)+(_xlfn.IFNA(VLOOKUP(A110,'LA Deductions'!A:AZ,26,FALSE),0))</f>
        <v>0</v>
      </c>
      <c r="DH110" s="337">
        <f t="shared" si="109"/>
        <v>0</v>
      </c>
      <c r="DI110" s="330">
        <f t="shared" si="93"/>
        <v>0</v>
      </c>
      <c r="DJ110" s="330"/>
      <c r="DK110" s="331"/>
      <c r="DL110" s="331">
        <f>_xlfn.IFNA((VLOOKUP($A110,HN!$A:$K,8,FALSE)/12),0)+_xlfn.IFNA((VLOOKUP($A110,HN!$A:$AF,32,FALSE)*8/12),0)</f>
        <v>0</v>
      </c>
      <c r="DM110" s="331">
        <f>_xlfn.IFNA((VLOOKUP($A110,HN!$A:$BS,14,FALSE)/12),0)+_xlfn.IFNA(VLOOKUP($A110,HN!$A:$BS,31,FALSE),0)</f>
        <v>0</v>
      </c>
      <c r="DN110" s="331">
        <f>_xlfn.IFNA(VLOOKUP($A110,'Post 16'!$A:$AV,32,FALSE),0)/8</f>
        <v>0</v>
      </c>
      <c r="DO110" s="331"/>
      <c r="DP110" s="331">
        <f>_xlfn.IFNA((VLOOKUP($A110,HN!$A:$K,9,FALSE)/12),0)+_xlfn.IFNA((VLOOKUP($A110,HN!$A:$K,10,FALSE)/12),0)+_xlfn.IFNA((VLOOKUP($A110,HN!$A:$BZ,33,FALSE)*8/12),0)</f>
        <v>0</v>
      </c>
      <c r="DQ110" s="331">
        <f>_xlfn.IFNA((VLOOKUP($A110,HN!$A:$BS,15,FALSE)/12),0)</f>
        <v>0</v>
      </c>
      <c r="DR110" s="330">
        <f t="shared" si="94"/>
        <v>0</v>
      </c>
      <c r="DS110" s="330">
        <f t="shared" si="95"/>
        <v>0</v>
      </c>
      <c r="DT110" s="331"/>
      <c r="DU110" s="331"/>
      <c r="DV110" s="331">
        <f>(_xlfn.IFNA(VLOOKUP(A110,'LA Deductions'!A:AZ,25,FALSE),0)/9)+_xlfn.IFNA(VLOOKUP(A110,'LA Deductions'!A:AZ,27,FALSE),0)</f>
        <v>0</v>
      </c>
      <c r="DW110" s="330">
        <f t="shared" si="110"/>
        <v>0</v>
      </c>
      <c r="DX110" s="344">
        <f t="shared" si="96"/>
        <v>0</v>
      </c>
      <c r="DY110" s="344"/>
      <c r="DZ110" s="345"/>
      <c r="EA110" s="345">
        <f>_xlfn.IFNA((VLOOKUP($A110,HN!$A:$K,8,FALSE)/12),0)+_xlfn.IFNA((VLOOKUP($A110,HN!$A:$AF,32,FALSE)*1/12),0)</f>
        <v>0</v>
      </c>
      <c r="EB110" s="345">
        <f>_xlfn.IFNA((VLOOKUP($A110,HN!$A:$BS,14,FALSE)/12),0)</f>
        <v>0</v>
      </c>
      <c r="EC110" s="345">
        <f>_xlfn.IFNA(VLOOKUP($A110,'Post 16'!$A:$AV,32,FALSE),0)/8</f>
        <v>0</v>
      </c>
      <c r="ED110" s="345"/>
      <c r="EE110" s="345">
        <f>_xlfn.IFNA((VLOOKUP($A110,HN!$A:$K,9,FALSE)/12),0)+_xlfn.IFNA((VLOOKUP($A110,HN!$A:$K,10,FALSE)/12),0)+_xlfn.IFNA((VLOOKUP($A110,HN!$A:$BZ,33,FALSE)/12),0)</f>
        <v>0</v>
      </c>
      <c r="EF110" s="345">
        <f>_xlfn.IFNA((VLOOKUP($A110,HN!$A:$BS,15,FALSE)/12),0)</f>
        <v>0</v>
      </c>
      <c r="EG110" s="344">
        <f t="shared" si="97"/>
        <v>0</v>
      </c>
      <c r="EH110" s="344">
        <f t="shared" si="98"/>
        <v>0</v>
      </c>
      <c r="EI110" s="345"/>
      <c r="EJ110" s="345">
        <f>_xlfn.IFNA(VLOOKUP(A110,'Cash Advances'!A:P,16,FALSE),0)</f>
        <v>0</v>
      </c>
      <c r="EK110" s="345">
        <f>_xlfn.IFNA(VLOOKUP(A110,'LA Deductions'!A:AZ,25,FALSE),0)/9</f>
        <v>0</v>
      </c>
      <c r="EL110" s="344">
        <f t="shared" si="111"/>
        <v>0</v>
      </c>
      <c r="EM110" s="308">
        <f t="shared" si="99"/>
        <v>0</v>
      </c>
      <c r="EN110" s="308">
        <f>((VLOOKUP($A110,EY!$A:$BS,35,FALSE)-(VLOOKUP($A110,EY!$A:$BS,33,FALSE)*80%))+VLOOKUP($A110,EY!$A:$BS,43,FALSE))+(VLOOKUP(A110,EY!A:DF,110,FALSE)-VLOOKUP(A110,EY!A:DD,108,FALSE))+(VLOOKUP(A110,EY!A:CE,83,FALSE)-VLOOKUP(A110,EY!A:CC,81,FALSE))</f>
        <v>216459.61703601107</v>
      </c>
      <c r="EO110" s="309"/>
      <c r="EP110" s="309">
        <f>_xlfn.IFNA((VLOOKUP($A110,HN!$A:$K,8,FALSE)/12),0)+_xlfn.IFNA((VLOOKUP($A110,HN!$A:$AF,32,FALSE)*1/12),0)</f>
        <v>0</v>
      </c>
      <c r="EQ110" s="309">
        <f>_xlfn.IFNA((VLOOKUP($A110,HN!$A:$BS,14,FALSE)/12),0)+_xlfn.IFNA((VLOOKUP($A110,HN!$A:$BS,34,FALSE)/3),0)</f>
        <v>0</v>
      </c>
      <c r="ER110" s="309">
        <f>_xlfn.IFNA(VLOOKUP($A110,'Post 16'!$A:$AV,32,FALSE),0)/8</f>
        <v>0</v>
      </c>
      <c r="ES110" s="309">
        <f>((VLOOKUP($A110,EY!A:EV,33,FALSE)*80%))+VLOOKUP(A110,EY!A:DD,108,FALSE)+VLOOKUP(A110,EY!A:CC,81,FALSE)</f>
        <v>3181.6790304709139</v>
      </c>
      <c r="ET110" s="309">
        <f>_xlfn.IFNA((VLOOKUP($A110,HN!$A:$K,9,FALSE)/12),0)+_xlfn.IFNA((VLOOKUP($A110,HN!$A:$K,10,FALSE)/12),0)+_xlfn.IFNA((VLOOKUP($A110,HN!$A:$BZ,33,FALSE)/12),0)</f>
        <v>0</v>
      </c>
      <c r="EU110" s="309">
        <f>_xlfn.IFNA((VLOOKUP($A110,HN!$A:$BS,15,FALSE)/12),0)</f>
        <v>0</v>
      </c>
      <c r="EV110" s="308">
        <f t="shared" si="100"/>
        <v>0</v>
      </c>
      <c r="EW110" s="308">
        <f t="shared" si="101"/>
        <v>0</v>
      </c>
      <c r="EX110" s="309"/>
      <c r="EY110" s="309">
        <f>_xlfn.IFNA(VLOOKUP($A110,'Cash Advances'!$A:$S,17,FALSE),0)</f>
        <v>0</v>
      </c>
      <c r="EZ110" s="309">
        <f>_xlfn.IFNA(VLOOKUP(A110,'LA Deductions'!A:AZ,25,FALSE),0)/9</f>
        <v>0</v>
      </c>
      <c r="FA110" s="308">
        <f t="shared" si="112"/>
        <v>219641.29606648197</v>
      </c>
      <c r="FB110" s="315">
        <f t="shared" si="102"/>
        <v>0</v>
      </c>
      <c r="FC110" s="315"/>
      <c r="FD110" s="316"/>
      <c r="FE110" s="316">
        <f>_xlfn.IFNA((VLOOKUP($A110,HN!$A:$K,8,FALSE)/12),0)+_xlfn.IFNA((VLOOKUP($A110,HN!$A:$AF,32,FALSE)*1/12),0)</f>
        <v>0</v>
      </c>
      <c r="FF110" s="316">
        <f>_xlfn.IFNA((VLOOKUP($A110,HN!$A:$BS,14,FALSE)/12),0)+_xlfn.IFNA((VLOOKUP($A110,HN!$A:$BS,34,FALSE)/3),0)</f>
        <v>0</v>
      </c>
      <c r="FG110" s="316">
        <f>_xlfn.IFNA(VLOOKUP($A110,'Post 16'!$A:$AV,32,FALSE),0)/8</f>
        <v>0</v>
      </c>
      <c r="FH110" s="316"/>
      <c r="FI110" s="316">
        <f>_xlfn.IFNA((VLOOKUP($A110,HN!$A:$K,9,FALSE)/12),0)+_xlfn.IFNA((VLOOKUP($A110,HN!$A:$K,10,FALSE)/12),0)+_xlfn.IFNA((VLOOKUP($A110,HN!$A:$BZ,33,FALSE)/12),0)+_xlfn.IFNA((VLOOKUP($A110,HN!$A:$BZ,35,FALSE)/2),0)</f>
        <v>0</v>
      </c>
      <c r="FJ110" s="316">
        <f>_xlfn.IFNA((VLOOKUP($A110,HN!$A:$BS,15,FALSE)/12),0)+_xlfn.IFNA((VLOOKUP($A110,HN!$A:$CZ,36,FALSE)/2),0)</f>
        <v>0</v>
      </c>
      <c r="FK110" s="315">
        <f t="shared" si="103"/>
        <v>0</v>
      </c>
      <c r="FL110" s="315">
        <f t="shared" si="104"/>
        <v>0</v>
      </c>
      <c r="FM110" s="316"/>
      <c r="FN110" s="316">
        <f>_xlfn.IFNA(VLOOKUP($A110,'Cash Advances'!$A:$S,18,FALSE),0)</f>
        <v>0</v>
      </c>
      <c r="FO110" s="316">
        <f>_xlfn.IFNA(VLOOKUP(A110,'LA Deductions'!A:AZ,25,FALSE),0)/9</f>
        <v>0</v>
      </c>
      <c r="FP110" s="315">
        <f t="shared" si="113"/>
        <v>0</v>
      </c>
      <c r="FQ110" s="322">
        <f t="shared" si="105"/>
        <v>0</v>
      </c>
      <c r="FR110" s="322"/>
      <c r="FS110" s="323"/>
      <c r="FT110" s="323">
        <f>_xlfn.IFNA((VLOOKUP($A110,HN!$A:$K,8,FALSE)/12),0)+_xlfn.IFNA((VLOOKUP($A110,HN!$A:$AF,32,FALSE)*1/12),0)</f>
        <v>0</v>
      </c>
      <c r="FU110" s="323">
        <f>_xlfn.IFNA((VLOOKUP($A110,HN!$A:$BS,14,FALSE)/12),0)+_xlfn.IFNA((VLOOKUP($A110,HN!$A:$BS,34,FALSE)/3),0)</f>
        <v>0</v>
      </c>
      <c r="FV110" s="323">
        <f>_xlfn.IFNA(VLOOKUP($A110,'Post 16'!$A:$AV,32,FALSE),0)/8</f>
        <v>0</v>
      </c>
      <c r="FW110" s="323"/>
      <c r="FX110" s="323">
        <f>_xlfn.IFNA((VLOOKUP($A110,HN!$A:$K,9,FALSE)/12),0)+_xlfn.IFNA((VLOOKUP($A110,HN!$A:$K,10,FALSE)/12),0)+_xlfn.IFNA((VLOOKUP($A110,HN!$A:$BZ,33,FALSE)/12),0)+_xlfn.IFNA((VLOOKUP($A110,HN!$A:$BZ,35,FALSE)/2),0)</f>
        <v>0</v>
      </c>
      <c r="FY110" s="323">
        <f>_xlfn.IFNA((VLOOKUP($A110,HN!$A:$BS,15,FALSE)/12),0)+_xlfn.IFNA((VLOOKUP($A110,HN!$A:$CZ,36,FALSE)/2),0)</f>
        <v>0</v>
      </c>
      <c r="FZ110" s="322">
        <f t="shared" si="106"/>
        <v>0</v>
      </c>
      <c r="GA110" s="322">
        <f t="shared" si="107"/>
        <v>0</v>
      </c>
      <c r="GB110" s="323"/>
      <c r="GC110" s="323"/>
      <c r="GD110" s="323">
        <f>_xlfn.IFNA(VLOOKUP(A110,'LA Deductions'!A:AZ,25,FALSE),0)/9</f>
        <v>0</v>
      </c>
      <c r="GE110" s="322">
        <f t="shared" si="114"/>
        <v>0</v>
      </c>
      <c r="GG110" s="146">
        <f t="shared" si="126"/>
        <v>994734.26356325438</v>
      </c>
      <c r="GH110" s="146">
        <f t="shared" si="126"/>
        <v>0</v>
      </c>
      <c r="GI110" s="146">
        <f t="shared" si="126"/>
        <v>4914.4963988919662</v>
      </c>
      <c r="GJ110" s="146">
        <f t="shared" si="126"/>
        <v>0</v>
      </c>
      <c r="GK110" s="146">
        <f t="shared" si="126"/>
        <v>0</v>
      </c>
      <c r="GL110" s="146">
        <f t="shared" si="126"/>
        <v>-3291.75</v>
      </c>
      <c r="GN110" s="146">
        <f t="shared" si="127"/>
        <v>994734.26356325438</v>
      </c>
      <c r="GO110" s="146">
        <f t="shared" si="127"/>
        <v>0</v>
      </c>
      <c r="GP110" s="146">
        <f t="shared" si="127"/>
        <v>4914.4963988919662</v>
      </c>
      <c r="GQ110" s="146">
        <f t="shared" si="127"/>
        <v>0</v>
      </c>
      <c r="GR110" s="146">
        <f t="shared" si="127"/>
        <v>0</v>
      </c>
      <c r="GS110" s="146">
        <f t="shared" si="127"/>
        <v>-3291.75</v>
      </c>
      <c r="GU110" s="146"/>
      <c r="GV110" s="57"/>
    </row>
    <row r="111" spans="1:204">
      <c r="A111" s="185">
        <v>2174</v>
      </c>
      <c r="B111" s="185">
        <v>103255</v>
      </c>
      <c r="C111" s="185" t="s">
        <v>246</v>
      </c>
      <c r="D111" s="2" t="s">
        <v>247</v>
      </c>
      <c r="E111" s="191" t="s">
        <v>32</v>
      </c>
      <c r="F111" s="191" t="s">
        <v>912</v>
      </c>
      <c r="H111" s="279">
        <f>_xlfn.IFNA(VLOOKUP($A111,ISB!$A$4:$BY$454,67,FALSE),0)</f>
        <v>1786889.3131024097</v>
      </c>
      <c r="I111" s="279">
        <f>_xlfn.IFNA(VLOOKUP($A111,ISB!$A$4:$BY$454,72,FALSE),0)</f>
        <v>-7823.9999999999991</v>
      </c>
      <c r="J111" s="279">
        <f>-_xlfn.IFNA(VLOOKUP($A111,ISB!$A$4:$BY$454,76,FALSE),0)</f>
        <v>-20532.46</v>
      </c>
      <c r="K111" s="279">
        <f>_xlfn.IFNA(VLOOKUP($A111,ISB!$A$4:$BY$454,77,FALSE),0)</f>
        <v>1758532.8531024097</v>
      </c>
      <c r="M111" s="301">
        <f t="shared" si="72"/>
        <v>148907.44275853413</v>
      </c>
      <c r="N111" s="301">
        <f>VLOOKUP($A111,EY!$A:$H,8,FALSE)+(VLOOKUP($A111,EY!$A:$BS,17,FALSE)-S111)+VLOOKUP($A111,EY!$A:$BS,41,FALSE)</f>
        <v>0</v>
      </c>
      <c r="O111" s="302"/>
      <c r="P111" s="302">
        <f>_xlfn.IFNA((VLOOKUP($A111,HN!$A:$K,8,FALSE)/12),0)</f>
        <v>0</v>
      </c>
      <c r="Q111" s="302">
        <f>_xlfn.IFNA((VLOOKUP($A111,HN!$A:$BS,14,FALSE)/12),0)</f>
        <v>0</v>
      </c>
      <c r="R111" s="302">
        <f>_xlfn.IFNA(VLOOKUP($A111,'Post 16'!$A:$V,21,FALSE),0)/4</f>
        <v>0</v>
      </c>
      <c r="S111" s="302">
        <f>VLOOKUP($A111,EY!A:Q,15,FALSE)*80%</f>
        <v>0</v>
      </c>
      <c r="T111" s="302">
        <f>_xlfn.IFNA((VLOOKUP($A111,HN!$A:$K,9,FALSE)/12),0)+_xlfn.IFNA((VLOOKUP($A111,HN!$A:$K,10,FALSE)/12),0)</f>
        <v>0</v>
      </c>
      <c r="U111" s="302">
        <f>_xlfn.IFNA((VLOOKUP($A111,HN!$A:$BS,15,FALSE)/12),0)</f>
        <v>0</v>
      </c>
      <c r="V111" s="301">
        <f t="shared" si="73"/>
        <v>-651.99999999999989</v>
      </c>
      <c r="W111" s="301">
        <f t="shared" si="74"/>
        <v>-1711.0383333333332</v>
      </c>
      <c r="X111" s="302"/>
      <c r="Y111" s="302">
        <f>_xlfn.IFNA(VLOOKUP($A111,'Cash Advances'!$A:$S,8,FALSE),0)</f>
        <v>0</v>
      </c>
      <c r="Z111" s="301">
        <f t="shared" si="121"/>
        <v>146544.4044252008</v>
      </c>
      <c r="AA111" s="315">
        <f t="shared" si="75"/>
        <v>148907.44275853413</v>
      </c>
      <c r="AB111" s="315"/>
      <c r="AC111" s="316"/>
      <c r="AD111" s="316">
        <f>_xlfn.IFNA((VLOOKUP($A111,HN!$A:$K,8,FALSE)/12),0)</f>
        <v>0</v>
      </c>
      <c r="AE111" s="316">
        <f>_xlfn.IFNA((VLOOKUP($A111,HN!$A:$BS,14,FALSE)/12),0)</f>
        <v>0</v>
      </c>
      <c r="AF111" s="316">
        <f>_xlfn.IFNA(VLOOKUP($A111,'Post 16'!$A:$V,21,FALSE),0)/4</f>
        <v>0</v>
      </c>
      <c r="AG111" s="316"/>
      <c r="AH111" s="316">
        <f>_xlfn.IFNA((VLOOKUP($A111,HN!$A:$K,9,FALSE)/12),0)+_xlfn.IFNA((VLOOKUP($A111,HN!$A:$K,10,FALSE)/12),0)</f>
        <v>0</v>
      </c>
      <c r="AI111" s="316">
        <f>_xlfn.IFNA((VLOOKUP($A111,HN!$A:$BS,15,FALSE)/12),0)</f>
        <v>0</v>
      </c>
      <c r="AJ111" s="315">
        <f t="shared" si="76"/>
        <v>-651.99999999999989</v>
      </c>
      <c r="AK111" s="315">
        <f t="shared" si="77"/>
        <v>-1711.0383333333332</v>
      </c>
      <c r="AL111" s="316"/>
      <c r="AM111" s="316">
        <f>_xlfn.IFNA(VLOOKUP($A111,'Cash Advances'!$A:$S,9,FALSE),0)</f>
        <v>0</v>
      </c>
      <c r="AN111" s="315">
        <f t="shared" si="122"/>
        <v>146544.4044252008</v>
      </c>
      <c r="AO111" s="308">
        <f t="shared" si="78"/>
        <v>148907.44275853413</v>
      </c>
      <c r="AP111" s="308"/>
      <c r="AQ111" s="309"/>
      <c r="AR111" s="309">
        <f>_xlfn.IFNA((VLOOKUP($A111,HN!$A:$K,8,FALSE)/12),0)</f>
        <v>0</v>
      </c>
      <c r="AS111" s="309">
        <f>_xlfn.IFNA((VLOOKUP($A111,HN!$A:$BS,14,FALSE)/12),0)</f>
        <v>0</v>
      </c>
      <c r="AT111" s="309">
        <f>_xlfn.IFNA(VLOOKUP($A111,'Post 16'!$A:$V,21,FALSE),0)/4</f>
        <v>0</v>
      </c>
      <c r="AU111" s="309"/>
      <c r="AV111" s="309">
        <f>_xlfn.IFNA((VLOOKUP($A111,HN!$A:$K,9,FALSE)/12),0)+_xlfn.IFNA((VLOOKUP($A111,HN!$A:$K,10,FALSE)/12),0)+_xlfn.IFNA(VLOOKUP(A111,HN!A:V,19,FALSE),0)+_xlfn.IFNA(VLOOKUP(A111,HN!A:V,20,FALSE),0)+_xlfn.IFNA(VLOOKUP(A111,HN!A:V,21,FALSE),0)</f>
        <v>0</v>
      </c>
      <c r="AW111" s="309">
        <f>_xlfn.IFNA((VLOOKUP($A111,HN!$A:$BS,15,FALSE)/12),0)</f>
        <v>0</v>
      </c>
      <c r="AX111" s="308">
        <f t="shared" si="79"/>
        <v>-651.99999999999989</v>
      </c>
      <c r="AY111" s="308">
        <f t="shared" si="80"/>
        <v>-1711.0383333333332</v>
      </c>
      <c r="AZ111" s="309"/>
      <c r="BA111" s="309">
        <f>_xlfn.IFNA(VLOOKUP($A111,'Cash Advances'!$A:$S,10,FALSE),0)</f>
        <v>75000</v>
      </c>
      <c r="BB111" s="308">
        <f t="shared" si="123"/>
        <v>221544.4044252008</v>
      </c>
      <c r="BC111" s="330">
        <f t="shared" si="81"/>
        <v>148907.44275853413</v>
      </c>
      <c r="BD111" s="330"/>
      <c r="BE111" s="331"/>
      <c r="BF111" s="331">
        <f>_xlfn.IFNA((VLOOKUP($A111,HN!$A:$K,8,FALSE)/12),0)</f>
        <v>0</v>
      </c>
      <c r="BG111" s="331">
        <f>_xlfn.IFNA((VLOOKUP($A111,HN!$A:$BS,14,FALSE)/12),0)</f>
        <v>0</v>
      </c>
      <c r="BH111" s="331">
        <f>_xlfn.IFNA(VLOOKUP($A111,'Post 16'!$A:$V,21,FALSE),0)/4</f>
        <v>0</v>
      </c>
      <c r="BI111" s="331"/>
      <c r="BJ111" s="331">
        <f>_xlfn.IFNA((VLOOKUP($A111,HN!$A:$K,9,FALSE)/12),0)+_xlfn.IFNA((VLOOKUP($A111,HN!$A:$K,10,FALSE)/12),0)</f>
        <v>0</v>
      </c>
      <c r="BK111" s="331">
        <f>_xlfn.IFNA((VLOOKUP($A111,HN!$A:$BS,15,FALSE)/12),0)</f>
        <v>0</v>
      </c>
      <c r="BL111" s="330">
        <f t="shared" si="82"/>
        <v>-651.99999999999989</v>
      </c>
      <c r="BM111" s="330">
        <f t="shared" si="83"/>
        <v>-1711.0383333333332</v>
      </c>
      <c r="BN111" s="331"/>
      <c r="BO111" s="331">
        <f>_xlfn.IFNA(VLOOKUP(A111,'Cash Advances'!A:K,11,FALSE),0)</f>
        <v>0</v>
      </c>
      <c r="BP111" s="330">
        <f t="shared" si="124"/>
        <v>146544.4044252008</v>
      </c>
      <c r="BQ111" s="322">
        <f t="shared" si="84"/>
        <v>148907.44275853413</v>
      </c>
      <c r="BR111" s="322"/>
      <c r="BS111" s="323"/>
      <c r="BT111" s="323">
        <f>_xlfn.IFNA((VLOOKUP($A111,HN!$A:$K,8,FALSE)/12),0)</f>
        <v>0</v>
      </c>
      <c r="BU111" s="323">
        <f>_xlfn.IFNA((VLOOKUP($A111,HN!$A:$BS,14,FALSE)/12),0)</f>
        <v>0</v>
      </c>
      <c r="BV111" s="323">
        <f>(_xlfn.IFNA(VLOOKUP($A111,'Post 16'!$A:$AV,32,FALSE),0)/8)+_xlfn.IFNA(VLOOKUP($A111,'Post 16'!$A:$AR,40,FALSE),0)</f>
        <v>0</v>
      </c>
      <c r="BW111" s="323"/>
      <c r="BX111" s="323">
        <f>_xlfn.IFNA((VLOOKUP($A111,HN!$A:$K,9,FALSE)/12),0)+_xlfn.IFNA((VLOOKUP($A111,HN!$A:$K,10,FALSE)/12),0)</f>
        <v>0</v>
      </c>
      <c r="BY111" s="323">
        <f>_xlfn.IFNA((VLOOKUP($A111,HN!$A:$BS,15,FALSE)/12),0)</f>
        <v>0</v>
      </c>
      <c r="BZ111" s="322">
        <f t="shared" si="85"/>
        <v>-651.99999999999989</v>
      </c>
      <c r="CA111" s="322">
        <f t="shared" si="86"/>
        <v>-1711.0383333333332</v>
      </c>
      <c r="CB111" s="323"/>
      <c r="CC111" s="323"/>
      <c r="CD111" s="322">
        <f t="shared" si="125"/>
        <v>146544.4044252008</v>
      </c>
      <c r="CE111" s="357">
        <f t="shared" si="87"/>
        <v>148907.44275853413</v>
      </c>
      <c r="CF111" s="357">
        <f>(VLOOKUP($A111,EY!$A:$BS,26,FALSE)-(VLOOKUP($A111,EY!A:CR,24,FALSE)*80%))+VLOOKUP($A111,EY!$A:$BS,42,FALSE)+(VLOOKUP($A111,EY!A:CC,74,FALSE)-VLOOKUP($A111,EY!A:CC,72,FALSE))</f>
        <v>0</v>
      </c>
      <c r="CG111" s="358"/>
      <c r="CH111" s="358">
        <f>_xlfn.IFNA((VLOOKUP($A111,HN!$A:$K,8,FALSE)/12),0)</f>
        <v>0</v>
      </c>
      <c r="CI111" s="358">
        <f>_xlfn.IFNA((VLOOKUP($A111,HN!$A:$BS,14,FALSE)/12),0)</f>
        <v>0</v>
      </c>
      <c r="CJ111" s="358">
        <f>(_xlfn.IFNA(VLOOKUP($A111,'Post 16'!$A:$AV,32,FALSE),0)/8)</f>
        <v>0</v>
      </c>
      <c r="CK111" s="358">
        <f>(VLOOKUP($A111,EY!A:CR,24,FALSE)*80%)+VLOOKUP($A111,EY!A:CC,72,FALSE)</f>
        <v>0</v>
      </c>
      <c r="CL111" s="358">
        <f>_xlfn.IFNA((VLOOKUP($A111,HN!$A:$K,9,FALSE)/12),0)+_xlfn.IFNA((VLOOKUP($A111,HN!$A:$K,10,FALSE)/12),0)</f>
        <v>0</v>
      </c>
      <c r="CM111" s="358">
        <f>_xlfn.IFNA((VLOOKUP($A111,HN!$A:$BS,15,FALSE)/12),0)</f>
        <v>0</v>
      </c>
      <c r="CN111" s="357">
        <f t="shared" si="88"/>
        <v>-651.99999999999989</v>
      </c>
      <c r="CO111" s="357">
        <f t="shared" si="89"/>
        <v>-1711.0383333333332</v>
      </c>
      <c r="CP111" s="358">
        <f>_xlfn.IFNA(VLOOKUP(A111,'LA Deductions'!A:W,23,FALSE),0)</f>
        <v>-8100</v>
      </c>
      <c r="CQ111" s="358">
        <f>_xlfn.IFNA(VLOOKUP($A111,'Cash Advances'!$A:$S,13,FALSE),0)</f>
        <v>0</v>
      </c>
      <c r="CR111" s="358">
        <f>_xlfn.IFNA(VLOOKUP(A111,'LA Deductions'!A:AZ,25,FALSE),0)/9*3</f>
        <v>0</v>
      </c>
      <c r="CS111" s="357">
        <f t="shared" si="108"/>
        <v>138444.4044252008</v>
      </c>
      <c r="CT111" s="337">
        <f t="shared" si="90"/>
        <v>148907.44275853413</v>
      </c>
      <c r="CU111" s="337"/>
      <c r="CV111" s="338">
        <f>_xlfn.IFNA(VLOOKUP(A111,'LA Deductions'!$A$6:$AN$207,34,FALSE),0)</f>
        <v>0</v>
      </c>
      <c r="CW111" s="338">
        <f>_xlfn.IFNA((VLOOKUP($A111,HN!$A:$K,8,FALSE)/12),0)</f>
        <v>0</v>
      </c>
      <c r="CX111" s="338">
        <f>_xlfn.IFNA((VLOOKUP($A111,HN!$A:$BS,14,FALSE)/12),0)</f>
        <v>0</v>
      </c>
      <c r="CY111" s="338">
        <f>_xlfn.IFNA(VLOOKUP($A111,'Post 16'!$A:$AV,32,FALSE),0)/8</f>
        <v>0</v>
      </c>
      <c r="CZ111" s="338"/>
      <c r="DA111" s="338">
        <f>_xlfn.IFNA((VLOOKUP($A111,HN!$A:$K,9,FALSE)/12),0)+_xlfn.IFNA((VLOOKUP($A111,HN!$A:$K,10,FALSE)/12),0)</f>
        <v>0</v>
      </c>
      <c r="DB111" s="338">
        <f>_xlfn.IFNA((VLOOKUP($A111,HN!$A:$BS,15,FALSE)/12),0)</f>
        <v>0</v>
      </c>
      <c r="DC111" s="337">
        <f t="shared" si="91"/>
        <v>-651.99999999999989</v>
      </c>
      <c r="DD111" s="337">
        <f t="shared" si="92"/>
        <v>-1711.0383333333332</v>
      </c>
      <c r="DE111" s="338"/>
      <c r="DF111" s="338">
        <f>_xlfn.IFNA(VLOOKUP($A111,'Cash Advances'!$A:$S,14,FALSE),0)</f>
        <v>0</v>
      </c>
      <c r="DG111" s="338">
        <f>(_xlfn.IFNA(VLOOKUP(A111,'LA Deductions'!A:AZ,25,FALSE),0)/9)+(_xlfn.IFNA(VLOOKUP(A111,'LA Deductions'!A:AZ,26,FALSE),0))</f>
        <v>0</v>
      </c>
      <c r="DH111" s="337">
        <f t="shared" si="109"/>
        <v>146544.4044252008</v>
      </c>
      <c r="DI111" s="330">
        <f t="shared" si="93"/>
        <v>148907.44275853413</v>
      </c>
      <c r="DJ111" s="330"/>
      <c r="DK111" s="331"/>
      <c r="DL111" s="331">
        <f>_xlfn.IFNA((VLOOKUP($A111,HN!$A:$K,8,FALSE)/12),0)+_xlfn.IFNA((VLOOKUP($A111,HN!$A:$AF,32,FALSE)*8/12),0)</f>
        <v>0</v>
      </c>
      <c r="DM111" s="331">
        <f>_xlfn.IFNA((VLOOKUP($A111,HN!$A:$BS,14,FALSE)/12),0)+_xlfn.IFNA(VLOOKUP($A111,HN!$A:$BS,31,FALSE),0)</f>
        <v>0</v>
      </c>
      <c r="DN111" s="331">
        <f>_xlfn.IFNA(VLOOKUP($A111,'Post 16'!$A:$AV,32,FALSE),0)/8</f>
        <v>0</v>
      </c>
      <c r="DO111" s="331"/>
      <c r="DP111" s="331">
        <f>_xlfn.IFNA((VLOOKUP($A111,HN!$A:$K,9,FALSE)/12),0)+_xlfn.IFNA((VLOOKUP($A111,HN!$A:$K,10,FALSE)/12),0)+_xlfn.IFNA((VLOOKUP($A111,HN!$A:$BZ,33,FALSE)*8/12),0)</f>
        <v>0</v>
      </c>
      <c r="DQ111" s="331">
        <f>_xlfn.IFNA((VLOOKUP($A111,HN!$A:$BS,15,FALSE)/12),0)</f>
        <v>0</v>
      </c>
      <c r="DR111" s="330">
        <f t="shared" si="94"/>
        <v>-651.99999999999989</v>
      </c>
      <c r="DS111" s="330">
        <f t="shared" si="95"/>
        <v>-1711.0383333333332</v>
      </c>
      <c r="DT111" s="331"/>
      <c r="DU111" s="331"/>
      <c r="DV111" s="331">
        <f>(_xlfn.IFNA(VLOOKUP(A111,'LA Deductions'!A:AZ,25,FALSE),0)/9)+_xlfn.IFNA(VLOOKUP(A111,'LA Deductions'!A:AZ,27,FALSE),0)</f>
        <v>0</v>
      </c>
      <c r="DW111" s="330">
        <f t="shared" si="110"/>
        <v>146544.4044252008</v>
      </c>
      <c r="DX111" s="344">
        <f t="shared" si="96"/>
        <v>148907.44275853413</v>
      </c>
      <c r="DY111" s="344"/>
      <c r="DZ111" s="345"/>
      <c r="EA111" s="345">
        <f>_xlfn.IFNA((VLOOKUP($A111,HN!$A:$K,8,FALSE)/12),0)+_xlfn.IFNA((VLOOKUP($A111,HN!$A:$AF,32,FALSE)*1/12),0)</f>
        <v>0</v>
      </c>
      <c r="EB111" s="345">
        <f>_xlfn.IFNA((VLOOKUP($A111,HN!$A:$BS,14,FALSE)/12),0)</f>
        <v>0</v>
      </c>
      <c r="EC111" s="345">
        <f>_xlfn.IFNA(VLOOKUP($A111,'Post 16'!$A:$AV,32,FALSE),0)/8</f>
        <v>0</v>
      </c>
      <c r="ED111" s="345"/>
      <c r="EE111" s="345">
        <f>_xlfn.IFNA((VLOOKUP($A111,HN!$A:$K,9,FALSE)/12),0)+_xlfn.IFNA((VLOOKUP($A111,HN!$A:$K,10,FALSE)/12),0)+_xlfn.IFNA((VLOOKUP($A111,HN!$A:$BZ,33,FALSE)/12),0)</f>
        <v>0</v>
      </c>
      <c r="EF111" s="345">
        <f>_xlfn.IFNA((VLOOKUP($A111,HN!$A:$BS,15,FALSE)/12),0)</f>
        <v>0</v>
      </c>
      <c r="EG111" s="344">
        <f t="shared" si="97"/>
        <v>-651.99999999999989</v>
      </c>
      <c r="EH111" s="344">
        <f t="shared" si="98"/>
        <v>-1711.0383333333332</v>
      </c>
      <c r="EI111" s="345"/>
      <c r="EJ111" s="345">
        <f>_xlfn.IFNA(VLOOKUP(A111,'Cash Advances'!A:P,16,FALSE),0)</f>
        <v>0</v>
      </c>
      <c r="EK111" s="345">
        <f>_xlfn.IFNA(VLOOKUP(A111,'LA Deductions'!A:AZ,25,FALSE),0)/9</f>
        <v>0</v>
      </c>
      <c r="EL111" s="344">
        <f t="shared" si="111"/>
        <v>146544.4044252008</v>
      </c>
      <c r="EM111" s="308">
        <f t="shared" si="99"/>
        <v>148907.44275853413</v>
      </c>
      <c r="EN111" s="308">
        <f>((VLOOKUP($A111,EY!$A:$BS,35,FALSE)-(VLOOKUP($A111,EY!$A:$BS,33,FALSE)*80%))+VLOOKUP($A111,EY!$A:$BS,43,FALSE))+(VLOOKUP(A111,EY!A:DF,110,FALSE)-VLOOKUP(A111,EY!A:DD,108,FALSE))+(VLOOKUP(A111,EY!A:CE,83,FALSE)-VLOOKUP(A111,EY!A:CC,81,FALSE))</f>
        <v>0</v>
      </c>
      <c r="EO111" s="309"/>
      <c r="EP111" s="309">
        <f>_xlfn.IFNA((VLOOKUP($A111,HN!$A:$K,8,FALSE)/12),0)+_xlfn.IFNA((VLOOKUP($A111,HN!$A:$AF,32,FALSE)*1/12),0)</f>
        <v>0</v>
      </c>
      <c r="EQ111" s="309">
        <f>_xlfn.IFNA((VLOOKUP($A111,HN!$A:$BS,14,FALSE)/12),0)+_xlfn.IFNA((VLOOKUP($A111,HN!$A:$BS,34,FALSE)/3),0)</f>
        <v>0</v>
      </c>
      <c r="ER111" s="309">
        <f>_xlfn.IFNA(VLOOKUP($A111,'Post 16'!$A:$AV,32,FALSE),0)/8</f>
        <v>0</v>
      </c>
      <c r="ES111" s="309">
        <f>((VLOOKUP($A111,EY!A:EV,33,FALSE)*80%))+VLOOKUP(A111,EY!A:DD,108,FALSE)+VLOOKUP(A111,EY!A:CC,81,FALSE)</f>
        <v>0</v>
      </c>
      <c r="ET111" s="309">
        <f>_xlfn.IFNA((VLOOKUP($A111,HN!$A:$K,9,FALSE)/12),0)+_xlfn.IFNA((VLOOKUP($A111,HN!$A:$K,10,FALSE)/12),0)+_xlfn.IFNA((VLOOKUP($A111,HN!$A:$BZ,33,FALSE)/12),0)</f>
        <v>0</v>
      </c>
      <c r="EU111" s="309">
        <f>_xlfn.IFNA((VLOOKUP($A111,HN!$A:$BS,15,FALSE)/12),0)</f>
        <v>0</v>
      </c>
      <c r="EV111" s="308">
        <f t="shared" si="100"/>
        <v>-651.99999999999989</v>
      </c>
      <c r="EW111" s="308">
        <f t="shared" si="101"/>
        <v>-1711.0383333333332</v>
      </c>
      <c r="EX111" s="309"/>
      <c r="EY111" s="309">
        <f>_xlfn.IFNA(VLOOKUP($A111,'Cash Advances'!$A:$S,17,FALSE),0)</f>
        <v>0</v>
      </c>
      <c r="EZ111" s="309">
        <f>_xlfn.IFNA(VLOOKUP(A111,'LA Deductions'!A:AZ,25,FALSE),0)/9</f>
        <v>0</v>
      </c>
      <c r="FA111" s="308">
        <f t="shared" si="112"/>
        <v>146544.4044252008</v>
      </c>
      <c r="FB111" s="315">
        <f t="shared" si="102"/>
        <v>148907.44275853413</v>
      </c>
      <c r="FC111" s="315"/>
      <c r="FD111" s="316"/>
      <c r="FE111" s="316">
        <f>_xlfn.IFNA((VLOOKUP($A111,HN!$A:$K,8,FALSE)/12),0)+_xlfn.IFNA((VLOOKUP($A111,HN!$A:$AF,32,FALSE)*1/12),0)</f>
        <v>0</v>
      </c>
      <c r="FF111" s="316">
        <f>_xlfn.IFNA((VLOOKUP($A111,HN!$A:$BS,14,FALSE)/12),0)+_xlfn.IFNA((VLOOKUP($A111,HN!$A:$BS,34,FALSE)/3),0)</f>
        <v>0</v>
      </c>
      <c r="FG111" s="316">
        <f>_xlfn.IFNA(VLOOKUP($A111,'Post 16'!$A:$AV,32,FALSE),0)/8</f>
        <v>0</v>
      </c>
      <c r="FH111" s="316"/>
      <c r="FI111" s="316">
        <f>_xlfn.IFNA((VLOOKUP($A111,HN!$A:$K,9,FALSE)/12),0)+_xlfn.IFNA((VLOOKUP($A111,HN!$A:$K,10,FALSE)/12),0)+_xlfn.IFNA((VLOOKUP($A111,HN!$A:$BZ,33,FALSE)/12),0)+_xlfn.IFNA((VLOOKUP($A111,HN!$A:$BZ,35,FALSE)/2),0)</f>
        <v>0</v>
      </c>
      <c r="FJ111" s="316">
        <f>_xlfn.IFNA((VLOOKUP($A111,HN!$A:$BS,15,FALSE)/12),0)+_xlfn.IFNA((VLOOKUP($A111,HN!$A:$CZ,36,FALSE)/2),0)</f>
        <v>0</v>
      </c>
      <c r="FK111" s="315">
        <f t="shared" si="103"/>
        <v>-651.99999999999989</v>
      </c>
      <c r="FL111" s="315">
        <f t="shared" si="104"/>
        <v>-1711.0383333333332</v>
      </c>
      <c r="FM111" s="316"/>
      <c r="FN111" s="316">
        <f>_xlfn.IFNA(VLOOKUP($A111,'Cash Advances'!$A:$S,18,FALSE),0)</f>
        <v>0</v>
      </c>
      <c r="FO111" s="316">
        <f>_xlfn.IFNA(VLOOKUP(A111,'LA Deductions'!A:AZ,25,FALSE),0)/9</f>
        <v>0</v>
      </c>
      <c r="FP111" s="315">
        <f t="shared" si="113"/>
        <v>146544.4044252008</v>
      </c>
      <c r="FQ111" s="322">
        <f t="shared" si="105"/>
        <v>148907.44275853413</v>
      </c>
      <c r="FR111" s="322"/>
      <c r="FS111" s="323"/>
      <c r="FT111" s="323">
        <f>_xlfn.IFNA((VLOOKUP($A111,HN!$A:$K,8,FALSE)/12),0)+_xlfn.IFNA((VLOOKUP($A111,HN!$A:$AF,32,FALSE)*1/12),0)</f>
        <v>0</v>
      </c>
      <c r="FU111" s="323">
        <f>_xlfn.IFNA((VLOOKUP($A111,HN!$A:$BS,14,FALSE)/12),0)+_xlfn.IFNA((VLOOKUP($A111,HN!$A:$BS,34,FALSE)/3),0)</f>
        <v>0</v>
      </c>
      <c r="FV111" s="323">
        <f>_xlfn.IFNA(VLOOKUP($A111,'Post 16'!$A:$AV,32,FALSE),0)/8</f>
        <v>0</v>
      </c>
      <c r="FW111" s="323"/>
      <c r="FX111" s="323">
        <f>_xlfn.IFNA((VLOOKUP($A111,HN!$A:$K,9,FALSE)/12),0)+_xlfn.IFNA((VLOOKUP($A111,HN!$A:$K,10,FALSE)/12),0)+_xlfn.IFNA((VLOOKUP($A111,HN!$A:$BZ,33,FALSE)/12),0)+_xlfn.IFNA((VLOOKUP($A111,HN!$A:$BZ,35,FALSE)/2),0)</f>
        <v>0</v>
      </c>
      <c r="FY111" s="323">
        <f>_xlfn.IFNA((VLOOKUP($A111,HN!$A:$BS,15,FALSE)/12),0)+_xlfn.IFNA((VLOOKUP($A111,HN!$A:$CZ,36,FALSE)/2),0)</f>
        <v>0</v>
      </c>
      <c r="FZ111" s="322">
        <f t="shared" si="106"/>
        <v>-651.99999999999989</v>
      </c>
      <c r="GA111" s="322">
        <f t="shared" si="107"/>
        <v>-1711.0383333333332</v>
      </c>
      <c r="GB111" s="323"/>
      <c r="GC111" s="323"/>
      <c r="GD111" s="323">
        <f>_xlfn.IFNA(VLOOKUP(A111,'LA Deductions'!A:AZ,25,FALSE),0)/9</f>
        <v>0</v>
      </c>
      <c r="GE111" s="322">
        <f t="shared" si="114"/>
        <v>146544.4044252008</v>
      </c>
      <c r="GG111" s="146">
        <f t="shared" si="126"/>
        <v>1786889.3131024095</v>
      </c>
      <c r="GH111" s="146">
        <f t="shared" si="126"/>
        <v>0</v>
      </c>
      <c r="GI111" s="146">
        <f t="shared" si="126"/>
        <v>0</v>
      </c>
      <c r="GJ111" s="146">
        <f t="shared" si="126"/>
        <v>-7823.9999999999991</v>
      </c>
      <c r="GK111" s="146">
        <f t="shared" si="126"/>
        <v>-20532.460000000003</v>
      </c>
      <c r="GL111" s="146">
        <f t="shared" si="126"/>
        <v>-8100</v>
      </c>
      <c r="GN111" s="146">
        <f t="shared" si="127"/>
        <v>1786889.3131024095</v>
      </c>
      <c r="GO111" s="146">
        <f t="shared" si="127"/>
        <v>0</v>
      </c>
      <c r="GP111" s="146">
        <f t="shared" si="127"/>
        <v>0</v>
      </c>
      <c r="GQ111" s="146">
        <f t="shared" si="127"/>
        <v>-7823.9999999999991</v>
      </c>
      <c r="GR111" s="146">
        <f t="shared" si="127"/>
        <v>-20532.460000000003</v>
      </c>
      <c r="GS111" s="146">
        <f t="shared" si="127"/>
        <v>-8100</v>
      </c>
      <c r="GU111" s="146"/>
      <c r="GV111" s="57"/>
    </row>
    <row r="112" spans="1:204">
      <c r="A112" s="185">
        <v>2176</v>
      </c>
      <c r="B112" s="185">
        <v>103256</v>
      </c>
      <c r="C112" s="185" t="s">
        <v>248</v>
      </c>
      <c r="D112" s="2" t="s">
        <v>249</v>
      </c>
      <c r="E112" s="191" t="s">
        <v>32</v>
      </c>
      <c r="F112" s="191" t="s">
        <v>912</v>
      </c>
      <c r="H112" s="279">
        <f>_xlfn.IFNA(VLOOKUP($A112,ISB!$A$4:$BY$454,67,FALSE),0)</f>
        <v>3968411.0617282866</v>
      </c>
      <c r="I112" s="279">
        <f>_xlfn.IFNA(VLOOKUP($A112,ISB!$A$4:$BY$454,72,FALSE),0)</f>
        <v>-16952</v>
      </c>
      <c r="J112" s="279">
        <f>-_xlfn.IFNA(VLOOKUP($A112,ISB!$A$4:$BY$454,76,FALSE),0)</f>
        <v>-66127.06</v>
      </c>
      <c r="K112" s="279">
        <f>_xlfn.IFNA(VLOOKUP($A112,ISB!$A$4:$BY$454,77,FALSE),0)</f>
        <v>3885332.0017282865</v>
      </c>
      <c r="M112" s="301">
        <f t="shared" si="72"/>
        <v>330700.92181069055</v>
      </c>
      <c r="N112" s="301">
        <f>VLOOKUP($A112,EY!$A:$H,8,FALSE)+(VLOOKUP($A112,EY!$A:$BS,17,FALSE)-S112)+VLOOKUP($A112,EY!$A:$BS,41,FALSE)</f>
        <v>72746.303157894741</v>
      </c>
      <c r="O112" s="302"/>
      <c r="P112" s="302">
        <f>_xlfn.IFNA((VLOOKUP($A112,HN!$A:$K,8,FALSE)/12),0)</f>
        <v>0</v>
      </c>
      <c r="Q112" s="302">
        <f>_xlfn.IFNA((VLOOKUP($A112,HN!$A:$BS,14,FALSE)/12),0)</f>
        <v>0</v>
      </c>
      <c r="R112" s="302">
        <f>_xlfn.IFNA(VLOOKUP($A112,'Post 16'!$A:$V,21,FALSE),0)/4</f>
        <v>0</v>
      </c>
      <c r="S112" s="302">
        <f>VLOOKUP($A112,EY!A:Q,15,FALSE)*80%</f>
        <v>0</v>
      </c>
      <c r="T112" s="302">
        <f>_xlfn.IFNA((VLOOKUP($A112,HN!$A:$K,9,FALSE)/12),0)+_xlfn.IFNA((VLOOKUP($A112,HN!$A:$K,10,FALSE)/12),0)</f>
        <v>0</v>
      </c>
      <c r="U112" s="302">
        <f>_xlfn.IFNA((VLOOKUP($A112,HN!$A:$BS,15,FALSE)/12),0)</f>
        <v>0</v>
      </c>
      <c r="V112" s="301">
        <f t="shared" si="73"/>
        <v>-1412.6666666666667</v>
      </c>
      <c r="W112" s="301">
        <f t="shared" si="74"/>
        <v>-5510.5883333333331</v>
      </c>
      <c r="X112" s="302"/>
      <c r="Y112" s="302">
        <f>_xlfn.IFNA(VLOOKUP($A112,'Cash Advances'!$A:$S,8,FALSE),0)</f>
        <v>0</v>
      </c>
      <c r="Z112" s="301">
        <f t="shared" si="121"/>
        <v>396523.9699685853</v>
      </c>
      <c r="AA112" s="315">
        <f t="shared" si="75"/>
        <v>330700.92181069055</v>
      </c>
      <c r="AB112" s="315"/>
      <c r="AC112" s="316"/>
      <c r="AD112" s="316">
        <f>_xlfn.IFNA((VLOOKUP($A112,HN!$A:$K,8,FALSE)/12),0)</f>
        <v>0</v>
      </c>
      <c r="AE112" s="316">
        <f>_xlfn.IFNA((VLOOKUP($A112,HN!$A:$BS,14,FALSE)/12),0)</f>
        <v>0</v>
      </c>
      <c r="AF112" s="316">
        <f>_xlfn.IFNA(VLOOKUP($A112,'Post 16'!$A:$V,21,FALSE),0)/4</f>
        <v>0</v>
      </c>
      <c r="AG112" s="316"/>
      <c r="AH112" s="316">
        <f>_xlfn.IFNA((VLOOKUP($A112,HN!$A:$K,9,FALSE)/12),0)+_xlfn.IFNA((VLOOKUP($A112,HN!$A:$K,10,FALSE)/12),0)</f>
        <v>0</v>
      </c>
      <c r="AI112" s="316">
        <f>_xlfn.IFNA((VLOOKUP($A112,HN!$A:$BS,15,FALSE)/12),0)</f>
        <v>0</v>
      </c>
      <c r="AJ112" s="315">
        <f t="shared" si="76"/>
        <v>-1412.6666666666667</v>
      </c>
      <c r="AK112" s="315">
        <f t="shared" si="77"/>
        <v>-5510.5883333333331</v>
      </c>
      <c r="AL112" s="316"/>
      <c r="AM112" s="316">
        <f>_xlfn.IFNA(VLOOKUP($A112,'Cash Advances'!$A:$S,9,FALSE),0)</f>
        <v>0</v>
      </c>
      <c r="AN112" s="315">
        <f t="shared" si="122"/>
        <v>323777.66681069054</v>
      </c>
      <c r="AO112" s="308">
        <f t="shared" si="78"/>
        <v>330700.92181069055</v>
      </c>
      <c r="AP112" s="308"/>
      <c r="AQ112" s="309"/>
      <c r="AR112" s="309">
        <f>_xlfn.IFNA((VLOOKUP($A112,HN!$A:$K,8,FALSE)/12),0)</f>
        <v>0</v>
      </c>
      <c r="AS112" s="309">
        <f>_xlfn.IFNA((VLOOKUP($A112,HN!$A:$BS,14,FALSE)/12),0)</f>
        <v>0</v>
      </c>
      <c r="AT112" s="309">
        <f>_xlfn.IFNA(VLOOKUP($A112,'Post 16'!$A:$V,21,FALSE),0)/4</f>
        <v>0</v>
      </c>
      <c r="AU112" s="309"/>
      <c r="AV112" s="309">
        <f>_xlfn.IFNA((VLOOKUP($A112,HN!$A:$K,9,FALSE)/12),0)+_xlfn.IFNA((VLOOKUP($A112,HN!$A:$K,10,FALSE)/12),0)+_xlfn.IFNA(VLOOKUP(A112,HN!A:V,19,FALSE),0)+_xlfn.IFNA(VLOOKUP(A112,HN!A:V,20,FALSE),0)+_xlfn.IFNA(VLOOKUP(A112,HN!A:V,21,FALSE),0)</f>
        <v>0</v>
      </c>
      <c r="AW112" s="309">
        <f>_xlfn.IFNA((VLOOKUP($A112,HN!$A:$BS,15,FALSE)/12),0)</f>
        <v>0</v>
      </c>
      <c r="AX112" s="308">
        <f t="shared" si="79"/>
        <v>-1412.6666666666667</v>
      </c>
      <c r="AY112" s="308">
        <f t="shared" si="80"/>
        <v>-5510.5883333333331</v>
      </c>
      <c r="AZ112" s="309"/>
      <c r="BA112" s="309">
        <f>_xlfn.IFNA(VLOOKUP($A112,'Cash Advances'!$A:$S,10,FALSE),0)</f>
        <v>0</v>
      </c>
      <c r="BB112" s="308">
        <f t="shared" si="123"/>
        <v>323777.66681069054</v>
      </c>
      <c r="BC112" s="330">
        <f t="shared" si="81"/>
        <v>330700.92181069055</v>
      </c>
      <c r="BD112" s="330"/>
      <c r="BE112" s="331"/>
      <c r="BF112" s="331">
        <f>_xlfn.IFNA((VLOOKUP($A112,HN!$A:$K,8,FALSE)/12),0)</f>
        <v>0</v>
      </c>
      <c r="BG112" s="331">
        <f>_xlfn.IFNA((VLOOKUP($A112,HN!$A:$BS,14,FALSE)/12),0)</f>
        <v>0</v>
      </c>
      <c r="BH112" s="331">
        <f>_xlfn.IFNA(VLOOKUP($A112,'Post 16'!$A:$V,21,FALSE),0)/4</f>
        <v>0</v>
      </c>
      <c r="BI112" s="331"/>
      <c r="BJ112" s="331">
        <f>_xlfn.IFNA((VLOOKUP($A112,HN!$A:$K,9,FALSE)/12),0)+_xlfn.IFNA((VLOOKUP($A112,HN!$A:$K,10,FALSE)/12),0)</f>
        <v>0</v>
      </c>
      <c r="BK112" s="331">
        <f>_xlfn.IFNA((VLOOKUP($A112,HN!$A:$BS,15,FALSE)/12),0)</f>
        <v>0</v>
      </c>
      <c r="BL112" s="330">
        <f t="shared" si="82"/>
        <v>-1412.6666666666667</v>
      </c>
      <c r="BM112" s="330">
        <f t="shared" si="83"/>
        <v>-5510.5883333333331</v>
      </c>
      <c r="BN112" s="331"/>
      <c r="BO112" s="331">
        <f>_xlfn.IFNA(VLOOKUP(A112,'Cash Advances'!A:K,11,FALSE),0)</f>
        <v>0</v>
      </c>
      <c r="BP112" s="330">
        <f t="shared" si="124"/>
        <v>323777.66681069054</v>
      </c>
      <c r="BQ112" s="322">
        <f t="shared" si="84"/>
        <v>330700.92181069055</v>
      </c>
      <c r="BR112" s="322"/>
      <c r="BS112" s="323"/>
      <c r="BT112" s="323">
        <f>_xlfn.IFNA((VLOOKUP($A112,HN!$A:$K,8,FALSE)/12),0)</f>
        <v>0</v>
      </c>
      <c r="BU112" s="323">
        <f>_xlfn.IFNA((VLOOKUP($A112,HN!$A:$BS,14,FALSE)/12),0)</f>
        <v>0</v>
      </c>
      <c r="BV112" s="323">
        <f>(_xlfn.IFNA(VLOOKUP($A112,'Post 16'!$A:$AV,32,FALSE),0)/8)+_xlfn.IFNA(VLOOKUP($A112,'Post 16'!$A:$AR,40,FALSE),0)</f>
        <v>0</v>
      </c>
      <c r="BW112" s="323"/>
      <c r="BX112" s="323">
        <f>_xlfn.IFNA((VLOOKUP($A112,HN!$A:$K,9,FALSE)/12),0)+_xlfn.IFNA((VLOOKUP($A112,HN!$A:$K,10,FALSE)/12),0)</f>
        <v>0</v>
      </c>
      <c r="BY112" s="323">
        <f>_xlfn.IFNA((VLOOKUP($A112,HN!$A:$BS,15,FALSE)/12),0)</f>
        <v>0</v>
      </c>
      <c r="BZ112" s="322">
        <f t="shared" si="85"/>
        <v>-1412.6666666666667</v>
      </c>
      <c r="CA112" s="322">
        <f t="shared" si="86"/>
        <v>-5510.5883333333331</v>
      </c>
      <c r="CB112" s="323"/>
      <c r="CC112" s="323"/>
      <c r="CD112" s="322">
        <f t="shared" si="125"/>
        <v>323777.66681069054</v>
      </c>
      <c r="CE112" s="357">
        <f t="shared" si="87"/>
        <v>330700.92181069055</v>
      </c>
      <c r="CF112" s="357">
        <f>(VLOOKUP($A112,EY!$A:$BS,26,FALSE)-(VLOOKUP($A112,EY!A:CR,24,FALSE)*80%))+VLOOKUP($A112,EY!$A:$BS,42,FALSE)+(VLOOKUP($A112,EY!A:CC,74,FALSE)-VLOOKUP($A112,EY!A:CC,72,FALSE))</f>
        <v>68328.567894736858</v>
      </c>
      <c r="CG112" s="358"/>
      <c r="CH112" s="358">
        <f>_xlfn.IFNA((VLOOKUP($A112,HN!$A:$K,8,FALSE)/12),0)</f>
        <v>0</v>
      </c>
      <c r="CI112" s="358">
        <f>_xlfn.IFNA((VLOOKUP($A112,HN!$A:$BS,14,FALSE)/12),0)</f>
        <v>0</v>
      </c>
      <c r="CJ112" s="358">
        <f>(_xlfn.IFNA(VLOOKUP($A112,'Post 16'!$A:$AV,32,FALSE),0)/8)</f>
        <v>0</v>
      </c>
      <c r="CK112" s="358">
        <f>(VLOOKUP($A112,EY!A:CR,24,FALSE)*80%)+VLOOKUP($A112,EY!A:CC,72,FALSE)</f>
        <v>0</v>
      </c>
      <c r="CL112" s="358">
        <f>_xlfn.IFNA((VLOOKUP($A112,HN!$A:$K,9,FALSE)/12),0)+_xlfn.IFNA((VLOOKUP($A112,HN!$A:$K,10,FALSE)/12),0)</f>
        <v>0</v>
      </c>
      <c r="CM112" s="358">
        <f>_xlfn.IFNA((VLOOKUP($A112,HN!$A:$BS,15,FALSE)/12),0)</f>
        <v>0</v>
      </c>
      <c r="CN112" s="357">
        <f t="shared" si="88"/>
        <v>-1412.6666666666667</v>
      </c>
      <c r="CO112" s="357">
        <f t="shared" si="89"/>
        <v>-5510.5883333333331</v>
      </c>
      <c r="CP112" s="358">
        <f>_xlfn.IFNA(VLOOKUP(A112,'LA Deductions'!A:W,23,FALSE),0)</f>
        <v>-18745.650000000001</v>
      </c>
      <c r="CQ112" s="358">
        <f>_xlfn.IFNA(VLOOKUP($A112,'Cash Advances'!$A:$S,13,FALSE),0)</f>
        <v>0</v>
      </c>
      <c r="CR112" s="358">
        <f>_xlfn.IFNA(VLOOKUP(A112,'LA Deductions'!A:AZ,25,FALSE),0)/9*3</f>
        <v>0</v>
      </c>
      <c r="CS112" s="357">
        <f t="shared" si="108"/>
        <v>373360.58470542741</v>
      </c>
      <c r="CT112" s="337">
        <f t="shared" si="90"/>
        <v>330700.92181069055</v>
      </c>
      <c r="CU112" s="337"/>
      <c r="CV112" s="338">
        <f>_xlfn.IFNA(VLOOKUP(A112,'LA Deductions'!$A$6:$AN$207,34,FALSE),0)</f>
        <v>0</v>
      </c>
      <c r="CW112" s="338">
        <f>_xlfn.IFNA((VLOOKUP($A112,HN!$A:$K,8,FALSE)/12),0)</f>
        <v>0</v>
      </c>
      <c r="CX112" s="338">
        <f>_xlfn.IFNA((VLOOKUP($A112,HN!$A:$BS,14,FALSE)/12),0)</f>
        <v>0</v>
      </c>
      <c r="CY112" s="338">
        <f>_xlfn.IFNA(VLOOKUP($A112,'Post 16'!$A:$AV,32,FALSE),0)/8</f>
        <v>0</v>
      </c>
      <c r="CZ112" s="338"/>
      <c r="DA112" s="338">
        <f>_xlfn.IFNA((VLOOKUP($A112,HN!$A:$K,9,FALSE)/12),0)+_xlfn.IFNA((VLOOKUP($A112,HN!$A:$K,10,FALSE)/12),0)</f>
        <v>0</v>
      </c>
      <c r="DB112" s="338">
        <f>_xlfn.IFNA((VLOOKUP($A112,HN!$A:$BS,15,FALSE)/12),0)</f>
        <v>0</v>
      </c>
      <c r="DC112" s="337">
        <f t="shared" si="91"/>
        <v>-1412.6666666666667</v>
      </c>
      <c r="DD112" s="337">
        <f t="shared" si="92"/>
        <v>-5510.5883333333331</v>
      </c>
      <c r="DE112" s="338"/>
      <c r="DF112" s="338">
        <f>_xlfn.IFNA(VLOOKUP($A112,'Cash Advances'!$A:$S,14,FALSE),0)</f>
        <v>0</v>
      </c>
      <c r="DG112" s="338">
        <f>(_xlfn.IFNA(VLOOKUP(A112,'LA Deductions'!A:AZ,25,FALSE),0)/9)+(_xlfn.IFNA(VLOOKUP(A112,'LA Deductions'!A:AZ,26,FALSE),0))</f>
        <v>0</v>
      </c>
      <c r="DH112" s="337">
        <f t="shared" si="109"/>
        <v>323777.66681069054</v>
      </c>
      <c r="DI112" s="330">
        <f t="shared" si="93"/>
        <v>330700.92181069055</v>
      </c>
      <c r="DJ112" s="330"/>
      <c r="DK112" s="331"/>
      <c r="DL112" s="331">
        <f>_xlfn.IFNA((VLOOKUP($A112,HN!$A:$K,8,FALSE)/12),0)+_xlfn.IFNA((VLOOKUP($A112,HN!$A:$AF,32,FALSE)*8/12),0)</f>
        <v>0</v>
      </c>
      <c r="DM112" s="331">
        <f>_xlfn.IFNA((VLOOKUP($A112,HN!$A:$BS,14,FALSE)/12),0)+_xlfn.IFNA(VLOOKUP($A112,HN!$A:$BS,31,FALSE),0)</f>
        <v>0</v>
      </c>
      <c r="DN112" s="331">
        <f>_xlfn.IFNA(VLOOKUP($A112,'Post 16'!$A:$AV,32,FALSE),0)/8</f>
        <v>0</v>
      </c>
      <c r="DO112" s="331"/>
      <c r="DP112" s="331">
        <f>_xlfn.IFNA((VLOOKUP($A112,HN!$A:$K,9,FALSE)/12),0)+_xlfn.IFNA((VLOOKUP($A112,HN!$A:$K,10,FALSE)/12),0)+_xlfn.IFNA((VLOOKUP($A112,HN!$A:$BZ,33,FALSE)*8/12),0)</f>
        <v>0</v>
      </c>
      <c r="DQ112" s="331">
        <f>_xlfn.IFNA((VLOOKUP($A112,HN!$A:$BS,15,FALSE)/12),0)</f>
        <v>0</v>
      </c>
      <c r="DR112" s="330">
        <f t="shared" si="94"/>
        <v>-1412.6666666666667</v>
      </c>
      <c r="DS112" s="330">
        <f t="shared" si="95"/>
        <v>-5510.5883333333331</v>
      </c>
      <c r="DT112" s="331"/>
      <c r="DU112" s="331"/>
      <c r="DV112" s="331">
        <f>(_xlfn.IFNA(VLOOKUP(A112,'LA Deductions'!A:AZ,25,FALSE),0)/9)+_xlfn.IFNA(VLOOKUP(A112,'LA Deductions'!A:AZ,27,FALSE),0)</f>
        <v>0</v>
      </c>
      <c r="DW112" s="330">
        <f t="shared" si="110"/>
        <v>323777.66681069054</v>
      </c>
      <c r="DX112" s="344">
        <f t="shared" si="96"/>
        <v>330700.92181069055</v>
      </c>
      <c r="DY112" s="344"/>
      <c r="DZ112" s="345"/>
      <c r="EA112" s="345">
        <f>_xlfn.IFNA((VLOOKUP($A112,HN!$A:$K,8,FALSE)/12),0)+_xlfn.IFNA((VLOOKUP($A112,HN!$A:$AF,32,FALSE)*1/12),0)</f>
        <v>0</v>
      </c>
      <c r="EB112" s="345">
        <f>_xlfn.IFNA((VLOOKUP($A112,HN!$A:$BS,14,FALSE)/12),0)</f>
        <v>0</v>
      </c>
      <c r="EC112" s="345">
        <f>_xlfn.IFNA(VLOOKUP($A112,'Post 16'!$A:$AV,32,FALSE),0)/8</f>
        <v>0</v>
      </c>
      <c r="ED112" s="345"/>
      <c r="EE112" s="345">
        <f>_xlfn.IFNA((VLOOKUP($A112,HN!$A:$K,9,FALSE)/12),0)+_xlfn.IFNA((VLOOKUP($A112,HN!$A:$K,10,FALSE)/12),0)+_xlfn.IFNA((VLOOKUP($A112,HN!$A:$BZ,33,FALSE)/12),0)</f>
        <v>0</v>
      </c>
      <c r="EF112" s="345">
        <f>_xlfn.IFNA((VLOOKUP($A112,HN!$A:$BS,15,FALSE)/12),0)</f>
        <v>0</v>
      </c>
      <c r="EG112" s="344">
        <f t="shared" si="97"/>
        <v>-1412.6666666666667</v>
      </c>
      <c r="EH112" s="344">
        <f t="shared" si="98"/>
        <v>-5510.5883333333331</v>
      </c>
      <c r="EI112" s="345"/>
      <c r="EJ112" s="345">
        <f>_xlfn.IFNA(VLOOKUP(A112,'Cash Advances'!A:P,16,FALSE),0)</f>
        <v>0</v>
      </c>
      <c r="EK112" s="345">
        <f>_xlfn.IFNA(VLOOKUP(A112,'LA Deductions'!A:AZ,25,FALSE),0)/9</f>
        <v>0</v>
      </c>
      <c r="EL112" s="344">
        <f t="shared" si="111"/>
        <v>323777.66681069054</v>
      </c>
      <c r="EM112" s="308">
        <f t="shared" si="99"/>
        <v>330700.92181069055</v>
      </c>
      <c r="EN112" s="308">
        <f>((VLOOKUP($A112,EY!$A:$BS,35,FALSE)-(VLOOKUP($A112,EY!$A:$BS,33,FALSE)*80%))+VLOOKUP($A112,EY!$A:$BS,43,FALSE))+(VLOOKUP(A112,EY!A:DF,110,FALSE)-VLOOKUP(A112,EY!A:DD,108,FALSE))+(VLOOKUP(A112,EY!A:CE,83,FALSE)-VLOOKUP(A112,EY!A:CC,81,FALSE))</f>
        <v>73695.29138504155</v>
      </c>
      <c r="EO112" s="309"/>
      <c r="EP112" s="309">
        <f>_xlfn.IFNA((VLOOKUP($A112,HN!$A:$K,8,FALSE)/12),0)+_xlfn.IFNA((VLOOKUP($A112,HN!$A:$AF,32,FALSE)*1/12),0)</f>
        <v>0</v>
      </c>
      <c r="EQ112" s="309">
        <f>_xlfn.IFNA((VLOOKUP($A112,HN!$A:$BS,14,FALSE)/12),0)+_xlfn.IFNA((VLOOKUP($A112,HN!$A:$BS,34,FALSE)/3),0)</f>
        <v>0</v>
      </c>
      <c r="ER112" s="309">
        <f>_xlfn.IFNA(VLOOKUP($A112,'Post 16'!$A:$AV,32,FALSE),0)/8</f>
        <v>0</v>
      </c>
      <c r="ES112" s="309">
        <f>((VLOOKUP($A112,EY!A:EV,33,FALSE)*80%))+VLOOKUP(A112,EY!A:DD,108,FALSE)+VLOOKUP(A112,EY!A:CC,81,FALSE)</f>
        <v>938</v>
      </c>
      <c r="ET112" s="309">
        <f>_xlfn.IFNA((VLOOKUP($A112,HN!$A:$K,9,FALSE)/12),0)+_xlfn.IFNA((VLOOKUP($A112,HN!$A:$K,10,FALSE)/12),0)+_xlfn.IFNA((VLOOKUP($A112,HN!$A:$BZ,33,FALSE)/12),0)</f>
        <v>0</v>
      </c>
      <c r="EU112" s="309">
        <f>_xlfn.IFNA((VLOOKUP($A112,HN!$A:$BS,15,FALSE)/12),0)</f>
        <v>0</v>
      </c>
      <c r="EV112" s="308">
        <f t="shared" si="100"/>
        <v>-1412.6666666666667</v>
      </c>
      <c r="EW112" s="308">
        <f t="shared" si="101"/>
        <v>-5510.5883333333331</v>
      </c>
      <c r="EX112" s="309"/>
      <c r="EY112" s="309">
        <f>_xlfn.IFNA(VLOOKUP($A112,'Cash Advances'!$A:$S,17,FALSE),0)</f>
        <v>0</v>
      </c>
      <c r="EZ112" s="309">
        <f>_xlfn.IFNA(VLOOKUP(A112,'LA Deductions'!A:AZ,25,FALSE),0)/9</f>
        <v>0</v>
      </c>
      <c r="FA112" s="308">
        <f t="shared" si="112"/>
        <v>398410.95819573209</v>
      </c>
      <c r="FB112" s="315">
        <f t="shared" si="102"/>
        <v>330700.92181069055</v>
      </c>
      <c r="FC112" s="315"/>
      <c r="FD112" s="316"/>
      <c r="FE112" s="316">
        <f>_xlfn.IFNA((VLOOKUP($A112,HN!$A:$K,8,FALSE)/12),0)+_xlfn.IFNA((VLOOKUP($A112,HN!$A:$AF,32,FALSE)*1/12),0)</f>
        <v>0</v>
      </c>
      <c r="FF112" s="316">
        <f>_xlfn.IFNA((VLOOKUP($A112,HN!$A:$BS,14,FALSE)/12),0)+_xlfn.IFNA((VLOOKUP($A112,HN!$A:$BS,34,FALSE)/3),0)</f>
        <v>0</v>
      </c>
      <c r="FG112" s="316">
        <f>_xlfn.IFNA(VLOOKUP($A112,'Post 16'!$A:$AV,32,FALSE),0)/8</f>
        <v>0</v>
      </c>
      <c r="FH112" s="316"/>
      <c r="FI112" s="316">
        <f>_xlfn.IFNA((VLOOKUP($A112,HN!$A:$K,9,FALSE)/12),0)+_xlfn.IFNA((VLOOKUP($A112,HN!$A:$K,10,FALSE)/12),0)+_xlfn.IFNA((VLOOKUP($A112,HN!$A:$BZ,33,FALSE)/12),0)+_xlfn.IFNA((VLOOKUP($A112,HN!$A:$BZ,35,FALSE)/2),0)</f>
        <v>0</v>
      </c>
      <c r="FJ112" s="316">
        <f>_xlfn.IFNA((VLOOKUP($A112,HN!$A:$BS,15,FALSE)/12),0)+_xlfn.IFNA((VLOOKUP($A112,HN!$A:$CZ,36,FALSE)/2),0)</f>
        <v>0</v>
      </c>
      <c r="FK112" s="315">
        <f t="shared" si="103"/>
        <v>-1412.6666666666667</v>
      </c>
      <c r="FL112" s="315">
        <f t="shared" si="104"/>
        <v>-5510.5883333333331</v>
      </c>
      <c r="FM112" s="316"/>
      <c r="FN112" s="316">
        <f>_xlfn.IFNA(VLOOKUP($A112,'Cash Advances'!$A:$S,18,FALSE),0)</f>
        <v>0</v>
      </c>
      <c r="FO112" s="316">
        <f>_xlfn.IFNA(VLOOKUP(A112,'LA Deductions'!A:AZ,25,FALSE),0)/9</f>
        <v>0</v>
      </c>
      <c r="FP112" s="315">
        <f t="shared" si="113"/>
        <v>323777.66681069054</v>
      </c>
      <c r="FQ112" s="322">
        <f t="shared" si="105"/>
        <v>330700.92181069055</v>
      </c>
      <c r="FR112" s="322"/>
      <c r="FS112" s="323"/>
      <c r="FT112" s="323">
        <f>_xlfn.IFNA((VLOOKUP($A112,HN!$A:$K,8,FALSE)/12),0)+_xlfn.IFNA((VLOOKUP($A112,HN!$A:$AF,32,FALSE)*1/12),0)</f>
        <v>0</v>
      </c>
      <c r="FU112" s="323">
        <f>_xlfn.IFNA((VLOOKUP($A112,HN!$A:$BS,14,FALSE)/12),0)+_xlfn.IFNA((VLOOKUP($A112,HN!$A:$BS,34,FALSE)/3),0)</f>
        <v>0</v>
      </c>
      <c r="FV112" s="323">
        <f>_xlfn.IFNA(VLOOKUP($A112,'Post 16'!$A:$AV,32,FALSE),0)/8</f>
        <v>0</v>
      </c>
      <c r="FW112" s="323"/>
      <c r="FX112" s="323">
        <f>_xlfn.IFNA((VLOOKUP($A112,HN!$A:$K,9,FALSE)/12),0)+_xlfn.IFNA((VLOOKUP($A112,HN!$A:$K,10,FALSE)/12),0)+_xlfn.IFNA((VLOOKUP($A112,HN!$A:$BZ,33,FALSE)/12),0)+_xlfn.IFNA((VLOOKUP($A112,HN!$A:$BZ,35,FALSE)/2),0)</f>
        <v>0</v>
      </c>
      <c r="FY112" s="323">
        <f>_xlfn.IFNA((VLOOKUP($A112,HN!$A:$BS,15,FALSE)/12),0)+_xlfn.IFNA((VLOOKUP($A112,HN!$A:$CZ,36,FALSE)/2),0)</f>
        <v>0</v>
      </c>
      <c r="FZ112" s="322">
        <f t="shared" si="106"/>
        <v>-1412.6666666666667</v>
      </c>
      <c r="GA112" s="322">
        <f t="shared" si="107"/>
        <v>-5510.5883333333331</v>
      </c>
      <c r="GB112" s="323"/>
      <c r="GC112" s="323"/>
      <c r="GD112" s="323">
        <f>_xlfn.IFNA(VLOOKUP(A112,'LA Deductions'!A:AZ,25,FALSE),0)/9</f>
        <v>0</v>
      </c>
      <c r="GE112" s="322">
        <f t="shared" si="114"/>
        <v>323777.66681069054</v>
      </c>
      <c r="GG112" s="146">
        <f t="shared" si="126"/>
        <v>4183181.2241659584</v>
      </c>
      <c r="GH112" s="146">
        <f t="shared" si="126"/>
        <v>0</v>
      </c>
      <c r="GI112" s="146">
        <f t="shared" si="126"/>
        <v>938</v>
      </c>
      <c r="GJ112" s="146">
        <f t="shared" si="126"/>
        <v>-16951.999999999996</v>
      </c>
      <c r="GK112" s="146">
        <f t="shared" si="126"/>
        <v>-66127.06</v>
      </c>
      <c r="GL112" s="146">
        <f t="shared" si="126"/>
        <v>-18745.650000000001</v>
      </c>
      <c r="GN112" s="146">
        <f t="shared" si="127"/>
        <v>4183181.2241659584</v>
      </c>
      <c r="GO112" s="146">
        <f t="shared" si="127"/>
        <v>0</v>
      </c>
      <c r="GP112" s="146">
        <f t="shared" si="127"/>
        <v>938</v>
      </c>
      <c r="GQ112" s="146">
        <f t="shared" si="127"/>
        <v>-16951.999999999996</v>
      </c>
      <c r="GR112" s="146">
        <f t="shared" si="127"/>
        <v>-66127.06</v>
      </c>
      <c r="GS112" s="146">
        <f t="shared" si="127"/>
        <v>-18745.650000000001</v>
      </c>
      <c r="GU112" s="146"/>
      <c r="GV112" s="57"/>
    </row>
    <row r="113" spans="1:204">
      <c r="A113" s="185">
        <v>7047</v>
      </c>
      <c r="B113" s="185">
        <v>103623</v>
      </c>
      <c r="C113" s="185" t="s">
        <v>250</v>
      </c>
      <c r="D113" s="2" t="s">
        <v>251</v>
      </c>
      <c r="E113" s="191" t="s">
        <v>47</v>
      </c>
      <c r="F113" s="191" t="s">
        <v>912</v>
      </c>
      <c r="H113" s="279">
        <f>_xlfn.IFNA(VLOOKUP($A113,ISB!$A$4:$BY$454,67,FALSE),0)</f>
        <v>0</v>
      </c>
      <c r="I113" s="279">
        <f>_xlfn.IFNA(VLOOKUP($A113,ISB!$A$4:$BY$454,72,FALSE),0)</f>
        <v>0</v>
      </c>
      <c r="J113" s="279">
        <f>-_xlfn.IFNA(VLOOKUP($A113,ISB!$A$4:$BY$454,76,FALSE),0)</f>
        <v>0</v>
      </c>
      <c r="K113" s="279">
        <f>_xlfn.IFNA(VLOOKUP($A113,ISB!$A$4:$BY$454,77,FALSE),0)</f>
        <v>0</v>
      </c>
      <c r="M113" s="301">
        <f t="shared" si="72"/>
        <v>0</v>
      </c>
      <c r="N113" s="301">
        <f>VLOOKUP($A113,EY!$A:$H,8,FALSE)+(VLOOKUP($A113,EY!$A:$BS,17,FALSE)-S113)+VLOOKUP($A113,EY!$A:$BS,41,FALSE)</f>
        <v>0</v>
      </c>
      <c r="O113" s="302"/>
      <c r="P113" s="302">
        <f>_xlfn.IFNA((VLOOKUP($A113,HN!$A:$K,8,FALSE)/12),0)</f>
        <v>99034.375</v>
      </c>
      <c r="Q113" s="302">
        <f>_xlfn.IFNA((VLOOKUP($A113,HN!$A:$BS,14,FALSE)/12),0)</f>
        <v>0</v>
      </c>
      <c r="R113" s="302">
        <f>_xlfn.IFNA(VLOOKUP($A113,'Post 16'!$A:$V,21,FALSE),0)/4</f>
        <v>0</v>
      </c>
      <c r="S113" s="302">
        <f>VLOOKUP($A113,EY!A:Q,15,FALSE)*80%</f>
        <v>0</v>
      </c>
      <c r="T113" s="302">
        <f>_xlfn.IFNA((VLOOKUP($A113,HN!$A:$K,9,FALSE)/12),0)+_xlfn.IFNA((VLOOKUP($A113,HN!$A:$K,10,FALSE)/12),0)</f>
        <v>99152.995874240747</v>
      </c>
      <c r="U113" s="302">
        <f>_xlfn.IFNA((VLOOKUP($A113,HN!$A:$BS,15,FALSE)/12),0)</f>
        <v>0</v>
      </c>
      <c r="V113" s="301">
        <f t="shared" si="73"/>
        <v>0</v>
      </c>
      <c r="W113" s="301">
        <f t="shared" si="74"/>
        <v>0</v>
      </c>
      <c r="X113" s="302"/>
      <c r="Y113" s="302">
        <f>_xlfn.IFNA(VLOOKUP($A113,'Cash Advances'!$A:$S,8,FALSE),0)</f>
        <v>0</v>
      </c>
      <c r="Z113" s="301">
        <f t="shared" si="121"/>
        <v>198187.37087424076</v>
      </c>
      <c r="AA113" s="315">
        <f t="shared" si="75"/>
        <v>0</v>
      </c>
      <c r="AB113" s="315"/>
      <c r="AC113" s="316"/>
      <c r="AD113" s="316">
        <f>_xlfn.IFNA((VLOOKUP($A113,HN!$A:$K,8,FALSE)/12),0)</f>
        <v>99034.375</v>
      </c>
      <c r="AE113" s="316">
        <f>_xlfn.IFNA((VLOOKUP($A113,HN!$A:$BS,14,FALSE)/12),0)</f>
        <v>0</v>
      </c>
      <c r="AF113" s="316">
        <f>_xlfn.IFNA(VLOOKUP($A113,'Post 16'!$A:$V,21,FALSE),0)/4</f>
        <v>0</v>
      </c>
      <c r="AG113" s="316"/>
      <c r="AH113" s="316">
        <f>_xlfn.IFNA((VLOOKUP($A113,HN!$A:$K,9,FALSE)/12),0)+_xlfn.IFNA((VLOOKUP($A113,HN!$A:$K,10,FALSE)/12),0)</f>
        <v>99152.995874240747</v>
      </c>
      <c r="AI113" s="316">
        <f>_xlfn.IFNA((VLOOKUP($A113,HN!$A:$BS,15,FALSE)/12),0)</f>
        <v>0</v>
      </c>
      <c r="AJ113" s="315">
        <f t="shared" si="76"/>
        <v>0</v>
      </c>
      <c r="AK113" s="315">
        <f t="shared" si="77"/>
        <v>0</v>
      </c>
      <c r="AL113" s="316"/>
      <c r="AM113" s="316">
        <f>_xlfn.IFNA(VLOOKUP($A113,'Cash Advances'!$A:$S,9,FALSE),0)</f>
        <v>0</v>
      </c>
      <c r="AN113" s="315">
        <f t="shared" si="122"/>
        <v>198187.37087424076</v>
      </c>
      <c r="AO113" s="308">
        <f t="shared" si="78"/>
        <v>0</v>
      </c>
      <c r="AP113" s="308"/>
      <c r="AQ113" s="309"/>
      <c r="AR113" s="309">
        <f>_xlfn.IFNA((VLOOKUP($A113,HN!$A:$K,8,FALSE)/12),0)</f>
        <v>99034.375</v>
      </c>
      <c r="AS113" s="309">
        <f>_xlfn.IFNA((VLOOKUP($A113,HN!$A:$BS,14,FALSE)/12),0)</f>
        <v>0</v>
      </c>
      <c r="AT113" s="309">
        <f>_xlfn.IFNA(VLOOKUP($A113,'Post 16'!$A:$V,21,FALSE),0)/4</f>
        <v>0</v>
      </c>
      <c r="AU113" s="309"/>
      <c r="AV113" s="309">
        <f>_xlfn.IFNA((VLOOKUP($A113,HN!$A:$K,9,FALSE)/12),0)+_xlfn.IFNA((VLOOKUP($A113,HN!$A:$K,10,FALSE)/12),0)+_xlfn.IFNA(VLOOKUP(A113,HN!A:V,19,FALSE),0)+_xlfn.IFNA(VLOOKUP(A113,HN!A:V,20,FALSE),0)+_xlfn.IFNA(VLOOKUP(A113,HN!A:V,21,FALSE),0)</f>
        <v>290114.53433577938</v>
      </c>
      <c r="AW113" s="309">
        <f>_xlfn.IFNA((VLOOKUP($A113,HN!$A:$BS,15,FALSE)/12),0)</f>
        <v>0</v>
      </c>
      <c r="AX113" s="308">
        <f t="shared" si="79"/>
        <v>0</v>
      </c>
      <c r="AY113" s="308">
        <f t="shared" si="80"/>
        <v>0</v>
      </c>
      <c r="AZ113" s="309"/>
      <c r="BA113" s="309">
        <f>_xlfn.IFNA(VLOOKUP($A113,'Cash Advances'!$A:$S,10,FALSE),0)</f>
        <v>0</v>
      </c>
      <c r="BB113" s="308">
        <f t="shared" si="123"/>
        <v>389148.90933577938</v>
      </c>
      <c r="BC113" s="330">
        <f t="shared" si="81"/>
        <v>0</v>
      </c>
      <c r="BD113" s="330"/>
      <c r="BE113" s="331"/>
      <c r="BF113" s="331">
        <f>_xlfn.IFNA((VLOOKUP($A113,HN!$A:$K,8,FALSE)/12),0)</f>
        <v>99034.375</v>
      </c>
      <c r="BG113" s="331">
        <f>_xlfn.IFNA((VLOOKUP($A113,HN!$A:$BS,14,FALSE)/12),0)</f>
        <v>0</v>
      </c>
      <c r="BH113" s="331">
        <f>_xlfn.IFNA(VLOOKUP($A113,'Post 16'!$A:$V,21,FALSE),0)/4</f>
        <v>0</v>
      </c>
      <c r="BI113" s="331"/>
      <c r="BJ113" s="331">
        <f>_xlfn.IFNA((VLOOKUP($A113,HN!$A:$K,9,FALSE)/12),0)+_xlfn.IFNA((VLOOKUP($A113,HN!$A:$K,10,FALSE)/12),0)</f>
        <v>99152.995874240747</v>
      </c>
      <c r="BK113" s="331">
        <f>_xlfn.IFNA((VLOOKUP($A113,HN!$A:$BS,15,FALSE)/12),0)</f>
        <v>0</v>
      </c>
      <c r="BL113" s="330">
        <f t="shared" si="82"/>
        <v>0</v>
      </c>
      <c r="BM113" s="330">
        <f t="shared" si="83"/>
        <v>0</v>
      </c>
      <c r="BN113" s="331"/>
      <c r="BO113" s="331">
        <f>_xlfn.IFNA(VLOOKUP(A113,'Cash Advances'!A:K,11,FALSE),0)</f>
        <v>0</v>
      </c>
      <c r="BP113" s="330">
        <f t="shared" si="124"/>
        <v>198187.37087424076</v>
      </c>
      <c r="BQ113" s="322">
        <f t="shared" si="84"/>
        <v>0</v>
      </c>
      <c r="BR113" s="322"/>
      <c r="BS113" s="323"/>
      <c r="BT113" s="323">
        <f>_xlfn.IFNA((VLOOKUP($A113,HN!$A:$K,8,FALSE)/12),0)</f>
        <v>99034.375</v>
      </c>
      <c r="BU113" s="323">
        <f>_xlfn.IFNA((VLOOKUP($A113,HN!$A:$BS,14,FALSE)/12),0)</f>
        <v>0</v>
      </c>
      <c r="BV113" s="323">
        <f>(_xlfn.IFNA(VLOOKUP($A113,'Post 16'!$A:$AV,32,FALSE),0)/8)+_xlfn.IFNA(VLOOKUP($A113,'Post 16'!$A:$AR,40,FALSE),0)</f>
        <v>0</v>
      </c>
      <c r="BW113" s="323"/>
      <c r="BX113" s="323">
        <f>_xlfn.IFNA((VLOOKUP($A113,HN!$A:$K,9,FALSE)/12),0)+_xlfn.IFNA((VLOOKUP($A113,HN!$A:$K,10,FALSE)/12),0)</f>
        <v>99152.995874240747</v>
      </c>
      <c r="BY113" s="323">
        <f>_xlfn.IFNA((VLOOKUP($A113,HN!$A:$BS,15,FALSE)/12),0)</f>
        <v>0</v>
      </c>
      <c r="BZ113" s="322">
        <f t="shared" si="85"/>
        <v>0</v>
      </c>
      <c r="CA113" s="322">
        <f t="shared" si="86"/>
        <v>0</v>
      </c>
      <c r="CB113" s="323"/>
      <c r="CC113" s="323"/>
      <c r="CD113" s="322">
        <f t="shared" si="125"/>
        <v>198187.37087424076</v>
      </c>
      <c r="CE113" s="357">
        <f t="shared" si="87"/>
        <v>0</v>
      </c>
      <c r="CF113" s="357">
        <f>(VLOOKUP($A113,EY!$A:$BS,26,FALSE)-(VLOOKUP($A113,EY!A:CR,24,FALSE)*80%))+VLOOKUP($A113,EY!$A:$BS,42,FALSE)+(VLOOKUP($A113,EY!A:CC,74,FALSE)-VLOOKUP($A113,EY!A:CC,72,FALSE))</f>
        <v>0</v>
      </c>
      <c r="CG113" s="358"/>
      <c r="CH113" s="358">
        <f>_xlfn.IFNA((VLOOKUP($A113,HN!$A:$K,8,FALSE)/12),0)</f>
        <v>99034.375</v>
      </c>
      <c r="CI113" s="358">
        <f>_xlfn.IFNA((VLOOKUP($A113,HN!$A:$BS,14,FALSE)/12),0)</f>
        <v>0</v>
      </c>
      <c r="CJ113" s="358">
        <f>(_xlfn.IFNA(VLOOKUP($A113,'Post 16'!$A:$AV,32,FALSE),0)/8)</f>
        <v>0</v>
      </c>
      <c r="CK113" s="358">
        <f>(VLOOKUP($A113,EY!A:CR,24,FALSE)*80%)+VLOOKUP($A113,EY!A:CC,72,FALSE)</f>
        <v>0</v>
      </c>
      <c r="CL113" s="358">
        <f>_xlfn.IFNA((VLOOKUP($A113,HN!$A:$K,9,FALSE)/12),0)+_xlfn.IFNA((VLOOKUP($A113,HN!$A:$K,10,FALSE)/12),0)</f>
        <v>99152.995874240747</v>
      </c>
      <c r="CM113" s="358">
        <f>_xlfn.IFNA((VLOOKUP($A113,HN!$A:$BS,15,FALSE)/12),0)</f>
        <v>0</v>
      </c>
      <c r="CN113" s="357">
        <f t="shared" si="88"/>
        <v>0</v>
      </c>
      <c r="CO113" s="357">
        <f t="shared" si="89"/>
        <v>0</v>
      </c>
      <c r="CP113" s="358">
        <f>_xlfn.IFNA(VLOOKUP(A113,'LA Deductions'!A:W,23,FALSE),0)</f>
        <v>-3291.75</v>
      </c>
      <c r="CQ113" s="358">
        <f>_xlfn.IFNA(VLOOKUP($A113,'Cash Advances'!$A:$S,13,FALSE),0)</f>
        <v>0</v>
      </c>
      <c r="CR113" s="358">
        <f>_xlfn.IFNA(VLOOKUP(A113,'LA Deductions'!A:AZ,25,FALSE),0)/9*3</f>
        <v>0</v>
      </c>
      <c r="CS113" s="357">
        <f t="shared" si="108"/>
        <v>194895.62087424076</v>
      </c>
      <c r="CT113" s="337">
        <f t="shared" si="90"/>
        <v>0</v>
      </c>
      <c r="CU113" s="337"/>
      <c r="CV113" s="338">
        <f>_xlfn.IFNA(VLOOKUP(A113,'LA Deductions'!$A$6:$AN$207,34,FALSE),0)</f>
        <v>0</v>
      </c>
      <c r="CW113" s="338">
        <f>_xlfn.IFNA((VLOOKUP($A113,HN!$A:$K,8,FALSE)/12),0)</f>
        <v>99034.375</v>
      </c>
      <c r="CX113" s="338">
        <f>_xlfn.IFNA((VLOOKUP($A113,HN!$A:$BS,14,FALSE)/12),0)</f>
        <v>0</v>
      </c>
      <c r="CY113" s="338">
        <f>_xlfn.IFNA(VLOOKUP($A113,'Post 16'!$A:$AV,32,FALSE),0)/8</f>
        <v>0</v>
      </c>
      <c r="CZ113" s="338"/>
      <c r="DA113" s="338">
        <f>_xlfn.IFNA((VLOOKUP($A113,HN!$A:$K,9,FALSE)/12),0)+_xlfn.IFNA((VLOOKUP($A113,HN!$A:$K,10,FALSE)/12),0)</f>
        <v>99152.995874240747</v>
      </c>
      <c r="DB113" s="338">
        <f>_xlfn.IFNA((VLOOKUP($A113,HN!$A:$BS,15,FALSE)/12),0)</f>
        <v>0</v>
      </c>
      <c r="DC113" s="337">
        <f t="shared" si="91"/>
        <v>0</v>
      </c>
      <c r="DD113" s="337">
        <f t="shared" si="92"/>
        <v>0</v>
      </c>
      <c r="DE113" s="338"/>
      <c r="DF113" s="338">
        <f>_xlfn.IFNA(VLOOKUP($A113,'Cash Advances'!$A:$S,14,FALSE),0)</f>
        <v>0</v>
      </c>
      <c r="DG113" s="338">
        <f>(_xlfn.IFNA(VLOOKUP(A113,'LA Deductions'!A:AZ,25,FALSE),0)/9)+(_xlfn.IFNA(VLOOKUP(A113,'LA Deductions'!A:AZ,26,FALSE),0))</f>
        <v>0</v>
      </c>
      <c r="DH113" s="337">
        <f t="shared" si="109"/>
        <v>198187.37087424076</v>
      </c>
      <c r="DI113" s="330">
        <f t="shared" si="93"/>
        <v>0</v>
      </c>
      <c r="DJ113" s="330"/>
      <c r="DK113" s="331"/>
      <c r="DL113" s="331">
        <f>_xlfn.IFNA((VLOOKUP($A113,HN!$A:$K,8,FALSE)/12),0)+_xlfn.IFNA((VLOOKUP($A113,HN!$A:$AF,32,FALSE)*8/12),0)</f>
        <v>154309.375</v>
      </c>
      <c r="DM113" s="331">
        <f>_xlfn.IFNA((VLOOKUP($A113,HN!$A:$BS,14,FALSE)/12),0)+_xlfn.IFNA(VLOOKUP($A113,HN!$A:$BS,31,FALSE),0)</f>
        <v>0</v>
      </c>
      <c r="DN113" s="331">
        <f>_xlfn.IFNA(VLOOKUP($A113,'Post 16'!$A:$AV,32,FALSE),0)/8</f>
        <v>0</v>
      </c>
      <c r="DO113" s="331"/>
      <c r="DP113" s="331">
        <f>_xlfn.IFNA((VLOOKUP($A113,HN!$A:$K,9,FALSE)/12),0)+_xlfn.IFNA((VLOOKUP($A113,HN!$A:$K,10,FALSE)/12),0)+_xlfn.IFNA((VLOOKUP($A113,HN!$A:$BZ,33,FALSE)*8/12),0)</f>
        <v>130498.13270426563</v>
      </c>
      <c r="DQ113" s="331">
        <f>_xlfn.IFNA((VLOOKUP($A113,HN!$A:$BS,15,FALSE)/12),0)</f>
        <v>0</v>
      </c>
      <c r="DR113" s="330">
        <f t="shared" si="94"/>
        <v>0</v>
      </c>
      <c r="DS113" s="330">
        <f t="shared" si="95"/>
        <v>0</v>
      </c>
      <c r="DT113" s="331"/>
      <c r="DU113" s="331"/>
      <c r="DV113" s="331">
        <f>(_xlfn.IFNA(VLOOKUP(A113,'LA Deductions'!A:AZ,25,FALSE),0)/9)+_xlfn.IFNA(VLOOKUP(A113,'LA Deductions'!A:AZ,27,FALSE),0)</f>
        <v>0</v>
      </c>
      <c r="DW113" s="330">
        <f t="shared" si="110"/>
        <v>284807.50770426565</v>
      </c>
      <c r="DX113" s="344">
        <f t="shared" si="96"/>
        <v>0</v>
      </c>
      <c r="DY113" s="344"/>
      <c r="DZ113" s="345"/>
      <c r="EA113" s="345">
        <f>_xlfn.IFNA((VLOOKUP($A113,HN!$A:$K,8,FALSE)/12),0)+_xlfn.IFNA((VLOOKUP($A113,HN!$A:$AF,32,FALSE)*1/12),0)</f>
        <v>105943.75</v>
      </c>
      <c r="EB113" s="345">
        <f>_xlfn.IFNA((VLOOKUP($A113,HN!$A:$BS,14,FALSE)/12),0)</f>
        <v>0</v>
      </c>
      <c r="EC113" s="345">
        <f>_xlfn.IFNA(VLOOKUP($A113,'Post 16'!$A:$AV,32,FALSE),0)/8</f>
        <v>0</v>
      </c>
      <c r="ED113" s="345"/>
      <c r="EE113" s="345">
        <f>_xlfn.IFNA((VLOOKUP($A113,HN!$A:$K,9,FALSE)/12),0)+_xlfn.IFNA((VLOOKUP($A113,HN!$A:$K,10,FALSE)/12),0)+_xlfn.IFNA((VLOOKUP($A113,HN!$A:$BZ,33,FALSE)/12),0)</f>
        <v>103071.13797799386</v>
      </c>
      <c r="EF113" s="345">
        <f>_xlfn.IFNA((VLOOKUP($A113,HN!$A:$BS,15,FALSE)/12),0)</f>
        <v>0</v>
      </c>
      <c r="EG113" s="344">
        <f t="shared" si="97"/>
        <v>0</v>
      </c>
      <c r="EH113" s="344">
        <f t="shared" si="98"/>
        <v>0</v>
      </c>
      <c r="EI113" s="345"/>
      <c r="EJ113" s="345">
        <f>_xlfn.IFNA(VLOOKUP(A113,'Cash Advances'!A:P,16,FALSE),0)</f>
        <v>0</v>
      </c>
      <c r="EK113" s="345">
        <f>_xlfn.IFNA(VLOOKUP(A113,'LA Deductions'!A:AZ,25,FALSE),0)/9</f>
        <v>0</v>
      </c>
      <c r="EL113" s="344">
        <f t="shared" si="111"/>
        <v>209014.88797799387</v>
      </c>
      <c r="EM113" s="308">
        <f t="shared" si="99"/>
        <v>0</v>
      </c>
      <c r="EN113" s="308">
        <f>((VLOOKUP($A113,EY!$A:$BS,35,FALSE)-(VLOOKUP($A113,EY!$A:$BS,33,FALSE)*80%))+VLOOKUP($A113,EY!$A:$BS,43,FALSE))+(VLOOKUP(A113,EY!A:DF,110,FALSE)-VLOOKUP(A113,EY!A:DD,108,FALSE))+(VLOOKUP(A113,EY!A:CE,83,FALSE)-VLOOKUP(A113,EY!A:CC,81,FALSE))</f>
        <v>0</v>
      </c>
      <c r="EO113" s="309"/>
      <c r="EP113" s="309">
        <f>_xlfn.IFNA((VLOOKUP($A113,HN!$A:$K,8,FALSE)/12),0)+_xlfn.IFNA((VLOOKUP($A113,HN!$A:$AF,32,FALSE)*1/12),0)</f>
        <v>105943.75</v>
      </c>
      <c r="EQ113" s="309">
        <f>_xlfn.IFNA((VLOOKUP($A113,HN!$A:$BS,14,FALSE)/12),0)+_xlfn.IFNA((VLOOKUP($A113,HN!$A:$BS,34,FALSE)/3),0)</f>
        <v>0</v>
      </c>
      <c r="ER113" s="309">
        <f>_xlfn.IFNA(VLOOKUP($A113,'Post 16'!$A:$AV,32,FALSE),0)/8</f>
        <v>0</v>
      </c>
      <c r="ES113" s="309">
        <f>((VLOOKUP($A113,EY!A:EV,33,FALSE)*80%))+VLOOKUP(A113,EY!A:DD,108,FALSE)+VLOOKUP(A113,EY!A:CC,81,FALSE)</f>
        <v>0</v>
      </c>
      <c r="ET113" s="309">
        <f>_xlfn.IFNA((VLOOKUP($A113,HN!$A:$K,9,FALSE)/12),0)+_xlfn.IFNA((VLOOKUP($A113,HN!$A:$K,10,FALSE)/12),0)+_xlfn.IFNA((VLOOKUP($A113,HN!$A:$BZ,33,FALSE)/12),0)</f>
        <v>103071.13797799386</v>
      </c>
      <c r="EU113" s="309">
        <f>_xlfn.IFNA((VLOOKUP($A113,HN!$A:$BS,15,FALSE)/12),0)</f>
        <v>0</v>
      </c>
      <c r="EV113" s="308">
        <f t="shared" si="100"/>
        <v>0</v>
      </c>
      <c r="EW113" s="308">
        <f t="shared" si="101"/>
        <v>0</v>
      </c>
      <c r="EX113" s="309"/>
      <c r="EY113" s="309">
        <f>_xlfn.IFNA(VLOOKUP($A113,'Cash Advances'!$A:$S,17,FALSE),0)</f>
        <v>0</v>
      </c>
      <c r="EZ113" s="309">
        <f>_xlfn.IFNA(VLOOKUP(A113,'LA Deductions'!A:AZ,25,FALSE),0)/9</f>
        <v>0</v>
      </c>
      <c r="FA113" s="308">
        <f t="shared" si="112"/>
        <v>209014.88797799387</v>
      </c>
      <c r="FB113" s="315">
        <f t="shared" si="102"/>
        <v>0</v>
      </c>
      <c r="FC113" s="315"/>
      <c r="FD113" s="316"/>
      <c r="FE113" s="316">
        <f>_xlfn.IFNA((VLOOKUP($A113,HN!$A:$K,8,FALSE)/12),0)+_xlfn.IFNA((VLOOKUP($A113,HN!$A:$AF,32,FALSE)*1/12),0)</f>
        <v>105943.75</v>
      </c>
      <c r="FF113" s="316">
        <f>_xlfn.IFNA((VLOOKUP($A113,HN!$A:$BS,14,FALSE)/12),0)+_xlfn.IFNA((VLOOKUP($A113,HN!$A:$BS,34,FALSE)/3),0)</f>
        <v>0</v>
      </c>
      <c r="FG113" s="316">
        <f>_xlfn.IFNA(VLOOKUP($A113,'Post 16'!$A:$AV,32,FALSE),0)/8</f>
        <v>0</v>
      </c>
      <c r="FH113" s="316"/>
      <c r="FI113" s="316">
        <f>_xlfn.IFNA((VLOOKUP($A113,HN!$A:$K,9,FALSE)/12),0)+_xlfn.IFNA((VLOOKUP($A113,HN!$A:$K,10,FALSE)/12),0)+_xlfn.IFNA((VLOOKUP($A113,HN!$A:$BZ,33,FALSE)/12),0)+_xlfn.IFNA((VLOOKUP($A113,HN!$A:$BZ,35,FALSE)/2),0)</f>
        <v>128475.60797799386</v>
      </c>
      <c r="FJ113" s="316">
        <f>_xlfn.IFNA((VLOOKUP($A113,HN!$A:$BS,15,FALSE)/12),0)+_xlfn.IFNA((VLOOKUP($A113,HN!$A:$CZ,36,FALSE)/2),0)</f>
        <v>0</v>
      </c>
      <c r="FK113" s="315">
        <f t="shared" si="103"/>
        <v>0</v>
      </c>
      <c r="FL113" s="315">
        <f t="shared" si="104"/>
        <v>0</v>
      </c>
      <c r="FM113" s="316"/>
      <c r="FN113" s="316">
        <f>_xlfn.IFNA(VLOOKUP($A113,'Cash Advances'!$A:$S,18,FALSE),0)</f>
        <v>0</v>
      </c>
      <c r="FO113" s="316">
        <f>_xlfn.IFNA(VLOOKUP(A113,'LA Deductions'!A:AZ,25,FALSE),0)/9</f>
        <v>0</v>
      </c>
      <c r="FP113" s="315">
        <f t="shared" si="113"/>
        <v>234419.35797799384</v>
      </c>
      <c r="FQ113" s="322">
        <f t="shared" si="105"/>
        <v>0</v>
      </c>
      <c r="FR113" s="322"/>
      <c r="FS113" s="323"/>
      <c r="FT113" s="323">
        <f>_xlfn.IFNA((VLOOKUP($A113,HN!$A:$K,8,FALSE)/12),0)+_xlfn.IFNA((VLOOKUP($A113,HN!$A:$AF,32,FALSE)*1/12),0)</f>
        <v>105943.75</v>
      </c>
      <c r="FU113" s="323">
        <f>_xlfn.IFNA((VLOOKUP($A113,HN!$A:$BS,14,FALSE)/12),0)+_xlfn.IFNA((VLOOKUP($A113,HN!$A:$BS,34,FALSE)/3),0)</f>
        <v>0</v>
      </c>
      <c r="FV113" s="323">
        <f>_xlfn.IFNA(VLOOKUP($A113,'Post 16'!$A:$AV,32,FALSE),0)/8</f>
        <v>0</v>
      </c>
      <c r="FW113" s="323"/>
      <c r="FX113" s="323">
        <f>_xlfn.IFNA((VLOOKUP($A113,HN!$A:$K,9,FALSE)/12),0)+_xlfn.IFNA((VLOOKUP($A113,HN!$A:$K,10,FALSE)/12),0)+_xlfn.IFNA((VLOOKUP($A113,HN!$A:$BZ,33,FALSE)/12),0)+_xlfn.IFNA((VLOOKUP($A113,HN!$A:$BZ,35,FALSE)/2),0)</f>
        <v>128475.60797799386</v>
      </c>
      <c r="FY113" s="323">
        <f>_xlfn.IFNA((VLOOKUP($A113,HN!$A:$BS,15,FALSE)/12),0)+_xlfn.IFNA((VLOOKUP($A113,HN!$A:$CZ,36,FALSE)/2),0)</f>
        <v>0</v>
      </c>
      <c r="FZ113" s="322">
        <f t="shared" si="106"/>
        <v>0</v>
      </c>
      <c r="GA113" s="322">
        <f t="shared" si="107"/>
        <v>0</v>
      </c>
      <c r="GB113" s="323"/>
      <c r="GC113" s="323"/>
      <c r="GD113" s="323">
        <f>_xlfn.IFNA(VLOOKUP(A113,'LA Deductions'!A:AZ,25,FALSE),0)/9</f>
        <v>0</v>
      </c>
      <c r="GE113" s="322">
        <f t="shared" si="114"/>
        <v>234419.35797799384</v>
      </c>
      <c r="GG113" s="146">
        <f t="shared" si="126"/>
        <v>1271325</v>
      </c>
      <c r="GH113" s="146">
        <f t="shared" si="126"/>
        <v>0</v>
      </c>
      <c r="GI113" s="146">
        <f t="shared" si="126"/>
        <v>1478624.1341974649</v>
      </c>
      <c r="GJ113" s="146">
        <f t="shared" si="126"/>
        <v>0</v>
      </c>
      <c r="GK113" s="146">
        <f t="shared" si="126"/>
        <v>0</v>
      </c>
      <c r="GL113" s="146">
        <f t="shared" si="126"/>
        <v>-3291.75</v>
      </c>
      <c r="GN113" s="146">
        <f t="shared" si="127"/>
        <v>1271325</v>
      </c>
      <c r="GO113" s="146">
        <f t="shared" si="127"/>
        <v>0</v>
      </c>
      <c r="GP113" s="146">
        <f t="shared" si="127"/>
        <v>1478624.1341974649</v>
      </c>
      <c r="GQ113" s="146">
        <f t="shared" si="127"/>
        <v>0</v>
      </c>
      <c r="GR113" s="146">
        <f t="shared" si="127"/>
        <v>0</v>
      </c>
      <c r="GS113" s="146">
        <f t="shared" si="127"/>
        <v>-3291.75</v>
      </c>
      <c r="GU113" s="146"/>
      <c r="GV113" s="57"/>
    </row>
    <row r="114" spans="1:204">
      <c r="A114" s="185">
        <v>3410</v>
      </c>
      <c r="B114" s="185">
        <v>103478</v>
      </c>
      <c r="C114" s="185" t="s">
        <v>252</v>
      </c>
      <c r="D114" s="2" t="s">
        <v>253</v>
      </c>
      <c r="E114" s="191" t="s">
        <v>32</v>
      </c>
      <c r="F114" s="191" t="s">
        <v>912</v>
      </c>
      <c r="H114" s="279">
        <f>_xlfn.IFNA(VLOOKUP($A114,ISB!$A$4:$BY$454,67,FALSE),0)</f>
        <v>1226089.5734834147</v>
      </c>
      <c r="I114" s="279">
        <f>_xlfn.IFNA(VLOOKUP($A114,ISB!$A$4:$BY$454,72,FALSE),0)</f>
        <v>-5398.5599999999995</v>
      </c>
      <c r="J114" s="279">
        <f>-_xlfn.IFNA(VLOOKUP($A114,ISB!$A$4:$BY$454,76,FALSE),0)</f>
        <v>-3921.97</v>
      </c>
      <c r="K114" s="279">
        <f>_xlfn.IFNA(VLOOKUP($A114,ISB!$A$4:$BY$454,77,FALSE),0)</f>
        <v>1216769.0434834147</v>
      </c>
      <c r="M114" s="301">
        <f t="shared" si="72"/>
        <v>102174.13112361789</v>
      </c>
      <c r="N114" s="301">
        <f>VLOOKUP($A114,EY!$A:$H,8,FALSE)+(VLOOKUP($A114,EY!$A:$BS,17,FALSE)-S114)+VLOOKUP($A114,EY!$A:$BS,41,FALSE)</f>
        <v>0</v>
      </c>
      <c r="O114" s="302"/>
      <c r="P114" s="302">
        <f>_xlfn.IFNA((VLOOKUP($A114,HN!$A:$K,8,FALSE)/12),0)</f>
        <v>0</v>
      </c>
      <c r="Q114" s="302">
        <f>_xlfn.IFNA((VLOOKUP($A114,HN!$A:$BS,14,FALSE)/12),0)</f>
        <v>0</v>
      </c>
      <c r="R114" s="302">
        <f>_xlfn.IFNA(VLOOKUP($A114,'Post 16'!$A:$V,21,FALSE),0)/4</f>
        <v>0</v>
      </c>
      <c r="S114" s="302">
        <f>VLOOKUP($A114,EY!A:Q,15,FALSE)*80%</f>
        <v>0</v>
      </c>
      <c r="T114" s="302">
        <f>_xlfn.IFNA((VLOOKUP($A114,HN!$A:$K,9,FALSE)/12),0)+_xlfn.IFNA((VLOOKUP($A114,HN!$A:$K,10,FALSE)/12),0)</f>
        <v>0</v>
      </c>
      <c r="U114" s="302">
        <f>_xlfn.IFNA((VLOOKUP($A114,HN!$A:$BS,15,FALSE)/12),0)</f>
        <v>0</v>
      </c>
      <c r="V114" s="301">
        <f t="shared" si="73"/>
        <v>-449.87999999999994</v>
      </c>
      <c r="W114" s="301">
        <f t="shared" si="74"/>
        <v>-326.83083333333332</v>
      </c>
      <c r="X114" s="302"/>
      <c r="Y114" s="302">
        <f>_xlfn.IFNA(VLOOKUP($A114,'Cash Advances'!$A:$S,8,FALSE),0)</f>
        <v>0</v>
      </c>
      <c r="Z114" s="301">
        <f t="shared" si="121"/>
        <v>101397.42029028456</v>
      </c>
      <c r="AA114" s="315">
        <f t="shared" si="75"/>
        <v>102174.13112361789</v>
      </c>
      <c r="AB114" s="315"/>
      <c r="AC114" s="316"/>
      <c r="AD114" s="316">
        <f>_xlfn.IFNA((VLOOKUP($A114,HN!$A:$K,8,FALSE)/12),0)</f>
        <v>0</v>
      </c>
      <c r="AE114" s="316">
        <f>_xlfn.IFNA((VLOOKUP($A114,HN!$A:$BS,14,FALSE)/12),0)</f>
        <v>0</v>
      </c>
      <c r="AF114" s="316">
        <f>_xlfn.IFNA(VLOOKUP($A114,'Post 16'!$A:$V,21,FALSE),0)/4</f>
        <v>0</v>
      </c>
      <c r="AG114" s="316"/>
      <c r="AH114" s="316">
        <f>_xlfn.IFNA((VLOOKUP($A114,HN!$A:$K,9,FALSE)/12),0)+_xlfn.IFNA((VLOOKUP($A114,HN!$A:$K,10,FALSE)/12),0)</f>
        <v>0</v>
      </c>
      <c r="AI114" s="316">
        <f>_xlfn.IFNA((VLOOKUP($A114,HN!$A:$BS,15,FALSE)/12),0)</f>
        <v>0</v>
      </c>
      <c r="AJ114" s="315">
        <f t="shared" si="76"/>
        <v>-449.87999999999994</v>
      </c>
      <c r="AK114" s="315">
        <f t="shared" si="77"/>
        <v>-326.83083333333332</v>
      </c>
      <c r="AL114" s="316"/>
      <c r="AM114" s="316">
        <f>_xlfn.IFNA(VLOOKUP($A114,'Cash Advances'!$A:$S,9,FALSE),0)</f>
        <v>0</v>
      </c>
      <c r="AN114" s="315">
        <f t="shared" si="122"/>
        <v>101397.42029028456</v>
      </c>
      <c r="AO114" s="308">
        <f t="shared" si="78"/>
        <v>102174.13112361789</v>
      </c>
      <c r="AP114" s="308"/>
      <c r="AQ114" s="309"/>
      <c r="AR114" s="309">
        <f>_xlfn.IFNA((VLOOKUP($A114,HN!$A:$K,8,FALSE)/12),0)</f>
        <v>0</v>
      </c>
      <c r="AS114" s="309">
        <f>_xlfn.IFNA((VLOOKUP($A114,HN!$A:$BS,14,FALSE)/12),0)</f>
        <v>0</v>
      </c>
      <c r="AT114" s="309">
        <f>_xlfn.IFNA(VLOOKUP($A114,'Post 16'!$A:$V,21,FALSE),0)/4</f>
        <v>0</v>
      </c>
      <c r="AU114" s="309"/>
      <c r="AV114" s="309">
        <f>_xlfn.IFNA((VLOOKUP($A114,HN!$A:$K,9,FALSE)/12),0)+_xlfn.IFNA((VLOOKUP($A114,HN!$A:$K,10,FALSE)/12),0)+_xlfn.IFNA(VLOOKUP(A114,HN!A:V,19,FALSE),0)+_xlfn.IFNA(VLOOKUP(A114,HN!A:V,20,FALSE),0)+_xlfn.IFNA(VLOOKUP(A114,HN!A:V,21,FALSE),0)</f>
        <v>0</v>
      </c>
      <c r="AW114" s="309">
        <f>_xlfn.IFNA((VLOOKUP($A114,HN!$A:$BS,15,FALSE)/12),0)</f>
        <v>0</v>
      </c>
      <c r="AX114" s="308">
        <f t="shared" si="79"/>
        <v>-449.87999999999994</v>
      </c>
      <c r="AY114" s="308">
        <f t="shared" si="80"/>
        <v>-326.83083333333332</v>
      </c>
      <c r="AZ114" s="309"/>
      <c r="BA114" s="309">
        <f>_xlfn.IFNA(VLOOKUP($A114,'Cash Advances'!$A:$S,10,FALSE),0)</f>
        <v>0</v>
      </c>
      <c r="BB114" s="308">
        <f t="shared" si="123"/>
        <v>101397.42029028456</v>
      </c>
      <c r="BC114" s="330">
        <f t="shared" si="81"/>
        <v>102174.13112361789</v>
      </c>
      <c r="BD114" s="330"/>
      <c r="BE114" s="331"/>
      <c r="BF114" s="331">
        <f>_xlfn.IFNA((VLOOKUP($A114,HN!$A:$K,8,FALSE)/12),0)</f>
        <v>0</v>
      </c>
      <c r="BG114" s="331">
        <f>_xlfn.IFNA((VLOOKUP($A114,HN!$A:$BS,14,FALSE)/12),0)</f>
        <v>0</v>
      </c>
      <c r="BH114" s="331">
        <f>_xlfn.IFNA(VLOOKUP($A114,'Post 16'!$A:$V,21,FALSE),0)/4</f>
        <v>0</v>
      </c>
      <c r="BI114" s="331"/>
      <c r="BJ114" s="331">
        <f>_xlfn.IFNA((VLOOKUP($A114,HN!$A:$K,9,FALSE)/12),0)+_xlfn.IFNA((VLOOKUP($A114,HN!$A:$K,10,FALSE)/12),0)</f>
        <v>0</v>
      </c>
      <c r="BK114" s="331">
        <f>_xlfn.IFNA((VLOOKUP($A114,HN!$A:$BS,15,FALSE)/12),0)</f>
        <v>0</v>
      </c>
      <c r="BL114" s="330">
        <f t="shared" si="82"/>
        <v>-449.87999999999994</v>
      </c>
      <c r="BM114" s="330">
        <f t="shared" si="83"/>
        <v>-326.83083333333332</v>
      </c>
      <c r="BN114" s="331"/>
      <c r="BO114" s="331">
        <f>_xlfn.IFNA(VLOOKUP(A114,'Cash Advances'!A:K,11,FALSE),0)</f>
        <v>0</v>
      </c>
      <c r="BP114" s="330">
        <f t="shared" si="124"/>
        <v>101397.42029028456</v>
      </c>
      <c r="BQ114" s="322">
        <f t="shared" si="84"/>
        <v>102174.13112361789</v>
      </c>
      <c r="BR114" s="322"/>
      <c r="BS114" s="323"/>
      <c r="BT114" s="323">
        <f>_xlfn.IFNA((VLOOKUP($A114,HN!$A:$K,8,FALSE)/12),0)</f>
        <v>0</v>
      </c>
      <c r="BU114" s="323">
        <f>_xlfn.IFNA((VLOOKUP($A114,HN!$A:$BS,14,FALSE)/12),0)</f>
        <v>0</v>
      </c>
      <c r="BV114" s="323">
        <f>(_xlfn.IFNA(VLOOKUP($A114,'Post 16'!$A:$AV,32,FALSE),0)/8)+_xlfn.IFNA(VLOOKUP($A114,'Post 16'!$A:$AR,40,FALSE),0)</f>
        <v>0</v>
      </c>
      <c r="BW114" s="323"/>
      <c r="BX114" s="323">
        <f>_xlfn.IFNA((VLOOKUP($A114,HN!$A:$K,9,FALSE)/12),0)+_xlfn.IFNA((VLOOKUP($A114,HN!$A:$K,10,FALSE)/12),0)</f>
        <v>0</v>
      </c>
      <c r="BY114" s="323">
        <f>_xlfn.IFNA((VLOOKUP($A114,HN!$A:$BS,15,FALSE)/12),0)</f>
        <v>0</v>
      </c>
      <c r="BZ114" s="322">
        <f t="shared" si="85"/>
        <v>-449.87999999999994</v>
      </c>
      <c r="CA114" s="322">
        <f t="shared" si="86"/>
        <v>-326.83083333333332</v>
      </c>
      <c r="CB114" s="323"/>
      <c r="CC114" s="323"/>
      <c r="CD114" s="322">
        <f t="shared" si="125"/>
        <v>101397.42029028456</v>
      </c>
      <c r="CE114" s="357">
        <f t="shared" si="87"/>
        <v>102174.13112361789</v>
      </c>
      <c r="CF114" s="357">
        <f>(VLOOKUP($A114,EY!$A:$BS,26,FALSE)-(VLOOKUP($A114,EY!A:CR,24,FALSE)*80%))+VLOOKUP($A114,EY!$A:$BS,42,FALSE)+(VLOOKUP($A114,EY!A:CC,74,FALSE)-VLOOKUP($A114,EY!A:CC,72,FALSE))</f>
        <v>0</v>
      </c>
      <c r="CG114" s="358"/>
      <c r="CH114" s="358">
        <f>_xlfn.IFNA((VLOOKUP($A114,HN!$A:$K,8,FALSE)/12),0)</f>
        <v>0</v>
      </c>
      <c r="CI114" s="358">
        <f>_xlfn.IFNA((VLOOKUP($A114,HN!$A:$BS,14,FALSE)/12),0)</f>
        <v>0</v>
      </c>
      <c r="CJ114" s="358">
        <f>(_xlfn.IFNA(VLOOKUP($A114,'Post 16'!$A:$AV,32,FALSE),0)/8)</f>
        <v>0</v>
      </c>
      <c r="CK114" s="358">
        <f>(VLOOKUP($A114,EY!A:CR,24,FALSE)*80%)+VLOOKUP($A114,EY!A:CC,72,FALSE)</f>
        <v>0</v>
      </c>
      <c r="CL114" s="358">
        <f>_xlfn.IFNA((VLOOKUP($A114,HN!$A:$K,9,FALSE)/12),0)+_xlfn.IFNA((VLOOKUP($A114,HN!$A:$K,10,FALSE)/12),0)</f>
        <v>0</v>
      </c>
      <c r="CM114" s="358">
        <f>_xlfn.IFNA((VLOOKUP($A114,HN!$A:$BS,15,FALSE)/12),0)</f>
        <v>0</v>
      </c>
      <c r="CN114" s="357">
        <f t="shared" si="88"/>
        <v>-449.87999999999994</v>
      </c>
      <c r="CO114" s="357">
        <f t="shared" si="89"/>
        <v>-326.83083333333332</v>
      </c>
      <c r="CP114" s="358">
        <f>_xlfn.IFNA(VLOOKUP(A114,'LA Deductions'!A:W,23,FALSE),0)</f>
        <v>-5139.75</v>
      </c>
      <c r="CQ114" s="358">
        <f>_xlfn.IFNA(VLOOKUP($A114,'Cash Advances'!$A:$S,13,FALSE),0)</f>
        <v>0</v>
      </c>
      <c r="CR114" s="358">
        <f>_xlfn.IFNA(VLOOKUP(A114,'LA Deductions'!A:AZ,25,FALSE),0)/9*3</f>
        <v>0</v>
      </c>
      <c r="CS114" s="357">
        <f t="shared" si="108"/>
        <v>96257.670290284557</v>
      </c>
      <c r="CT114" s="337">
        <f t="shared" si="90"/>
        <v>102174.13112361789</v>
      </c>
      <c r="CU114" s="337"/>
      <c r="CV114" s="338">
        <f>_xlfn.IFNA(VLOOKUP(A114,'LA Deductions'!$A$6:$AN$207,34,FALSE),0)</f>
        <v>0</v>
      </c>
      <c r="CW114" s="338">
        <f>_xlfn.IFNA((VLOOKUP($A114,HN!$A:$K,8,FALSE)/12),0)</f>
        <v>0</v>
      </c>
      <c r="CX114" s="338">
        <f>_xlfn.IFNA((VLOOKUP($A114,HN!$A:$BS,14,FALSE)/12),0)</f>
        <v>0</v>
      </c>
      <c r="CY114" s="338">
        <f>_xlfn.IFNA(VLOOKUP($A114,'Post 16'!$A:$AV,32,FALSE),0)/8</f>
        <v>0</v>
      </c>
      <c r="CZ114" s="338"/>
      <c r="DA114" s="338">
        <f>_xlfn.IFNA((VLOOKUP($A114,HN!$A:$K,9,FALSE)/12),0)+_xlfn.IFNA((VLOOKUP($A114,HN!$A:$K,10,FALSE)/12),0)</f>
        <v>0</v>
      </c>
      <c r="DB114" s="338">
        <f>_xlfn.IFNA((VLOOKUP($A114,HN!$A:$BS,15,FALSE)/12),0)</f>
        <v>0</v>
      </c>
      <c r="DC114" s="337">
        <f t="shared" si="91"/>
        <v>-449.87999999999994</v>
      </c>
      <c r="DD114" s="337">
        <f t="shared" si="92"/>
        <v>-326.83083333333332</v>
      </c>
      <c r="DE114" s="338"/>
      <c r="DF114" s="338">
        <f>_xlfn.IFNA(VLOOKUP($A114,'Cash Advances'!$A:$S,14,FALSE),0)</f>
        <v>0</v>
      </c>
      <c r="DG114" s="338">
        <f>(_xlfn.IFNA(VLOOKUP(A114,'LA Deductions'!A:AZ,25,FALSE),0)/9)+(_xlfn.IFNA(VLOOKUP(A114,'LA Deductions'!A:AZ,26,FALSE),0))</f>
        <v>0</v>
      </c>
      <c r="DH114" s="337">
        <f t="shared" si="109"/>
        <v>101397.42029028456</v>
      </c>
      <c r="DI114" s="330">
        <f t="shared" si="93"/>
        <v>102174.13112361789</v>
      </c>
      <c r="DJ114" s="330"/>
      <c r="DK114" s="331"/>
      <c r="DL114" s="331">
        <f>_xlfn.IFNA((VLOOKUP($A114,HN!$A:$K,8,FALSE)/12),0)+_xlfn.IFNA((VLOOKUP($A114,HN!$A:$AF,32,FALSE)*8/12),0)</f>
        <v>0</v>
      </c>
      <c r="DM114" s="331">
        <f>_xlfn.IFNA((VLOOKUP($A114,HN!$A:$BS,14,FALSE)/12),0)+_xlfn.IFNA(VLOOKUP($A114,HN!$A:$BS,31,FALSE),0)</f>
        <v>0</v>
      </c>
      <c r="DN114" s="331">
        <f>_xlfn.IFNA(VLOOKUP($A114,'Post 16'!$A:$AV,32,FALSE),0)/8</f>
        <v>0</v>
      </c>
      <c r="DO114" s="331"/>
      <c r="DP114" s="331">
        <f>_xlfn.IFNA((VLOOKUP($A114,HN!$A:$K,9,FALSE)/12),0)+_xlfn.IFNA((VLOOKUP($A114,HN!$A:$K,10,FALSE)/12),0)+_xlfn.IFNA((VLOOKUP($A114,HN!$A:$BZ,33,FALSE)*8/12),0)</f>
        <v>0</v>
      </c>
      <c r="DQ114" s="331">
        <f>_xlfn.IFNA((VLOOKUP($A114,HN!$A:$BS,15,FALSE)/12),0)</f>
        <v>0</v>
      </c>
      <c r="DR114" s="330">
        <f t="shared" si="94"/>
        <v>-449.87999999999994</v>
      </c>
      <c r="DS114" s="330">
        <f t="shared" si="95"/>
        <v>-326.83083333333332</v>
      </c>
      <c r="DT114" s="331"/>
      <c r="DU114" s="331"/>
      <c r="DV114" s="331">
        <f>(_xlfn.IFNA(VLOOKUP(A114,'LA Deductions'!A:AZ,25,FALSE),0)/9)+_xlfn.IFNA(VLOOKUP(A114,'LA Deductions'!A:AZ,27,FALSE),0)</f>
        <v>0</v>
      </c>
      <c r="DW114" s="330">
        <f t="shared" si="110"/>
        <v>101397.42029028456</v>
      </c>
      <c r="DX114" s="344">
        <f t="shared" si="96"/>
        <v>102174.13112361789</v>
      </c>
      <c r="DY114" s="344"/>
      <c r="DZ114" s="345"/>
      <c r="EA114" s="345">
        <f>_xlfn.IFNA((VLOOKUP($A114,HN!$A:$K,8,FALSE)/12),0)+_xlfn.IFNA((VLOOKUP($A114,HN!$A:$AF,32,FALSE)*1/12),0)</f>
        <v>0</v>
      </c>
      <c r="EB114" s="345">
        <f>_xlfn.IFNA((VLOOKUP($A114,HN!$A:$BS,14,FALSE)/12),0)</f>
        <v>0</v>
      </c>
      <c r="EC114" s="345">
        <f>_xlfn.IFNA(VLOOKUP($A114,'Post 16'!$A:$AV,32,FALSE),0)/8</f>
        <v>0</v>
      </c>
      <c r="ED114" s="345"/>
      <c r="EE114" s="345">
        <f>_xlfn.IFNA((VLOOKUP($A114,HN!$A:$K,9,FALSE)/12),0)+_xlfn.IFNA((VLOOKUP($A114,HN!$A:$K,10,FALSE)/12),0)+_xlfn.IFNA((VLOOKUP($A114,HN!$A:$BZ,33,FALSE)/12),0)</f>
        <v>0</v>
      </c>
      <c r="EF114" s="345">
        <f>_xlfn.IFNA((VLOOKUP($A114,HN!$A:$BS,15,FALSE)/12),0)</f>
        <v>0</v>
      </c>
      <c r="EG114" s="344">
        <f t="shared" si="97"/>
        <v>-449.87999999999994</v>
      </c>
      <c r="EH114" s="344">
        <f t="shared" si="98"/>
        <v>-326.83083333333332</v>
      </c>
      <c r="EI114" s="345"/>
      <c r="EJ114" s="345">
        <f>_xlfn.IFNA(VLOOKUP(A114,'Cash Advances'!A:P,16,FALSE),0)</f>
        <v>0</v>
      </c>
      <c r="EK114" s="345">
        <f>_xlfn.IFNA(VLOOKUP(A114,'LA Deductions'!A:AZ,25,FALSE),0)/9</f>
        <v>0</v>
      </c>
      <c r="EL114" s="344">
        <f t="shared" si="111"/>
        <v>101397.42029028456</v>
      </c>
      <c r="EM114" s="308">
        <f t="shared" si="99"/>
        <v>102174.13112361789</v>
      </c>
      <c r="EN114" s="308">
        <f>((VLOOKUP($A114,EY!$A:$BS,35,FALSE)-(VLOOKUP($A114,EY!$A:$BS,33,FALSE)*80%))+VLOOKUP($A114,EY!$A:$BS,43,FALSE))+(VLOOKUP(A114,EY!A:DF,110,FALSE)-VLOOKUP(A114,EY!A:DD,108,FALSE))+(VLOOKUP(A114,EY!A:CE,83,FALSE)-VLOOKUP(A114,EY!A:CC,81,FALSE))</f>
        <v>0</v>
      </c>
      <c r="EO114" s="309"/>
      <c r="EP114" s="309">
        <f>_xlfn.IFNA((VLOOKUP($A114,HN!$A:$K,8,FALSE)/12),0)+_xlfn.IFNA((VLOOKUP($A114,HN!$A:$AF,32,FALSE)*1/12),0)</f>
        <v>0</v>
      </c>
      <c r="EQ114" s="309">
        <f>_xlfn.IFNA((VLOOKUP($A114,HN!$A:$BS,14,FALSE)/12),0)+_xlfn.IFNA((VLOOKUP($A114,HN!$A:$BS,34,FALSE)/3),0)</f>
        <v>0</v>
      </c>
      <c r="ER114" s="309">
        <f>_xlfn.IFNA(VLOOKUP($A114,'Post 16'!$A:$AV,32,FALSE),0)/8</f>
        <v>0</v>
      </c>
      <c r="ES114" s="309">
        <f>((VLOOKUP($A114,EY!A:EV,33,FALSE)*80%))+VLOOKUP(A114,EY!A:DD,108,FALSE)+VLOOKUP(A114,EY!A:CC,81,FALSE)</f>
        <v>0</v>
      </c>
      <c r="ET114" s="309">
        <f>_xlfn.IFNA((VLOOKUP($A114,HN!$A:$K,9,FALSE)/12),0)+_xlfn.IFNA((VLOOKUP($A114,HN!$A:$K,10,FALSE)/12),0)+_xlfn.IFNA((VLOOKUP($A114,HN!$A:$BZ,33,FALSE)/12),0)</f>
        <v>0</v>
      </c>
      <c r="EU114" s="309">
        <f>_xlfn.IFNA((VLOOKUP($A114,HN!$A:$BS,15,FALSE)/12),0)</f>
        <v>0</v>
      </c>
      <c r="EV114" s="308">
        <f t="shared" si="100"/>
        <v>-449.87999999999994</v>
      </c>
      <c r="EW114" s="308">
        <f t="shared" si="101"/>
        <v>-326.83083333333332</v>
      </c>
      <c r="EX114" s="309"/>
      <c r="EY114" s="309">
        <f>_xlfn.IFNA(VLOOKUP($A114,'Cash Advances'!$A:$S,17,FALSE),0)</f>
        <v>0</v>
      </c>
      <c r="EZ114" s="309">
        <f>_xlfn.IFNA(VLOOKUP(A114,'LA Deductions'!A:AZ,25,FALSE),0)/9</f>
        <v>0</v>
      </c>
      <c r="FA114" s="308">
        <f t="shared" si="112"/>
        <v>101397.42029028456</v>
      </c>
      <c r="FB114" s="315">
        <f t="shared" si="102"/>
        <v>102174.13112361789</v>
      </c>
      <c r="FC114" s="315"/>
      <c r="FD114" s="316"/>
      <c r="FE114" s="316">
        <f>_xlfn.IFNA((VLOOKUP($A114,HN!$A:$K,8,FALSE)/12),0)+_xlfn.IFNA((VLOOKUP($A114,HN!$A:$AF,32,FALSE)*1/12),0)</f>
        <v>0</v>
      </c>
      <c r="FF114" s="316">
        <f>_xlfn.IFNA((VLOOKUP($A114,HN!$A:$BS,14,FALSE)/12),0)+_xlfn.IFNA((VLOOKUP($A114,HN!$A:$BS,34,FALSE)/3),0)</f>
        <v>0</v>
      </c>
      <c r="FG114" s="316">
        <f>_xlfn.IFNA(VLOOKUP($A114,'Post 16'!$A:$AV,32,FALSE),0)/8</f>
        <v>0</v>
      </c>
      <c r="FH114" s="316"/>
      <c r="FI114" s="316">
        <f>_xlfn.IFNA((VLOOKUP($A114,HN!$A:$K,9,FALSE)/12),0)+_xlfn.IFNA((VLOOKUP($A114,HN!$A:$K,10,FALSE)/12),0)+_xlfn.IFNA((VLOOKUP($A114,HN!$A:$BZ,33,FALSE)/12),0)+_xlfn.IFNA((VLOOKUP($A114,HN!$A:$BZ,35,FALSE)/2),0)</f>
        <v>0</v>
      </c>
      <c r="FJ114" s="316">
        <f>_xlfn.IFNA((VLOOKUP($A114,HN!$A:$BS,15,FALSE)/12),0)+_xlfn.IFNA((VLOOKUP($A114,HN!$A:$CZ,36,FALSE)/2),0)</f>
        <v>0</v>
      </c>
      <c r="FK114" s="315">
        <f t="shared" si="103"/>
        <v>-449.87999999999994</v>
      </c>
      <c r="FL114" s="315">
        <f t="shared" si="104"/>
        <v>-326.83083333333332</v>
      </c>
      <c r="FM114" s="316"/>
      <c r="FN114" s="316">
        <f>_xlfn.IFNA(VLOOKUP($A114,'Cash Advances'!$A:$S,18,FALSE),0)</f>
        <v>0</v>
      </c>
      <c r="FO114" s="316">
        <f>_xlfn.IFNA(VLOOKUP(A114,'LA Deductions'!A:AZ,25,FALSE),0)/9</f>
        <v>0</v>
      </c>
      <c r="FP114" s="315">
        <f t="shared" si="113"/>
        <v>101397.42029028456</v>
      </c>
      <c r="FQ114" s="322">
        <f t="shared" si="105"/>
        <v>102174.13112361789</v>
      </c>
      <c r="FR114" s="322"/>
      <c r="FS114" s="323"/>
      <c r="FT114" s="323">
        <f>_xlfn.IFNA((VLOOKUP($A114,HN!$A:$K,8,FALSE)/12),0)+_xlfn.IFNA((VLOOKUP($A114,HN!$A:$AF,32,FALSE)*1/12),0)</f>
        <v>0</v>
      </c>
      <c r="FU114" s="323">
        <f>_xlfn.IFNA((VLOOKUP($A114,HN!$A:$BS,14,FALSE)/12),0)+_xlfn.IFNA((VLOOKUP($A114,HN!$A:$BS,34,FALSE)/3),0)</f>
        <v>0</v>
      </c>
      <c r="FV114" s="323">
        <f>_xlfn.IFNA(VLOOKUP($A114,'Post 16'!$A:$AV,32,FALSE),0)/8</f>
        <v>0</v>
      </c>
      <c r="FW114" s="323"/>
      <c r="FX114" s="323">
        <f>_xlfn.IFNA((VLOOKUP($A114,HN!$A:$K,9,FALSE)/12),0)+_xlfn.IFNA((VLOOKUP($A114,HN!$A:$K,10,FALSE)/12),0)+_xlfn.IFNA((VLOOKUP($A114,HN!$A:$BZ,33,FALSE)/12),0)+_xlfn.IFNA((VLOOKUP($A114,HN!$A:$BZ,35,FALSE)/2),0)</f>
        <v>0</v>
      </c>
      <c r="FY114" s="323">
        <f>_xlfn.IFNA((VLOOKUP($A114,HN!$A:$BS,15,FALSE)/12),0)+_xlfn.IFNA((VLOOKUP($A114,HN!$A:$CZ,36,FALSE)/2),0)</f>
        <v>0</v>
      </c>
      <c r="FZ114" s="322">
        <f t="shared" si="106"/>
        <v>-449.87999999999994</v>
      </c>
      <c r="GA114" s="322">
        <f t="shared" si="107"/>
        <v>-326.83083333333332</v>
      </c>
      <c r="GB114" s="323"/>
      <c r="GC114" s="323"/>
      <c r="GD114" s="323">
        <f>_xlfn.IFNA(VLOOKUP(A114,'LA Deductions'!A:AZ,25,FALSE),0)/9</f>
        <v>0</v>
      </c>
      <c r="GE114" s="322">
        <f t="shared" si="114"/>
        <v>101397.42029028456</v>
      </c>
      <c r="GG114" s="146">
        <f t="shared" si="126"/>
        <v>1226089.5734834147</v>
      </c>
      <c r="GH114" s="146">
        <f t="shared" si="126"/>
        <v>0</v>
      </c>
      <c r="GI114" s="146">
        <f t="shared" si="126"/>
        <v>0</v>
      </c>
      <c r="GJ114" s="146">
        <f t="shared" si="126"/>
        <v>-5398.56</v>
      </c>
      <c r="GK114" s="146">
        <f t="shared" si="126"/>
        <v>-3921.9700000000007</v>
      </c>
      <c r="GL114" s="146">
        <f t="shared" si="126"/>
        <v>-5139.75</v>
      </c>
      <c r="GN114" s="146">
        <f t="shared" si="127"/>
        <v>1226089.5734834147</v>
      </c>
      <c r="GO114" s="146">
        <f t="shared" si="127"/>
        <v>0</v>
      </c>
      <c r="GP114" s="146">
        <f t="shared" si="127"/>
        <v>0</v>
      </c>
      <c r="GQ114" s="146">
        <f t="shared" si="127"/>
        <v>-5398.56</v>
      </c>
      <c r="GR114" s="146">
        <f t="shared" si="127"/>
        <v>-3921.9700000000007</v>
      </c>
      <c r="GS114" s="146">
        <f t="shared" si="127"/>
        <v>-5139.75</v>
      </c>
      <c r="GU114" s="146"/>
      <c r="GV114" s="57"/>
    </row>
    <row r="115" spans="1:204">
      <c r="A115" s="185">
        <v>3381</v>
      </c>
      <c r="B115" s="185">
        <v>103466</v>
      </c>
      <c r="C115" s="185" t="s">
        <v>254</v>
      </c>
      <c r="D115" s="2" t="s">
        <v>255</v>
      </c>
      <c r="E115" s="191" t="s">
        <v>32</v>
      </c>
      <c r="F115" s="191" t="s">
        <v>912</v>
      </c>
      <c r="H115" s="279">
        <f>_xlfn.IFNA(VLOOKUP($A115,ISB!$A$4:$BY$454,67,FALSE),0)</f>
        <v>1173317.3556819905</v>
      </c>
      <c r="I115" s="279">
        <f>_xlfn.IFNA(VLOOKUP($A115,ISB!$A$4:$BY$454,72,FALSE),0)</f>
        <v>-5398.5599999999995</v>
      </c>
      <c r="J115" s="279">
        <f>-_xlfn.IFNA(VLOOKUP($A115,ISB!$A$4:$BY$454,76,FALSE),0)</f>
        <v>-3974.98</v>
      </c>
      <c r="K115" s="279">
        <f>_xlfn.IFNA(VLOOKUP($A115,ISB!$A$4:$BY$454,77,FALSE),0)</f>
        <v>1163943.8156819905</v>
      </c>
      <c r="M115" s="301">
        <f t="shared" si="72"/>
        <v>97776.446306832542</v>
      </c>
      <c r="N115" s="301">
        <f>VLOOKUP($A115,EY!$A:$H,8,FALSE)+(VLOOKUP($A115,EY!$A:$BS,17,FALSE)-S115)+VLOOKUP($A115,EY!$A:$BS,41,FALSE)</f>
        <v>0</v>
      </c>
      <c r="O115" s="302"/>
      <c r="P115" s="302">
        <f>_xlfn.IFNA((VLOOKUP($A115,HN!$A:$K,8,FALSE)/12),0)</f>
        <v>0</v>
      </c>
      <c r="Q115" s="302">
        <f>_xlfn.IFNA((VLOOKUP($A115,HN!$A:$BS,14,FALSE)/12),0)</f>
        <v>0</v>
      </c>
      <c r="R115" s="302">
        <f>_xlfn.IFNA(VLOOKUP($A115,'Post 16'!$A:$V,21,FALSE),0)/4</f>
        <v>0</v>
      </c>
      <c r="S115" s="302">
        <f>VLOOKUP($A115,EY!A:Q,15,FALSE)*80%</f>
        <v>0</v>
      </c>
      <c r="T115" s="302">
        <f>_xlfn.IFNA((VLOOKUP($A115,HN!$A:$K,9,FALSE)/12),0)+_xlfn.IFNA((VLOOKUP($A115,HN!$A:$K,10,FALSE)/12),0)</f>
        <v>0</v>
      </c>
      <c r="U115" s="302">
        <f>_xlfn.IFNA((VLOOKUP($A115,HN!$A:$BS,15,FALSE)/12),0)</f>
        <v>0</v>
      </c>
      <c r="V115" s="301">
        <f t="shared" si="73"/>
        <v>-449.87999999999994</v>
      </c>
      <c r="W115" s="301">
        <f t="shared" si="74"/>
        <v>-331.24833333333333</v>
      </c>
      <c r="X115" s="302"/>
      <c r="Y115" s="302">
        <f>_xlfn.IFNA(VLOOKUP($A115,'Cash Advances'!$A:$S,8,FALSE),0)</f>
        <v>40000</v>
      </c>
      <c r="Z115" s="301">
        <f t="shared" si="121"/>
        <v>136995.31797349919</v>
      </c>
      <c r="AA115" s="315">
        <f t="shared" si="75"/>
        <v>97776.446306832542</v>
      </c>
      <c r="AB115" s="315"/>
      <c r="AC115" s="316"/>
      <c r="AD115" s="316">
        <f>_xlfn.IFNA((VLOOKUP($A115,HN!$A:$K,8,FALSE)/12),0)</f>
        <v>0</v>
      </c>
      <c r="AE115" s="316">
        <f>_xlfn.IFNA((VLOOKUP($A115,HN!$A:$BS,14,FALSE)/12),0)</f>
        <v>0</v>
      </c>
      <c r="AF115" s="316">
        <f>_xlfn.IFNA(VLOOKUP($A115,'Post 16'!$A:$V,21,FALSE),0)/4</f>
        <v>0</v>
      </c>
      <c r="AG115" s="316"/>
      <c r="AH115" s="316">
        <f>_xlfn.IFNA((VLOOKUP($A115,HN!$A:$K,9,FALSE)/12),0)+_xlfn.IFNA((VLOOKUP($A115,HN!$A:$K,10,FALSE)/12),0)</f>
        <v>0</v>
      </c>
      <c r="AI115" s="316">
        <f>_xlfn.IFNA((VLOOKUP($A115,HN!$A:$BS,15,FALSE)/12),0)</f>
        <v>0</v>
      </c>
      <c r="AJ115" s="315">
        <f t="shared" si="76"/>
        <v>-449.87999999999994</v>
      </c>
      <c r="AK115" s="315">
        <f t="shared" si="77"/>
        <v>-331.24833333333333</v>
      </c>
      <c r="AL115" s="316"/>
      <c r="AM115" s="316">
        <f>_xlfn.IFNA(VLOOKUP($A115,'Cash Advances'!$A:$S,9,FALSE),0)</f>
        <v>0</v>
      </c>
      <c r="AN115" s="315">
        <f t="shared" si="122"/>
        <v>96995.317973499201</v>
      </c>
      <c r="AO115" s="308">
        <f t="shared" si="78"/>
        <v>97776.446306832542</v>
      </c>
      <c r="AP115" s="308"/>
      <c r="AQ115" s="309"/>
      <c r="AR115" s="309">
        <f>_xlfn.IFNA((VLOOKUP($A115,HN!$A:$K,8,FALSE)/12),0)</f>
        <v>0</v>
      </c>
      <c r="AS115" s="309">
        <f>_xlfn.IFNA((VLOOKUP($A115,HN!$A:$BS,14,FALSE)/12),0)</f>
        <v>0</v>
      </c>
      <c r="AT115" s="309">
        <f>_xlfn.IFNA(VLOOKUP($A115,'Post 16'!$A:$V,21,FALSE),0)/4</f>
        <v>0</v>
      </c>
      <c r="AU115" s="309"/>
      <c r="AV115" s="309">
        <f>_xlfn.IFNA((VLOOKUP($A115,HN!$A:$K,9,FALSE)/12),0)+_xlfn.IFNA((VLOOKUP($A115,HN!$A:$K,10,FALSE)/12),0)+_xlfn.IFNA(VLOOKUP(A115,HN!A:V,19,FALSE),0)+_xlfn.IFNA(VLOOKUP(A115,HN!A:V,20,FALSE),0)+_xlfn.IFNA(VLOOKUP(A115,HN!A:V,21,FALSE),0)</f>
        <v>0</v>
      </c>
      <c r="AW115" s="309">
        <f>_xlfn.IFNA((VLOOKUP($A115,HN!$A:$BS,15,FALSE)/12),0)</f>
        <v>0</v>
      </c>
      <c r="AX115" s="308">
        <f t="shared" si="79"/>
        <v>-449.87999999999994</v>
      </c>
      <c r="AY115" s="308">
        <f t="shared" si="80"/>
        <v>-331.24833333333333</v>
      </c>
      <c r="AZ115" s="309"/>
      <c r="BA115" s="309">
        <f>_xlfn.IFNA(VLOOKUP($A115,'Cash Advances'!$A:$S,10,FALSE),0)</f>
        <v>-40000</v>
      </c>
      <c r="BB115" s="308">
        <f t="shared" si="123"/>
        <v>56995.317973499201</v>
      </c>
      <c r="BC115" s="330">
        <f t="shared" si="81"/>
        <v>97776.446306832542</v>
      </c>
      <c r="BD115" s="330"/>
      <c r="BE115" s="331"/>
      <c r="BF115" s="331">
        <f>_xlfn.IFNA((VLOOKUP($A115,HN!$A:$K,8,FALSE)/12),0)</f>
        <v>0</v>
      </c>
      <c r="BG115" s="331">
        <f>_xlfn.IFNA((VLOOKUP($A115,HN!$A:$BS,14,FALSE)/12),0)</f>
        <v>0</v>
      </c>
      <c r="BH115" s="331">
        <f>_xlfn.IFNA(VLOOKUP($A115,'Post 16'!$A:$V,21,FALSE),0)/4</f>
        <v>0</v>
      </c>
      <c r="BI115" s="331"/>
      <c r="BJ115" s="331">
        <f>_xlfn.IFNA((VLOOKUP($A115,HN!$A:$K,9,FALSE)/12),0)+_xlfn.IFNA((VLOOKUP($A115,HN!$A:$K,10,FALSE)/12),0)</f>
        <v>0</v>
      </c>
      <c r="BK115" s="331">
        <f>_xlfn.IFNA((VLOOKUP($A115,HN!$A:$BS,15,FALSE)/12),0)</f>
        <v>0</v>
      </c>
      <c r="BL115" s="330">
        <f t="shared" si="82"/>
        <v>-449.87999999999994</v>
      </c>
      <c r="BM115" s="330">
        <f t="shared" si="83"/>
        <v>-331.24833333333333</v>
      </c>
      <c r="BN115" s="331"/>
      <c r="BO115" s="331">
        <f>_xlfn.IFNA(VLOOKUP(A115,'Cash Advances'!A:K,11,FALSE),0)</f>
        <v>0</v>
      </c>
      <c r="BP115" s="330">
        <f t="shared" si="124"/>
        <v>96995.317973499201</v>
      </c>
      <c r="BQ115" s="322">
        <f t="shared" si="84"/>
        <v>97776.446306832542</v>
      </c>
      <c r="BR115" s="322"/>
      <c r="BS115" s="323"/>
      <c r="BT115" s="323">
        <f>_xlfn.IFNA((VLOOKUP($A115,HN!$A:$K,8,FALSE)/12),0)</f>
        <v>0</v>
      </c>
      <c r="BU115" s="323">
        <f>_xlfn.IFNA((VLOOKUP($A115,HN!$A:$BS,14,FALSE)/12),0)</f>
        <v>0</v>
      </c>
      <c r="BV115" s="323">
        <f>(_xlfn.IFNA(VLOOKUP($A115,'Post 16'!$A:$AV,32,FALSE),0)/8)+_xlfn.IFNA(VLOOKUP($A115,'Post 16'!$A:$AR,40,FALSE),0)</f>
        <v>0</v>
      </c>
      <c r="BW115" s="323"/>
      <c r="BX115" s="323">
        <f>_xlfn.IFNA((VLOOKUP($A115,HN!$A:$K,9,FALSE)/12),0)+_xlfn.IFNA((VLOOKUP($A115,HN!$A:$K,10,FALSE)/12),0)</f>
        <v>0</v>
      </c>
      <c r="BY115" s="323">
        <f>_xlfn.IFNA((VLOOKUP($A115,HN!$A:$BS,15,FALSE)/12),0)</f>
        <v>0</v>
      </c>
      <c r="BZ115" s="322">
        <f t="shared" si="85"/>
        <v>-449.87999999999994</v>
      </c>
      <c r="CA115" s="322">
        <f t="shared" si="86"/>
        <v>-331.24833333333333</v>
      </c>
      <c r="CB115" s="323"/>
      <c r="CC115" s="323"/>
      <c r="CD115" s="322">
        <f t="shared" si="125"/>
        <v>96995.317973499201</v>
      </c>
      <c r="CE115" s="357">
        <f t="shared" si="87"/>
        <v>97776.446306832542</v>
      </c>
      <c r="CF115" s="357">
        <f>(VLOOKUP($A115,EY!$A:$BS,26,FALSE)-(VLOOKUP($A115,EY!A:CR,24,FALSE)*80%))+VLOOKUP($A115,EY!$A:$BS,42,FALSE)+(VLOOKUP($A115,EY!A:CC,74,FALSE)-VLOOKUP($A115,EY!A:CC,72,FALSE))</f>
        <v>0</v>
      </c>
      <c r="CG115" s="358"/>
      <c r="CH115" s="358">
        <f>_xlfn.IFNA((VLOOKUP($A115,HN!$A:$K,8,FALSE)/12),0)</f>
        <v>0</v>
      </c>
      <c r="CI115" s="358">
        <f>_xlfn.IFNA((VLOOKUP($A115,HN!$A:$BS,14,FALSE)/12),0)</f>
        <v>0</v>
      </c>
      <c r="CJ115" s="358">
        <f>(_xlfn.IFNA(VLOOKUP($A115,'Post 16'!$A:$AV,32,FALSE),0)/8)</f>
        <v>0</v>
      </c>
      <c r="CK115" s="358">
        <f>(VLOOKUP($A115,EY!A:CR,24,FALSE)*80%)+VLOOKUP($A115,EY!A:CC,72,FALSE)</f>
        <v>0</v>
      </c>
      <c r="CL115" s="358">
        <f>_xlfn.IFNA((VLOOKUP($A115,HN!$A:$K,9,FALSE)/12),0)+_xlfn.IFNA((VLOOKUP($A115,HN!$A:$K,10,FALSE)/12),0)</f>
        <v>0</v>
      </c>
      <c r="CM115" s="358">
        <f>_xlfn.IFNA((VLOOKUP($A115,HN!$A:$BS,15,FALSE)/12),0)</f>
        <v>0</v>
      </c>
      <c r="CN115" s="357">
        <f t="shared" si="88"/>
        <v>-449.87999999999994</v>
      </c>
      <c r="CO115" s="357">
        <f t="shared" si="89"/>
        <v>-331.24833333333333</v>
      </c>
      <c r="CP115" s="358">
        <f>_xlfn.IFNA(VLOOKUP(A115,'LA Deductions'!A:W,23,FALSE),0)</f>
        <v>0</v>
      </c>
      <c r="CQ115" s="358">
        <f>_xlfn.IFNA(VLOOKUP($A115,'Cash Advances'!$A:$S,13,FALSE),0)</f>
        <v>0</v>
      </c>
      <c r="CR115" s="358">
        <f>_xlfn.IFNA(VLOOKUP(A115,'LA Deductions'!A:AZ,25,FALSE),0)/9*3</f>
        <v>0</v>
      </c>
      <c r="CS115" s="357">
        <f t="shared" si="108"/>
        <v>96995.317973499201</v>
      </c>
      <c r="CT115" s="337">
        <f t="shared" si="90"/>
        <v>97776.446306832542</v>
      </c>
      <c r="CU115" s="337"/>
      <c r="CV115" s="338">
        <f>_xlfn.IFNA(VLOOKUP(A115,'LA Deductions'!$A$6:$AN$207,34,FALSE),0)</f>
        <v>0</v>
      </c>
      <c r="CW115" s="338">
        <f>_xlfn.IFNA((VLOOKUP($A115,HN!$A:$K,8,FALSE)/12),0)</f>
        <v>0</v>
      </c>
      <c r="CX115" s="338">
        <f>_xlfn.IFNA((VLOOKUP($A115,HN!$A:$BS,14,FALSE)/12),0)</f>
        <v>0</v>
      </c>
      <c r="CY115" s="338">
        <f>_xlfn.IFNA(VLOOKUP($A115,'Post 16'!$A:$AV,32,FALSE),0)/8</f>
        <v>0</v>
      </c>
      <c r="CZ115" s="338"/>
      <c r="DA115" s="338">
        <f>_xlfn.IFNA((VLOOKUP($A115,HN!$A:$K,9,FALSE)/12),0)+_xlfn.IFNA((VLOOKUP($A115,HN!$A:$K,10,FALSE)/12),0)</f>
        <v>0</v>
      </c>
      <c r="DB115" s="338">
        <f>_xlfn.IFNA((VLOOKUP($A115,HN!$A:$BS,15,FALSE)/12),0)</f>
        <v>0</v>
      </c>
      <c r="DC115" s="337">
        <f t="shared" si="91"/>
        <v>-449.87999999999994</v>
      </c>
      <c r="DD115" s="337">
        <f t="shared" si="92"/>
        <v>-331.24833333333333</v>
      </c>
      <c r="DE115" s="338"/>
      <c r="DF115" s="338">
        <f>_xlfn.IFNA(VLOOKUP($A115,'Cash Advances'!$A:$S,14,FALSE),0)</f>
        <v>0</v>
      </c>
      <c r="DG115" s="338">
        <f>(_xlfn.IFNA(VLOOKUP(A115,'LA Deductions'!A:AZ,25,FALSE),0)/9)+(_xlfn.IFNA(VLOOKUP(A115,'LA Deductions'!A:AZ,26,FALSE),0))</f>
        <v>0</v>
      </c>
      <c r="DH115" s="337">
        <f t="shared" si="109"/>
        <v>96995.317973499201</v>
      </c>
      <c r="DI115" s="330">
        <f t="shared" si="93"/>
        <v>97776.446306832542</v>
      </c>
      <c r="DJ115" s="330"/>
      <c r="DK115" s="331"/>
      <c r="DL115" s="331">
        <f>_xlfn.IFNA((VLOOKUP($A115,HN!$A:$K,8,FALSE)/12),0)+_xlfn.IFNA((VLOOKUP($A115,HN!$A:$AF,32,FALSE)*8/12),0)</f>
        <v>0</v>
      </c>
      <c r="DM115" s="331">
        <f>_xlfn.IFNA((VLOOKUP($A115,HN!$A:$BS,14,FALSE)/12),0)+_xlfn.IFNA(VLOOKUP($A115,HN!$A:$BS,31,FALSE),0)</f>
        <v>0</v>
      </c>
      <c r="DN115" s="331">
        <f>_xlfn.IFNA(VLOOKUP($A115,'Post 16'!$A:$AV,32,FALSE),0)/8</f>
        <v>0</v>
      </c>
      <c r="DO115" s="331"/>
      <c r="DP115" s="331">
        <f>_xlfn.IFNA((VLOOKUP($A115,HN!$A:$K,9,FALSE)/12),0)+_xlfn.IFNA((VLOOKUP($A115,HN!$A:$K,10,FALSE)/12),0)+_xlfn.IFNA((VLOOKUP($A115,HN!$A:$BZ,33,FALSE)*8/12),0)</f>
        <v>0</v>
      </c>
      <c r="DQ115" s="331">
        <f>_xlfn.IFNA((VLOOKUP($A115,HN!$A:$BS,15,FALSE)/12),0)</f>
        <v>0</v>
      </c>
      <c r="DR115" s="330">
        <f t="shared" si="94"/>
        <v>-449.87999999999994</v>
      </c>
      <c r="DS115" s="330">
        <f t="shared" si="95"/>
        <v>-331.24833333333333</v>
      </c>
      <c r="DT115" s="331"/>
      <c r="DU115" s="331"/>
      <c r="DV115" s="331">
        <f>(_xlfn.IFNA(VLOOKUP(A115,'LA Deductions'!A:AZ,25,FALSE),0)/9)+_xlfn.IFNA(VLOOKUP(A115,'LA Deductions'!A:AZ,27,FALSE),0)</f>
        <v>0</v>
      </c>
      <c r="DW115" s="330">
        <f t="shared" si="110"/>
        <v>96995.317973499201</v>
      </c>
      <c r="DX115" s="344">
        <f t="shared" si="96"/>
        <v>97776.446306832542</v>
      </c>
      <c r="DY115" s="344"/>
      <c r="DZ115" s="345"/>
      <c r="EA115" s="345">
        <f>_xlfn.IFNA((VLOOKUP($A115,HN!$A:$K,8,FALSE)/12),0)+_xlfn.IFNA((VLOOKUP($A115,HN!$A:$AF,32,FALSE)*1/12),0)</f>
        <v>0</v>
      </c>
      <c r="EB115" s="345">
        <f>_xlfn.IFNA((VLOOKUP($A115,HN!$A:$BS,14,FALSE)/12),0)</f>
        <v>0</v>
      </c>
      <c r="EC115" s="345">
        <f>_xlfn.IFNA(VLOOKUP($A115,'Post 16'!$A:$AV,32,FALSE),0)/8</f>
        <v>0</v>
      </c>
      <c r="ED115" s="345"/>
      <c r="EE115" s="345">
        <f>_xlfn.IFNA((VLOOKUP($A115,HN!$A:$K,9,FALSE)/12),0)+_xlfn.IFNA((VLOOKUP($A115,HN!$A:$K,10,FALSE)/12),0)+_xlfn.IFNA((VLOOKUP($A115,HN!$A:$BZ,33,FALSE)/12),0)</f>
        <v>0</v>
      </c>
      <c r="EF115" s="345">
        <f>_xlfn.IFNA((VLOOKUP($A115,HN!$A:$BS,15,FALSE)/12),0)</f>
        <v>0</v>
      </c>
      <c r="EG115" s="344">
        <f t="shared" si="97"/>
        <v>-449.87999999999994</v>
      </c>
      <c r="EH115" s="344">
        <f t="shared" si="98"/>
        <v>-331.24833333333333</v>
      </c>
      <c r="EI115" s="345"/>
      <c r="EJ115" s="345">
        <f>_xlfn.IFNA(VLOOKUP(A115,'Cash Advances'!A:P,16,FALSE),0)</f>
        <v>0</v>
      </c>
      <c r="EK115" s="345">
        <f>_xlfn.IFNA(VLOOKUP(A115,'LA Deductions'!A:AZ,25,FALSE),0)/9</f>
        <v>0</v>
      </c>
      <c r="EL115" s="344">
        <f t="shared" si="111"/>
        <v>96995.317973499201</v>
      </c>
      <c r="EM115" s="308">
        <f t="shared" si="99"/>
        <v>97776.446306832542</v>
      </c>
      <c r="EN115" s="308">
        <f>((VLOOKUP($A115,EY!$A:$BS,35,FALSE)-(VLOOKUP($A115,EY!$A:$BS,33,FALSE)*80%))+VLOOKUP($A115,EY!$A:$BS,43,FALSE))+(VLOOKUP(A115,EY!A:DF,110,FALSE)-VLOOKUP(A115,EY!A:DD,108,FALSE))+(VLOOKUP(A115,EY!A:CE,83,FALSE)-VLOOKUP(A115,EY!A:CC,81,FALSE))</f>
        <v>0</v>
      </c>
      <c r="EO115" s="309"/>
      <c r="EP115" s="309">
        <f>_xlfn.IFNA((VLOOKUP($A115,HN!$A:$K,8,FALSE)/12),0)+_xlfn.IFNA((VLOOKUP($A115,HN!$A:$AF,32,FALSE)*1/12),0)</f>
        <v>0</v>
      </c>
      <c r="EQ115" s="309">
        <f>_xlfn.IFNA((VLOOKUP($A115,HN!$A:$BS,14,FALSE)/12),0)+_xlfn.IFNA((VLOOKUP($A115,HN!$A:$BS,34,FALSE)/3),0)</f>
        <v>0</v>
      </c>
      <c r="ER115" s="309">
        <f>_xlfn.IFNA(VLOOKUP($A115,'Post 16'!$A:$AV,32,FALSE),0)/8</f>
        <v>0</v>
      </c>
      <c r="ES115" s="309">
        <f>((VLOOKUP($A115,EY!A:EV,33,FALSE)*80%))+VLOOKUP(A115,EY!A:DD,108,FALSE)+VLOOKUP(A115,EY!A:CC,81,FALSE)</f>
        <v>0</v>
      </c>
      <c r="ET115" s="309">
        <f>_xlfn.IFNA((VLOOKUP($A115,HN!$A:$K,9,FALSE)/12),0)+_xlfn.IFNA((VLOOKUP($A115,HN!$A:$K,10,FALSE)/12),0)+_xlfn.IFNA((VLOOKUP($A115,HN!$A:$BZ,33,FALSE)/12),0)</f>
        <v>0</v>
      </c>
      <c r="EU115" s="309">
        <f>_xlfn.IFNA((VLOOKUP($A115,HN!$A:$BS,15,FALSE)/12),0)</f>
        <v>0</v>
      </c>
      <c r="EV115" s="308">
        <f t="shared" si="100"/>
        <v>-449.87999999999994</v>
      </c>
      <c r="EW115" s="308">
        <f t="shared" si="101"/>
        <v>-331.24833333333333</v>
      </c>
      <c r="EX115" s="309"/>
      <c r="EY115" s="309">
        <f>_xlfn.IFNA(VLOOKUP($A115,'Cash Advances'!$A:$S,17,FALSE),0)</f>
        <v>0</v>
      </c>
      <c r="EZ115" s="309">
        <f>_xlfn.IFNA(VLOOKUP(A115,'LA Deductions'!A:AZ,25,FALSE),0)/9</f>
        <v>0</v>
      </c>
      <c r="FA115" s="308">
        <f t="shared" si="112"/>
        <v>96995.317973499201</v>
      </c>
      <c r="FB115" s="315">
        <f t="shared" si="102"/>
        <v>97776.446306832542</v>
      </c>
      <c r="FC115" s="315"/>
      <c r="FD115" s="316"/>
      <c r="FE115" s="316">
        <f>_xlfn.IFNA((VLOOKUP($A115,HN!$A:$K,8,FALSE)/12),0)+_xlfn.IFNA((VLOOKUP($A115,HN!$A:$AF,32,FALSE)*1/12),0)</f>
        <v>0</v>
      </c>
      <c r="FF115" s="316">
        <f>_xlfn.IFNA((VLOOKUP($A115,HN!$A:$BS,14,FALSE)/12),0)+_xlfn.IFNA((VLOOKUP($A115,HN!$A:$BS,34,FALSE)/3),0)</f>
        <v>0</v>
      </c>
      <c r="FG115" s="316">
        <f>_xlfn.IFNA(VLOOKUP($A115,'Post 16'!$A:$AV,32,FALSE),0)/8</f>
        <v>0</v>
      </c>
      <c r="FH115" s="316"/>
      <c r="FI115" s="316">
        <f>_xlfn.IFNA((VLOOKUP($A115,HN!$A:$K,9,FALSE)/12),0)+_xlfn.IFNA((VLOOKUP($A115,HN!$A:$K,10,FALSE)/12),0)+_xlfn.IFNA((VLOOKUP($A115,HN!$A:$BZ,33,FALSE)/12),0)+_xlfn.IFNA((VLOOKUP($A115,HN!$A:$BZ,35,FALSE)/2),0)</f>
        <v>0</v>
      </c>
      <c r="FJ115" s="316">
        <f>_xlfn.IFNA((VLOOKUP($A115,HN!$A:$BS,15,FALSE)/12),0)+_xlfn.IFNA((VLOOKUP($A115,HN!$A:$CZ,36,FALSE)/2),0)</f>
        <v>0</v>
      </c>
      <c r="FK115" s="315">
        <f t="shared" si="103"/>
        <v>-449.87999999999994</v>
      </c>
      <c r="FL115" s="315">
        <f t="shared" si="104"/>
        <v>-331.24833333333333</v>
      </c>
      <c r="FM115" s="316"/>
      <c r="FN115" s="316">
        <f>_xlfn.IFNA(VLOOKUP($A115,'Cash Advances'!$A:$S,18,FALSE),0)</f>
        <v>0</v>
      </c>
      <c r="FO115" s="316">
        <f>_xlfn.IFNA(VLOOKUP(A115,'LA Deductions'!A:AZ,25,FALSE),0)/9</f>
        <v>0</v>
      </c>
      <c r="FP115" s="315">
        <f t="shared" si="113"/>
        <v>96995.317973499201</v>
      </c>
      <c r="FQ115" s="322">
        <f t="shared" si="105"/>
        <v>97776.446306832542</v>
      </c>
      <c r="FR115" s="322"/>
      <c r="FS115" s="323"/>
      <c r="FT115" s="323">
        <f>_xlfn.IFNA((VLOOKUP($A115,HN!$A:$K,8,FALSE)/12),0)+_xlfn.IFNA((VLOOKUP($A115,HN!$A:$AF,32,FALSE)*1/12),0)</f>
        <v>0</v>
      </c>
      <c r="FU115" s="323">
        <f>_xlfn.IFNA((VLOOKUP($A115,HN!$A:$BS,14,FALSE)/12),0)+_xlfn.IFNA((VLOOKUP($A115,HN!$A:$BS,34,FALSE)/3),0)</f>
        <v>0</v>
      </c>
      <c r="FV115" s="323">
        <f>_xlfn.IFNA(VLOOKUP($A115,'Post 16'!$A:$AV,32,FALSE),0)/8</f>
        <v>0</v>
      </c>
      <c r="FW115" s="323"/>
      <c r="FX115" s="323">
        <f>_xlfn.IFNA((VLOOKUP($A115,HN!$A:$K,9,FALSE)/12),0)+_xlfn.IFNA((VLOOKUP($A115,HN!$A:$K,10,FALSE)/12),0)+_xlfn.IFNA((VLOOKUP($A115,HN!$A:$BZ,33,FALSE)/12),0)+_xlfn.IFNA((VLOOKUP($A115,HN!$A:$BZ,35,FALSE)/2),0)</f>
        <v>0</v>
      </c>
      <c r="FY115" s="323">
        <f>_xlfn.IFNA((VLOOKUP($A115,HN!$A:$BS,15,FALSE)/12),0)+_xlfn.IFNA((VLOOKUP($A115,HN!$A:$CZ,36,FALSE)/2),0)</f>
        <v>0</v>
      </c>
      <c r="FZ115" s="322">
        <f t="shared" si="106"/>
        <v>-449.87999999999994</v>
      </c>
      <c r="GA115" s="322">
        <f t="shared" si="107"/>
        <v>-331.24833333333333</v>
      </c>
      <c r="GB115" s="323"/>
      <c r="GC115" s="323"/>
      <c r="GD115" s="323">
        <f>_xlfn.IFNA(VLOOKUP(A115,'LA Deductions'!A:AZ,25,FALSE),0)/9</f>
        <v>0</v>
      </c>
      <c r="GE115" s="322">
        <f t="shared" si="114"/>
        <v>96995.317973499201</v>
      </c>
      <c r="GG115" s="146">
        <f t="shared" si="126"/>
        <v>1173317.3556819907</v>
      </c>
      <c r="GH115" s="146">
        <f t="shared" si="126"/>
        <v>0</v>
      </c>
      <c r="GI115" s="146">
        <f t="shared" si="126"/>
        <v>0</v>
      </c>
      <c r="GJ115" s="146">
        <f t="shared" si="126"/>
        <v>-5398.56</v>
      </c>
      <c r="GK115" s="146">
        <f t="shared" si="126"/>
        <v>-3974.9800000000009</v>
      </c>
      <c r="GL115" s="146">
        <f t="shared" si="126"/>
        <v>0</v>
      </c>
      <c r="GN115" s="146">
        <f t="shared" si="127"/>
        <v>1173317.3556819907</v>
      </c>
      <c r="GO115" s="146">
        <f t="shared" si="127"/>
        <v>0</v>
      </c>
      <c r="GP115" s="146">
        <f t="shared" si="127"/>
        <v>0</v>
      </c>
      <c r="GQ115" s="146">
        <f t="shared" si="127"/>
        <v>-5398.56</v>
      </c>
      <c r="GR115" s="146">
        <f t="shared" si="127"/>
        <v>-3974.9800000000009</v>
      </c>
      <c r="GS115" s="146">
        <f t="shared" si="127"/>
        <v>0</v>
      </c>
      <c r="GU115" s="146"/>
      <c r="GV115" s="57"/>
    </row>
    <row r="116" spans="1:204">
      <c r="A116" s="185">
        <v>3335</v>
      </c>
      <c r="B116" s="185">
        <v>103434</v>
      </c>
      <c r="C116" s="185" t="s">
        <v>256</v>
      </c>
      <c r="D116" s="2" t="s">
        <v>257</v>
      </c>
      <c r="E116" s="191" t="s">
        <v>32</v>
      </c>
      <c r="F116" s="191" t="s">
        <v>912</v>
      </c>
      <c r="H116" s="279">
        <f>_xlfn.IFNA(VLOOKUP($A116,ISB!$A$4:$BY$454,67,FALSE),0)</f>
        <v>1373882.8513580489</v>
      </c>
      <c r="I116" s="279">
        <f>_xlfn.IFNA(VLOOKUP($A116,ISB!$A$4:$BY$454,72,FALSE),0)</f>
        <v>-5320.32</v>
      </c>
      <c r="J116" s="279">
        <f>-_xlfn.IFNA(VLOOKUP($A116,ISB!$A$4:$BY$454,76,FALSE),0)</f>
        <v>-5246.96</v>
      </c>
      <c r="K116" s="279">
        <f>_xlfn.IFNA(VLOOKUP($A116,ISB!$A$4:$BY$454,77,FALSE),0)</f>
        <v>1363315.5713580488</v>
      </c>
      <c r="M116" s="301">
        <f t="shared" si="72"/>
        <v>114490.23761317074</v>
      </c>
      <c r="N116" s="301">
        <f>VLOOKUP($A116,EY!$A:$H,8,FALSE)+(VLOOKUP($A116,EY!$A:$BS,17,FALSE)-S116)+VLOOKUP($A116,EY!$A:$BS,41,FALSE)</f>
        <v>0</v>
      </c>
      <c r="O116" s="302"/>
      <c r="P116" s="302">
        <f>_xlfn.IFNA((VLOOKUP($A116,HN!$A:$K,8,FALSE)/12),0)</f>
        <v>0</v>
      </c>
      <c r="Q116" s="302">
        <f>_xlfn.IFNA((VLOOKUP($A116,HN!$A:$BS,14,FALSE)/12),0)</f>
        <v>0</v>
      </c>
      <c r="R116" s="302">
        <f>_xlfn.IFNA(VLOOKUP($A116,'Post 16'!$A:$V,21,FALSE),0)/4</f>
        <v>0</v>
      </c>
      <c r="S116" s="302">
        <f>VLOOKUP($A116,EY!A:Q,15,FALSE)*80%</f>
        <v>0</v>
      </c>
      <c r="T116" s="302">
        <f>_xlfn.IFNA((VLOOKUP($A116,HN!$A:$K,9,FALSE)/12),0)+_xlfn.IFNA((VLOOKUP($A116,HN!$A:$K,10,FALSE)/12),0)</f>
        <v>0</v>
      </c>
      <c r="U116" s="302">
        <f>_xlfn.IFNA((VLOOKUP($A116,HN!$A:$BS,15,FALSE)/12),0)</f>
        <v>0</v>
      </c>
      <c r="V116" s="301">
        <f t="shared" si="73"/>
        <v>-443.35999999999996</v>
      </c>
      <c r="W116" s="301">
        <f t="shared" si="74"/>
        <v>-437.24666666666667</v>
      </c>
      <c r="X116" s="302"/>
      <c r="Y116" s="302">
        <f>_xlfn.IFNA(VLOOKUP($A116,'Cash Advances'!$A:$S,8,FALSE),0)</f>
        <v>0</v>
      </c>
      <c r="Z116" s="301">
        <f t="shared" si="121"/>
        <v>113609.63094650407</v>
      </c>
      <c r="AA116" s="315">
        <f t="shared" si="75"/>
        <v>114490.23761317074</v>
      </c>
      <c r="AB116" s="315"/>
      <c r="AC116" s="316"/>
      <c r="AD116" s="316">
        <f>_xlfn.IFNA((VLOOKUP($A116,HN!$A:$K,8,FALSE)/12),0)</f>
        <v>0</v>
      </c>
      <c r="AE116" s="316">
        <f>_xlfn.IFNA((VLOOKUP($A116,HN!$A:$BS,14,FALSE)/12),0)</f>
        <v>0</v>
      </c>
      <c r="AF116" s="316">
        <f>_xlfn.IFNA(VLOOKUP($A116,'Post 16'!$A:$V,21,FALSE),0)/4</f>
        <v>0</v>
      </c>
      <c r="AG116" s="316"/>
      <c r="AH116" s="316">
        <f>_xlfn.IFNA((VLOOKUP($A116,HN!$A:$K,9,FALSE)/12),0)+_xlfn.IFNA((VLOOKUP($A116,HN!$A:$K,10,FALSE)/12),0)</f>
        <v>0</v>
      </c>
      <c r="AI116" s="316">
        <f>_xlfn.IFNA((VLOOKUP($A116,HN!$A:$BS,15,FALSE)/12),0)</f>
        <v>0</v>
      </c>
      <c r="AJ116" s="315">
        <f t="shared" si="76"/>
        <v>-443.35999999999996</v>
      </c>
      <c r="AK116" s="315">
        <f t="shared" si="77"/>
        <v>-437.24666666666667</v>
      </c>
      <c r="AL116" s="316"/>
      <c r="AM116" s="316">
        <f>_xlfn.IFNA(VLOOKUP($A116,'Cash Advances'!$A:$S,9,FALSE),0)</f>
        <v>0</v>
      </c>
      <c r="AN116" s="315">
        <f t="shared" si="122"/>
        <v>113609.63094650407</v>
      </c>
      <c r="AO116" s="308">
        <f t="shared" si="78"/>
        <v>114490.23761317074</v>
      </c>
      <c r="AP116" s="308"/>
      <c r="AQ116" s="309"/>
      <c r="AR116" s="309">
        <f>_xlfn.IFNA((VLOOKUP($A116,HN!$A:$K,8,FALSE)/12),0)</f>
        <v>0</v>
      </c>
      <c r="AS116" s="309">
        <f>_xlfn.IFNA((VLOOKUP($A116,HN!$A:$BS,14,FALSE)/12),0)</f>
        <v>0</v>
      </c>
      <c r="AT116" s="309">
        <f>_xlfn.IFNA(VLOOKUP($A116,'Post 16'!$A:$V,21,FALSE),0)/4</f>
        <v>0</v>
      </c>
      <c r="AU116" s="309"/>
      <c r="AV116" s="309">
        <f>_xlfn.IFNA((VLOOKUP($A116,HN!$A:$K,9,FALSE)/12),0)+_xlfn.IFNA((VLOOKUP($A116,HN!$A:$K,10,FALSE)/12),0)+_xlfn.IFNA(VLOOKUP(A116,HN!A:V,19,FALSE),0)+_xlfn.IFNA(VLOOKUP(A116,HN!A:V,20,FALSE),0)+_xlfn.IFNA(VLOOKUP(A116,HN!A:V,21,FALSE),0)</f>
        <v>0</v>
      </c>
      <c r="AW116" s="309">
        <f>_xlfn.IFNA((VLOOKUP($A116,HN!$A:$BS,15,FALSE)/12),0)</f>
        <v>0</v>
      </c>
      <c r="AX116" s="308">
        <f t="shared" si="79"/>
        <v>-443.35999999999996</v>
      </c>
      <c r="AY116" s="308">
        <f t="shared" si="80"/>
        <v>-437.24666666666667</v>
      </c>
      <c r="AZ116" s="309"/>
      <c r="BA116" s="309">
        <f>_xlfn.IFNA(VLOOKUP($A116,'Cash Advances'!$A:$S,10,FALSE),0)</f>
        <v>0</v>
      </c>
      <c r="BB116" s="308">
        <f t="shared" si="123"/>
        <v>113609.63094650407</v>
      </c>
      <c r="BC116" s="330">
        <f t="shared" si="81"/>
        <v>114490.23761317074</v>
      </c>
      <c r="BD116" s="330"/>
      <c r="BE116" s="331"/>
      <c r="BF116" s="331">
        <f>_xlfn.IFNA((VLOOKUP($A116,HN!$A:$K,8,FALSE)/12),0)</f>
        <v>0</v>
      </c>
      <c r="BG116" s="331">
        <f>_xlfn.IFNA((VLOOKUP($A116,HN!$A:$BS,14,FALSE)/12),0)</f>
        <v>0</v>
      </c>
      <c r="BH116" s="331">
        <f>_xlfn.IFNA(VLOOKUP($A116,'Post 16'!$A:$V,21,FALSE),0)/4</f>
        <v>0</v>
      </c>
      <c r="BI116" s="331"/>
      <c r="BJ116" s="331">
        <f>_xlfn.IFNA((VLOOKUP($A116,HN!$A:$K,9,FALSE)/12),0)+_xlfn.IFNA((VLOOKUP($A116,HN!$A:$K,10,FALSE)/12),0)</f>
        <v>0</v>
      </c>
      <c r="BK116" s="331">
        <f>_xlfn.IFNA((VLOOKUP($A116,HN!$A:$BS,15,FALSE)/12),0)</f>
        <v>0</v>
      </c>
      <c r="BL116" s="330">
        <f t="shared" si="82"/>
        <v>-443.35999999999996</v>
      </c>
      <c r="BM116" s="330">
        <f t="shared" si="83"/>
        <v>-437.24666666666667</v>
      </c>
      <c r="BN116" s="331"/>
      <c r="BO116" s="331">
        <f>_xlfn.IFNA(VLOOKUP(A116,'Cash Advances'!A:K,11,FALSE),0)</f>
        <v>0</v>
      </c>
      <c r="BP116" s="330">
        <f t="shared" si="124"/>
        <v>113609.63094650407</v>
      </c>
      <c r="BQ116" s="322">
        <f t="shared" si="84"/>
        <v>114490.23761317074</v>
      </c>
      <c r="BR116" s="322"/>
      <c r="BS116" s="323"/>
      <c r="BT116" s="323">
        <f>_xlfn.IFNA((VLOOKUP($A116,HN!$A:$K,8,FALSE)/12),0)</f>
        <v>0</v>
      </c>
      <c r="BU116" s="323">
        <f>_xlfn.IFNA((VLOOKUP($A116,HN!$A:$BS,14,FALSE)/12),0)</f>
        <v>0</v>
      </c>
      <c r="BV116" s="323">
        <f>(_xlfn.IFNA(VLOOKUP($A116,'Post 16'!$A:$AV,32,FALSE),0)/8)+_xlfn.IFNA(VLOOKUP($A116,'Post 16'!$A:$AR,40,FALSE),0)</f>
        <v>0</v>
      </c>
      <c r="BW116" s="323"/>
      <c r="BX116" s="323">
        <f>_xlfn.IFNA((VLOOKUP($A116,HN!$A:$K,9,FALSE)/12),0)+_xlfn.IFNA((VLOOKUP($A116,HN!$A:$K,10,FALSE)/12),0)</f>
        <v>0</v>
      </c>
      <c r="BY116" s="323">
        <f>_xlfn.IFNA((VLOOKUP($A116,HN!$A:$BS,15,FALSE)/12),0)</f>
        <v>0</v>
      </c>
      <c r="BZ116" s="322">
        <f t="shared" si="85"/>
        <v>-443.35999999999996</v>
      </c>
      <c r="CA116" s="322">
        <f t="shared" si="86"/>
        <v>-437.24666666666667</v>
      </c>
      <c r="CB116" s="323"/>
      <c r="CC116" s="323"/>
      <c r="CD116" s="322">
        <f t="shared" si="125"/>
        <v>113609.63094650407</v>
      </c>
      <c r="CE116" s="357">
        <f t="shared" si="87"/>
        <v>114490.23761317074</v>
      </c>
      <c r="CF116" s="357">
        <f>(VLOOKUP($A116,EY!$A:$BS,26,FALSE)-(VLOOKUP($A116,EY!A:CR,24,FALSE)*80%))+VLOOKUP($A116,EY!$A:$BS,42,FALSE)+(VLOOKUP($A116,EY!A:CC,74,FALSE)-VLOOKUP($A116,EY!A:CC,72,FALSE))</f>
        <v>0</v>
      </c>
      <c r="CG116" s="358"/>
      <c r="CH116" s="358">
        <f>_xlfn.IFNA((VLOOKUP($A116,HN!$A:$K,8,FALSE)/12),0)</f>
        <v>0</v>
      </c>
      <c r="CI116" s="358">
        <f>_xlfn.IFNA((VLOOKUP($A116,HN!$A:$BS,14,FALSE)/12),0)</f>
        <v>0</v>
      </c>
      <c r="CJ116" s="358">
        <f>(_xlfn.IFNA(VLOOKUP($A116,'Post 16'!$A:$AV,32,FALSE),0)/8)</f>
        <v>0</v>
      </c>
      <c r="CK116" s="358">
        <f>(VLOOKUP($A116,EY!A:CR,24,FALSE)*80%)+VLOOKUP($A116,EY!A:CC,72,FALSE)</f>
        <v>0</v>
      </c>
      <c r="CL116" s="358">
        <f>_xlfn.IFNA((VLOOKUP($A116,HN!$A:$K,9,FALSE)/12),0)+_xlfn.IFNA((VLOOKUP($A116,HN!$A:$K,10,FALSE)/12),0)</f>
        <v>0</v>
      </c>
      <c r="CM116" s="358">
        <f>_xlfn.IFNA((VLOOKUP($A116,HN!$A:$BS,15,FALSE)/12),0)</f>
        <v>0</v>
      </c>
      <c r="CN116" s="357">
        <f t="shared" si="88"/>
        <v>-443.35999999999996</v>
      </c>
      <c r="CO116" s="357">
        <f t="shared" si="89"/>
        <v>-437.24666666666667</v>
      </c>
      <c r="CP116" s="358">
        <f>_xlfn.IFNA(VLOOKUP(A116,'LA Deductions'!A:W,23,FALSE),0)</f>
        <v>-5139.75</v>
      </c>
      <c r="CQ116" s="358">
        <f>_xlfn.IFNA(VLOOKUP($A116,'Cash Advances'!$A:$S,13,FALSE),0)</f>
        <v>0</v>
      </c>
      <c r="CR116" s="358">
        <f>_xlfn.IFNA(VLOOKUP(A116,'LA Deductions'!A:AZ,25,FALSE),0)/9*3</f>
        <v>0</v>
      </c>
      <c r="CS116" s="357">
        <f t="shared" si="108"/>
        <v>108469.88094650407</v>
      </c>
      <c r="CT116" s="337">
        <f t="shared" si="90"/>
        <v>114490.23761317074</v>
      </c>
      <c r="CU116" s="337"/>
      <c r="CV116" s="338">
        <f>_xlfn.IFNA(VLOOKUP(A116,'LA Deductions'!$A$6:$AN$207,34,FALSE),0)</f>
        <v>0</v>
      </c>
      <c r="CW116" s="338">
        <f>_xlfn.IFNA((VLOOKUP($A116,HN!$A:$K,8,FALSE)/12),0)</f>
        <v>0</v>
      </c>
      <c r="CX116" s="338">
        <f>_xlfn.IFNA((VLOOKUP($A116,HN!$A:$BS,14,FALSE)/12),0)</f>
        <v>0</v>
      </c>
      <c r="CY116" s="338">
        <f>_xlfn.IFNA(VLOOKUP($A116,'Post 16'!$A:$AV,32,FALSE),0)/8</f>
        <v>0</v>
      </c>
      <c r="CZ116" s="338"/>
      <c r="DA116" s="338">
        <f>_xlfn.IFNA((VLOOKUP($A116,HN!$A:$K,9,FALSE)/12),0)+_xlfn.IFNA((VLOOKUP($A116,HN!$A:$K,10,FALSE)/12),0)</f>
        <v>0</v>
      </c>
      <c r="DB116" s="338">
        <f>_xlfn.IFNA((VLOOKUP($A116,HN!$A:$BS,15,FALSE)/12),0)</f>
        <v>0</v>
      </c>
      <c r="DC116" s="337">
        <f t="shared" si="91"/>
        <v>-443.35999999999996</v>
      </c>
      <c r="DD116" s="337">
        <f t="shared" si="92"/>
        <v>-437.24666666666667</v>
      </c>
      <c r="DE116" s="338"/>
      <c r="DF116" s="338">
        <f>_xlfn.IFNA(VLOOKUP($A116,'Cash Advances'!$A:$S,14,FALSE),0)</f>
        <v>0</v>
      </c>
      <c r="DG116" s="338">
        <f>(_xlfn.IFNA(VLOOKUP(A116,'LA Deductions'!A:AZ,25,FALSE),0)/9)+(_xlfn.IFNA(VLOOKUP(A116,'LA Deductions'!A:AZ,26,FALSE),0))</f>
        <v>0</v>
      </c>
      <c r="DH116" s="337">
        <f t="shared" si="109"/>
        <v>113609.63094650407</v>
      </c>
      <c r="DI116" s="330">
        <f t="shared" si="93"/>
        <v>114490.23761317074</v>
      </c>
      <c r="DJ116" s="330"/>
      <c r="DK116" s="331"/>
      <c r="DL116" s="331">
        <f>_xlfn.IFNA((VLOOKUP($A116,HN!$A:$K,8,FALSE)/12),0)+_xlfn.IFNA((VLOOKUP($A116,HN!$A:$AF,32,FALSE)*8/12),0)</f>
        <v>0</v>
      </c>
      <c r="DM116" s="331">
        <f>_xlfn.IFNA((VLOOKUP($A116,HN!$A:$BS,14,FALSE)/12),0)+_xlfn.IFNA(VLOOKUP($A116,HN!$A:$BS,31,FALSE),0)</f>
        <v>0</v>
      </c>
      <c r="DN116" s="331">
        <f>_xlfn.IFNA(VLOOKUP($A116,'Post 16'!$A:$AV,32,FALSE),0)/8</f>
        <v>0</v>
      </c>
      <c r="DO116" s="331"/>
      <c r="DP116" s="331">
        <f>_xlfn.IFNA((VLOOKUP($A116,HN!$A:$K,9,FALSE)/12),0)+_xlfn.IFNA((VLOOKUP($A116,HN!$A:$K,10,FALSE)/12),0)+_xlfn.IFNA((VLOOKUP($A116,HN!$A:$BZ,33,FALSE)*8/12),0)</f>
        <v>0</v>
      </c>
      <c r="DQ116" s="331">
        <f>_xlfn.IFNA((VLOOKUP($A116,HN!$A:$BS,15,FALSE)/12),0)</f>
        <v>0</v>
      </c>
      <c r="DR116" s="330">
        <f t="shared" si="94"/>
        <v>-443.35999999999996</v>
      </c>
      <c r="DS116" s="330">
        <f t="shared" si="95"/>
        <v>-437.24666666666667</v>
      </c>
      <c r="DT116" s="331"/>
      <c r="DU116" s="331"/>
      <c r="DV116" s="331">
        <f>(_xlfn.IFNA(VLOOKUP(A116,'LA Deductions'!A:AZ,25,FALSE),0)/9)+_xlfn.IFNA(VLOOKUP(A116,'LA Deductions'!A:AZ,27,FALSE),0)</f>
        <v>0</v>
      </c>
      <c r="DW116" s="330">
        <f t="shared" si="110"/>
        <v>113609.63094650407</v>
      </c>
      <c r="DX116" s="344">
        <f t="shared" si="96"/>
        <v>114490.23761317074</v>
      </c>
      <c r="DY116" s="344"/>
      <c r="DZ116" s="345"/>
      <c r="EA116" s="345">
        <f>_xlfn.IFNA((VLOOKUP($A116,HN!$A:$K,8,FALSE)/12),0)+_xlfn.IFNA((VLOOKUP($A116,HN!$A:$AF,32,FALSE)*1/12),0)</f>
        <v>0</v>
      </c>
      <c r="EB116" s="345">
        <f>_xlfn.IFNA((VLOOKUP($A116,HN!$A:$BS,14,FALSE)/12),0)</f>
        <v>0</v>
      </c>
      <c r="EC116" s="345">
        <f>_xlfn.IFNA(VLOOKUP($A116,'Post 16'!$A:$AV,32,FALSE),0)/8</f>
        <v>0</v>
      </c>
      <c r="ED116" s="345"/>
      <c r="EE116" s="345">
        <f>_xlfn.IFNA((VLOOKUP($A116,HN!$A:$K,9,FALSE)/12),0)+_xlfn.IFNA((VLOOKUP($A116,HN!$A:$K,10,FALSE)/12),0)+_xlfn.IFNA((VLOOKUP($A116,HN!$A:$BZ,33,FALSE)/12),0)</f>
        <v>0</v>
      </c>
      <c r="EF116" s="345">
        <f>_xlfn.IFNA((VLOOKUP($A116,HN!$A:$BS,15,FALSE)/12),0)</f>
        <v>0</v>
      </c>
      <c r="EG116" s="344">
        <f t="shared" si="97"/>
        <v>-443.35999999999996</v>
      </c>
      <c r="EH116" s="344">
        <f t="shared" si="98"/>
        <v>-437.24666666666667</v>
      </c>
      <c r="EI116" s="345"/>
      <c r="EJ116" s="345">
        <f>_xlfn.IFNA(VLOOKUP(A116,'Cash Advances'!A:P,16,FALSE),0)</f>
        <v>0</v>
      </c>
      <c r="EK116" s="345">
        <f>_xlfn.IFNA(VLOOKUP(A116,'LA Deductions'!A:AZ,25,FALSE),0)/9</f>
        <v>0</v>
      </c>
      <c r="EL116" s="344">
        <f t="shared" si="111"/>
        <v>113609.63094650407</v>
      </c>
      <c r="EM116" s="308">
        <f t="shared" si="99"/>
        <v>114490.23761317074</v>
      </c>
      <c r="EN116" s="308">
        <f>((VLOOKUP($A116,EY!$A:$BS,35,FALSE)-(VLOOKUP($A116,EY!$A:$BS,33,FALSE)*80%))+VLOOKUP($A116,EY!$A:$BS,43,FALSE))+(VLOOKUP(A116,EY!A:DF,110,FALSE)-VLOOKUP(A116,EY!A:DD,108,FALSE))+(VLOOKUP(A116,EY!A:CE,83,FALSE)-VLOOKUP(A116,EY!A:CC,81,FALSE))</f>
        <v>0</v>
      </c>
      <c r="EO116" s="309"/>
      <c r="EP116" s="309">
        <f>_xlfn.IFNA((VLOOKUP($A116,HN!$A:$K,8,FALSE)/12),0)+_xlfn.IFNA((VLOOKUP($A116,HN!$A:$AF,32,FALSE)*1/12),0)</f>
        <v>0</v>
      </c>
      <c r="EQ116" s="309">
        <f>_xlfn.IFNA((VLOOKUP($A116,HN!$A:$BS,14,FALSE)/12),0)+_xlfn.IFNA((VLOOKUP($A116,HN!$A:$BS,34,FALSE)/3),0)</f>
        <v>0</v>
      </c>
      <c r="ER116" s="309">
        <f>_xlfn.IFNA(VLOOKUP($A116,'Post 16'!$A:$AV,32,FALSE),0)/8</f>
        <v>0</v>
      </c>
      <c r="ES116" s="309">
        <f>((VLOOKUP($A116,EY!A:EV,33,FALSE)*80%))+VLOOKUP(A116,EY!A:DD,108,FALSE)+VLOOKUP(A116,EY!A:CC,81,FALSE)</f>
        <v>0</v>
      </c>
      <c r="ET116" s="309">
        <f>_xlfn.IFNA((VLOOKUP($A116,HN!$A:$K,9,FALSE)/12),0)+_xlfn.IFNA((VLOOKUP($A116,HN!$A:$K,10,FALSE)/12),0)+_xlfn.IFNA((VLOOKUP($A116,HN!$A:$BZ,33,FALSE)/12),0)</f>
        <v>0</v>
      </c>
      <c r="EU116" s="309">
        <f>_xlfn.IFNA((VLOOKUP($A116,HN!$A:$BS,15,FALSE)/12),0)</f>
        <v>0</v>
      </c>
      <c r="EV116" s="308">
        <f t="shared" si="100"/>
        <v>-443.35999999999996</v>
      </c>
      <c r="EW116" s="308">
        <f t="shared" si="101"/>
        <v>-437.24666666666667</v>
      </c>
      <c r="EX116" s="309"/>
      <c r="EY116" s="309">
        <f>_xlfn.IFNA(VLOOKUP($A116,'Cash Advances'!$A:$S,17,FALSE),0)</f>
        <v>0</v>
      </c>
      <c r="EZ116" s="309">
        <f>_xlfn.IFNA(VLOOKUP(A116,'LA Deductions'!A:AZ,25,FALSE),0)/9</f>
        <v>0</v>
      </c>
      <c r="FA116" s="308">
        <f t="shared" si="112"/>
        <v>113609.63094650407</v>
      </c>
      <c r="FB116" s="315">
        <f t="shared" si="102"/>
        <v>114490.23761317074</v>
      </c>
      <c r="FC116" s="315"/>
      <c r="FD116" s="316"/>
      <c r="FE116" s="316">
        <f>_xlfn.IFNA((VLOOKUP($A116,HN!$A:$K,8,FALSE)/12),0)+_xlfn.IFNA((VLOOKUP($A116,HN!$A:$AF,32,FALSE)*1/12),0)</f>
        <v>0</v>
      </c>
      <c r="FF116" s="316">
        <f>_xlfn.IFNA((VLOOKUP($A116,HN!$A:$BS,14,FALSE)/12),0)+_xlfn.IFNA((VLOOKUP($A116,HN!$A:$BS,34,FALSE)/3),0)</f>
        <v>0</v>
      </c>
      <c r="FG116" s="316">
        <f>_xlfn.IFNA(VLOOKUP($A116,'Post 16'!$A:$AV,32,FALSE),0)/8</f>
        <v>0</v>
      </c>
      <c r="FH116" s="316"/>
      <c r="FI116" s="316">
        <f>_xlfn.IFNA((VLOOKUP($A116,HN!$A:$K,9,FALSE)/12),0)+_xlfn.IFNA((VLOOKUP($A116,HN!$A:$K,10,FALSE)/12),0)+_xlfn.IFNA((VLOOKUP($A116,HN!$A:$BZ,33,FALSE)/12),0)+_xlfn.IFNA((VLOOKUP($A116,HN!$A:$BZ,35,FALSE)/2),0)</f>
        <v>0</v>
      </c>
      <c r="FJ116" s="316">
        <f>_xlfn.IFNA((VLOOKUP($A116,HN!$A:$BS,15,FALSE)/12),0)+_xlfn.IFNA((VLOOKUP($A116,HN!$A:$CZ,36,FALSE)/2),0)</f>
        <v>0</v>
      </c>
      <c r="FK116" s="315">
        <f t="shared" si="103"/>
        <v>-443.35999999999996</v>
      </c>
      <c r="FL116" s="315">
        <f t="shared" si="104"/>
        <v>-437.24666666666667</v>
      </c>
      <c r="FM116" s="316"/>
      <c r="FN116" s="316">
        <f>_xlfn.IFNA(VLOOKUP($A116,'Cash Advances'!$A:$S,18,FALSE),0)</f>
        <v>0</v>
      </c>
      <c r="FO116" s="316">
        <f>_xlfn.IFNA(VLOOKUP(A116,'LA Deductions'!A:AZ,25,FALSE),0)/9</f>
        <v>0</v>
      </c>
      <c r="FP116" s="315">
        <f t="shared" si="113"/>
        <v>113609.63094650407</v>
      </c>
      <c r="FQ116" s="322">
        <f t="shared" si="105"/>
        <v>114490.23761317074</v>
      </c>
      <c r="FR116" s="322"/>
      <c r="FS116" s="323"/>
      <c r="FT116" s="323">
        <f>_xlfn.IFNA((VLOOKUP($A116,HN!$A:$K,8,FALSE)/12),0)+_xlfn.IFNA((VLOOKUP($A116,HN!$A:$AF,32,FALSE)*1/12),0)</f>
        <v>0</v>
      </c>
      <c r="FU116" s="323">
        <f>_xlfn.IFNA((VLOOKUP($A116,HN!$A:$BS,14,FALSE)/12),0)+_xlfn.IFNA((VLOOKUP($A116,HN!$A:$BS,34,FALSE)/3),0)</f>
        <v>0</v>
      </c>
      <c r="FV116" s="323">
        <f>_xlfn.IFNA(VLOOKUP($A116,'Post 16'!$A:$AV,32,FALSE),0)/8</f>
        <v>0</v>
      </c>
      <c r="FW116" s="323"/>
      <c r="FX116" s="323">
        <f>_xlfn.IFNA((VLOOKUP($A116,HN!$A:$K,9,FALSE)/12),0)+_xlfn.IFNA((VLOOKUP($A116,HN!$A:$K,10,FALSE)/12),0)+_xlfn.IFNA((VLOOKUP($A116,HN!$A:$BZ,33,FALSE)/12),0)+_xlfn.IFNA((VLOOKUP($A116,HN!$A:$BZ,35,FALSE)/2),0)</f>
        <v>0</v>
      </c>
      <c r="FY116" s="323">
        <f>_xlfn.IFNA((VLOOKUP($A116,HN!$A:$BS,15,FALSE)/12),0)+_xlfn.IFNA((VLOOKUP($A116,HN!$A:$CZ,36,FALSE)/2),0)</f>
        <v>0</v>
      </c>
      <c r="FZ116" s="322">
        <f t="shared" si="106"/>
        <v>-443.35999999999996</v>
      </c>
      <c r="GA116" s="322">
        <f t="shared" si="107"/>
        <v>-437.24666666666667</v>
      </c>
      <c r="GB116" s="323"/>
      <c r="GC116" s="323"/>
      <c r="GD116" s="323">
        <f>_xlfn.IFNA(VLOOKUP(A116,'LA Deductions'!A:AZ,25,FALSE),0)/9</f>
        <v>0</v>
      </c>
      <c r="GE116" s="322">
        <f t="shared" si="114"/>
        <v>113609.63094650407</v>
      </c>
      <c r="GG116" s="146">
        <f t="shared" si="126"/>
        <v>1373882.8513580486</v>
      </c>
      <c r="GH116" s="146">
        <f t="shared" si="126"/>
        <v>0</v>
      </c>
      <c r="GI116" s="146">
        <f t="shared" si="126"/>
        <v>0</v>
      </c>
      <c r="GJ116" s="146">
        <f t="shared" si="126"/>
        <v>-5320.32</v>
      </c>
      <c r="GK116" s="146">
        <f t="shared" si="126"/>
        <v>-5246.9600000000019</v>
      </c>
      <c r="GL116" s="146">
        <f t="shared" si="126"/>
        <v>-5139.75</v>
      </c>
      <c r="GN116" s="146">
        <f t="shared" si="127"/>
        <v>1373882.8513580486</v>
      </c>
      <c r="GO116" s="146">
        <f t="shared" si="127"/>
        <v>0</v>
      </c>
      <c r="GP116" s="146">
        <f t="shared" si="127"/>
        <v>0</v>
      </c>
      <c r="GQ116" s="146">
        <f t="shared" si="127"/>
        <v>-5320.32</v>
      </c>
      <c r="GR116" s="146">
        <f t="shared" si="127"/>
        <v>-5246.9600000000019</v>
      </c>
      <c r="GS116" s="146">
        <f t="shared" si="127"/>
        <v>-5139.75</v>
      </c>
      <c r="GU116" s="146"/>
      <c r="GV116" s="57"/>
    </row>
    <row r="117" spans="1:204">
      <c r="A117" s="185">
        <v>2183</v>
      </c>
      <c r="B117" s="185">
        <v>103261</v>
      </c>
      <c r="C117" s="185" t="s">
        <v>258</v>
      </c>
      <c r="D117" s="2" t="s">
        <v>259</v>
      </c>
      <c r="E117" s="191" t="s">
        <v>32</v>
      </c>
      <c r="F117" s="191" t="s">
        <v>912</v>
      </c>
      <c r="H117" s="279">
        <f>_xlfn.IFNA(VLOOKUP($A117,ISB!$A$4:$BY$454,67,FALSE),0)</f>
        <v>2223665.3765575271</v>
      </c>
      <c r="I117" s="279">
        <f>_xlfn.IFNA(VLOOKUP($A117,ISB!$A$4:$BY$454,72,FALSE),0)</f>
        <v>-8919.3599999999988</v>
      </c>
      <c r="J117" s="279">
        <f>-_xlfn.IFNA(VLOOKUP($A117,ISB!$A$4:$BY$454,76,FALSE),0)</f>
        <v>-37394.07</v>
      </c>
      <c r="K117" s="279">
        <f>_xlfn.IFNA(VLOOKUP($A117,ISB!$A$4:$BY$454,77,FALSE),0)</f>
        <v>2177351.9465575274</v>
      </c>
      <c r="M117" s="301">
        <f t="shared" si="72"/>
        <v>185305.4480464606</v>
      </c>
      <c r="N117" s="301">
        <f>VLOOKUP($A117,EY!$A:$H,8,FALSE)+(VLOOKUP($A117,EY!$A:$BS,17,FALSE)-S117)+VLOOKUP($A117,EY!$A:$BS,41,FALSE)</f>
        <v>0</v>
      </c>
      <c r="O117" s="302"/>
      <c r="P117" s="302">
        <f>_xlfn.IFNA((VLOOKUP($A117,HN!$A:$K,8,FALSE)/12),0)</f>
        <v>0</v>
      </c>
      <c r="Q117" s="302">
        <f>_xlfn.IFNA((VLOOKUP($A117,HN!$A:$BS,14,FALSE)/12),0)</f>
        <v>14666.666666666666</v>
      </c>
      <c r="R117" s="302">
        <f>_xlfn.IFNA(VLOOKUP($A117,'Post 16'!$A:$V,21,FALSE),0)/4</f>
        <v>0</v>
      </c>
      <c r="S117" s="302">
        <f>VLOOKUP($A117,EY!A:Q,15,FALSE)*80%</f>
        <v>0</v>
      </c>
      <c r="T117" s="302">
        <f>_xlfn.IFNA((VLOOKUP($A117,HN!$A:$K,9,FALSE)/12),0)+_xlfn.IFNA((VLOOKUP($A117,HN!$A:$K,10,FALSE)/12),0)</f>
        <v>0</v>
      </c>
      <c r="U117" s="302">
        <f>_xlfn.IFNA((VLOOKUP($A117,HN!$A:$BS,15,FALSE)/12),0)</f>
        <v>18806.880833333333</v>
      </c>
      <c r="V117" s="301">
        <f t="shared" si="73"/>
        <v>-743.27999999999986</v>
      </c>
      <c r="W117" s="301">
        <f t="shared" si="74"/>
        <v>-3116.1725000000001</v>
      </c>
      <c r="X117" s="302"/>
      <c r="Y117" s="302">
        <f>_xlfn.IFNA(VLOOKUP($A117,'Cash Advances'!$A:$S,8,FALSE),0)</f>
        <v>0</v>
      </c>
      <c r="Z117" s="301">
        <f t="shared" si="121"/>
        <v>214919.5430464606</v>
      </c>
      <c r="AA117" s="315">
        <f t="shared" si="75"/>
        <v>185305.4480464606</v>
      </c>
      <c r="AB117" s="315"/>
      <c r="AC117" s="316"/>
      <c r="AD117" s="316">
        <f>_xlfn.IFNA((VLOOKUP($A117,HN!$A:$K,8,FALSE)/12),0)</f>
        <v>0</v>
      </c>
      <c r="AE117" s="316">
        <f>_xlfn.IFNA((VLOOKUP($A117,HN!$A:$BS,14,FALSE)/12),0)</f>
        <v>14666.666666666666</v>
      </c>
      <c r="AF117" s="316">
        <f>_xlfn.IFNA(VLOOKUP($A117,'Post 16'!$A:$V,21,FALSE),0)/4</f>
        <v>0</v>
      </c>
      <c r="AG117" s="316"/>
      <c r="AH117" s="316">
        <f>_xlfn.IFNA((VLOOKUP($A117,HN!$A:$K,9,FALSE)/12),0)+_xlfn.IFNA((VLOOKUP($A117,HN!$A:$K,10,FALSE)/12),0)</f>
        <v>0</v>
      </c>
      <c r="AI117" s="316">
        <f>_xlfn.IFNA((VLOOKUP($A117,HN!$A:$BS,15,FALSE)/12),0)</f>
        <v>18806.880833333333</v>
      </c>
      <c r="AJ117" s="315">
        <f t="shared" si="76"/>
        <v>-743.27999999999986</v>
      </c>
      <c r="AK117" s="315">
        <f t="shared" si="77"/>
        <v>-3116.1725000000001</v>
      </c>
      <c r="AL117" s="316"/>
      <c r="AM117" s="316">
        <f>_xlfn.IFNA(VLOOKUP($A117,'Cash Advances'!$A:$S,9,FALSE),0)</f>
        <v>0</v>
      </c>
      <c r="AN117" s="315">
        <f t="shared" si="122"/>
        <v>214919.5430464606</v>
      </c>
      <c r="AO117" s="308">
        <f t="shared" si="78"/>
        <v>185305.4480464606</v>
      </c>
      <c r="AP117" s="308"/>
      <c r="AQ117" s="309"/>
      <c r="AR117" s="309">
        <f>_xlfn.IFNA((VLOOKUP($A117,HN!$A:$K,8,FALSE)/12),0)</f>
        <v>0</v>
      </c>
      <c r="AS117" s="309">
        <f>_xlfn.IFNA((VLOOKUP($A117,HN!$A:$BS,14,FALSE)/12),0)</f>
        <v>14666.666666666666</v>
      </c>
      <c r="AT117" s="309">
        <f>_xlfn.IFNA(VLOOKUP($A117,'Post 16'!$A:$V,21,FALSE),0)/4</f>
        <v>0</v>
      </c>
      <c r="AU117" s="309"/>
      <c r="AV117" s="309">
        <f>_xlfn.IFNA((VLOOKUP($A117,HN!$A:$K,9,FALSE)/12),0)+_xlfn.IFNA((VLOOKUP($A117,HN!$A:$K,10,FALSE)/12),0)+_xlfn.IFNA(VLOOKUP(A117,HN!A:V,19,FALSE),0)+_xlfn.IFNA(VLOOKUP(A117,HN!A:V,20,FALSE),0)+_xlfn.IFNA(VLOOKUP(A117,HN!A:V,21,FALSE),0)</f>
        <v>0</v>
      </c>
      <c r="AW117" s="309">
        <f>_xlfn.IFNA((VLOOKUP($A117,HN!$A:$BS,15,FALSE)/12),0)</f>
        <v>18806.880833333333</v>
      </c>
      <c r="AX117" s="308">
        <f t="shared" si="79"/>
        <v>-743.27999999999986</v>
      </c>
      <c r="AY117" s="308">
        <f t="shared" si="80"/>
        <v>-3116.1725000000001</v>
      </c>
      <c r="AZ117" s="309"/>
      <c r="BA117" s="309">
        <f>_xlfn.IFNA(VLOOKUP($A117,'Cash Advances'!$A:$S,10,FALSE),0)</f>
        <v>0</v>
      </c>
      <c r="BB117" s="308">
        <f t="shared" si="123"/>
        <v>214919.5430464606</v>
      </c>
      <c r="BC117" s="330">
        <f t="shared" si="81"/>
        <v>185305.4480464606</v>
      </c>
      <c r="BD117" s="330"/>
      <c r="BE117" s="331"/>
      <c r="BF117" s="331">
        <f>_xlfn.IFNA((VLOOKUP($A117,HN!$A:$K,8,FALSE)/12),0)</f>
        <v>0</v>
      </c>
      <c r="BG117" s="331">
        <f>_xlfn.IFNA((VLOOKUP($A117,HN!$A:$BS,14,FALSE)/12),0)</f>
        <v>14666.666666666666</v>
      </c>
      <c r="BH117" s="331">
        <f>_xlfn.IFNA(VLOOKUP($A117,'Post 16'!$A:$V,21,FALSE),0)/4</f>
        <v>0</v>
      </c>
      <c r="BI117" s="331"/>
      <c r="BJ117" s="331">
        <f>_xlfn.IFNA((VLOOKUP($A117,HN!$A:$K,9,FALSE)/12),0)+_xlfn.IFNA((VLOOKUP($A117,HN!$A:$K,10,FALSE)/12),0)</f>
        <v>0</v>
      </c>
      <c r="BK117" s="331">
        <f>_xlfn.IFNA((VLOOKUP($A117,HN!$A:$BS,15,FALSE)/12),0)</f>
        <v>18806.880833333333</v>
      </c>
      <c r="BL117" s="330">
        <f t="shared" si="82"/>
        <v>-743.27999999999986</v>
      </c>
      <c r="BM117" s="330">
        <f t="shared" si="83"/>
        <v>-3116.1725000000001</v>
      </c>
      <c r="BN117" s="331"/>
      <c r="BO117" s="331">
        <f>_xlfn.IFNA(VLOOKUP(A117,'Cash Advances'!A:K,11,FALSE),0)</f>
        <v>0</v>
      </c>
      <c r="BP117" s="330">
        <f t="shared" si="124"/>
        <v>214919.5430464606</v>
      </c>
      <c r="BQ117" s="322">
        <f t="shared" si="84"/>
        <v>185305.4480464606</v>
      </c>
      <c r="BR117" s="322"/>
      <c r="BS117" s="323"/>
      <c r="BT117" s="323">
        <f>_xlfn.IFNA((VLOOKUP($A117,HN!$A:$K,8,FALSE)/12),0)</f>
        <v>0</v>
      </c>
      <c r="BU117" s="323">
        <f>_xlfn.IFNA((VLOOKUP($A117,HN!$A:$BS,14,FALSE)/12),0)</f>
        <v>14666.666666666666</v>
      </c>
      <c r="BV117" s="323">
        <f>(_xlfn.IFNA(VLOOKUP($A117,'Post 16'!$A:$AV,32,FALSE),0)/8)+_xlfn.IFNA(VLOOKUP($A117,'Post 16'!$A:$AR,40,FALSE),0)</f>
        <v>0</v>
      </c>
      <c r="BW117" s="323"/>
      <c r="BX117" s="323">
        <f>_xlfn.IFNA((VLOOKUP($A117,HN!$A:$K,9,FALSE)/12),0)+_xlfn.IFNA((VLOOKUP($A117,HN!$A:$K,10,FALSE)/12),0)</f>
        <v>0</v>
      </c>
      <c r="BY117" s="323">
        <f>_xlfn.IFNA((VLOOKUP($A117,HN!$A:$BS,15,FALSE)/12),0)</f>
        <v>18806.880833333333</v>
      </c>
      <c r="BZ117" s="322">
        <f t="shared" si="85"/>
        <v>-743.27999999999986</v>
      </c>
      <c r="CA117" s="322">
        <f t="shared" si="86"/>
        <v>-3116.1725000000001</v>
      </c>
      <c r="CB117" s="323"/>
      <c r="CC117" s="323"/>
      <c r="CD117" s="322">
        <f t="shared" si="125"/>
        <v>214919.5430464606</v>
      </c>
      <c r="CE117" s="357">
        <f t="shared" si="87"/>
        <v>185305.4480464606</v>
      </c>
      <c r="CF117" s="357">
        <f>(VLOOKUP($A117,EY!$A:$BS,26,FALSE)-(VLOOKUP($A117,EY!A:CR,24,FALSE)*80%))+VLOOKUP($A117,EY!$A:$BS,42,FALSE)+(VLOOKUP($A117,EY!A:CC,74,FALSE)-VLOOKUP($A117,EY!A:CC,72,FALSE))</f>
        <v>0</v>
      </c>
      <c r="CG117" s="358"/>
      <c r="CH117" s="358">
        <f>_xlfn.IFNA((VLOOKUP($A117,HN!$A:$K,8,FALSE)/12),0)</f>
        <v>0</v>
      </c>
      <c r="CI117" s="358">
        <f>_xlfn.IFNA((VLOOKUP($A117,HN!$A:$BS,14,FALSE)/12),0)</f>
        <v>14666.666666666666</v>
      </c>
      <c r="CJ117" s="358">
        <f>(_xlfn.IFNA(VLOOKUP($A117,'Post 16'!$A:$AV,32,FALSE),0)/8)</f>
        <v>0</v>
      </c>
      <c r="CK117" s="358">
        <f>(VLOOKUP($A117,EY!A:CR,24,FALSE)*80%)+VLOOKUP($A117,EY!A:CC,72,FALSE)</f>
        <v>0</v>
      </c>
      <c r="CL117" s="358">
        <f>_xlfn.IFNA((VLOOKUP($A117,HN!$A:$K,9,FALSE)/12),0)+_xlfn.IFNA((VLOOKUP($A117,HN!$A:$K,10,FALSE)/12),0)</f>
        <v>0</v>
      </c>
      <c r="CM117" s="358">
        <f>_xlfn.IFNA((VLOOKUP($A117,HN!$A:$BS,15,FALSE)/12),0)</f>
        <v>18806.880833333333</v>
      </c>
      <c r="CN117" s="357">
        <f t="shared" si="88"/>
        <v>-743.27999999999986</v>
      </c>
      <c r="CO117" s="357">
        <f t="shared" si="89"/>
        <v>-3116.1725000000001</v>
      </c>
      <c r="CP117" s="358">
        <f>_xlfn.IFNA(VLOOKUP(A117,'LA Deductions'!A:W,23,FALSE),0)</f>
        <v>-9471</v>
      </c>
      <c r="CQ117" s="358">
        <f>_xlfn.IFNA(VLOOKUP($A117,'Cash Advances'!$A:$S,13,FALSE),0)</f>
        <v>0</v>
      </c>
      <c r="CR117" s="358">
        <f>_xlfn.IFNA(VLOOKUP(A117,'LA Deductions'!A:AZ,25,FALSE),0)/9*3</f>
        <v>0</v>
      </c>
      <c r="CS117" s="357">
        <f t="shared" si="108"/>
        <v>205448.5430464606</v>
      </c>
      <c r="CT117" s="337">
        <f t="shared" si="90"/>
        <v>185305.4480464606</v>
      </c>
      <c r="CU117" s="337"/>
      <c r="CV117" s="338">
        <f>_xlfn.IFNA(VLOOKUP(A117,'LA Deductions'!$A$6:$AN$207,34,FALSE),0)</f>
        <v>0</v>
      </c>
      <c r="CW117" s="338">
        <f>_xlfn.IFNA((VLOOKUP($A117,HN!$A:$K,8,FALSE)/12),0)</f>
        <v>0</v>
      </c>
      <c r="CX117" s="338">
        <f>_xlfn.IFNA((VLOOKUP($A117,HN!$A:$BS,14,FALSE)/12),0)</f>
        <v>14666.666666666666</v>
      </c>
      <c r="CY117" s="338">
        <f>_xlfn.IFNA(VLOOKUP($A117,'Post 16'!$A:$AV,32,FALSE),0)/8</f>
        <v>0</v>
      </c>
      <c r="CZ117" s="338"/>
      <c r="DA117" s="338">
        <f>_xlfn.IFNA((VLOOKUP($A117,HN!$A:$K,9,FALSE)/12),0)+_xlfn.IFNA((VLOOKUP($A117,HN!$A:$K,10,FALSE)/12),0)</f>
        <v>0</v>
      </c>
      <c r="DB117" s="338">
        <f>_xlfn.IFNA((VLOOKUP($A117,HN!$A:$BS,15,FALSE)/12),0)</f>
        <v>18806.880833333333</v>
      </c>
      <c r="DC117" s="337">
        <f t="shared" si="91"/>
        <v>-743.27999999999986</v>
      </c>
      <c r="DD117" s="337">
        <f t="shared" si="92"/>
        <v>-3116.1725000000001</v>
      </c>
      <c r="DE117" s="338"/>
      <c r="DF117" s="338">
        <f>_xlfn.IFNA(VLOOKUP($A117,'Cash Advances'!$A:$S,14,FALSE),0)</f>
        <v>0</v>
      </c>
      <c r="DG117" s="338">
        <f>(_xlfn.IFNA(VLOOKUP(A117,'LA Deductions'!A:AZ,25,FALSE),0)/9)+(_xlfn.IFNA(VLOOKUP(A117,'LA Deductions'!A:AZ,26,FALSE),0))</f>
        <v>0</v>
      </c>
      <c r="DH117" s="337">
        <f t="shared" si="109"/>
        <v>214919.5430464606</v>
      </c>
      <c r="DI117" s="330">
        <f t="shared" si="93"/>
        <v>185305.4480464606</v>
      </c>
      <c r="DJ117" s="330"/>
      <c r="DK117" s="331"/>
      <c r="DL117" s="331">
        <f>_xlfn.IFNA((VLOOKUP($A117,HN!$A:$K,8,FALSE)/12),0)+_xlfn.IFNA((VLOOKUP($A117,HN!$A:$AF,32,FALSE)*8/12),0)</f>
        <v>0</v>
      </c>
      <c r="DM117" s="331">
        <f>_xlfn.IFNA((VLOOKUP($A117,HN!$A:$BS,14,FALSE)/12),0)+_xlfn.IFNA(VLOOKUP($A117,HN!$A:$BS,31,FALSE),0)</f>
        <v>14666.666666666666</v>
      </c>
      <c r="DN117" s="331">
        <f>_xlfn.IFNA(VLOOKUP($A117,'Post 16'!$A:$AV,32,FALSE),0)/8</f>
        <v>0</v>
      </c>
      <c r="DO117" s="331"/>
      <c r="DP117" s="331">
        <f>_xlfn.IFNA((VLOOKUP($A117,HN!$A:$K,9,FALSE)/12),0)+_xlfn.IFNA((VLOOKUP($A117,HN!$A:$K,10,FALSE)/12),0)+_xlfn.IFNA((VLOOKUP($A117,HN!$A:$BZ,33,FALSE)*8/12),0)</f>
        <v>0</v>
      </c>
      <c r="DQ117" s="331">
        <f>_xlfn.IFNA((VLOOKUP($A117,HN!$A:$BS,15,FALSE)/12),0)</f>
        <v>18806.880833333333</v>
      </c>
      <c r="DR117" s="330">
        <f t="shared" si="94"/>
        <v>-743.27999999999986</v>
      </c>
      <c r="DS117" s="330">
        <f t="shared" si="95"/>
        <v>-3116.1725000000001</v>
      </c>
      <c r="DT117" s="331"/>
      <c r="DU117" s="331"/>
      <c r="DV117" s="331">
        <f>(_xlfn.IFNA(VLOOKUP(A117,'LA Deductions'!A:AZ,25,FALSE),0)/9)+_xlfn.IFNA(VLOOKUP(A117,'LA Deductions'!A:AZ,27,FALSE),0)</f>
        <v>0</v>
      </c>
      <c r="DW117" s="330">
        <f t="shared" si="110"/>
        <v>214919.5430464606</v>
      </c>
      <c r="DX117" s="344">
        <f t="shared" si="96"/>
        <v>185305.4480464606</v>
      </c>
      <c r="DY117" s="344"/>
      <c r="DZ117" s="345"/>
      <c r="EA117" s="345">
        <f>_xlfn.IFNA((VLOOKUP($A117,HN!$A:$K,8,FALSE)/12),0)+_xlfn.IFNA((VLOOKUP($A117,HN!$A:$AF,32,FALSE)*1/12),0)</f>
        <v>0</v>
      </c>
      <c r="EB117" s="345">
        <f>_xlfn.IFNA((VLOOKUP($A117,HN!$A:$BS,14,FALSE)/12),0)</f>
        <v>14666.666666666666</v>
      </c>
      <c r="EC117" s="345">
        <f>_xlfn.IFNA(VLOOKUP($A117,'Post 16'!$A:$AV,32,FALSE),0)/8</f>
        <v>0</v>
      </c>
      <c r="ED117" s="345"/>
      <c r="EE117" s="345">
        <f>_xlfn.IFNA((VLOOKUP($A117,HN!$A:$K,9,FALSE)/12),0)+_xlfn.IFNA((VLOOKUP($A117,HN!$A:$K,10,FALSE)/12),0)+_xlfn.IFNA((VLOOKUP($A117,HN!$A:$BZ,33,FALSE)/12),0)</f>
        <v>0</v>
      </c>
      <c r="EF117" s="345">
        <f>_xlfn.IFNA((VLOOKUP($A117,HN!$A:$BS,15,FALSE)/12),0)</f>
        <v>18806.880833333333</v>
      </c>
      <c r="EG117" s="344">
        <f t="shared" si="97"/>
        <v>-743.27999999999986</v>
      </c>
      <c r="EH117" s="344">
        <f t="shared" si="98"/>
        <v>-3116.1725000000001</v>
      </c>
      <c r="EI117" s="345"/>
      <c r="EJ117" s="345">
        <f>_xlfn.IFNA(VLOOKUP(A117,'Cash Advances'!A:P,16,FALSE),0)</f>
        <v>0</v>
      </c>
      <c r="EK117" s="345">
        <f>_xlfn.IFNA(VLOOKUP(A117,'LA Deductions'!A:AZ,25,FALSE),0)/9</f>
        <v>0</v>
      </c>
      <c r="EL117" s="344">
        <f t="shared" si="111"/>
        <v>214919.5430464606</v>
      </c>
      <c r="EM117" s="308">
        <f t="shared" si="99"/>
        <v>185305.4480464606</v>
      </c>
      <c r="EN117" s="308">
        <f>((VLOOKUP($A117,EY!$A:$BS,35,FALSE)-(VLOOKUP($A117,EY!$A:$BS,33,FALSE)*80%))+VLOOKUP($A117,EY!$A:$BS,43,FALSE))+(VLOOKUP(A117,EY!A:DF,110,FALSE)-VLOOKUP(A117,EY!A:DD,108,FALSE))+(VLOOKUP(A117,EY!A:CE,83,FALSE)-VLOOKUP(A117,EY!A:CC,81,FALSE))</f>
        <v>0</v>
      </c>
      <c r="EO117" s="309"/>
      <c r="EP117" s="309">
        <f>_xlfn.IFNA((VLOOKUP($A117,HN!$A:$K,8,FALSE)/12),0)+_xlfn.IFNA((VLOOKUP($A117,HN!$A:$AF,32,FALSE)*1/12),0)</f>
        <v>0</v>
      </c>
      <c r="EQ117" s="309">
        <f>_xlfn.IFNA((VLOOKUP($A117,HN!$A:$BS,14,FALSE)/12),0)+_xlfn.IFNA((VLOOKUP($A117,HN!$A:$BS,34,FALSE)/3),0)</f>
        <v>14666.666666666666</v>
      </c>
      <c r="ER117" s="309">
        <f>_xlfn.IFNA(VLOOKUP($A117,'Post 16'!$A:$AV,32,FALSE),0)/8</f>
        <v>0</v>
      </c>
      <c r="ES117" s="309">
        <f>((VLOOKUP($A117,EY!A:EV,33,FALSE)*80%))+VLOOKUP(A117,EY!A:DD,108,FALSE)+VLOOKUP(A117,EY!A:CC,81,FALSE)</f>
        <v>0</v>
      </c>
      <c r="ET117" s="309">
        <f>_xlfn.IFNA((VLOOKUP($A117,HN!$A:$K,9,FALSE)/12),0)+_xlfn.IFNA((VLOOKUP($A117,HN!$A:$K,10,FALSE)/12),0)+_xlfn.IFNA((VLOOKUP($A117,HN!$A:$BZ,33,FALSE)/12),0)</f>
        <v>0</v>
      </c>
      <c r="EU117" s="309">
        <f>_xlfn.IFNA((VLOOKUP($A117,HN!$A:$BS,15,FALSE)/12),0)</f>
        <v>18806.880833333333</v>
      </c>
      <c r="EV117" s="308">
        <f t="shared" si="100"/>
        <v>-743.27999999999986</v>
      </c>
      <c r="EW117" s="308">
        <f t="shared" si="101"/>
        <v>-3116.1725000000001</v>
      </c>
      <c r="EX117" s="309"/>
      <c r="EY117" s="309">
        <f>_xlfn.IFNA(VLOOKUP($A117,'Cash Advances'!$A:$S,17,FALSE),0)</f>
        <v>0</v>
      </c>
      <c r="EZ117" s="309">
        <f>_xlfn.IFNA(VLOOKUP(A117,'LA Deductions'!A:AZ,25,FALSE),0)/9</f>
        <v>0</v>
      </c>
      <c r="FA117" s="308">
        <f t="shared" si="112"/>
        <v>214919.5430464606</v>
      </c>
      <c r="FB117" s="315">
        <f t="shared" si="102"/>
        <v>185305.4480464606</v>
      </c>
      <c r="FC117" s="315"/>
      <c r="FD117" s="316"/>
      <c r="FE117" s="316">
        <f>_xlfn.IFNA((VLOOKUP($A117,HN!$A:$K,8,FALSE)/12),0)+_xlfn.IFNA((VLOOKUP($A117,HN!$A:$AF,32,FALSE)*1/12),0)</f>
        <v>0</v>
      </c>
      <c r="FF117" s="316">
        <f>_xlfn.IFNA((VLOOKUP($A117,HN!$A:$BS,14,FALSE)/12),0)+_xlfn.IFNA((VLOOKUP($A117,HN!$A:$BS,34,FALSE)/3),0)</f>
        <v>14666.666666666666</v>
      </c>
      <c r="FG117" s="316">
        <f>_xlfn.IFNA(VLOOKUP($A117,'Post 16'!$A:$AV,32,FALSE),0)/8</f>
        <v>0</v>
      </c>
      <c r="FH117" s="316"/>
      <c r="FI117" s="316">
        <f>_xlfn.IFNA((VLOOKUP($A117,HN!$A:$K,9,FALSE)/12),0)+_xlfn.IFNA((VLOOKUP($A117,HN!$A:$K,10,FALSE)/12),0)+_xlfn.IFNA((VLOOKUP($A117,HN!$A:$BZ,33,FALSE)/12),0)+_xlfn.IFNA((VLOOKUP($A117,HN!$A:$BZ,35,FALSE)/2),0)</f>
        <v>0</v>
      </c>
      <c r="FJ117" s="316">
        <f>_xlfn.IFNA((VLOOKUP($A117,HN!$A:$BS,15,FALSE)/12),0)+_xlfn.IFNA((VLOOKUP($A117,HN!$A:$CZ,36,FALSE)/2),0)</f>
        <v>37206.120833333334</v>
      </c>
      <c r="FK117" s="315">
        <f t="shared" si="103"/>
        <v>-743.27999999999986</v>
      </c>
      <c r="FL117" s="315">
        <f t="shared" si="104"/>
        <v>-3116.1725000000001</v>
      </c>
      <c r="FM117" s="316"/>
      <c r="FN117" s="316">
        <f>_xlfn.IFNA(VLOOKUP($A117,'Cash Advances'!$A:$S,18,FALSE),0)</f>
        <v>0</v>
      </c>
      <c r="FO117" s="316">
        <f>_xlfn.IFNA(VLOOKUP(A117,'LA Deductions'!A:AZ,25,FALSE),0)/9</f>
        <v>0</v>
      </c>
      <c r="FP117" s="315">
        <f t="shared" si="113"/>
        <v>233318.78304646062</v>
      </c>
      <c r="FQ117" s="322">
        <f t="shared" si="105"/>
        <v>185305.4480464606</v>
      </c>
      <c r="FR117" s="322"/>
      <c r="FS117" s="323"/>
      <c r="FT117" s="323">
        <f>_xlfn.IFNA((VLOOKUP($A117,HN!$A:$K,8,FALSE)/12),0)+_xlfn.IFNA((VLOOKUP($A117,HN!$A:$AF,32,FALSE)*1/12),0)</f>
        <v>0</v>
      </c>
      <c r="FU117" s="323">
        <f>_xlfn.IFNA((VLOOKUP($A117,HN!$A:$BS,14,FALSE)/12),0)+_xlfn.IFNA((VLOOKUP($A117,HN!$A:$BS,34,FALSE)/3),0)</f>
        <v>14666.666666666666</v>
      </c>
      <c r="FV117" s="323">
        <f>_xlfn.IFNA(VLOOKUP($A117,'Post 16'!$A:$AV,32,FALSE),0)/8</f>
        <v>0</v>
      </c>
      <c r="FW117" s="323"/>
      <c r="FX117" s="323">
        <f>_xlfn.IFNA((VLOOKUP($A117,HN!$A:$K,9,FALSE)/12),0)+_xlfn.IFNA((VLOOKUP($A117,HN!$A:$K,10,FALSE)/12),0)+_xlfn.IFNA((VLOOKUP($A117,HN!$A:$BZ,33,FALSE)/12),0)+_xlfn.IFNA((VLOOKUP($A117,HN!$A:$BZ,35,FALSE)/2),0)</f>
        <v>0</v>
      </c>
      <c r="FY117" s="323">
        <f>_xlfn.IFNA((VLOOKUP($A117,HN!$A:$BS,15,FALSE)/12),0)+_xlfn.IFNA((VLOOKUP($A117,HN!$A:$CZ,36,FALSE)/2),0)</f>
        <v>37206.120833333334</v>
      </c>
      <c r="FZ117" s="322">
        <f t="shared" si="106"/>
        <v>-743.27999999999986</v>
      </c>
      <c r="GA117" s="322">
        <f t="shared" si="107"/>
        <v>-3116.1725000000001</v>
      </c>
      <c r="GB117" s="323"/>
      <c r="GC117" s="323"/>
      <c r="GD117" s="323">
        <f>_xlfn.IFNA(VLOOKUP(A117,'LA Deductions'!A:AZ,25,FALSE),0)/9</f>
        <v>0</v>
      </c>
      <c r="GE117" s="322">
        <f t="shared" si="114"/>
        <v>233318.78304646062</v>
      </c>
      <c r="GG117" s="146">
        <f t="shared" ref="GG117:GL126" si="128">SUMIFS($M117:$GE117,$M$7:$GE$7,GG$7)</f>
        <v>2399665.3765575271</v>
      </c>
      <c r="GH117" s="146">
        <f t="shared" si="128"/>
        <v>0</v>
      </c>
      <c r="GI117" s="146">
        <f t="shared" si="128"/>
        <v>262481.05</v>
      </c>
      <c r="GJ117" s="146">
        <f t="shared" si="128"/>
        <v>-8919.3599999999988</v>
      </c>
      <c r="GK117" s="146">
        <f t="shared" si="128"/>
        <v>-37394.07</v>
      </c>
      <c r="GL117" s="146">
        <f t="shared" si="128"/>
        <v>-9471</v>
      </c>
      <c r="GN117" s="146">
        <f t="shared" ref="GN117:GS126" si="129">SUMIFS($M117:$GE117,$M$7:$GE$7,GN$7,$M$4:$GE$4,$GN$6)</f>
        <v>2399665.3765575271</v>
      </c>
      <c r="GO117" s="146">
        <f t="shared" si="129"/>
        <v>0</v>
      </c>
      <c r="GP117" s="146">
        <f t="shared" si="129"/>
        <v>262481.05</v>
      </c>
      <c r="GQ117" s="146">
        <f t="shared" si="129"/>
        <v>-8919.3599999999988</v>
      </c>
      <c r="GR117" s="146">
        <f t="shared" si="129"/>
        <v>-37394.07</v>
      </c>
      <c r="GS117" s="146">
        <f t="shared" si="129"/>
        <v>-9471</v>
      </c>
      <c r="GU117" s="146"/>
      <c r="GV117" s="57"/>
    </row>
    <row r="118" spans="1:204">
      <c r="A118" s="185">
        <v>3372</v>
      </c>
      <c r="B118" s="185">
        <v>103460</v>
      </c>
      <c r="C118" s="185" t="s">
        <v>260</v>
      </c>
      <c r="D118" s="2" t="s">
        <v>261</v>
      </c>
      <c r="E118" s="191" t="s">
        <v>32</v>
      </c>
      <c r="F118" s="191" t="s">
        <v>912</v>
      </c>
      <c r="H118" s="279">
        <f>_xlfn.IFNA(VLOOKUP($A118,ISB!$A$4:$BY$454,67,FALSE),0)</f>
        <v>3124939.5287759146</v>
      </c>
      <c r="I118" s="279">
        <f>_xlfn.IFNA(VLOOKUP($A118,ISB!$A$4:$BY$454,72,FALSE),0)</f>
        <v>-14161.439999999999</v>
      </c>
      <c r="J118" s="279">
        <f>-_xlfn.IFNA(VLOOKUP($A118,ISB!$A$4:$BY$454,76,FALSE),0)</f>
        <v>-5776.96</v>
      </c>
      <c r="K118" s="279">
        <f>_xlfn.IFNA(VLOOKUP($A118,ISB!$A$4:$BY$454,77,FALSE),0)</f>
        <v>3105001.1287759147</v>
      </c>
      <c r="M118" s="301">
        <f t="shared" si="72"/>
        <v>260411.62739799288</v>
      </c>
      <c r="N118" s="301">
        <f>VLOOKUP($A118,EY!$A:$H,8,FALSE)+(VLOOKUP($A118,EY!$A:$BS,17,FALSE)-S118)+VLOOKUP($A118,EY!$A:$BS,41,FALSE)</f>
        <v>58623.075789473696</v>
      </c>
      <c r="O118" s="302"/>
      <c r="P118" s="302">
        <f>_xlfn.IFNA((VLOOKUP($A118,HN!$A:$K,8,FALSE)/12),0)</f>
        <v>0</v>
      </c>
      <c r="Q118" s="302">
        <f>_xlfn.IFNA((VLOOKUP($A118,HN!$A:$BS,14,FALSE)/12),0)</f>
        <v>0</v>
      </c>
      <c r="R118" s="302">
        <f>_xlfn.IFNA(VLOOKUP($A118,'Post 16'!$A:$V,21,FALSE),0)/4</f>
        <v>0</v>
      </c>
      <c r="S118" s="302">
        <f>VLOOKUP($A118,EY!A:Q,15,FALSE)*80%</f>
        <v>0</v>
      </c>
      <c r="T118" s="302">
        <f>_xlfn.IFNA((VLOOKUP($A118,HN!$A:$K,9,FALSE)/12),0)+_xlfn.IFNA((VLOOKUP($A118,HN!$A:$K,10,FALSE)/12),0)</f>
        <v>0</v>
      </c>
      <c r="U118" s="302">
        <f>_xlfn.IFNA((VLOOKUP($A118,HN!$A:$BS,15,FALSE)/12),0)</f>
        <v>0</v>
      </c>
      <c r="V118" s="301">
        <f t="shared" si="73"/>
        <v>-1180.1199999999999</v>
      </c>
      <c r="W118" s="301">
        <f t="shared" si="74"/>
        <v>-481.41333333333336</v>
      </c>
      <c r="X118" s="302"/>
      <c r="Y118" s="302">
        <f>_xlfn.IFNA(VLOOKUP($A118,'Cash Advances'!$A:$S,8,FALSE),0)</f>
        <v>0</v>
      </c>
      <c r="Z118" s="301">
        <f t="shared" si="121"/>
        <v>317373.16985413327</v>
      </c>
      <c r="AA118" s="315">
        <f t="shared" si="75"/>
        <v>260411.62739799288</v>
      </c>
      <c r="AB118" s="315"/>
      <c r="AC118" s="316"/>
      <c r="AD118" s="316">
        <f>_xlfn.IFNA((VLOOKUP($A118,HN!$A:$K,8,FALSE)/12),0)</f>
        <v>0</v>
      </c>
      <c r="AE118" s="316">
        <f>_xlfn.IFNA((VLOOKUP($A118,HN!$A:$BS,14,FALSE)/12),0)</f>
        <v>0</v>
      </c>
      <c r="AF118" s="316">
        <f>_xlfn.IFNA(VLOOKUP($A118,'Post 16'!$A:$V,21,FALSE),0)/4</f>
        <v>0</v>
      </c>
      <c r="AG118" s="316"/>
      <c r="AH118" s="316">
        <f>_xlfn.IFNA((VLOOKUP($A118,HN!$A:$K,9,FALSE)/12),0)+_xlfn.IFNA((VLOOKUP($A118,HN!$A:$K,10,FALSE)/12),0)</f>
        <v>0</v>
      </c>
      <c r="AI118" s="316">
        <f>_xlfn.IFNA((VLOOKUP($A118,HN!$A:$BS,15,FALSE)/12),0)</f>
        <v>0</v>
      </c>
      <c r="AJ118" s="315">
        <f t="shared" si="76"/>
        <v>-1180.1199999999999</v>
      </c>
      <c r="AK118" s="315">
        <f t="shared" si="77"/>
        <v>-481.41333333333336</v>
      </c>
      <c r="AL118" s="316"/>
      <c r="AM118" s="316">
        <f>_xlfn.IFNA(VLOOKUP($A118,'Cash Advances'!$A:$S,9,FALSE),0)</f>
        <v>0</v>
      </c>
      <c r="AN118" s="315">
        <f t="shared" si="122"/>
        <v>258750.09406465956</v>
      </c>
      <c r="AO118" s="308">
        <f t="shared" si="78"/>
        <v>260411.62739799288</v>
      </c>
      <c r="AP118" s="308"/>
      <c r="AQ118" s="309"/>
      <c r="AR118" s="309">
        <f>_xlfn.IFNA((VLOOKUP($A118,HN!$A:$K,8,FALSE)/12),0)</f>
        <v>0</v>
      </c>
      <c r="AS118" s="309">
        <f>_xlfn.IFNA((VLOOKUP($A118,HN!$A:$BS,14,FALSE)/12),0)</f>
        <v>0</v>
      </c>
      <c r="AT118" s="309">
        <f>_xlfn.IFNA(VLOOKUP($A118,'Post 16'!$A:$V,21,FALSE),0)/4</f>
        <v>0</v>
      </c>
      <c r="AU118" s="309"/>
      <c r="AV118" s="309">
        <f>_xlfn.IFNA((VLOOKUP($A118,HN!$A:$K,9,FALSE)/12),0)+_xlfn.IFNA((VLOOKUP($A118,HN!$A:$K,10,FALSE)/12),0)+_xlfn.IFNA(VLOOKUP(A118,HN!A:V,19,FALSE),0)+_xlfn.IFNA(VLOOKUP(A118,HN!A:V,20,FALSE),0)+_xlfn.IFNA(VLOOKUP(A118,HN!A:V,21,FALSE),0)</f>
        <v>0</v>
      </c>
      <c r="AW118" s="309">
        <f>_xlfn.IFNA((VLOOKUP($A118,HN!$A:$BS,15,FALSE)/12),0)</f>
        <v>0</v>
      </c>
      <c r="AX118" s="308">
        <f t="shared" si="79"/>
        <v>-1180.1199999999999</v>
      </c>
      <c r="AY118" s="308">
        <f t="shared" si="80"/>
        <v>-481.41333333333336</v>
      </c>
      <c r="AZ118" s="309"/>
      <c r="BA118" s="309">
        <f>_xlfn.IFNA(VLOOKUP($A118,'Cash Advances'!$A:$S,10,FALSE),0)</f>
        <v>0</v>
      </c>
      <c r="BB118" s="308">
        <f t="shared" si="123"/>
        <v>258750.09406465956</v>
      </c>
      <c r="BC118" s="330">
        <f t="shared" si="81"/>
        <v>260411.62739799288</v>
      </c>
      <c r="BD118" s="330"/>
      <c r="BE118" s="331"/>
      <c r="BF118" s="331">
        <f>_xlfn.IFNA((VLOOKUP($A118,HN!$A:$K,8,FALSE)/12),0)</f>
        <v>0</v>
      </c>
      <c r="BG118" s="331">
        <f>_xlfn.IFNA((VLOOKUP($A118,HN!$A:$BS,14,FALSE)/12),0)</f>
        <v>0</v>
      </c>
      <c r="BH118" s="331">
        <f>_xlfn.IFNA(VLOOKUP($A118,'Post 16'!$A:$V,21,FALSE),0)/4</f>
        <v>0</v>
      </c>
      <c r="BI118" s="331"/>
      <c r="BJ118" s="331">
        <f>_xlfn.IFNA((VLOOKUP($A118,HN!$A:$K,9,FALSE)/12),0)+_xlfn.IFNA((VLOOKUP($A118,HN!$A:$K,10,FALSE)/12),0)</f>
        <v>0</v>
      </c>
      <c r="BK118" s="331">
        <f>_xlfn.IFNA((VLOOKUP($A118,HN!$A:$BS,15,FALSE)/12),0)</f>
        <v>0</v>
      </c>
      <c r="BL118" s="330">
        <f t="shared" si="82"/>
        <v>-1180.1199999999999</v>
      </c>
      <c r="BM118" s="330">
        <f t="shared" si="83"/>
        <v>-481.41333333333336</v>
      </c>
      <c r="BN118" s="331"/>
      <c r="BO118" s="331">
        <f>_xlfn.IFNA(VLOOKUP(A118,'Cash Advances'!A:K,11,FALSE),0)</f>
        <v>0</v>
      </c>
      <c r="BP118" s="330">
        <f t="shared" si="124"/>
        <v>258750.09406465956</v>
      </c>
      <c r="BQ118" s="322">
        <f t="shared" si="84"/>
        <v>260411.62739799288</v>
      </c>
      <c r="BR118" s="322"/>
      <c r="BS118" s="323"/>
      <c r="BT118" s="323">
        <f>_xlfn.IFNA((VLOOKUP($A118,HN!$A:$K,8,FALSE)/12),0)</f>
        <v>0</v>
      </c>
      <c r="BU118" s="323">
        <f>_xlfn.IFNA((VLOOKUP($A118,HN!$A:$BS,14,FALSE)/12),0)</f>
        <v>0</v>
      </c>
      <c r="BV118" s="323">
        <f>(_xlfn.IFNA(VLOOKUP($A118,'Post 16'!$A:$AV,32,FALSE),0)/8)+_xlfn.IFNA(VLOOKUP($A118,'Post 16'!$A:$AR,40,FALSE),0)</f>
        <v>0</v>
      </c>
      <c r="BW118" s="323"/>
      <c r="BX118" s="323">
        <f>_xlfn.IFNA((VLOOKUP($A118,HN!$A:$K,9,FALSE)/12),0)+_xlfn.IFNA((VLOOKUP($A118,HN!$A:$K,10,FALSE)/12),0)</f>
        <v>0</v>
      </c>
      <c r="BY118" s="323">
        <f>_xlfn.IFNA((VLOOKUP($A118,HN!$A:$BS,15,FALSE)/12),0)</f>
        <v>0</v>
      </c>
      <c r="BZ118" s="322">
        <f t="shared" si="85"/>
        <v>-1180.1199999999999</v>
      </c>
      <c r="CA118" s="322">
        <f t="shared" si="86"/>
        <v>-481.41333333333336</v>
      </c>
      <c r="CB118" s="323"/>
      <c r="CC118" s="323"/>
      <c r="CD118" s="322">
        <f t="shared" si="125"/>
        <v>258750.09406465956</v>
      </c>
      <c r="CE118" s="357">
        <f t="shared" si="87"/>
        <v>260411.62739799288</v>
      </c>
      <c r="CF118" s="357">
        <f>(VLOOKUP($A118,EY!$A:$BS,26,FALSE)-(VLOOKUP($A118,EY!A:CR,24,FALSE)*80%))+VLOOKUP($A118,EY!$A:$BS,42,FALSE)+(VLOOKUP($A118,EY!A:CC,74,FALSE)-VLOOKUP($A118,EY!A:CC,72,FALSE))</f>
        <v>64866.55842105265</v>
      </c>
      <c r="CG118" s="358"/>
      <c r="CH118" s="358">
        <f>_xlfn.IFNA((VLOOKUP($A118,HN!$A:$K,8,FALSE)/12),0)</f>
        <v>0</v>
      </c>
      <c r="CI118" s="358">
        <f>_xlfn.IFNA((VLOOKUP($A118,HN!$A:$BS,14,FALSE)/12),0)</f>
        <v>0</v>
      </c>
      <c r="CJ118" s="358">
        <f>(_xlfn.IFNA(VLOOKUP($A118,'Post 16'!$A:$AV,32,FALSE),0)/8)</f>
        <v>0</v>
      </c>
      <c r="CK118" s="358">
        <f>(VLOOKUP($A118,EY!A:CR,24,FALSE)*80%)+VLOOKUP($A118,EY!A:CC,72,FALSE)</f>
        <v>0</v>
      </c>
      <c r="CL118" s="358">
        <f>_xlfn.IFNA((VLOOKUP($A118,HN!$A:$K,9,FALSE)/12),0)+_xlfn.IFNA((VLOOKUP($A118,HN!$A:$K,10,FALSE)/12),0)</f>
        <v>0</v>
      </c>
      <c r="CM118" s="358">
        <f>_xlfn.IFNA((VLOOKUP($A118,HN!$A:$BS,15,FALSE)/12),0)</f>
        <v>0</v>
      </c>
      <c r="CN118" s="357">
        <f t="shared" si="88"/>
        <v>-1180.1199999999999</v>
      </c>
      <c r="CO118" s="357">
        <f t="shared" si="89"/>
        <v>-481.41333333333336</v>
      </c>
      <c r="CP118" s="358">
        <f>_xlfn.IFNA(VLOOKUP(A118,'LA Deductions'!A:W,23,FALSE),0)</f>
        <v>0</v>
      </c>
      <c r="CQ118" s="358">
        <f>_xlfn.IFNA(VLOOKUP($A118,'Cash Advances'!$A:$S,13,FALSE),0)</f>
        <v>0</v>
      </c>
      <c r="CR118" s="358">
        <f>_xlfn.IFNA(VLOOKUP(A118,'LA Deductions'!A:AZ,25,FALSE),0)/9*3</f>
        <v>0</v>
      </c>
      <c r="CS118" s="357">
        <f t="shared" si="108"/>
        <v>323616.6524857122</v>
      </c>
      <c r="CT118" s="337">
        <f t="shared" si="90"/>
        <v>260411.62739799288</v>
      </c>
      <c r="CU118" s="337"/>
      <c r="CV118" s="338">
        <f>_xlfn.IFNA(VLOOKUP(A118,'LA Deductions'!$A$6:$AN$207,34,FALSE),0)</f>
        <v>0</v>
      </c>
      <c r="CW118" s="338">
        <f>_xlfn.IFNA((VLOOKUP($A118,HN!$A:$K,8,FALSE)/12),0)</f>
        <v>0</v>
      </c>
      <c r="CX118" s="338">
        <f>_xlfn.IFNA((VLOOKUP($A118,HN!$A:$BS,14,FALSE)/12),0)</f>
        <v>0</v>
      </c>
      <c r="CY118" s="338">
        <f>_xlfn.IFNA(VLOOKUP($A118,'Post 16'!$A:$AV,32,FALSE),0)/8</f>
        <v>0</v>
      </c>
      <c r="CZ118" s="338"/>
      <c r="DA118" s="338">
        <f>_xlfn.IFNA((VLOOKUP($A118,HN!$A:$K,9,FALSE)/12),0)+_xlfn.IFNA((VLOOKUP($A118,HN!$A:$K,10,FALSE)/12),0)</f>
        <v>0</v>
      </c>
      <c r="DB118" s="338">
        <f>_xlfn.IFNA((VLOOKUP($A118,HN!$A:$BS,15,FALSE)/12),0)</f>
        <v>0</v>
      </c>
      <c r="DC118" s="337">
        <f t="shared" si="91"/>
        <v>-1180.1199999999999</v>
      </c>
      <c r="DD118" s="337">
        <f t="shared" si="92"/>
        <v>-481.41333333333336</v>
      </c>
      <c r="DE118" s="338"/>
      <c r="DF118" s="338">
        <f>_xlfn.IFNA(VLOOKUP($A118,'Cash Advances'!$A:$S,14,FALSE),0)</f>
        <v>0</v>
      </c>
      <c r="DG118" s="338">
        <f>(_xlfn.IFNA(VLOOKUP(A118,'LA Deductions'!A:AZ,25,FALSE),0)/9)+(_xlfn.IFNA(VLOOKUP(A118,'LA Deductions'!A:AZ,26,FALSE),0))</f>
        <v>0</v>
      </c>
      <c r="DH118" s="337">
        <f t="shared" si="109"/>
        <v>258750.09406465956</v>
      </c>
      <c r="DI118" s="330">
        <f t="shared" si="93"/>
        <v>260411.62739799288</v>
      </c>
      <c r="DJ118" s="330"/>
      <c r="DK118" s="331"/>
      <c r="DL118" s="331">
        <f>_xlfn.IFNA((VLOOKUP($A118,HN!$A:$K,8,FALSE)/12),0)+_xlfn.IFNA((VLOOKUP($A118,HN!$A:$AF,32,FALSE)*8/12),0)</f>
        <v>0</v>
      </c>
      <c r="DM118" s="331">
        <f>_xlfn.IFNA((VLOOKUP($A118,HN!$A:$BS,14,FALSE)/12),0)+_xlfn.IFNA(VLOOKUP($A118,HN!$A:$BS,31,FALSE),0)</f>
        <v>0</v>
      </c>
      <c r="DN118" s="331">
        <f>_xlfn.IFNA(VLOOKUP($A118,'Post 16'!$A:$AV,32,FALSE),0)/8</f>
        <v>0</v>
      </c>
      <c r="DO118" s="331"/>
      <c r="DP118" s="331">
        <f>_xlfn.IFNA((VLOOKUP($A118,HN!$A:$K,9,FALSE)/12),0)+_xlfn.IFNA((VLOOKUP($A118,HN!$A:$K,10,FALSE)/12),0)+_xlfn.IFNA((VLOOKUP($A118,HN!$A:$BZ,33,FALSE)*8/12),0)</f>
        <v>0</v>
      </c>
      <c r="DQ118" s="331">
        <f>_xlfn.IFNA((VLOOKUP($A118,HN!$A:$BS,15,FALSE)/12),0)</f>
        <v>0</v>
      </c>
      <c r="DR118" s="330">
        <f t="shared" si="94"/>
        <v>-1180.1199999999999</v>
      </c>
      <c r="DS118" s="330">
        <f t="shared" si="95"/>
        <v>-481.41333333333336</v>
      </c>
      <c r="DT118" s="331"/>
      <c r="DU118" s="331"/>
      <c r="DV118" s="331">
        <f>(_xlfn.IFNA(VLOOKUP(A118,'LA Deductions'!A:AZ,25,FALSE),0)/9)+_xlfn.IFNA(VLOOKUP(A118,'LA Deductions'!A:AZ,27,FALSE),0)</f>
        <v>0</v>
      </c>
      <c r="DW118" s="330">
        <f t="shared" si="110"/>
        <v>258750.09406465956</v>
      </c>
      <c r="DX118" s="344">
        <f t="shared" si="96"/>
        <v>260411.62739799288</v>
      </c>
      <c r="DY118" s="344"/>
      <c r="DZ118" s="345"/>
      <c r="EA118" s="345">
        <f>_xlfn.IFNA((VLOOKUP($A118,HN!$A:$K,8,FALSE)/12),0)+_xlfn.IFNA((VLOOKUP($A118,HN!$A:$AF,32,FALSE)*1/12),0)</f>
        <v>0</v>
      </c>
      <c r="EB118" s="345">
        <f>_xlfn.IFNA((VLOOKUP($A118,HN!$A:$BS,14,FALSE)/12),0)</f>
        <v>0</v>
      </c>
      <c r="EC118" s="345">
        <f>_xlfn.IFNA(VLOOKUP($A118,'Post 16'!$A:$AV,32,FALSE),0)/8</f>
        <v>0</v>
      </c>
      <c r="ED118" s="345"/>
      <c r="EE118" s="345">
        <f>_xlfn.IFNA((VLOOKUP($A118,HN!$A:$K,9,FALSE)/12),0)+_xlfn.IFNA((VLOOKUP($A118,HN!$A:$K,10,FALSE)/12),0)+_xlfn.IFNA((VLOOKUP($A118,HN!$A:$BZ,33,FALSE)/12),0)</f>
        <v>0</v>
      </c>
      <c r="EF118" s="345">
        <f>_xlfn.IFNA((VLOOKUP($A118,HN!$A:$BS,15,FALSE)/12),0)</f>
        <v>0</v>
      </c>
      <c r="EG118" s="344">
        <f t="shared" si="97"/>
        <v>-1180.1199999999999</v>
      </c>
      <c r="EH118" s="344">
        <f t="shared" si="98"/>
        <v>-481.41333333333336</v>
      </c>
      <c r="EI118" s="345"/>
      <c r="EJ118" s="345">
        <f>_xlfn.IFNA(VLOOKUP(A118,'Cash Advances'!A:P,16,FALSE),0)</f>
        <v>0</v>
      </c>
      <c r="EK118" s="345">
        <f>_xlfn.IFNA(VLOOKUP(A118,'LA Deductions'!A:AZ,25,FALSE),0)/9</f>
        <v>0</v>
      </c>
      <c r="EL118" s="344">
        <f t="shared" si="111"/>
        <v>258750.09406465956</v>
      </c>
      <c r="EM118" s="308">
        <f t="shared" si="99"/>
        <v>260411.62739799288</v>
      </c>
      <c r="EN118" s="308">
        <f>((VLOOKUP($A118,EY!$A:$BS,35,FALSE)-(VLOOKUP($A118,EY!$A:$BS,33,FALSE)*80%))+VLOOKUP($A118,EY!$A:$BS,43,FALSE))+(VLOOKUP(A118,EY!A:DF,110,FALSE)-VLOOKUP(A118,EY!A:DD,108,FALSE))+(VLOOKUP(A118,EY!A:CE,83,FALSE)-VLOOKUP(A118,EY!A:CC,81,FALSE))</f>
        <v>47469.773185595572</v>
      </c>
      <c r="EO118" s="309"/>
      <c r="EP118" s="309">
        <f>_xlfn.IFNA((VLOOKUP($A118,HN!$A:$K,8,FALSE)/12),0)+_xlfn.IFNA((VLOOKUP($A118,HN!$A:$AF,32,FALSE)*1/12),0)</f>
        <v>0</v>
      </c>
      <c r="EQ118" s="309">
        <f>_xlfn.IFNA((VLOOKUP($A118,HN!$A:$BS,14,FALSE)/12),0)+_xlfn.IFNA((VLOOKUP($A118,HN!$A:$BS,34,FALSE)/3),0)</f>
        <v>0</v>
      </c>
      <c r="ER118" s="309">
        <f>_xlfn.IFNA(VLOOKUP($A118,'Post 16'!$A:$AV,32,FALSE),0)/8</f>
        <v>0</v>
      </c>
      <c r="ES118" s="309">
        <f>((VLOOKUP($A118,EY!A:EV,33,FALSE)*80%))+VLOOKUP(A118,EY!A:DD,108,FALSE)+VLOOKUP(A118,EY!A:CC,81,FALSE)</f>
        <v>0</v>
      </c>
      <c r="ET118" s="309">
        <f>_xlfn.IFNA((VLOOKUP($A118,HN!$A:$K,9,FALSE)/12),0)+_xlfn.IFNA((VLOOKUP($A118,HN!$A:$K,10,FALSE)/12),0)+_xlfn.IFNA((VLOOKUP($A118,HN!$A:$BZ,33,FALSE)/12),0)</f>
        <v>0</v>
      </c>
      <c r="EU118" s="309">
        <f>_xlfn.IFNA((VLOOKUP($A118,HN!$A:$BS,15,FALSE)/12),0)</f>
        <v>0</v>
      </c>
      <c r="EV118" s="308">
        <f t="shared" si="100"/>
        <v>-1180.1199999999999</v>
      </c>
      <c r="EW118" s="308">
        <f t="shared" si="101"/>
        <v>-481.41333333333336</v>
      </c>
      <c r="EX118" s="309"/>
      <c r="EY118" s="309">
        <f>_xlfn.IFNA(VLOOKUP($A118,'Cash Advances'!$A:$S,17,FALSE),0)</f>
        <v>0</v>
      </c>
      <c r="EZ118" s="309">
        <f>_xlfn.IFNA(VLOOKUP(A118,'LA Deductions'!A:AZ,25,FALSE),0)/9</f>
        <v>0</v>
      </c>
      <c r="FA118" s="308">
        <f t="shared" si="112"/>
        <v>306219.86725025513</v>
      </c>
      <c r="FB118" s="315">
        <f t="shared" si="102"/>
        <v>260411.62739799288</v>
      </c>
      <c r="FC118" s="315"/>
      <c r="FD118" s="316"/>
      <c r="FE118" s="316">
        <f>_xlfn.IFNA((VLOOKUP($A118,HN!$A:$K,8,FALSE)/12),0)+_xlfn.IFNA((VLOOKUP($A118,HN!$A:$AF,32,FALSE)*1/12),0)</f>
        <v>0</v>
      </c>
      <c r="FF118" s="316">
        <f>_xlfn.IFNA((VLOOKUP($A118,HN!$A:$BS,14,FALSE)/12),0)+_xlfn.IFNA((VLOOKUP($A118,HN!$A:$BS,34,FALSE)/3),0)</f>
        <v>0</v>
      </c>
      <c r="FG118" s="316">
        <f>_xlfn.IFNA(VLOOKUP($A118,'Post 16'!$A:$AV,32,FALSE),0)/8</f>
        <v>0</v>
      </c>
      <c r="FH118" s="316"/>
      <c r="FI118" s="316">
        <f>_xlfn.IFNA((VLOOKUP($A118,HN!$A:$K,9,FALSE)/12),0)+_xlfn.IFNA((VLOOKUP($A118,HN!$A:$K,10,FALSE)/12),0)+_xlfn.IFNA((VLOOKUP($A118,HN!$A:$BZ,33,FALSE)/12),0)+_xlfn.IFNA((VLOOKUP($A118,HN!$A:$BZ,35,FALSE)/2),0)</f>
        <v>0</v>
      </c>
      <c r="FJ118" s="316">
        <f>_xlfn.IFNA((VLOOKUP($A118,HN!$A:$BS,15,FALSE)/12),0)+_xlfn.IFNA((VLOOKUP($A118,HN!$A:$CZ,36,FALSE)/2),0)</f>
        <v>0</v>
      </c>
      <c r="FK118" s="315">
        <f t="shared" si="103"/>
        <v>-1180.1199999999999</v>
      </c>
      <c r="FL118" s="315">
        <f t="shared" si="104"/>
        <v>-481.41333333333336</v>
      </c>
      <c r="FM118" s="316"/>
      <c r="FN118" s="316">
        <f>_xlfn.IFNA(VLOOKUP($A118,'Cash Advances'!$A:$S,18,FALSE),0)</f>
        <v>0</v>
      </c>
      <c r="FO118" s="316">
        <f>_xlfn.IFNA(VLOOKUP(A118,'LA Deductions'!A:AZ,25,FALSE),0)/9</f>
        <v>0</v>
      </c>
      <c r="FP118" s="315">
        <f t="shared" si="113"/>
        <v>258750.09406465956</v>
      </c>
      <c r="FQ118" s="322">
        <f t="shared" si="105"/>
        <v>260411.62739799288</v>
      </c>
      <c r="FR118" s="322"/>
      <c r="FS118" s="323"/>
      <c r="FT118" s="323">
        <f>_xlfn.IFNA((VLOOKUP($A118,HN!$A:$K,8,FALSE)/12),0)+_xlfn.IFNA((VLOOKUP($A118,HN!$A:$AF,32,FALSE)*1/12),0)</f>
        <v>0</v>
      </c>
      <c r="FU118" s="323">
        <f>_xlfn.IFNA((VLOOKUP($A118,HN!$A:$BS,14,FALSE)/12),0)+_xlfn.IFNA((VLOOKUP($A118,HN!$A:$BS,34,FALSE)/3),0)</f>
        <v>0</v>
      </c>
      <c r="FV118" s="323">
        <f>_xlfn.IFNA(VLOOKUP($A118,'Post 16'!$A:$AV,32,FALSE),0)/8</f>
        <v>0</v>
      </c>
      <c r="FW118" s="323"/>
      <c r="FX118" s="323">
        <f>_xlfn.IFNA((VLOOKUP($A118,HN!$A:$K,9,FALSE)/12),0)+_xlfn.IFNA((VLOOKUP($A118,HN!$A:$K,10,FALSE)/12),0)+_xlfn.IFNA((VLOOKUP($A118,HN!$A:$BZ,33,FALSE)/12),0)+_xlfn.IFNA((VLOOKUP($A118,HN!$A:$BZ,35,FALSE)/2),0)</f>
        <v>0</v>
      </c>
      <c r="FY118" s="323">
        <f>_xlfn.IFNA((VLOOKUP($A118,HN!$A:$BS,15,FALSE)/12),0)+_xlfn.IFNA((VLOOKUP($A118,HN!$A:$CZ,36,FALSE)/2),0)</f>
        <v>0</v>
      </c>
      <c r="FZ118" s="322">
        <f t="shared" si="106"/>
        <v>-1180.1199999999999</v>
      </c>
      <c r="GA118" s="322">
        <f t="shared" si="107"/>
        <v>-481.41333333333336</v>
      </c>
      <c r="GB118" s="323"/>
      <c r="GC118" s="323"/>
      <c r="GD118" s="323">
        <f>_xlfn.IFNA(VLOOKUP(A118,'LA Deductions'!A:AZ,25,FALSE),0)/9</f>
        <v>0</v>
      </c>
      <c r="GE118" s="322">
        <f t="shared" si="114"/>
        <v>258750.09406465956</v>
      </c>
      <c r="GG118" s="146">
        <f t="shared" si="128"/>
        <v>3295898.9361720365</v>
      </c>
      <c r="GH118" s="146">
        <f t="shared" si="128"/>
        <v>0</v>
      </c>
      <c r="GI118" s="146">
        <f t="shared" si="128"/>
        <v>0</v>
      </c>
      <c r="GJ118" s="146">
        <f t="shared" si="128"/>
        <v>-14161.439999999995</v>
      </c>
      <c r="GK118" s="146">
        <f t="shared" si="128"/>
        <v>-5776.9599999999991</v>
      </c>
      <c r="GL118" s="146">
        <f t="shared" si="128"/>
        <v>0</v>
      </c>
      <c r="GN118" s="146">
        <f t="shared" si="129"/>
        <v>3295898.9361720365</v>
      </c>
      <c r="GO118" s="146">
        <f t="shared" si="129"/>
        <v>0</v>
      </c>
      <c r="GP118" s="146">
        <f t="shared" si="129"/>
        <v>0</v>
      </c>
      <c r="GQ118" s="146">
        <f t="shared" si="129"/>
        <v>-14161.439999999995</v>
      </c>
      <c r="GR118" s="146">
        <f t="shared" si="129"/>
        <v>-5776.9599999999991</v>
      </c>
      <c r="GS118" s="146">
        <f t="shared" si="129"/>
        <v>0</v>
      </c>
      <c r="GU118" s="146"/>
      <c r="GV118" s="57"/>
    </row>
    <row r="119" spans="1:204">
      <c r="A119" s="185">
        <v>3375</v>
      </c>
      <c r="B119" s="185">
        <v>103462</v>
      </c>
      <c r="C119" s="185" t="s">
        <v>262</v>
      </c>
      <c r="D119" s="2" t="s">
        <v>263</v>
      </c>
      <c r="E119" s="191" t="s">
        <v>32</v>
      </c>
      <c r="F119" s="191" t="s">
        <v>912</v>
      </c>
      <c r="H119" s="279">
        <f>_xlfn.IFNA(VLOOKUP($A119,ISB!$A$4:$BY$454,67,FALSE),0)</f>
        <v>2257512.3451499771</v>
      </c>
      <c r="I119" s="279">
        <f>_xlfn.IFNA(VLOOKUP($A119,ISB!$A$4:$BY$454,72,FALSE),0)</f>
        <v>-10666.72</v>
      </c>
      <c r="J119" s="279">
        <f>-_xlfn.IFNA(VLOOKUP($A119,ISB!$A$4:$BY$454,76,FALSE),0)</f>
        <v>-3789.47</v>
      </c>
      <c r="K119" s="279">
        <f>_xlfn.IFNA(VLOOKUP($A119,ISB!$A$4:$BY$454,77,FALSE),0)</f>
        <v>2243056.1551499767</v>
      </c>
      <c r="M119" s="301">
        <f t="shared" si="72"/>
        <v>188126.02876249808</v>
      </c>
      <c r="N119" s="301">
        <f>VLOOKUP($A119,EY!$A:$H,8,FALSE)+(VLOOKUP($A119,EY!$A:$BS,17,FALSE)-S119)+VLOOKUP($A119,EY!$A:$BS,41,FALSE)</f>
        <v>0</v>
      </c>
      <c r="O119" s="302"/>
      <c r="P119" s="302">
        <f>_xlfn.IFNA((VLOOKUP($A119,HN!$A:$K,8,FALSE)/12),0)</f>
        <v>0</v>
      </c>
      <c r="Q119" s="302">
        <f>_xlfn.IFNA((VLOOKUP($A119,HN!$A:$BS,14,FALSE)/12),0)</f>
        <v>0</v>
      </c>
      <c r="R119" s="302">
        <f>_xlfn.IFNA(VLOOKUP($A119,'Post 16'!$A:$V,21,FALSE),0)/4</f>
        <v>0</v>
      </c>
      <c r="S119" s="302">
        <f>VLOOKUP($A119,EY!A:Q,15,FALSE)*80%</f>
        <v>0</v>
      </c>
      <c r="T119" s="302">
        <f>_xlfn.IFNA((VLOOKUP($A119,HN!$A:$K,9,FALSE)/12),0)+_xlfn.IFNA((VLOOKUP($A119,HN!$A:$K,10,FALSE)/12),0)</f>
        <v>0</v>
      </c>
      <c r="U119" s="302">
        <f>_xlfn.IFNA((VLOOKUP($A119,HN!$A:$BS,15,FALSE)/12),0)</f>
        <v>0</v>
      </c>
      <c r="V119" s="301">
        <f t="shared" si="73"/>
        <v>-888.89333333333332</v>
      </c>
      <c r="W119" s="301">
        <f t="shared" si="74"/>
        <v>-315.78916666666663</v>
      </c>
      <c r="X119" s="302"/>
      <c r="Y119" s="302">
        <f>_xlfn.IFNA(VLOOKUP($A119,'Cash Advances'!$A:$S,8,FALSE),0)</f>
        <v>0</v>
      </c>
      <c r="Z119" s="301">
        <f t="shared" si="121"/>
        <v>186921.34626249809</v>
      </c>
      <c r="AA119" s="315">
        <f t="shared" si="75"/>
        <v>188126.02876249808</v>
      </c>
      <c r="AB119" s="315"/>
      <c r="AC119" s="316"/>
      <c r="AD119" s="316">
        <f>_xlfn.IFNA((VLOOKUP($A119,HN!$A:$K,8,FALSE)/12),0)</f>
        <v>0</v>
      </c>
      <c r="AE119" s="316">
        <f>_xlfn.IFNA((VLOOKUP($A119,HN!$A:$BS,14,FALSE)/12),0)</f>
        <v>0</v>
      </c>
      <c r="AF119" s="316">
        <f>_xlfn.IFNA(VLOOKUP($A119,'Post 16'!$A:$V,21,FALSE),0)/4</f>
        <v>0</v>
      </c>
      <c r="AG119" s="316"/>
      <c r="AH119" s="316">
        <f>_xlfn.IFNA((VLOOKUP($A119,HN!$A:$K,9,FALSE)/12),0)+_xlfn.IFNA((VLOOKUP($A119,HN!$A:$K,10,FALSE)/12),0)</f>
        <v>0</v>
      </c>
      <c r="AI119" s="316">
        <f>_xlfn.IFNA((VLOOKUP($A119,HN!$A:$BS,15,FALSE)/12),0)</f>
        <v>0</v>
      </c>
      <c r="AJ119" s="315">
        <f t="shared" si="76"/>
        <v>-888.89333333333332</v>
      </c>
      <c r="AK119" s="315">
        <f t="shared" si="77"/>
        <v>-315.78916666666663</v>
      </c>
      <c r="AL119" s="316"/>
      <c r="AM119" s="316">
        <f>_xlfn.IFNA(VLOOKUP($A119,'Cash Advances'!$A:$S,9,FALSE),0)</f>
        <v>0</v>
      </c>
      <c r="AN119" s="315">
        <f t="shared" si="122"/>
        <v>186921.34626249809</v>
      </c>
      <c r="AO119" s="308">
        <f t="shared" si="78"/>
        <v>188126.02876249808</v>
      </c>
      <c r="AP119" s="308"/>
      <c r="AQ119" s="309"/>
      <c r="AR119" s="309">
        <f>_xlfn.IFNA((VLOOKUP($A119,HN!$A:$K,8,FALSE)/12),0)</f>
        <v>0</v>
      </c>
      <c r="AS119" s="309">
        <f>_xlfn.IFNA((VLOOKUP($A119,HN!$A:$BS,14,FALSE)/12),0)</f>
        <v>0</v>
      </c>
      <c r="AT119" s="309">
        <f>_xlfn.IFNA(VLOOKUP($A119,'Post 16'!$A:$V,21,FALSE),0)/4</f>
        <v>0</v>
      </c>
      <c r="AU119" s="309"/>
      <c r="AV119" s="309">
        <f>_xlfn.IFNA((VLOOKUP($A119,HN!$A:$K,9,FALSE)/12),0)+_xlfn.IFNA((VLOOKUP($A119,HN!$A:$K,10,FALSE)/12),0)+_xlfn.IFNA(VLOOKUP(A119,HN!A:V,19,FALSE),0)+_xlfn.IFNA(VLOOKUP(A119,HN!A:V,20,FALSE),0)+_xlfn.IFNA(VLOOKUP(A119,HN!A:V,21,FALSE),0)</f>
        <v>0</v>
      </c>
      <c r="AW119" s="309">
        <f>_xlfn.IFNA((VLOOKUP($A119,HN!$A:$BS,15,FALSE)/12),0)</f>
        <v>0</v>
      </c>
      <c r="AX119" s="308">
        <f t="shared" si="79"/>
        <v>-888.89333333333332</v>
      </c>
      <c r="AY119" s="308">
        <f t="shared" si="80"/>
        <v>-315.78916666666663</v>
      </c>
      <c r="AZ119" s="309"/>
      <c r="BA119" s="309">
        <f>_xlfn.IFNA(VLOOKUP($A119,'Cash Advances'!$A:$S,10,FALSE),0)</f>
        <v>0</v>
      </c>
      <c r="BB119" s="308">
        <f t="shared" si="123"/>
        <v>186921.34626249809</v>
      </c>
      <c r="BC119" s="330">
        <f t="shared" si="81"/>
        <v>188126.02876249808</v>
      </c>
      <c r="BD119" s="330"/>
      <c r="BE119" s="331"/>
      <c r="BF119" s="331">
        <f>_xlfn.IFNA((VLOOKUP($A119,HN!$A:$K,8,FALSE)/12),0)</f>
        <v>0</v>
      </c>
      <c r="BG119" s="331">
        <f>_xlfn.IFNA((VLOOKUP($A119,HN!$A:$BS,14,FALSE)/12),0)</f>
        <v>0</v>
      </c>
      <c r="BH119" s="331">
        <f>_xlfn.IFNA(VLOOKUP($A119,'Post 16'!$A:$V,21,FALSE),0)/4</f>
        <v>0</v>
      </c>
      <c r="BI119" s="331"/>
      <c r="BJ119" s="331">
        <f>_xlfn.IFNA((VLOOKUP($A119,HN!$A:$K,9,FALSE)/12),0)+_xlfn.IFNA((VLOOKUP($A119,HN!$A:$K,10,FALSE)/12),0)</f>
        <v>0</v>
      </c>
      <c r="BK119" s="331">
        <f>_xlfn.IFNA((VLOOKUP($A119,HN!$A:$BS,15,FALSE)/12),0)</f>
        <v>0</v>
      </c>
      <c r="BL119" s="330">
        <f t="shared" si="82"/>
        <v>-888.89333333333332</v>
      </c>
      <c r="BM119" s="330">
        <f t="shared" si="83"/>
        <v>-315.78916666666663</v>
      </c>
      <c r="BN119" s="331"/>
      <c r="BO119" s="331">
        <f>_xlfn.IFNA(VLOOKUP(A119,'Cash Advances'!A:K,11,FALSE),0)</f>
        <v>0</v>
      </c>
      <c r="BP119" s="330">
        <f t="shared" si="124"/>
        <v>186921.34626249809</v>
      </c>
      <c r="BQ119" s="322">
        <f t="shared" si="84"/>
        <v>188126.02876249808</v>
      </c>
      <c r="BR119" s="322"/>
      <c r="BS119" s="323"/>
      <c r="BT119" s="323">
        <f>_xlfn.IFNA((VLOOKUP($A119,HN!$A:$K,8,FALSE)/12),0)</f>
        <v>0</v>
      </c>
      <c r="BU119" s="323">
        <f>_xlfn.IFNA((VLOOKUP($A119,HN!$A:$BS,14,FALSE)/12),0)</f>
        <v>0</v>
      </c>
      <c r="BV119" s="323">
        <f>(_xlfn.IFNA(VLOOKUP($A119,'Post 16'!$A:$AV,32,FALSE),0)/8)+_xlfn.IFNA(VLOOKUP($A119,'Post 16'!$A:$AR,40,FALSE),0)</f>
        <v>0</v>
      </c>
      <c r="BW119" s="323"/>
      <c r="BX119" s="323">
        <f>_xlfn.IFNA((VLOOKUP($A119,HN!$A:$K,9,FALSE)/12),0)+_xlfn.IFNA((VLOOKUP($A119,HN!$A:$K,10,FALSE)/12),0)</f>
        <v>0</v>
      </c>
      <c r="BY119" s="323">
        <f>_xlfn.IFNA((VLOOKUP($A119,HN!$A:$BS,15,FALSE)/12),0)</f>
        <v>0</v>
      </c>
      <c r="BZ119" s="322">
        <f t="shared" si="85"/>
        <v>-888.89333333333332</v>
      </c>
      <c r="CA119" s="322">
        <f t="shared" si="86"/>
        <v>-315.78916666666663</v>
      </c>
      <c r="CB119" s="323"/>
      <c r="CC119" s="323"/>
      <c r="CD119" s="322">
        <f t="shared" si="125"/>
        <v>186921.34626249809</v>
      </c>
      <c r="CE119" s="357">
        <f t="shared" si="87"/>
        <v>188126.02876249808</v>
      </c>
      <c r="CF119" s="357">
        <f>(VLOOKUP($A119,EY!$A:$BS,26,FALSE)-(VLOOKUP($A119,EY!A:CR,24,FALSE)*80%))+VLOOKUP($A119,EY!$A:$BS,42,FALSE)+(VLOOKUP($A119,EY!A:CC,74,FALSE)-VLOOKUP($A119,EY!A:CC,72,FALSE))</f>
        <v>0</v>
      </c>
      <c r="CG119" s="358"/>
      <c r="CH119" s="358">
        <f>_xlfn.IFNA((VLOOKUP($A119,HN!$A:$K,8,FALSE)/12),0)</f>
        <v>0</v>
      </c>
      <c r="CI119" s="358">
        <f>_xlfn.IFNA((VLOOKUP($A119,HN!$A:$BS,14,FALSE)/12),0)</f>
        <v>0</v>
      </c>
      <c r="CJ119" s="358">
        <f>(_xlfn.IFNA(VLOOKUP($A119,'Post 16'!$A:$AV,32,FALSE),0)/8)</f>
        <v>0</v>
      </c>
      <c r="CK119" s="358">
        <f>(VLOOKUP($A119,EY!A:CR,24,FALSE)*80%)+VLOOKUP($A119,EY!A:CC,72,FALSE)</f>
        <v>0</v>
      </c>
      <c r="CL119" s="358">
        <f>_xlfn.IFNA((VLOOKUP($A119,HN!$A:$K,9,FALSE)/12),0)+_xlfn.IFNA((VLOOKUP($A119,HN!$A:$K,10,FALSE)/12),0)</f>
        <v>0</v>
      </c>
      <c r="CM119" s="358">
        <f>_xlfn.IFNA((VLOOKUP($A119,HN!$A:$BS,15,FALSE)/12),0)</f>
        <v>0</v>
      </c>
      <c r="CN119" s="357">
        <f t="shared" si="88"/>
        <v>-888.89333333333332</v>
      </c>
      <c r="CO119" s="357">
        <f t="shared" si="89"/>
        <v>-315.78916666666663</v>
      </c>
      <c r="CP119" s="358">
        <f>_xlfn.IFNA(VLOOKUP(A119,'LA Deductions'!A:W,23,FALSE),0)</f>
        <v>-9471</v>
      </c>
      <c r="CQ119" s="358">
        <f>_xlfn.IFNA(VLOOKUP($A119,'Cash Advances'!$A:$S,13,FALSE),0)</f>
        <v>0</v>
      </c>
      <c r="CR119" s="358">
        <f>_xlfn.IFNA(VLOOKUP(A119,'LA Deductions'!A:AZ,25,FALSE),0)/9*3</f>
        <v>0</v>
      </c>
      <c r="CS119" s="357">
        <f t="shared" si="108"/>
        <v>177450.34626249809</v>
      </c>
      <c r="CT119" s="337">
        <f t="shared" si="90"/>
        <v>188126.02876249808</v>
      </c>
      <c r="CU119" s="337"/>
      <c r="CV119" s="338">
        <f>_xlfn.IFNA(VLOOKUP(A119,'LA Deductions'!$A$6:$AN$207,34,FALSE),0)</f>
        <v>0</v>
      </c>
      <c r="CW119" s="338">
        <f>_xlfn.IFNA((VLOOKUP($A119,HN!$A:$K,8,FALSE)/12),0)</f>
        <v>0</v>
      </c>
      <c r="CX119" s="338">
        <f>_xlfn.IFNA((VLOOKUP($A119,HN!$A:$BS,14,FALSE)/12),0)</f>
        <v>0</v>
      </c>
      <c r="CY119" s="338">
        <f>_xlfn.IFNA(VLOOKUP($A119,'Post 16'!$A:$AV,32,FALSE),0)/8</f>
        <v>0</v>
      </c>
      <c r="CZ119" s="338"/>
      <c r="DA119" s="338">
        <f>_xlfn.IFNA((VLOOKUP($A119,HN!$A:$K,9,FALSE)/12),0)+_xlfn.IFNA((VLOOKUP($A119,HN!$A:$K,10,FALSE)/12),0)</f>
        <v>0</v>
      </c>
      <c r="DB119" s="338">
        <f>_xlfn.IFNA((VLOOKUP($A119,HN!$A:$BS,15,FALSE)/12),0)</f>
        <v>0</v>
      </c>
      <c r="DC119" s="337">
        <f t="shared" si="91"/>
        <v>-888.89333333333332</v>
      </c>
      <c r="DD119" s="337">
        <f t="shared" si="92"/>
        <v>-315.78916666666663</v>
      </c>
      <c r="DE119" s="338"/>
      <c r="DF119" s="338">
        <f>_xlfn.IFNA(VLOOKUP($A119,'Cash Advances'!$A:$S,14,FALSE),0)</f>
        <v>0</v>
      </c>
      <c r="DG119" s="338">
        <f>(_xlfn.IFNA(VLOOKUP(A119,'LA Deductions'!A:AZ,25,FALSE),0)/9)+(_xlfn.IFNA(VLOOKUP(A119,'LA Deductions'!A:AZ,26,FALSE),0))</f>
        <v>0</v>
      </c>
      <c r="DH119" s="337">
        <f t="shared" si="109"/>
        <v>186921.34626249809</v>
      </c>
      <c r="DI119" s="330">
        <f t="shared" si="93"/>
        <v>188126.02876249808</v>
      </c>
      <c r="DJ119" s="330"/>
      <c r="DK119" s="331"/>
      <c r="DL119" s="331">
        <f>_xlfn.IFNA((VLOOKUP($A119,HN!$A:$K,8,FALSE)/12),0)+_xlfn.IFNA((VLOOKUP($A119,HN!$A:$AF,32,FALSE)*8/12),0)</f>
        <v>0</v>
      </c>
      <c r="DM119" s="331">
        <f>_xlfn.IFNA((VLOOKUP($A119,HN!$A:$BS,14,FALSE)/12),0)+_xlfn.IFNA(VLOOKUP($A119,HN!$A:$BS,31,FALSE),0)</f>
        <v>0</v>
      </c>
      <c r="DN119" s="331">
        <f>_xlfn.IFNA(VLOOKUP($A119,'Post 16'!$A:$AV,32,FALSE),0)/8</f>
        <v>0</v>
      </c>
      <c r="DO119" s="331"/>
      <c r="DP119" s="331">
        <f>_xlfn.IFNA((VLOOKUP($A119,HN!$A:$K,9,FALSE)/12),0)+_xlfn.IFNA((VLOOKUP($A119,HN!$A:$K,10,FALSE)/12),0)+_xlfn.IFNA((VLOOKUP($A119,HN!$A:$BZ,33,FALSE)*8/12),0)</f>
        <v>0</v>
      </c>
      <c r="DQ119" s="331">
        <f>_xlfn.IFNA((VLOOKUP($A119,HN!$A:$BS,15,FALSE)/12),0)</f>
        <v>0</v>
      </c>
      <c r="DR119" s="330">
        <f t="shared" si="94"/>
        <v>-888.89333333333332</v>
      </c>
      <c r="DS119" s="330">
        <f t="shared" si="95"/>
        <v>-315.78916666666663</v>
      </c>
      <c r="DT119" s="331"/>
      <c r="DU119" s="331"/>
      <c r="DV119" s="331">
        <f>(_xlfn.IFNA(VLOOKUP(A119,'LA Deductions'!A:AZ,25,FALSE),0)/9)+_xlfn.IFNA(VLOOKUP(A119,'LA Deductions'!A:AZ,27,FALSE),0)</f>
        <v>0</v>
      </c>
      <c r="DW119" s="330">
        <f t="shared" si="110"/>
        <v>186921.34626249809</v>
      </c>
      <c r="DX119" s="344">
        <f t="shared" si="96"/>
        <v>188126.02876249808</v>
      </c>
      <c r="DY119" s="344"/>
      <c r="DZ119" s="345"/>
      <c r="EA119" s="345">
        <f>_xlfn.IFNA((VLOOKUP($A119,HN!$A:$K,8,FALSE)/12),0)+_xlfn.IFNA((VLOOKUP($A119,HN!$A:$AF,32,FALSE)*1/12),0)</f>
        <v>0</v>
      </c>
      <c r="EB119" s="345">
        <f>_xlfn.IFNA((VLOOKUP($A119,HN!$A:$BS,14,FALSE)/12),0)</f>
        <v>0</v>
      </c>
      <c r="EC119" s="345">
        <f>_xlfn.IFNA(VLOOKUP($A119,'Post 16'!$A:$AV,32,FALSE),0)/8</f>
        <v>0</v>
      </c>
      <c r="ED119" s="345"/>
      <c r="EE119" s="345">
        <f>_xlfn.IFNA((VLOOKUP($A119,HN!$A:$K,9,FALSE)/12),0)+_xlfn.IFNA((VLOOKUP($A119,HN!$A:$K,10,FALSE)/12),0)+_xlfn.IFNA((VLOOKUP($A119,HN!$A:$BZ,33,FALSE)/12),0)</f>
        <v>0</v>
      </c>
      <c r="EF119" s="345">
        <f>_xlfn.IFNA((VLOOKUP($A119,HN!$A:$BS,15,FALSE)/12),0)</f>
        <v>0</v>
      </c>
      <c r="EG119" s="344">
        <f t="shared" si="97"/>
        <v>-888.89333333333332</v>
      </c>
      <c r="EH119" s="344">
        <f t="shared" si="98"/>
        <v>-315.78916666666663</v>
      </c>
      <c r="EI119" s="345"/>
      <c r="EJ119" s="345">
        <f>_xlfn.IFNA(VLOOKUP(A119,'Cash Advances'!A:P,16,FALSE),0)</f>
        <v>0</v>
      </c>
      <c r="EK119" s="345">
        <f>_xlfn.IFNA(VLOOKUP(A119,'LA Deductions'!A:AZ,25,FALSE),0)/9</f>
        <v>0</v>
      </c>
      <c r="EL119" s="344">
        <f t="shared" si="111"/>
        <v>186921.34626249809</v>
      </c>
      <c r="EM119" s="308">
        <f t="shared" si="99"/>
        <v>188126.02876249808</v>
      </c>
      <c r="EN119" s="308">
        <f>((VLOOKUP($A119,EY!$A:$BS,35,FALSE)-(VLOOKUP($A119,EY!$A:$BS,33,FALSE)*80%))+VLOOKUP($A119,EY!$A:$BS,43,FALSE))+(VLOOKUP(A119,EY!A:DF,110,FALSE)-VLOOKUP(A119,EY!A:DD,108,FALSE))+(VLOOKUP(A119,EY!A:CE,83,FALSE)-VLOOKUP(A119,EY!A:CC,81,FALSE))</f>
        <v>0</v>
      </c>
      <c r="EO119" s="309"/>
      <c r="EP119" s="309">
        <f>_xlfn.IFNA((VLOOKUP($A119,HN!$A:$K,8,FALSE)/12),0)+_xlfn.IFNA((VLOOKUP($A119,HN!$A:$AF,32,FALSE)*1/12),0)</f>
        <v>0</v>
      </c>
      <c r="EQ119" s="309">
        <f>_xlfn.IFNA((VLOOKUP($A119,HN!$A:$BS,14,FALSE)/12),0)+_xlfn.IFNA((VLOOKUP($A119,HN!$A:$BS,34,FALSE)/3),0)</f>
        <v>0</v>
      </c>
      <c r="ER119" s="309">
        <f>_xlfn.IFNA(VLOOKUP($A119,'Post 16'!$A:$AV,32,FALSE),0)/8</f>
        <v>0</v>
      </c>
      <c r="ES119" s="309">
        <f>((VLOOKUP($A119,EY!A:EV,33,FALSE)*80%))+VLOOKUP(A119,EY!A:DD,108,FALSE)+VLOOKUP(A119,EY!A:CC,81,FALSE)</f>
        <v>0</v>
      </c>
      <c r="ET119" s="309">
        <f>_xlfn.IFNA((VLOOKUP($A119,HN!$A:$K,9,FALSE)/12),0)+_xlfn.IFNA((VLOOKUP($A119,HN!$A:$K,10,FALSE)/12),0)+_xlfn.IFNA((VLOOKUP($A119,HN!$A:$BZ,33,FALSE)/12),0)</f>
        <v>0</v>
      </c>
      <c r="EU119" s="309">
        <f>_xlfn.IFNA((VLOOKUP($A119,HN!$A:$BS,15,FALSE)/12),0)</f>
        <v>0</v>
      </c>
      <c r="EV119" s="308">
        <f t="shared" si="100"/>
        <v>-888.89333333333332</v>
      </c>
      <c r="EW119" s="308">
        <f t="shared" si="101"/>
        <v>-315.78916666666663</v>
      </c>
      <c r="EX119" s="309"/>
      <c r="EY119" s="309">
        <f>_xlfn.IFNA(VLOOKUP($A119,'Cash Advances'!$A:$S,17,FALSE),0)</f>
        <v>0</v>
      </c>
      <c r="EZ119" s="309">
        <f>_xlfn.IFNA(VLOOKUP(A119,'LA Deductions'!A:AZ,25,FALSE),0)/9</f>
        <v>0</v>
      </c>
      <c r="FA119" s="308">
        <f t="shared" si="112"/>
        <v>186921.34626249809</v>
      </c>
      <c r="FB119" s="315">
        <f t="shared" si="102"/>
        <v>188126.02876249808</v>
      </c>
      <c r="FC119" s="315"/>
      <c r="FD119" s="316"/>
      <c r="FE119" s="316">
        <f>_xlfn.IFNA((VLOOKUP($A119,HN!$A:$K,8,FALSE)/12),0)+_xlfn.IFNA((VLOOKUP($A119,HN!$A:$AF,32,FALSE)*1/12),0)</f>
        <v>0</v>
      </c>
      <c r="FF119" s="316">
        <f>_xlfn.IFNA((VLOOKUP($A119,HN!$A:$BS,14,FALSE)/12),0)+_xlfn.IFNA((VLOOKUP($A119,HN!$A:$BS,34,FALSE)/3),0)</f>
        <v>0</v>
      </c>
      <c r="FG119" s="316">
        <f>_xlfn.IFNA(VLOOKUP($A119,'Post 16'!$A:$AV,32,FALSE),0)/8</f>
        <v>0</v>
      </c>
      <c r="FH119" s="316"/>
      <c r="FI119" s="316">
        <f>_xlfn.IFNA((VLOOKUP($A119,HN!$A:$K,9,FALSE)/12),0)+_xlfn.IFNA((VLOOKUP($A119,HN!$A:$K,10,FALSE)/12),0)+_xlfn.IFNA((VLOOKUP($A119,HN!$A:$BZ,33,FALSE)/12),0)+_xlfn.IFNA((VLOOKUP($A119,HN!$A:$BZ,35,FALSE)/2),0)</f>
        <v>0</v>
      </c>
      <c r="FJ119" s="316">
        <f>_xlfn.IFNA((VLOOKUP($A119,HN!$A:$BS,15,FALSE)/12),0)+_xlfn.IFNA((VLOOKUP($A119,HN!$A:$CZ,36,FALSE)/2),0)</f>
        <v>0</v>
      </c>
      <c r="FK119" s="315">
        <f t="shared" si="103"/>
        <v>-888.89333333333332</v>
      </c>
      <c r="FL119" s="315">
        <f t="shared" si="104"/>
        <v>-315.78916666666663</v>
      </c>
      <c r="FM119" s="316"/>
      <c r="FN119" s="316">
        <f>_xlfn.IFNA(VLOOKUP($A119,'Cash Advances'!$A:$S,18,FALSE),0)</f>
        <v>0</v>
      </c>
      <c r="FO119" s="316">
        <f>_xlfn.IFNA(VLOOKUP(A119,'LA Deductions'!A:AZ,25,FALSE),0)/9</f>
        <v>0</v>
      </c>
      <c r="FP119" s="315">
        <f t="shared" si="113"/>
        <v>186921.34626249809</v>
      </c>
      <c r="FQ119" s="322">
        <f t="shared" si="105"/>
        <v>188126.02876249808</v>
      </c>
      <c r="FR119" s="322"/>
      <c r="FS119" s="323"/>
      <c r="FT119" s="323">
        <f>_xlfn.IFNA((VLOOKUP($A119,HN!$A:$K,8,FALSE)/12),0)+_xlfn.IFNA((VLOOKUP($A119,HN!$A:$AF,32,FALSE)*1/12),0)</f>
        <v>0</v>
      </c>
      <c r="FU119" s="323">
        <f>_xlfn.IFNA((VLOOKUP($A119,HN!$A:$BS,14,FALSE)/12),0)+_xlfn.IFNA((VLOOKUP($A119,HN!$A:$BS,34,FALSE)/3),0)</f>
        <v>0</v>
      </c>
      <c r="FV119" s="323">
        <f>_xlfn.IFNA(VLOOKUP($A119,'Post 16'!$A:$AV,32,FALSE),0)/8</f>
        <v>0</v>
      </c>
      <c r="FW119" s="323"/>
      <c r="FX119" s="323">
        <f>_xlfn.IFNA((VLOOKUP($A119,HN!$A:$K,9,FALSE)/12),0)+_xlfn.IFNA((VLOOKUP($A119,HN!$A:$K,10,FALSE)/12),0)+_xlfn.IFNA((VLOOKUP($A119,HN!$A:$BZ,33,FALSE)/12),0)+_xlfn.IFNA((VLOOKUP($A119,HN!$A:$BZ,35,FALSE)/2),0)</f>
        <v>0</v>
      </c>
      <c r="FY119" s="323">
        <f>_xlfn.IFNA((VLOOKUP($A119,HN!$A:$BS,15,FALSE)/12),0)+_xlfn.IFNA((VLOOKUP($A119,HN!$A:$CZ,36,FALSE)/2),0)</f>
        <v>0</v>
      </c>
      <c r="FZ119" s="322">
        <f t="shared" si="106"/>
        <v>-888.89333333333332</v>
      </c>
      <c r="GA119" s="322">
        <f t="shared" si="107"/>
        <v>-315.78916666666663</v>
      </c>
      <c r="GB119" s="323"/>
      <c r="GC119" s="323"/>
      <c r="GD119" s="323">
        <f>_xlfn.IFNA(VLOOKUP(A119,'LA Deductions'!A:AZ,25,FALSE),0)/9</f>
        <v>0</v>
      </c>
      <c r="GE119" s="322">
        <f t="shared" si="114"/>
        <v>186921.34626249809</v>
      </c>
      <c r="GG119" s="146">
        <f t="shared" si="128"/>
        <v>2257512.3451499776</v>
      </c>
      <c r="GH119" s="146">
        <f t="shared" si="128"/>
        <v>0</v>
      </c>
      <c r="GI119" s="146">
        <f t="shared" si="128"/>
        <v>0</v>
      </c>
      <c r="GJ119" s="146">
        <f t="shared" si="128"/>
        <v>-10666.72</v>
      </c>
      <c r="GK119" s="146">
        <f t="shared" si="128"/>
        <v>-3789.4699999999989</v>
      </c>
      <c r="GL119" s="146">
        <f t="shared" si="128"/>
        <v>-9471</v>
      </c>
      <c r="GN119" s="146">
        <f t="shared" si="129"/>
        <v>2257512.3451499776</v>
      </c>
      <c r="GO119" s="146">
        <f t="shared" si="129"/>
        <v>0</v>
      </c>
      <c r="GP119" s="146">
        <f t="shared" si="129"/>
        <v>0</v>
      </c>
      <c r="GQ119" s="146">
        <f t="shared" si="129"/>
        <v>-10666.72</v>
      </c>
      <c r="GR119" s="146">
        <f t="shared" si="129"/>
        <v>-3789.4699999999989</v>
      </c>
      <c r="GS119" s="146">
        <f t="shared" si="129"/>
        <v>-9471</v>
      </c>
      <c r="GU119" s="146"/>
      <c r="GV119" s="57"/>
    </row>
    <row r="120" spans="1:204">
      <c r="A120" s="185">
        <v>3331</v>
      </c>
      <c r="B120" s="185">
        <v>103433</v>
      </c>
      <c r="C120" s="185" t="s">
        <v>264</v>
      </c>
      <c r="D120" s="2" t="s">
        <v>265</v>
      </c>
      <c r="E120" s="191" t="s">
        <v>32</v>
      </c>
      <c r="F120" s="191" t="s">
        <v>912</v>
      </c>
      <c r="H120" s="279">
        <f>_xlfn.IFNA(VLOOKUP($A120,ISB!$A$4:$BY$454,67,FALSE),0)</f>
        <v>1314787.6202523585</v>
      </c>
      <c r="I120" s="279">
        <f>_xlfn.IFNA(VLOOKUP($A120,ISB!$A$4:$BY$454,72,FALSE),0)</f>
        <v>-5502.8799999999992</v>
      </c>
      <c r="J120" s="279">
        <f>-_xlfn.IFNA(VLOOKUP($A120,ISB!$A$4:$BY$454,76,FALSE),0)</f>
        <v>-8213.56</v>
      </c>
      <c r="K120" s="279">
        <f>_xlfn.IFNA(VLOOKUP($A120,ISB!$A$4:$BY$454,77,FALSE),0)</f>
        <v>1301071.1802523586</v>
      </c>
      <c r="M120" s="301">
        <f t="shared" si="72"/>
        <v>109565.63502102987</v>
      </c>
      <c r="N120" s="301">
        <f>VLOOKUP($A120,EY!$A:$H,8,FALSE)+(VLOOKUP($A120,EY!$A:$BS,17,FALSE)-S120)+VLOOKUP($A120,EY!$A:$BS,41,FALSE)</f>
        <v>39996.402105263165</v>
      </c>
      <c r="O120" s="302"/>
      <c r="P120" s="302">
        <f>_xlfn.IFNA((VLOOKUP($A120,HN!$A:$K,8,FALSE)/12),0)</f>
        <v>0</v>
      </c>
      <c r="Q120" s="302">
        <f>_xlfn.IFNA((VLOOKUP($A120,HN!$A:$BS,14,FALSE)/12),0)</f>
        <v>0</v>
      </c>
      <c r="R120" s="302">
        <f>_xlfn.IFNA(VLOOKUP($A120,'Post 16'!$A:$V,21,FALSE),0)/4</f>
        <v>0</v>
      </c>
      <c r="S120" s="302">
        <f>VLOOKUP($A120,EY!A:Q,15,FALSE)*80%</f>
        <v>0</v>
      </c>
      <c r="T120" s="302">
        <f>_xlfn.IFNA((VLOOKUP($A120,HN!$A:$K,9,FALSE)/12),0)+_xlfn.IFNA((VLOOKUP($A120,HN!$A:$K,10,FALSE)/12),0)</f>
        <v>0</v>
      </c>
      <c r="U120" s="302">
        <f>_xlfn.IFNA((VLOOKUP($A120,HN!$A:$BS,15,FALSE)/12),0)</f>
        <v>0</v>
      </c>
      <c r="V120" s="301">
        <f t="shared" si="73"/>
        <v>-458.57333333333327</v>
      </c>
      <c r="W120" s="301">
        <f t="shared" si="74"/>
        <v>-684.46333333333325</v>
      </c>
      <c r="X120" s="302"/>
      <c r="Y120" s="302">
        <f>_xlfn.IFNA(VLOOKUP($A120,'Cash Advances'!$A:$S,8,FALSE),0)</f>
        <v>0</v>
      </c>
      <c r="Z120" s="301">
        <f t="shared" si="121"/>
        <v>148419.00045962635</v>
      </c>
      <c r="AA120" s="315">
        <f t="shared" si="75"/>
        <v>109565.63502102987</v>
      </c>
      <c r="AB120" s="315"/>
      <c r="AC120" s="316"/>
      <c r="AD120" s="316">
        <f>_xlfn.IFNA((VLOOKUP($A120,HN!$A:$K,8,FALSE)/12),0)</f>
        <v>0</v>
      </c>
      <c r="AE120" s="316">
        <f>_xlfn.IFNA((VLOOKUP($A120,HN!$A:$BS,14,FALSE)/12),0)</f>
        <v>0</v>
      </c>
      <c r="AF120" s="316">
        <f>_xlfn.IFNA(VLOOKUP($A120,'Post 16'!$A:$V,21,FALSE),0)/4</f>
        <v>0</v>
      </c>
      <c r="AG120" s="316"/>
      <c r="AH120" s="316">
        <f>_xlfn.IFNA((VLOOKUP($A120,HN!$A:$K,9,FALSE)/12),0)+_xlfn.IFNA((VLOOKUP($A120,HN!$A:$K,10,FALSE)/12),0)</f>
        <v>0</v>
      </c>
      <c r="AI120" s="316">
        <f>_xlfn.IFNA((VLOOKUP($A120,HN!$A:$BS,15,FALSE)/12),0)</f>
        <v>0</v>
      </c>
      <c r="AJ120" s="315">
        <f t="shared" si="76"/>
        <v>-458.57333333333327</v>
      </c>
      <c r="AK120" s="315">
        <f t="shared" si="77"/>
        <v>-684.46333333333325</v>
      </c>
      <c r="AL120" s="316"/>
      <c r="AM120" s="316">
        <f>_xlfn.IFNA(VLOOKUP($A120,'Cash Advances'!$A:$S,9,FALSE),0)</f>
        <v>0</v>
      </c>
      <c r="AN120" s="315">
        <f t="shared" si="122"/>
        <v>108422.5983543632</v>
      </c>
      <c r="AO120" s="308">
        <f t="shared" si="78"/>
        <v>109565.63502102987</v>
      </c>
      <c r="AP120" s="308"/>
      <c r="AQ120" s="309"/>
      <c r="AR120" s="309">
        <f>_xlfn.IFNA((VLOOKUP($A120,HN!$A:$K,8,FALSE)/12),0)</f>
        <v>0</v>
      </c>
      <c r="AS120" s="309">
        <f>_xlfn.IFNA((VLOOKUP($A120,HN!$A:$BS,14,FALSE)/12),0)</f>
        <v>0</v>
      </c>
      <c r="AT120" s="309">
        <f>_xlfn.IFNA(VLOOKUP($A120,'Post 16'!$A:$V,21,FALSE),0)/4</f>
        <v>0</v>
      </c>
      <c r="AU120" s="309"/>
      <c r="AV120" s="309">
        <f>_xlfn.IFNA((VLOOKUP($A120,HN!$A:$K,9,FALSE)/12),0)+_xlfn.IFNA((VLOOKUP($A120,HN!$A:$K,10,FALSE)/12),0)+_xlfn.IFNA(VLOOKUP(A120,HN!A:V,19,FALSE),0)+_xlfn.IFNA(VLOOKUP(A120,HN!A:V,20,FALSE),0)+_xlfn.IFNA(VLOOKUP(A120,HN!A:V,21,FALSE),0)</f>
        <v>0</v>
      </c>
      <c r="AW120" s="309">
        <f>_xlfn.IFNA((VLOOKUP($A120,HN!$A:$BS,15,FALSE)/12),0)</f>
        <v>0</v>
      </c>
      <c r="AX120" s="308">
        <f t="shared" si="79"/>
        <v>-458.57333333333327</v>
      </c>
      <c r="AY120" s="308">
        <f t="shared" si="80"/>
        <v>-684.46333333333325</v>
      </c>
      <c r="AZ120" s="309"/>
      <c r="BA120" s="309">
        <f>_xlfn.IFNA(VLOOKUP($A120,'Cash Advances'!$A:$S,10,FALSE),0)</f>
        <v>0</v>
      </c>
      <c r="BB120" s="308">
        <f t="shared" si="123"/>
        <v>108422.5983543632</v>
      </c>
      <c r="BC120" s="330">
        <f t="shared" si="81"/>
        <v>109565.63502102987</v>
      </c>
      <c r="BD120" s="330"/>
      <c r="BE120" s="331"/>
      <c r="BF120" s="331">
        <f>_xlfn.IFNA((VLOOKUP($A120,HN!$A:$K,8,FALSE)/12),0)</f>
        <v>0</v>
      </c>
      <c r="BG120" s="331">
        <f>_xlfn.IFNA((VLOOKUP($A120,HN!$A:$BS,14,FALSE)/12),0)</f>
        <v>0</v>
      </c>
      <c r="BH120" s="331">
        <f>_xlfn.IFNA(VLOOKUP($A120,'Post 16'!$A:$V,21,FALSE),0)/4</f>
        <v>0</v>
      </c>
      <c r="BI120" s="331"/>
      <c r="BJ120" s="331">
        <f>_xlfn.IFNA((VLOOKUP($A120,HN!$A:$K,9,FALSE)/12),0)+_xlfn.IFNA((VLOOKUP($A120,HN!$A:$K,10,FALSE)/12),0)</f>
        <v>0</v>
      </c>
      <c r="BK120" s="331">
        <f>_xlfn.IFNA((VLOOKUP($A120,HN!$A:$BS,15,FALSE)/12),0)</f>
        <v>0</v>
      </c>
      <c r="BL120" s="330">
        <f t="shared" si="82"/>
        <v>-458.57333333333327</v>
      </c>
      <c r="BM120" s="330">
        <f t="shared" si="83"/>
        <v>-684.46333333333325</v>
      </c>
      <c r="BN120" s="331"/>
      <c r="BO120" s="331">
        <f>_xlfn.IFNA(VLOOKUP(A120,'Cash Advances'!A:K,11,FALSE),0)</f>
        <v>0</v>
      </c>
      <c r="BP120" s="330">
        <f t="shared" si="124"/>
        <v>108422.5983543632</v>
      </c>
      <c r="BQ120" s="322">
        <f t="shared" si="84"/>
        <v>109565.63502102987</v>
      </c>
      <c r="BR120" s="322"/>
      <c r="BS120" s="323"/>
      <c r="BT120" s="323">
        <f>_xlfn.IFNA((VLOOKUP($A120,HN!$A:$K,8,FALSE)/12),0)</f>
        <v>0</v>
      </c>
      <c r="BU120" s="323">
        <f>_xlfn.IFNA((VLOOKUP($A120,HN!$A:$BS,14,FALSE)/12),0)</f>
        <v>0</v>
      </c>
      <c r="BV120" s="323">
        <f>(_xlfn.IFNA(VLOOKUP($A120,'Post 16'!$A:$AV,32,FALSE),0)/8)+_xlfn.IFNA(VLOOKUP($A120,'Post 16'!$A:$AR,40,FALSE),0)</f>
        <v>0</v>
      </c>
      <c r="BW120" s="323"/>
      <c r="BX120" s="323">
        <f>_xlfn.IFNA((VLOOKUP($A120,HN!$A:$K,9,FALSE)/12),0)+_xlfn.IFNA((VLOOKUP($A120,HN!$A:$K,10,FALSE)/12),0)</f>
        <v>0</v>
      </c>
      <c r="BY120" s="323">
        <f>_xlfn.IFNA((VLOOKUP($A120,HN!$A:$BS,15,FALSE)/12),0)</f>
        <v>0</v>
      </c>
      <c r="BZ120" s="322">
        <f t="shared" si="85"/>
        <v>-458.57333333333327</v>
      </c>
      <c r="CA120" s="322">
        <f t="shared" si="86"/>
        <v>-684.46333333333325</v>
      </c>
      <c r="CB120" s="323"/>
      <c r="CC120" s="323"/>
      <c r="CD120" s="322">
        <f t="shared" si="125"/>
        <v>108422.5983543632</v>
      </c>
      <c r="CE120" s="357">
        <f t="shared" si="87"/>
        <v>109565.63502102987</v>
      </c>
      <c r="CF120" s="357">
        <f>(VLOOKUP($A120,EY!$A:$BS,26,FALSE)-(VLOOKUP($A120,EY!A:CR,24,FALSE)*80%))+VLOOKUP($A120,EY!$A:$BS,42,FALSE)+(VLOOKUP($A120,EY!A:CC,74,FALSE)-VLOOKUP($A120,EY!A:CC,72,FALSE))</f>
        <v>43997.761052631584</v>
      </c>
      <c r="CG120" s="358"/>
      <c r="CH120" s="358">
        <f>_xlfn.IFNA((VLOOKUP($A120,HN!$A:$K,8,FALSE)/12),0)</f>
        <v>0</v>
      </c>
      <c r="CI120" s="358">
        <f>_xlfn.IFNA((VLOOKUP($A120,HN!$A:$BS,14,FALSE)/12),0)</f>
        <v>0</v>
      </c>
      <c r="CJ120" s="358">
        <f>(_xlfn.IFNA(VLOOKUP($A120,'Post 16'!$A:$AV,32,FALSE),0)/8)</f>
        <v>0</v>
      </c>
      <c r="CK120" s="358">
        <f>(VLOOKUP($A120,EY!A:CR,24,FALSE)*80%)+VLOOKUP($A120,EY!A:CC,72,FALSE)</f>
        <v>0</v>
      </c>
      <c r="CL120" s="358">
        <f>_xlfn.IFNA((VLOOKUP($A120,HN!$A:$K,9,FALSE)/12),0)+_xlfn.IFNA((VLOOKUP($A120,HN!$A:$K,10,FALSE)/12),0)</f>
        <v>0</v>
      </c>
      <c r="CM120" s="358">
        <f>_xlfn.IFNA((VLOOKUP($A120,HN!$A:$BS,15,FALSE)/12),0)</f>
        <v>0</v>
      </c>
      <c r="CN120" s="357">
        <f t="shared" si="88"/>
        <v>-458.57333333333327</v>
      </c>
      <c r="CO120" s="357">
        <f t="shared" si="89"/>
        <v>-684.46333333333325</v>
      </c>
      <c r="CP120" s="358">
        <f>_xlfn.IFNA(VLOOKUP(A120,'LA Deductions'!A:W,23,FALSE),0)</f>
        <v>0</v>
      </c>
      <c r="CQ120" s="358">
        <f>_xlfn.IFNA(VLOOKUP($A120,'Cash Advances'!$A:$S,13,FALSE),0)</f>
        <v>0</v>
      </c>
      <c r="CR120" s="358">
        <f>_xlfn.IFNA(VLOOKUP(A120,'LA Deductions'!A:AZ,25,FALSE),0)/9*3</f>
        <v>0</v>
      </c>
      <c r="CS120" s="357">
        <f t="shared" si="108"/>
        <v>152420.35940699477</v>
      </c>
      <c r="CT120" s="337">
        <f t="shared" si="90"/>
        <v>109565.63502102987</v>
      </c>
      <c r="CU120" s="337"/>
      <c r="CV120" s="338">
        <f>_xlfn.IFNA(VLOOKUP(A120,'LA Deductions'!$A$6:$AN$207,34,FALSE),0)</f>
        <v>0</v>
      </c>
      <c r="CW120" s="338">
        <f>_xlfn.IFNA((VLOOKUP($A120,HN!$A:$K,8,FALSE)/12),0)</f>
        <v>0</v>
      </c>
      <c r="CX120" s="338">
        <f>_xlfn.IFNA((VLOOKUP($A120,HN!$A:$BS,14,FALSE)/12),0)</f>
        <v>0</v>
      </c>
      <c r="CY120" s="338">
        <f>_xlfn.IFNA(VLOOKUP($A120,'Post 16'!$A:$AV,32,FALSE),0)/8</f>
        <v>0</v>
      </c>
      <c r="CZ120" s="338"/>
      <c r="DA120" s="338">
        <f>_xlfn.IFNA((VLOOKUP($A120,HN!$A:$K,9,FALSE)/12),0)+_xlfn.IFNA((VLOOKUP($A120,HN!$A:$K,10,FALSE)/12),0)</f>
        <v>0</v>
      </c>
      <c r="DB120" s="338">
        <f>_xlfn.IFNA((VLOOKUP($A120,HN!$A:$BS,15,FALSE)/12),0)</f>
        <v>0</v>
      </c>
      <c r="DC120" s="337">
        <f t="shared" si="91"/>
        <v>-458.57333333333327</v>
      </c>
      <c r="DD120" s="337">
        <f t="shared" si="92"/>
        <v>-684.46333333333325</v>
      </c>
      <c r="DE120" s="338"/>
      <c r="DF120" s="338">
        <f>_xlfn.IFNA(VLOOKUP($A120,'Cash Advances'!$A:$S,14,FALSE),0)</f>
        <v>0</v>
      </c>
      <c r="DG120" s="338">
        <f>(_xlfn.IFNA(VLOOKUP(A120,'LA Deductions'!A:AZ,25,FALSE),0)/9)+(_xlfn.IFNA(VLOOKUP(A120,'LA Deductions'!A:AZ,26,FALSE),0))</f>
        <v>0</v>
      </c>
      <c r="DH120" s="337">
        <f t="shared" si="109"/>
        <v>108422.5983543632</v>
      </c>
      <c r="DI120" s="330">
        <f t="shared" si="93"/>
        <v>109565.63502102987</v>
      </c>
      <c r="DJ120" s="330"/>
      <c r="DK120" s="331"/>
      <c r="DL120" s="331">
        <f>_xlfn.IFNA((VLOOKUP($A120,HN!$A:$K,8,FALSE)/12),0)+_xlfn.IFNA((VLOOKUP($A120,HN!$A:$AF,32,FALSE)*8/12),0)</f>
        <v>0</v>
      </c>
      <c r="DM120" s="331">
        <f>_xlfn.IFNA((VLOOKUP($A120,HN!$A:$BS,14,FALSE)/12),0)+_xlfn.IFNA(VLOOKUP($A120,HN!$A:$BS,31,FALSE),0)</f>
        <v>0</v>
      </c>
      <c r="DN120" s="331">
        <f>_xlfn.IFNA(VLOOKUP($A120,'Post 16'!$A:$AV,32,FALSE),0)/8</f>
        <v>0</v>
      </c>
      <c r="DO120" s="331"/>
      <c r="DP120" s="331">
        <f>_xlfn.IFNA((VLOOKUP($A120,HN!$A:$K,9,FALSE)/12),0)+_xlfn.IFNA((VLOOKUP($A120,HN!$A:$K,10,FALSE)/12),0)+_xlfn.IFNA((VLOOKUP($A120,HN!$A:$BZ,33,FALSE)*8/12),0)</f>
        <v>0</v>
      </c>
      <c r="DQ120" s="331">
        <f>_xlfn.IFNA((VLOOKUP($A120,HN!$A:$BS,15,FALSE)/12),0)</f>
        <v>0</v>
      </c>
      <c r="DR120" s="330">
        <f t="shared" si="94"/>
        <v>-458.57333333333327</v>
      </c>
      <c r="DS120" s="330">
        <f t="shared" si="95"/>
        <v>-684.46333333333325</v>
      </c>
      <c r="DT120" s="331"/>
      <c r="DU120" s="331"/>
      <c r="DV120" s="331">
        <f>(_xlfn.IFNA(VLOOKUP(A120,'LA Deductions'!A:AZ,25,FALSE),0)/9)+_xlfn.IFNA(VLOOKUP(A120,'LA Deductions'!A:AZ,27,FALSE),0)</f>
        <v>0</v>
      </c>
      <c r="DW120" s="330">
        <f t="shared" si="110"/>
        <v>108422.5983543632</v>
      </c>
      <c r="DX120" s="344">
        <f t="shared" si="96"/>
        <v>109565.63502102987</v>
      </c>
      <c r="DY120" s="344"/>
      <c r="DZ120" s="345"/>
      <c r="EA120" s="345">
        <f>_xlfn.IFNA((VLOOKUP($A120,HN!$A:$K,8,FALSE)/12),0)+_xlfn.IFNA((VLOOKUP($A120,HN!$A:$AF,32,FALSE)*1/12),0)</f>
        <v>0</v>
      </c>
      <c r="EB120" s="345">
        <f>_xlfn.IFNA((VLOOKUP($A120,HN!$A:$BS,14,FALSE)/12),0)</f>
        <v>0</v>
      </c>
      <c r="EC120" s="345">
        <f>_xlfn.IFNA(VLOOKUP($A120,'Post 16'!$A:$AV,32,FALSE),0)/8</f>
        <v>0</v>
      </c>
      <c r="ED120" s="345"/>
      <c r="EE120" s="345">
        <f>_xlfn.IFNA((VLOOKUP($A120,HN!$A:$K,9,FALSE)/12),0)+_xlfn.IFNA((VLOOKUP($A120,HN!$A:$K,10,FALSE)/12),0)+_xlfn.IFNA((VLOOKUP($A120,HN!$A:$BZ,33,FALSE)/12),0)</f>
        <v>0</v>
      </c>
      <c r="EF120" s="345">
        <f>_xlfn.IFNA((VLOOKUP($A120,HN!$A:$BS,15,FALSE)/12),0)</f>
        <v>0</v>
      </c>
      <c r="EG120" s="344">
        <f t="shared" si="97"/>
        <v>-458.57333333333327</v>
      </c>
      <c r="EH120" s="344">
        <f t="shared" si="98"/>
        <v>-684.46333333333325</v>
      </c>
      <c r="EI120" s="345"/>
      <c r="EJ120" s="345">
        <f>_xlfn.IFNA(VLOOKUP(A120,'Cash Advances'!A:P,16,FALSE),0)</f>
        <v>0</v>
      </c>
      <c r="EK120" s="345">
        <f>_xlfn.IFNA(VLOOKUP(A120,'LA Deductions'!A:AZ,25,FALSE),0)/9</f>
        <v>0</v>
      </c>
      <c r="EL120" s="344">
        <f t="shared" si="111"/>
        <v>108422.5983543632</v>
      </c>
      <c r="EM120" s="308">
        <f t="shared" si="99"/>
        <v>109565.63502102987</v>
      </c>
      <c r="EN120" s="308">
        <f>((VLOOKUP($A120,EY!$A:$BS,35,FALSE)-(VLOOKUP($A120,EY!$A:$BS,33,FALSE)*80%))+VLOOKUP($A120,EY!$A:$BS,43,FALSE))+(VLOOKUP(A120,EY!A:DF,110,FALSE)-VLOOKUP(A120,EY!A:DD,108,FALSE))+(VLOOKUP(A120,EY!A:CE,83,FALSE)-VLOOKUP(A120,EY!A:CC,81,FALSE))</f>
        <v>48432.507257617726</v>
      </c>
      <c r="EO120" s="309"/>
      <c r="EP120" s="309">
        <f>_xlfn.IFNA((VLOOKUP($A120,HN!$A:$K,8,FALSE)/12),0)+_xlfn.IFNA((VLOOKUP($A120,HN!$A:$AF,32,FALSE)*1/12),0)</f>
        <v>0</v>
      </c>
      <c r="EQ120" s="309">
        <f>_xlfn.IFNA((VLOOKUP($A120,HN!$A:$BS,14,FALSE)/12),0)+_xlfn.IFNA((VLOOKUP($A120,HN!$A:$BS,34,FALSE)/3),0)</f>
        <v>0</v>
      </c>
      <c r="ER120" s="309">
        <f>_xlfn.IFNA(VLOOKUP($A120,'Post 16'!$A:$AV,32,FALSE),0)/8</f>
        <v>0</v>
      </c>
      <c r="ES120" s="309">
        <f>((VLOOKUP($A120,EY!A:EV,33,FALSE)*80%))+VLOOKUP(A120,EY!A:DD,108,FALSE)+VLOOKUP(A120,EY!A:CC,81,FALSE)</f>
        <v>0</v>
      </c>
      <c r="ET120" s="309">
        <f>_xlfn.IFNA((VLOOKUP($A120,HN!$A:$K,9,FALSE)/12),0)+_xlfn.IFNA((VLOOKUP($A120,HN!$A:$K,10,FALSE)/12),0)+_xlfn.IFNA((VLOOKUP($A120,HN!$A:$BZ,33,FALSE)/12),0)</f>
        <v>0</v>
      </c>
      <c r="EU120" s="309">
        <f>_xlfn.IFNA((VLOOKUP($A120,HN!$A:$BS,15,FALSE)/12),0)</f>
        <v>0</v>
      </c>
      <c r="EV120" s="308">
        <f t="shared" si="100"/>
        <v>-458.57333333333327</v>
      </c>
      <c r="EW120" s="308">
        <f t="shared" si="101"/>
        <v>-684.46333333333325</v>
      </c>
      <c r="EX120" s="309"/>
      <c r="EY120" s="309">
        <f>_xlfn.IFNA(VLOOKUP($A120,'Cash Advances'!$A:$S,17,FALSE),0)</f>
        <v>0</v>
      </c>
      <c r="EZ120" s="309">
        <f>_xlfn.IFNA(VLOOKUP(A120,'LA Deductions'!A:AZ,25,FALSE),0)/9</f>
        <v>0</v>
      </c>
      <c r="FA120" s="308">
        <f t="shared" si="112"/>
        <v>156855.10561198092</v>
      </c>
      <c r="FB120" s="315">
        <f t="shared" si="102"/>
        <v>109565.63502102987</v>
      </c>
      <c r="FC120" s="315"/>
      <c r="FD120" s="316"/>
      <c r="FE120" s="316">
        <f>_xlfn.IFNA((VLOOKUP($A120,HN!$A:$K,8,FALSE)/12),0)+_xlfn.IFNA((VLOOKUP($A120,HN!$A:$AF,32,FALSE)*1/12),0)</f>
        <v>0</v>
      </c>
      <c r="FF120" s="316">
        <f>_xlfn.IFNA((VLOOKUP($A120,HN!$A:$BS,14,FALSE)/12),0)+_xlfn.IFNA((VLOOKUP($A120,HN!$A:$BS,34,FALSE)/3),0)</f>
        <v>0</v>
      </c>
      <c r="FG120" s="316">
        <f>_xlfn.IFNA(VLOOKUP($A120,'Post 16'!$A:$AV,32,FALSE),0)/8</f>
        <v>0</v>
      </c>
      <c r="FH120" s="316"/>
      <c r="FI120" s="316">
        <f>_xlfn.IFNA((VLOOKUP($A120,HN!$A:$K,9,FALSE)/12),0)+_xlfn.IFNA((VLOOKUP($A120,HN!$A:$K,10,FALSE)/12),0)+_xlfn.IFNA((VLOOKUP($A120,HN!$A:$BZ,33,FALSE)/12),0)+_xlfn.IFNA((VLOOKUP($A120,HN!$A:$BZ,35,FALSE)/2),0)</f>
        <v>0</v>
      </c>
      <c r="FJ120" s="316">
        <f>_xlfn.IFNA((VLOOKUP($A120,HN!$A:$BS,15,FALSE)/12),0)+_xlfn.IFNA((VLOOKUP($A120,HN!$A:$CZ,36,FALSE)/2),0)</f>
        <v>0</v>
      </c>
      <c r="FK120" s="315">
        <f t="shared" si="103"/>
        <v>-458.57333333333327</v>
      </c>
      <c r="FL120" s="315">
        <f t="shared" si="104"/>
        <v>-684.46333333333325</v>
      </c>
      <c r="FM120" s="316"/>
      <c r="FN120" s="316">
        <f>_xlfn.IFNA(VLOOKUP($A120,'Cash Advances'!$A:$S,18,FALSE),0)</f>
        <v>0</v>
      </c>
      <c r="FO120" s="316">
        <f>_xlfn.IFNA(VLOOKUP(A120,'LA Deductions'!A:AZ,25,FALSE),0)/9</f>
        <v>0</v>
      </c>
      <c r="FP120" s="315">
        <f t="shared" si="113"/>
        <v>108422.5983543632</v>
      </c>
      <c r="FQ120" s="322">
        <f t="shared" si="105"/>
        <v>109565.63502102987</v>
      </c>
      <c r="FR120" s="322"/>
      <c r="FS120" s="323"/>
      <c r="FT120" s="323">
        <f>_xlfn.IFNA((VLOOKUP($A120,HN!$A:$K,8,FALSE)/12),0)+_xlfn.IFNA((VLOOKUP($A120,HN!$A:$AF,32,FALSE)*1/12),0)</f>
        <v>0</v>
      </c>
      <c r="FU120" s="323">
        <f>_xlfn.IFNA((VLOOKUP($A120,HN!$A:$BS,14,FALSE)/12),0)+_xlfn.IFNA((VLOOKUP($A120,HN!$A:$BS,34,FALSE)/3),0)</f>
        <v>0</v>
      </c>
      <c r="FV120" s="323">
        <f>_xlfn.IFNA(VLOOKUP($A120,'Post 16'!$A:$AV,32,FALSE),0)/8</f>
        <v>0</v>
      </c>
      <c r="FW120" s="323"/>
      <c r="FX120" s="323">
        <f>_xlfn.IFNA((VLOOKUP($A120,HN!$A:$K,9,FALSE)/12),0)+_xlfn.IFNA((VLOOKUP($A120,HN!$A:$K,10,FALSE)/12),0)+_xlfn.IFNA((VLOOKUP($A120,HN!$A:$BZ,33,FALSE)/12),0)+_xlfn.IFNA((VLOOKUP($A120,HN!$A:$BZ,35,FALSE)/2),0)</f>
        <v>0</v>
      </c>
      <c r="FY120" s="323">
        <f>_xlfn.IFNA((VLOOKUP($A120,HN!$A:$BS,15,FALSE)/12),0)+_xlfn.IFNA((VLOOKUP($A120,HN!$A:$CZ,36,FALSE)/2),0)</f>
        <v>0</v>
      </c>
      <c r="FZ120" s="322">
        <f t="shared" si="106"/>
        <v>-458.57333333333327</v>
      </c>
      <c r="GA120" s="322">
        <f t="shared" si="107"/>
        <v>-684.46333333333325</v>
      </c>
      <c r="GB120" s="323"/>
      <c r="GC120" s="323"/>
      <c r="GD120" s="323">
        <f>_xlfn.IFNA(VLOOKUP(A120,'LA Deductions'!A:AZ,25,FALSE),0)/9</f>
        <v>0</v>
      </c>
      <c r="GE120" s="322">
        <f t="shared" si="114"/>
        <v>108422.5983543632</v>
      </c>
      <c r="GG120" s="146">
        <f t="shared" si="128"/>
        <v>1447214.2906678712</v>
      </c>
      <c r="GH120" s="146">
        <f t="shared" si="128"/>
        <v>0</v>
      </c>
      <c r="GI120" s="146">
        <f t="shared" si="128"/>
        <v>0</v>
      </c>
      <c r="GJ120" s="146">
        <f t="shared" si="128"/>
        <v>-5502.880000000001</v>
      </c>
      <c r="GK120" s="146">
        <f t="shared" si="128"/>
        <v>-8213.56</v>
      </c>
      <c r="GL120" s="146">
        <f t="shared" si="128"/>
        <v>0</v>
      </c>
      <c r="GN120" s="146">
        <f t="shared" si="129"/>
        <v>1447214.2906678712</v>
      </c>
      <c r="GO120" s="146">
        <f t="shared" si="129"/>
        <v>0</v>
      </c>
      <c r="GP120" s="146">
        <f t="shared" si="129"/>
        <v>0</v>
      </c>
      <c r="GQ120" s="146">
        <f t="shared" si="129"/>
        <v>-5502.880000000001</v>
      </c>
      <c r="GR120" s="146">
        <f t="shared" si="129"/>
        <v>-8213.56</v>
      </c>
      <c r="GS120" s="146">
        <f t="shared" si="129"/>
        <v>0</v>
      </c>
      <c r="GU120" s="146"/>
      <c r="GV120" s="57"/>
    </row>
    <row r="121" spans="1:204">
      <c r="A121" s="185">
        <v>3386</v>
      </c>
      <c r="B121" s="185">
        <v>103470</v>
      </c>
      <c r="C121" s="185" t="s">
        <v>266</v>
      </c>
      <c r="D121" s="2" t="s">
        <v>267</v>
      </c>
      <c r="E121" s="191" t="s">
        <v>32</v>
      </c>
      <c r="F121" s="191" t="s">
        <v>912</v>
      </c>
      <c r="H121" s="279">
        <f>_xlfn.IFNA(VLOOKUP($A121,ISB!$A$4:$BY$454,67,FALSE),0)</f>
        <v>1394401.765524223</v>
      </c>
      <c r="I121" s="279">
        <f>_xlfn.IFNA(VLOOKUP($A121,ISB!$A$4:$BY$454,72,FALSE),0)</f>
        <v>-5528.96</v>
      </c>
      <c r="J121" s="279">
        <f>-_xlfn.IFNA(VLOOKUP($A121,ISB!$A$4:$BY$454,76,FALSE),0)</f>
        <v>-5511.96</v>
      </c>
      <c r="K121" s="279">
        <f>_xlfn.IFNA(VLOOKUP($A121,ISB!$A$4:$BY$454,77,FALSE),0)</f>
        <v>1383360.8455242231</v>
      </c>
      <c r="M121" s="301">
        <f t="shared" si="72"/>
        <v>116200.14712701859</v>
      </c>
      <c r="N121" s="301">
        <f>VLOOKUP($A121,EY!$A:$H,8,FALSE)+(VLOOKUP($A121,EY!$A:$BS,17,FALSE)-S121)+VLOOKUP($A121,EY!$A:$BS,41,FALSE)</f>
        <v>37677.804210526316</v>
      </c>
      <c r="O121" s="302"/>
      <c r="P121" s="302">
        <f>_xlfn.IFNA((VLOOKUP($A121,HN!$A:$K,8,FALSE)/12),0)</f>
        <v>0</v>
      </c>
      <c r="Q121" s="302">
        <f>_xlfn.IFNA((VLOOKUP($A121,HN!$A:$BS,14,FALSE)/12),0)</f>
        <v>0</v>
      </c>
      <c r="R121" s="302">
        <f>_xlfn.IFNA(VLOOKUP($A121,'Post 16'!$A:$V,21,FALSE),0)/4</f>
        <v>0</v>
      </c>
      <c r="S121" s="302">
        <f>VLOOKUP($A121,EY!A:Q,15,FALSE)*80%</f>
        <v>0</v>
      </c>
      <c r="T121" s="302">
        <f>_xlfn.IFNA((VLOOKUP($A121,HN!$A:$K,9,FALSE)/12),0)+_xlfn.IFNA((VLOOKUP($A121,HN!$A:$K,10,FALSE)/12),0)</f>
        <v>0</v>
      </c>
      <c r="U121" s="302">
        <f>_xlfn.IFNA((VLOOKUP($A121,HN!$A:$BS,15,FALSE)/12),0)</f>
        <v>0</v>
      </c>
      <c r="V121" s="301">
        <f t="shared" si="73"/>
        <v>-460.74666666666667</v>
      </c>
      <c r="W121" s="301">
        <f t="shared" si="74"/>
        <v>-459.33</v>
      </c>
      <c r="X121" s="302"/>
      <c r="Y121" s="302">
        <f>_xlfn.IFNA(VLOOKUP($A121,'Cash Advances'!$A:$S,8,FALSE),0)</f>
        <v>0</v>
      </c>
      <c r="Z121" s="301">
        <f t="shared" si="121"/>
        <v>152957.87467087823</v>
      </c>
      <c r="AA121" s="315">
        <f t="shared" si="75"/>
        <v>116200.14712701859</v>
      </c>
      <c r="AB121" s="315"/>
      <c r="AC121" s="316"/>
      <c r="AD121" s="316">
        <f>_xlfn.IFNA((VLOOKUP($A121,HN!$A:$K,8,FALSE)/12),0)</f>
        <v>0</v>
      </c>
      <c r="AE121" s="316">
        <f>_xlfn.IFNA((VLOOKUP($A121,HN!$A:$BS,14,FALSE)/12),0)</f>
        <v>0</v>
      </c>
      <c r="AF121" s="316">
        <f>_xlfn.IFNA(VLOOKUP($A121,'Post 16'!$A:$V,21,FALSE),0)/4</f>
        <v>0</v>
      </c>
      <c r="AG121" s="316"/>
      <c r="AH121" s="316">
        <f>_xlfn.IFNA((VLOOKUP($A121,HN!$A:$K,9,FALSE)/12),0)+_xlfn.IFNA((VLOOKUP($A121,HN!$A:$K,10,FALSE)/12),0)</f>
        <v>0</v>
      </c>
      <c r="AI121" s="316">
        <f>_xlfn.IFNA((VLOOKUP($A121,HN!$A:$BS,15,FALSE)/12),0)</f>
        <v>0</v>
      </c>
      <c r="AJ121" s="315">
        <f t="shared" si="76"/>
        <v>-460.74666666666667</v>
      </c>
      <c r="AK121" s="315">
        <f t="shared" si="77"/>
        <v>-459.33</v>
      </c>
      <c r="AL121" s="316"/>
      <c r="AM121" s="316">
        <f>_xlfn.IFNA(VLOOKUP($A121,'Cash Advances'!$A:$S,9,FALSE),0)</f>
        <v>0</v>
      </c>
      <c r="AN121" s="315">
        <f t="shared" si="122"/>
        <v>115280.07046035191</v>
      </c>
      <c r="AO121" s="308">
        <f t="shared" si="78"/>
        <v>116200.14712701859</v>
      </c>
      <c r="AP121" s="308"/>
      <c r="AQ121" s="309"/>
      <c r="AR121" s="309">
        <f>_xlfn.IFNA((VLOOKUP($A121,HN!$A:$K,8,FALSE)/12),0)</f>
        <v>0</v>
      </c>
      <c r="AS121" s="309">
        <f>_xlfn.IFNA((VLOOKUP($A121,HN!$A:$BS,14,FALSE)/12),0)</f>
        <v>0</v>
      </c>
      <c r="AT121" s="309">
        <f>_xlfn.IFNA(VLOOKUP($A121,'Post 16'!$A:$V,21,FALSE),0)/4</f>
        <v>0</v>
      </c>
      <c r="AU121" s="309"/>
      <c r="AV121" s="309">
        <f>_xlfn.IFNA((VLOOKUP($A121,HN!$A:$K,9,FALSE)/12),0)+_xlfn.IFNA((VLOOKUP($A121,HN!$A:$K,10,FALSE)/12),0)+_xlfn.IFNA(VLOOKUP(A121,HN!A:V,19,FALSE),0)+_xlfn.IFNA(VLOOKUP(A121,HN!A:V,20,FALSE),0)+_xlfn.IFNA(VLOOKUP(A121,HN!A:V,21,FALSE),0)</f>
        <v>0</v>
      </c>
      <c r="AW121" s="309">
        <f>_xlfn.IFNA((VLOOKUP($A121,HN!$A:$BS,15,FALSE)/12),0)</f>
        <v>0</v>
      </c>
      <c r="AX121" s="308">
        <f t="shared" si="79"/>
        <v>-460.74666666666667</v>
      </c>
      <c r="AY121" s="308">
        <f t="shared" si="80"/>
        <v>-459.33</v>
      </c>
      <c r="AZ121" s="309"/>
      <c r="BA121" s="309">
        <f>_xlfn.IFNA(VLOOKUP($A121,'Cash Advances'!$A:$S,10,FALSE),0)</f>
        <v>0</v>
      </c>
      <c r="BB121" s="308">
        <f t="shared" si="123"/>
        <v>115280.07046035191</v>
      </c>
      <c r="BC121" s="330">
        <f t="shared" si="81"/>
        <v>116200.14712701859</v>
      </c>
      <c r="BD121" s="330"/>
      <c r="BE121" s="331"/>
      <c r="BF121" s="331">
        <f>_xlfn.IFNA((VLOOKUP($A121,HN!$A:$K,8,FALSE)/12),0)</f>
        <v>0</v>
      </c>
      <c r="BG121" s="331">
        <f>_xlfn.IFNA((VLOOKUP($A121,HN!$A:$BS,14,FALSE)/12),0)</f>
        <v>0</v>
      </c>
      <c r="BH121" s="331">
        <f>_xlfn.IFNA(VLOOKUP($A121,'Post 16'!$A:$V,21,FALSE),0)/4</f>
        <v>0</v>
      </c>
      <c r="BI121" s="331"/>
      <c r="BJ121" s="331">
        <f>_xlfn.IFNA((VLOOKUP($A121,HN!$A:$K,9,FALSE)/12),0)+_xlfn.IFNA((VLOOKUP($A121,HN!$A:$K,10,FALSE)/12),0)</f>
        <v>0</v>
      </c>
      <c r="BK121" s="331">
        <f>_xlfn.IFNA((VLOOKUP($A121,HN!$A:$BS,15,FALSE)/12),0)</f>
        <v>0</v>
      </c>
      <c r="BL121" s="330">
        <f t="shared" si="82"/>
        <v>-460.74666666666667</v>
      </c>
      <c r="BM121" s="330">
        <f t="shared" si="83"/>
        <v>-459.33</v>
      </c>
      <c r="BN121" s="331"/>
      <c r="BO121" s="331">
        <f>_xlfn.IFNA(VLOOKUP(A121,'Cash Advances'!A:K,11,FALSE),0)</f>
        <v>0</v>
      </c>
      <c r="BP121" s="330">
        <f t="shared" si="124"/>
        <v>115280.07046035191</v>
      </c>
      <c r="BQ121" s="322">
        <f t="shared" si="84"/>
        <v>116200.14712701859</v>
      </c>
      <c r="BR121" s="322"/>
      <c r="BS121" s="323"/>
      <c r="BT121" s="323">
        <f>_xlfn.IFNA((VLOOKUP($A121,HN!$A:$K,8,FALSE)/12),0)</f>
        <v>0</v>
      </c>
      <c r="BU121" s="323">
        <f>_xlfn.IFNA((VLOOKUP($A121,HN!$A:$BS,14,FALSE)/12),0)</f>
        <v>0</v>
      </c>
      <c r="BV121" s="323">
        <f>(_xlfn.IFNA(VLOOKUP($A121,'Post 16'!$A:$AV,32,FALSE),0)/8)+_xlfn.IFNA(VLOOKUP($A121,'Post 16'!$A:$AR,40,FALSE),0)</f>
        <v>0</v>
      </c>
      <c r="BW121" s="323"/>
      <c r="BX121" s="323">
        <f>_xlfn.IFNA((VLOOKUP($A121,HN!$A:$K,9,FALSE)/12),0)+_xlfn.IFNA((VLOOKUP($A121,HN!$A:$K,10,FALSE)/12),0)</f>
        <v>0</v>
      </c>
      <c r="BY121" s="323">
        <f>_xlfn.IFNA((VLOOKUP($A121,HN!$A:$BS,15,FALSE)/12),0)</f>
        <v>0</v>
      </c>
      <c r="BZ121" s="322">
        <f t="shared" si="85"/>
        <v>-460.74666666666667</v>
      </c>
      <c r="CA121" s="322">
        <f t="shared" si="86"/>
        <v>-459.33</v>
      </c>
      <c r="CB121" s="323"/>
      <c r="CC121" s="323"/>
      <c r="CD121" s="322">
        <f t="shared" si="125"/>
        <v>115280.07046035191</v>
      </c>
      <c r="CE121" s="357">
        <f t="shared" si="87"/>
        <v>116200.14712701859</v>
      </c>
      <c r="CF121" s="357">
        <f>(VLOOKUP($A121,EY!$A:$BS,26,FALSE)-(VLOOKUP($A121,EY!A:CR,24,FALSE)*80%))+VLOOKUP($A121,EY!$A:$BS,42,FALSE)+(VLOOKUP($A121,EY!A:CC,74,FALSE)-VLOOKUP($A121,EY!A:CC,72,FALSE))</f>
        <v>42552.927368421049</v>
      </c>
      <c r="CG121" s="358"/>
      <c r="CH121" s="358">
        <f>_xlfn.IFNA((VLOOKUP($A121,HN!$A:$K,8,FALSE)/12),0)</f>
        <v>0</v>
      </c>
      <c r="CI121" s="358">
        <f>_xlfn.IFNA((VLOOKUP($A121,HN!$A:$BS,14,FALSE)/12),0)</f>
        <v>0</v>
      </c>
      <c r="CJ121" s="358">
        <f>(_xlfn.IFNA(VLOOKUP($A121,'Post 16'!$A:$AV,32,FALSE),0)/8)</f>
        <v>0</v>
      </c>
      <c r="CK121" s="358">
        <f>(VLOOKUP($A121,EY!A:CR,24,FALSE)*80%)+VLOOKUP($A121,EY!A:CC,72,FALSE)</f>
        <v>0</v>
      </c>
      <c r="CL121" s="358">
        <f>_xlfn.IFNA((VLOOKUP($A121,HN!$A:$K,9,FALSE)/12),0)+_xlfn.IFNA((VLOOKUP($A121,HN!$A:$K,10,FALSE)/12),0)</f>
        <v>0</v>
      </c>
      <c r="CM121" s="358">
        <f>_xlfn.IFNA((VLOOKUP($A121,HN!$A:$BS,15,FALSE)/12),0)</f>
        <v>0</v>
      </c>
      <c r="CN121" s="357">
        <f t="shared" si="88"/>
        <v>-460.74666666666667</v>
      </c>
      <c r="CO121" s="357">
        <f t="shared" si="89"/>
        <v>-459.33</v>
      </c>
      <c r="CP121" s="358">
        <f>_xlfn.IFNA(VLOOKUP(A121,'LA Deductions'!A:W,23,FALSE),0)</f>
        <v>-5139.75</v>
      </c>
      <c r="CQ121" s="358">
        <f>_xlfn.IFNA(VLOOKUP($A121,'Cash Advances'!$A:$S,13,FALSE),0)</f>
        <v>0</v>
      </c>
      <c r="CR121" s="358">
        <f>_xlfn.IFNA(VLOOKUP(A121,'LA Deductions'!A:AZ,25,FALSE),0)/9*3</f>
        <v>0</v>
      </c>
      <c r="CS121" s="357">
        <f t="shared" si="108"/>
        <v>152693.24782877299</v>
      </c>
      <c r="CT121" s="337">
        <f t="shared" si="90"/>
        <v>116200.14712701859</v>
      </c>
      <c r="CU121" s="337"/>
      <c r="CV121" s="338">
        <f>_xlfn.IFNA(VLOOKUP(A121,'LA Deductions'!$A$6:$AN$207,34,FALSE),0)</f>
        <v>0</v>
      </c>
      <c r="CW121" s="338">
        <f>_xlfn.IFNA((VLOOKUP($A121,HN!$A:$K,8,FALSE)/12),0)</f>
        <v>0</v>
      </c>
      <c r="CX121" s="338">
        <f>_xlfn.IFNA((VLOOKUP($A121,HN!$A:$BS,14,FALSE)/12),0)</f>
        <v>0</v>
      </c>
      <c r="CY121" s="338">
        <f>_xlfn.IFNA(VLOOKUP($A121,'Post 16'!$A:$AV,32,FALSE),0)/8</f>
        <v>0</v>
      </c>
      <c r="CZ121" s="338"/>
      <c r="DA121" s="338">
        <f>_xlfn.IFNA((VLOOKUP($A121,HN!$A:$K,9,FALSE)/12),0)+_xlfn.IFNA((VLOOKUP($A121,HN!$A:$K,10,FALSE)/12),0)</f>
        <v>0</v>
      </c>
      <c r="DB121" s="338">
        <f>_xlfn.IFNA((VLOOKUP($A121,HN!$A:$BS,15,FALSE)/12),0)</f>
        <v>0</v>
      </c>
      <c r="DC121" s="337">
        <f t="shared" si="91"/>
        <v>-460.74666666666667</v>
      </c>
      <c r="DD121" s="337">
        <f t="shared" si="92"/>
        <v>-459.33</v>
      </c>
      <c r="DE121" s="338"/>
      <c r="DF121" s="338">
        <f>_xlfn.IFNA(VLOOKUP($A121,'Cash Advances'!$A:$S,14,FALSE),0)</f>
        <v>0</v>
      </c>
      <c r="DG121" s="338">
        <f>(_xlfn.IFNA(VLOOKUP(A121,'LA Deductions'!A:AZ,25,FALSE),0)/9)+(_xlfn.IFNA(VLOOKUP(A121,'LA Deductions'!A:AZ,26,FALSE),0))</f>
        <v>0</v>
      </c>
      <c r="DH121" s="337">
        <f t="shared" si="109"/>
        <v>115280.07046035191</v>
      </c>
      <c r="DI121" s="330">
        <f t="shared" si="93"/>
        <v>116200.14712701859</v>
      </c>
      <c r="DJ121" s="330"/>
      <c r="DK121" s="331"/>
      <c r="DL121" s="331">
        <f>_xlfn.IFNA((VLOOKUP($A121,HN!$A:$K,8,FALSE)/12),0)+_xlfn.IFNA((VLOOKUP($A121,HN!$A:$AF,32,FALSE)*8/12),0)</f>
        <v>0</v>
      </c>
      <c r="DM121" s="331">
        <f>_xlfn.IFNA((VLOOKUP($A121,HN!$A:$BS,14,FALSE)/12),0)+_xlfn.IFNA(VLOOKUP($A121,HN!$A:$BS,31,FALSE),0)</f>
        <v>0</v>
      </c>
      <c r="DN121" s="331">
        <f>_xlfn.IFNA(VLOOKUP($A121,'Post 16'!$A:$AV,32,FALSE),0)/8</f>
        <v>0</v>
      </c>
      <c r="DO121" s="331"/>
      <c r="DP121" s="331">
        <f>_xlfn.IFNA((VLOOKUP($A121,HN!$A:$K,9,FALSE)/12),0)+_xlfn.IFNA((VLOOKUP($A121,HN!$A:$K,10,FALSE)/12),0)+_xlfn.IFNA((VLOOKUP($A121,HN!$A:$BZ,33,FALSE)*8/12),0)</f>
        <v>0</v>
      </c>
      <c r="DQ121" s="331">
        <f>_xlfn.IFNA((VLOOKUP($A121,HN!$A:$BS,15,FALSE)/12),0)</f>
        <v>0</v>
      </c>
      <c r="DR121" s="330">
        <f t="shared" si="94"/>
        <v>-460.74666666666667</v>
      </c>
      <c r="DS121" s="330">
        <f t="shared" si="95"/>
        <v>-459.33</v>
      </c>
      <c r="DT121" s="331"/>
      <c r="DU121" s="331"/>
      <c r="DV121" s="331">
        <f>(_xlfn.IFNA(VLOOKUP(A121,'LA Deductions'!A:AZ,25,FALSE),0)/9)+_xlfn.IFNA(VLOOKUP(A121,'LA Deductions'!A:AZ,27,FALSE),0)</f>
        <v>0</v>
      </c>
      <c r="DW121" s="330">
        <f t="shared" si="110"/>
        <v>115280.07046035191</v>
      </c>
      <c r="DX121" s="344">
        <f t="shared" si="96"/>
        <v>116200.14712701859</v>
      </c>
      <c r="DY121" s="344"/>
      <c r="DZ121" s="345"/>
      <c r="EA121" s="345">
        <f>_xlfn.IFNA((VLOOKUP($A121,HN!$A:$K,8,FALSE)/12),0)+_xlfn.IFNA((VLOOKUP($A121,HN!$A:$AF,32,FALSE)*1/12),0)</f>
        <v>0</v>
      </c>
      <c r="EB121" s="345">
        <f>_xlfn.IFNA((VLOOKUP($A121,HN!$A:$BS,14,FALSE)/12),0)</f>
        <v>0</v>
      </c>
      <c r="EC121" s="345">
        <f>_xlfn.IFNA(VLOOKUP($A121,'Post 16'!$A:$AV,32,FALSE),0)/8</f>
        <v>0</v>
      </c>
      <c r="ED121" s="345"/>
      <c r="EE121" s="345">
        <f>_xlfn.IFNA((VLOOKUP($A121,HN!$A:$K,9,FALSE)/12),0)+_xlfn.IFNA((VLOOKUP($A121,HN!$A:$K,10,FALSE)/12),0)+_xlfn.IFNA((VLOOKUP($A121,HN!$A:$BZ,33,FALSE)/12),0)</f>
        <v>0</v>
      </c>
      <c r="EF121" s="345">
        <f>_xlfn.IFNA((VLOOKUP($A121,HN!$A:$BS,15,FALSE)/12),0)</f>
        <v>0</v>
      </c>
      <c r="EG121" s="344">
        <f t="shared" si="97"/>
        <v>-460.74666666666667</v>
      </c>
      <c r="EH121" s="344">
        <f t="shared" si="98"/>
        <v>-459.33</v>
      </c>
      <c r="EI121" s="345"/>
      <c r="EJ121" s="345">
        <f>_xlfn.IFNA(VLOOKUP(A121,'Cash Advances'!A:P,16,FALSE),0)</f>
        <v>0</v>
      </c>
      <c r="EK121" s="345">
        <f>_xlfn.IFNA(VLOOKUP(A121,'LA Deductions'!A:AZ,25,FALSE),0)/9</f>
        <v>0</v>
      </c>
      <c r="EL121" s="344">
        <f t="shared" si="111"/>
        <v>115280.07046035191</v>
      </c>
      <c r="EM121" s="308">
        <f t="shared" si="99"/>
        <v>116200.14712701859</v>
      </c>
      <c r="EN121" s="308">
        <f>((VLOOKUP($A121,EY!$A:$BS,35,FALSE)-(VLOOKUP($A121,EY!$A:$BS,33,FALSE)*80%))+VLOOKUP($A121,EY!$A:$BS,43,FALSE))+(VLOOKUP(A121,EY!A:DF,110,FALSE)-VLOOKUP(A121,EY!A:DD,108,FALSE))+(VLOOKUP(A121,EY!A:CE,83,FALSE)-VLOOKUP(A121,EY!A:CC,81,FALSE))</f>
        <v>40452.230235457071</v>
      </c>
      <c r="EO121" s="309"/>
      <c r="EP121" s="309">
        <f>_xlfn.IFNA((VLOOKUP($A121,HN!$A:$K,8,FALSE)/12),0)+_xlfn.IFNA((VLOOKUP($A121,HN!$A:$AF,32,FALSE)*1/12),0)</f>
        <v>0</v>
      </c>
      <c r="EQ121" s="309">
        <f>_xlfn.IFNA((VLOOKUP($A121,HN!$A:$BS,14,FALSE)/12),0)+_xlfn.IFNA((VLOOKUP($A121,HN!$A:$BS,34,FALSE)/3),0)</f>
        <v>0</v>
      </c>
      <c r="ER121" s="309">
        <f>_xlfn.IFNA(VLOOKUP($A121,'Post 16'!$A:$AV,32,FALSE),0)/8</f>
        <v>0</v>
      </c>
      <c r="ES121" s="309">
        <f>((VLOOKUP($A121,EY!A:EV,33,FALSE)*80%))+VLOOKUP(A121,EY!A:DD,108,FALSE)+VLOOKUP(A121,EY!A:CC,81,FALSE)</f>
        <v>0</v>
      </c>
      <c r="ET121" s="309">
        <f>_xlfn.IFNA((VLOOKUP($A121,HN!$A:$K,9,FALSE)/12),0)+_xlfn.IFNA((VLOOKUP($A121,HN!$A:$K,10,FALSE)/12),0)+_xlfn.IFNA((VLOOKUP($A121,HN!$A:$BZ,33,FALSE)/12),0)</f>
        <v>0</v>
      </c>
      <c r="EU121" s="309">
        <f>_xlfn.IFNA((VLOOKUP($A121,HN!$A:$BS,15,FALSE)/12),0)</f>
        <v>0</v>
      </c>
      <c r="EV121" s="308">
        <f t="shared" si="100"/>
        <v>-460.74666666666667</v>
      </c>
      <c r="EW121" s="308">
        <f t="shared" si="101"/>
        <v>-459.33</v>
      </c>
      <c r="EX121" s="309"/>
      <c r="EY121" s="309">
        <f>_xlfn.IFNA(VLOOKUP($A121,'Cash Advances'!$A:$S,17,FALSE),0)</f>
        <v>0</v>
      </c>
      <c r="EZ121" s="309">
        <f>_xlfn.IFNA(VLOOKUP(A121,'LA Deductions'!A:AZ,25,FALSE),0)/9</f>
        <v>0</v>
      </c>
      <c r="FA121" s="308">
        <f t="shared" si="112"/>
        <v>155732.30069580901</v>
      </c>
      <c r="FB121" s="315">
        <f t="shared" si="102"/>
        <v>116200.14712701859</v>
      </c>
      <c r="FC121" s="315"/>
      <c r="FD121" s="316"/>
      <c r="FE121" s="316">
        <f>_xlfn.IFNA((VLOOKUP($A121,HN!$A:$K,8,FALSE)/12),0)+_xlfn.IFNA((VLOOKUP($A121,HN!$A:$AF,32,FALSE)*1/12),0)</f>
        <v>0</v>
      </c>
      <c r="FF121" s="316">
        <f>_xlfn.IFNA((VLOOKUP($A121,HN!$A:$BS,14,FALSE)/12),0)+_xlfn.IFNA((VLOOKUP($A121,HN!$A:$BS,34,FALSE)/3),0)</f>
        <v>0</v>
      </c>
      <c r="FG121" s="316">
        <f>_xlfn.IFNA(VLOOKUP($A121,'Post 16'!$A:$AV,32,FALSE),0)/8</f>
        <v>0</v>
      </c>
      <c r="FH121" s="316"/>
      <c r="FI121" s="316">
        <f>_xlfn.IFNA((VLOOKUP($A121,HN!$A:$K,9,FALSE)/12),0)+_xlfn.IFNA((VLOOKUP($A121,HN!$A:$K,10,FALSE)/12),0)+_xlfn.IFNA((VLOOKUP($A121,HN!$A:$BZ,33,FALSE)/12),0)+_xlfn.IFNA((VLOOKUP($A121,HN!$A:$BZ,35,FALSE)/2),0)</f>
        <v>0</v>
      </c>
      <c r="FJ121" s="316">
        <f>_xlfn.IFNA((VLOOKUP($A121,HN!$A:$BS,15,FALSE)/12),0)+_xlfn.IFNA((VLOOKUP($A121,HN!$A:$CZ,36,FALSE)/2),0)</f>
        <v>0</v>
      </c>
      <c r="FK121" s="315">
        <f t="shared" si="103"/>
        <v>-460.74666666666667</v>
      </c>
      <c r="FL121" s="315">
        <f t="shared" si="104"/>
        <v>-459.33</v>
      </c>
      <c r="FM121" s="316"/>
      <c r="FN121" s="316">
        <f>_xlfn.IFNA(VLOOKUP($A121,'Cash Advances'!$A:$S,18,FALSE),0)</f>
        <v>0</v>
      </c>
      <c r="FO121" s="316">
        <f>_xlfn.IFNA(VLOOKUP(A121,'LA Deductions'!A:AZ,25,FALSE),0)/9</f>
        <v>0</v>
      </c>
      <c r="FP121" s="315">
        <f t="shared" si="113"/>
        <v>115280.07046035191</v>
      </c>
      <c r="FQ121" s="322">
        <f t="shared" si="105"/>
        <v>116200.14712701859</v>
      </c>
      <c r="FR121" s="322"/>
      <c r="FS121" s="323"/>
      <c r="FT121" s="323">
        <f>_xlfn.IFNA((VLOOKUP($A121,HN!$A:$K,8,FALSE)/12),0)+_xlfn.IFNA((VLOOKUP($A121,HN!$A:$AF,32,FALSE)*1/12),0)</f>
        <v>0</v>
      </c>
      <c r="FU121" s="323">
        <f>_xlfn.IFNA((VLOOKUP($A121,HN!$A:$BS,14,FALSE)/12),0)+_xlfn.IFNA((VLOOKUP($A121,HN!$A:$BS,34,FALSE)/3),0)</f>
        <v>0</v>
      </c>
      <c r="FV121" s="323">
        <f>_xlfn.IFNA(VLOOKUP($A121,'Post 16'!$A:$AV,32,FALSE),0)/8</f>
        <v>0</v>
      </c>
      <c r="FW121" s="323"/>
      <c r="FX121" s="323">
        <f>_xlfn.IFNA((VLOOKUP($A121,HN!$A:$K,9,FALSE)/12),0)+_xlfn.IFNA((VLOOKUP($A121,HN!$A:$K,10,FALSE)/12),0)+_xlfn.IFNA((VLOOKUP($A121,HN!$A:$BZ,33,FALSE)/12),0)+_xlfn.IFNA((VLOOKUP($A121,HN!$A:$BZ,35,FALSE)/2),0)</f>
        <v>0</v>
      </c>
      <c r="FY121" s="323">
        <f>_xlfn.IFNA((VLOOKUP($A121,HN!$A:$BS,15,FALSE)/12),0)+_xlfn.IFNA((VLOOKUP($A121,HN!$A:$CZ,36,FALSE)/2),0)</f>
        <v>0</v>
      </c>
      <c r="FZ121" s="322">
        <f t="shared" si="106"/>
        <v>-460.74666666666667</v>
      </c>
      <c r="GA121" s="322">
        <f t="shared" si="107"/>
        <v>-459.33</v>
      </c>
      <c r="GB121" s="323"/>
      <c r="GC121" s="323"/>
      <c r="GD121" s="323">
        <f>_xlfn.IFNA(VLOOKUP(A121,'LA Deductions'!A:AZ,25,FALSE),0)/9</f>
        <v>0</v>
      </c>
      <c r="GE121" s="322">
        <f t="shared" si="114"/>
        <v>115280.07046035191</v>
      </c>
      <c r="GG121" s="146">
        <f t="shared" si="128"/>
        <v>1515084.727338627</v>
      </c>
      <c r="GH121" s="146">
        <f t="shared" si="128"/>
        <v>0</v>
      </c>
      <c r="GI121" s="146">
        <f t="shared" si="128"/>
        <v>0</v>
      </c>
      <c r="GJ121" s="146">
        <f t="shared" si="128"/>
        <v>-5528.9600000000019</v>
      </c>
      <c r="GK121" s="146">
        <f t="shared" si="128"/>
        <v>-5511.96</v>
      </c>
      <c r="GL121" s="146">
        <f t="shared" si="128"/>
        <v>-5139.75</v>
      </c>
      <c r="GN121" s="146">
        <f t="shared" si="129"/>
        <v>1515084.727338627</v>
      </c>
      <c r="GO121" s="146">
        <f t="shared" si="129"/>
        <v>0</v>
      </c>
      <c r="GP121" s="146">
        <f t="shared" si="129"/>
        <v>0</v>
      </c>
      <c r="GQ121" s="146">
        <f t="shared" si="129"/>
        <v>-5528.9600000000019</v>
      </c>
      <c r="GR121" s="146">
        <f t="shared" si="129"/>
        <v>-5511.96</v>
      </c>
      <c r="GS121" s="146">
        <f t="shared" si="129"/>
        <v>-5139.75</v>
      </c>
      <c r="GU121" s="146"/>
      <c r="GV121" s="57"/>
    </row>
    <row r="122" spans="1:204">
      <c r="A122" s="185">
        <v>3363</v>
      </c>
      <c r="B122" s="185">
        <v>103455</v>
      </c>
      <c r="C122" s="185" t="s">
        <v>268</v>
      </c>
      <c r="D122" s="2" t="s">
        <v>269</v>
      </c>
      <c r="E122" s="191" t="s">
        <v>32</v>
      </c>
      <c r="F122" s="191" t="s">
        <v>912</v>
      </c>
      <c r="H122" s="279">
        <f>_xlfn.IFNA(VLOOKUP($A122,ISB!$A$4:$BY$454,67,FALSE),0)</f>
        <v>1609049.8271546587</v>
      </c>
      <c r="I122" s="279">
        <f>_xlfn.IFNA(VLOOKUP($A122,ISB!$A$4:$BY$454,72,FALSE),0)</f>
        <v>-7589.28</v>
      </c>
      <c r="J122" s="279">
        <f>-_xlfn.IFNA(VLOOKUP($A122,ISB!$A$4:$BY$454,76,FALSE),0)</f>
        <v>-3073.98</v>
      </c>
      <c r="K122" s="279">
        <f>_xlfn.IFNA(VLOOKUP($A122,ISB!$A$4:$BY$454,77,FALSE),0)</f>
        <v>1598386.5671546587</v>
      </c>
      <c r="M122" s="301">
        <f t="shared" si="72"/>
        <v>134087.48559622155</v>
      </c>
      <c r="N122" s="301">
        <f>VLOOKUP($A122,EY!$A:$H,8,FALSE)+(VLOOKUP($A122,EY!$A:$BS,17,FALSE)-S122)+VLOOKUP($A122,EY!$A:$BS,41,FALSE)</f>
        <v>16539.886315789478</v>
      </c>
      <c r="O122" s="302"/>
      <c r="P122" s="302">
        <f>_xlfn.IFNA((VLOOKUP($A122,HN!$A:$K,8,FALSE)/12),0)</f>
        <v>0</v>
      </c>
      <c r="Q122" s="302">
        <f>_xlfn.IFNA((VLOOKUP($A122,HN!$A:$BS,14,FALSE)/12),0)</f>
        <v>0</v>
      </c>
      <c r="R122" s="302">
        <f>_xlfn.IFNA(VLOOKUP($A122,'Post 16'!$A:$V,21,FALSE),0)/4</f>
        <v>0</v>
      </c>
      <c r="S122" s="302">
        <f>VLOOKUP($A122,EY!A:Q,15,FALSE)*80%</f>
        <v>0</v>
      </c>
      <c r="T122" s="302">
        <f>_xlfn.IFNA((VLOOKUP($A122,HN!$A:$K,9,FALSE)/12),0)+_xlfn.IFNA((VLOOKUP($A122,HN!$A:$K,10,FALSE)/12),0)</f>
        <v>0</v>
      </c>
      <c r="U122" s="302">
        <f>_xlfn.IFNA((VLOOKUP($A122,HN!$A:$BS,15,FALSE)/12),0)</f>
        <v>0</v>
      </c>
      <c r="V122" s="301">
        <f t="shared" si="73"/>
        <v>-632.43999999999994</v>
      </c>
      <c r="W122" s="301">
        <f t="shared" si="74"/>
        <v>-256.16500000000002</v>
      </c>
      <c r="X122" s="302"/>
      <c r="Y122" s="302">
        <f>_xlfn.IFNA(VLOOKUP($A122,'Cash Advances'!$A:$S,8,FALSE),0)</f>
        <v>0</v>
      </c>
      <c r="Z122" s="301">
        <f t="shared" si="121"/>
        <v>149738.76691201102</v>
      </c>
      <c r="AA122" s="315">
        <f t="shared" si="75"/>
        <v>134087.48559622155</v>
      </c>
      <c r="AB122" s="315"/>
      <c r="AC122" s="316"/>
      <c r="AD122" s="316">
        <f>_xlfn.IFNA((VLOOKUP($A122,HN!$A:$K,8,FALSE)/12),0)</f>
        <v>0</v>
      </c>
      <c r="AE122" s="316">
        <f>_xlfn.IFNA((VLOOKUP($A122,HN!$A:$BS,14,FALSE)/12),0)</f>
        <v>0</v>
      </c>
      <c r="AF122" s="316">
        <f>_xlfn.IFNA(VLOOKUP($A122,'Post 16'!$A:$V,21,FALSE),0)/4</f>
        <v>0</v>
      </c>
      <c r="AG122" s="316"/>
      <c r="AH122" s="316">
        <f>_xlfn.IFNA((VLOOKUP($A122,HN!$A:$K,9,FALSE)/12),0)+_xlfn.IFNA((VLOOKUP($A122,HN!$A:$K,10,FALSE)/12),0)</f>
        <v>0</v>
      </c>
      <c r="AI122" s="316">
        <f>_xlfn.IFNA((VLOOKUP($A122,HN!$A:$BS,15,FALSE)/12),0)</f>
        <v>0</v>
      </c>
      <c r="AJ122" s="315">
        <f t="shared" si="76"/>
        <v>-632.43999999999994</v>
      </c>
      <c r="AK122" s="315">
        <f t="shared" si="77"/>
        <v>-256.16500000000002</v>
      </c>
      <c r="AL122" s="316"/>
      <c r="AM122" s="316">
        <f>_xlfn.IFNA(VLOOKUP($A122,'Cash Advances'!$A:$S,9,FALSE),0)</f>
        <v>0</v>
      </c>
      <c r="AN122" s="315">
        <f t="shared" si="122"/>
        <v>133198.88059622154</v>
      </c>
      <c r="AO122" s="308">
        <f t="shared" si="78"/>
        <v>134087.48559622155</v>
      </c>
      <c r="AP122" s="308"/>
      <c r="AQ122" s="309"/>
      <c r="AR122" s="309">
        <f>_xlfn.IFNA((VLOOKUP($A122,HN!$A:$K,8,FALSE)/12),0)</f>
        <v>0</v>
      </c>
      <c r="AS122" s="309">
        <f>_xlfn.IFNA((VLOOKUP($A122,HN!$A:$BS,14,FALSE)/12),0)</f>
        <v>0</v>
      </c>
      <c r="AT122" s="309">
        <f>_xlfn.IFNA(VLOOKUP($A122,'Post 16'!$A:$V,21,FALSE),0)/4</f>
        <v>0</v>
      </c>
      <c r="AU122" s="309"/>
      <c r="AV122" s="309">
        <f>_xlfn.IFNA((VLOOKUP($A122,HN!$A:$K,9,FALSE)/12),0)+_xlfn.IFNA((VLOOKUP($A122,HN!$A:$K,10,FALSE)/12),0)+_xlfn.IFNA(VLOOKUP(A122,HN!A:V,19,FALSE),0)+_xlfn.IFNA(VLOOKUP(A122,HN!A:V,20,FALSE),0)+_xlfn.IFNA(VLOOKUP(A122,HN!A:V,21,FALSE),0)</f>
        <v>0</v>
      </c>
      <c r="AW122" s="309">
        <f>_xlfn.IFNA((VLOOKUP($A122,HN!$A:$BS,15,FALSE)/12),0)</f>
        <v>0</v>
      </c>
      <c r="AX122" s="308">
        <f t="shared" si="79"/>
        <v>-632.43999999999994</v>
      </c>
      <c r="AY122" s="308">
        <f t="shared" si="80"/>
        <v>-256.16500000000002</v>
      </c>
      <c r="AZ122" s="309"/>
      <c r="BA122" s="309">
        <f>_xlfn.IFNA(VLOOKUP($A122,'Cash Advances'!$A:$S,10,FALSE),0)</f>
        <v>0</v>
      </c>
      <c r="BB122" s="308">
        <f t="shared" si="123"/>
        <v>133198.88059622154</v>
      </c>
      <c r="BC122" s="330">
        <f t="shared" si="81"/>
        <v>134087.48559622155</v>
      </c>
      <c r="BD122" s="330"/>
      <c r="BE122" s="331"/>
      <c r="BF122" s="331">
        <f>_xlfn.IFNA((VLOOKUP($A122,HN!$A:$K,8,FALSE)/12),0)</f>
        <v>0</v>
      </c>
      <c r="BG122" s="331">
        <f>_xlfn.IFNA((VLOOKUP($A122,HN!$A:$BS,14,FALSE)/12),0)</f>
        <v>0</v>
      </c>
      <c r="BH122" s="331">
        <f>_xlfn.IFNA(VLOOKUP($A122,'Post 16'!$A:$V,21,FALSE),0)/4</f>
        <v>0</v>
      </c>
      <c r="BI122" s="331"/>
      <c r="BJ122" s="331">
        <f>_xlfn.IFNA((VLOOKUP($A122,HN!$A:$K,9,FALSE)/12),0)+_xlfn.IFNA((VLOOKUP($A122,HN!$A:$K,10,FALSE)/12),0)</f>
        <v>0</v>
      </c>
      <c r="BK122" s="331">
        <f>_xlfn.IFNA((VLOOKUP($A122,HN!$A:$BS,15,FALSE)/12),0)</f>
        <v>0</v>
      </c>
      <c r="BL122" s="330">
        <f t="shared" si="82"/>
        <v>-632.43999999999994</v>
      </c>
      <c r="BM122" s="330">
        <f t="shared" si="83"/>
        <v>-256.16500000000002</v>
      </c>
      <c r="BN122" s="331"/>
      <c r="BO122" s="331">
        <f>_xlfn.IFNA(VLOOKUP(A122,'Cash Advances'!A:K,11,FALSE),0)</f>
        <v>0</v>
      </c>
      <c r="BP122" s="330">
        <f t="shared" si="124"/>
        <v>133198.88059622154</v>
      </c>
      <c r="BQ122" s="322">
        <f t="shared" si="84"/>
        <v>134087.48559622155</v>
      </c>
      <c r="BR122" s="322"/>
      <c r="BS122" s="323"/>
      <c r="BT122" s="323">
        <f>_xlfn.IFNA((VLOOKUP($A122,HN!$A:$K,8,FALSE)/12),0)</f>
        <v>0</v>
      </c>
      <c r="BU122" s="323">
        <f>_xlfn.IFNA((VLOOKUP($A122,HN!$A:$BS,14,FALSE)/12),0)</f>
        <v>0</v>
      </c>
      <c r="BV122" s="323">
        <f>(_xlfn.IFNA(VLOOKUP($A122,'Post 16'!$A:$AV,32,FALSE),0)/8)+_xlfn.IFNA(VLOOKUP($A122,'Post 16'!$A:$AR,40,FALSE),0)</f>
        <v>0</v>
      </c>
      <c r="BW122" s="323"/>
      <c r="BX122" s="323">
        <f>_xlfn.IFNA((VLOOKUP($A122,HN!$A:$K,9,FALSE)/12),0)+_xlfn.IFNA((VLOOKUP($A122,HN!$A:$K,10,FALSE)/12),0)</f>
        <v>0</v>
      </c>
      <c r="BY122" s="323">
        <f>_xlfn.IFNA((VLOOKUP($A122,HN!$A:$BS,15,FALSE)/12),0)</f>
        <v>0</v>
      </c>
      <c r="BZ122" s="322">
        <f t="shared" si="85"/>
        <v>-632.43999999999994</v>
      </c>
      <c r="CA122" s="322">
        <f t="shared" si="86"/>
        <v>-256.16500000000002</v>
      </c>
      <c r="CB122" s="323"/>
      <c r="CC122" s="323"/>
      <c r="CD122" s="322">
        <f t="shared" si="125"/>
        <v>133198.88059622154</v>
      </c>
      <c r="CE122" s="357">
        <f t="shared" si="87"/>
        <v>134087.48559622155</v>
      </c>
      <c r="CF122" s="357">
        <f>(VLOOKUP($A122,EY!$A:$BS,26,FALSE)-(VLOOKUP($A122,EY!A:CR,24,FALSE)*80%))+VLOOKUP($A122,EY!$A:$BS,42,FALSE)+(VLOOKUP($A122,EY!A:CC,74,FALSE)-VLOOKUP($A122,EY!A:CC,72,FALSE))</f>
        <v>35229.61</v>
      </c>
      <c r="CG122" s="358"/>
      <c r="CH122" s="358">
        <f>_xlfn.IFNA((VLOOKUP($A122,HN!$A:$K,8,FALSE)/12),0)</f>
        <v>0</v>
      </c>
      <c r="CI122" s="358">
        <f>_xlfn.IFNA((VLOOKUP($A122,HN!$A:$BS,14,FALSE)/12),0)</f>
        <v>0</v>
      </c>
      <c r="CJ122" s="358">
        <f>(_xlfn.IFNA(VLOOKUP($A122,'Post 16'!$A:$AV,32,FALSE),0)/8)</f>
        <v>0</v>
      </c>
      <c r="CK122" s="358">
        <f>(VLOOKUP($A122,EY!A:CR,24,FALSE)*80%)+VLOOKUP($A122,EY!A:CC,72,FALSE)</f>
        <v>0</v>
      </c>
      <c r="CL122" s="358">
        <f>_xlfn.IFNA((VLOOKUP($A122,HN!$A:$K,9,FALSE)/12),0)+_xlfn.IFNA((VLOOKUP($A122,HN!$A:$K,10,FALSE)/12),0)</f>
        <v>0</v>
      </c>
      <c r="CM122" s="358">
        <f>_xlfn.IFNA((VLOOKUP($A122,HN!$A:$BS,15,FALSE)/12),0)</f>
        <v>0</v>
      </c>
      <c r="CN122" s="357">
        <f t="shared" si="88"/>
        <v>-632.43999999999994</v>
      </c>
      <c r="CO122" s="357">
        <f t="shared" si="89"/>
        <v>-256.16500000000002</v>
      </c>
      <c r="CP122" s="358">
        <f>_xlfn.IFNA(VLOOKUP(A122,'LA Deductions'!A:W,23,FALSE),0)</f>
        <v>-5139.75</v>
      </c>
      <c r="CQ122" s="358">
        <f>_xlfn.IFNA(VLOOKUP($A122,'Cash Advances'!$A:$S,13,FALSE),0)</f>
        <v>0</v>
      </c>
      <c r="CR122" s="358">
        <f>_xlfn.IFNA(VLOOKUP(A122,'LA Deductions'!A:AZ,25,FALSE),0)/9*3</f>
        <v>0</v>
      </c>
      <c r="CS122" s="357">
        <f t="shared" si="108"/>
        <v>163288.74059622156</v>
      </c>
      <c r="CT122" s="337">
        <f t="shared" si="90"/>
        <v>134087.48559622155</v>
      </c>
      <c r="CU122" s="337"/>
      <c r="CV122" s="338">
        <f>_xlfn.IFNA(VLOOKUP(A122,'LA Deductions'!$A$6:$AN$207,34,FALSE),0)</f>
        <v>0</v>
      </c>
      <c r="CW122" s="338">
        <f>_xlfn.IFNA((VLOOKUP($A122,HN!$A:$K,8,FALSE)/12),0)</f>
        <v>0</v>
      </c>
      <c r="CX122" s="338">
        <f>_xlfn.IFNA((VLOOKUP($A122,HN!$A:$BS,14,FALSE)/12),0)</f>
        <v>0</v>
      </c>
      <c r="CY122" s="338">
        <f>_xlfn.IFNA(VLOOKUP($A122,'Post 16'!$A:$AV,32,FALSE),0)/8</f>
        <v>0</v>
      </c>
      <c r="CZ122" s="338"/>
      <c r="DA122" s="338">
        <f>_xlfn.IFNA((VLOOKUP($A122,HN!$A:$K,9,FALSE)/12),0)+_xlfn.IFNA((VLOOKUP($A122,HN!$A:$K,10,FALSE)/12),0)</f>
        <v>0</v>
      </c>
      <c r="DB122" s="338">
        <f>_xlfn.IFNA((VLOOKUP($A122,HN!$A:$BS,15,FALSE)/12),0)</f>
        <v>0</v>
      </c>
      <c r="DC122" s="337">
        <f t="shared" si="91"/>
        <v>-632.43999999999994</v>
      </c>
      <c r="DD122" s="337">
        <f t="shared" si="92"/>
        <v>-256.16500000000002</v>
      </c>
      <c r="DE122" s="338"/>
      <c r="DF122" s="338">
        <f>_xlfn.IFNA(VLOOKUP($A122,'Cash Advances'!$A:$S,14,FALSE),0)</f>
        <v>0</v>
      </c>
      <c r="DG122" s="338">
        <f>(_xlfn.IFNA(VLOOKUP(A122,'LA Deductions'!A:AZ,25,FALSE),0)/9)+(_xlfn.IFNA(VLOOKUP(A122,'LA Deductions'!A:AZ,26,FALSE),0))</f>
        <v>0</v>
      </c>
      <c r="DH122" s="337">
        <f t="shared" si="109"/>
        <v>133198.88059622154</v>
      </c>
      <c r="DI122" s="330">
        <f t="shared" si="93"/>
        <v>134087.48559622155</v>
      </c>
      <c r="DJ122" s="330"/>
      <c r="DK122" s="331"/>
      <c r="DL122" s="331">
        <f>_xlfn.IFNA((VLOOKUP($A122,HN!$A:$K,8,FALSE)/12),0)+_xlfn.IFNA((VLOOKUP($A122,HN!$A:$AF,32,FALSE)*8/12),0)</f>
        <v>0</v>
      </c>
      <c r="DM122" s="331">
        <f>_xlfn.IFNA((VLOOKUP($A122,HN!$A:$BS,14,FALSE)/12),0)+_xlfn.IFNA(VLOOKUP($A122,HN!$A:$BS,31,FALSE),0)</f>
        <v>0</v>
      </c>
      <c r="DN122" s="331">
        <f>_xlfn.IFNA(VLOOKUP($A122,'Post 16'!$A:$AV,32,FALSE),0)/8</f>
        <v>0</v>
      </c>
      <c r="DO122" s="331"/>
      <c r="DP122" s="331">
        <f>_xlfn.IFNA((VLOOKUP($A122,HN!$A:$K,9,FALSE)/12),0)+_xlfn.IFNA((VLOOKUP($A122,HN!$A:$K,10,FALSE)/12),0)+_xlfn.IFNA((VLOOKUP($A122,HN!$A:$BZ,33,FALSE)*8/12),0)</f>
        <v>0</v>
      </c>
      <c r="DQ122" s="331">
        <f>_xlfn.IFNA((VLOOKUP($A122,HN!$A:$BS,15,FALSE)/12),0)</f>
        <v>0</v>
      </c>
      <c r="DR122" s="330">
        <f t="shared" si="94"/>
        <v>-632.43999999999994</v>
      </c>
      <c r="DS122" s="330">
        <f t="shared" si="95"/>
        <v>-256.16500000000002</v>
      </c>
      <c r="DT122" s="331"/>
      <c r="DU122" s="331"/>
      <c r="DV122" s="331">
        <f>(_xlfn.IFNA(VLOOKUP(A122,'LA Deductions'!A:AZ,25,FALSE),0)/9)+_xlfn.IFNA(VLOOKUP(A122,'LA Deductions'!A:AZ,27,FALSE),0)</f>
        <v>0</v>
      </c>
      <c r="DW122" s="330">
        <f t="shared" si="110"/>
        <v>133198.88059622154</v>
      </c>
      <c r="DX122" s="344">
        <f t="shared" si="96"/>
        <v>134087.48559622155</v>
      </c>
      <c r="DY122" s="344"/>
      <c r="DZ122" s="345"/>
      <c r="EA122" s="345">
        <f>_xlfn.IFNA((VLOOKUP($A122,HN!$A:$K,8,FALSE)/12),0)+_xlfn.IFNA((VLOOKUP($A122,HN!$A:$AF,32,FALSE)*1/12),0)</f>
        <v>0</v>
      </c>
      <c r="EB122" s="345">
        <f>_xlfn.IFNA((VLOOKUP($A122,HN!$A:$BS,14,FALSE)/12),0)</f>
        <v>0</v>
      </c>
      <c r="EC122" s="345">
        <f>_xlfn.IFNA(VLOOKUP($A122,'Post 16'!$A:$AV,32,FALSE),0)/8</f>
        <v>0</v>
      </c>
      <c r="ED122" s="345"/>
      <c r="EE122" s="345">
        <f>_xlfn.IFNA((VLOOKUP($A122,HN!$A:$K,9,FALSE)/12),0)+_xlfn.IFNA((VLOOKUP($A122,HN!$A:$K,10,FALSE)/12),0)+_xlfn.IFNA((VLOOKUP($A122,HN!$A:$BZ,33,FALSE)/12),0)</f>
        <v>0</v>
      </c>
      <c r="EF122" s="345">
        <f>_xlfn.IFNA((VLOOKUP($A122,HN!$A:$BS,15,FALSE)/12),0)</f>
        <v>0</v>
      </c>
      <c r="EG122" s="344">
        <f t="shared" si="97"/>
        <v>-632.43999999999994</v>
      </c>
      <c r="EH122" s="344">
        <f t="shared" si="98"/>
        <v>-256.16500000000002</v>
      </c>
      <c r="EI122" s="345"/>
      <c r="EJ122" s="345">
        <f>_xlfn.IFNA(VLOOKUP(A122,'Cash Advances'!A:P,16,FALSE),0)</f>
        <v>0</v>
      </c>
      <c r="EK122" s="345">
        <f>_xlfn.IFNA(VLOOKUP(A122,'LA Deductions'!A:AZ,25,FALSE),0)/9</f>
        <v>0</v>
      </c>
      <c r="EL122" s="344">
        <f t="shared" si="111"/>
        <v>133198.88059622154</v>
      </c>
      <c r="EM122" s="308">
        <f t="shared" si="99"/>
        <v>134087.48559622155</v>
      </c>
      <c r="EN122" s="308">
        <f>((VLOOKUP($A122,EY!$A:$BS,35,FALSE)-(VLOOKUP($A122,EY!$A:$BS,33,FALSE)*80%))+VLOOKUP($A122,EY!$A:$BS,43,FALSE))+(VLOOKUP(A122,EY!A:DF,110,FALSE)-VLOOKUP(A122,EY!A:DD,108,FALSE))+(VLOOKUP(A122,EY!A:CE,83,FALSE)-VLOOKUP(A122,EY!A:CC,81,FALSE))</f>
        <v>22112.653518005543</v>
      </c>
      <c r="EO122" s="309"/>
      <c r="EP122" s="309">
        <f>_xlfn.IFNA((VLOOKUP($A122,HN!$A:$K,8,FALSE)/12),0)+_xlfn.IFNA((VLOOKUP($A122,HN!$A:$AF,32,FALSE)*1/12),0)</f>
        <v>0</v>
      </c>
      <c r="EQ122" s="309">
        <f>_xlfn.IFNA((VLOOKUP($A122,HN!$A:$BS,14,FALSE)/12),0)+_xlfn.IFNA((VLOOKUP($A122,HN!$A:$BS,34,FALSE)/3),0)</f>
        <v>0</v>
      </c>
      <c r="ER122" s="309">
        <f>_xlfn.IFNA(VLOOKUP($A122,'Post 16'!$A:$AV,32,FALSE),0)/8</f>
        <v>0</v>
      </c>
      <c r="ES122" s="309">
        <f>((VLOOKUP($A122,EY!A:EV,33,FALSE)*80%))+VLOOKUP(A122,EY!A:DD,108,FALSE)+VLOOKUP(A122,EY!A:CC,81,FALSE)</f>
        <v>0</v>
      </c>
      <c r="ET122" s="309">
        <f>_xlfn.IFNA((VLOOKUP($A122,HN!$A:$K,9,FALSE)/12),0)+_xlfn.IFNA((VLOOKUP($A122,HN!$A:$K,10,FALSE)/12),0)+_xlfn.IFNA((VLOOKUP($A122,HN!$A:$BZ,33,FALSE)/12),0)</f>
        <v>0</v>
      </c>
      <c r="EU122" s="309">
        <f>_xlfn.IFNA((VLOOKUP($A122,HN!$A:$BS,15,FALSE)/12),0)</f>
        <v>0</v>
      </c>
      <c r="EV122" s="308">
        <f t="shared" si="100"/>
        <v>-632.43999999999994</v>
      </c>
      <c r="EW122" s="308">
        <f t="shared" si="101"/>
        <v>-256.16500000000002</v>
      </c>
      <c r="EX122" s="309"/>
      <c r="EY122" s="309">
        <f>_xlfn.IFNA(VLOOKUP($A122,'Cash Advances'!$A:$S,17,FALSE),0)</f>
        <v>0</v>
      </c>
      <c r="EZ122" s="309">
        <f>_xlfn.IFNA(VLOOKUP(A122,'LA Deductions'!A:AZ,25,FALSE),0)/9</f>
        <v>0</v>
      </c>
      <c r="FA122" s="308">
        <f t="shared" si="112"/>
        <v>155311.53411422708</v>
      </c>
      <c r="FB122" s="315">
        <f t="shared" si="102"/>
        <v>134087.48559622155</v>
      </c>
      <c r="FC122" s="315"/>
      <c r="FD122" s="316"/>
      <c r="FE122" s="316">
        <f>_xlfn.IFNA((VLOOKUP($A122,HN!$A:$K,8,FALSE)/12),0)+_xlfn.IFNA((VLOOKUP($A122,HN!$A:$AF,32,FALSE)*1/12),0)</f>
        <v>0</v>
      </c>
      <c r="FF122" s="316">
        <f>_xlfn.IFNA((VLOOKUP($A122,HN!$A:$BS,14,FALSE)/12),0)+_xlfn.IFNA((VLOOKUP($A122,HN!$A:$BS,34,FALSE)/3),0)</f>
        <v>0</v>
      </c>
      <c r="FG122" s="316">
        <f>_xlfn.IFNA(VLOOKUP($A122,'Post 16'!$A:$AV,32,FALSE),0)/8</f>
        <v>0</v>
      </c>
      <c r="FH122" s="316"/>
      <c r="FI122" s="316">
        <f>_xlfn.IFNA((VLOOKUP($A122,HN!$A:$K,9,FALSE)/12),0)+_xlfn.IFNA((VLOOKUP($A122,HN!$A:$K,10,FALSE)/12),0)+_xlfn.IFNA((VLOOKUP($A122,HN!$A:$BZ,33,FALSE)/12),0)+_xlfn.IFNA((VLOOKUP($A122,HN!$A:$BZ,35,FALSE)/2),0)</f>
        <v>0</v>
      </c>
      <c r="FJ122" s="316">
        <f>_xlfn.IFNA((VLOOKUP($A122,HN!$A:$BS,15,FALSE)/12),0)+_xlfn.IFNA((VLOOKUP($A122,HN!$A:$CZ,36,FALSE)/2),0)</f>
        <v>0</v>
      </c>
      <c r="FK122" s="315">
        <f t="shared" si="103"/>
        <v>-632.43999999999994</v>
      </c>
      <c r="FL122" s="315">
        <f t="shared" si="104"/>
        <v>-256.16500000000002</v>
      </c>
      <c r="FM122" s="316"/>
      <c r="FN122" s="316">
        <f>_xlfn.IFNA(VLOOKUP($A122,'Cash Advances'!$A:$S,18,FALSE),0)</f>
        <v>0</v>
      </c>
      <c r="FO122" s="316">
        <f>_xlfn.IFNA(VLOOKUP(A122,'LA Deductions'!A:AZ,25,FALSE),0)/9</f>
        <v>0</v>
      </c>
      <c r="FP122" s="315">
        <f t="shared" si="113"/>
        <v>133198.88059622154</v>
      </c>
      <c r="FQ122" s="322">
        <f t="shared" si="105"/>
        <v>134087.48559622155</v>
      </c>
      <c r="FR122" s="322"/>
      <c r="FS122" s="323"/>
      <c r="FT122" s="323">
        <f>_xlfn.IFNA((VLOOKUP($A122,HN!$A:$K,8,FALSE)/12),0)+_xlfn.IFNA((VLOOKUP($A122,HN!$A:$AF,32,FALSE)*1/12),0)</f>
        <v>0</v>
      </c>
      <c r="FU122" s="323">
        <f>_xlfn.IFNA((VLOOKUP($A122,HN!$A:$BS,14,FALSE)/12),0)+_xlfn.IFNA((VLOOKUP($A122,HN!$A:$BS,34,FALSE)/3),0)</f>
        <v>0</v>
      </c>
      <c r="FV122" s="323">
        <f>_xlfn.IFNA(VLOOKUP($A122,'Post 16'!$A:$AV,32,FALSE),0)/8</f>
        <v>0</v>
      </c>
      <c r="FW122" s="323"/>
      <c r="FX122" s="323">
        <f>_xlfn.IFNA((VLOOKUP($A122,HN!$A:$K,9,FALSE)/12),0)+_xlfn.IFNA((VLOOKUP($A122,HN!$A:$K,10,FALSE)/12),0)+_xlfn.IFNA((VLOOKUP($A122,HN!$A:$BZ,33,FALSE)/12),0)+_xlfn.IFNA((VLOOKUP($A122,HN!$A:$BZ,35,FALSE)/2),0)</f>
        <v>0</v>
      </c>
      <c r="FY122" s="323">
        <f>_xlfn.IFNA((VLOOKUP($A122,HN!$A:$BS,15,FALSE)/12),0)+_xlfn.IFNA((VLOOKUP($A122,HN!$A:$CZ,36,FALSE)/2),0)</f>
        <v>0</v>
      </c>
      <c r="FZ122" s="322">
        <f t="shared" si="106"/>
        <v>-632.43999999999994</v>
      </c>
      <c r="GA122" s="322">
        <f t="shared" si="107"/>
        <v>-256.16500000000002</v>
      </c>
      <c r="GB122" s="323"/>
      <c r="GC122" s="323"/>
      <c r="GD122" s="323">
        <f>_xlfn.IFNA(VLOOKUP(A122,'LA Deductions'!A:AZ,25,FALSE),0)/9</f>
        <v>0</v>
      </c>
      <c r="GE122" s="322">
        <f t="shared" si="114"/>
        <v>133198.88059622154</v>
      </c>
      <c r="GG122" s="146">
        <f t="shared" si="128"/>
        <v>1682931.9769884539</v>
      </c>
      <c r="GH122" s="146">
        <f t="shared" si="128"/>
        <v>0</v>
      </c>
      <c r="GI122" s="146">
        <f t="shared" si="128"/>
        <v>0</v>
      </c>
      <c r="GJ122" s="146">
        <f t="shared" si="128"/>
        <v>-7589.2799999999979</v>
      </c>
      <c r="GK122" s="146">
        <f t="shared" si="128"/>
        <v>-3073.98</v>
      </c>
      <c r="GL122" s="146">
        <f t="shared" si="128"/>
        <v>-5139.75</v>
      </c>
      <c r="GN122" s="146">
        <f t="shared" si="129"/>
        <v>1682931.9769884539</v>
      </c>
      <c r="GO122" s="146">
        <f t="shared" si="129"/>
        <v>0</v>
      </c>
      <c r="GP122" s="146">
        <f t="shared" si="129"/>
        <v>0</v>
      </c>
      <c r="GQ122" s="146">
        <f t="shared" si="129"/>
        <v>-7589.2799999999979</v>
      </c>
      <c r="GR122" s="146">
        <f t="shared" si="129"/>
        <v>-3073.98</v>
      </c>
      <c r="GS122" s="146">
        <f t="shared" si="129"/>
        <v>-5139.75</v>
      </c>
      <c r="GU122" s="146"/>
      <c r="GV122" s="57"/>
    </row>
    <row r="123" spans="1:204">
      <c r="A123" s="185">
        <v>3355</v>
      </c>
      <c r="B123" s="185">
        <v>103447</v>
      </c>
      <c r="C123" s="185" t="s">
        <v>270</v>
      </c>
      <c r="D123" s="2" t="s">
        <v>271</v>
      </c>
      <c r="E123" s="191" t="s">
        <v>32</v>
      </c>
      <c r="F123" s="191" t="s">
        <v>912</v>
      </c>
      <c r="H123" s="279">
        <f>_xlfn.IFNA(VLOOKUP($A123,ISB!$A$4:$BY$454,67,FALSE),0)</f>
        <v>2077094.6601073169</v>
      </c>
      <c r="I123" s="279">
        <f>_xlfn.IFNA(VLOOKUP($A123,ISB!$A$4:$BY$454,72,FALSE),0)</f>
        <v>-10171.199999999999</v>
      </c>
      <c r="J123" s="279">
        <f>-_xlfn.IFNA(VLOOKUP($A123,ISB!$A$4:$BY$454,76,FALSE),0)</f>
        <v>-6200.96</v>
      </c>
      <c r="K123" s="279">
        <f>_xlfn.IFNA(VLOOKUP($A123,ISB!$A$4:$BY$454,77,FALSE),0)</f>
        <v>2060722.500107317</v>
      </c>
      <c r="M123" s="301">
        <f t="shared" si="72"/>
        <v>173091.22167560973</v>
      </c>
      <c r="N123" s="301">
        <f>VLOOKUP($A123,EY!$A:$H,8,FALSE)+(VLOOKUP($A123,EY!$A:$BS,17,FALSE)-S123)+VLOOKUP($A123,EY!$A:$BS,41,FALSE)</f>
        <v>0</v>
      </c>
      <c r="O123" s="302"/>
      <c r="P123" s="302">
        <f>_xlfn.IFNA((VLOOKUP($A123,HN!$A:$K,8,FALSE)/12),0)</f>
        <v>0</v>
      </c>
      <c r="Q123" s="302">
        <f>_xlfn.IFNA((VLOOKUP($A123,HN!$A:$BS,14,FALSE)/12),0)</f>
        <v>0</v>
      </c>
      <c r="R123" s="302">
        <f>_xlfn.IFNA(VLOOKUP($A123,'Post 16'!$A:$V,21,FALSE),0)/4</f>
        <v>0</v>
      </c>
      <c r="S123" s="302">
        <f>VLOOKUP($A123,EY!A:Q,15,FALSE)*80%</f>
        <v>0</v>
      </c>
      <c r="T123" s="302">
        <f>_xlfn.IFNA((VLOOKUP($A123,HN!$A:$K,9,FALSE)/12),0)+_xlfn.IFNA((VLOOKUP($A123,HN!$A:$K,10,FALSE)/12),0)</f>
        <v>0</v>
      </c>
      <c r="U123" s="302">
        <f>_xlfn.IFNA((VLOOKUP($A123,HN!$A:$BS,15,FALSE)/12),0)</f>
        <v>0</v>
      </c>
      <c r="V123" s="301">
        <f t="shared" si="73"/>
        <v>-847.59999999999991</v>
      </c>
      <c r="W123" s="301">
        <f t="shared" si="74"/>
        <v>-516.74666666666667</v>
      </c>
      <c r="X123" s="302"/>
      <c r="Y123" s="302">
        <f>_xlfn.IFNA(VLOOKUP($A123,'Cash Advances'!$A:$S,8,FALSE),0)</f>
        <v>0</v>
      </c>
      <c r="Z123" s="301">
        <f t="shared" si="121"/>
        <v>171726.87500894305</v>
      </c>
      <c r="AA123" s="315">
        <f t="shared" si="75"/>
        <v>173091.22167560973</v>
      </c>
      <c r="AB123" s="315"/>
      <c r="AC123" s="316"/>
      <c r="AD123" s="316">
        <f>_xlfn.IFNA((VLOOKUP($A123,HN!$A:$K,8,FALSE)/12),0)</f>
        <v>0</v>
      </c>
      <c r="AE123" s="316">
        <f>_xlfn.IFNA((VLOOKUP($A123,HN!$A:$BS,14,FALSE)/12),0)</f>
        <v>0</v>
      </c>
      <c r="AF123" s="316">
        <f>_xlfn.IFNA(VLOOKUP($A123,'Post 16'!$A:$V,21,FALSE),0)/4</f>
        <v>0</v>
      </c>
      <c r="AG123" s="316"/>
      <c r="AH123" s="316">
        <f>_xlfn.IFNA((VLOOKUP($A123,HN!$A:$K,9,FALSE)/12),0)+_xlfn.IFNA((VLOOKUP($A123,HN!$A:$K,10,FALSE)/12),0)</f>
        <v>0</v>
      </c>
      <c r="AI123" s="316">
        <f>_xlfn.IFNA((VLOOKUP($A123,HN!$A:$BS,15,FALSE)/12),0)</f>
        <v>0</v>
      </c>
      <c r="AJ123" s="315">
        <f t="shared" si="76"/>
        <v>-847.59999999999991</v>
      </c>
      <c r="AK123" s="315">
        <f t="shared" si="77"/>
        <v>-516.74666666666667</v>
      </c>
      <c r="AL123" s="316"/>
      <c r="AM123" s="316">
        <f>_xlfn.IFNA(VLOOKUP($A123,'Cash Advances'!$A:$S,9,FALSE),0)</f>
        <v>0</v>
      </c>
      <c r="AN123" s="315">
        <f t="shared" si="122"/>
        <v>171726.87500894305</v>
      </c>
      <c r="AO123" s="308">
        <f t="shared" si="78"/>
        <v>173091.22167560973</v>
      </c>
      <c r="AP123" s="308"/>
      <c r="AQ123" s="309"/>
      <c r="AR123" s="309">
        <f>_xlfn.IFNA((VLOOKUP($A123,HN!$A:$K,8,FALSE)/12),0)</f>
        <v>0</v>
      </c>
      <c r="AS123" s="309">
        <f>_xlfn.IFNA((VLOOKUP($A123,HN!$A:$BS,14,FALSE)/12),0)</f>
        <v>0</v>
      </c>
      <c r="AT123" s="309">
        <f>_xlfn.IFNA(VLOOKUP($A123,'Post 16'!$A:$V,21,FALSE),0)/4</f>
        <v>0</v>
      </c>
      <c r="AU123" s="309"/>
      <c r="AV123" s="309">
        <f>_xlfn.IFNA((VLOOKUP($A123,HN!$A:$K,9,FALSE)/12),0)+_xlfn.IFNA((VLOOKUP($A123,HN!$A:$K,10,FALSE)/12),0)+_xlfn.IFNA(VLOOKUP(A123,HN!A:V,19,FALSE),0)+_xlfn.IFNA(VLOOKUP(A123,HN!A:V,20,FALSE),0)+_xlfn.IFNA(VLOOKUP(A123,HN!A:V,21,FALSE),0)</f>
        <v>0</v>
      </c>
      <c r="AW123" s="309">
        <f>_xlfn.IFNA((VLOOKUP($A123,HN!$A:$BS,15,FALSE)/12),0)</f>
        <v>0</v>
      </c>
      <c r="AX123" s="308">
        <f t="shared" si="79"/>
        <v>-847.59999999999991</v>
      </c>
      <c r="AY123" s="308">
        <f t="shared" si="80"/>
        <v>-516.74666666666667</v>
      </c>
      <c r="AZ123" s="309"/>
      <c r="BA123" s="309">
        <f>_xlfn.IFNA(VLOOKUP($A123,'Cash Advances'!$A:$S,10,FALSE),0)</f>
        <v>0</v>
      </c>
      <c r="BB123" s="308">
        <f t="shared" si="123"/>
        <v>171726.87500894305</v>
      </c>
      <c r="BC123" s="330">
        <f t="shared" si="81"/>
        <v>173091.22167560973</v>
      </c>
      <c r="BD123" s="330"/>
      <c r="BE123" s="331"/>
      <c r="BF123" s="331">
        <f>_xlfn.IFNA((VLOOKUP($A123,HN!$A:$K,8,FALSE)/12),0)</f>
        <v>0</v>
      </c>
      <c r="BG123" s="331">
        <f>_xlfn.IFNA((VLOOKUP($A123,HN!$A:$BS,14,FALSE)/12),0)</f>
        <v>0</v>
      </c>
      <c r="BH123" s="331">
        <f>_xlfn.IFNA(VLOOKUP($A123,'Post 16'!$A:$V,21,FALSE),0)/4</f>
        <v>0</v>
      </c>
      <c r="BI123" s="331"/>
      <c r="BJ123" s="331">
        <f>_xlfn.IFNA((VLOOKUP($A123,HN!$A:$K,9,FALSE)/12),0)+_xlfn.IFNA((VLOOKUP($A123,HN!$A:$K,10,FALSE)/12),0)</f>
        <v>0</v>
      </c>
      <c r="BK123" s="331">
        <f>_xlfn.IFNA((VLOOKUP($A123,HN!$A:$BS,15,FALSE)/12),0)</f>
        <v>0</v>
      </c>
      <c r="BL123" s="330">
        <f t="shared" si="82"/>
        <v>-847.59999999999991</v>
      </c>
      <c r="BM123" s="330">
        <f t="shared" si="83"/>
        <v>-516.74666666666667</v>
      </c>
      <c r="BN123" s="331"/>
      <c r="BO123" s="331">
        <f>_xlfn.IFNA(VLOOKUP(A123,'Cash Advances'!A:K,11,FALSE),0)</f>
        <v>0</v>
      </c>
      <c r="BP123" s="330">
        <f t="shared" si="124"/>
        <v>171726.87500894305</v>
      </c>
      <c r="BQ123" s="322">
        <f t="shared" si="84"/>
        <v>173091.22167560973</v>
      </c>
      <c r="BR123" s="322"/>
      <c r="BS123" s="323"/>
      <c r="BT123" s="323">
        <f>_xlfn.IFNA((VLOOKUP($A123,HN!$A:$K,8,FALSE)/12),0)</f>
        <v>0</v>
      </c>
      <c r="BU123" s="323">
        <f>_xlfn.IFNA((VLOOKUP($A123,HN!$A:$BS,14,FALSE)/12),0)</f>
        <v>0</v>
      </c>
      <c r="BV123" s="323">
        <f>(_xlfn.IFNA(VLOOKUP($A123,'Post 16'!$A:$AV,32,FALSE),0)/8)+_xlfn.IFNA(VLOOKUP($A123,'Post 16'!$A:$AR,40,FALSE),0)</f>
        <v>0</v>
      </c>
      <c r="BW123" s="323"/>
      <c r="BX123" s="323">
        <f>_xlfn.IFNA((VLOOKUP($A123,HN!$A:$K,9,FALSE)/12),0)+_xlfn.IFNA((VLOOKUP($A123,HN!$A:$K,10,FALSE)/12),0)</f>
        <v>0</v>
      </c>
      <c r="BY123" s="323">
        <f>_xlfn.IFNA((VLOOKUP($A123,HN!$A:$BS,15,FALSE)/12),0)</f>
        <v>0</v>
      </c>
      <c r="BZ123" s="322">
        <f t="shared" si="85"/>
        <v>-847.59999999999991</v>
      </c>
      <c r="CA123" s="322">
        <f t="shared" si="86"/>
        <v>-516.74666666666667</v>
      </c>
      <c r="CB123" s="323"/>
      <c r="CC123" s="323"/>
      <c r="CD123" s="322">
        <f t="shared" si="125"/>
        <v>171726.87500894305</v>
      </c>
      <c r="CE123" s="357">
        <f t="shared" si="87"/>
        <v>173091.22167560973</v>
      </c>
      <c r="CF123" s="357">
        <f>(VLOOKUP($A123,EY!$A:$BS,26,FALSE)-(VLOOKUP($A123,EY!A:CR,24,FALSE)*80%))+VLOOKUP($A123,EY!$A:$BS,42,FALSE)+(VLOOKUP($A123,EY!A:CC,74,FALSE)-VLOOKUP($A123,EY!A:CC,72,FALSE))</f>
        <v>0</v>
      </c>
      <c r="CG123" s="358"/>
      <c r="CH123" s="358">
        <f>_xlfn.IFNA((VLOOKUP($A123,HN!$A:$K,8,FALSE)/12),0)</f>
        <v>0</v>
      </c>
      <c r="CI123" s="358">
        <f>_xlfn.IFNA((VLOOKUP($A123,HN!$A:$BS,14,FALSE)/12),0)</f>
        <v>0</v>
      </c>
      <c r="CJ123" s="358">
        <f>(_xlfn.IFNA(VLOOKUP($A123,'Post 16'!$A:$AV,32,FALSE),0)/8)</f>
        <v>0</v>
      </c>
      <c r="CK123" s="358">
        <f>(VLOOKUP($A123,EY!A:CR,24,FALSE)*80%)+VLOOKUP($A123,EY!A:CC,72,FALSE)</f>
        <v>0</v>
      </c>
      <c r="CL123" s="358">
        <f>_xlfn.IFNA((VLOOKUP($A123,HN!$A:$K,9,FALSE)/12),0)+_xlfn.IFNA((VLOOKUP($A123,HN!$A:$K,10,FALSE)/12),0)</f>
        <v>0</v>
      </c>
      <c r="CM123" s="358">
        <f>_xlfn.IFNA((VLOOKUP($A123,HN!$A:$BS,15,FALSE)/12),0)</f>
        <v>0</v>
      </c>
      <c r="CN123" s="357">
        <f t="shared" si="88"/>
        <v>-847.59999999999991</v>
      </c>
      <c r="CO123" s="357">
        <f t="shared" si="89"/>
        <v>-516.74666666666667</v>
      </c>
      <c r="CP123" s="358">
        <f>_xlfn.IFNA(VLOOKUP(A123,'LA Deductions'!A:W,23,FALSE),0)</f>
        <v>-9471</v>
      </c>
      <c r="CQ123" s="358">
        <f>_xlfn.IFNA(VLOOKUP($A123,'Cash Advances'!$A:$S,13,FALSE),0)</f>
        <v>0</v>
      </c>
      <c r="CR123" s="358">
        <f>_xlfn.IFNA(VLOOKUP(A123,'LA Deductions'!A:AZ,25,FALSE),0)/9*3</f>
        <v>0</v>
      </c>
      <c r="CS123" s="357">
        <f t="shared" si="108"/>
        <v>162255.87500894305</v>
      </c>
      <c r="CT123" s="337">
        <f t="shared" si="90"/>
        <v>173091.22167560973</v>
      </c>
      <c r="CU123" s="337"/>
      <c r="CV123" s="338">
        <f>_xlfn.IFNA(VLOOKUP(A123,'LA Deductions'!$A$6:$AN$207,34,FALSE),0)</f>
        <v>-4587.5414000000001</v>
      </c>
      <c r="CW123" s="338">
        <f>_xlfn.IFNA((VLOOKUP($A123,HN!$A:$K,8,FALSE)/12),0)</f>
        <v>0</v>
      </c>
      <c r="CX123" s="338">
        <f>_xlfn.IFNA((VLOOKUP($A123,HN!$A:$BS,14,FALSE)/12),0)</f>
        <v>0</v>
      </c>
      <c r="CY123" s="338">
        <f>_xlfn.IFNA(VLOOKUP($A123,'Post 16'!$A:$AV,32,FALSE),0)/8</f>
        <v>0</v>
      </c>
      <c r="CZ123" s="338"/>
      <c r="DA123" s="338">
        <f>_xlfn.IFNA((VLOOKUP($A123,HN!$A:$K,9,FALSE)/12),0)+_xlfn.IFNA((VLOOKUP($A123,HN!$A:$K,10,FALSE)/12),0)</f>
        <v>0</v>
      </c>
      <c r="DB123" s="338">
        <f>_xlfn.IFNA((VLOOKUP($A123,HN!$A:$BS,15,FALSE)/12),0)</f>
        <v>0</v>
      </c>
      <c r="DC123" s="337">
        <f t="shared" si="91"/>
        <v>-847.59999999999991</v>
      </c>
      <c r="DD123" s="337">
        <f t="shared" si="92"/>
        <v>-516.74666666666667</v>
      </c>
      <c r="DE123" s="338"/>
      <c r="DF123" s="338">
        <f>_xlfn.IFNA(VLOOKUP($A123,'Cash Advances'!$A:$S,14,FALSE),0)</f>
        <v>0</v>
      </c>
      <c r="DG123" s="338">
        <f>(_xlfn.IFNA(VLOOKUP(A123,'LA Deductions'!A:AZ,25,FALSE),0)/9)+(_xlfn.IFNA(VLOOKUP(A123,'LA Deductions'!A:AZ,26,FALSE),0))</f>
        <v>0</v>
      </c>
      <c r="DH123" s="337">
        <f t="shared" si="109"/>
        <v>167139.33360894307</v>
      </c>
      <c r="DI123" s="330">
        <f t="shared" si="93"/>
        <v>173091.22167560973</v>
      </c>
      <c r="DJ123" s="330"/>
      <c r="DK123" s="331"/>
      <c r="DL123" s="331">
        <f>_xlfn.IFNA((VLOOKUP($A123,HN!$A:$K,8,FALSE)/12),0)+_xlfn.IFNA((VLOOKUP($A123,HN!$A:$AF,32,FALSE)*8/12),0)</f>
        <v>0</v>
      </c>
      <c r="DM123" s="331">
        <f>_xlfn.IFNA((VLOOKUP($A123,HN!$A:$BS,14,FALSE)/12),0)+_xlfn.IFNA(VLOOKUP($A123,HN!$A:$BS,31,FALSE),0)</f>
        <v>0</v>
      </c>
      <c r="DN123" s="331">
        <f>_xlfn.IFNA(VLOOKUP($A123,'Post 16'!$A:$AV,32,FALSE),0)/8</f>
        <v>0</v>
      </c>
      <c r="DO123" s="331"/>
      <c r="DP123" s="331">
        <f>_xlfn.IFNA((VLOOKUP($A123,HN!$A:$K,9,FALSE)/12),0)+_xlfn.IFNA((VLOOKUP($A123,HN!$A:$K,10,FALSE)/12),0)+_xlfn.IFNA((VLOOKUP($A123,HN!$A:$BZ,33,FALSE)*8/12),0)</f>
        <v>0</v>
      </c>
      <c r="DQ123" s="331">
        <f>_xlfn.IFNA((VLOOKUP($A123,HN!$A:$BS,15,FALSE)/12),0)</f>
        <v>0</v>
      </c>
      <c r="DR123" s="330">
        <f t="shared" si="94"/>
        <v>-847.59999999999991</v>
      </c>
      <c r="DS123" s="330">
        <f t="shared" si="95"/>
        <v>-516.74666666666667</v>
      </c>
      <c r="DT123" s="331"/>
      <c r="DU123" s="331"/>
      <c r="DV123" s="331">
        <f>(_xlfn.IFNA(VLOOKUP(A123,'LA Deductions'!A:AZ,25,FALSE),0)/9)+_xlfn.IFNA(VLOOKUP(A123,'LA Deductions'!A:AZ,27,FALSE),0)</f>
        <v>0</v>
      </c>
      <c r="DW123" s="330">
        <f t="shared" si="110"/>
        <v>171726.87500894305</v>
      </c>
      <c r="DX123" s="344">
        <f t="shared" si="96"/>
        <v>173091.22167560973</v>
      </c>
      <c r="DY123" s="344"/>
      <c r="DZ123" s="345"/>
      <c r="EA123" s="345">
        <f>_xlfn.IFNA((VLOOKUP($A123,HN!$A:$K,8,FALSE)/12),0)+_xlfn.IFNA((VLOOKUP($A123,HN!$A:$AF,32,FALSE)*1/12),0)</f>
        <v>0</v>
      </c>
      <c r="EB123" s="345">
        <f>_xlfn.IFNA((VLOOKUP($A123,HN!$A:$BS,14,FALSE)/12),0)</f>
        <v>0</v>
      </c>
      <c r="EC123" s="345">
        <f>_xlfn.IFNA(VLOOKUP($A123,'Post 16'!$A:$AV,32,FALSE),0)/8</f>
        <v>0</v>
      </c>
      <c r="ED123" s="345"/>
      <c r="EE123" s="345">
        <f>_xlfn.IFNA((VLOOKUP($A123,HN!$A:$K,9,FALSE)/12),0)+_xlfn.IFNA((VLOOKUP($A123,HN!$A:$K,10,FALSE)/12),0)+_xlfn.IFNA((VLOOKUP($A123,HN!$A:$BZ,33,FALSE)/12),0)</f>
        <v>0</v>
      </c>
      <c r="EF123" s="345">
        <f>_xlfn.IFNA((VLOOKUP($A123,HN!$A:$BS,15,FALSE)/12),0)</f>
        <v>0</v>
      </c>
      <c r="EG123" s="344">
        <f t="shared" si="97"/>
        <v>-847.59999999999991</v>
      </c>
      <c r="EH123" s="344">
        <f t="shared" si="98"/>
        <v>-516.74666666666667</v>
      </c>
      <c r="EI123" s="345"/>
      <c r="EJ123" s="345">
        <f>_xlfn.IFNA(VLOOKUP(A123,'Cash Advances'!A:P,16,FALSE),0)</f>
        <v>0</v>
      </c>
      <c r="EK123" s="345">
        <f>_xlfn.IFNA(VLOOKUP(A123,'LA Deductions'!A:AZ,25,FALSE),0)/9</f>
        <v>0</v>
      </c>
      <c r="EL123" s="344">
        <f t="shared" si="111"/>
        <v>171726.87500894305</v>
      </c>
      <c r="EM123" s="308">
        <f t="shared" si="99"/>
        <v>173091.22167560973</v>
      </c>
      <c r="EN123" s="308">
        <f>((VLOOKUP($A123,EY!$A:$BS,35,FALSE)-(VLOOKUP($A123,EY!$A:$BS,33,FALSE)*80%))+VLOOKUP($A123,EY!$A:$BS,43,FALSE))+(VLOOKUP(A123,EY!A:DF,110,FALSE)-VLOOKUP(A123,EY!A:DD,108,FALSE))+(VLOOKUP(A123,EY!A:CE,83,FALSE)-VLOOKUP(A123,EY!A:CC,81,FALSE))</f>
        <v>0</v>
      </c>
      <c r="EO123" s="309"/>
      <c r="EP123" s="309">
        <f>_xlfn.IFNA((VLOOKUP($A123,HN!$A:$K,8,FALSE)/12),0)+_xlfn.IFNA((VLOOKUP($A123,HN!$A:$AF,32,FALSE)*1/12),0)</f>
        <v>0</v>
      </c>
      <c r="EQ123" s="309">
        <f>_xlfn.IFNA((VLOOKUP($A123,HN!$A:$BS,14,FALSE)/12),0)+_xlfn.IFNA((VLOOKUP($A123,HN!$A:$BS,34,FALSE)/3),0)</f>
        <v>0</v>
      </c>
      <c r="ER123" s="309">
        <f>_xlfn.IFNA(VLOOKUP($A123,'Post 16'!$A:$AV,32,FALSE),0)/8</f>
        <v>0</v>
      </c>
      <c r="ES123" s="309">
        <f>((VLOOKUP($A123,EY!A:EV,33,FALSE)*80%))+VLOOKUP(A123,EY!A:DD,108,FALSE)+VLOOKUP(A123,EY!A:CC,81,FALSE)</f>
        <v>0</v>
      </c>
      <c r="ET123" s="309">
        <f>_xlfn.IFNA((VLOOKUP($A123,HN!$A:$K,9,FALSE)/12),0)+_xlfn.IFNA((VLOOKUP($A123,HN!$A:$K,10,FALSE)/12),0)+_xlfn.IFNA((VLOOKUP($A123,HN!$A:$BZ,33,FALSE)/12),0)</f>
        <v>0</v>
      </c>
      <c r="EU123" s="309">
        <f>_xlfn.IFNA((VLOOKUP($A123,HN!$A:$BS,15,FALSE)/12),0)</f>
        <v>0</v>
      </c>
      <c r="EV123" s="308">
        <f t="shared" si="100"/>
        <v>-847.59999999999991</v>
      </c>
      <c r="EW123" s="308">
        <f t="shared" si="101"/>
        <v>-516.74666666666667</v>
      </c>
      <c r="EX123" s="309"/>
      <c r="EY123" s="309">
        <f>_xlfn.IFNA(VLOOKUP($A123,'Cash Advances'!$A:$S,17,FALSE),0)</f>
        <v>0</v>
      </c>
      <c r="EZ123" s="309">
        <f>_xlfn.IFNA(VLOOKUP(A123,'LA Deductions'!A:AZ,25,FALSE),0)/9</f>
        <v>0</v>
      </c>
      <c r="FA123" s="308">
        <f t="shared" si="112"/>
        <v>171726.87500894305</v>
      </c>
      <c r="FB123" s="315">
        <f t="shared" si="102"/>
        <v>173091.22167560973</v>
      </c>
      <c r="FC123" s="315"/>
      <c r="FD123" s="316"/>
      <c r="FE123" s="316">
        <f>_xlfn.IFNA((VLOOKUP($A123,HN!$A:$K,8,FALSE)/12),0)+_xlfn.IFNA((VLOOKUP($A123,HN!$A:$AF,32,FALSE)*1/12),0)</f>
        <v>0</v>
      </c>
      <c r="FF123" s="316">
        <f>_xlfn.IFNA((VLOOKUP($A123,HN!$A:$BS,14,FALSE)/12),0)+_xlfn.IFNA((VLOOKUP($A123,HN!$A:$BS,34,FALSE)/3),0)</f>
        <v>0</v>
      </c>
      <c r="FG123" s="316">
        <f>_xlfn.IFNA(VLOOKUP($A123,'Post 16'!$A:$AV,32,FALSE),0)/8</f>
        <v>0</v>
      </c>
      <c r="FH123" s="316"/>
      <c r="FI123" s="316">
        <f>_xlfn.IFNA((VLOOKUP($A123,HN!$A:$K,9,FALSE)/12),0)+_xlfn.IFNA((VLOOKUP($A123,HN!$A:$K,10,FALSE)/12),0)+_xlfn.IFNA((VLOOKUP($A123,HN!$A:$BZ,33,FALSE)/12),0)+_xlfn.IFNA((VLOOKUP($A123,HN!$A:$BZ,35,FALSE)/2),0)</f>
        <v>0</v>
      </c>
      <c r="FJ123" s="316">
        <f>_xlfn.IFNA((VLOOKUP($A123,HN!$A:$BS,15,FALSE)/12),0)+_xlfn.IFNA((VLOOKUP($A123,HN!$A:$CZ,36,FALSE)/2),0)</f>
        <v>0</v>
      </c>
      <c r="FK123" s="315">
        <f t="shared" si="103"/>
        <v>-847.59999999999991</v>
      </c>
      <c r="FL123" s="315">
        <f t="shared" si="104"/>
        <v>-516.74666666666667</v>
      </c>
      <c r="FM123" s="316"/>
      <c r="FN123" s="316">
        <f>_xlfn.IFNA(VLOOKUP($A123,'Cash Advances'!$A:$S,18,FALSE),0)</f>
        <v>0</v>
      </c>
      <c r="FO123" s="316">
        <f>_xlfn.IFNA(VLOOKUP(A123,'LA Deductions'!A:AZ,25,FALSE),0)/9</f>
        <v>0</v>
      </c>
      <c r="FP123" s="315">
        <f t="shared" si="113"/>
        <v>171726.87500894305</v>
      </c>
      <c r="FQ123" s="322">
        <f t="shared" si="105"/>
        <v>173091.22167560973</v>
      </c>
      <c r="FR123" s="322"/>
      <c r="FS123" s="323"/>
      <c r="FT123" s="323">
        <f>_xlfn.IFNA((VLOOKUP($A123,HN!$A:$K,8,FALSE)/12),0)+_xlfn.IFNA((VLOOKUP($A123,HN!$A:$AF,32,FALSE)*1/12),0)</f>
        <v>0</v>
      </c>
      <c r="FU123" s="323">
        <f>_xlfn.IFNA((VLOOKUP($A123,HN!$A:$BS,14,FALSE)/12),0)+_xlfn.IFNA((VLOOKUP($A123,HN!$A:$BS,34,FALSE)/3),0)</f>
        <v>0</v>
      </c>
      <c r="FV123" s="323">
        <f>_xlfn.IFNA(VLOOKUP($A123,'Post 16'!$A:$AV,32,FALSE),0)/8</f>
        <v>0</v>
      </c>
      <c r="FW123" s="323"/>
      <c r="FX123" s="323">
        <f>_xlfn.IFNA((VLOOKUP($A123,HN!$A:$K,9,FALSE)/12),0)+_xlfn.IFNA((VLOOKUP($A123,HN!$A:$K,10,FALSE)/12),0)+_xlfn.IFNA((VLOOKUP($A123,HN!$A:$BZ,33,FALSE)/12),0)+_xlfn.IFNA((VLOOKUP($A123,HN!$A:$BZ,35,FALSE)/2),0)</f>
        <v>0</v>
      </c>
      <c r="FY123" s="323">
        <f>_xlfn.IFNA((VLOOKUP($A123,HN!$A:$BS,15,FALSE)/12),0)+_xlfn.IFNA((VLOOKUP($A123,HN!$A:$CZ,36,FALSE)/2),0)</f>
        <v>0</v>
      </c>
      <c r="FZ123" s="322">
        <f t="shared" si="106"/>
        <v>-847.59999999999991</v>
      </c>
      <c r="GA123" s="322">
        <f t="shared" si="107"/>
        <v>-516.74666666666667</v>
      </c>
      <c r="GB123" s="323"/>
      <c r="GC123" s="323"/>
      <c r="GD123" s="323">
        <f>_xlfn.IFNA(VLOOKUP(A123,'LA Deductions'!A:AZ,25,FALSE),0)/9</f>
        <v>0</v>
      </c>
      <c r="GE123" s="322">
        <f t="shared" si="114"/>
        <v>171726.87500894305</v>
      </c>
      <c r="GG123" s="146">
        <f t="shared" si="128"/>
        <v>2072507.1187073167</v>
      </c>
      <c r="GH123" s="146">
        <f t="shared" si="128"/>
        <v>0</v>
      </c>
      <c r="GI123" s="146">
        <f t="shared" si="128"/>
        <v>0</v>
      </c>
      <c r="GJ123" s="146">
        <f t="shared" si="128"/>
        <v>-10171.200000000003</v>
      </c>
      <c r="GK123" s="146">
        <f t="shared" si="128"/>
        <v>-6200.9600000000019</v>
      </c>
      <c r="GL123" s="146">
        <f t="shared" si="128"/>
        <v>-9471</v>
      </c>
      <c r="GN123" s="146">
        <f t="shared" si="129"/>
        <v>2072507.1187073167</v>
      </c>
      <c r="GO123" s="146">
        <f t="shared" si="129"/>
        <v>0</v>
      </c>
      <c r="GP123" s="146">
        <f t="shared" si="129"/>
        <v>0</v>
      </c>
      <c r="GQ123" s="146">
        <f t="shared" si="129"/>
        <v>-10171.200000000003</v>
      </c>
      <c r="GR123" s="146">
        <f t="shared" si="129"/>
        <v>-6200.9600000000019</v>
      </c>
      <c r="GS123" s="146">
        <f t="shared" si="129"/>
        <v>-9471</v>
      </c>
      <c r="GU123" s="146"/>
      <c r="GV123" s="57"/>
    </row>
    <row r="124" spans="1:204">
      <c r="A124" s="185">
        <v>3367</v>
      </c>
      <c r="B124" s="185">
        <v>103458</v>
      </c>
      <c r="C124" s="185" t="s">
        <v>272</v>
      </c>
      <c r="D124" s="2" t="s">
        <v>273</v>
      </c>
      <c r="E124" s="191" t="s">
        <v>32</v>
      </c>
      <c r="F124" s="191" t="s">
        <v>912</v>
      </c>
      <c r="H124" s="279">
        <f>_xlfn.IFNA(VLOOKUP($A124,ISB!$A$4:$BY$454,67,FALSE),0)</f>
        <v>1252002.8571378775</v>
      </c>
      <c r="I124" s="279">
        <f>_xlfn.IFNA(VLOOKUP($A124,ISB!$A$4:$BY$454,72,FALSE),0)</f>
        <v>-5398.5599999999995</v>
      </c>
      <c r="J124" s="279">
        <f>-_xlfn.IFNA(VLOOKUP($A124,ISB!$A$4:$BY$454,76,FALSE),0)</f>
        <v>-3141.82</v>
      </c>
      <c r="K124" s="279">
        <f>_xlfn.IFNA(VLOOKUP($A124,ISB!$A$4:$BY$454,77,FALSE),0)</f>
        <v>1243462.4771378774</v>
      </c>
      <c r="M124" s="301">
        <f t="shared" si="72"/>
        <v>104333.57142815646</v>
      </c>
      <c r="N124" s="301">
        <f>VLOOKUP($A124,EY!$A:$H,8,FALSE)+(VLOOKUP($A124,EY!$A:$BS,17,FALSE)-S124)+VLOOKUP($A124,EY!$A:$BS,41,FALSE)</f>
        <v>37219.218947368427</v>
      </c>
      <c r="O124" s="302"/>
      <c r="P124" s="302">
        <f>_xlfn.IFNA((VLOOKUP($A124,HN!$A:$K,8,FALSE)/12),0)</f>
        <v>0</v>
      </c>
      <c r="Q124" s="302">
        <f>_xlfn.IFNA((VLOOKUP($A124,HN!$A:$BS,14,FALSE)/12),0)</f>
        <v>0</v>
      </c>
      <c r="R124" s="302">
        <f>_xlfn.IFNA(VLOOKUP($A124,'Post 16'!$A:$V,21,FALSE),0)/4</f>
        <v>0</v>
      </c>
      <c r="S124" s="302">
        <f>VLOOKUP($A124,EY!A:Q,15,FALSE)*80%</f>
        <v>0</v>
      </c>
      <c r="T124" s="302">
        <f>_xlfn.IFNA((VLOOKUP($A124,HN!$A:$K,9,FALSE)/12),0)+_xlfn.IFNA((VLOOKUP($A124,HN!$A:$K,10,FALSE)/12),0)</f>
        <v>0</v>
      </c>
      <c r="U124" s="302">
        <f>_xlfn.IFNA((VLOOKUP($A124,HN!$A:$BS,15,FALSE)/12),0)</f>
        <v>0</v>
      </c>
      <c r="V124" s="301">
        <f t="shared" si="73"/>
        <v>-449.87999999999994</v>
      </c>
      <c r="W124" s="301">
        <f t="shared" si="74"/>
        <v>-261.81833333333333</v>
      </c>
      <c r="X124" s="302"/>
      <c r="Y124" s="302">
        <f>_xlfn.IFNA(VLOOKUP($A124,'Cash Advances'!$A:$S,8,FALSE),0)</f>
        <v>0</v>
      </c>
      <c r="Z124" s="301">
        <f t="shared" si="121"/>
        <v>140841.09204219157</v>
      </c>
      <c r="AA124" s="315">
        <f t="shared" si="75"/>
        <v>104333.57142815646</v>
      </c>
      <c r="AB124" s="315"/>
      <c r="AC124" s="316"/>
      <c r="AD124" s="316">
        <f>_xlfn.IFNA((VLOOKUP($A124,HN!$A:$K,8,FALSE)/12),0)</f>
        <v>0</v>
      </c>
      <c r="AE124" s="316">
        <f>_xlfn.IFNA((VLOOKUP($A124,HN!$A:$BS,14,FALSE)/12),0)</f>
        <v>0</v>
      </c>
      <c r="AF124" s="316">
        <f>_xlfn.IFNA(VLOOKUP($A124,'Post 16'!$A:$V,21,FALSE),0)/4</f>
        <v>0</v>
      </c>
      <c r="AG124" s="316"/>
      <c r="AH124" s="316">
        <f>_xlfn.IFNA((VLOOKUP($A124,HN!$A:$K,9,FALSE)/12),0)+_xlfn.IFNA((VLOOKUP($A124,HN!$A:$K,10,FALSE)/12),0)</f>
        <v>0</v>
      </c>
      <c r="AI124" s="316">
        <f>_xlfn.IFNA((VLOOKUP($A124,HN!$A:$BS,15,FALSE)/12),0)</f>
        <v>0</v>
      </c>
      <c r="AJ124" s="315">
        <f t="shared" si="76"/>
        <v>-449.87999999999994</v>
      </c>
      <c r="AK124" s="315">
        <f t="shared" si="77"/>
        <v>-261.81833333333333</v>
      </c>
      <c r="AL124" s="316"/>
      <c r="AM124" s="316">
        <f>_xlfn.IFNA(VLOOKUP($A124,'Cash Advances'!$A:$S,9,FALSE),0)</f>
        <v>0</v>
      </c>
      <c r="AN124" s="315">
        <f t="shared" si="122"/>
        <v>103621.87309482312</v>
      </c>
      <c r="AO124" s="308">
        <f t="shared" si="78"/>
        <v>104333.57142815646</v>
      </c>
      <c r="AP124" s="308"/>
      <c r="AQ124" s="309"/>
      <c r="AR124" s="309">
        <f>_xlfn.IFNA((VLOOKUP($A124,HN!$A:$K,8,FALSE)/12),0)</f>
        <v>0</v>
      </c>
      <c r="AS124" s="309">
        <f>_xlfn.IFNA((VLOOKUP($A124,HN!$A:$BS,14,FALSE)/12),0)</f>
        <v>0</v>
      </c>
      <c r="AT124" s="309">
        <f>_xlfn.IFNA(VLOOKUP($A124,'Post 16'!$A:$V,21,FALSE),0)/4</f>
        <v>0</v>
      </c>
      <c r="AU124" s="309"/>
      <c r="AV124" s="309">
        <f>_xlfn.IFNA((VLOOKUP($A124,HN!$A:$K,9,FALSE)/12),0)+_xlfn.IFNA((VLOOKUP($A124,HN!$A:$K,10,FALSE)/12),0)+_xlfn.IFNA(VLOOKUP(A124,HN!A:V,19,FALSE),0)+_xlfn.IFNA(VLOOKUP(A124,HN!A:V,20,FALSE),0)+_xlfn.IFNA(VLOOKUP(A124,HN!A:V,21,FALSE),0)</f>
        <v>0</v>
      </c>
      <c r="AW124" s="309">
        <f>_xlfn.IFNA((VLOOKUP($A124,HN!$A:$BS,15,FALSE)/12),0)</f>
        <v>0</v>
      </c>
      <c r="AX124" s="308">
        <f t="shared" si="79"/>
        <v>-449.87999999999994</v>
      </c>
      <c r="AY124" s="308">
        <f t="shared" si="80"/>
        <v>-261.81833333333333</v>
      </c>
      <c r="AZ124" s="309"/>
      <c r="BA124" s="309">
        <f>_xlfn.IFNA(VLOOKUP($A124,'Cash Advances'!$A:$S,10,FALSE),0)</f>
        <v>0</v>
      </c>
      <c r="BB124" s="308">
        <f t="shared" si="123"/>
        <v>103621.87309482312</v>
      </c>
      <c r="BC124" s="330">
        <f t="shared" si="81"/>
        <v>104333.57142815646</v>
      </c>
      <c r="BD124" s="330"/>
      <c r="BE124" s="331"/>
      <c r="BF124" s="331">
        <f>_xlfn.IFNA((VLOOKUP($A124,HN!$A:$K,8,FALSE)/12),0)</f>
        <v>0</v>
      </c>
      <c r="BG124" s="331">
        <f>_xlfn.IFNA((VLOOKUP($A124,HN!$A:$BS,14,FALSE)/12),0)</f>
        <v>0</v>
      </c>
      <c r="BH124" s="331">
        <f>_xlfn.IFNA(VLOOKUP($A124,'Post 16'!$A:$V,21,FALSE),0)/4</f>
        <v>0</v>
      </c>
      <c r="BI124" s="331"/>
      <c r="BJ124" s="331">
        <f>_xlfn.IFNA((VLOOKUP($A124,HN!$A:$K,9,FALSE)/12),0)+_xlfn.IFNA((VLOOKUP($A124,HN!$A:$K,10,FALSE)/12),0)</f>
        <v>0</v>
      </c>
      <c r="BK124" s="331">
        <f>_xlfn.IFNA((VLOOKUP($A124,HN!$A:$BS,15,FALSE)/12),0)</f>
        <v>0</v>
      </c>
      <c r="BL124" s="330">
        <f t="shared" si="82"/>
        <v>-449.87999999999994</v>
      </c>
      <c r="BM124" s="330">
        <f t="shared" si="83"/>
        <v>-261.81833333333333</v>
      </c>
      <c r="BN124" s="331"/>
      <c r="BO124" s="331">
        <f>_xlfn.IFNA(VLOOKUP(A124,'Cash Advances'!A:K,11,FALSE),0)</f>
        <v>0</v>
      </c>
      <c r="BP124" s="330">
        <f t="shared" si="124"/>
        <v>103621.87309482312</v>
      </c>
      <c r="BQ124" s="322">
        <f t="shared" si="84"/>
        <v>104333.57142815646</v>
      </c>
      <c r="BR124" s="322"/>
      <c r="BS124" s="323"/>
      <c r="BT124" s="323">
        <f>_xlfn.IFNA((VLOOKUP($A124,HN!$A:$K,8,FALSE)/12),0)</f>
        <v>0</v>
      </c>
      <c r="BU124" s="323">
        <f>_xlfn.IFNA((VLOOKUP($A124,HN!$A:$BS,14,FALSE)/12),0)</f>
        <v>0</v>
      </c>
      <c r="BV124" s="323">
        <f>(_xlfn.IFNA(VLOOKUP($A124,'Post 16'!$A:$AV,32,FALSE),0)/8)+_xlfn.IFNA(VLOOKUP($A124,'Post 16'!$A:$AR,40,FALSE),0)</f>
        <v>0</v>
      </c>
      <c r="BW124" s="323"/>
      <c r="BX124" s="323">
        <f>_xlfn.IFNA((VLOOKUP($A124,HN!$A:$K,9,FALSE)/12),0)+_xlfn.IFNA((VLOOKUP($A124,HN!$A:$K,10,FALSE)/12),0)</f>
        <v>0</v>
      </c>
      <c r="BY124" s="323">
        <f>_xlfn.IFNA((VLOOKUP($A124,HN!$A:$BS,15,FALSE)/12),0)</f>
        <v>0</v>
      </c>
      <c r="BZ124" s="322">
        <f t="shared" si="85"/>
        <v>-449.87999999999994</v>
      </c>
      <c r="CA124" s="322">
        <f t="shared" si="86"/>
        <v>-261.81833333333333</v>
      </c>
      <c r="CB124" s="323"/>
      <c r="CC124" s="323"/>
      <c r="CD124" s="322">
        <f t="shared" si="125"/>
        <v>103621.87309482312</v>
      </c>
      <c r="CE124" s="357">
        <f t="shared" si="87"/>
        <v>104333.57142815646</v>
      </c>
      <c r="CF124" s="357">
        <f>(VLOOKUP($A124,EY!$A:$BS,26,FALSE)-(VLOOKUP($A124,EY!A:CR,24,FALSE)*80%))+VLOOKUP($A124,EY!$A:$BS,42,FALSE)+(VLOOKUP($A124,EY!A:CC,74,FALSE)-VLOOKUP($A124,EY!A:CC,72,FALSE))</f>
        <v>37641.075789473689</v>
      </c>
      <c r="CG124" s="358"/>
      <c r="CH124" s="358">
        <f>_xlfn.IFNA((VLOOKUP($A124,HN!$A:$K,8,FALSE)/12),0)</f>
        <v>0</v>
      </c>
      <c r="CI124" s="358">
        <f>_xlfn.IFNA((VLOOKUP($A124,HN!$A:$BS,14,FALSE)/12),0)</f>
        <v>0</v>
      </c>
      <c r="CJ124" s="358">
        <f>(_xlfn.IFNA(VLOOKUP($A124,'Post 16'!$A:$AV,32,FALSE),0)/8)</f>
        <v>0</v>
      </c>
      <c r="CK124" s="358">
        <f>(VLOOKUP($A124,EY!A:CR,24,FALSE)*80%)+VLOOKUP($A124,EY!A:CC,72,FALSE)</f>
        <v>0</v>
      </c>
      <c r="CL124" s="358">
        <f>_xlfn.IFNA((VLOOKUP($A124,HN!$A:$K,9,FALSE)/12),0)+_xlfn.IFNA((VLOOKUP($A124,HN!$A:$K,10,FALSE)/12),0)</f>
        <v>0</v>
      </c>
      <c r="CM124" s="358">
        <f>_xlfn.IFNA((VLOOKUP($A124,HN!$A:$BS,15,FALSE)/12),0)</f>
        <v>0</v>
      </c>
      <c r="CN124" s="357">
        <f t="shared" si="88"/>
        <v>-449.87999999999994</v>
      </c>
      <c r="CO124" s="357">
        <f t="shared" si="89"/>
        <v>-261.81833333333333</v>
      </c>
      <c r="CP124" s="358">
        <f>_xlfn.IFNA(VLOOKUP(A124,'LA Deductions'!A:W,23,FALSE),0)</f>
        <v>-5139.75</v>
      </c>
      <c r="CQ124" s="358">
        <f>_xlfn.IFNA(VLOOKUP($A124,'Cash Advances'!$A:$S,13,FALSE),0)</f>
        <v>0</v>
      </c>
      <c r="CR124" s="358">
        <f>_xlfn.IFNA(VLOOKUP(A124,'LA Deductions'!A:AZ,25,FALSE),0)/9*3</f>
        <v>0</v>
      </c>
      <c r="CS124" s="357">
        <f t="shared" si="108"/>
        <v>136123.19888429681</v>
      </c>
      <c r="CT124" s="337">
        <f t="shared" si="90"/>
        <v>104333.57142815646</v>
      </c>
      <c r="CU124" s="337"/>
      <c r="CV124" s="338">
        <f>_xlfn.IFNA(VLOOKUP(A124,'LA Deductions'!$A$6:$AN$207,34,FALSE),0)</f>
        <v>0</v>
      </c>
      <c r="CW124" s="338">
        <f>_xlfn.IFNA((VLOOKUP($A124,HN!$A:$K,8,FALSE)/12),0)</f>
        <v>0</v>
      </c>
      <c r="CX124" s="338">
        <f>_xlfn.IFNA((VLOOKUP($A124,HN!$A:$BS,14,FALSE)/12),0)</f>
        <v>0</v>
      </c>
      <c r="CY124" s="338">
        <f>_xlfn.IFNA(VLOOKUP($A124,'Post 16'!$A:$AV,32,FALSE),0)/8</f>
        <v>0</v>
      </c>
      <c r="CZ124" s="338"/>
      <c r="DA124" s="338">
        <f>_xlfn.IFNA((VLOOKUP($A124,HN!$A:$K,9,FALSE)/12),0)+_xlfn.IFNA((VLOOKUP($A124,HN!$A:$K,10,FALSE)/12),0)</f>
        <v>0</v>
      </c>
      <c r="DB124" s="338">
        <f>_xlfn.IFNA((VLOOKUP($A124,HN!$A:$BS,15,FALSE)/12),0)</f>
        <v>0</v>
      </c>
      <c r="DC124" s="337">
        <f t="shared" si="91"/>
        <v>-449.87999999999994</v>
      </c>
      <c r="DD124" s="337">
        <f t="shared" si="92"/>
        <v>-261.81833333333333</v>
      </c>
      <c r="DE124" s="338"/>
      <c r="DF124" s="338">
        <f>_xlfn.IFNA(VLOOKUP($A124,'Cash Advances'!$A:$S,14,FALSE),0)</f>
        <v>0</v>
      </c>
      <c r="DG124" s="338">
        <f>(_xlfn.IFNA(VLOOKUP(A124,'LA Deductions'!A:AZ,25,FALSE),0)/9)+(_xlfn.IFNA(VLOOKUP(A124,'LA Deductions'!A:AZ,26,FALSE),0))</f>
        <v>0</v>
      </c>
      <c r="DH124" s="337">
        <f t="shared" si="109"/>
        <v>103621.87309482312</v>
      </c>
      <c r="DI124" s="330">
        <f t="shared" si="93"/>
        <v>104333.57142815646</v>
      </c>
      <c r="DJ124" s="330"/>
      <c r="DK124" s="331"/>
      <c r="DL124" s="331">
        <f>_xlfn.IFNA((VLOOKUP($A124,HN!$A:$K,8,FALSE)/12),0)+_xlfn.IFNA((VLOOKUP($A124,HN!$A:$AF,32,FALSE)*8/12),0)</f>
        <v>0</v>
      </c>
      <c r="DM124" s="331">
        <f>_xlfn.IFNA((VLOOKUP($A124,HN!$A:$BS,14,FALSE)/12),0)+_xlfn.IFNA(VLOOKUP($A124,HN!$A:$BS,31,FALSE),0)</f>
        <v>0</v>
      </c>
      <c r="DN124" s="331">
        <f>_xlfn.IFNA(VLOOKUP($A124,'Post 16'!$A:$AV,32,FALSE),0)/8</f>
        <v>0</v>
      </c>
      <c r="DO124" s="331"/>
      <c r="DP124" s="331">
        <f>_xlfn.IFNA((VLOOKUP($A124,HN!$A:$K,9,FALSE)/12),0)+_xlfn.IFNA((VLOOKUP($A124,HN!$A:$K,10,FALSE)/12),0)+_xlfn.IFNA((VLOOKUP($A124,HN!$A:$BZ,33,FALSE)*8/12),0)</f>
        <v>0</v>
      </c>
      <c r="DQ124" s="331">
        <f>_xlfn.IFNA((VLOOKUP($A124,HN!$A:$BS,15,FALSE)/12),0)</f>
        <v>0</v>
      </c>
      <c r="DR124" s="330">
        <f t="shared" si="94"/>
        <v>-449.87999999999994</v>
      </c>
      <c r="DS124" s="330">
        <f t="shared" si="95"/>
        <v>-261.81833333333333</v>
      </c>
      <c r="DT124" s="331"/>
      <c r="DU124" s="331"/>
      <c r="DV124" s="331">
        <f>(_xlfn.IFNA(VLOOKUP(A124,'LA Deductions'!A:AZ,25,FALSE),0)/9)+_xlfn.IFNA(VLOOKUP(A124,'LA Deductions'!A:AZ,27,FALSE),0)</f>
        <v>0</v>
      </c>
      <c r="DW124" s="330">
        <f t="shared" si="110"/>
        <v>103621.87309482312</v>
      </c>
      <c r="DX124" s="344">
        <f t="shared" si="96"/>
        <v>104333.57142815646</v>
      </c>
      <c r="DY124" s="344"/>
      <c r="DZ124" s="345"/>
      <c r="EA124" s="345">
        <f>_xlfn.IFNA((VLOOKUP($A124,HN!$A:$K,8,FALSE)/12),0)+_xlfn.IFNA((VLOOKUP($A124,HN!$A:$AF,32,FALSE)*1/12),0)</f>
        <v>0</v>
      </c>
      <c r="EB124" s="345">
        <f>_xlfn.IFNA((VLOOKUP($A124,HN!$A:$BS,14,FALSE)/12),0)</f>
        <v>0</v>
      </c>
      <c r="EC124" s="345">
        <f>_xlfn.IFNA(VLOOKUP($A124,'Post 16'!$A:$AV,32,FALSE),0)/8</f>
        <v>0</v>
      </c>
      <c r="ED124" s="345"/>
      <c r="EE124" s="345">
        <f>_xlfn.IFNA((VLOOKUP($A124,HN!$A:$K,9,FALSE)/12),0)+_xlfn.IFNA((VLOOKUP($A124,HN!$A:$K,10,FALSE)/12),0)+_xlfn.IFNA((VLOOKUP($A124,HN!$A:$BZ,33,FALSE)/12),0)</f>
        <v>0</v>
      </c>
      <c r="EF124" s="345">
        <f>_xlfn.IFNA((VLOOKUP($A124,HN!$A:$BS,15,FALSE)/12),0)</f>
        <v>0</v>
      </c>
      <c r="EG124" s="344">
        <f t="shared" si="97"/>
        <v>-449.87999999999994</v>
      </c>
      <c r="EH124" s="344">
        <f t="shared" si="98"/>
        <v>-261.81833333333333</v>
      </c>
      <c r="EI124" s="345"/>
      <c r="EJ124" s="345">
        <f>_xlfn.IFNA(VLOOKUP(A124,'Cash Advances'!A:P,16,FALSE),0)</f>
        <v>0</v>
      </c>
      <c r="EK124" s="345">
        <f>_xlfn.IFNA(VLOOKUP(A124,'LA Deductions'!A:AZ,25,FALSE),0)/9</f>
        <v>0</v>
      </c>
      <c r="EL124" s="344">
        <f t="shared" si="111"/>
        <v>103621.87309482312</v>
      </c>
      <c r="EM124" s="308">
        <f t="shared" si="99"/>
        <v>104333.57142815646</v>
      </c>
      <c r="EN124" s="308">
        <f>((VLOOKUP($A124,EY!$A:$BS,35,FALSE)-(VLOOKUP($A124,EY!$A:$BS,33,FALSE)*80%))+VLOOKUP($A124,EY!$A:$BS,43,FALSE))+(VLOOKUP(A124,EY!A:DF,110,FALSE)-VLOOKUP(A124,EY!A:DD,108,FALSE))+(VLOOKUP(A124,EY!A:CE,83,FALSE)-VLOOKUP(A124,EY!A:CC,81,FALSE))</f>
        <v>43399.793157894739</v>
      </c>
      <c r="EO124" s="309"/>
      <c r="EP124" s="309">
        <f>_xlfn.IFNA((VLOOKUP($A124,HN!$A:$K,8,FALSE)/12),0)+_xlfn.IFNA((VLOOKUP($A124,HN!$A:$AF,32,FALSE)*1/12),0)</f>
        <v>0</v>
      </c>
      <c r="EQ124" s="309">
        <f>_xlfn.IFNA((VLOOKUP($A124,HN!$A:$BS,14,FALSE)/12),0)+_xlfn.IFNA((VLOOKUP($A124,HN!$A:$BS,34,FALSE)/3),0)</f>
        <v>0</v>
      </c>
      <c r="ER124" s="309">
        <f>_xlfn.IFNA(VLOOKUP($A124,'Post 16'!$A:$AV,32,FALSE),0)/8</f>
        <v>0</v>
      </c>
      <c r="ES124" s="309">
        <f>((VLOOKUP($A124,EY!A:EV,33,FALSE)*80%))+VLOOKUP(A124,EY!A:DD,108,FALSE)+VLOOKUP(A124,EY!A:CC,81,FALSE)</f>
        <v>0</v>
      </c>
      <c r="ET124" s="309">
        <f>_xlfn.IFNA((VLOOKUP($A124,HN!$A:$K,9,FALSE)/12),0)+_xlfn.IFNA((VLOOKUP($A124,HN!$A:$K,10,FALSE)/12),0)+_xlfn.IFNA((VLOOKUP($A124,HN!$A:$BZ,33,FALSE)/12),0)</f>
        <v>0</v>
      </c>
      <c r="EU124" s="309">
        <f>_xlfn.IFNA((VLOOKUP($A124,HN!$A:$BS,15,FALSE)/12),0)</f>
        <v>0</v>
      </c>
      <c r="EV124" s="308">
        <f t="shared" si="100"/>
        <v>-449.87999999999994</v>
      </c>
      <c r="EW124" s="308">
        <f t="shared" si="101"/>
        <v>-261.81833333333333</v>
      </c>
      <c r="EX124" s="309"/>
      <c r="EY124" s="309">
        <f>_xlfn.IFNA(VLOOKUP($A124,'Cash Advances'!$A:$S,17,FALSE),0)</f>
        <v>0</v>
      </c>
      <c r="EZ124" s="309">
        <f>_xlfn.IFNA(VLOOKUP(A124,'LA Deductions'!A:AZ,25,FALSE),0)/9</f>
        <v>0</v>
      </c>
      <c r="FA124" s="308">
        <f t="shared" si="112"/>
        <v>147021.66625271787</v>
      </c>
      <c r="FB124" s="315">
        <f t="shared" si="102"/>
        <v>104333.57142815646</v>
      </c>
      <c r="FC124" s="315"/>
      <c r="FD124" s="316"/>
      <c r="FE124" s="316">
        <f>_xlfn.IFNA((VLOOKUP($A124,HN!$A:$K,8,FALSE)/12),0)+_xlfn.IFNA((VLOOKUP($A124,HN!$A:$AF,32,FALSE)*1/12),0)</f>
        <v>0</v>
      </c>
      <c r="FF124" s="316">
        <f>_xlfn.IFNA((VLOOKUP($A124,HN!$A:$BS,14,FALSE)/12),0)+_xlfn.IFNA((VLOOKUP($A124,HN!$A:$BS,34,FALSE)/3),0)</f>
        <v>0</v>
      </c>
      <c r="FG124" s="316">
        <f>_xlfn.IFNA(VLOOKUP($A124,'Post 16'!$A:$AV,32,FALSE),0)/8</f>
        <v>0</v>
      </c>
      <c r="FH124" s="316"/>
      <c r="FI124" s="316">
        <f>_xlfn.IFNA((VLOOKUP($A124,HN!$A:$K,9,FALSE)/12),0)+_xlfn.IFNA((VLOOKUP($A124,HN!$A:$K,10,FALSE)/12),0)+_xlfn.IFNA((VLOOKUP($A124,HN!$A:$BZ,33,FALSE)/12),0)+_xlfn.IFNA((VLOOKUP($A124,HN!$A:$BZ,35,FALSE)/2),0)</f>
        <v>0</v>
      </c>
      <c r="FJ124" s="316">
        <f>_xlfn.IFNA((VLOOKUP($A124,HN!$A:$BS,15,FALSE)/12),0)+_xlfn.IFNA((VLOOKUP($A124,HN!$A:$CZ,36,FALSE)/2),0)</f>
        <v>0</v>
      </c>
      <c r="FK124" s="315">
        <f t="shared" si="103"/>
        <v>-449.87999999999994</v>
      </c>
      <c r="FL124" s="315">
        <f t="shared" si="104"/>
        <v>-261.81833333333333</v>
      </c>
      <c r="FM124" s="316"/>
      <c r="FN124" s="316">
        <f>_xlfn.IFNA(VLOOKUP($A124,'Cash Advances'!$A:$S,18,FALSE),0)</f>
        <v>0</v>
      </c>
      <c r="FO124" s="316">
        <f>_xlfn.IFNA(VLOOKUP(A124,'LA Deductions'!A:AZ,25,FALSE),0)/9</f>
        <v>0</v>
      </c>
      <c r="FP124" s="315">
        <f t="shared" si="113"/>
        <v>103621.87309482312</v>
      </c>
      <c r="FQ124" s="322">
        <f t="shared" si="105"/>
        <v>104333.57142815646</v>
      </c>
      <c r="FR124" s="322"/>
      <c r="FS124" s="323"/>
      <c r="FT124" s="323">
        <f>_xlfn.IFNA((VLOOKUP($A124,HN!$A:$K,8,FALSE)/12),0)+_xlfn.IFNA((VLOOKUP($A124,HN!$A:$AF,32,FALSE)*1/12),0)</f>
        <v>0</v>
      </c>
      <c r="FU124" s="323">
        <f>_xlfn.IFNA((VLOOKUP($A124,HN!$A:$BS,14,FALSE)/12),0)+_xlfn.IFNA((VLOOKUP($A124,HN!$A:$BS,34,FALSE)/3),0)</f>
        <v>0</v>
      </c>
      <c r="FV124" s="323">
        <f>_xlfn.IFNA(VLOOKUP($A124,'Post 16'!$A:$AV,32,FALSE),0)/8</f>
        <v>0</v>
      </c>
      <c r="FW124" s="323"/>
      <c r="FX124" s="323">
        <f>_xlfn.IFNA((VLOOKUP($A124,HN!$A:$K,9,FALSE)/12),0)+_xlfn.IFNA((VLOOKUP($A124,HN!$A:$K,10,FALSE)/12),0)+_xlfn.IFNA((VLOOKUP($A124,HN!$A:$BZ,33,FALSE)/12),0)+_xlfn.IFNA((VLOOKUP($A124,HN!$A:$BZ,35,FALSE)/2),0)</f>
        <v>0</v>
      </c>
      <c r="FY124" s="323">
        <f>_xlfn.IFNA((VLOOKUP($A124,HN!$A:$BS,15,FALSE)/12),0)+_xlfn.IFNA((VLOOKUP($A124,HN!$A:$CZ,36,FALSE)/2),0)</f>
        <v>0</v>
      </c>
      <c r="FZ124" s="322">
        <f t="shared" si="106"/>
        <v>-449.87999999999994</v>
      </c>
      <c r="GA124" s="322">
        <f t="shared" si="107"/>
        <v>-261.81833333333333</v>
      </c>
      <c r="GB124" s="323"/>
      <c r="GC124" s="323"/>
      <c r="GD124" s="323">
        <f>_xlfn.IFNA(VLOOKUP(A124,'LA Deductions'!A:AZ,25,FALSE),0)/9</f>
        <v>0</v>
      </c>
      <c r="GE124" s="322">
        <f t="shared" si="114"/>
        <v>103621.87309482312</v>
      </c>
      <c r="GG124" s="146">
        <f t="shared" si="128"/>
        <v>1370262.9450326143</v>
      </c>
      <c r="GH124" s="146">
        <f t="shared" si="128"/>
        <v>0</v>
      </c>
      <c r="GI124" s="146">
        <f t="shared" si="128"/>
        <v>0</v>
      </c>
      <c r="GJ124" s="146">
        <f t="shared" si="128"/>
        <v>-5398.56</v>
      </c>
      <c r="GK124" s="146">
        <f t="shared" si="128"/>
        <v>-3141.8199999999993</v>
      </c>
      <c r="GL124" s="146">
        <f t="shared" si="128"/>
        <v>-5139.75</v>
      </c>
      <c r="GN124" s="146">
        <f t="shared" si="129"/>
        <v>1370262.9450326143</v>
      </c>
      <c r="GO124" s="146">
        <f t="shared" si="129"/>
        <v>0</v>
      </c>
      <c r="GP124" s="146">
        <f t="shared" si="129"/>
        <v>0</v>
      </c>
      <c r="GQ124" s="146">
        <f t="shared" si="129"/>
        <v>-5398.56</v>
      </c>
      <c r="GR124" s="146">
        <f t="shared" si="129"/>
        <v>-3141.8199999999993</v>
      </c>
      <c r="GS124" s="146">
        <f t="shared" si="129"/>
        <v>-5139.75</v>
      </c>
      <c r="GU124" s="146"/>
      <c r="GV124" s="57"/>
    </row>
    <row r="125" spans="1:204">
      <c r="A125" s="185">
        <v>3010</v>
      </c>
      <c r="B125" s="185">
        <v>103401</v>
      </c>
      <c r="C125" s="185" t="s">
        <v>274</v>
      </c>
      <c r="D125" s="2" t="s">
        <v>275</v>
      </c>
      <c r="E125" s="191" t="s">
        <v>32</v>
      </c>
      <c r="F125" s="191" t="s">
        <v>912</v>
      </c>
      <c r="H125" s="279">
        <f>_xlfn.IFNA(VLOOKUP($A125,ISB!$A$4:$BY$454,67,FALSE),0)</f>
        <v>2585281.0306348447</v>
      </c>
      <c r="I125" s="279">
        <f>_xlfn.IFNA(VLOOKUP($A125,ISB!$A$4:$BY$454,72,FALSE),0)</f>
        <v>-10953.599999999999</v>
      </c>
      <c r="J125" s="279">
        <f>-_xlfn.IFNA(VLOOKUP($A125,ISB!$A$4:$BY$454,76,FALSE),0)</f>
        <v>-15367.06</v>
      </c>
      <c r="K125" s="279">
        <f>_xlfn.IFNA(VLOOKUP($A125,ISB!$A$4:$BY$454,77,FALSE),0)</f>
        <v>2558960.3706348445</v>
      </c>
      <c r="M125" s="301">
        <f t="shared" si="72"/>
        <v>215440.08588623707</v>
      </c>
      <c r="N125" s="301">
        <f>VLOOKUP($A125,EY!$A:$H,8,FALSE)+(VLOOKUP($A125,EY!$A:$BS,17,FALSE)-S125)+VLOOKUP($A125,EY!$A:$BS,41,FALSE)</f>
        <v>0</v>
      </c>
      <c r="O125" s="302"/>
      <c r="P125" s="302">
        <f>_xlfn.IFNA((VLOOKUP($A125,HN!$A:$K,8,FALSE)/12),0)</f>
        <v>0</v>
      </c>
      <c r="Q125" s="302">
        <f>_xlfn.IFNA((VLOOKUP($A125,HN!$A:$BS,14,FALSE)/12),0)</f>
        <v>0</v>
      </c>
      <c r="R125" s="302">
        <f>_xlfn.IFNA(VLOOKUP($A125,'Post 16'!$A:$V,21,FALSE),0)/4</f>
        <v>0</v>
      </c>
      <c r="S125" s="302">
        <f>VLOOKUP($A125,EY!A:Q,15,FALSE)*80%</f>
        <v>0</v>
      </c>
      <c r="T125" s="302">
        <f>_xlfn.IFNA((VLOOKUP($A125,HN!$A:$K,9,FALSE)/12),0)+_xlfn.IFNA((VLOOKUP($A125,HN!$A:$K,10,FALSE)/12),0)</f>
        <v>0</v>
      </c>
      <c r="U125" s="302">
        <f>_xlfn.IFNA((VLOOKUP($A125,HN!$A:$BS,15,FALSE)/12),0)</f>
        <v>0</v>
      </c>
      <c r="V125" s="301">
        <f t="shared" si="73"/>
        <v>-912.79999999999984</v>
      </c>
      <c r="W125" s="301">
        <f t="shared" si="74"/>
        <v>-1280.5883333333334</v>
      </c>
      <c r="X125" s="302"/>
      <c r="Y125" s="302">
        <f>_xlfn.IFNA(VLOOKUP($A125,'Cash Advances'!$A:$S,8,FALSE),0)</f>
        <v>0</v>
      </c>
      <c r="Z125" s="301">
        <f t="shared" si="121"/>
        <v>213246.69755290373</v>
      </c>
      <c r="AA125" s="315">
        <f t="shared" si="75"/>
        <v>215440.08588623707</v>
      </c>
      <c r="AB125" s="315"/>
      <c r="AC125" s="316"/>
      <c r="AD125" s="316">
        <f>_xlfn.IFNA((VLOOKUP($A125,HN!$A:$K,8,FALSE)/12),0)</f>
        <v>0</v>
      </c>
      <c r="AE125" s="316">
        <f>_xlfn.IFNA((VLOOKUP($A125,HN!$A:$BS,14,FALSE)/12),0)</f>
        <v>0</v>
      </c>
      <c r="AF125" s="316">
        <f>_xlfn.IFNA(VLOOKUP($A125,'Post 16'!$A:$V,21,FALSE),0)/4</f>
        <v>0</v>
      </c>
      <c r="AG125" s="316"/>
      <c r="AH125" s="316">
        <f>_xlfn.IFNA((VLOOKUP($A125,HN!$A:$K,9,FALSE)/12),0)+_xlfn.IFNA((VLOOKUP($A125,HN!$A:$K,10,FALSE)/12),0)</f>
        <v>0</v>
      </c>
      <c r="AI125" s="316">
        <f>_xlfn.IFNA((VLOOKUP($A125,HN!$A:$BS,15,FALSE)/12),0)</f>
        <v>0</v>
      </c>
      <c r="AJ125" s="315">
        <f t="shared" si="76"/>
        <v>-912.79999999999984</v>
      </c>
      <c r="AK125" s="315">
        <f t="shared" si="77"/>
        <v>-1280.5883333333334</v>
      </c>
      <c r="AL125" s="316"/>
      <c r="AM125" s="316">
        <f>_xlfn.IFNA(VLOOKUP($A125,'Cash Advances'!$A:$S,9,FALSE),0)</f>
        <v>0</v>
      </c>
      <c r="AN125" s="315">
        <f t="shared" si="122"/>
        <v>213246.69755290373</v>
      </c>
      <c r="AO125" s="308">
        <f t="shared" si="78"/>
        <v>215440.08588623707</v>
      </c>
      <c r="AP125" s="308"/>
      <c r="AQ125" s="309"/>
      <c r="AR125" s="309">
        <f>_xlfn.IFNA((VLOOKUP($A125,HN!$A:$K,8,FALSE)/12),0)</f>
        <v>0</v>
      </c>
      <c r="AS125" s="309">
        <f>_xlfn.IFNA((VLOOKUP($A125,HN!$A:$BS,14,FALSE)/12),0)</f>
        <v>0</v>
      </c>
      <c r="AT125" s="309">
        <f>_xlfn.IFNA(VLOOKUP($A125,'Post 16'!$A:$V,21,FALSE),0)/4</f>
        <v>0</v>
      </c>
      <c r="AU125" s="309"/>
      <c r="AV125" s="309">
        <f>_xlfn.IFNA((VLOOKUP($A125,HN!$A:$K,9,FALSE)/12),0)+_xlfn.IFNA((VLOOKUP($A125,HN!$A:$K,10,FALSE)/12),0)+_xlfn.IFNA(VLOOKUP(A125,HN!A:V,19,FALSE),0)+_xlfn.IFNA(VLOOKUP(A125,HN!A:V,20,FALSE),0)+_xlfn.IFNA(VLOOKUP(A125,HN!A:V,21,FALSE),0)</f>
        <v>0</v>
      </c>
      <c r="AW125" s="309">
        <f>_xlfn.IFNA((VLOOKUP($A125,HN!$A:$BS,15,FALSE)/12),0)</f>
        <v>0</v>
      </c>
      <c r="AX125" s="308">
        <f t="shared" si="79"/>
        <v>-912.79999999999984</v>
      </c>
      <c r="AY125" s="308">
        <f t="shared" si="80"/>
        <v>-1280.5883333333334</v>
      </c>
      <c r="AZ125" s="309"/>
      <c r="BA125" s="309">
        <f>_xlfn.IFNA(VLOOKUP($A125,'Cash Advances'!$A:$S,10,FALSE),0)</f>
        <v>0</v>
      </c>
      <c r="BB125" s="308">
        <f t="shared" si="123"/>
        <v>213246.69755290373</v>
      </c>
      <c r="BC125" s="330">
        <f t="shared" si="81"/>
        <v>215440.08588623707</v>
      </c>
      <c r="BD125" s="330"/>
      <c r="BE125" s="331"/>
      <c r="BF125" s="331">
        <f>_xlfn.IFNA((VLOOKUP($A125,HN!$A:$K,8,FALSE)/12),0)</f>
        <v>0</v>
      </c>
      <c r="BG125" s="331">
        <f>_xlfn.IFNA((VLOOKUP($A125,HN!$A:$BS,14,FALSE)/12),0)</f>
        <v>0</v>
      </c>
      <c r="BH125" s="331">
        <f>_xlfn.IFNA(VLOOKUP($A125,'Post 16'!$A:$V,21,FALSE),0)/4</f>
        <v>0</v>
      </c>
      <c r="BI125" s="331"/>
      <c r="BJ125" s="331">
        <f>_xlfn.IFNA((VLOOKUP($A125,HN!$A:$K,9,FALSE)/12),0)+_xlfn.IFNA((VLOOKUP($A125,HN!$A:$K,10,FALSE)/12),0)</f>
        <v>0</v>
      </c>
      <c r="BK125" s="331">
        <f>_xlfn.IFNA((VLOOKUP($A125,HN!$A:$BS,15,FALSE)/12),0)</f>
        <v>0</v>
      </c>
      <c r="BL125" s="330">
        <f t="shared" si="82"/>
        <v>-912.79999999999984</v>
      </c>
      <c r="BM125" s="330">
        <f t="shared" si="83"/>
        <v>-1280.5883333333334</v>
      </c>
      <c r="BN125" s="331"/>
      <c r="BO125" s="331">
        <f>_xlfn.IFNA(VLOOKUP(A125,'Cash Advances'!A:K,11,FALSE),0)</f>
        <v>0</v>
      </c>
      <c r="BP125" s="330">
        <f t="shared" si="124"/>
        <v>213246.69755290373</v>
      </c>
      <c r="BQ125" s="322">
        <f t="shared" si="84"/>
        <v>215440.08588623707</v>
      </c>
      <c r="BR125" s="322"/>
      <c r="BS125" s="323"/>
      <c r="BT125" s="323">
        <f>_xlfn.IFNA((VLOOKUP($A125,HN!$A:$K,8,FALSE)/12),0)</f>
        <v>0</v>
      </c>
      <c r="BU125" s="323">
        <f>_xlfn.IFNA((VLOOKUP($A125,HN!$A:$BS,14,FALSE)/12),0)</f>
        <v>0</v>
      </c>
      <c r="BV125" s="323">
        <f>(_xlfn.IFNA(VLOOKUP($A125,'Post 16'!$A:$AV,32,FALSE),0)/8)+_xlfn.IFNA(VLOOKUP($A125,'Post 16'!$A:$AR,40,FALSE),0)</f>
        <v>0</v>
      </c>
      <c r="BW125" s="323"/>
      <c r="BX125" s="323">
        <f>_xlfn.IFNA((VLOOKUP($A125,HN!$A:$K,9,FALSE)/12),0)+_xlfn.IFNA((VLOOKUP($A125,HN!$A:$K,10,FALSE)/12),0)</f>
        <v>0</v>
      </c>
      <c r="BY125" s="323">
        <f>_xlfn.IFNA((VLOOKUP($A125,HN!$A:$BS,15,FALSE)/12),0)</f>
        <v>0</v>
      </c>
      <c r="BZ125" s="322">
        <f t="shared" si="85"/>
        <v>-912.79999999999984</v>
      </c>
      <c r="CA125" s="322">
        <f t="shared" si="86"/>
        <v>-1280.5883333333334</v>
      </c>
      <c r="CB125" s="323"/>
      <c r="CC125" s="323"/>
      <c r="CD125" s="322">
        <f t="shared" si="125"/>
        <v>213246.69755290373</v>
      </c>
      <c r="CE125" s="357">
        <f t="shared" si="87"/>
        <v>215440.08588623707</v>
      </c>
      <c r="CF125" s="357">
        <f>(VLOOKUP($A125,EY!$A:$BS,26,FALSE)-(VLOOKUP($A125,EY!A:CR,24,FALSE)*80%))+VLOOKUP($A125,EY!$A:$BS,42,FALSE)+(VLOOKUP($A125,EY!A:CC,74,FALSE)-VLOOKUP($A125,EY!A:CC,72,FALSE))</f>
        <v>0</v>
      </c>
      <c r="CG125" s="358"/>
      <c r="CH125" s="358">
        <f>_xlfn.IFNA((VLOOKUP($A125,HN!$A:$K,8,FALSE)/12),0)</f>
        <v>0</v>
      </c>
      <c r="CI125" s="358">
        <f>_xlfn.IFNA((VLOOKUP($A125,HN!$A:$BS,14,FALSE)/12),0)</f>
        <v>0</v>
      </c>
      <c r="CJ125" s="358">
        <f>(_xlfn.IFNA(VLOOKUP($A125,'Post 16'!$A:$AV,32,FALSE),0)/8)</f>
        <v>0</v>
      </c>
      <c r="CK125" s="358">
        <f>(VLOOKUP($A125,EY!A:CR,24,FALSE)*80%)+VLOOKUP($A125,EY!A:CC,72,FALSE)</f>
        <v>0</v>
      </c>
      <c r="CL125" s="358">
        <f>_xlfn.IFNA((VLOOKUP($A125,HN!$A:$K,9,FALSE)/12),0)+_xlfn.IFNA((VLOOKUP($A125,HN!$A:$K,10,FALSE)/12),0)</f>
        <v>0</v>
      </c>
      <c r="CM125" s="358">
        <f>_xlfn.IFNA((VLOOKUP($A125,HN!$A:$BS,15,FALSE)/12),0)</f>
        <v>0</v>
      </c>
      <c r="CN125" s="357">
        <f t="shared" si="88"/>
        <v>-912.79999999999984</v>
      </c>
      <c r="CO125" s="357">
        <f t="shared" si="89"/>
        <v>-1280.5883333333334</v>
      </c>
      <c r="CP125" s="358">
        <f>_xlfn.IFNA(VLOOKUP(A125,'LA Deductions'!A:W,23,FALSE),0)</f>
        <v>-9471</v>
      </c>
      <c r="CQ125" s="358">
        <f>_xlfn.IFNA(VLOOKUP($A125,'Cash Advances'!$A:$S,13,FALSE),0)</f>
        <v>0</v>
      </c>
      <c r="CR125" s="358">
        <f>_xlfn.IFNA(VLOOKUP(A125,'LA Deductions'!A:AZ,25,FALSE),0)/9*3</f>
        <v>0</v>
      </c>
      <c r="CS125" s="357">
        <f t="shared" si="108"/>
        <v>203775.69755290373</v>
      </c>
      <c r="CT125" s="337">
        <f t="shared" si="90"/>
        <v>215440.08588623707</v>
      </c>
      <c r="CU125" s="337"/>
      <c r="CV125" s="338">
        <f>_xlfn.IFNA(VLOOKUP(A125,'LA Deductions'!$A$6:$AN$207,34,FALSE),0)</f>
        <v>0</v>
      </c>
      <c r="CW125" s="338">
        <f>_xlfn.IFNA((VLOOKUP($A125,HN!$A:$K,8,FALSE)/12),0)</f>
        <v>0</v>
      </c>
      <c r="CX125" s="338">
        <f>_xlfn.IFNA((VLOOKUP($A125,HN!$A:$BS,14,FALSE)/12),0)</f>
        <v>0</v>
      </c>
      <c r="CY125" s="338">
        <f>_xlfn.IFNA(VLOOKUP($A125,'Post 16'!$A:$AV,32,FALSE),0)/8</f>
        <v>0</v>
      </c>
      <c r="CZ125" s="338"/>
      <c r="DA125" s="338">
        <f>_xlfn.IFNA((VLOOKUP($A125,HN!$A:$K,9,FALSE)/12),0)+_xlfn.IFNA((VLOOKUP($A125,HN!$A:$K,10,FALSE)/12),0)</f>
        <v>0</v>
      </c>
      <c r="DB125" s="338">
        <f>_xlfn.IFNA((VLOOKUP($A125,HN!$A:$BS,15,FALSE)/12),0)</f>
        <v>0</v>
      </c>
      <c r="DC125" s="337">
        <f t="shared" si="91"/>
        <v>-912.79999999999984</v>
      </c>
      <c r="DD125" s="337">
        <f t="shared" si="92"/>
        <v>-1280.5883333333334</v>
      </c>
      <c r="DE125" s="338"/>
      <c r="DF125" s="338">
        <f>_xlfn.IFNA(VLOOKUP($A125,'Cash Advances'!$A:$S,14,FALSE),0)</f>
        <v>0</v>
      </c>
      <c r="DG125" s="338">
        <f>(_xlfn.IFNA(VLOOKUP(A125,'LA Deductions'!A:AZ,25,FALSE),0)/9)+(_xlfn.IFNA(VLOOKUP(A125,'LA Deductions'!A:AZ,26,FALSE),0))</f>
        <v>0</v>
      </c>
      <c r="DH125" s="337">
        <f t="shared" si="109"/>
        <v>213246.69755290373</v>
      </c>
      <c r="DI125" s="330">
        <f t="shared" si="93"/>
        <v>215440.08588623707</v>
      </c>
      <c r="DJ125" s="330"/>
      <c r="DK125" s="331"/>
      <c r="DL125" s="331">
        <f>_xlfn.IFNA((VLOOKUP($A125,HN!$A:$K,8,FALSE)/12),0)+_xlfn.IFNA((VLOOKUP($A125,HN!$A:$AF,32,FALSE)*8/12),0)</f>
        <v>0</v>
      </c>
      <c r="DM125" s="331">
        <f>_xlfn.IFNA((VLOOKUP($A125,HN!$A:$BS,14,FALSE)/12),0)+_xlfn.IFNA(VLOOKUP($A125,HN!$A:$BS,31,FALSE),0)</f>
        <v>0</v>
      </c>
      <c r="DN125" s="331">
        <f>_xlfn.IFNA(VLOOKUP($A125,'Post 16'!$A:$AV,32,FALSE),0)/8</f>
        <v>0</v>
      </c>
      <c r="DO125" s="331"/>
      <c r="DP125" s="331">
        <f>_xlfn.IFNA((VLOOKUP($A125,HN!$A:$K,9,FALSE)/12),0)+_xlfn.IFNA((VLOOKUP($A125,HN!$A:$K,10,FALSE)/12),0)+_xlfn.IFNA((VLOOKUP($A125,HN!$A:$BZ,33,FALSE)*8/12),0)</f>
        <v>0</v>
      </c>
      <c r="DQ125" s="331">
        <f>_xlfn.IFNA((VLOOKUP($A125,HN!$A:$BS,15,FALSE)/12),0)</f>
        <v>0</v>
      </c>
      <c r="DR125" s="330">
        <f t="shared" si="94"/>
        <v>-912.79999999999984</v>
      </c>
      <c r="DS125" s="330">
        <f t="shared" si="95"/>
        <v>-1280.5883333333334</v>
      </c>
      <c r="DT125" s="331"/>
      <c r="DU125" s="331"/>
      <c r="DV125" s="331">
        <f>(_xlfn.IFNA(VLOOKUP(A125,'LA Deductions'!A:AZ,25,FALSE),0)/9)+_xlfn.IFNA(VLOOKUP(A125,'LA Deductions'!A:AZ,27,FALSE),0)</f>
        <v>0</v>
      </c>
      <c r="DW125" s="330">
        <f t="shared" si="110"/>
        <v>213246.69755290373</v>
      </c>
      <c r="DX125" s="344">
        <f t="shared" si="96"/>
        <v>215440.08588623707</v>
      </c>
      <c r="DY125" s="344"/>
      <c r="DZ125" s="345"/>
      <c r="EA125" s="345">
        <f>_xlfn.IFNA((VLOOKUP($A125,HN!$A:$K,8,FALSE)/12),0)+_xlfn.IFNA((VLOOKUP($A125,HN!$A:$AF,32,FALSE)*1/12),0)</f>
        <v>0</v>
      </c>
      <c r="EB125" s="345">
        <f>_xlfn.IFNA((VLOOKUP($A125,HN!$A:$BS,14,FALSE)/12),0)</f>
        <v>0</v>
      </c>
      <c r="EC125" s="345">
        <f>_xlfn.IFNA(VLOOKUP($A125,'Post 16'!$A:$AV,32,FALSE),0)/8</f>
        <v>0</v>
      </c>
      <c r="ED125" s="345"/>
      <c r="EE125" s="345">
        <f>_xlfn.IFNA((VLOOKUP($A125,HN!$A:$K,9,FALSE)/12),0)+_xlfn.IFNA((VLOOKUP($A125,HN!$A:$K,10,FALSE)/12),0)+_xlfn.IFNA((VLOOKUP($A125,HN!$A:$BZ,33,FALSE)/12),0)</f>
        <v>0</v>
      </c>
      <c r="EF125" s="345">
        <f>_xlfn.IFNA((VLOOKUP($A125,HN!$A:$BS,15,FALSE)/12),0)</f>
        <v>0</v>
      </c>
      <c r="EG125" s="344">
        <f t="shared" si="97"/>
        <v>-912.79999999999984</v>
      </c>
      <c r="EH125" s="344">
        <f t="shared" si="98"/>
        <v>-1280.5883333333334</v>
      </c>
      <c r="EI125" s="345"/>
      <c r="EJ125" s="345">
        <f>_xlfn.IFNA(VLOOKUP(A125,'Cash Advances'!A:P,16,FALSE),0)</f>
        <v>0</v>
      </c>
      <c r="EK125" s="345">
        <f>_xlfn.IFNA(VLOOKUP(A125,'LA Deductions'!A:AZ,25,FALSE),0)/9</f>
        <v>0</v>
      </c>
      <c r="EL125" s="344">
        <f t="shared" si="111"/>
        <v>213246.69755290373</v>
      </c>
      <c r="EM125" s="308">
        <f t="shared" si="99"/>
        <v>215440.08588623707</v>
      </c>
      <c r="EN125" s="308">
        <f>((VLOOKUP($A125,EY!$A:$BS,35,FALSE)-(VLOOKUP($A125,EY!$A:$BS,33,FALSE)*80%))+VLOOKUP($A125,EY!$A:$BS,43,FALSE))+(VLOOKUP(A125,EY!A:DF,110,FALSE)-VLOOKUP(A125,EY!A:DD,108,FALSE))+(VLOOKUP(A125,EY!A:CE,83,FALSE)-VLOOKUP(A125,EY!A:CC,81,FALSE))</f>
        <v>0</v>
      </c>
      <c r="EO125" s="309"/>
      <c r="EP125" s="309">
        <f>_xlfn.IFNA((VLOOKUP($A125,HN!$A:$K,8,FALSE)/12),0)+_xlfn.IFNA((VLOOKUP($A125,HN!$A:$AF,32,FALSE)*1/12),0)</f>
        <v>0</v>
      </c>
      <c r="EQ125" s="309">
        <f>_xlfn.IFNA((VLOOKUP($A125,HN!$A:$BS,14,FALSE)/12),0)+_xlfn.IFNA((VLOOKUP($A125,HN!$A:$BS,34,FALSE)/3),0)</f>
        <v>0</v>
      </c>
      <c r="ER125" s="309">
        <f>_xlfn.IFNA(VLOOKUP($A125,'Post 16'!$A:$AV,32,FALSE),0)/8</f>
        <v>0</v>
      </c>
      <c r="ES125" s="309">
        <f>((VLOOKUP($A125,EY!A:EV,33,FALSE)*80%))+VLOOKUP(A125,EY!A:DD,108,FALSE)+VLOOKUP(A125,EY!A:CC,81,FALSE)</f>
        <v>0</v>
      </c>
      <c r="ET125" s="309">
        <f>_xlfn.IFNA((VLOOKUP($A125,HN!$A:$K,9,FALSE)/12),0)+_xlfn.IFNA((VLOOKUP($A125,HN!$A:$K,10,FALSE)/12),0)+_xlfn.IFNA((VLOOKUP($A125,HN!$A:$BZ,33,FALSE)/12),0)</f>
        <v>0</v>
      </c>
      <c r="EU125" s="309">
        <f>_xlfn.IFNA((VLOOKUP($A125,HN!$A:$BS,15,FALSE)/12),0)</f>
        <v>0</v>
      </c>
      <c r="EV125" s="308">
        <f t="shared" si="100"/>
        <v>-912.79999999999984</v>
      </c>
      <c r="EW125" s="308">
        <f t="shared" si="101"/>
        <v>-1280.5883333333334</v>
      </c>
      <c r="EX125" s="309"/>
      <c r="EY125" s="309">
        <f>_xlfn.IFNA(VLOOKUP($A125,'Cash Advances'!$A:$S,17,FALSE),0)</f>
        <v>0</v>
      </c>
      <c r="EZ125" s="309">
        <f>_xlfn.IFNA(VLOOKUP(A125,'LA Deductions'!A:AZ,25,FALSE),0)/9</f>
        <v>0</v>
      </c>
      <c r="FA125" s="308">
        <f t="shared" si="112"/>
        <v>213246.69755290373</v>
      </c>
      <c r="FB125" s="315">
        <f t="shared" si="102"/>
        <v>215440.08588623707</v>
      </c>
      <c r="FC125" s="315"/>
      <c r="FD125" s="316"/>
      <c r="FE125" s="316">
        <f>_xlfn.IFNA((VLOOKUP($A125,HN!$A:$K,8,FALSE)/12),0)+_xlfn.IFNA((VLOOKUP($A125,HN!$A:$AF,32,FALSE)*1/12),0)</f>
        <v>0</v>
      </c>
      <c r="FF125" s="316">
        <f>_xlfn.IFNA((VLOOKUP($A125,HN!$A:$BS,14,FALSE)/12),0)+_xlfn.IFNA((VLOOKUP($A125,HN!$A:$BS,34,FALSE)/3),0)</f>
        <v>0</v>
      </c>
      <c r="FG125" s="316">
        <f>_xlfn.IFNA(VLOOKUP($A125,'Post 16'!$A:$AV,32,FALSE),0)/8</f>
        <v>0</v>
      </c>
      <c r="FH125" s="316"/>
      <c r="FI125" s="316">
        <f>_xlfn.IFNA((VLOOKUP($A125,HN!$A:$K,9,FALSE)/12),0)+_xlfn.IFNA((VLOOKUP($A125,HN!$A:$K,10,FALSE)/12),0)+_xlfn.IFNA((VLOOKUP($A125,HN!$A:$BZ,33,FALSE)/12),0)+_xlfn.IFNA((VLOOKUP($A125,HN!$A:$BZ,35,FALSE)/2),0)</f>
        <v>0</v>
      </c>
      <c r="FJ125" s="316">
        <f>_xlfn.IFNA((VLOOKUP($A125,HN!$A:$BS,15,FALSE)/12),0)+_xlfn.IFNA((VLOOKUP($A125,HN!$A:$CZ,36,FALSE)/2),0)</f>
        <v>0</v>
      </c>
      <c r="FK125" s="315">
        <f t="shared" si="103"/>
        <v>-912.79999999999984</v>
      </c>
      <c r="FL125" s="315">
        <f t="shared" si="104"/>
        <v>-1280.5883333333334</v>
      </c>
      <c r="FM125" s="316"/>
      <c r="FN125" s="316">
        <f>_xlfn.IFNA(VLOOKUP($A125,'Cash Advances'!$A:$S,18,FALSE),0)</f>
        <v>0</v>
      </c>
      <c r="FO125" s="316">
        <f>_xlfn.IFNA(VLOOKUP(A125,'LA Deductions'!A:AZ,25,FALSE),0)/9</f>
        <v>0</v>
      </c>
      <c r="FP125" s="315">
        <f t="shared" si="113"/>
        <v>213246.69755290373</v>
      </c>
      <c r="FQ125" s="322">
        <f t="shared" si="105"/>
        <v>215440.08588623707</v>
      </c>
      <c r="FR125" s="322"/>
      <c r="FS125" s="323"/>
      <c r="FT125" s="323">
        <f>_xlfn.IFNA((VLOOKUP($A125,HN!$A:$K,8,FALSE)/12),0)+_xlfn.IFNA((VLOOKUP($A125,HN!$A:$AF,32,FALSE)*1/12),0)</f>
        <v>0</v>
      </c>
      <c r="FU125" s="323">
        <f>_xlfn.IFNA((VLOOKUP($A125,HN!$A:$BS,14,FALSE)/12),0)+_xlfn.IFNA((VLOOKUP($A125,HN!$A:$BS,34,FALSE)/3),0)</f>
        <v>0</v>
      </c>
      <c r="FV125" s="323">
        <f>_xlfn.IFNA(VLOOKUP($A125,'Post 16'!$A:$AV,32,FALSE),0)/8</f>
        <v>0</v>
      </c>
      <c r="FW125" s="323"/>
      <c r="FX125" s="323">
        <f>_xlfn.IFNA((VLOOKUP($A125,HN!$A:$K,9,FALSE)/12),0)+_xlfn.IFNA((VLOOKUP($A125,HN!$A:$K,10,FALSE)/12),0)+_xlfn.IFNA((VLOOKUP($A125,HN!$A:$BZ,33,FALSE)/12),0)+_xlfn.IFNA((VLOOKUP($A125,HN!$A:$BZ,35,FALSE)/2),0)</f>
        <v>0</v>
      </c>
      <c r="FY125" s="323">
        <f>_xlfn.IFNA((VLOOKUP($A125,HN!$A:$BS,15,FALSE)/12),0)+_xlfn.IFNA((VLOOKUP($A125,HN!$A:$CZ,36,FALSE)/2),0)</f>
        <v>0</v>
      </c>
      <c r="FZ125" s="322">
        <f t="shared" si="106"/>
        <v>-912.79999999999984</v>
      </c>
      <c r="GA125" s="322">
        <f t="shared" si="107"/>
        <v>-1280.5883333333334</v>
      </c>
      <c r="GB125" s="323"/>
      <c r="GC125" s="323"/>
      <c r="GD125" s="323">
        <f>_xlfn.IFNA(VLOOKUP(A125,'LA Deductions'!A:AZ,25,FALSE),0)/9</f>
        <v>0</v>
      </c>
      <c r="GE125" s="322">
        <f t="shared" si="114"/>
        <v>213246.69755290373</v>
      </c>
      <c r="GG125" s="146">
        <f t="shared" si="128"/>
        <v>2585281.0306348447</v>
      </c>
      <c r="GH125" s="146">
        <f t="shared" si="128"/>
        <v>0</v>
      </c>
      <c r="GI125" s="146">
        <f t="shared" si="128"/>
        <v>0</v>
      </c>
      <c r="GJ125" s="146">
        <f t="shared" si="128"/>
        <v>-10953.599999999997</v>
      </c>
      <c r="GK125" s="146">
        <f t="shared" si="128"/>
        <v>-15367.06</v>
      </c>
      <c r="GL125" s="146">
        <f t="shared" si="128"/>
        <v>-9471</v>
      </c>
      <c r="GN125" s="146">
        <f t="shared" si="129"/>
        <v>2585281.0306348447</v>
      </c>
      <c r="GO125" s="146">
        <f t="shared" si="129"/>
        <v>0</v>
      </c>
      <c r="GP125" s="146">
        <f t="shared" si="129"/>
        <v>0</v>
      </c>
      <c r="GQ125" s="146">
        <f t="shared" si="129"/>
        <v>-10953.599999999997</v>
      </c>
      <c r="GR125" s="146">
        <f t="shared" si="129"/>
        <v>-15367.06</v>
      </c>
      <c r="GS125" s="146">
        <f t="shared" si="129"/>
        <v>-9471</v>
      </c>
      <c r="GU125" s="146"/>
      <c r="GV125" s="57"/>
    </row>
    <row r="126" spans="1:204">
      <c r="A126" s="185">
        <v>4625</v>
      </c>
      <c r="B126" s="185">
        <v>103534</v>
      </c>
      <c r="C126" s="185" t="s">
        <v>276</v>
      </c>
      <c r="D126" s="2" t="s">
        <v>277</v>
      </c>
      <c r="E126" s="191" t="s">
        <v>58</v>
      </c>
      <c r="F126" s="191" t="s">
        <v>912</v>
      </c>
      <c r="H126" s="279">
        <f>_xlfn.IFNA(VLOOKUP($A126,ISB!$A$4:$BY$454,67,FALSE),0)</f>
        <v>5214026.7802883051</v>
      </c>
      <c r="I126" s="279">
        <f>_xlfn.IFNA(VLOOKUP($A126,ISB!$A$4:$BY$454,72,FALSE),0)</f>
        <v>-12601.38</v>
      </c>
      <c r="J126" s="279">
        <f>-_xlfn.IFNA(VLOOKUP($A126,ISB!$A$4:$BY$454,76,FALSE),0)</f>
        <v>-13885.91</v>
      </c>
      <c r="K126" s="279">
        <f>_xlfn.IFNA(VLOOKUP($A126,ISB!$A$4:$BY$454,77,FALSE),0)</f>
        <v>5187539.4902883051</v>
      </c>
      <c r="M126" s="301">
        <f t="shared" si="72"/>
        <v>434502.23169069208</v>
      </c>
      <c r="N126" s="301">
        <f>VLOOKUP($A126,EY!$A:$H,8,FALSE)+(VLOOKUP($A126,EY!$A:$BS,17,FALSE)-S126)+VLOOKUP($A126,EY!$A:$BS,41,FALSE)</f>
        <v>0</v>
      </c>
      <c r="O126" s="302"/>
      <c r="P126" s="302">
        <f>_xlfn.IFNA((VLOOKUP($A126,HN!$A:$K,8,FALSE)/12),0)</f>
        <v>0</v>
      </c>
      <c r="Q126" s="302">
        <f>_xlfn.IFNA((VLOOKUP($A126,HN!$A:$BS,14,FALSE)/12),0)</f>
        <v>0</v>
      </c>
      <c r="R126" s="302">
        <f>_xlfn.IFNA(VLOOKUP($A126,'Post 16'!$A:$V,21,FALSE),0)/4</f>
        <v>0</v>
      </c>
      <c r="S126" s="302">
        <f>VLOOKUP($A126,EY!A:Q,15,FALSE)*80%</f>
        <v>0</v>
      </c>
      <c r="T126" s="302">
        <f>_xlfn.IFNA((VLOOKUP($A126,HN!$A:$K,9,FALSE)/12),0)+_xlfn.IFNA((VLOOKUP($A126,HN!$A:$K,10,FALSE)/12),0)</f>
        <v>0</v>
      </c>
      <c r="U126" s="302">
        <f>_xlfn.IFNA((VLOOKUP($A126,HN!$A:$BS,15,FALSE)/12),0)</f>
        <v>0</v>
      </c>
      <c r="V126" s="301">
        <f t="shared" si="73"/>
        <v>-1050.115</v>
      </c>
      <c r="W126" s="301">
        <f t="shared" si="74"/>
        <v>-1157.1591666666666</v>
      </c>
      <c r="X126" s="302"/>
      <c r="Y126" s="302">
        <f>_xlfn.IFNA(VLOOKUP($A126,'Cash Advances'!$A:$S,8,FALSE),0)</f>
        <v>0</v>
      </c>
      <c r="Z126" s="301">
        <f t="shared" si="121"/>
        <v>432294.95752402541</v>
      </c>
      <c r="AA126" s="315">
        <f t="shared" si="75"/>
        <v>434502.23169069208</v>
      </c>
      <c r="AB126" s="315"/>
      <c r="AC126" s="316"/>
      <c r="AD126" s="316">
        <f>_xlfn.IFNA((VLOOKUP($A126,HN!$A:$K,8,FALSE)/12),0)</f>
        <v>0</v>
      </c>
      <c r="AE126" s="316">
        <f>_xlfn.IFNA((VLOOKUP($A126,HN!$A:$BS,14,FALSE)/12),0)</f>
        <v>0</v>
      </c>
      <c r="AF126" s="316">
        <f>_xlfn.IFNA(VLOOKUP($A126,'Post 16'!$A:$V,21,FALSE),0)/4</f>
        <v>0</v>
      </c>
      <c r="AG126" s="316"/>
      <c r="AH126" s="316">
        <f>_xlfn.IFNA((VLOOKUP($A126,HN!$A:$K,9,FALSE)/12),0)+_xlfn.IFNA((VLOOKUP($A126,HN!$A:$K,10,FALSE)/12),0)</f>
        <v>0</v>
      </c>
      <c r="AI126" s="316">
        <f>_xlfn.IFNA((VLOOKUP($A126,HN!$A:$BS,15,FALSE)/12),0)</f>
        <v>0</v>
      </c>
      <c r="AJ126" s="315">
        <f t="shared" si="76"/>
        <v>-1050.115</v>
      </c>
      <c r="AK126" s="315">
        <f t="shared" si="77"/>
        <v>-1157.1591666666666</v>
      </c>
      <c r="AL126" s="316"/>
      <c r="AM126" s="316">
        <f>_xlfn.IFNA(VLOOKUP($A126,'Cash Advances'!$A:$S,9,FALSE),0)</f>
        <v>0</v>
      </c>
      <c r="AN126" s="315">
        <f t="shared" si="122"/>
        <v>432294.95752402541</v>
      </c>
      <c r="AO126" s="308">
        <f t="shared" si="78"/>
        <v>434502.23169069208</v>
      </c>
      <c r="AP126" s="308"/>
      <c r="AQ126" s="309"/>
      <c r="AR126" s="309">
        <f>_xlfn.IFNA((VLOOKUP($A126,HN!$A:$K,8,FALSE)/12),0)</f>
        <v>0</v>
      </c>
      <c r="AS126" s="309">
        <f>_xlfn.IFNA((VLOOKUP($A126,HN!$A:$BS,14,FALSE)/12),0)</f>
        <v>0</v>
      </c>
      <c r="AT126" s="309">
        <f>_xlfn.IFNA(VLOOKUP($A126,'Post 16'!$A:$V,21,FALSE),0)/4</f>
        <v>0</v>
      </c>
      <c r="AU126" s="309"/>
      <c r="AV126" s="309">
        <f>_xlfn.IFNA((VLOOKUP($A126,HN!$A:$K,9,FALSE)/12),0)+_xlfn.IFNA((VLOOKUP($A126,HN!$A:$K,10,FALSE)/12),0)+_xlfn.IFNA(VLOOKUP(A126,HN!A:V,19,FALSE),0)+_xlfn.IFNA(VLOOKUP(A126,HN!A:V,20,FALSE),0)+_xlfn.IFNA(VLOOKUP(A126,HN!A:V,21,FALSE),0)</f>
        <v>0</v>
      </c>
      <c r="AW126" s="309">
        <f>_xlfn.IFNA((VLOOKUP($A126,HN!$A:$BS,15,FALSE)/12),0)</f>
        <v>0</v>
      </c>
      <c r="AX126" s="308">
        <f t="shared" si="79"/>
        <v>-1050.115</v>
      </c>
      <c r="AY126" s="308">
        <f t="shared" si="80"/>
        <v>-1157.1591666666666</v>
      </c>
      <c r="AZ126" s="309"/>
      <c r="BA126" s="309">
        <f>_xlfn.IFNA(VLOOKUP($A126,'Cash Advances'!$A:$S,10,FALSE),0)</f>
        <v>0</v>
      </c>
      <c r="BB126" s="308">
        <f t="shared" si="123"/>
        <v>432294.95752402541</v>
      </c>
      <c r="BC126" s="330">
        <f t="shared" si="81"/>
        <v>434502.23169069208</v>
      </c>
      <c r="BD126" s="330"/>
      <c r="BE126" s="331"/>
      <c r="BF126" s="331">
        <f>_xlfn.IFNA((VLOOKUP($A126,HN!$A:$K,8,FALSE)/12),0)</f>
        <v>0</v>
      </c>
      <c r="BG126" s="331">
        <f>_xlfn.IFNA((VLOOKUP($A126,HN!$A:$BS,14,FALSE)/12),0)</f>
        <v>0</v>
      </c>
      <c r="BH126" s="331">
        <f>_xlfn.IFNA(VLOOKUP($A126,'Post 16'!$A:$V,21,FALSE),0)/4</f>
        <v>0</v>
      </c>
      <c r="BI126" s="331"/>
      <c r="BJ126" s="331">
        <f>_xlfn.IFNA((VLOOKUP($A126,HN!$A:$K,9,FALSE)/12),0)+_xlfn.IFNA((VLOOKUP($A126,HN!$A:$K,10,FALSE)/12),0)</f>
        <v>0</v>
      </c>
      <c r="BK126" s="331">
        <f>_xlfn.IFNA((VLOOKUP($A126,HN!$A:$BS,15,FALSE)/12),0)</f>
        <v>0</v>
      </c>
      <c r="BL126" s="330">
        <f t="shared" si="82"/>
        <v>-1050.115</v>
      </c>
      <c r="BM126" s="330">
        <f t="shared" si="83"/>
        <v>-1157.1591666666666</v>
      </c>
      <c r="BN126" s="331"/>
      <c r="BO126" s="331">
        <f>_xlfn.IFNA(VLOOKUP(A126,'Cash Advances'!A:K,11,FALSE),0)</f>
        <v>0</v>
      </c>
      <c r="BP126" s="330">
        <f t="shared" si="124"/>
        <v>432294.95752402541</v>
      </c>
      <c r="BQ126" s="322">
        <f t="shared" si="84"/>
        <v>434502.23169069208</v>
      </c>
      <c r="BR126" s="322"/>
      <c r="BS126" s="323"/>
      <c r="BT126" s="323">
        <f>_xlfn.IFNA((VLOOKUP($A126,HN!$A:$K,8,FALSE)/12),0)</f>
        <v>0</v>
      </c>
      <c r="BU126" s="323">
        <f>_xlfn.IFNA((VLOOKUP($A126,HN!$A:$BS,14,FALSE)/12),0)</f>
        <v>0</v>
      </c>
      <c r="BV126" s="323">
        <f>(_xlfn.IFNA(VLOOKUP($A126,'Post 16'!$A:$AV,32,FALSE),0)/8)+_xlfn.IFNA(VLOOKUP($A126,'Post 16'!$A:$AR,40,FALSE),0)</f>
        <v>0</v>
      </c>
      <c r="BW126" s="323"/>
      <c r="BX126" s="323">
        <f>_xlfn.IFNA((VLOOKUP($A126,HN!$A:$K,9,FALSE)/12),0)+_xlfn.IFNA((VLOOKUP($A126,HN!$A:$K,10,FALSE)/12),0)</f>
        <v>0</v>
      </c>
      <c r="BY126" s="323">
        <f>_xlfn.IFNA((VLOOKUP($A126,HN!$A:$BS,15,FALSE)/12),0)</f>
        <v>0</v>
      </c>
      <c r="BZ126" s="322">
        <f t="shared" si="85"/>
        <v>-1050.115</v>
      </c>
      <c r="CA126" s="322">
        <f t="shared" si="86"/>
        <v>-1157.1591666666666</v>
      </c>
      <c r="CB126" s="323"/>
      <c r="CC126" s="323"/>
      <c r="CD126" s="322">
        <f t="shared" si="125"/>
        <v>432294.95752402541</v>
      </c>
      <c r="CE126" s="357">
        <f t="shared" si="87"/>
        <v>434502.23169069208</v>
      </c>
      <c r="CF126" s="357">
        <f>(VLOOKUP($A126,EY!$A:$BS,26,FALSE)-(VLOOKUP($A126,EY!A:CR,24,FALSE)*80%))+VLOOKUP($A126,EY!$A:$BS,42,FALSE)+(VLOOKUP($A126,EY!A:CC,74,FALSE)-VLOOKUP($A126,EY!A:CC,72,FALSE))</f>
        <v>0</v>
      </c>
      <c r="CG126" s="358"/>
      <c r="CH126" s="358">
        <f>_xlfn.IFNA((VLOOKUP($A126,HN!$A:$K,8,FALSE)/12),0)</f>
        <v>0</v>
      </c>
      <c r="CI126" s="358">
        <f>_xlfn.IFNA((VLOOKUP($A126,HN!$A:$BS,14,FALSE)/12),0)</f>
        <v>0</v>
      </c>
      <c r="CJ126" s="358">
        <f>(_xlfn.IFNA(VLOOKUP($A126,'Post 16'!$A:$AV,32,FALSE),0)/8)</f>
        <v>0</v>
      </c>
      <c r="CK126" s="358">
        <f>(VLOOKUP($A126,EY!A:CR,24,FALSE)*80%)+VLOOKUP($A126,EY!A:CC,72,FALSE)</f>
        <v>0</v>
      </c>
      <c r="CL126" s="358">
        <f>_xlfn.IFNA((VLOOKUP($A126,HN!$A:$K,9,FALSE)/12),0)+_xlfn.IFNA((VLOOKUP($A126,HN!$A:$K,10,FALSE)/12),0)</f>
        <v>0</v>
      </c>
      <c r="CM126" s="358">
        <f>_xlfn.IFNA((VLOOKUP($A126,HN!$A:$BS,15,FALSE)/12),0)</f>
        <v>0</v>
      </c>
      <c r="CN126" s="357">
        <f t="shared" si="88"/>
        <v>-1050.115</v>
      </c>
      <c r="CO126" s="357">
        <f t="shared" si="89"/>
        <v>-1157.1591666666666</v>
      </c>
      <c r="CP126" s="358">
        <f>_xlfn.IFNA(VLOOKUP(A126,'LA Deductions'!A:W,23,FALSE),0)</f>
        <v>0</v>
      </c>
      <c r="CQ126" s="358">
        <f>_xlfn.IFNA(VLOOKUP($A126,'Cash Advances'!$A:$S,13,FALSE),0)</f>
        <v>0</v>
      </c>
      <c r="CR126" s="358">
        <f>_xlfn.IFNA(VLOOKUP(A126,'LA Deductions'!A:AZ,25,FALSE),0)/9*3</f>
        <v>0</v>
      </c>
      <c r="CS126" s="357">
        <f t="shared" si="108"/>
        <v>432294.95752402541</v>
      </c>
      <c r="CT126" s="337">
        <f t="shared" si="90"/>
        <v>434502.23169069208</v>
      </c>
      <c r="CU126" s="337"/>
      <c r="CV126" s="338">
        <f>_xlfn.IFNA(VLOOKUP(A126,'LA Deductions'!$A$6:$AN$207,34,FALSE),0)</f>
        <v>-6556.5177999999996</v>
      </c>
      <c r="CW126" s="338">
        <f>_xlfn.IFNA((VLOOKUP($A126,HN!$A:$K,8,FALSE)/12),0)</f>
        <v>0</v>
      </c>
      <c r="CX126" s="338">
        <f>_xlfn.IFNA((VLOOKUP($A126,HN!$A:$BS,14,FALSE)/12),0)</f>
        <v>0</v>
      </c>
      <c r="CY126" s="338">
        <f>_xlfn.IFNA(VLOOKUP($A126,'Post 16'!$A:$AV,32,FALSE),0)/8</f>
        <v>0</v>
      </c>
      <c r="CZ126" s="338"/>
      <c r="DA126" s="338">
        <f>_xlfn.IFNA((VLOOKUP($A126,HN!$A:$K,9,FALSE)/12),0)+_xlfn.IFNA((VLOOKUP($A126,HN!$A:$K,10,FALSE)/12),0)</f>
        <v>0</v>
      </c>
      <c r="DB126" s="338">
        <f>_xlfn.IFNA((VLOOKUP($A126,HN!$A:$BS,15,FALSE)/12),0)</f>
        <v>0</v>
      </c>
      <c r="DC126" s="337">
        <f t="shared" si="91"/>
        <v>-1050.115</v>
      </c>
      <c r="DD126" s="337">
        <f t="shared" si="92"/>
        <v>-1157.1591666666666</v>
      </c>
      <c r="DE126" s="338"/>
      <c r="DF126" s="338">
        <f>_xlfn.IFNA(VLOOKUP($A126,'Cash Advances'!$A:$S,14,FALSE),0)</f>
        <v>0</v>
      </c>
      <c r="DG126" s="338">
        <f>(_xlfn.IFNA(VLOOKUP(A126,'LA Deductions'!A:AZ,25,FALSE),0)/9)+(_xlfn.IFNA(VLOOKUP(A126,'LA Deductions'!A:AZ,26,FALSE),0))</f>
        <v>0</v>
      </c>
      <c r="DH126" s="337">
        <f t="shared" si="109"/>
        <v>425738.43972402543</v>
      </c>
      <c r="DI126" s="330">
        <f t="shared" si="93"/>
        <v>434502.23169069208</v>
      </c>
      <c r="DJ126" s="330"/>
      <c r="DK126" s="331"/>
      <c r="DL126" s="331">
        <f>_xlfn.IFNA((VLOOKUP($A126,HN!$A:$K,8,FALSE)/12),0)+_xlfn.IFNA((VLOOKUP($A126,HN!$A:$AF,32,FALSE)*8/12),0)</f>
        <v>0</v>
      </c>
      <c r="DM126" s="331">
        <f>_xlfn.IFNA((VLOOKUP($A126,HN!$A:$BS,14,FALSE)/12),0)+_xlfn.IFNA(VLOOKUP($A126,HN!$A:$BS,31,FALSE),0)</f>
        <v>0</v>
      </c>
      <c r="DN126" s="331">
        <f>_xlfn.IFNA(VLOOKUP($A126,'Post 16'!$A:$AV,32,FALSE),0)/8</f>
        <v>0</v>
      </c>
      <c r="DO126" s="331"/>
      <c r="DP126" s="331">
        <f>_xlfn.IFNA((VLOOKUP($A126,HN!$A:$K,9,FALSE)/12),0)+_xlfn.IFNA((VLOOKUP($A126,HN!$A:$K,10,FALSE)/12),0)+_xlfn.IFNA((VLOOKUP($A126,HN!$A:$BZ,33,FALSE)*8/12),0)</f>
        <v>0</v>
      </c>
      <c r="DQ126" s="331">
        <f>_xlfn.IFNA((VLOOKUP($A126,HN!$A:$BS,15,FALSE)/12),0)</f>
        <v>0</v>
      </c>
      <c r="DR126" s="330">
        <f t="shared" si="94"/>
        <v>-1050.115</v>
      </c>
      <c r="DS126" s="330">
        <f t="shared" si="95"/>
        <v>-1157.1591666666666</v>
      </c>
      <c r="DT126" s="331"/>
      <c r="DU126" s="331"/>
      <c r="DV126" s="331">
        <f>(_xlfn.IFNA(VLOOKUP(A126,'LA Deductions'!A:AZ,25,FALSE),0)/9)+_xlfn.IFNA(VLOOKUP(A126,'LA Deductions'!A:AZ,27,FALSE),0)</f>
        <v>0</v>
      </c>
      <c r="DW126" s="330">
        <f t="shared" si="110"/>
        <v>432294.95752402541</v>
      </c>
      <c r="DX126" s="344">
        <f t="shared" si="96"/>
        <v>434502.23169069208</v>
      </c>
      <c r="DY126" s="344"/>
      <c r="DZ126" s="345"/>
      <c r="EA126" s="345">
        <f>_xlfn.IFNA((VLOOKUP($A126,HN!$A:$K,8,FALSE)/12),0)+_xlfn.IFNA((VLOOKUP($A126,HN!$A:$AF,32,FALSE)*1/12),0)</f>
        <v>0</v>
      </c>
      <c r="EB126" s="345">
        <f>_xlfn.IFNA((VLOOKUP($A126,HN!$A:$BS,14,FALSE)/12),0)</f>
        <v>0</v>
      </c>
      <c r="EC126" s="345">
        <f>_xlfn.IFNA(VLOOKUP($A126,'Post 16'!$A:$AV,32,FALSE),0)/8</f>
        <v>0</v>
      </c>
      <c r="ED126" s="345"/>
      <c r="EE126" s="345">
        <f>_xlfn.IFNA((VLOOKUP($A126,HN!$A:$K,9,FALSE)/12),0)+_xlfn.IFNA((VLOOKUP($A126,HN!$A:$K,10,FALSE)/12),0)+_xlfn.IFNA((VLOOKUP($A126,HN!$A:$BZ,33,FALSE)/12),0)</f>
        <v>0</v>
      </c>
      <c r="EF126" s="345">
        <f>_xlfn.IFNA((VLOOKUP($A126,HN!$A:$BS,15,FALSE)/12),0)</f>
        <v>0</v>
      </c>
      <c r="EG126" s="344">
        <f t="shared" si="97"/>
        <v>-1050.115</v>
      </c>
      <c r="EH126" s="344">
        <f t="shared" si="98"/>
        <v>-1157.1591666666666</v>
      </c>
      <c r="EI126" s="345"/>
      <c r="EJ126" s="345">
        <f>_xlfn.IFNA(VLOOKUP(A126,'Cash Advances'!A:P,16,FALSE),0)</f>
        <v>0</v>
      </c>
      <c r="EK126" s="345">
        <f>_xlfn.IFNA(VLOOKUP(A126,'LA Deductions'!A:AZ,25,FALSE),0)/9</f>
        <v>0</v>
      </c>
      <c r="EL126" s="344">
        <f t="shared" si="111"/>
        <v>432294.95752402541</v>
      </c>
      <c r="EM126" s="308">
        <f t="shared" si="99"/>
        <v>434502.23169069208</v>
      </c>
      <c r="EN126" s="308">
        <f>((VLOOKUP($A126,EY!$A:$BS,35,FALSE)-(VLOOKUP($A126,EY!$A:$BS,33,FALSE)*80%))+VLOOKUP($A126,EY!$A:$BS,43,FALSE))+(VLOOKUP(A126,EY!A:DF,110,FALSE)-VLOOKUP(A126,EY!A:DD,108,FALSE))+(VLOOKUP(A126,EY!A:CE,83,FALSE)-VLOOKUP(A126,EY!A:CC,81,FALSE))</f>
        <v>0</v>
      </c>
      <c r="EO126" s="309"/>
      <c r="EP126" s="309">
        <f>_xlfn.IFNA((VLOOKUP($A126,HN!$A:$K,8,FALSE)/12),0)+_xlfn.IFNA((VLOOKUP($A126,HN!$A:$AF,32,FALSE)*1/12),0)</f>
        <v>0</v>
      </c>
      <c r="EQ126" s="309">
        <f>_xlfn.IFNA((VLOOKUP($A126,HN!$A:$BS,14,FALSE)/12),0)+_xlfn.IFNA((VLOOKUP($A126,HN!$A:$BS,34,FALSE)/3),0)</f>
        <v>0</v>
      </c>
      <c r="ER126" s="309">
        <f>_xlfn.IFNA(VLOOKUP($A126,'Post 16'!$A:$AV,32,FALSE),0)/8</f>
        <v>0</v>
      </c>
      <c r="ES126" s="309">
        <f>((VLOOKUP($A126,EY!A:EV,33,FALSE)*80%))+VLOOKUP(A126,EY!A:DD,108,FALSE)+VLOOKUP(A126,EY!A:CC,81,FALSE)</f>
        <v>0</v>
      </c>
      <c r="ET126" s="309">
        <f>_xlfn.IFNA((VLOOKUP($A126,HN!$A:$K,9,FALSE)/12),0)+_xlfn.IFNA((VLOOKUP($A126,HN!$A:$K,10,FALSE)/12),0)+_xlfn.IFNA((VLOOKUP($A126,HN!$A:$BZ,33,FALSE)/12),0)</f>
        <v>0</v>
      </c>
      <c r="EU126" s="309">
        <f>_xlfn.IFNA((VLOOKUP($A126,HN!$A:$BS,15,FALSE)/12),0)</f>
        <v>0</v>
      </c>
      <c r="EV126" s="308">
        <f t="shared" si="100"/>
        <v>-1050.115</v>
      </c>
      <c r="EW126" s="308">
        <f t="shared" si="101"/>
        <v>-1157.1591666666666</v>
      </c>
      <c r="EX126" s="309"/>
      <c r="EY126" s="309">
        <f>_xlfn.IFNA(VLOOKUP($A126,'Cash Advances'!$A:$S,17,FALSE),0)</f>
        <v>0</v>
      </c>
      <c r="EZ126" s="309">
        <f>_xlfn.IFNA(VLOOKUP(A126,'LA Deductions'!A:AZ,25,FALSE),0)/9</f>
        <v>0</v>
      </c>
      <c r="FA126" s="308">
        <f t="shared" si="112"/>
        <v>432294.95752402541</v>
      </c>
      <c r="FB126" s="315">
        <f t="shared" si="102"/>
        <v>434502.23169069208</v>
      </c>
      <c r="FC126" s="315"/>
      <c r="FD126" s="316"/>
      <c r="FE126" s="316">
        <f>_xlfn.IFNA((VLOOKUP($A126,HN!$A:$K,8,FALSE)/12),0)+_xlfn.IFNA((VLOOKUP($A126,HN!$A:$AF,32,FALSE)*1/12),0)</f>
        <v>0</v>
      </c>
      <c r="FF126" s="316">
        <f>_xlfn.IFNA((VLOOKUP($A126,HN!$A:$BS,14,FALSE)/12),0)+_xlfn.IFNA((VLOOKUP($A126,HN!$A:$BS,34,FALSE)/3),0)</f>
        <v>0</v>
      </c>
      <c r="FG126" s="316">
        <f>_xlfn.IFNA(VLOOKUP($A126,'Post 16'!$A:$AV,32,FALSE),0)/8</f>
        <v>0</v>
      </c>
      <c r="FH126" s="316"/>
      <c r="FI126" s="316">
        <f>_xlfn.IFNA((VLOOKUP($A126,HN!$A:$K,9,FALSE)/12),0)+_xlfn.IFNA((VLOOKUP($A126,HN!$A:$K,10,FALSE)/12),0)+_xlfn.IFNA((VLOOKUP($A126,HN!$A:$BZ,33,FALSE)/12),0)+_xlfn.IFNA((VLOOKUP($A126,HN!$A:$BZ,35,FALSE)/2),0)</f>
        <v>0</v>
      </c>
      <c r="FJ126" s="316">
        <f>_xlfn.IFNA((VLOOKUP($A126,HN!$A:$BS,15,FALSE)/12),0)+_xlfn.IFNA((VLOOKUP($A126,HN!$A:$CZ,36,FALSE)/2),0)</f>
        <v>0</v>
      </c>
      <c r="FK126" s="315">
        <f t="shared" si="103"/>
        <v>-1050.115</v>
      </c>
      <c r="FL126" s="315">
        <f t="shared" si="104"/>
        <v>-1157.1591666666666</v>
      </c>
      <c r="FM126" s="316"/>
      <c r="FN126" s="316">
        <f>_xlfn.IFNA(VLOOKUP($A126,'Cash Advances'!$A:$S,18,FALSE),0)</f>
        <v>0</v>
      </c>
      <c r="FO126" s="316">
        <f>_xlfn.IFNA(VLOOKUP(A126,'LA Deductions'!A:AZ,25,FALSE),0)/9</f>
        <v>0</v>
      </c>
      <c r="FP126" s="315">
        <f t="shared" si="113"/>
        <v>432294.95752402541</v>
      </c>
      <c r="FQ126" s="322">
        <f t="shared" si="105"/>
        <v>434502.23169069208</v>
      </c>
      <c r="FR126" s="322"/>
      <c r="FS126" s="323"/>
      <c r="FT126" s="323">
        <f>_xlfn.IFNA((VLOOKUP($A126,HN!$A:$K,8,FALSE)/12),0)+_xlfn.IFNA((VLOOKUP($A126,HN!$A:$AF,32,FALSE)*1/12),0)</f>
        <v>0</v>
      </c>
      <c r="FU126" s="323">
        <f>_xlfn.IFNA((VLOOKUP($A126,HN!$A:$BS,14,FALSE)/12),0)+_xlfn.IFNA((VLOOKUP($A126,HN!$A:$BS,34,FALSE)/3),0)</f>
        <v>0</v>
      </c>
      <c r="FV126" s="323">
        <f>_xlfn.IFNA(VLOOKUP($A126,'Post 16'!$A:$AV,32,FALSE),0)/8</f>
        <v>0</v>
      </c>
      <c r="FW126" s="323"/>
      <c r="FX126" s="323">
        <f>_xlfn.IFNA((VLOOKUP($A126,HN!$A:$K,9,FALSE)/12),0)+_xlfn.IFNA((VLOOKUP($A126,HN!$A:$K,10,FALSE)/12),0)+_xlfn.IFNA((VLOOKUP($A126,HN!$A:$BZ,33,FALSE)/12),0)+_xlfn.IFNA((VLOOKUP($A126,HN!$A:$BZ,35,FALSE)/2),0)</f>
        <v>0</v>
      </c>
      <c r="FY126" s="323">
        <f>_xlfn.IFNA((VLOOKUP($A126,HN!$A:$BS,15,FALSE)/12),0)+_xlfn.IFNA((VLOOKUP($A126,HN!$A:$CZ,36,FALSE)/2),0)</f>
        <v>0</v>
      </c>
      <c r="FZ126" s="322">
        <f t="shared" si="106"/>
        <v>-1050.115</v>
      </c>
      <c r="GA126" s="322">
        <f t="shared" si="107"/>
        <v>-1157.1591666666666</v>
      </c>
      <c r="GB126" s="323"/>
      <c r="GC126" s="323"/>
      <c r="GD126" s="323">
        <f>_xlfn.IFNA(VLOOKUP(A126,'LA Deductions'!A:AZ,25,FALSE),0)/9</f>
        <v>0</v>
      </c>
      <c r="GE126" s="322">
        <f t="shared" si="114"/>
        <v>432294.95752402541</v>
      </c>
      <c r="GG126" s="146">
        <f t="shared" si="128"/>
        <v>5207470.2624883046</v>
      </c>
      <c r="GH126" s="146">
        <f t="shared" si="128"/>
        <v>0</v>
      </c>
      <c r="GI126" s="146">
        <f t="shared" si="128"/>
        <v>0</v>
      </c>
      <c r="GJ126" s="146">
        <f t="shared" si="128"/>
        <v>-12601.38</v>
      </c>
      <c r="GK126" s="146">
        <f t="shared" si="128"/>
        <v>-13885.909999999998</v>
      </c>
      <c r="GL126" s="146">
        <f t="shared" si="128"/>
        <v>0</v>
      </c>
      <c r="GN126" s="146">
        <f t="shared" si="129"/>
        <v>5207470.2624883046</v>
      </c>
      <c r="GO126" s="146">
        <f t="shared" si="129"/>
        <v>0</v>
      </c>
      <c r="GP126" s="146">
        <f t="shared" si="129"/>
        <v>0</v>
      </c>
      <c r="GQ126" s="146">
        <f t="shared" si="129"/>
        <v>-12601.38</v>
      </c>
      <c r="GR126" s="146">
        <f t="shared" si="129"/>
        <v>-13885.909999999998</v>
      </c>
      <c r="GS126" s="146">
        <f t="shared" si="129"/>
        <v>0</v>
      </c>
      <c r="GU126" s="146"/>
      <c r="GV126" s="57"/>
    </row>
    <row r="127" spans="1:204">
      <c r="A127" s="185">
        <v>3377</v>
      </c>
      <c r="B127" s="185">
        <v>103463</v>
      </c>
      <c r="C127" s="185" t="s">
        <v>278</v>
      </c>
      <c r="D127" s="2" t="s">
        <v>279</v>
      </c>
      <c r="E127" s="191" t="s">
        <v>32</v>
      </c>
      <c r="F127" s="191" t="s">
        <v>912</v>
      </c>
      <c r="H127" s="279">
        <f>_xlfn.IFNA(VLOOKUP($A127,ISB!$A$4:$BY$454,67,FALSE),0)</f>
        <v>1306332.8736566138</v>
      </c>
      <c r="I127" s="279">
        <f>_xlfn.IFNA(VLOOKUP($A127,ISB!$A$4:$BY$454,72,FALSE),0)</f>
        <v>-5137.7599999999993</v>
      </c>
      <c r="J127" s="279">
        <f>-_xlfn.IFNA(VLOOKUP($A127,ISB!$A$4:$BY$454,76,FALSE),0)</f>
        <v>-4080.97</v>
      </c>
      <c r="K127" s="279">
        <f>_xlfn.IFNA(VLOOKUP($A127,ISB!$A$4:$BY$454,77,FALSE),0)</f>
        <v>1297114.1436566138</v>
      </c>
      <c r="M127" s="301">
        <f t="shared" si="72"/>
        <v>108861.07280471781</v>
      </c>
      <c r="N127" s="301">
        <f>VLOOKUP($A127,EY!$A:$H,8,FALSE)+(VLOOKUP($A127,EY!$A:$BS,17,FALSE)-S127)+VLOOKUP($A127,EY!$A:$BS,41,FALSE)</f>
        <v>25922.52</v>
      </c>
      <c r="O127" s="302"/>
      <c r="P127" s="302">
        <f>_xlfn.IFNA((VLOOKUP($A127,HN!$A:$K,8,FALSE)/12),0)</f>
        <v>0</v>
      </c>
      <c r="Q127" s="302">
        <f>_xlfn.IFNA((VLOOKUP($A127,HN!$A:$BS,14,FALSE)/12),0)</f>
        <v>0</v>
      </c>
      <c r="R127" s="302">
        <f>_xlfn.IFNA(VLOOKUP($A127,'Post 16'!$A:$V,21,FALSE),0)/4</f>
        <v>0</v>
      </c>
      <c r="S127" s="302">
        <f>VLOOKUP($A127,EY!A:Q,15,FALSE)*80%</f>
        <v>0</v>
      </c>
      <c r="T127" s="302">
        <f>_xlfn.IFNA((VLOOKUP($A127,HN!$A:$K,9,FALSE)/12),0)+_xlfn.IFNA((VLOOKUP($A127,HN!$A:$K,10,FALSE)/12),0)</f>
        <v>0</v>
      </c>
      <c r="U127" s="302">
        <f>_xlfn.IFNA((VLOOKUP($A127,HN!$A:$BS,15,FALSE)/12),0)</f>
        <v>0</v>
      </c>
      <c r="V127" s="301">
        <f t="shared" si="73"/>
        <v>-428.14666666666659</v>
      </c>
      <c r="W127" s="301">
        <f t="shared" si="74"/>
        <v>-340.08083333333332</v>
      </c>
      <c r="X127" s="302"/>
      <c r="Y127" s="302">
        <f>_xlfn.IFNA(VLOOKUP($A127,'Cash Advances'!$A:$S,8,FALSE),0)</f>
        <v>0</v>
      </c>
      <c r="Z127" s="301">
        <f t="shared" si="121"/>
        <v>134015.36530471779</v>
      </c>
      <c r="AA127" s="315">
        <f t="shared" si="75"/>
        <v>108861.07280471781</v>
      </c>
      <c r="AB127" s="315"/>
      <c r="AC127" s="316"/>
      <c r="AD127" s="316">
        <f>_xlfn.IFNA((VLOOKUP($A127,HN!$A:$K,8,FALSE)/12),0)</f>
        <v>0</v>
      </c>
      <c r="AE127" s="316">
        <f>_xlfn.IFNA((VLOOKUP($A127,HN!$A:$BS,14,FALSE)/12),0)</f>
        <v>0</v>
      </c>
      <c r="AF127" s="316">
        <f>_xlfn.IFNA(VLOOKUP($A127,'Post 16'!$A:$V,21,FALSE),0)/4</f>
        <v>0</v>
      </c>
      <c r="AG127" s="316"/>
      <c r="AH127" s="316">
        <f>_xlfn.IFNA((VLOOKUP($A127,HN!$A:$K,9,FALSE)/12),0)+_xlfn.IFNA((VLOOKUP($A127,HN!$A:$K,10,FALSE)/12),0)</f>
        <v>0</v>
      </c>
      <c r="AI127" s="316">
        <f>_xlfn.IFNA((VLOOKUP($A127,HN!$A:$BS,15,FALSE)/12),0)</f>
        <v>0</v>
      </c>
      <c r="AJ127" s="315">
        <f t="shared" si="76"/>
        <v>-428.14666666666659</v>
      </c>
      <c r="AK127" s="315">
        <f t="shared" si="77"/>
        <v>-340.08083333333332</v>
      </c>
      <c r="AL127" s="316"/>
      <c r="AM127" s="316">
        <f>_xlfn.IFNA(VLOOKUP($A127,'Cash Advances'!$A:$S,9,FALSE),0)</f>
        <v>0</v>
      </c>
      <c r="AN127" s="315">
        <f t="shared" si="122"/>
        <v>108092.84530471782</v>
      </c>
      <c r="AO127" s="308">
        <f t="shared" si="78"/>
        <v>108861.07280471781</v>
      </c>
      <c r="AP127" s="308"/>
      <c r="AQ127" s="309"/>
      <c r="AR127" s="309">
        <f>_xlfn.IFNA((VLOOKUP($A127,HN!$A:$K,8,FALSE)/12),0)</f>
        <v>0</v>
      </c>
      <c r="AS127" s="309">
        <f>_xlfn.IFNA((VLOOKUP($A127,HN!$A:$BS,14,FALSE)/12),0)</f>
        <v>0</v>
      </c>
      <c r="AT127" s="309">
        <f>_xlfn.IFNA(VLOOKUP($A127,'Post 16'!$A:$V,21,FALSE),0)/4</f>
        <v>0</v>
      </c>
      <c r="AU127" s="309"/>
      <c r="AV127" s="309">
        <f>_xlfn.IFNA((VLOOKUP($A127,HN!$A:$K,9,FALSE)/12),0)+_xlfn.IFNA((VLOOKUP($A127,HN!$A:$K,10,FALSE)/12),0)+_xlfn.IFNA(VLOOKUP(A127,HN!A:V,19,FALSE),0)+_xlfn.IFNA(VLOOKUP(A127,HN!A:V,20,FALSE),0)+_xlfn.IFNA(VLOOKUP(A127,HN!A:V,21,FALSE),0)</f>
        <v>0</v>
      </c>
      <c r="AW127" s="309">
        <f>_xlfn.IFNA((VLOOKUP($A127,HN!$A:$BS,15,FALSE)/12),0)</f>
        <v>0</v>
      </c>
      <c r="AX127" s="308">
        <f t="shared" si="79"/>
        <v>-428.14666666666659</v>
      </c>
      <c r="AY127" s="308">
        <f t="shared" si="80"/>
        <v>-340.08083333333332</v>
      </c>
      <c r="AZ127" s="309"/>
      <c r="BA127" s="309">
        <f>_xlfn.IFNA(VLOOKUP($A127,'Cash Advances'!$A:$S,10,FALSE),0)</f>
        <v>0</v>
      </c>
      <c r="BB127" s="308">
        <f t="shared" si="123"/>
        <v>108092.84530471782</v>
      </c>
      <c r="BC127" s="330">
        <f t="shared" si="81"/>
        <v>108861.07280471781</v>
      </c>
      <c r="BD127" s="330"/>
      <c r="BE127" s="331"/>
      <c r="BF127" s="331">
        <f>_xlfn.IFNA((VLOOKUP($A127,HN!$A:$K,8,FALSE)/12),0)</f>
        <v>0</v>
      </c>
      <c r="BG127" s="331">
        <f>_xlfn.IFNA((VLOOKUP($A127,HN!$A:$BS,14,FALSE)/12),0)</f>
        <v>0</v>
      </c>
      <c r="BH127" s="331">
        <f>_xlfn.IFNA(VLOOKUP($A127,'Post 16'!$A:$V,21,FALSE),0)/4</f>
        <v>0</v>
      </c>
      <c r="BI127" s="331"/>
      <c r="BJ127" s="331">
        <f>_xlfn.IFNA((VLOOKUP($A127,HN!$A:$K,9,FALSE)/12),0)+_xlfn.IFNA((VLOOKUP($A127,HN!$A:$K,10,FALSE)/12),0)</f>
        <v>0</v>
      </c>
      <c r="BK127" s="331">
        <f>_xlfn.IFNA((VLOOKUP($A127,HN!$A:$BS,15,FALSE)/12),0)</f>
        <v>0</v>
      </c>
      <c r="BL127" s="330">
        <f t="shared" si="82"/>
        <v>-428.14666666666659</v>
      </c>
      <c r="BM127" s="330">
        <f t="shared" si="83"/>
        <v>-340.08083333333332</v>
      </c>
      <c r="BN127" s="331"/>
      <c r="BO127" s="331">
        <f>_xlfn.IFNA(VLOOKUP(A127,'Cash Advances'!A:K,11,FALSE),0)</f>
        <v>0</v>
      </c>
      <c r="BP127" s="330">
        <f t="shared" si="124"/>
        <v>108092.84530471782</v>
      </c>
      <c r="BQ127" s="322">
        <f t="shared" si="84"/>
        <v>108861.07280471781</v>
      </c>
      <c r="BR127" s="322"/>
      <c r="BS127" s="323"/>
      <c r="BT127" s="323">
        <f>_xlfn.IFNA((VLOOKUP($A127,HN!$A:$K,8,FALSE)/12),0)</f>
        <v>0</v>
      </c>
      <c r="BU127" s="323">
        <f>_xlfn.IFNA((VLOOKUP($A127,HN!$A:$BS,14,FALSE)/12),0)</f>
        <v>0</v>
      </c>
      <c r="BV127" s="323">
        <f>(_xlfn.IFNA(VLOOKUP($A127,'Post 16'!$A:$AV,32,FALSE),0)/8)+_xlfn.IFNA(VLOOKUP($A127,'Post 16'!$A:$AR,40,FALSE),0)</f>
        <v>0</v>
      </c>
      <c r="BW127" s="323"/>
      <c r="BX127" s="323">
        <f>_xlfn.IFNA((VLOOKUP($A127,HN!$A:$K,9,FALSE)/12),0)+_xlfn.IFNA((VLOOKUP($A127,HN!$A:$K,10,FALSE)/12),0)</f>
        <v>0</v>
      </c>
      <c r="BY127" s="323">
        <f>_xlfn.IFNA((VLOOKUP($A127,HN!$A:$BS,15,FALSE)/12),0)</f>
        <v>0</v>
      </c>
      <c r="BZ127" s="322">
        <f t="shared" si="85"/>
        <v>-428.14666666666659</v>
      </c>
      <c r="CA127" s="322">
        <f t="shared" si="86"/>
        <v>-340.08083333333332</v>
      </c>
      <c r="CB127" s="323"/>
      <c r="CC127" s="323"/>
      <c r="CD127" s="322">
        <f t="shared" si="125"/>
        <v>108092.84530471782</v>
      </c>
      <c r="CE127" s="357">
        <f t="shared" si="87"/>
        <v>108861.07280471781</v>
      </c>
      <c r="CF127" s="357">
        <f>(VLOOKUP($A127,EY!$A:$BS,26,FALSE)-(VLOOKUP($A127,EY!A:CR,24,FALSE)*80%))+VLOOKUP($A127,EY!$A:$BS,42,FALSE)+(VLOOKUP($A127,EY!A:CC,74,FALSE)-VLOOKUP($A127,EY!A:CC,72,FALSE))</f>
        <v>16398.329999999998</v>
      </c>
      <c r="CG127" s="358"/>
      <c r="CH127" s="358">
        <f>_xlfn.IFNA((VLOOKUP($A127,HN!$A:$K,8,FALSE)/12),0)</f>
        <v>0</v>
      </c>
      <c r="CI127" s="358">
        <f>_xlfn.IFNA((VLOOKUP($A127,HN!$A:$BS,14,FALSE)/12),0)</f>
        <v>0</v>
      </c>
      <c r="CJ127" s="358">
        <f>(_xlfn.IFNA(VLOOKUP($A127,'Post 16'!$A:$AV,32,FALSE),0)/8)</f>
        <v>0</v>
      </c>
      <c r="CK127" s="358">
        <f>(VLOOKUP($A127,EY!A:CR,24,FALSE)*80%)+VLOOKUP($A127,EY!A:CC,72,FALSE)</f>
        <v>0</v>
      </c>
      <c r="CL127" s="358">
        <f>_xlfn.IFNA((VLOOKUP($A127,HN!$A:$K,9,FALSE)/12),0)+_xlfn.IFNA((VLOOKUP($A127,HN!$A:$K,10,FALSE)/12),0)</f>
        <v>0</v>
      </c>
      <c r="CM127" s="358">
        <f>_xlfn.IFNA((VLOOKUP($A127,HN!$A:$BS,15,FALSE)/12),0)</f>
        <v>0</v>
      </c>
      <c r="CN127" s="357">
        <f t="shared" si="88"/>
        <v>-428.14666666666659</v>
      </c>
      <c r="CO127" s="357">
        <f t="shared" si="89"/>
        <v>-340.08083333333332</v>
      </c>
      <c r="CP127" s="358">
        <f>_xlfn.IFNA(VLOOKUP(A127,'LA Deductions'!A:W,23,FALSE),0)</f>
        <v>0</v>
      </c>
      <c r="CQ127" s="358">
        <f>_xlfn.IFNA(VLOOKUP($A127,'Cash Advances'!$A:$S,13,FALSE),0)</f>
        <v>0</v>
      </c>
      <c r="CR127" s="358">
        <f>_xlfn.IFNA(VLOOKUP(A127,'LA Deductions'!A:AZ,25,FALSE),0)/9*3</f>
        <v>0</v>
      </c>
      <c r="CS127" s="357">
        <f t="shared" si="108"/>
        <v>124491.17530471782</v>
      </c>
      <c r="CT127" s="337">
        <f t="shared" si="90"/>
        <v>108861.07280471781</v>
      </c>
      <c r="CU127" s="337"/>
      <c r="CV127" s="338">
        <f>_xlfn.IFNA(VLOOKUP(A127,'LA Deductions'!$A$6:$AN$207,34,FALSE),0)</f>
        <v>0</v>
      </c>
      <c r="CW127" s="338">
        <f>_xlfn.IFNA((VLOOKUP($A127,HN!$A:$K,8,FALSE)/12),0)</f>
        <v>0</v>
      </c>
      <c r="CX127" s="338">
        <f>_xlfn.IFNA((VLOOKUP($A127,HN!$A:$BS,14,FALSE)/12),0)</f>
        <v>0</v>
      </c>
      <c r="CY127" s="338">
        <f>_xlfn.IFNA(VLOOKUP($A127,'Post 16'!$A:$AV,32,FALSE),0)/8</f>
        <v>0</v>
      </c>
      <c r="CZ127" s="338"/>
      <c r="DA127" s="338">
        <f>_xlfn.IFNA((VLOOKUP($A127,HN!$A:$K,9,FALSE)/12),0)+_xlfn.IFNA((VLOOKUP($A127,HN!$A:$K,10,FALSE)/12),0)</f>
        <v>0</v>
      </c>
      <c r="DB127" s="338">
        <f>_xlfn.IFNA((VLOOKUP($A127,HN!$A:$BS,15,FALSE)/12),0)</f>
        <v>0</v>
      </c>
      <c r="DC127" s="337">
        <f t="shared" si="91"/>
        <v>-428.14666666666659</v>
      </c>
      <c r="DD127" s="337">
        <f t="shared" si="92"/>
        <v>-340.08083333333332</v>
      </c>
      <c r="DE127" s="338"/>
      <c r="DF127" s="338">
        <f>_xlfn.IFNA(VLOOKUP($A127,'Cash Advances'!$A:$S,14,FALSE),0)</f>
        <v>0</v>
      </c>
      <c r="DG127" s="338">
        <f>(_xlfn.IFNA(VLOOKUP(A127,'LA Deductions'!A:AZ,25,FALSE),0)/9)+(_xlfn.IFNA(VLOOKUP(A127,'LA Deductions'!A:AZ,26,FALSE),0))</f>
        <v>0</v>
      </c>
      <c r="DH127" s="337">
        <f t="shared" si="109"/>
        <v>108092.84530471782</v>
      </c>
      <c r="DI127" s="330">
        <f t="shared" si="93"/>
        <v>108861.07280471781</v>
      </c>
      <c r="DJ127" s="330"/>
      <c r="DK127" s="331"/>
      <c r="DL127" s="331">
        <f>_xlfn.IFNA((VLOOKUP($A127,HN!$A:$K,8,FALSE)/12),0)+_xlfn.IFNA((VLOOKUP($A127,HN!$A:$AF,32,FALSE)*8/12),0)</f>
        <v>0</v>
      </c>
      <c r="DM127" s="331">
        <f>_xlfn.IFNA((VLOOKUP($A127,HN!$A:$BS,14,FALSE)/12),0)+_xlfn.IFNA(VLOOKUP($A127,HN!$A:$BS,31,FALSE),0)</f>
        <v>0</v>
      </c>
      <c r="DN127" s="331">
        <f>_xlfn.IFNA(VLOOKUP($A127,'Post 16'!$A:$AV,32,FALSE),0)/8</f>
        <v>0</v>
      </c>
      <c r="DO127" s="331"/>
      <c r="DP127" s="331">
        <f>_xlfn.IFNA((VLOOKUP($A127,HN!$A:$K,9,FALSE)/12),0)+_xlfn.IFNA((VLOOKUP($A127,HN!$A:$K,10,FALSE)/12),0)+_xlfn.IFNA((VLOOKUP($A127,HN!$A:$BZ,33,FALSE)*8/12),0)</f>
        <v>0</v>
      </c>
      <c r="DQ127" s="331">
        <f>_xlfn.IFNA((VLOOKUP($A127,HN!$A:$BS,15,FALSE)/12),0)</f>
        <v>0</v>
      </c>
      <c r="DR127" s="330">
        <f t="shared" si="94"/>
        <v>-428.14666666666659</v>
      </c>
      <c r="DS127" s="330">
        <f t="shared" si="95"/>
        <v>-340.08083333333332</v>
      </c>
      <c r="DT127" s="331"/>
      <c r="DU127" s="331"/>
      <c r="DV127" s="331">
        <f>(_xlfn.IFNA(VLOOKUP(A127,'LA Deductions'!A:AZ,25,FALSE),0)/9)+_xlfn.IFNA(VLOOKUP(A127,'LA Deductions'!A:AZ,27,FALSE),0)</f>
        <v>0</v>
      </c>
      <c r="DW127" s="330">
        <f t="shared" si="110"/>
        <v>108092.84530471782</v>
      </c>
      <c r="DX127" s="344">
        <f t="shared" si="96"/>
        <v>108861.07280471781</v>
      </c>
      <c r="DY127" s="344"/>
      <c r="DZ127" s="345"/>
      <c r="EA127" s="345">
        <f>_xlfn.IFNA((VLOOKUP($A127,HN!$A:$K,8,FALSE)/12),0)+_xlfn.IFNA((VLOOKUP($A127,HN!$A:$AF,32,FALSE)*1/12),0)</f>
        <v>0</v>
      </c>
      <c r="EB127" s="345">
        <f>_xlfn.IFNA((VLOOKUP($A127,HN!$A:$BS,14,FALSE)/12),0)</f>
        <v>0</v>
      </c>
      <c r="EC127" s="345">
        <f>_xlfn.IFNA(VLOOKUP($A127,'Post 16'!$A:$AV,32,FALSE),0)/8</f>
        <v>0</v>
      </c>
      <c r="ED127" s="345"/>
      <c r="EE127" s="345">
        <f>_xlfn.IFNA((VLOOKUP($A127,HN!$A:$K,9,FALSE)/12),0)+_xlfn.IFNA((VLOOKUP($A127,HN!$A:$K,10,FALSE)/12),0)+_xlfn.IFNA((VLOOKUP($A127,HN!$A:$BZ,33,FALSE)/12),0)</f>
        <v>0</v>
      </c>
      <c r="EF127" s="345">
        <f>_xlfn.IFNA((VLOOKUP($A127,HN!$A:$BS,15,FALSE)/12),0)</f>
        <v>0</v>
      </c>
      <c r="EG127" s="344">
        <f t="shared" si="97"/>
        <v>-428.14666666666659</v>
      </c>
      <c r="EH127" s="344">
        <f t="shared" si="98"/>
        <v>-340.08083333333332</v>
      </c>
      <c r="EI127" s="345"/>
      <c r="EJ127" s="345">
        <f>_xlfn.IFNA(VLOOKUP(A127,'Cash Advances'!A:P,16,FALSE),0)</f>
        <v>0</v>
      </c>
      <c r="EK127" s="345">
        <f>_xlfn.IFNA(VLOOKUP(A127,'LA Deductions'!A:AZ,25,FALSE),0)/9</f>
        <v>0</v>
      </c>
      <c r="EL127" s="344">
        <f t="shared" si="111"/>
        <v>108092.84530471782</v>
      </c>
      <c r="EM127" s="308">
        <f t="shared" si="99"/>
        <v>108861.07280471781</v>
      </c>
      <c r="EN127" s="308">
        <f>((VLOOKUP($A127,EY!$A:$BS,35,FALSE)-(VLOOKUP($A127,EY!$A:$BS,33,FALSE)*80%))+VLOOKUP($A127,EY!$A:$BS,43,FALSE))+(VLOOKUP(A127,EY!A:DF,110,FALSE)-VLOOKUP(A127,EY!A:DD,108,FALSE))+(VLOOKUP(A127,EY!A:CE,83,FALSE)-VLOOKUP(A127,EY!A:CC,81,FALSE))</f>
        <v>19349.684210526317</v>
      </c>
      <c r="EO127" s="309"/>
      <c r="EP127" s="309">
        <f>_xlfn.IFNA((VLOOKUP($A127,HN!$A:$K,8,FALSE)/12),0)+_xlfn.IFNA((VLOOKUP($A127,HN!$A:$AF,32,FALSE)*1/12),0)</f>
        <v>0</v>
      </c>
      <c r="EQ127" s="309">
        <f>_xlfn.IFNA((VLOOKUP($A127,HN!$A:$BS,14,FALSE)/12),0)+_xlfn.IFNA((VLOOKUP($A127,HN!$A:$BS,34,FALSE)/3),0)</f>
        <v>0</v>
      </c>
      <c r="ER127" s="309">
        <f>_xlfn.IFNA(VLOOKUP($A127,'Post 16'!$A:$AV,32,FALSE),0)/8</f>
        <v>0</v>
      </c>
      <c r="ES127" s="309">
        <f>((VLOOKUP($A127,EY!A:EV,33,FALSE)*80%))+VLOOKUP(A127,EY!A:DD,108,FALSE)+VLOOKUP(A127,EY!A:CC,81,FALSE)</f>
        <v>0</v>
      </c>
      <c r="ET127" s="309">
        <f>_xlfn.IFNA((VLOOKUP($A127,HN!$A:$K,9,FALSE)/12),0)+_xlfn.IFNA((VLOOKUP($A127,HN!$A:$K,10,FALSE)/12),0)+_xlfn.IFNA((VLOOKUP($A127,HN!$A:$BZ,33,FALSE)/12),0)</f>
        <v>0</v>
      </c>
      <c r="EU127" s="309">
        <f>_xlfn.IFNA((VLOOKUP($A127,HN!$A:$BS,15,FALSE)/12),0)</f>
        <v>0</v>
      </c>
      <c r="EV127" s="308">
        <f t="shared" si="100"/>
        <v>-428.14666666666659</v>
      </c>
      <c r="EW127" s="308">
        <f t="shared" si="101"/>
        <v>-340.08083333333332</v>
      </c>
      <c r="EX127" s="309"/>
      <c r="EY127" s="309">
        <f>_xlfn.IFNA(VLOOKUP($A127,'Cash Advances'!$A:$S,17,FALSE),0)</f>
        <v>0</v>
      </c>
      <c r="EZ127" s="309">
        <f>_xlfn.IFNA(VLOOKUP(A127,'LA Deductions'!A:AZ,25,FALSE),0)/9</f>
        <v>0</v>
      </c>
      <c r="FA127" s="308">
        <f t="shared" si="112"/>
        <v>127442.52951524414</v>
      </c>
      <c r="FB127" s="315">
        <f t="shared" si="102"/>
        <v>108861.07280471781</v>
      </c>
      <c r="FC127" s="315"/>
      <c r="FD127" s="316"/>
      <c r="FE127" s="316">
        <f>_xlfn.IFNA((VLOOKUP($A127,HN!$A:$K,8,FALSE)/12),0)+_xlfn.IFNA((VLOOKUP($A127,HN!$A:$AF,32,FALSE)*1/12),0)</f>
        <v>0</v>
      </c>
      <c r="FF127" s="316">
        <f>_xlfn.IFNA((VLOOKUP($A127,HN!$A:$BS,14,FALSE)/12),0)+_xlfn.IFNA((VLOOKUP($A127,HN!$A:$BS,34,FALSE)/3),0)</f>
        <v>0</v>
      </c>
      <c r="FG127" s="316">
        <f>_xlfn.IFNA(VLOOKUP($A127,'Post 16'!$A:$AV,32,FALSE),0)/8</f>
        <v>0</v>
      </c>
      <c r="FH127" s="316"/>
      <c r="FI127" s="316">
        <f>_xlfn.IFNA((VLOOKUP($A127,HN!$A:$K,9,FALSE)/12),0)+_xlfn.IFNA((VLOOKUP($A127,HN!$A:$K,10,FALSE)/12),0)+_xlfn.IFNA((VLOOKUP($A127,HN!$A:$BZ,33,FALSE)/12),0)+_xlfn.IFNA((VLOOKUP($A127,HN!$A:$BZ,35,FALSE)/2),0)</f>
        <v>0</v>
      </c>
      <c r="FJ127" s="316">
        <f>_xlfn.IFNA((VLOOKUP($A127,HN!$A:$BS,15,FALSE)/12),0)+_xlfn.IFNA((VLOOKUP($A127,HN!$A:$CZ,36,FALSE)/2),0)</f>
        <v>0</v>
      </c>
      <c r="FK127" s="315">
        <f t="shared" si="103"/>
        <v>-428.14666666666659</v>
      </c>
      <c r="FL127" s="315">
        <f t="shared" si="104"/>
        <v>-340.08083333333332</v>
      </c>
      <c r="FM127" s="316"/>
      <c r="FN127" s="316">
        <f>_xlfn.IFNA(VLOOKUP($A127,'Cash Advances'!$A:$S,18,FALSE),0)</f>
        <v>0</v>
      </c>
      <c r="FO127" s="316">
        <f>_xlfn.IFNA(VLOOKUP(A127,'LA Deductions'!A:AZ,25,FALSE),0)/9</f>
        <v>0</v>
      </c>
      <c r="FP127" s="315">
        <f t="shared" si="113"/>
        <v>108092.84530471782</v>
      </c>
      <c r="FQ127" s="322">
        <f t="shared" si="105"/>
        <v>108861.07280471781</v>
      </c>
      <c r="FR127" s="322"/>
      <c r="FS127" s="323"/>
      <c r="FT127" s="323">
        <f>_xlfn.IFNA((VLOOKUP($A127,HN!$A:$K,8,FALSE)/12),0)+_xlfn.IFNA((VLOOKUP($A127,HN!$A:$AF,32,FALSE)*1/12),0)</f>
        <v>0</v>
      </c>
      <c r="FU127" s="323">
        <f>_xlfn.IFNA((VLOOKUP($A127,HN!$A:$BS,14,FALSE)/12),0)+_xlfn.IFNA((VLOOKUP($A127,HN!$A:$BS,34,FALSE)/3),0)</f>
        <v>0</v>
      </c>
      <c r="FV127" s="323">
        <f>_xlfn.IFNA(VLOOKUP($A127,'Post 16'!$A:$AV,32,FALSE),0)/8</f>
        <v>0</v>
      </c>
      <c r="FW127" s="323"/>
      <c r="FX127" s="323">
        <f>_xlfn.IFNA((VLOOKUP($A127,HN!$A:$K,9,FALSE)/12),0)+_xlfn.IFNA((VLOOKUP($A127,HN!$A:$K,10,FALSE)/12),0)+_xlfn.IFNA((VLOOKUP($A127,HN!$A:$BZ,33,FALSE)/12),0)+_xlfn.IFNA((VLOOKUP($A127,HN!$A:$BZ,35,FALSE)/2),0)</f>
        <v>0</v>
      </c>
      <c r="FY127" s="323">
        <f>_xlfn.IFNA((VLOOKUP($A127,HN!$A:$BS,15,FALSE)/12),0)+_xlfn.IFNA((VLOOKUP($A127,HN!$A:$CZ,36,FALSE)/2),0)</f>
        <v>0</v>
      </c>
      <c r="FZ127" s="322">
        <f t="shared" si="106"/>
        <v>-428.14666666666659</v>
      </c>
      <c r="GA127" s="322">
        <f t="shared" si="107"/>
        <v>-340.08083333333332</v>
      </c>
      <c r="GB127" s="323"/>
      <c r="GC127" s="323"/>
      <c r="GD127" s="323">
        <f>_xlfn.IFNA(VLOOKUP(A127,'LA Deductions'!A:AZ,25,FALSE),0)/9</f>
        <v>0</v>
      </c>
      <c r="GE127" s="322">
        <f t="shared" si="114"/>
        <v>108092.84530471782</v>
      </c>
      <c r="GG127" s="146">
        <f t="shared" ref="GG127:GL136" si="130">SUMIFS($M127:$GE127,$M$7:$GE$7,GG$7)</f>
        <v>1368003.4078671401</v>
      </c>
      <c r="GH127" s="146">
        <f t="shared" si="130"/>
        <v>0</v>
      </c>
      <c r="GI127" s="146">
        <f t="shared" si="130"/>
        <v>0</v>
      </c>
      <c r="GJ127" s="146">
        <f t="shared" si="130"/>
        <v>-5137.7599999999993</v>
      </c>
      <c r="GK127" s="146">
        <f t="shared" si="130"/>
        <v>-4080.9700000000007</v>
      </c>
      <c r="GL127" s="146">
        <f t="shared" si="130"/>
        <v>0</v>
      </c>
      <c r="GN127" s="146">
        <f t="shared" ref="GN127:GS136" si="131">SUMIFS($M127:$GE127,$M$7:$GE$7,GN$7,$M$4:$GE$4,$GN$6)</f>
        <v>1368003.4078671401</v>
      </c>
      <c r="GO127" s="146">
        <f t="shared" si="131"/>
        <v>0</v>
      </c>
      <c r="GP127" s="146">
        <f t="shared" si="131"/>
        <v>0</v>
      </c>
      <c r="GQ127" s="146">
        <f t="shared" si="131"/>
        <v>-5137.7599999999993</v>
      </c>
      <c r="GR127" s="146">
        <f t="shared" si="131"/>
        <v>-4080.9700000000007</v>
      </c>
      <c r="GS127" s="146">
        <f t="shared" si="131"/>
        <v>0</v>
      </c>
      <c r="GU127" s="146"/>
      <c r="GV127" s="57"/>
    </row>
    <row r="128" spans="1:204">
      <c r="A128" s="185">
        <v>3371</v>
      </c>
      <c r="B128" s="185">
        <v>103459</v>
      </c>
      <c r="C128" s="185" t="s">
        <v>280</v>
      </c>
      <c r="D128" s="2" t="s">
        <v>281</v>
      </c>
      <c r="E128" s="191" t="s">
        <v>32</v>
      </c>
      <c r="F128" s="191" t="s">
        <v>912</v>
      </c>
      <c r="H128" s="279">
        <f>_xlfn.IFNA(VLOOKUP($A128,ISB!$A$4:$BY$454,67,FALSE),0)</f>
        <v>1498068.2234762264</v>
      </c>
      <c r="I128" s="279">
        <f>_xlfn.IFNA(VLOOKUP($A128,ISB!$A$4:$BY$454,72,FALSE),0)</f>
        <v>-6989.44</v>
      </c>
      <c r="J128" s="279">
        <f>-_xlfn.IFNA(VLOOKUP($A128,ISB!$A$4:$BY$454,76,FALSE),0)</f>
        <v>-18761.88</v>
      </c>
      <c r="K128" s="279">
        <f>_xlfn.IFNA(VLOOKUP($A128,ISB!$A$4:$BY$454,77,FALSE),0)</f>
        <v>1472316.9034762266</v>
      </c>
      <c r="M128" s="301">
        <f t="shared" si="72"/>
        <v>124839.01862301887</v>
      </c>
      <c r="N128" s="301">
        <f>VLOOKUP($A128,EY!$A:$H,8,FALSE)+(VLOOKUP($A128,EY!$A:$BS,17,FALSE)-S128)+VLOOKUP($A128,EY!$A:$BS,41,FALSE)</f>
        <v>0</v>
      </c>
      <c r="O128" s="302"/>
      <c r="P128" s="302">
        <f>_xlfn.IFNA((VLOOKUP($A128,HN!$A:$K,8,FALSE)/12),0)</f>
        <v>0</v>
      </c>
      <c r="Q128" s="302">
        <f>_xlfn.IFNA((VLOOKUP($A128,HN!$A:$BS,14,FALSE)/12),0)</f>
        <v>0</v>
      </c>
      <c r="R128" s="302">
        <f>_xlfn.IFNA(VLOOKUP($A128,'Post 16'!$A:$V,21,FALSE),0)/4</f>
        <v>0</v>
      </c>
      <c r="S128" s="302">
        <f>VLOOKUP($A128,EY!A:Q,15,FALSE)*80%</f>
        <v>0</v>
      </c>
      <c r="T128" s="302">
        <f>_xlfn.IFNA((VLOOKUP($A128,HN!$A:$K,9,FALSE)/12),0)+_xlfn.IFNA((VLOOKUP($A128,HN!$A:$K,10,FALSE)/12),0)</f>
        <v>0</v>
      </c>
      <c r="U128" s="302">
        <f>_xlfn.IFNA((VLOOKUP($A128,HN!$A:$BS,15,FALSE)/12),0)</f>
        <v>0</v>
      </c>
      <c r="V128" s="301">
        <f t="shared" si="73"/>
        <v>-582.45333333333326</v>
      </c>
      <c r="W128" s="301">
        <f t="shared" si="74"/>
        <v>-1563.49</v>
      </c>
      <c r="X128" s="302"/>
      <c r="Y128" s="302">
        <f>_xlfn.IFNA(VLOOKUP($A128,'Cash Advances'!$A:$S,8,FALSE),0)</f>
        <v>0</v>
      </c>
      <c r="Z128" s="301">
        <f t="shared" si="121"/>
        <v>122693.07528968553</v>
      </c>
      <c r="AA128" s="315">
        <f t="shared" si="75"/>
        <v>124839.01862301887</v>
      </c>
      <c r="AB128" s="315"/>
      <c r="AC128" s="316"/>
      <c r="AD128" s="316">
        <f>_xlfn.IFNA((VLOOKUP($A128,HN!$A:$K,8,FALSE)/12),0)</f>
        <v>0</v>
      </c>
      <c r="AE128" s="316">
        <f>_xlfn.IFNA((VLOOKUP($A128,HN!$A:$BS,14,FALSE)/12),0)</f>
        <v>0</v>
      </c>
      <c r="AF128" s="316">
        <f>_xlfn.IFNA(VLOOKUP($A128,'Post 16'!$A:$V,21,FALSE),0)/4</f>
        <v>0</v>
      </c>
      <c r="AG128" s="316"/>
      <c r="AH128" s="316">
        <f>_xlfn.IFNA((VLOOKUP($A128,HN!$A:$K,9,FALSE)/12),0)+_xlfn.IFNA((VLOOKUP($A128,HN!$A:$K,10,FALSE)/12),0)</f>
        <v>0</v>
      </c>
      <c r="AI128" s="316">
        <f>_xlfn.IFNA((VLOOKUP($A128,HN!$A:$BS,15,FALSE)/12),0)</f>
        <v>0</v>
      </c>
      <c r="AJ128" s="315">
        <f t="shared" si="76"/>
        <v>-582.45333333333326</v>
      </c>
      <c r="AK128" s="315">
        <f t="shared" si="77"/>
        <v>-1563.49</v>
      </c>
      <c r="AL128" s="316"/>
      <c r="AM128" s="316">
        <f>_xlfn.IFNA(VLOOKUP($A128,'Cash Advances'!$A:$S,9,FALSE),0)</f>
        <v>0</v>
      </c>
      <c r="AN128" s="315">
        <f t="shared" si="122"/>
        <v>122693.07528968553</v>
      </c>
      <c r="AO128" s="308">
        <f t="shared" si="78"/>
        <v>124839.01862301887</v>
      </c>
      <c r="AP128" s="308"/>
      <c r="AQ128" s="309"/>
      <c r="AR128" s="309">
        <f>_xlfn.IFNA((VLOOKUP($A128,HN!$A:$K,8,FALSE)/12),0)</f>
        <v>0</v>
      </c>
      <c r="AS128" s="309">
        <f>_xlfn.IFNA((VLOOKUP($A128,HN!$A:$BS,14,FALSE)/12),0)</f>
        <v>0</v>
      </c>
      <c r="AT128" s="309">
        <f>_xlfn.IFNA(VLOOKUP($A128,'Post 16'!$A:$V,21,FALSE),0)/4</f>
        <v>0</v>
      </c>
      <c r="AU128" s="309"/>
      <c r="AV128" s="309">
        <f>_xlfn.IFNA((VLOOKUP($A128,HN!$A:$K,9,FALSE)/12),0)+_xlfn.IFNA((VLOOKUP($A128,HN!$A:$K,10,FALSE)/12),0)+_xlfn.IFNA(VLOOKUP(A128,HN!A:V,19,FALSE),0)+_xlfn.IFNA(VLOOKUP(A128,HN!A:V,20,FALSE),0)+_xlfn.IFNA(VLOOKUP(A128,HN!A:V,21,FALSE),0)</f>
        <v>0</v>
      </c>
      <c r="AW128" s="309">
        <f>_xlfn.IFNA((VLOOKUP($A128,HN!$A:$BS,15,FALSE)/12),0)</f>
        <v>0</v>
      </c>
      <c r="AX128" s="308">
        <f t="shared" si="79"/>
        <v>-582.45333333333326</v>
      </c>
      <c r="AY128" s="308">
        <f t="shared" si="80"/>
        <v>-1563.49</v>
      </c>
      <c r="AZ128" s="309"/>
      <c r="BA128" s="309">
        <f>_xlfn.IFNA(VLOOKUP($A128,'Cash Advances'!$A:$S,10,FALSE),0)</f>
        <v>0</v>
      </c>
      <c r="BB128" s="308">
        <f t="shared" si="123"/>
        <v>122693.07528968553</v>
      </c>
      <c r="BC128" s="330">
        <f t="shared" si="81"/>
        <v>124839.01862301887</v>
      </c>
      <c r="BD128" s="330"/>
      <c r="BE128" s="331"/>
      <c r="BF128" s="331">
        <f>_xlfn.IFNA((VLOOKUP($A128,HN!$A:$K,8,FALSE)/12),0)</f>
        <v>0</v>
      </c>
      <c r="BG128" s="331">
        <f>_xlfn.IFNA((VLOOKUP($A128,HN!$A:$BS,14,FALSE)/12),0)</f>
        <v>0</v>
      </c>
      <c r="BH128" s="331">
        <f>_xlfn.IFNA(VLOOKUP($A128,'Post 16'!$A:$V,21,FALSE),0)/4</f>
        <v>0</v>
      </c>
      <c r="BI128" s="331"/>
      <c r="BJ128" s="331">
        <f>_xlfn.IFNA((VLOOKUP($A128,HN!$A:$K,9,FALSE)/12),0)+_xlfn.IFNA((VLOOKUP($A128,HN!$A:$K,10,FALSE)/12),0)</f>
        <v>0</v>
      </c>
      <c r="BK128" s="331">
        <f>_xlfn.IFNA((VLOOKUP($A128,HN!$A:$BS,15,FALSE)/12),0)</f>
        <v>0</v>
      </c>
      <c r="BL128" s="330">
        <f t="shared" si="82"/>
        <v>-582.45333333333326</v>
      </c>
      <c r="BM128" s="330">
        <f t="shared" si="83"/>
        <v>-1563.49</v>
      </c>
      <c r="BN128" s="331"/>
      <c r="BO128" s="331">
        <f>_xlfn.IFNA(VLOOKUP(A128,'Cash Advances'!A:K,11,FALSE),0)</f>
        <v>0</v>
      </c>
      <c r="BP128" s="330">
        <f t="shared" si="124"/>
        <v>122693.07528968553</v>
      </c>
      <c r="BQ128" s="322">
        <f t="shared" si="84"/>
        <v>124839.01862301887</v>
      </c>
      <c r="BR128" s="322"/>
      <c r="BS128" s="323"/>
      <c r="BT128" s="323">
        <f>_xlfn.IFNA((VLOOKUP($A128,HN!$A:$K,8,FALSE)/12),0)</f>
        <v>0</v>
      </c>
      <c r="BU128" s="323">
        <f>_xlfn.IFNA((VLOOKUP($A128,HN!$A:$BS,14,FALSE)/12),0)</f>
        <v>0</v>
      </c>
      <c r="BV128" s="323">
        <f>(_xlfn.IFNA(VLOOKUP($A128,'Post 16'!$A:$AV,32,FALSE),0)/8)+_xlfn.IFNA(VLOOKUP($A128,'Post 16'!$A:$AR,40,FALSE),0)</f>
        <v>0</v>
      </c>
      <c r="BW128" s="323"/>
      <c r="BX128" s="323">
        <f>_xlfn.IFNA((VLOOKUP($A128,HN!$A:$K,9,FALSE)/12),0)+_xlfn.IFNA((VLOOKUP($A128,HN!$A:$K,10,FALSE)/12),0)</f>
        <v>0</v>
      </c>
      <c r="BY128" s="323">
        <f>_xlfn.IFNA((VLOOKUP($A128,HN!$A:$BS,15,FALSE)/12),0)</f>
        <v>0</v>
      </c>
      <c r="BZ128" s="322">
        <f t="shared" si="85"/>
        <v>-582.45333333333326</v>
      </c>
      <c r="CA128" s="322">
        <f t="shared" si="86"/>
        <v>-1563.49</v>
      </c>
      <c r="CB128" s="323"/>
      <c r="CC128" s="323"/>
      <c r="CD128" s="322">
        <f t="shared" si="125"/>
        <v>122693.07528968553</v>
      </c>
      <c r="CE128" s="357">
        <f t="shared" si="87"/>
        <v>124839.01862301887</v>
      </c>
      <c r="CF128" s="357">
        <f>(VLOOKUP($A128,EY!$A:$BS,26,FALSE)-(VLOOKUP($A128,EY!A:CR,24,FALSE)*80%))+VLOOKUP($A128,EY!$A:$BS,42,FALSE)+(VLOOKUP($A128,EY!A:CC,74,FALSE)-VLOOKUP($A128,EY!A:CC,72,FALSE))</f>
        <v>0</v>
      </c>
      <c r="CG128" s="358"/>
      <c r="CH128" s="358">
        <f>_xlfn.IFNA((VLOOKUP($A128,HN!$A:$K,8,FALSE)/12),0)</f>
        <v>0</v>
      </c>
      <c r="CI128" s="358">
        <f>_xlfn.IFNA((VLOOKUP($A128,HN!$A:$BS,14,FALSE)/12),0)</f>
        <v>0</v>
      </c>
      <c r="CJ128" s="358">
        <f>(_xlfn.IFNA(VLOOKUP($A128,'Post 16'!$A:$AV,32,FALSE),0)/8)</f>
        <v>0</v>
      </c>
      <c r="CK128" s="358">
        <f>(VLOOKUP($A128,EY!A:CR,24,FALSE)*80%)+VLOOKUP($A128,EY!A:CC,72,FALSE)</f>
        <v>0</v>
      </c>
      <c r="CL128" s="358">
        <f>_xlfn.IFNA((VLOOKUP($A128,HN!$A:$K,9,FALSE)/12),0)+_xlfn.IFNA((VLOOKUP($A128,HN!$A:$K,10,FALSE)/12),0)</f>
        <v>0</v>
      </c>
      <c r="CM128" s="358">
        <f>_xlfn.IFNA((VLOOKUP($A128,HN!$A:$BS,15,FALSE)/12),0)</f>
        <v>0</v>
      </c>
      <c r="CN128" s="357">
        <f t="shared" si="88"/>
        <v>-582.45333333333326</v>
      </c>
      <c r="CO128" s="357">
        <f t="shared" si="89"/>
        <v>-1563.49</v>
      </c>
      <c r="CP128" s="358">
        <f>_xlfn.IFNA(VLOOKUP(A128,'LA Deductions'!A:W,23,FALSE),0)</f>
        <v>-7236</v>
      </c>
      <c r="CQ128" s="358">
        <f>_xlfn.IFNA(VLOOKUP($A128,'Cash Advances'!$A:$S,13,FALSE),0)</f>
        <v>0</v>
      </c>
      <c r="CR128" s="358">
        <f>_xlfn.IFNA(VLOOKUP(A128,'LA Deductions'!A:AZ,25,FALSE),0)/9*3</f>
        <v>0</v>
      </c>
      <c r="CS128" s="357">
        <f t="shared" si="108"/>
        <v>115457.07528968553</v>
      </c>
      <c r="CT128" s="337">
        <f t="shared" si="90"/>
        <v>124839.01862301887</v>
      </c>
      <c r="CU128" s="337"/>
      <c r="CV128" s="338">
        <f>_xlfn.IFNA(VLOOKUP(A128,'LA Deductions'!$A$6:$AN$207,34,FALSE),0)</f>
        <v>-4587.5414000000001</v>
      </c>
      <c r="CW128" s="338">
        <f>_xlfn.IFNA((VLOOKUP($A128,HN!$A:$K,8,FALSE)/12),0)</f>
        <v>0</v>
      </c>
      <c r="CX128" s="338">
        <f>_xlfn.IFNA((VLOOKUP($A128,HN!$A:$BS,14,FALSE)/12),0)</f>
        <v>0</v>
      </c>
      <c r="CY128" s="338">
        <f>_xlfn.IFNA(VLOOKUP($A128,'Post 16'!$A:$AV,32,FALSE),0)/8</f>
        <v>0</v>
      </c>
      <c r="CZ128" s="338"/>
      <c r="DA128" s="338">
        <f>_xlfn.IFNA((VLOOKUP($A128,HN!$A:$K,9,FALSE)/12),0)+_xlfn.IFNA((VLOOKUP($A128,HN!$A:$K,10,FALSE)/12),0)</f>
        <v>0</v>
      </c>
      <c r="DB128" s="338">
        <f>_xlfn.IFNA((VLOOKUP($A128,HN!$A:$BS,15,FALSE)/12),0)</f>
        <v>0</v>
      </c>
      <c r="DC128" s="337">
        <f t="shared" si="91"/>
        <v>-582.45333333333326</v>
      </c>
      <c r="DD128" s="337">
        <f t="shared" si="92"/>
        <v>-1563.49</v>
      </c>
      <c r="DE128" s="338"/>
      <c r="DF128" s="338">
        <f>_xlfn.IFNA(VLOOKUP($A128,'Cash Advances'!$A:$S,14,FALSE),0)</f>
        <v>0</v>
      </c>
      <c r="DG128" s="338">
        <f>(_xlfn.IFNA(VLOOKUP(A128,'LA Deductions'!A:AZ,25,FALSE),0)/9)+(_xlfn.IFNA(VLOOKUP(A128,'LA Deductions'!A:AZ,26,FALSE),0))</f>
        <v>0</v>
      </c>
      <c r="DH128" s="337">
        <f t="shared" si="109"/>
        <v>118105.53388968552</v>
      </c>
      <c r="DI128" s="330">
        <f t="shared" si="93"/>
        <v>124839.01862301887</v>
      </c>
      <c r="DJ128" s="330"/>
      <c r="DK128" s="331"/>
      <c r="DL128" s="331">
        <f>_xlfn.IFNA((VLOOKUP($A128,HN!$A:$K,8,FALSE)/12),0)+_xlfn.IFNA((VLOOKUP($A128,HN!$A:$AF,32,FALSE)*8/12),0)</f>
        <v>0</v>
      </c>
      <c r="DM128" s="331">
        <f>_xlfn.IFNA((VLOOKUP($A128,HN!$A:$BS,14,FALSE)/12),0)+_xlfn.IFNA(VLOOKUP($A128,HN!$A:$BS,31,FALSE),0)</f>
        <v>0</v>
      </c>
      <c r="DN128" s="331">
        <f>_xlfn.IFNA(VLOOKUP($A128,'Post 16'!$A:$AV,32,FALSE),0)/8</f>
        <v>0</v>
      </c>
      <c r="DO128" s="331"/>
      <c r="DP128" s="331">
        <f>_xlfn.IFNA((VLOOKUP($A128,HN!$A:$K,9,FALSE)/12),0)+_xlfn.IFNA((VLOOKUP($A128,HN!$A:$K,10,FALSE)/12),0)+_xlfn.IFNA((VLOOKUP($A128,HN!$A:$BZ,33,FALSE)*8/12),0)</f>
        <v>0</v>
      </c>
      <c r="DQ128" s="331">
        <f>_xlfn.IFNA((VLOOKUP($A128,HN!$A:$BS,15,FALSE)/12),0)</f>
        <v>0</v>
      </c>
      <c r="DR128" s="330">
        <f t="shared" si="94"/>
        <v>-582.45333333333326</v>
      </c>
      <c r="DS128" s="330">
        <f t="shared" si="95"/>
        <v>-1563.49</v>
      </c>
      <c r="DT128" s="331"/>
      <c r="DU128" s="331"/>
      <c r="DV128" s="331">
        <f>(_xlfn.IFNA(VLOOKUP(A128,'LA Deductions'!A:AZ,25,FALSE),0)/9)+_xlfn.IFNA(VLOOKUP(A128,'LA Deductions'!A:AZ,27,FALSE),0)</f>
        <v>0</v>
      </c>
      <c r="DW128" s="330">
        <f t="shared" si="110"/>
        <v>122693.07528968553</v>
      </c>
      <c r="DX128" s="344">
        <f t="shared" si="96"/>
        <v>124839.01862301887</v>
      </c>
      <c r="DY128" s="344"/>
      <c r="DZ128" s="345"/>
      <c r="EA128" s="345">
        <f>_xlfn.IFNA((VLOOKUP($A128,HN!$A:$K,8,FALSE)/12),0)+_xlfn.IFNA((VLOOKUP($A128,HN!$A:$AF,32,FALSE)*1/12),0)</f>
        <v>0</v>
      </c>
      <c r="EB128" s="345">
        <f>_xlfn.IFNA((VLOOKUP($A128,HN!$A:$BS,14,FALSE)/12),0)</f>
        <v>0</v>
      </c>
      <c r="EC128" s="345">
        <f>_xlfn.IFNA(VLOOKUP($A128,'Post 16'!$A:$AV,32,FALSE),0)/8</f>
        <v>0</v>
      </c>
      <c r="ED128" s="345"/>
      <c r="EE128" s="345">
        <f>_xlfn.IFNA((VLOOKUP($A128,HN!$A:$K,9,FALSE)/12),0)+_xlfn.IFNA((VLOOKUP($A128,HN!$A:$K,10,FALSE)/12),0)+_xlfn.IFNA((VLOOKUP($A128,HN!$A:$BZ,33,FALSE)/12),0)</f>
        <v>0</v>
      </c>
      <c r="EF128" s="345">
        <f>_xlfn.IFNA((VLOOKUP($A128,HN!$A:$BS,15,FALSE)/12),0)</f>
        <v>0</v>
      </c>
      <c r="EG128" s="344">
        <f t="shared" si="97"/>
        <v>-582.45333333333326</v>
      </c>
      <c r="EH128" s="344">
        <f t="shared" si="98"/>
        <v>-1563.49</v>
      </c>
      <c r="EI128" s="345"/>
      <c r="EJ128" s="345">
        <f>_xlfn.IFNA(VLOOKUP(A128,'Cash Advances'!A:P,16,FALSE),0)</f>
        <v>0</v>
      </c>
      <c r="EK128" s="345">
        <f>_xlfn.IFNA(VLOOKUP(A128,'LA Deductions'!A:AZ,25,FALSE),0)/9</f>
        <v>0</v>
      </c>
      <c r="EL128" s="344">
        <f t="shared" si="111"/>
        <v>122693.07528968553</v>
      </c>
      <c r="EM128" s="308">
        <f t="shared" si="99"/>
        <v>124839.01862301887</v>
      </c>
      <c r="EN128" s="308">
        <f>((VLOOKUP($A128,EY!$A:$BS,35,FALSE)-(VLOOKUP($A128,EY!$A:$BS,33,FALSE)*80%))+VLOOKUP($A128,EY!$A:$BS,43,FALSE))+(VLOOKUP(A128,EY!A:DF,110,FALSE)-VLOOKUP(A128,EY!A:DD,108,FALSE))+(VLOOKUP(A128,EY!A:CE,83,FALSE)-VLOOKUP(A128,EY!A:CC,81,FALSE))</f>
        <v>0</v>
      </c>
      <c r="EO128" s="309"/>
      <c r="EP128" s="309">
        <f>_xlfn.IFNA((VLOOKUP($A128,HN!$A:$K,8,FALSE)/12),0)+_xlfn.IFNA((VLOOKUP($A128,HN!$A:$AF,32,FALSE)*1/12),0)</f>
        <v>0</v>
      </c>
      <c r="EQ128" s="309">
        <f>_xlfn.IFNA((VLOOKUP($A128,HN!$A:$BS,14,FALSE)/12),0)+_xlfn.IFNA((VLOOKUP($A128,HN!$A:$BS,34,FALSE)/3),0)</f>
        <v>0</v>
      </c>
      <c r="ER128" s="309">
        <f>_xlfn.IFNA(VLOOKUP($A128,'Post 16'!$A:$AV,32,FALSE),0)/8</f>
        <v>0</v>
      </c>
      <c r="ES128" s="309">
        <f>((VLOOKUP($A128,EY!A:EV,33,FALSE)*80%))+VLOOKUP(A128,EY!A:DD,108,FALSE)+VLOOKUP(A128,EY!A:CC,81,FALSE)</f>
        <v>0</v>
      </c>
      <c r="ET128" s="309">
        <f>_xlfn.IFNA((VLOOKUP($A128,HN!$A:$K,9,FALSE)/12),0)+_xlfn.IFNA((VLOOKUP($A128,HN!$A:$K,10,FALSE)/12),0)+_xlfn.IFNA((VLOOKUP($A128,HN!$A:$BZ,33,FALSE)/12),0)</f>
        <v>0</v>
      </c>
      <c r="EU128" s="309">
        <f>_xlfn.IFNA((VLOOKUP($A128,HN!$A:$BS,15,FALSE)/12),0)</f>
        <v>0</v>
      </c>
      <c r="EV128" s="308">
        <f t="shared" si="100"/>
        <v>-582.45333333333326</v>
      </c>
      <c r="EW128" s="308">
        <f t="shared" si="101"/>
        <v>-1563.49</v>
      </c>
      <c r="EX128" s="309"/>
      <c r="EY128" s="309">
        <f>_xlfn.IFNA(VLOOKUP($A128,'Cash Advances'!$A:$S,17,FALSE),0)</f>
        <v>0</v>
      </c>
      <c r="EZ128" s="309">
        <f>_xlfn.IFNA(VLOOKUP(A128,'LA Deductions'!A:AZ,25,FALSE),0)/9</f>
        <v>0</v>
      </c>
      <c r="FA128" s="308">
        <f t="shared" si="112"/>
        <v>122693.07528968553</v>
      </c>
      <c r="FB128" s="315">
        <f t="shared" si="102"/>
        <v>124839.01862301887</v>
      </c>
      <c r="FC128" s="315"/>
      <c r="FD128" s="316"/>
      <c r="FE128" s="316">
        <f>_xlfn.IFNA((VLOOKUP($A128,HN!$A:$K,8,FALSE)/12),0)+_xlfn.IFNA((VLOOKUP($A128,HN!$A:$AF,32,FALSE)*1/12),0)</f>
        <v>0</v>
      </c>
      <c r="FF128" s="316">
        <f>_xlfn.IFNA((VLOOKUP($A128,HN!$A:$BS,14,FALSE)/12),0)+_xlfn.IFNA((VLOOKUP($A128,HN!$A:$BS,34,FALSE)/3),0)</f>
        <v>0</v>
      </c>
      <c r="FG128" s="316">
        <f>_xlfn.IFNA(VLOOKUP($A128,'Post 16'!$A:$AV,32,FALSE),0)/8</f>
        <v>0</v>
      </c>
      <c r="FH128" s="316"/>
      <c r="FI128" s="316">
        <f>_xlfn.IFNA((VLOOKUP($A128,HN!$A:$K,9,FALSE)/12),0)+_xlfn.IFNA((VLOOKUP($A128,HN!$A:$K,10,FALSE)/12),0)+_xlfn.IFNA((VLOOKUP($A128,HN!$A:$BZ,33,FALSE)/12),0)+_xlfn.IFNA((VLOOKUP($A128,HN!$A:$BZ,35,FALSE)/2),0)</f>
        <v>0</v>
      </c>
      <c r="FJ128" s="316">
        <f>_xlfn.IFNA((VLOOKUP($A128,HN!$A:$BS,15,FALSE)/12),0)+_xlfn.IFNA((VLOOKUP($A128,HN!$A:$CZ,36,FALSE)/2),0)</f>
        <v>0</v>
      </c>
      <c r="FK128" s="315">
        <f t="shared" si="103"/>
        <v>-582.45333333333326</v>
      </c>
      <c r="FL128" s="315">
        <f t="shared" si="104"/>
        <v>-1563.49</v>
      </c>
      <c r="FM128" s="316"/>
      <c r="FN128" s="316">
        <f>_xlfn.IFNA(VLOOKUP($A128,'Cash Advances'!$A:$S,18,FALSE),0)</f>
        <v>0</v>
      </c>
      <c r="FO128" s="316">
        <f>_xlfn.IFNA(VLOOKUP(A128,'LA Deductions'!A:AZ,25,FALSE),0)/9</f>
        <v>0</v>
      </c>
      <c r="FP128" s="315">
        <f t="shared" si="113"/>
        <v>122693.07528968553</v>
      </c>
      <c r="FQ128" s="322">
        <f t="shared" si="105"/>
        <v>124839.01862301887</v>
      </c>
      <c r="FR128" s="322"/>
      <c r="FS128" s="323"/>
      <c r="FT128" s="323">
        <f>_xlfn.IFNA((VLOOKUP($A128,HN!$A:$K,8,FALSE)/12),0)+_xlfn.IFNA((VLOOKUP($A128,HN!$A:$AF,32,FALSE)*1/12),0)</f>
        <v>0</v>
      </c>
      <c r="FU128" s="323">
        <f>_xlfn.IFNA((VLOOKUP($A128,HN!$A:$BS,14,FALSE)/12),0)+_xlfn.IFNA((VLOOKUP($A128,HN!$A:$BS,34,FALSE)/3),0)</f>
        <v>0</v>
      </c>
      <c r="FV128" s="323">
        <f>_xlfn.IFNA(VLOOKUP($A128,'Post 16'!$A:$AV,32,FALSE),0)/8</f>
        <v>0</v>
      </c>
      <c r="FW128" s="323"/>
      <c r="FX128" s="323">
        <f>_xlfn.IFNA((VLOOKUP($A128,HN!$A:$K,9,FALSE)/12),0)+_xlfn.IFNA((VLOOKUP($A128,HN!$A:$K,10,FALSE)/12),0)+_xlfn.IFNA((VLOOKUP($A128,HN!$A:$BZ,33,FALSE)/12),0)+_xlfn.IFNA((VLOOKUP($A128,HN!$A:$BZ,35,FALSE)/2),0)</f>
        <v>0</v>
      </c>
      <c r="FY128" s="323">
        <f>_xlfn.IFNA((VLOOKUP($A128,HN!$A:$BS,15,FALSE)/12),0)+_xlfn.IFNA((VLOOKUP($A128,HN!$A:$CZ,36,FALSE)/2),0)</f>
        <v>0</v>
      </c>
      <c r="FZ128" s="322">
        <f t="shared" si="106"/>
        <v>-582.45333333333326</v>
      </c>
      <c r="GA128" s="322">
        <f t="shared" si="107"/>
        <v>-1563.49</v>
      </c>
      <c r="GB128" s="323"/>
      <c r="GC128" s="323"/>
      <c r="GD128" s="323">
        <f>_xlfn.IFNA(VLOOKUP(A128,'LA Deductions'!A:AZ,25,FALSE),0)/9</f>
        <v>0</v>
      </c>
      <c r="GE128" s="322">
        <f t="shared" si="114"/>
        <v>122693.07528968553</v>
      </c>
      <c r="GG128" s="146">
        <f t="shared" si="130"/>
        <v>1493480.6820762265</v>
      </c>
      <c r="GH128" s="146">
        <f t="shared" si="130"/>
        <v>0</v>
      </c>
      <c r="GI128" s="146">
        <f t="shared" si="130"/>
        <v>0</v>
      </c>
      <c r="GJ128" s="146">
        <f t="shared" si="130"/>
        <v>-6989.4399999999978</v>
      </c>
      <c r="GK128" s="146">
        <f t="shared" si="130"/>
        <v>-18761.88</v>
      </c>
      <c r="GL128" s="146">
        <f t="shared" si="130"/>
        <v>-7236</v>
      </c>
      <c r="GN128" s="146">
        <f t="shared" si="131"/>
        <v>1493480.6820762265</v>
      </c>
      <c r="GO128" s="146">
        <f t="shared" si="131"/>
        <v>0</v>
      </c>
      <c r="GP128" s="146">
        <f t="shared" si="131"/>
        <v>0</v>
      </c>
      <c r="GQ128" s="146">
        <f t="shared" si="131"/>
        <v>-6989.4399999999978</v>
      </c>
      <c r="GR128" s="146">
        <f t="shared" si="131"/>
        <v>-18761.88</v>
      </c>
      <c r="GS128" s="146">
        <f t="shared" si="131"/>
        <v>-7236</v>
      </c>
      <c r="GU128" s="146"/>
      <c r="GV128" s="57"/>
    </row>
    <row r="129" spans="1:204">
      <c r="A129" s="185">
        <v>3307</v>
      </c>
      <c r="B129" s="185">
        <v>103416</v>
      </c>
      <c r="C129" s="185" t="s">
        <v>282</v>
      </c>
      <c r="D129" s="2" t="s">
        <v>283</v>
      </c>
      <c r="E129" s="191" t="s">
        <v>32</v>
      </c>
      <c r="F129" s="191" t="s">
        <v>912</v>
      </c>
      <c r="H129" s="279">
        <f>_xlfn.IFNA(VLOOKUP($A129,ISB!$A$4:$BY$454,67,FALSE),0)</f>
        <v>1881913.6924833008</v>
      </c>
      <c r="I129" s="279">
        <f>_xlfn.IFNA(VLOOKUP($A129,ISB!$A$4:$BY$454,72,FALSE),0)</f>
        <v>-9336.64</v>
      </c>
      <c r="J129" s="279">
        <f>-_xlfn.IFNA(VLOOKUP($A129,ISB!$A$4:$BY$454,76,FALSE),0)</f>
        <v>-4398.9799999999996</v>
      </c>
      <c r="K129" s="279">
        <f>_xlfn.IFNA(VLOOKUP($A129,ISB!$A$4:$BY$454,77,FALSE),0)</f>
        <v>1868178.0724833009</v>
      </c>
      <c r="M129" s="301">
        <f t="shared" si="72"/>
        <v>156826.14104027508</v>
      </c>
      <c r="N129" s="301">
        <f>VLOOKUP($A129,EY!$A:$H,8,FALSE)+(VLOOKUP($A129,EY!$A:$BS,17,FALSE)-S129)+VLOOKUP($A129,EY!$A:$BS,41,FALSE)</f>
        <v>0</v>
      </c>
      <c r="O129" s="302"/>
      <c r="P129" s="302">
        <f>_xlfn.IFNA((VLOOKUP($A129,HN!$A:$K,8,FALSE)/12),0)</f>
        <v>0</v>
      </c>
      <c r="Q129" s="302">
        <f>_xlfn.IFNA((VLOOKUP($A129,HN!$A:$BS,14,FALSE)/12),0)</f>
        <v>0</v>
      </c>
      <c r="R129" s="302">
        <f>_xlfn.IFNA(VLOOKUP($A129,'Post 16'!$A:$V,21,FALSE),0)/4</f>
        <v>0</v>
      </c>
      <c r="S129" s="302">
        <f>VLOOKUP($A129,EY!A:Q,15,FALSE)*80%</f>
        <v>0</v>
      </c>
      <c r="T129" s="302">
        <f>_xlfn.IFNA((VLOOKUP($A129,HN!$A:$K,9,FALSE)/12),0)+_xlfn.IFNA((VLOOKUP($A129,HN!$A:$K,10,FALSE)/12),0)</f>
        <v>0</v>
      </c>
      <c r="U129" s="302">
        <f>_xlfn.IFNA((VLOOKUP($A129,HN!$A:$BS,15,FALSE)/12),0)</f>
        <v>0</v>
      </c>
      <c r="V129" s="301">
        <f t="shared" si="73"/>
        <v>-778.05333333333328</v>
      </c>
      <c r="W129" s="301">
        <f t="shared" si="74"/>
        <v>-366.58166666666665</v>
      </c>
      <c r="X129" s="302"/>
      <c r="Y129" s="302">
        <f>_xlfn.IFNA(VLOOKUP($A129,'Cash Advances'!$A:$S,8,FALSE),0)</f>
        <v>0</v>
      </c>
      <c r="Z129" s="301">
        <f t="shared" si="121"/>
        <v>155681.50604027507</v>
      </c>
      <c r="AA129" s="315">
        <f t="shared" si="75"/>
        <v>156826.14104027508</v>
      </c>
      <c r="AB129" s="315"/>
      <c r="AC129" s="316"/>
      <c r="AD129" s="316">
        <f>_xlfn.IFNA((VLOOKUP($A129,HN!$A:$K,8,FALSE)/12),0)</f>
        <v>0</v>
      </c>
      <c r="AE129" s="316">
        <f>_xlfn.IFNA((VLOOKUP($A129,HN!$A:$BS,14,FALSE)/12),0)</f>
        <v>0</v>
      </c>
      <c r="AF129" s="316">
        <f>_xlfn.IFNA(VLOOKUP($A129,'Post 16'!$A:$V,21,FALSE),0)/4</f>
        <v>0</v>
      </c>
      <c r="AG129" s="316"/>
      <c r="AH129" s="316">
        <f>_xlfn.IFNA((VLOOKUP($A129,HN!$A:$K,9,FALSE)/12),0)+_xlfn.IFNA((VLOOKUP($A129,HN!$A:$K,10,FALSE)/12),0)</f>
        <v>0</v>
      </c>
      <c r="AI129" s="316">
        <f>_xlfn.IFNA((VLOOKUP($A129,HN!$A:$BS,15,FALSE)/12),0)</f>
        <v>0</v>
      </c>
      <c r="AJ129" s="315">
        <f t="shared" si="76"/>
        <v>-778.05333333333328</v>
      </c>
      <c r="AK129" s="315">
        <f t="shared" si="77"/>
        <v>-366.58166666666665</v>
      </c>
      <c r="AL129" s="316"/>
      <c r="AM129" s="316">
        <f>_xlfn.IFNA(VLOOKUP($A129,'Cash Advances'!$A:$S,9,FALSE),0)</f>
        <v>0</v>
      </c>
      <c r="AN129" s="315">
        <f t="shared" si="122"/>
        <v>155681.50604027507</v>
      </c>
      <c r="AO129" s="308">
        <f t="shared" si="78"/>
        <v>156826.14104027508</v>
      </c>
      <c r="AP129" s="308"/>
      <c r="AQ129" s="309"/>
      <c r="AR129" s="309">
        <f>_xlfn.IFNA((VLOOKUP($A129,HN!$A:$K,8,FALSE)/12),0)</f>
        <v>0</v>
      </c>
      <c r="AS129" s="309">
        <f>_xlfn.IFNA((VLOOKUP($A129,HN!$A:$BS,14,FALSE)/12),0)</f>
        <v>0</v>
      </c>
      <c r="AT129" s="309">
        <f>_xlfn.IFNA(VLOOKUP($A129,'Post 16'!$A:$V,21,FALSE),0)/4</f>
        <v>0</v>
      </c>
      <c r="AU129" s="309"/>
      <c r="AV129" s="309">
        <f>_xlfn.IFNA((VLOOKUP($A129,HN!$A:$K,9,FALSE)/12),0)+_xlfn.IFNA((VLOOKUP($A129,HN!$A:$K,10,FALSE)/12),0)+_xlfn.IFNA(VLOOKUP(A129,HN!A:V,19,FALSE),0)+_xlfn.IFNA(VLOOKUP(A129,HN!A:V,20,FALSE),0)+_xlfn.IFNA(VLOOKUP(A129,HN!A:V,21,FALSE),0)</f>
        <v>0</v>
      </c>
      <c r="AW129" s="309">
        <f>_xlfn.IFNA((VLOOKUP($A129,HN!$A:$BS,15,FALSE)/12),0)</f>
        <v>0</v>
      </c>
      <c r="AX129" s="308">
        <f t="shared" si="79"/>
        <v>-778.05333333333328</v>
      </c>
      <c r="AY129" s="308">
        <f t="shared" si="80"/>
        <v>-366.58166666666665</v>
      </c>
      <c r="AZ129" s="309"/>
      <c r="BA129" s="309">
        <f>_xlfn.IFNA(VLOOKUP($A129,'Cash Advances'!$A:$S,10,FALSE),0)</f>
        <v>0</v>
      </c>
      <c r="BB129" s="308">
        <f t="shared" si="123"/>
        <v>155681.50604027507</v>
      </c>
      <c r="BC129" s="330">
        <f t="shared" si="81"/>
        <v>156826.14104027508</v>
      </c>
      <c r="BD129" s="330"/>
      <c r="BE129" s="331"/>
      <c r="BF129" s="331">
        <f>_xlfn.IFNA((VLOOKUP($A129,HN!$A:$K,8,FALSE)/12),0)</f>
        <v>0</v>
      </c>
      <c r="BG129" s="331">
        <f>_xlfn.IFNA((VLOOKUP($A129,HN!$A:$BS,14,FALSE)/12),0)</f>
        <v>0</v>
      </c>
      <c r="BH129" s="331">
        <f>_xlfn.IFNA(VLOOKUP($A129,'Post 16'!$A:$V,21,FALSE),0)/4</f>
        <v>0</v>
      </c>
      <c r="BI129" s="331"/>
      <c r="BJ129" s="331">
        <f>_xlfn.IFNA((VLOOKUP($A129,HN!$A:$K,9,FALSE)/12),0)+_xlfn.IFNA((VLOOKUP($A129,HN!$A:$K,10,FALSE)/12),0)</f>
        <v>0</v>
      </c>
      <c r="BK129" s="331">
        <f>_xlfn.IFNA((VLOOKUP($A129,HN!$A:$BS,15,FALSE)/12),0)</f>
        <v>0</v>
      </c>
      <c r="BL129" s="330">
        <f t="shared" si="82"/>
        <v>-778.05333333333328</v>
      </c>
      <c r="BM129" s="330">
        <f t="shared" si="83"/>
        <v>-366.58166666666665</v>
      </c>
      <c r="BN129" s="331"/>
      <c r="BO129" s="331">
        <f>_xlfn.IFNA(VLOOKUP(A129,'Cash Advances'!A:K,11,FALSE),0)</f>
        <v>0</v>
      </c>
      <c r="BP129" s="330">
        <f t="shared" si="124"/>
        <v>155681.50604027507</v>
      </c>
      <c r="BQ129" s="322">
        <f t="shared" si="84"/>
        <v>156826.14104027508</v>
      </c>
      <c r="BR129" s="322"/>
      <c r="BS129" s="323"/>
      <c r="BT129" s="323">
        <f>_xlfn.IFNA((VLOOKUP($A129,HN!$A:$K,8,FALSE)/12),0)</f>
        <v>0</v>
      </c>
      <c r="BU129" s="323">
        <f>_xlfn.IFNA((VLOOKUP($A129,HN!$A:$BS,14,FALSE)/12),0)</f>
        <v>0</v>
      </c>
      <c r="BV129" s="323">
        <f>(_xlfn.IFNA(VLOOKUP($A129,'Post 16'!$A:$AV,32,FALSE),0)/8)+_xlfn.IFNA(VLOOKUP($A129,'Post 16'!$A:$AR,40,FALSE),0)</f>
        <v>0</v>
      </c>
      <c r="BW129" s="323"/>
      <c r="BX129" s="323">
        <f>_xlfn.IFNA((VLOOKUP($A129,HN!$A:$K,9,FALSE)/12),0)+_xlfn.IFNA((VLOOKUP($A129,HN!$A:$K,10,FALSE)/12),0)</f>
        <v>0</v>
      </c>
      <c r="BY129" s="323">
        <f>_xlfn.IFNA((VLOOKUP($A129,HN!$A:$BS,15,FALSE)/12),0)</f>
        <v>0</v>
      </c>
      <c r="BZ129" s="322">
        <f t="shared" si="85"/>
        <v>-778.05333333333328</v>
      </c>
      <c r="CA129" s="322">
        <f t="shared" si="86"/>
        <v>-366.58166666666665</v>
      </c>
      <c r="CB129" s="323"/>
      <c r="CC129" s="323"/>
      <c r="CD129" s="322">
        <f t="shared" si="125"/>
        <v>155681.50604027507</v>
      </c>
      <c r="CE129" s="357">
        <f t="shared" si="87"/>
        <v>156826.14104027508</v>
      </c>
      <c r="CF129" s="357">
        <f>(VLOOKUP($A129,EY!$A:$BS,26,FALSE)-(VLOOKUP($A129,EY!A:CR,24,FALSE)*80%))+VLOOKUP($A129,EY!$A:$BS,42,FALSE)+(VLOOKUP($A129,EY!A:CC,74,FALSE)-VLOOKUP($A129,EY!A:CC,72,FALSE))</f>
        <v>0</v>
      </c>
      <c r="CG129" s="358"/>
      <c r="CH129" s="358">
        <f>_xlfn.IFNA((VLOOKUP($A129,HN!$A:$K,8,FALSE)/12),0)</f>
        <v>0</v>
      </c>
      <c r="CI129" s="358">
        <f>_xlfn.IFNA((VLOOKUP($A129,HN!$A:$BS,14,FALSE)/12),0)</f>
        <v>0</v>
      </c>
      <c r="CJ129" s="358">
        <f>(_xlfn.IFNA(VLOOKUP($A129,'Post 16'!$A:$AV,32,FALSE),0)/8)</f>
        <v>0</v>
      </c>
      <c r="CK129" s="358">
        <f>(VLOOKUP($A129,EY!A:CR,24,FALSE)*80%)+VLOOKUP($A129,EY!A:CC,72,FALSE)</f>
        <v>0</v>
      </c>
      <c r="CL129" s="358">
        <f>_xlfn.IFNA((VLOOKUP($A129,HN!$A:$K,9,FALSE)/12),0)+_xlfn.IFNA((VLOOKUP($A129,HN!$A:$K,10,FALSE)/12),0)</f>
        <v>0</v>
      </c>
      <c r="CM129" s="358">
        <f>_xlfn.IFNA((VLOOKUP($A129,HN!$A:$BS,15,FALSE)/12),0)</f>
        <v>0</v>
      </c>
      <c r="CN129" s="357">
        <f t="shared" si="88"/>
        <v>-778.05333333333328</v>
      </c>
      <c r="CO129" s="357">
        <f t="shared" si="89"/>
        <v>-366.58166666666665</v>
      </c>
      <c r="CP129" s="358">
        <f>_xlfn.IFNA(VLOOKUP(A129,'LA Deductions'!A:W,23,FALSE),0)</f>
        <v>-9666</v>
      </c>
      <c r="CQ129" s="358">
        <f>_xlfn.IFNA(VLOOKUP($A129,'Cash Advances'!$A:$S,13,FALSE),0)</f>
        <v>0</v>
      </c>
      <c r="CR129" s="358">
        <f>_xlfn.IFNA(VLOOKUP(A129,'LA Deductions'!A:AZ,25,FALSE),0)/9*3</f>
        <v>0</v>
      </c>
      <c r="CS129" s="357">
        <f t="shared" si="108"/>
        <v>146015.50604027507</v>
      </c>
      <c r="CT129" s="337">
        <f t="shared" si="90"/>
        <v>156826.14104027508</v>
      </c>
      <c r="CU129" s="337"/>
      <c r="CV129" s="338">
        <f>_xlfn.IFNA(VLOOKUP(A129,'LA Deductions'!$A$6:$AN$207,34,FALSE),0)</f>
        <v>0</v>
      </c>
      <c r="CW129" s="338">
        <f>_xlfn.IFNA((VLOOKUP($A129,HN!$A:$K,8,FALSE)/12),0)</f>
        <v>0</v>
      </c>
      <c r="CX129" s="338">
        <f>_xlfn.IFNA((VLOOKUP($A129,HN!$A:$BS,14,FALSE)/12),0)</f>
        <v>0</v>
      </c>
      <c r="CY129" s="338">
        <f>_xlfn.IFNA(VLOOKUP($A129,'Post 16'!$A:$AV,32,FALSE),0)/8</f>
        <v>0</v>
      </c>
      <c r="CZ129" s="338"/>
      <c r="DA129" s="338">
        <f>_xlfn.IFNA((VLOOKUP($A129,HN!$A:$K,9,FALSE)/12),0)+_xlfn.IFNA((VLOOKUP($A129,HN!$A:$K,10,FALSE)/12),0)</f>
        <v>0</v>
      </c>
      <c r="DB129" s="338">
        <f>_xlfn.IFNA((VLOOKUP($A129,HN!$A:$BS,15,FALSE)/12),0)</f>
        <v>0</v>
      </c>
      <c r="DC129" s="337">
        <f t="shared" si="91"/>
        <v>-778.05333333333328</v>
      </c>
      <c r="DD129" s="337">
        <f t="shared" si="92"/>
        <v>-366.58166666666665</v>
      </c>
      <c r="DE129" s="338"/>
      <c r="DF129" s="338">
        <f>_xlfn.IFNA(VLOOKUP($A129,'Cash Advances'!$A:$S,14,FALSE),0)</f>
        <v>0</v>
      </c>
      <c r="DG129" s="338">
        <f>(_xlfn.IFNA(VLOOKUP(A129,'LA Deductions'!A:AZ,25,FALSE),0)/9)+(_xlfn.IFNA(VLOOKUP(A129,'LA Deductions'!A:AZ,26,FALSE),0))</f>
        <v>0</v>
      </c>
      <c r="DH129" s="337">
        <f t="shared" si="109"/>
        <v>155681.50604027507</v>
      </c>
      <c r="DI129" s="330">
        <f t="shared" si="93"/>
        <v>156826.14104027508</v>
      </c>
      <c r="DJ129" s="330"/>
      <c r="DK129" s="331"/>
      <c r="DL129" s="331">
        <f>_xlfn.IFNA((VLOOKUP($A129,HN!$A:$K,8,FALSE)/12),0)+_xlfn.IFNA((VLOOKUP($A129,HN!$A:$AF,32,FALSE)*8/12),0)</f>
        <v>0</v>
      </c>
      <c r="DM129" s="331">
        <f>_xlfn.IFNA((VLOOKUP($A129,HN!$A:$BS,14,FALSE)/12),0)+_xlfn.IFNA(VLOOKUP($A129,HN!$A:$BS,31,FALSE),0)</f>
        <v>0</v>
      </c>
      <c r="DN129" s="331">
        <f>_xlfn.IFNA(VLOOKUP($A129,'Post 16'!$A:$AV,32,FALSE),0)/8</f>
        <v>0</v>
      </c>
      <c r="DO129" s="331"/>
      <c r="DP129" s="331">
        <f>_xlfn.IFNA((VLOOKUP($A129,HN!$A:$K,9,FALSE)/12),0)+_xlfn.IFNA((VLOOKUP($A129,HN!$A:$K,10,FALSE)/12),0)+_xlfn.IFNA((VLOOKUP($A129,HN!$A:$BZ,33,FALSE)*8/12),0)</f>
        <v>0</v>
      </c>
      <c r="DQ129" s="331">
        <f>_xlfn.IFNA((VLOOKUP($A129,HN!$A:$BS,15,FALSE)/12),0)</f>
        <v>0</v>
      </c>
      <c r="DR129" s="330">
        <f t="shared" si="94"/>
        <v>-778.05333333333328</v>
      </c>
      <c r="DS129" s="330">
        <f t="shared" si="95"/>
        <v>-366.58166666666665</v>
      </c>
      <c r="DT129" s="331"/>
      <c r="DU129" s="331"/>
      <c r="DV129" s="331">
        <f>(_xlfn.IFNA(VLOOKUP(A129,'LA Deductions'!A:AZ,25,FALSE),0)/9)+_xlfn.IFNA(VLOOKUP(A129,'LA Deductions'!A:AZ,27,FALSE),0)</f>
        <v>0</v>
      </c>
      <c r="DW129" s="330">
        <f t="shared" si="110"/>
        <v>155681.50604027507</v>
      </c>
      <c r="DX129" s="344">
        <f t="shared" si="96"/>
        <v>156826.14104027508</v>
      </c>
      <c r="DY129" s="344"/>
      <c r="DZ129" s="345"/>
      <c r="EA129" s="345">
        <f>_xlfn.IFNA((VLOOKUP($A129,HN!$A:$K,8,FALSE)/12),0)+_xlfn.IFNA((VLOOKUP($A129,HN!$A:$AF,32,FALSE)*1/12),0)</f>
        <v>0</v>
      </c>
      <c r="EB129" s="345">
        <f>_xlfn.IFNA((VLOOKUP($A129,HN!$A:$BS,14,FALSE)/12),0)</f>
        <v>0</v>
      </c>
      <c r="EC129" s="345">
        <f>_xlfn.IFNA(VLOOKUP($A129,'Post 16'!$A:$AV,32,FALSE),0)/8</f>
        <v>0</v>
      </c>
      <c r="ED129" s="345"/>
      <c r="EE129" s="345">
        <f>_xlfn.IFNA((VLOOKUP($A129,HN!$A:$K,9,FALSE)/12),0)+_xlfn.IFNA((VLOOKUP($A129,HN!$A:$K,10,FALSE)/12),0)+_xlfn.IFNA((VLOOKUP($A129,HN!$A:$BZ,33,FALSE)/12),0)</f>
        <v>0</v>
      </c>
      <c r="EF129" s="345">
        <f>_xlfn.IFNA((VLOOKUP($A129,HN!$A:$BS,15,FALSE)/12),0)</f>
        <v>0</v>
      </c>
      <c r="EG129" s="344">
        <f t="shared" si="97"/>
        <v>-778.05333333333328</v>
      </c>
      <c r="EH129" s="344">
        <f t="shared" si="98"/>
        <v>-366.58166666666665</v>
      </c>
      <c r="EI129" s="345"/>
      <c r="EJ129" s="345">
        <f>_xlfn.IFNA(VLOOKUP(A129,'Cash Advances'!A:P,16,FALSE),0)</f>
        <v>0</v>
      </c>
      <c r="EK129" s="345">
        <f>_xlfn.IFNA(VLOOKUP(A129,'LA Deductions'!A:AZ,25,FALSE),0)/9</f>
        <v>0</v>
      </c>
      <c r="EL129" s="344">
        <f t="shared" si="111"/>
        <v>155681.50604027507</v>
      </c>
      <c r="EM129" s="308">
        <f t="shared" si="99"/>
        <v>156826.14104027508</v>
      </c>
      <c r="EN129" s="308">
        <f>((VLOOKUP($A129,EY!$A:$BS,35,FALSE)-(VLOOKUP($A129,EY!$A:$BS,33,FALSE)*80%))+VLOOKUP($A129,EY!$A:$BS,43,FALSE))+(VLOOKUP(A129,EY!A:DF,110,FALSE)-VLOOKUP(A129,EY!A:DD,108,FALSE))+(VLOOKUP(A129,EY!A:CE,83,FALSE)-VLOOKUP(A129,EY!A:CC,81,FALSE))</f>
        <v>0</v>
      </c>
      <c r="EO129" s="309"/>
      <c r="EP129" s="309">
        <f>_xlfn.IFNA((VLOOKUP($A129,HN!$A:$K,8,FALSE)/12),0)+_xlfn.IFNA((VLOOKUP($A129,HN!$A:$AF,32,FALSE)*1/12),0)</f>
        <v>0</v>
      </c>
      <c r="EQ129" s="309">
        <f>_xlfn.IFNA((VLOOKUP($A129,HN!$A:$BS,14,FALSE)/12),0)+_xlfn.IFNA((VLOOKUP($A129,HN!$A:$BS,34,FALSE)/3),0)</f>
        <v>0</v>
      </c>
      <c r="ER129" s="309">
        <f>_xlfn.IFNA(VLOOKUP($A129,'Post 16'!$A:$AV,32,FALSE),0)/8</f>
        <v>0</v>
      </c>
      <c r="ES129" s="309">
        <f>((VLOOKUP($A129,EY!A:EV,33,FALSE)*80%))+VLOOKUP(A129,EY!A:DD,108,FALSE)+VLOOKUP(A129,EY!A:CC,81,FALSE)</f>
        <v>0</v>
      </c>
      <c r="ET129" s="309">
        <f>_xlfn.IFNA((VLOOKUP($A129,HN!$A:$K,9,FALSE)/12),0)+_xlfn.IFNA((VLOOKUP($A129,HN!$A:$K,10,FALSE)/12),0)+_xlfn.IFNA((VLOOKUP($A129,HN!$A:$BZ,33,FALSE)/12),0)</f>
        <v>0</v>
      </c>
      <c r="EU129" s="309">
        <f>_xlfn.IFNA((VLOOKUP($A129,HN!$A:$BS,15,FALSE)/12),0)</f>
        <v>0</v>
      </c>
      <c r="EV129" s="308">
        <f t="shared" si="100"/>
        <v>-778.05333333333328</v>
      </c>
      <c r="EW129" s="308">
        <f t="shared" si="101"/>
        <v>-366.58166666666665</v>
      </c>
      <c r="EX129" s="309"/>
      <c r="EY129" s="309">
        <f>_xlfn.IFNA(VLOOKUP($A129,'Cash Advances'!$A:$S,17,FALSE),0)</f>
        <v>0</v>
      </c>
      <c r="EZ129" s="309">
        <f>_xlfn.IFNA(VLOOKUP(A129,'LA Deductions'!A:AZ,25,FALSE),0)/9</f>
        <v>0</v>
      </c>
      <c r="FA129" s="308">
        <f t="shared" si="112"/>
        <v>155681.50604027507</v>
      </c>
      <c r="FB129" s="315">
        <f t="shared" si="102"/>
        <v>156826.14104027508</v>
      </c>
      <c r="FC129" s="315"/>
      <c r="FD129" s="316"/>
      <c r="FE129" s="316">
        <f>_xlfn.IFNA((VLOOKUP($A129,HN!$A:$K,8,FALSE)/12),0)+_xlfn.IFNA((VLOOKUP($A129,HN!$A:$AF,32,FALSE)*1/12),0)</f>
        <v>0</v>
      </c>
      <c r="FF129" s="316">
        <f>_xlfn.IFNA((VLOOKUP($A129,HN!$A:$BS,14,FALSE)/12),0)+_xlfn.IFNA((VLOOKUP($A129,HN!$A:$BS,34,FALSE)/3),0)</f>
        <v>0</v>
      </c>
      <c r="FG129" s="316">
        <f>_xlfn.IFNA(VLOOKUP($A129,'Post 16'!$A:$AV,32,FALSE),0)/8</f>
        <v>0</v>
      </c>
      <c r="FH129" s="316"/>
      <c r="FI129" s="316">
        <f>_xlfn.IFNA((VLOOKUP($A129,HN!$A:$K,9,FALSE)/12),0)+_xlfn.IFNA((VLOOKUP($A129,HN!$A:$K,10,FALSE)/12),0)+_xlfn.IFNA((VLOOKUP($A129,HN!$A:$BZ,33,FALSE)/12),0)+_xlfn.IFNA((VLOOKUP($A129,HN!$A:$BZ,35,FALSE)/2),0)</f>
        <v>0</v>
      </c>
      <c r="FJ129" s="316">
        <f>_xlfn.IFNA((VLOOKUP($A129,HN!$A:$BS,15,FALSE)/12),0)+_xlfn.IFNA((VLOOKUP($A129,HN!$A:$CZ,36,FALSE)/2),0)</f>
        <v>0</v>
      </c>
      <c r="FK129" s="315">
        <f t="shared" si="103"/>
        <v>-778.05333333333328</v>
      </c>
      <c r="FL129" s="315">
        <f t="shared" si="104"/>
        <v>-366.58166666666665</v>
      </c>
      <c r="FM129" s="316"/>
      <c r="FN129" s="316">
        <f>_xlfn.IFNA(VLOOKUP($A129,'Cash Advances'!$A:$S,18,FALSE),0)</f>
        <v>0</v>
      </c>
      <c r="FO129" s="316">
        <f>_xlfn.IFNA(VLOOKUP(A129,'LA Deductions'!A:AZ,25,FALSE),0)/9</f>
        <v>0</v>
      </c>
      <c r="FP129" s="315">
        <f t="shared" si="113"/>
        <v>155681.50604027507</v>
      </c>
      <c r="FQ129" s="322">
        <f t="shared" si="105"/>
        <v>156826.14104027508</v>
      </c>
      <c r="FR129" s="322"/>
      <c r="FS129" s="323"/>
      <c r="FT129" s="323">
        <f>_xlfn.IFNA((VLOOKUP($A129,HN!$A:$K,8,FALSE)/12),0)+_xlfn.IFNA((VLOOKUP($A129,HN!$A:$AF,32,FALSE)*1/12),0)</f>
        <v>0</v>
      </c>
      <c r="FU129" s="323">
        <f>_xlfn.IFNA((VLOOKUP($A129,HN!$A:$BS,14,FALSE)/12),0)+_xlfn.IFNA((VLOOKUP($A129,HN!$A:$BS,34,FALSE)/3),0)</f>
        <v>0</v>
      </c>
      <c r="FV129" s="323">
        <f>_xlfn.IFNA(VLOOKUP($A129,'Post 16'!$A:$AV,32,FALSE),0)/8</f>
        <v>0</v>
      </c>
      <c r="FW129" s="323"/>
      <c r="FX129" s="323">
        <f>_xlfn.IFNA((VLOOKUP($A129,HN!$A:$K,9,FALSE)/12),0)+_xlfn.IFNA((VLOOKUP($A129,HN!$A:$K,10,FALSE)/12),0)+_xlfn.IFNA((VLOOKUP($A129,HN!$A:$BZ,33,FALSE)/12),0)+_xlfn.IFNA((VLOOKUP($A129,HN!$A:$BZ,35,FALSE)/2),0)</f>
        <v>0</v>
      </c>
      <c r="FY129" s="323">
        <f>_xlfn.IFNA((VLOOKUP($A129,HN!$A:$BS,15,FALSE)/12),0)+_xlfn.IFNA((VLOOKUP($A129,HN!$A:$CZ,36,FALSE)/2),0)</f>
        <v>0</v>
      </c>
      <c r="FZ129" s="322">
        <f t="shared" si="106"/>
        <v>-778.05333333333328</v>
      </c>
      <c r="GA129" s="322">
        <f t="shared" si="107"/>
        <v>-366.58166666666665</v>
      </c>
      <c r="GB129" s="323"/>
      <c r="GC129" s="323"/>
      <c r="GD129" s="323">
        <f>_xlfn.IFNA(VLOOKUP(A129,'LA Deductions'!A:AZ,25,FALSE),0)/9</f>
        <v>0</v>
      </c>
      <c r="GE129" s="322">
        <f t="shared" si="114"/>
        <v>155681.50604027507</v>
      </c>
      <c r="GG129" s="146">
        <f t="shared" si="130"/>
        <v>1881913.692483301</v>
      </c>
      <c r="GH129" s="146">
        <f t="shared" si="130"/>
        <v>0</v>
      </c>
      <c r="GI129" s="146">
        <f t="shared" si="130"/>
        <v>0</v>
      </c>
      <c r="GJ129" s="146">
        <f t="shared" si="130"/>
        <v>-9336.64</v>
      </c>
      <c r="GK129" s="146">
        <f t="shared" si="130"/>
        <v>-4398.9799999999987</v>
      </c>
      <c r="GL129" s="146">
        <f t="shared" si="130"/>
        <v>-9666</v>
      </c>
      <c r="GN129" s="146">
        <f t="shared" si="131"/>
        <v>1881913.692483301</v>
      </c>
      <c r="GO129" s="146">
        <f t="shared" si="131"/>
        <v>0</v>
      </c>
      <c r="GP129" s="146">
        <f t="shared" si="131"/>
        <v>0</v>
      </c>
      <c r="GQ129" s="146">
        <f t="shared" si="131"/>
        <v>-9336.64</v>
      </c>
      <c r="GR129" s="146">
        <f t="shared" si="131"/>
        <v>-4398.9799999999987</v>
      </c>
      <c r="GS129" s="146">
        <f t="shared" si="131"/>
        <v>-9666</v>
      </c>
      <c r="GU129" s="146"/>
      <c r="GV129" s="57"/>
    </row>
    <row r="130" spans="1:204">
      <c r="A130" s="185">
        <v>3361</v>
      </c>
      <c r="B130" s="185">
        <v>103453</v>
      </c>
      <c r="C130" s="185" t="s">
        <v>284</v>
      </c>
      <c r="D130" s="2" t="s">
        <v>285</v>
      </c>
      <c r="E130" s="191" t="s">
        <v>32</v>
      </c>
      <c r="F130" s="191" t="s">
        <v>912</v>
      </c>
      <c r="H130" s="279">
        <f>_xlfn.IFNA(VLOOKUP($A130,ISB!$A$4:$BY$454,67,FALSE),0)</f>
        <v>1921493.9370968654</v>
      </c>
      <c r="I130" s="279">
        <f>_xlfn.IFNA(VLOOKUP($A130,ISB!$A$4:$BY$454,72,FALSE),0)</f>
        <v>-8580.32</v>
      </c>
      <c r="J130" s="279">
        <f>-_xlfn.IFNA(VLOOKUP($A130,ISB!$A$4:$BY$454,76,FALSE),0)</f>
        <v>-6942.96</v>
      </c>
      <c r="K130" s="279">
        <f>_xlfn.IFNA(VLOOKUP($A130,ISB!$A$4:$BY$454,77,FALSE),0)</f>
        <v>1905970.6570968654</v>
      </c>
      <c r="M130" s="301">
        <f t="shared" si="72"/>
        <v>160124.49475807211</v>
      </c>
      <c r="N130" s="301">
        <f>VLOOKUP($A130,EY!$A:$H,8,FALSE)+(VLOOKUP($A130,EY!$A:$BS,17,FALSE)-S130)+VLOOKUP($A130,EY!$A:$BS,41,FALSE)</f>
        <v>28434.831578947375</v>
      </c>
      <c r="O130" s="302"/>
      <c r="P130" s="302">
        <f>_xlfn.IFNA((VLOOKUP($A130,HN!$A:$K,8,FALSE)/12),0)</f>
        <v>0</v>
      </c>
      <c r="Q130" s="302">
        <f>_xlfn.IFNA((VLOOKUP($A130,HN!$A:$BS,14,FALSE)/12),0)</f>
        <v>0</v>
      </c>
      <c r="R130" s="302">
        <f>_xlfn.IFNA(VLOOKUP($A130,'Post 16'!$A:$V,21,FALSE),0)/4</f>
        <v>0</v>
      </c>
      <c r="S130" s="302">
        <f>VLOOKUP($A130,EY!A:Q,15,FALSE)*80%</f>
        <v>0</v>
      </c>
      <c r="T130" s="302">
        <f>_xlfn.IFNA((VLOOKUP($A130,HN!$A:$K,9,FALSE)/12),0)+_xlfn.IFNA((VLOOKUP($A130,HN!$A:$K,10,FALSE)/12),0)</f>
        <v>0</v>
      </c>
      <c r="U130" s="302">
        <f>_xlfn.IFNA((VLOOKUP($A130,HN!$A:$BS,15,FALSE)/12),0)</f>
        <v>0</v>
      </c>
      <c r="V130" s="301">
        <f t="shared" si="73"/>
        <v>-715.02666666666664</v>
      </c>
      <c r="W130" s="301">
        <f t="shared" si="74"/>
        <v>-578.58000000000004</v>
      </c>
      <c r="X130" s="302"/>
      <c r="Y130" s="302">
        <f>_xlfn.IFNA(VLOOKUP($A130,'Cash Advances'!$A:$S,8,FALSE),0)</f>
        <v>0</v>
      </c>
      <c r="Z130" s="301">
        <f t="shared" si="121"/>
        <v>187265.71967035282</v>
      </c>
      <c r="AA130" s="315">
        <f t="shared" si="75"/>
        <v>160124.49475807211</v>
      </c>
      <c r="AB130" s="315"/>
      <c r="AC130" s="316"/>
      <c r="AD130" s="316">
        <f>_xlfn.IFNA((VLOOKUP($A130,HN!$A:$K,8,FALSE)/12),0)</f>
        <v>0</v>
      </c>
      <c r="AE130" s="316">
        <f>_xlfn.IFNA((VLOOKUP($A130,HN!$A:$BS,14,FALSE)/12),0)</f>
        <v>0</v>
      </c>
      <c r="AF130" s="316">
        <f>_xlfn.IFNA(VLOOKUP($A130,'Post 16'!$A:$V,21,FALSE),0)/4</f>
        <v>0</v>
      </c>
      <c r="AG130" s="316"/>
      <c r="AH130" s="316">
        <f>_xlfn.IFNA((VLOOKUP($A130,HN!$A:$K,9,FALSE)/12),0)+_xlfn.IFNA((VLOOKUP($A130,HN!$A:$K,10,FALSE)/12),0)</f>
        <v>0</v>
      </c>
      <c r="AI130" s="316">
        <f>_xlfn.IFNA((VLOOKUP($A130,HN!$A:$BS,15,FALSE)/12),0)</f>
        <v>0</v>
      </c>
      <c r="AJ130" s="315">
        <f t="shared" si="76"/>
        <v>-715.02666666666664</v>
      </c>
      <c r="AK130" s="315">
        <f t="shared" si="77"/>
        <v>-578.58000000000004</v>
      </c>
      <c r="AL130" s="316"/>
      <c r="AM130" s="316">
        <f>_xlfn.IFNA(VLOOKUP($A130,'Cash Advances'!$A:$S,9,FALSE),0)</f>
        <v>0</v>
      </c>
      <c r="AN130" s="315">
        <f t="shared" si="122"/>
        <v>158830.88809140545</v>
      </c>
      <c r="AO130" s="308">
        <f t="shared" si="78"/>
        <v>160124.49475807211</v>
      </c>
      <c r="AP130" s="308"/>
      <c r="AQ130" s="309"/>
      <c r="AR130" s="309">
        <f>_xlfn.IFNA((VLOOKUP($A130,HN!$A:$K,8,FALSE)/12),0)</f>
        <v>0</v>
      </c>
      <c r="AS130" s="309">
        <f>_xlfn.IFNA((VLOOKUP($A130,HN!$A:$BS,14,FALSE)/12),0)</f>
        <v>0</v>
      </c>
      <c r="AT130" s="309">
        <f>_xlfn.IFNA(VLOOKUP($A130,'Post 16'!$A:$V,21,FALSE),0)/4</f>
        <v>0</v>
      </c>
      <c r="AU130" s="309"/>
      <c r="AV130" s="309">
        <f>_xlfn.IFNA((VLOOKUP($A130,HN!$A:$K,9,FALSE)/12),0)+_xlfn.IFNA((VLOOKUP($A130,HN!$A:$K,10,FALSE)/12),0)+_xlfn.IFNA(VLOOKUP(A130,HN!A:V,19,FALSE),0)+_xlfn.IFNA(VLOOKUP(A130,HN!A:V,20,FALSE),0)+_xlfn.IFNA(VLOOKUP(A130,HN!A:V,21,FALSE),0)</f>
        <v>0</v>
      </c>
      <c r="AW130" s="309">
        <f>_xlfn.IFNA((VLOOKUP($A130,HN!$A:$BS,15,FALSE)/12),0)</f>
        <v>0</v>
      </c>
      <c r="AX130" s="308">
        <f t="shared" si="79"/>
        <v>-715.02666666666664</v>
      </c>
      <c r="AY130" s="308">
        <f t="shared" si="80"/>
        <v>-578.58000000000004</v>
      </c>
      <c r="AZ130" s="309"/>
      <c r="BA130" s="309">
        <f>_xlfn.IFNA(VLOOKUP($A130,'Cash Advances'!$A:$S,10,FALSE),0)</f>
        <v>0</v>
      </c>
      <c r="BB130" s="308">
        <f t="shared" si="123"/>
        <v>158830.88809140545</v>
      </c>
      <c r="BC130" s="330">
        <f t="shared" si="81"/>
        <v>160124.49475807211</v>
      </c>
      <c r="BD130" s="330"/>
      <c r="BE130" s="331"/>
      <c r="BF130" s="331">
        <f>_xlfn.IFNA((VLOOKUP($A130,HN!$A:$K,8,FALSE)/12),0)</f>
        <v>0</v>
      </c>
      <c r="BG130" s="331">
        <f>_xlfn.IFNA((VLOOKUP($A130,HN!$A:$BS,14,FALSE)/12),0)</f>
        <v>0</v>
      </c>
      <c r="BH130" s="331">
        <f>_xlfn.IFNA(VLOOKUP($A130,'Post 16'!$A:$V,21,FALSE),0)/4</f>
        <v>0</v>
      </c>
      <c r="BI130" s="331"/>
      <c r="BJ130" s="331">
        <f>_xlfn.IFNA((VLOOKUP($A130,HN!$A:$K,9,FALSE)/12),0)+_xlfn.IFNA((VLOOKUP($A130,HN!$A:$K,10,FALSE)/12),0)</f>
        <v>0</v>
      </c>
      <c r="BK130" s="331">
        <f>_xlfn.IFNA((VLOOKUP($A130,HN!$A:$BS,15,FALSE)/12),0)</f>
        <v>0</v>
      </c>
      <c r="BL130" s="330">
        <f t="shared" si="82"/>
        <v>-715.02666666666664</v>
      </c>
      <c r="BM130" s="330">
        <f t="shared" si="83"/>
        <v>-578.58000000000004</v>
      </c>
      <c r="BN130" s="331"/>
      <c r="BO130" s="331">
        <f>_xlfn.IFNA(VLOOKUP(A130,'Cash Advances'!A:K,11,FALSE),0)</f>
        <v>0</v>
      </c>
      <c r="BP130" s="330">
        <f t="shared" si="124"/>
        <v>158830.88809140545</v>
      </c>
      <c r="BQ130" s="322">
        <f t="shared" si="84"/>
        <v>160124.49475807211</v>
      </c>
      <c r="BR130" s="322"/>
      <c r="BS130" s="323"/>
      <c r="BT130" s="323">
        <f>_xlfn.IFNA((VLOOKUP($A130,HN!$A:$K,8,FALSE)/12),0)</f>
        <v>0</v>
      </c>
      <c r="BU130" s="323">
        <f>_xlfn.IFNA((VLOOKUP($A130,HN!$A:$BS,14,FALSE)/12),0)</f>
        <v>0</v>
      </c>
      <c r="BV130" s="323">
        <f>(_xlfn.IFNA(VLOOKUP($A130,'Post 16'!$A:$AV,32,FALSE),0)/8)+_xlfn.IFNA(VLOOKUP($A130,'Post 16'!$A:$AR,40,FALSE),0)</f>
        <v>0</v>
      </c>
      <c r="BW130" s="323"/>
      <c r="BX130" s="323">
        <f>_xlfn.IFNA((VLOOKUP($A130,HN!$A:$K,9,FALSE)/12),0)+_xlfn.IFNA((VLOOKUP($A130,HN!$A:$K,10,FALSE)/12),0)</f>
        <v>0</v>
      </c>
      <c r="BY130" s="323">
        <f>_xlfn.IFNA((VLOOKUP($A130,HN!$A:$BS,15,FALSE)/12),0)</f>
        <v>0</v>
      </c>
      <c r="BZ130" s="322">
        <f t="shared" si="85"/>
        <v>-715.02666666666664</v>
      </c>
      <c r="CA130" s="322">
        <f t="shared" si="86"/>
        <v>-578.58000000000004</v>
      </c>
      <c r="CB130" s="323"/>
      <c r="CC130" s="323"/>
      <c r="CD130" s="322">
        <f t="shared" si="125"/>
        <v>158830.88809140545</v>
      </c>
      <c r="CE130" s="357">
        <f t="shared" si="87"/>
        <v>160124.49475807211</v>
      </c>
      <c r="CF130" s="357">
        <f>(VLOOKUP($A130,EY!$A:$BS,26,FALSE)-(VLOOKUP($A130,EY!A:CR,24,FALSE)*80%))+VLOOKUP($A130,EY!$A:$BS,42,FALSE)+(VLOOKUP($A130,EY!A:CC,74,FALSE)-VLOOKUP($A130,EY!A:CC,72,FALSE))</f>
        <v>28171.383157894736</v>
      </c>
      <c r="CG130" s="358"/>
      <c r="CH130" s="358">
        <f>_xlfn.IFNA((VLOOKUP($A130,HN!$A:$K,8,FALSE)/12),0)</f>
        <v>0</v>
      </c>
      <c r="CI130" s="358">
        <f>_xlfn.IFNA((VLOOKUP($A130,HN!$A:$BS,14,FALSE)/12),0)</f>
        <v>0</v>
      </c>
      <c r="CJ130" s="358">
        <f>(_xlfn.IFNA(VLOOKUP($A130,'Post 16'!$A:$AV,32,FALSE),0)/8)</f>
        <v>0</v>
      </c>
      <c r="CK130" s="358">
        <f>(VLOOKUP($A130,EY!A:CR,24,FALSE)*80%)+VLOOKUP($A130,EY!A:CC,72,FALSE)</f>
        <v>0</v>
      </c>
      <c r="CL130" s="358">
        <f>_xlfn.IFNA((VLOOKUP($A130,HN!$A:$K,9,FALSE)/12),0)+_xlfn.IFNA((VLOOKUP($A130,HN!$A:$K,10,FALSE)/12),0)</f>
        <v>0</v>
      </c>
      <c r="CM130" s="358">
        <f>_xlfn.IFNA((VLOOKUP($A130,HN!$A:$BS,15,FALSE)/12),0)</f>
        <v>0</v>
      </c>
      <c r="CN130" s="357">
        <f t="shared" si="88"/>
        <v>-715.02666666666664</v>
      </c>
      <c r="CO130" s="357">
        <f t="shared" si="89"/>
        <v>-578.58000000000004</v>
      </c>
      <c r="CP130" s="358">
        <f>_xlfn.IFNA(VLOOKUP(A130,'LA Deductions'!A:W,23,FALSE),0)</f>
        <v>-9471</v>
      </c>
      <c r="CQ130" s="358">
        <f>_xlfn.IFNA(VLOOKUP($A130,'Cash Advances'!$A:$S,13,FALSE),0)</f>
        <v>0</v>
      </c>
      <c r="CR130" s="358">
        <f>_xlfn.IFNA(VLOOKUP(A130,'LA Deductions'!A:AZ,25,FALSE),0)/9*3</f>
        <v>0</v>
      </c>
      <c r="CS130" s="357">
        <f t="shared" si="108"/>
        <v>177531.27124930019</v>
      </c>
      <c r="CT130" s="337">
        <f t="shared" si="90"/>
        <v>160124.49475807211</v>
      </c>
      <c r="CU130" s="337"/>
      <c r="CV130" s="338">
        <f>_xlfn.IFNA(VLOOKUP(A130,'LA Deductions'!$A$6:$AN$207,34,FALSE),0)</f>
        <v>0</v>
      </c>
      <c r="CW130" s="338">
        <f>_xlfn.IFNA((VLOOKUP($A130,HN!$A:$K,8,FALSE)/12),0)</f>
        <v>0</v>
      </c>
      <c r="CX130" s="338">
        <f>_xlfn.IFNA((VLOOKUP($A130,HN!$A:$BS,14,FALSE)/12),0)</f>
        <v>0</v>
      </c>
      <c r="CY130" s="338">
        <f>_xlfn.IFNA(VLOOKUP($A130,'Post 16'!$A:$AV,32,FALSE),0)/8</f>
        <v>0</v>
      </c>
      <c r="CZ130" s="338"/>
      <c r="DA130" s="338">
        <f>_xlfn.IFNA((VLOOKUP($A130,HN!$A:$K,9,FALSE)/12),0)+_xlfn.IFNA((VLOOKUP($A130,HN!$A:$K,10,FALSE)/12),0)</f>
        <v>0</v>
      </c>
      <c r="DB130" s="338">
        <f>_xlfn.IFNA((VLOOKUP($A130,HN!$A:$BS,15,FALSE)/12),0)</f>
        <v>0</v>
      </c>
      <c r="DC130" s="337">
        <f t="shared" si="91"/>
        <v>-715.02666666666664</v>
      </c>
      <c r="DD130" s="337">
        <f t="shared" si="92"/>
        <v>-578.58000000000004</v>
      </c>
      <c r="DE130" s="338"/>
      <c r="DF130" s="338">
        <f>_xlfn.IFNA(VLOOKUP($A130,'Cash Advances'!$A:$S,14,FALSE),0)</f>
        <v>0</v>
      </c>
      <c r="DG130" s="338">
        <f>(_xlfn.IFNA(VLOOKUP(A130,'LA Deductions'!A:AZ,25,FALSE),0)/9)+(_xlfn.IFNA(VLOOKUP(A130,'LA Deductions'!A:AZ,26,FALSE),0))</f>
        <v>0</v>
      </c>
      <c r="DH130" s="337">
        <f t="shared" si="109"/>
        <v>158830.88809140545</v>
      </c>
      <c r="DI130" s="330">
        <f t="shared" si="93"/>
        <v>160124.49475807211</v>
      </c>
      <c r="DJ130" s="330"/>
      <c r="DK130" s="331"/>
      <c r="DL130" s="331">
        <f>_xlfn.IFNA((VLOOKUP($A130,HN!$A:$K,8,FALSE)/12),0)+_xlfn.IFNA((VLOOKUP($A130,HN!$A:$AF,32,FALSE)*8/12),0)</f>
        <v>0</v>
      </c>
      <c r="DM130" s="331">
        <f>_xlfn.IFNA((VLOOKUP($A130,HN!$A:$BS,14,FALSE)/12),0)+_xlfn.IFNA(VLOOKUP($A130,HN!$A:$BS,31,FALSE),0)</f>
        <v>0</v>
      </c>
      <c r="DN130" s="331">
        <f>_xlfn.IFNA(VLOOKUP($A130,'Post 16'!$A:$AV,32,FALSE),0)/8</f>
        <v>0</v>
      </c>
      <c r="DO130" s="331"/>
      <c r="DP130" s="331">
        <f>_xlfn.IFNA((VLOOKUP($A130,HN!$A:$K,9,FALSE)/12),0)+_xlfn.IFNA((VLOOKUP($A130,HN!$A:$K,10,FALSE)/12),0)+_xlfn.IFNA((VLOOKUP($A130,HN!$A:$BZ,33,FALSE)*8/12),0)</f>
        <v>0</v>
      </c>
      <c r="DQ130" s="331">
        <f>_xlfn.IFNA((VLOOKUP($A130,HN!$A:$BS,15,FALSE)/12),0)</f>
        <v>0</v>
      </c>
      <c r="DR130" s="330">
        <f t="shared" si="94"/>
        <v>-715.02666666666664</v>
      </c>
      <c r="DS130" s="330">
        <f t="shared" si="95"/>
        <v>-578.58000000000004</v>
      </c>
      <c r="DT130" s="331"/>
      <c r="DU130" s="331"/>
      <c r="DV130" s="331">
        <f>(_xlfn.IFNA(VLOOKUP(A130,'LA Deductions'!A:AZ,25,FALSE),0)/9)+_xlfn.IFNA(VLOOKUP(A130,'LA Deductions'!A:AZ,27,FALSE),0)</f>
        <v>0</v>
      </c>
      <c r="DW130" s="330">
        <f t="shared" si="110"/>
        <v>158830.88809140545</v>
      </c>
      <c r="DX130" s="344">
        <f t="shared" si="96"/>
        <v>160124.49475807211</v>
      </c>
      <c r="DY130" s="344"/>
      <c r="DZ130" s="345"/>
      <c r="EA130" s="345">
        <f>_xlfn.IFNA((VLOOKUP($A130,HN!$A:$K,8,FALSE)/12),0)+_xlfn.IFNA((VLOOKUP($A130,HN!$A:$AF,32,FALSE)*1/12),0)</f>
        <v>0</v>
      </c>
      <c r="EB130" s="345">
        <f>_xlfn.IFNA((VLOOKUP($A130,HN!$A:$BS,14,FALSE)/12),0)</f>
        <v>0</v>
      </c>
      <c r="EC130" s="345">
        <f>_xlfn.IFNA(VLOOKUP($A130,'Post 16'!$A:$AV,32,FALSE),0)/8</f>
        <v>0</v>
      </c>
      <c r="ED130" s="345"/>
      <c r="EE130" s="345">
        <f>_xlfn.IFNA((VLOOKUP($A130,HN!$A:$K,9,FALSE)/12),0)+_xlfn.IFNA((VLOOKUP($A130,HN!$A:$K,10,FALSE)/12),0)+_xlfn.IFNA((VLOOKUP($A130,HN!$A:$BZ,33,FALSE)/12),0)</f>
        <v>0</v>
      </c>
      <c r="EF130" s="345">
        <f>_xlfn.IFNA((VLOOKUP($A130,HN!$A:$BS,15,FALSE)/12),0)</f>
        <v>0</v>
      </c>
      <c r="EG130" s="344">
        <f t="shared" si="97"/>
        <v>-715.02666666666664</v>
      </c>
      <c r="EH130" s="344">
        <f t="shared" si="98"/>
        <v>-578.58000000000004</v>
      </c>
      <c r="EI130" s="345"/>
      <c r="EJ130" s="345">
        <f>_xlfn.IFNA(VLOOKUP(A130,'Cash Advances'!A:P,16,FALSE),0)</f>
        <v>0</v>
      </c>
      <c r="EK130" s="345">
        <f>_xlfn.IFNA(VLOOKUP(A130,'LA Deductions'!A:AZ,25,FALSE),0)/9</f>
        <v>0</v>
      </c>
      <c r="EL130" s="344">
        <f t="shared" si="111"/>
        <v>158830.88809140545</v>
      </c>
      <c r="EM130" s="308">
        <f t="shared" si="99"/>
        <v>160124.49475807211</v>
      </c>
      <c r="EN130" s="308">
        <f>((VLOOKUP($A130,EY!$A:$BS,35,FALSE)-(VLOOKUP($A130,EY!$A:$BS,33,FALSE)*80%))+VLOOKUP($A130,EY!$A:$BS,43,FALSE))+(VLOOKUP(A130,EY!A:DF,110,FALSE)-VLOOKUP(A130,EY!A:DD,108,FALSE))+(VLOOKUP(A130,EY!A:CE,83,FALSE)-VLOOKUP(A130,EY!A:CC,81,FALSE))</f>
        <v>33625.890249307486</v>
      </c>
      <c r="EO130" s="309"/>
      <c r="EP130" s="309">
        <f>_xlfn.IFNA((VLOOKUP($A130,HN!$A:$K,8,FALSE)/12),0)+_xlfn.IFNA((VLOOKUP($A130,HN!$A:$AF,32,FALSE)*1/12),0)</f>
        <v>0</v>
      </c>
      <c r="EQ130" s="309">
        <f>_xlfn.IFNA((VLOOKUP($A130,HN!$A:$BS,14,FALSE)/12),0)+_xlfn.IFNA((VLOOKUP($A130,HN!$A:$BS,34,FALSE)/3),0)</f>
        <v>0</v>
      </c>
      <c r="ER130" s="309">
        <f>_xlfn.IFNA(VLOOKUP($A130,'Post 16'!$A:$AV,32,FALSE),0)/8</f>
        <v>0</v>
      </c>
      <c r="ES130" s="309">
        <f>((VLOOKUP($A130,EY!A:EV,33,FALSE)*80%))+VLOOKUP(A130,EY!A:DD,108,FALSE)+VLOOKUP(A130,EY!A:CC,81,FALSE)</f>
        <v>0</v>
      </c>
      <c r="ET130" s="309">
        <f>_xlfn.IFNA((VLOOKUP($A130,HN!$A:$K,9,FALSE)/12),0)+_xlfn.IFNA((VLOOKUP($A130,HN!$A:$K,10,FALSE)/12),0)+_xlfn.IFNA((VLOOKUP($A130,HN!$A:$BZ,33,FALSE)/12),0)</f>
        <v>0</v>
      </c>
      <c r="EU130" s="309">
        <f>_xlfn.IFNA((VLOOKUP($A130,HN!$A:$BS,15,FALSE)/12),0)</f>
        <v>0</v>
      </c>
      <c r="EV130" s="308">
        <f t="shared" si="100"/>
        <v>-715.02666666666664</v>
      </c>
      <c r="EW130" s="308">
        <f t="shared" si="101"/>
        <v>-578.58000000000004</v>
      </c>
      <c r="EX130" s="309"/>
      <c r="EY130" s="309">
        <f>_xlfn.IFNA(VLOOKUP($A130,'Cash Advances'!$A:$S,17,FALSE),0)</f>
        <v>0</v>
      </c>
      <c r="EZ130" s="309">
        <f>_xlfn.IFNA(VLOOKUP(A130,'LA Deductions'!A:AZ,25,FALSE),0)/9</f>
        <v>0</v>
      </c>
      <c r="FA130" s="308">
        <f t="shared" si="112"/>
        <v>192456.77834071292</v>
      </c>
      <c r="FB130" s="315">
        <f t="shared" si="102"/>
        <v>160124.49475807211</v>
      </c>
      <c r="FC130" s="315"/>
      <c r="FD130" s="316"/>
      <c r="FE130" s="316">
        <f>_xlfn.IFNA((VLOOKUP($A130,HN!$A:$K,8,FALSE)/12),0)+_xlfn.IFNA((VLOOKUP($A130,HN!$A:$AF,32,FALSE)*1/12),0)</f>
        <v>0</v>
      </c>
      <c r="FF130" s="316">
        <f>_xlfn.IFNA((VLOOKUP($A130,HN!$A:$BS,14,FALSE)/12),0)+_xlfn.IFNA((VLOOKUP($A130,HN!$A:$BS,34,FALSE)/3),0)</f>
        <v>0</v>
      </c>
      <c r="FG130" s="316">
        <f>_xlfn.IFNA(VLOOKUP($A130,'Post 16'!$A:$AV,32,FALSE),0)/8</f>
        <v>0</v>
      </c>
      <c r="FH130" s="316"/>
      <c r="FI130" s="316">
        <f>_xlfn.IFNA((VLOOKUP($A130,HN!$A:$K,9,FALSE)/12),0)+_xlfn.IFNA((VLOOKUP($A130,HN!$A:$K,10,FALSE)/12),0)+_xlfn.IFNA((VLOOKUP($A130,HN!$A:$BZ,33,FALSE)/12),0)+_xlfn.IFNA((VLOOKUP($A130,HN!$A:$BZ,35,FALSE)/2),0)</f>
        <v>0</v>
      </c>
      <c r="FJ130" s="316">
        <f>_xlfn.IFNA((VLOOKUP($A130,HN!$A:$BS,15,FALSE)/12),0)+_xlfn.IFNA((VLOOKUP($A130,HN!$A:$CZ,36,FALSE)/2),0)</f>
        <v>0</v>
      </c>
      <c r="FK130" s="315">
        <f t="shared" si="103"/>
        <v>-715.02666666666664</v>
      </c>
      <c r="FL130" s="315">
        <f t="shared" si="104"/>
        <v>-578.58000000000004</v>
      </c>
      <c r="FM130" s="316"/>
      <c r="FN130" s="316">
        <f>_xlfn.IFNA(VLOOKUP($A130,'Cash Advances'!$A:$S,18,FALSE),0)</f>
        <v>0</v>
      </c>
      <c r="FO130" s="316">
        <f>_xlfn.IFNA(VLOOKUP(A130,'LA Deductions'!A:AZ,25,FALSE),0)/9</f>
        <v>0</v>
      </c>
      <c r="FP130" s="315">
        <f t="shared" si="113"/>
        <v>158830.88809140545</v>
      </c>
      <c r="FQ130" s="322">
        <f t="shared" si="105"/>
        <v>160124.49475807211</v>
      </c>
      <c r="FR130" s="322"/>
      <c r="FS130" s="323"/>
      <c r="FT130" s="323">
        <f>_xlfn.IFNA((VLOOKUP($A130,HN!$A:$K,8,FALSE)/12),0)+_xlfn.IFNA((VLOOKUP($A130,HN!$A:$AF,32,FALSE)*1/12),0)</f>
        <v>0</v>
      </c>
      <c r="FU130" s="323">
        <f>_xlfn.IFNA((VLOOKUP($A130,HN!$A:$BS,14,FALSE)/12),0)+_xlfn.IFNA((VLOOKUP($A130,HN!$A:$BS,34,FALSE)/3),0)</f>
        <v>0</v>
      </c>
      <c r="FV130" s="323">
        <f>_xlfn.IFNA(VLOOKUP($A130,'Post 16'!$A:$AV,32,FALSE),0)/8</f>
        <v>0</v>
      </c>
      <c r="FW130" s="323"/>
      <c r="FX130" s="323">
        <f>_xlfn.IFNA((VLOOKUP($A130,HN!$A:$K,9,FALSE)/12),0)+_xlfn.IFNA((VLOOKUP($A130,HN!$A:$K,10,FALSE)/12),0)+_xlfn.IFNA((VLOOKUP($A130,HN!$A:$BZ,33,FALSE)/12),0)+_xlfn.IFNA((VLOOKUP($A130,HN!$A:$BZ,35,FALSE)/2),0)</f>
        <v>0</v>
      </c>
      <c r="FY130" s="323">
        <f>_xlfn.IFNA((VLOOKUP($A130,HN!$A:$BS,15,FALSE)/12),0)+_xlfn.IFNA((VLOOKUP($A130,HN!$A:$CZ,36,FALSE)/2),0)</f>
        <v>0</v>
      </c>
      <c r="FZ130" s="322">
        <f t="shared" si="106"/>
        <v>-715.02666666666664</v>
      </c>
      <c r="GA130" s="322">
        <f t="shared" si="107"/>
        <v>-578.58000000000004</v>
      </c>
      <c r="GB130" s="323"/>
      <c r="GC130" s="323"/>
      <c r="GD130" s="323">
        <f>_xlfn.IFNA(VLOOKUP(A130,'LA Deductions'!A:AZ,25,FALSE),0)/9</f>
        <v>0</v>
      </c>
      <c r="GE130" s="322">
        <f t="shared" si="114"/>
        <v>158830.88809140545</v>
      </c>
      <c r="GG130" s="146">
        <f t="shared" si="130"/>
        <v>2011726.0420830147</v>
      </c>
      <c r="GH130" s="146">
        <f t="shared" si="130"/>
        <v>0</v>
      </c>
      <c r="GI130" s="146">
        <f t="shared" si="130"/>
        <v>0</v>
      </c>
      <c r="GJ130" s="146">
        <f t="shared" si="130"/>
        <v>-8580.32</v>
      </c>
      <c r="GK130" s="146">
        <f t="shared" si="130"/>
        <v>-6942.96</v>
      </c>
      <c r="GL130" s="146">
        <f t="shared" si="130"/>
        <v>-9471</v>
      </c>
      <c r="GN130" s="146">
        <f t="shared" si="131"/>
        <v>2011726.0420830147</v>
      </c>
      <c r="GO130" s="146">
        <f t="shared" si="131"/>
        <v>0</v>
      </c>
      <c r="GP130" s="146">
        <f t="shared" si="131"/>
        <v>0</v>
      </c>
      <c r="GQ130" s="146">
        <f t="shared" si="131"/>
        <v>-8580.32</v>
      </c>
      <c r="GR130" s="146">
        <f t="shared" si="131"/>
        <v>-6942.96</v>
      </c>
      <c r="GS130" s="146">
        <f t="shared" si="131"/>
        <v>-9471</v>
      </c>
      <c r="GU130" s="146"/>
      <c r="GV130" s="57"/>
    </row>
    <row r="131" spans="1:204">
      <c r="A131" s="185">
        <v>3344</v>
      </c>
      <c r="B131" s="185">
        <v>103438</v>
      </c>
      <c r="C131" s="185" t="s">
        <v>286</v>
      </c>
      <c r="D131" s="2" t="s">
        <v>287</v>
      </c>
      <c r="E131" s="191" t="s">
        <v>32</v>
      </c>
      <c r="F131" s="191" t="s">
        <v>912</v>
      </c>
      <c r="H131" s="279">
        <f>_xlfn.IFNA(VLOOKUP($A131,ISB!$A$4:$BY$454,67,FALSE),0)</f>
        <v>2151820.9329626812</v>
      </c>
      <c r="I131" s="279">
        <f>_xlfn.IFNA(VLOOKUP($A131,ISB!$A$4:$BY$454,72,FALSE),0)</f>
        <v>-10953.599999999999</v>
      </c>
      <c r="J131" s="279">
        <f>-_xlfn.IFNA(VLOOKUP($A131,ISB!$A$4:$BY$454,76,FALSE),0)</f>
        <v>-3047.48</v>
      </c>
      <c r="K131" s="279">
        <f>_xlfn.IFNA(VLOOKUP($A131,ISB!$A$4:$BY$454,77,FALSE),0)</f>
        <v>2137819.8529626811</v>
      </c>
      <c r="M131" s="301">
        <f t="shared" si="72"/>
        <v>179318.41108022342</v>
      </c>
      <c r="N131" s="301">
        <f>VLOOKUP($A131,EY!$A:$H,8,FALSE)+(VLOOKUP($A131,EY!$A:$BS,17,FALSE)-S131)+VLOOKUP($A131,EY!$A:$BS,41,FALSE)</f>
        <v>0</v>
      </c>
      <c r="O131" s="302"/>
      <c r="P131" s="302">
        <f>_xlfn.IFNA((VLOOKUP($A131,HN!$A:$K,8,FALSE)/12),0)</f>
        <v>0</v>
      </c>
      <c r="Q131" s="302">
        <f>_xlfn.IFNA((VLOOKUP($A131,HN!$A:$BS,14,FALSE)/12),0)</f>
        <v>0</v>
      </c>
      <c r="R131" s="302">
        <f>_xlfn.IFNA(VLOOKUP($A131,'Post 16'!$A:$V,21,FALSE),0)/4</f>
        <v>0</v>
      </c>
      <c r="S131" s="302">
        <f>VLOOKUP($A131,EY!A:Q,15,FALSE)*80%</f>
        <v>0</v>
      </c>
      <c r="T131" s="302">
        <f>_xlfn.IFNA((VLOOKUP($A131,HN!$A:$K,9,FALSE)/12),0)+_xlfn.IFNA((VLOOKUP($A131,HN!$A:$K,10,FALSE)/12),0)</f>
        <v>0</v>
      </c>
      <c r="U131" s="302">
        <f>_xlfn.IFNA((VLOOKUP($A131,HN!$A:$BS,15,FALSE)/12),0)</f>
        <v>0</v>
      </c>
      <c r="V131" s="301">
        <f t="shared" si="73"/>
        <v>-912.79999999999984</v>
      </c>
      <c r="W131" s="301">
        <f t="shared" si="74"/>
        <v>-253.95666666666668</v>
      </c>
      <c r="X131" s="302"/>
      <c r="Y131" s="302">
        <f>_xlfn.IFNA(VLOOKUP($A131,'Cash Advances'!$A:$S,8,FALSE),0)</f>
        <v>0</v>
      </c>
      <c r="Z131" s="301">
        <f t="shared" si="121"/>
        <v>178151.65441355677</v>
      </c>
      <c r="AA131" s="315">
        <f t="shared" si="75"/>
        <v>179318.41108022342</v>
      </c>
      <c r="AB131" s="315"/>
      <c r="AC131" s="316"/>
      <c r="AD131" s="316">
        <f>_xlfn.IFNA((VLOOKUP($A131,HN!$A:$K,8,FALSE)/12),0)</f>
        <v>0</v>
      </c>
      <c r="AE131" s="316">
        <f>_xlfn.IFNA((VLOOKUP($A131,HN!$A:$BS,14,FALSE)/12),0)</f>
        <v>0</v>
      </c>
      <c r="AF131" s="316">
        <f>_xlfn.IFNA(VLOOKUP($A131,'Post 16'!$A:$V,21,FALSE),0)/4</f>
        <v>0</v>
      </c>
      <c r="AG131" s="316"/>
      <c r="AH131" s="316">
        <f>_xlfn.IFNA((VLOOKUP($A131,HN!$A:$K,9,FALSE)/12),0)+_xlfn.IFNA((VLOOKUP($A131,HN!$A:$K,10,FALSE)/12),0)</f>
        <v>0</v>
      </c>
      <c r="AI131" s="316">
        <f>_xlfn.IFNA((VLOOKUP($A131,HN!$A:$BS,15,FALSE)/12),0)</f>
        <v>0</v>
      </c>
      <c r="AJ131" s="315">
        <f t="shared" si="76"/>
        <v>-912.79999999999984</v>
      </c>
      <c r="AK131" s="315">
        <f t="shared" si="77"/>
        <v>-253.95666666666668</v>
      </c>
      <c r="AL131" s="316"/>
      <c r="AM131" s="316">
        <f>_xlfn.IFNA(VLOOKUP($A131,'Cash Advances'!$A:$S,9,FALSE),0)</f>
        <v>0</v>
      </c>
      <c r="AN131" s="315">
        <f t="shared" si="122"/>
        <v>178151.65441355677</v>
      </c>
      <c r="AO131" s="308">
        <f t="shared" si="78"/>
        <v>179318.41108022342</v>
      </c>
      <c r="AP131" s="308"/>
      <c r="AQ131" s="309"/>
      <c r="AR131" s="309">
        <f>_xlfn.IFNA((VLOOKUP($A131,HN!$A:$K,8,FALSE)/12),0)</f>
        <v>0</v>
      </c>
      <c r="AS131" s="309">
        <f>_xlfn.IFNA((VLOOKUP($A131,HN!$A:$BS,14,FALSE)/12),0)</f>
        <v>0</v>
      </c>
      <c r="AT131" s="309">
        <f>_xlfn.IFNA(VLOOKUP($A131,'Post 16'!$A:$V,21,FALSE),0)/4</f>
        <v>0</v>
      </c>
      <c r="AU131" s="309"/>
      <c r="AV131" s="309">
        <f>_xlfn.IFNA((VLOOKUP($A131,HN!$A:$K,9,FALSE)/12),0)+_xlfn.IFNA((VLOOKUP($A131,HN!$A:$K,10,FALSE)/12),0)+_xlfn.IFNA(VLOOKUP(A131,HN!A:V,19,FALSE),0)+_xlfn.IFNA(VLOOKUP(A131,HN!A:V,20,FALSE),0)+_xlfn.IFNA(VLOOKUP(A131,HN!A:V,21,FALSE),0)</f>
        <v>0</v>
      </c>
      <c r="AW131" s="309">
        <f>_xlfn.IFNA((VLOOKUP($A131,HN!$A:$BS,15,FALSE)/12),0)</f>
        <v>0</v>
      </c>
      <c r="AX131" s="308">
        <f t="shared" si="79"/>
        <v>-912.79999999999984</v>
      </c>
      <c r="AY131" s="308">
        <f t="shared" si="80"/>
        <v>-253.95666666666668</v>
      </c>
      <c r="AZ131" s="309"/>
      <c r="BA131" s="309">
        <f>_xlfn.IFNA(VLOOKUP($A131,'Cash Advances'!$A:$S,10,FALSE),0)</f>
        <v>0</v>
      </c>
      <c r="BB131" s="308">
        <f t="shared" si="123"/>
        <v>178151.65441355677</v>
      </c>
      <c r="BC131" s="330">
        <f t="shared" si="81"/>
        <v>179318.41108022342</v>
      </c>
      <c r="BD131" s="330"/>
      <c r="BE131" s="331"/>
      <c r="BF131" s="331">
        <f>_xlfn.IFNA((VLOOKUP($A131,HN!$A:$K,8,FALSE)/12),0)</f>
        <v>0</v>
      </c>
      <c r="BG131" s="331">
        <f>_xlfn.IFNA((VLOOKUP($A131,HN!$A:$BS,14,FALSE)/12),0)</f>
        <v>0</v>
      </c>
      <c r="BH131" s="331">
        <f>_xlfn.IFNA(VLOOKUP($A131,'Post 16'!$A:$V,21,FALSE),0)/4</f>
        <v>0</v>
      </c>
      <c r="BI131" s="331"/>
      <c r="BJ131" s="331">
        <f>_xlfn.IFNA((VLOOKUP($A131,HN!$A:$K,9,FALSE)/12),0)+_xlfn.IFNA((VLOOKUP($A131,HN!$A:$K,10,FALSE)/12),0)</f>
        <v>0</v>
      </c>
      <c r="BK131" s="331">
        <f>_xlfn.IFNA((VLOOKUP($A131,HN!$A:$BS,15,FALSE)/12),0)</f>
        <v>0</v>
      </c>
      <c r="BL131" s="330">
        <f t="shared" si="82"/>
        <v>-912.79999999999984</v>
      </c>
      <c r="BM131" s="330">
        <f t="shared" si="83"/>
        <v>-253.95666666666668</v>
      </c>
      <c r="BN131" s="331"/>
      <c r="BO131" s="331">
        <f>_xlfn.IFNA(VLOOKUP(A131,'Cash Advances'!A:K,11,FALSE),0)</f>
        <v>0</v>
      </c>
      <c r="BP131" s="330">
        <f t="shared" si="124"/>
        <v>178151.65441355677</v>
      </c>
      <c r="BQ131" s="322">
        <f t="shared" si="84"/>
        <v>179318.41108022342</v>
      </c>
      <c r="BR131" s="322"/>
      <c r="BS131" s="323"/>
      <c r="BT131" s="323">
        <f>_xlfn.IFNA((VLOOKUP($A131,HN!$A:$K,8,FALSE)/12),0)</f>
        <v>0</v>
      </c>
      <c r="BU131" s="323">
        <f>_xlfn.IFNA((VLOOKUP($A131,HN!$A:$BS,14,FALSE)/12),0)</f>
        <v>0</v>
      </c>
      <c r="BV131" s="323">
        <f>(_xlfn.IFNA(VLOOKUP($A131,'Post 16'!$A:$AV,32,FALSE),0)/8)+_xlfn.IFNA(VLOOKUP($A131,'Post 16'!$A:$AR,40,FALSE),0)</f>
        <v>0</v>
      </c>
      <c r="BW131" s="323"/>
      <c r="BX131" s="323">
        <f>_xlfn.IFNA((VLOOKUP($A131,HN!$A:$K,9,FALSE)/12),0)+_xlfn.IFNA((VLOOKUP($A131,HN!$A:$K,10,FALSE)/12),0)</f>
        <v>0</v>
      </c>
      <c r="BY131" s="323">
        <f>_xlfn.IFNA((VLOOKUP($A131,HN!$A:$BS,15,FALSE)/12),0)</f>
        <v>0</v>
      </c>
      <c r="BZ131" s="322">
        <f t="shared" si="85"/>
        <v>-912.79999999999984</v>
      </c>
      <c r="CA131" s="322">
        <f t="shared" si="86"/>
        <v>-253.95666666666668</v>
      </c>
      <c r="CB131" s="323"/>
      <c r="CC131" s="323"/>
      <c r="CD131" s="322">
        <f t="shared" si="125"/>
        <v>178151.65441355677</v>
      </c>
      <c r="CE131" s="357">
        <f t="shared" si="87"/>
        <v>179318.41108022342</v>
      </c>
      <c r="CF131" s="357">
        <f>(VLOOKUP($A131,EY!$A:$BS,26,FALSE)-(VLOOKUP($A131,EY!A:CR,24,FALSE)*80%))+VLOOKUP($A131,EY!$A:$BS,42,FALSE)+(VLOOKUP($A131,EY!A:CC,74,FALSE)-VLOOKUP($A131,EY!A:CC,72,FALSE))</f>
        <v>0</v>
      </c>
      <c r="CG131" s="358"/>
      <c r="CH131" s="358">
        <f>_xlfn.IFNA((VLOOKUP($A131,HN!$A:$K,8,FALSE)/12),0)</f>
        <v>0</v>
      </c>
      <c r="CI131" s="358">
        <f>_xlfn.IFNA((VLOOKUP($A131,HN!$A:$BS,14,FALSE)/12),0)</f>
        <v>0</v>
      </c>
      <c r="CJ131" s="358">
        <f>(_xlfn.IFNA(VLOOKUP($A131,'Post 16'!$A:$AV,32,FALSE),0)/8)</f>
        <v>0</v>
      </c>
      <c r="CK131" s="358">
        <f>(VLOOKUP($A131,EY!A:CR,24,FALSE)*80%)+VLOOKUP($A131,EY!A:CC,72,FALSE)</f>
        <v>0</v>
      </c>
      <c r="CL131" s="358">
        <f>_xlfn.IFNA((VLOOKUP($A131,HN!$A:$K,9,FALSE)/12),0)+_xlfn.IFNA((VLOOKUP($A131,HN!$A:$K,10,FALSE)/12),0)</f>
        <v>0</v>
      </c>
      <c r="CM131" s="358">
        <f>_xlfn.IFNA((VLOOKUP($A131,HN!$A:$BS,15,FALSE)/12),0)</f>
        <v>0</v>
      </c>
      <c r="CN131" s="357">
        <f t="shared" si="88"/>
        <v>-912.79999999999984</v>
      </c>
      <c r="CO131" s="357">
        <f t="shared" si="89"/>
        <v>-253.95666666666668</v>
      </c>
      <c r="CP131" s="358">
        <f>_xlfn.IFNA(VLOOKUP(A131,'LA Deductions'!A:W,23,FALSE),0)</f>
        <v>-9471</v>
      </c>
      <c r="CQ131" s="358">
        <f>_xlfn.IFNA(VLOOKUP($A131,'Cash Advances'!$A:$S,13,FALSE),0)</f>
        <v>0</v>
      </c>
      <c r="CR131" s="358">
        <f>_xlfn.IFNA(VLOOKUP(A131,'LA Deductions'!A:AZ,25,FALSE),0)/9*3</f>
        <v>0</v>
      </c>
      <c r="CS131" s="357">
        <f t="shared" si="108"/>
        <v>168680.65441355677</v>
      </c>
      <c r="CT131" s="337">
        <f t="shared" si="90"/>
        <v>179318.41108022342</v>
      </c>
      <c r="CU131" s="337"/>
      <c r="CV131" s="338">
        <f>_xlfn.IFNA(VLOOKUP(A131,'LA Deductions'!$A$6:$AN$207,34,FALSE),0)</f>
        <v>0</v>
      </c>
      <c r="CW131" s="338">
        <f>_xlfn.IFNA((VLOOKUP($A131,HN!$A:$K,8,FALSE)/12),0)</f>
        <v>0</v>
      </c>
      <c r="CX131" s="338">
        <f>_xlfn.IFNA((VLOOKUP($A131,HN!$A:$BS,14,FALSE)/12),0)</f>
        <v>0</v>
      </c>
      <c r="CY131" s="338">
        <f>_xlfn.IFNA(VLOOKUP($A131,'Post 16'!$A:$AV,32,FALSE),0)/8</f>
        <v>0</v>
      </c>
      <c r="CZ131" s="338"/>
      <c r="DA131" s="338">
        <f>_xlfn.IFNA((VLOOKUP($A131,HN!$A:$K,9,FALSE)/12),0)+_xlfn.IFNA((VLOOKUP($A131,HN!$A:$K,10,FALSE)/12),0)</f>
        <v>0</v>
      </c>
      <c r="DB131" s="338">
        <f>_xlfn.IFNA((VLOOKUP($A131,HN!$A:$BS,15,FALSE)/12),0)</f>
        <v>0</v>
      </c>
      <c r="DC131" s="337">
        <f t="shared" si="91"/>
        <v>-912.79999999999984</v>
      </c>
      <c r="DD131" s="337">
        <f t="shared" si="92"/>
        <v>-253.95666666666668</v>
      </c>
      <c r="DE131" s="338"/>
      <c r="DF131" s="338">
        <f>_xlfn.IFNA(VLOOKUP($A131,'Cash Advances'!$A:$S,14,FALSE),0)</f>
        <v>0</v>
      </c>
      <c r="DG131" s="338">
        <f>(_xlfn.IFNA(VLOOKUP(A131,'LA Deductions'!A:AZ,25,FALSE),0)/9)+(_xlfn.IFNA(VLOOKUP(A131,'LA Deductions'!A:AZ,26,FALSE),0))</f>
        <v>0</v>
      </c>
      <c r="DH131" s="337">
        <f t="shared" si="109"/>
        <v>178151.65441355677</v>
      </c>
      <c r="DI131" s="330">
        <f t="shared" si="93"/>
        <v>179318.41108022342</v>
      </c>
      <c r="DJ131" s="330"/>
      <c r="DK131" s="331"/>
      <c r="DL131" s="331">
        <f>_xlfn.IFNA((VLOOKUP($A131,HN!$A:$K,8,FALSE)/12),0)+_xlfn.IFNA((VLOOKUP($A131,HN!$A:$AF,32,FALSE)*8/12),0)</f>
        <v>0</v>
      </c>
      <c r="DM131" s="331">
        <f>_xlfn.IFNA((VLOOKUP($A131,HN!$A:$BS,14,FALSE)/12),0)+_xlfn.IFNA(VLOOKUP($A131,HN!$A:$BS,31,FALSE),0)</f>
        <v>0</v>
      </c>
      <c r="DN131" s="331">
        <f>_xlfn.IFNA(VLOOKUP($A131,'Post 16'!$A:$AV,32,FALSE),0)/8</f>
        <v>0</v>
      </c>
      <c r="DO131" s="331"/>
      <c r="DP131" s="331">
        <f>_xlfn.IFNA((VLOOKUP($A131,HN!$A:$K,9,FALSE)/12),0)+_xlfn.IFNA((VLOOKUP($A131,HN!$A:$K,10,FALSE)/12),0)+_xlfn.IFNA((VLOOKUP($A131,HN!$A:$BZ,33,FALSE)*8/12),0)</f>
        <v>0</v>
      </c>
      <c r="DQ131" s="331">
        <f>_xlfn.IFNA((VLOOKUP($A131,HN!$A:$BS,15,FALSE)/12),0)</f>
        <v>0</v>
      </c>
      <c r="DR131" s="330">
        <f t="shared" si="94"/>
        <v>-912.79999999999984</v>
      </c>
      <c r="DS131" s="330">
        <f t="shared" si="95"/>
        <v>-253.95666666666668</v>
      </c>
      <c r="DT131" s="331"/>
      <c r="DU131" s="331"/>
      <c r="DV131" s="331">
        <f>(_xlfn.IFNA(VLOOKUP(A131,'LA Deductions'!A:AZ,25,FALSE),0)/9)+_xlfn.IFNA(VLOOKUP(A131,'LA Deductions'!A:AZ,27,FALSE),0)</f>
        <v>0</v>
      </c>
      <c r="DW131" s="330">
        <f t="shared" si="110"/>
        <v>178151.65441355677</v>
      </c>
      <c r="DX131" s="344">
        <f t="shared" si="96"/>
        <v>179318.41108022342</v>
      </c>
      <c r="DY131" s="344"/>
      <c r="DZ131" s="345"/>
      <c r="EA131" s="345">
        <f>_xlfn.IFNA((VLOOKUP($A131,HN!$A:$K,8,FALSE)/12),0)+_xlfn.IFNA((VLOOKUP($A131,HN!$A:$AF,32,FALSE)*1/12),0)</f>
        <v>0</v>
      </c>
      <c r="EB131" s="345">
        <f>_xlfn.IFNA((VLOOKUP($A131,HN!$A:$BS,14,FALSE)/12),0)</f>
        <v>0</v>
      </c>
      <c r="EC131" s="345">
        <f>_xlfn.IFNA(VLOOKUP($A131,'Post 16'!$A:$AV,32,FALSE),0)/8</f>
        <v>0</v>
      </c>
      <c r="ED131" s="345"/>
      <c r="EE131" s="345">
        <f>_xlfn.IFNA((VLOOKUP($A131,HN!$A:$K,9,FALSE)/12),0)+_xlfn.IFNA((VLOOKUP($A131,HN!$A:$K,10,FALSE)/12),0)+_xlfn.IFNA((VLOOKUP($A131,HN!$A:$BZ,33,FALSE)/12),0)</f>
        <v>0</v>
      </c>
      <c r="EF131" s="345">
        <f>_xlfn.IFNA((VLOOKUP($A131,HN!$A:$BS,15,FALSE)/12),0)</f>
        <v>0</v>
      </c>
      <c r="EG131" s="344">
        <f t="shared" si="97"/>
        <v>-912.79999999999984</v>
      </c>
      <c r="EH131" s="344">
        <f t="shared" si="98"/>
        <v>-253.95666666666668</v>
      </c>
      <c r="EI131" s="345"/>
      <c r="EJ131" s="345">
        <f>_xlfn.IFNA(VLOOKUP(A131,'Cash Advances'!A:P,16,FALSE),0)</f>
        <v>0</v>
      </c>
      <c r="EK131" s="345">
        <f>_xlfn.IFNA(VLOOKUP(A131,'LA Deductions'!A:AZ,25,FALSE),0)/9</f>
        <v>0</v>
      </c>
      <c r="EL131" s="344">
        <f t="shared" si="111"/>
        <v>178151.65441355677</v>
      </c>
      <c r="EM131" s="308">
        <f t="shared" si="99"/>
        <v>179318.41108022342</v>
      </c>
      <c r="EN131" s="308">
        <f>((VLOOKUP($A131,EY!$A:$BS,35,FALSE)-(VLOOKUP($A131,EY!$A:$BS,33,FALSE)*80%))+VLOOKUP($A131,EY!$A:$BS,43,FALSE))+(VLOOKUP(A131,EY!A:DF,110,FALSE)-VLOOKUP(A131,EY!A:DD,108,FALSE))+(VLOOKUP(A131,EY!A:CE,83,FALSE)-VLOOKUP(A131,EY!A:CC,81,FALSE))</f>
        <v>0</v>
      </c>
      <c r="EO131" s="309"/>
      <c r="EP131" s="309">
        <f>_xlfn.IFNA((VLOOKUP($A131,HN!$A:$K,8,FALSE)/12),0)+_xlfn.IFNA((VLOOKUP($A131,HN!$A:$AF,32,FALSE)*1/12),0)</f>
        <v>0</v>
      </c>
      <c r="EQ131" s="309">
        <f>_xlfn.IFNA((VLOOKUP($A131,HN!$A:$BS,14,FALSE)/12),0)+_xlfn.IFNA((VLOOKUP($A131,HN!$A:$BS,34,FALSE)/3),0)</f>
        <v>0</v>
      </c>
      <c r="ER131" s="309">
        <f>_xlfn.IFNA(VLOOKUP($A131,'Post 16'!$A:$AV,32,FALSE),0)/8</f>
        <v>0</v>
      </c>
      <c r="ES131" s="309">
        <f>((VLOOKUP($A131,EY!A:EV,33,FALSE)*80%))+VLOOKUP(A131,EY!A:DD,108,FALSE)+VLOOKUP(A131,EY!A:CC,81,FALSE)</f>
        <v>0</v>
      </c>
      <c r="ET131" s="309">
        <f>_xlfn.IFNA((VLOOKUP($A131,HN!$A:$K,9,FALSE)/12),0)+_xlfn.IFNA((VLOOKUP($A131,HN!$A:$K,10,FALSE)/12),0)+_xlfn.IFNA((VLOOKUP($A131,HN!$A:$BZ,33,FALSE)/12),0)</f>
        <v>0</v>
      </c>
      <c r="EU131" s="309">
        <f>_xlfn.IFNA((VLOOKUP($A131,HN!$A:$BS,15,FALSE)/12),0)</f>
        <v>0</v>
      </c>
      <c r="EV131" s="308">
        <f t="shared" si="100"/>
        <v>-912.79999999999984</v>
      </c>
      <c r="EW131" s="308">
        <f t="shared" si="101"/>
        <v>-253.95666666666668</v>
      </c>
      <c r="EX131" s="309"/>
      <c r="EY131" s="309">
        <f>_xlfn.IFNA(VLOOKUP($A131,'Cash Advances'!$A:$S,17,FALSE),0)</f>
        <v>0</v>
      </c>
      <c r="EZ131" s="309">
        <f>_xlfn.IFNA(VLOOKUP(A131,'LA Deductions'!A:AZ,25,FALSE),0)/9</f>
        <v>0</v>
      </c>
      <c r="FA131" s="308">
        <f t="shared" si="112"/>
        <v>178151.65441355677</v>
      </c>
      <c r="FB131" s="315">
        <f t="shared" si="102"/>
        <v>179318.41108022342</v>
      </c>
      <c r="FC131" s="315"/>
      <c r="FD131" s="316"/>
      <c r="FE131" s="316">
        <f>_xlfn.IFNA((VLOOKUP($A131,HN!$A:$K,8,FALSE)/12),0)+_xlfn.IFNA((VLOOKUP($A131,HN!$A:$AF,32,FALSE)*1/12),0)</f>
        <v>0</v>
      </c>
      <c r="FF131" s="316">
        <f>_xlfn.IFNA((VLOOKUP($A131,HN!$A:$BS,14,FALSE)/12),0)+_xlfn.IFNA((VLOOKUP($A131,HN!$A:$BS,34,FALSE)/3),0)</f>
        <v>0</v>
      </c>
      <c r="FG131" s="316">
        <f>_xlfn.IFNA(VLOOKUP($A131,'Post 16'!$A:$AV,32,FALSE),0)/8</f>
        <v>0</v>
      </c>
      <c r="FH131" s="316"/>
      <c r="FI131" s="316">
        <f>_xlfn.IFNA((VLOOKUP($A131,HN!$A:$K,9,FALSE)/12),0)+_xlfn.IFNA((VLOOKUP($A131,HN!$A:$K,10,FALSE)/12),0)+_xlfn.IFNA((VLOOKUP($A131,HN!$A:$BZ,33,FALSE)/12),0)+_xlfn.IFNA((VLOOKUP($A131,HN!$A:$BZ,35,FALSE)/2),0)</f>
        <v>0</v>
      </c>
      <c r="FJ131" s="316">
        <f>_xlfn.IFNA((VLOOKUP($A131,HN!$A:$BS,15,FALSE)/12),0)+_xlfn.IFNA((VLOOKUP($A131,HN!$A:$CZ,36,FALSE)/2),0)</f>
        <v>0</v>
      </c>
      <c r="FK131" s="315">
        <f t="shared" si="103"/>
        <v>-912.79999999999984</v>
      </c>
      <c r="FL131" s="315">
        <f t="shared" si="104"/>
        <v>-253.95666666666668</v>
      </c>
      <c r="FM131" s="316"/>
      <c r="FN131" s="316">
        <f>_xlfn.IFNA(VLOOKUP($A131,'Cash Advances'!$A:$S,18,FALSE),0)</f>
        <v>0</v>
      </c>
      <c r="FO131" s="316">
        <f>_xlfn.IFNA(VLOOKUP(A131,'LA Deductions'!A:AZ,25,FALSE),0)/9</f>
        <v>0</v>
      </c>
      <c r="FP131" s="315">
        <f t="shared" si="113"/>
        <v>178151.65441355677</v>
      </c>
      <c r="FQ131" s="322">
        <f t="shared" si="105"/>
        <v>179318.41108022342</v>
      </c>
      <c r="FR131" s="322"/>
      <c r="FS131" s="323"/>
      <c r="FT131" s="323">
        <f>_xlfn.IFNA((VLOOKUP($A131,HN!$A:$K,8,FALSE)/12),0)+_xlfn.IFNA((VLOOKUP($A131,HN!$A:$AF,32,FALSE)*1/12),0)</f>
        <v>0</v>
      </c>
      <c r="FU131" s="323">
        <f>_xlfn.IFNA((VLOOKUP($A131,HN!$A:$BS,14,FALSE)/12),0)+_xlfn.IFNA((VLOOKUP($A131,HN!$A:$BS,34,FALSE)/3),0)</f>
        <v>0</v>
      </c>
      <c r="FV131" s="323">
        <f>_xlfn.IFNA(VLOOKUP($A131,'Post 16'!$A:$AV,32,FALSE),0)/8</f>
        <v>0</v>
      </c>
      <c r="FW131" s="323"/>
      <c r="FX131" s="323">
        <f>_xlfn.IFNA((VLOOKUP($A131,HN!$A:$K,9,FALSE)/12),0)+_xlfn.IFNA((VLOOKUP($A131,HN!$A:$K,10,FALSE)/12),0)+_xlfn.IFNA((VLOOKUP($A131,HN!$A:$BZ,33,FALSE)/12),0)+_xlfn.IFNA((VLOOKUP($A131,HN!$A:$BZ,35,FALSE)/2),0)</f>
        <v>0</v>
      </c>
      <c r="FY131" s="323">
        <f>_xlfn.IFNA((VLOOKUP($A131,HN!$A:$BS,15,FALSE)/12),0)+_xlfn.IFNA((VLOOKUP($A131,HN!$A:$CZ,36,FALSE)/2),0)</f>
        <v>0</v>
      </c>
      <c r="FZ131" s="322">
        <f t="shared" si="106"/>
        <v>-912.79999999999984</v>
      </c>
      <c r="GA131" s="322">
        <f t="shared" si="107"/>
        <v>-253.95666666666668</v>
      </c>
      <c r="GB131" s="323"/>
      <c r="GC131" s="323"/>
      <c r="GD131" s="323">
        <f>_xlfn.IFNA(VLOOKUP(A131,'LA Deductions'!A:AZ,25,FALSE),0)/9</f>
        <v>0</v>
      </c>
      <c r="GE131" s="322">
        <f t="shared" si="114"/>
        <v>178151.65441355677</v>
      </c>
      <c r="GG131" s="146">
        <f t="shared" si="130"/>
        <v>2151820.9329626816</v>
      </c>
      <c r="GH131" s="146">
        <f t="shared" si="130"/>
        <v>0</v>
      </c>
      <c r="GI131" s="146">
        <f t="shared" si="130"/>
        <v>0</v>
      </c>
      <c r="GJ131" s="146">
        <f t="shared" si="130"/>
        <v>-10953.599999999997</v>
      </c>
      <c r="GK131" s="146">
        <f t="shared" si="130"/>
        <v>-3047.4799999999996</v>
      </c>
      <c r="GL131" s="146">
        <f t="shared" si="130"/>
        <v>-9471</v>
      </c>
      <c r="GN131" s="146">
        <f t="shared" si="131"/>
        <v>2151820.9329626816</v>
      </c>
      <c r="GO131" s="146">
        <f t="shared" si="131"/>
        <v>0</v>
      </c>
      <c r="GP131" s="146">
        <f t="shared" si="131"/>
        <v>0</v>
      </c>
      <c r="GQ131" s="146">
        <f t="shared" si="131"/>
        <v>-10953.599999999997</v>
      </c>
      <c r="GR131" s="146">
        <f t="shared" si="131"/>
        <v>-3047.4799999999996</v>
      </c>
      <c r="GS131" s="146">
        <f t="shared" si="131"/>
        <v>-9471</v>
      </c>
      <c r="GU131" s="146"/>
      <c r="GV131" s="57"/>
    </row>
    <row r="132" spans="1:204">
      <c r="A132" s="185">
        <v>3025</v>
      </c>
      <c r="B132" s="185">
        <v>103410</v>
      </c>
      <c r="C132" s="185" t="s">
        <v>288</v>
      </c>
      <c r="D132" s="2" t="s">
        <v>289</v>
      </c>
      <c r="E132" s="191" t="s">
        <v>32</v>
      </c>
      <c r="F132" s="191" t="s">
        <v>912</v>
      </c>
      <c r="H132" s="279">
        <f>_xlfn.IFNA(VLOOKUP($A132,ISB!$A$4:$BY$454,67,FALSE),0)</f>
        <v>2213794.8299793173</v>
      </c>
      <c r="I132" s="279">
        <f>_xlfn.IFNA(VLOOKUP($A132,ISB!$A$4:$BY$454,72,FALSE),0)</f>
        <v>-10718.88</v>
      </c>
      <c r="J132" s="279">
        <f>-_xlfn.IFNA(VLOOKUP($A132,ISB!$A$4:$BY$454,76,FALSE),0)</f>
        <v>-5126.12</v>
      </c>
      <c r="K132" s="279">
        <f>_xlfn.IFNA(VLOOKUP($A132,ISB!$A$4:$BY$454,77,FALSE),0)</f>
        <v>2197949.8299793173</v>
      </c>
      <c r="M132" s="301">
        <f t="shared" si="72"/>
        <v>184482.90249827644</v>
      </c>
      <c r="N132" s="301">
        <f>VLOOKUP($A132,EY!$A:$H,8,FALSE)+(VLOOKUP($A132,EY!$A:$BS,17,FALSE)-S132)+VLOOKUP($A132,EY!$A:$BS,41,FALSE)</f>
        <v>0</v>
      </c>
      <c r="O132" s="302"/>
      <c r="P132" s="302">
        <f>_xlfn.IFNA((VLOOKUP($A132,HN!$A:$K,8,FALSE)/12),0)</f>
        <v>0</v>
      </c>
      <c r="Q132" s="302">
        <f>_xlfn.IFNA((VLOOKUP($A132,HN!$A:$BS,14,FALSE)/12),0)</f>
        <v>0</v>
      </c>
      <c r="R132" s="302">
        <f>_xlfn.IFNA(VLOOKUP($A132,'Post 16'!$A:$V,21,FALSE),0)/4</f>
        <v>0</v>
      </c>
      <c r="S132" s="302">
        <f>VLOOKUP($A132,EY!A:Q,15,FALSE)*80%</f>
        <v>0</v>
      </c>
      <c r="T132" s="302">
        <f>_xlfn.IFNA((VLOOKUP($A132,HN!$A:$K,9,FALSE)/12),0)+_xlfn.IFNA((VLOOKUP($A132,HN!$A:$K,10,FALSE)/12),0)</f>
        <v>0</v>
      </c>
      <c r="U132" s="302">
        <f>_xlfn.IFNA((VLOOKUP($A132,HN!$A:$BS,15,FALSE)/12),0)</f>
        <v>0</v>
      </c>
      <c r="V132" s="301">
        <f t="shared" si="73"/>
        <v>-893.2399999999999</v>
      </c>
      <c r="W132" s="301">
        <f t="shared" si="74"/>
        <v>-427.17666666666668</v>
      </c>
      <c r="X132" s="302"/>
      <c r="Y132" s="302">
        <f>_xlfn.IFNA(VLOOKUP($A132,'Cash Advances'!$A:$S,8,FALSE),0)</f>
        <v>0</v>
      </c>
      <c r="Z132" s="301">
        <f t="shared" ref="Z132:Z161" si="132">SUM(M132:Y132)</f>
        <v>183162.48583160978</v>
      </c>
      <c r="AA132" s="315">
        <f t="shared" si="75"/>
        <v>184482.90249827644</v>
      </c>
      <c r="AB132" s="315"/>
      <c r="AC132" s="316"/>
      <c r="AD132" s="316">
        <f>_xlfn.IFNA((VLOOKUP($A132,HN!$A:$K,8,FALSE)/12),0)</f>
        <v>0</v>
      </c>
      <c r="AE132" s="316">
        <f>_xlfn.IFNA((VLOOKUP($A132,HN!$A:$BS,14,FALSE)/12),0)</f>
        <v>0</v>
      </c>
      <c r="AF132" s="316">
        <f>_xlfn.IFNA(VLOOKUP($A132,'Post 16'!$A:$V,21,FALSE),0)/4</f>
        <v>0</v>
      </c>
      <c r="AG132" s="316"/>
      <c r="AH132" s="316">
        <f>_xlfn.IFNA((VLOOKUP($A132,HN!$A:$K,9,FALSE)/12),0)+_xlfn.IFNA((VLOOKUP($A132,HN!$A:$K,10,FALSE)/12),0)</f>
        <v>0</v>
      </c>
      <c r="AI132" s="316">
        <f>_xlfn.IFNA((VLOOKUP($A132,HN!$A:$BS,15,FALSE)/12),0)</f>
        <v>0</v>
      </c>
      <c r="AJ132" s="315">
        <f t="shared" si="76"/>
        <v>-893.2399999999999</v>
      </c>
      <c r="AK132" s="315">
        <f t="shared" si="77"/>
        <v>-427.17666666666668</v>
      </c>
      <c r="AL132" s="316"/>
      <c r="AM132" s="316">
        <f>_xlfn.IFNA(VLOOKUP($A132,'Cash Advances'!$A:$S,9,FALSE),0)</f>
        <v>0</v>
      </c>
      <c r="AN132" s="315">
        <f t="shared" ref="AN132:AN161" si="133">SUM(AA132:AM132)</f>
        <v>183162.48583160978</v>
      </c>
      <c r="AO132" s="308">
        <f t="shared" si="78"/>
        <v>184482.90249827644</v>
      </c>
      <c r="AP132" s="308"/>
      <c r="AQ132" s="309"/>
      <c r="AR132" s="309">
        <f>_xlfn.IFNA((VLOOKUP($A132,HN!$A:$K,8,FALSE)/12),0)</f>
        <v>0</v>
      </c>
      <c r="AS132" s="309">
        <f>_xlfn.IFNA((VLOOKUP($A132,HN!$A:$BS,14,FALSE)/12),0)</f>
        <v>0</v>
      </c>
      <c r="AT132" s="309">
        <f>_xlfn.IFNA(VLOOKUP($A132,'Post 16'!$A:$V,21,FALSE),0)/4</f>
        <v>0</v>
      </c>
      <c r="AU132" s="309"/>
      <c r="AV132" s="309">
        <f>_xlfn.IFNA((VLOOKUP($A132,HN!$A:$K,9,FALSE)/12),0)+_xlfn.IFNA((VLOOKUP($A132,HN!$A:$K,10,FALSE)/12),0)+_xlfn.IFNA(VLOOKUP(A132,HN!A:V,19,FALSE),0)+_xlfn.IFNA(VLOOKUP(A132,HN!A:V,20,FALSE),0)+_xlfn.IFNA(VLOOKUP(A132,HN!A:V,21,FALSE),0)</f>
        <v>0</v>
      </c>
      <c r="AW132" s="309">
        <f>_xlfn.IFNA((VLOOKUP($A132,HN!$A:$BS,15,FALSE)/12),0)</f>
        <v>0</v>
      </c>
      <c r="AX132" s="308">
        <f t="shared" si="79"/>
        <v>-893.2399999999999</v>
      </c>
      <c r="AY132" s="308">
        <f t="shared" si="80"/>
        <v>-427.17666666666668</v>
      </c>
      <c r="AZ132" s="309"/>
      <c r="BA132" s="309">
        <f>_xlfn.IFNA(VLOOKUP($A132,'Cash Advances'!$A:$S,10,FALSE),0)</f>
        <v>0</v>
      </c>
      <c r="BB132" s="308">
        <f t="shared" ref="BB132:BB161" si="134">SUM(AO132:BA132)</f>
        <v>183162.48583160978</v>
      </c>
      <c r="BC132" s="330">
        <f t="shared" si="81"/>
        <v>184482.90249827644</v>
      </c>
      <c r="BD132" s="330"/>
      <c r="BE132" s="331"/>
      <c r="BF132" s="331">
        <f>_xlfn.IFNA((VLOOKUP($A132,HN!$A:$K,8,FALSE)/12),0)</f>
        <v>0</v>
      </c>
      <c r="BG132" s="331">
        <f>_xlfn.IFNA((VLOOKUP($A132,HN!$A:$BS,14,FALSE)/12),0)</f>
        <v>0</v>
      </c>
      <c r="BH132" s="331">
        <f>_xlfn.IFNA(VLOOKUP($A132,'Post 16'!$A:$V,21,FALSE),0)/4</f>
        <v>0</v>
      </c>
      <c r="BI132" s="331"/>
      <c r="BJ132" s="331">
        <f>_xlfn.IFNA((VLOOKUP($A132,HN!$A:$K,9,FALSE)/12),0)+_xlfn.IFNA((VLOOKUP($A132,HN!$A:$K,10,FALSE)/12),0)</f>
        <v>0</v>
      </c>
      <c r="BK132" s="331">
        <f>_xlfn.IFNA((VLOOKUP($A132,HN!$A:$BS,15,FALSE)/12),0)</f>
        <v>0</v>
      </c>
      <c r="BL132" s="330">
        <f t="shared" si="82"/>
        <v>-893.2399999999999</v>
      </c>
      <c r="BM132" s="330">
        <f t="shared" si="83"/>
        <v>-427.17666666666668</v>
      </c>
      <c r="BN132" s="331"/>
      <c r="BO132" s="331">
        <f>_xlfn.IFNA(VLOOKUP(A132,'Cash Advances'!A:K,11,FALSE),0)</f>
        <v>0</v>
      </c>
      <c r="BP132" s="330">
        <f t="shared" ref="BP132:BP161" si="135">SUM(BC132:BO132)</f>
        <v>183162.48583160978</v>
      </c>
      <c r="BQ132" s="322">
        <f t="shared" si="84"/>
        <v>184482.90249827644</v>
      </c>
      <c r="BR132" s="322"/>
      <c r="BS132" s="323"/>
      <c r="BT132" s="323">
        <f>_xlfn.IFNA((VLOOKUP($A132,HN!$A:$K,8,FALSE)/12),0)</f>
        <v>0</v>
      </c>
      <c r="BU132" s="323">
        <f>_xlfn.IFNA((VLOOKUP($A132,HN!$A:$BS,14,FALSE)/12),0)</f>
        <v>0</v>
      </c>
      <c r="BV132" s="323">
        <f>(_xlfn.IFNA(VLOOKUP($A132,'Post 16'!$A:$AV,32,FALSE),0)/8)+_xlfn.IFNA(VLOOKUP($A132,'Post 16'!$A:$AR,40,FALSE),0)</f>
        <v>0</v>
      </c>
      <c r="BW132" s="323"/>
      <c r="BX132" s="323">
        <f>_xlfn.IFNA((VLOOKUP($A132,HN!$A:$K,9,FALSE)/12),0)+_xlfn.IFNA((VLOOKUP($A132,HN!$A:$K,10,FALSE)/12),0)</f>
        <v>0</v>
      </c>
      <c r="BY132" s="323">
        <f>_xlfn.IFNA((VLOOKUP($A132,HN!$A:$BS,15,FALSE)/12),0)</f>
        <v>0</v>
      </c>
      <c r="BZ132" s="322">
        <f t="shared" si="85"/>
        <v>-893.2399999999999</v>
      </c>
      <c r="CA132" s="322">
        <f t="shared" si="86"/>
        <v>-427.17666666666668</v>
      </c>
      <c r="CB132" s="323"/>
      <c r="CC132" s="323"/>
      <c r="CD132" s="322">
        <f t="shared" ref="CD132:CD161" si="136">SUM(BQ132:CC132)</f>
        <v>183162.48583160978</v>
      </c>
      <c r="CE132" s="357">
        <f t="shared" si="87"/>
        <v>184482.90249827644</v>
      </c>
      <c r="CF132" s="357">
        <f>(VLOOKUP($A132,EY!$A:$BS,26,FALSE)-(VLOOKUP($A132,EY!A:CR,24,FALSE)*80%))+VLOOKUP($A132,EY!$A:$BS,42,FALSE)+(VLOOKUP($A132,EY!A:CC,74,FALSE)-VLOOKUP($A132,EY!A:CC,72,FALSE))</f>
        <v>0</v>
      </c>
      <c r="CG132" s="358"/>
      <c r="CH132" s="358">
        <f>_xlfn.IFNA((VLOOKUP($A132,HN!$A:$K,8,FALSE)/12),0)</f>
        <v>0</v>
      </c>
      <c r="CI132" s="358">
        <f>_xlfn.IFNA((VLOOKUP($A132,HN!$A:$BS,14,FALSE)/12),0)</f>
        <v>0</v>
      </c>
      <c r="CJ132" s="358">
        <f>(_xlfn.IFNA(VLOOKUP($A132,'Post 16'!$A:$AV,32,FALSE),0)/8)</f>
        <v>0</v>
      </c>
      <c r="CK132" s="358">
        <f>(VLOOKUP($A132,EY!A:CR,24,FALSE)*80%)+VLOOKUP($A132,EY!A:CC,72,FALSE)</f>
        <v>0</v>
      </c>
      <c r="CL132" s="358">
        <f>_xlfn.IFNA((VLOOKUP($A132,HN!$A:$K,9,FALSE)/12),0)+_xlfn.IFNA((VLOOKUP($A132,HN!$A:$K,10,FALSE)/12),0)</f>
        <v>0</v>
      </c>
      <c r="CM132" s="358">
        <f>_xlfn.IFNA((VLOOKUP($A132,HN!$A:$BS,15,FALSE)/12),0)</f>
        <v>0</v>
      </c>
      <c r="CN132" s="357">
        <f t="shared" si="88"/>
        <v>-893.2399999999999</v>
      </c>
      <c r="CO132" s="357">
        <f t="shared" si="89"/>
        <v>-427.17666666666668</v>
      </c>
      <c r="CP132" s="358">
        <f>_xlfn.IFNA(VLOOKUP(A132,'LA Deductions'!A:W,23,FALSE),0)</f>
        <v>-9471</v>
      </c>
      <c r="CQ132" s="358">
        <f>_xlfn.IFNA(VLOOKUP($A132,'Cash Advances'!$A:$S,13,FALSE),0)</f>
        <v>0</v>
      </c>
      <c r="CR132" s="358">
        <f>_xlfn.IFNA(VLOOKUP(A132,'LA Deductions'!A:AZ,25,FALSE),0)/9*3</f>
        <v>0</v>
      </c>
      <c r="CS132" s="357">
        <f t="shared" si="108"/>
        <v>173691.48583160978</v>
      </c>
      <c r="CT132" s="337">
        <f t="shared" si="90"/>
        <v>184482.90249827644</v>
      </c>
      <c r="CU132" s="337"/>
      <c r="CV132" s="338">
        <f>_xlfn.IFNA(VLOOKUP(A132,'LA Deductions'!$A$6:$AN$207,34,FALSE),0)</f>
        <v>0</v>
      </c>
      <c r="CW132" s="338">
        <f>_xlfn.IFNA((VLOOKUP($A132,HN!$A:$K,8,FALSE)/12),0)</f>
        <v>0</v>
      </c>
      <c r="CX132" s="338">
        <f>_xlfn.IFNA((VLOOKUP($A132,HN!$A:$BS,14,FALSE)/12),0)</f>
        <v>0</v>
      </c>
      <c r="CY132" s="338">
        <f>_xlfn.IFNA(VLOOKUP($A132,'Post 16'!$A:$AV,32,FALSE),0)/8</f>
        <v>0</v>
      </c>
      <c r="CZ132" s="338"/>
      <c r="DA132" s="338">
        <f>_xlfn.IFNA((VLOOKUP($A132,HN!$A:$K,9,FALSE)/12),0)+_xlfn.IFNA((VLOOKUP($A132,HN!$A:$K,10,FALSE)/12),0)</f>
        <v>0</v>
      </c>
      <c r="DB132" s="338">
        <f>_xlfn.IFNA((VLOOKUP($A132,HN!$A:$BS,15,FALSE)/12),0)</f>
        <v>0</v>
      </c>
      <c r="DC132" s="337">
        <f t="shared" si="91"/>
        <v>-893.2399999999999</v>
      </c>
      <c r="DD132" s="337">
        <f t="shared" si="92"/>
        <v>-427.17666666666668</v>
      </c>
      <c r="DE132" s="338"/>
      <c r="DF132" s="338">
        <f>_xlfn.IFNA(VLOOKUP($A132,'Cash Advances'!$A:$S,14,FALSE),0)</f>
        <v>0</v>
      </c>
      <c r="DG132" s="338">
        <f>(_xlfn.IFNA(VLOOKUP(A132,'LA Deductions'!A:AZ,25,FALSE),0)/9)+(_xlfn.IFNA(VLOOKUP(A132,'LA Deductions'!A:AZ,26,FALSE),0))</f>
        <v>0</v>
      </c>
      <c r="DH132" s="337">
        <f t="shared" si="109"/>
        <v>183162.48583160978</v>
      </c>
      <c r="DI132" s="330">
        <f t="shared" si="93"/>
        <v>184482.90249827644</v>
      </c>
      <c r="DJ132" s="330"/>
      <c r="DK132" s="331"/>
      <c r="DL132" s="331">
        <f>_xlfn.IFNA((VLOOKUP($A132,HN!$A:$K,8,FALSE)/12),0)+_xlfn.IFNA((VLOOKUP($A132,HN!$A:$AF,32,FALSE)*8/12),0)</f>
        <v>0</v>
      </c>
      <c r="DM132" s="331">
        <f>_xlfn.IFNA((VLOOKUP($A132,HN!$A:$BS,14,FALSE)/12),0)+_xlfn.IFNA(VLOOKUP($A132,HN!$A:$BS,31,FALSE),0)</f>
        <v>0</v>
      </c>
      <c r="DN132" s="331">
        <f>_xlfn.IFNA(VLOOKUP($A132,'Post 16'!$A:$AV,32,FALSE),0)/8</f>
        <v>0</v>
      </c>
      <c r="DO132" s="331"/>
      <c r="DP132" s="331">
        <f>_xlfn.IFNA((VLOOKUP($A132,HN!$A:$K,9,FALSE)/12),0)+_xlfn.IFNA((VLOOKUP($A132,HN!$A:$K,10,FALSE)/12),0)+_xlfn.IFNA((VLOOKUP($A132,HN!$A:$BZ,33,FALSE)*8/12),0)</f>
        <v>0</v>
      </c>
      <c r="DQ132" s="331">
        <f>_xlfn.IFNA((VLOOKUP($A132,HN!$A:$BS,15,FALSE)/12),0)</f>
        <v>0</v>
      </c>
      <c r="DR132" s="330">
        <f t="shared" si="94"/>
        <v>-893.2399999999999</v>
      </c>
      <c r="DS132" s="330">
        <f t="shared" si="95"/>
        <v>-427.17666666666668</v>
      </c>
      <c r="DT132" s="331"/>
      <c r="DU132" s="331"/>
      <c r="DV132" s="331">
        <f>(_xlfn.IFNA(VLOOKUP(A132,'LA Deductions'!A:AZ,25,FALSE),0)/9)+_xlfn.IFNA(VLOOKUP(A132,'LA Deductions'!A:AZ,27,FALSE),0)</f>
        <v>0</v>
      </c>
      <c r="DW132" s="330">
        <f t="shared" si="110"/>
        <v>183162.48583160978</v>
      </c>
      <c r="DX132" s="344">
        <f t="shared" si="96"/>
        <v>184482.90249827644</v>
      </c>
      <c r="DY132" s="344"/>
      <c r="DZ132" s="345"/>
      <c r="EA132" s="345">
        <f>_xlfn.IFNA((VLOOKUP($A132,HN!$A:$K,8,FALSE)/12),0)+_xlfn.IFNA((VLOOKUP($A132,HN!$A:$AF,32,FALSE)*1/12),0)</f>
        <v>0</v>
      </c>
      <c r="EB132" s="345">
        <f>_xlfn.IFNA((VLOOKUP($A132,HN!$A:$BS,14,FALSE)/12),0)</f>
        <v>0</v>
      </c>
      <c r="EC132" s="345">
        <f>_xlfn.IFNA(VLOOKUP($A132,'Post 16'!$A:$AV,32,FALSE),0)/8</f>
        <v>0</v>
      </c>
      <c r="ED132" s="345"/>
      <c r="EE132" s="345">
        <f>_xlfn.IFNA((VLOOKUP($A132,HN!$A:$K,9,FALSE)/12),0)+_xlfn.IFNA((VLOOKUP($A132,HN!$A:$K,10,FALSE)/12),0)+_xlfn.IFNA((VLOOKUP($A132,HN!$A:$BZ,33,FALSE)/12),0)</f>
        <v>0</v>
      </c>
      <c r="EF132" s="345">
        <f>_xlfn.IFNA((VLOOKUP($A132,HN!$A:$BS,15,FALSE)/12),0)</f>
        <v>0</v>
      </c>
      <c r="EG132" s="344">
        <f t="shared" si="97"/>
        <v>-893.2399999999999</v>
      </c>
      <c r="EH132" s="344">
        <f t="shared" si="98"/>
        <v>-427.17666666666668</v>
      </c>
      <c r="EI132" s="345"/>
      <c r="EJ132" s="345">
        <f>_xlfn.IFNA(VLOOKUP(A132,'Cash Advances'!A:P,16,FALSE),0)</f>
        <v>0</v>
      </c>
      <c r="EK132" s="345">
        <f>_xlfn.IFNA(VLOOKUP(A132,'LA Deductions'!A:AZ,25,FALSE),0)/9</f>
        <v>0</v>
      </c>
      <c r="EL132" s="344">
        <f t="shared" si="111"/>
        <v>183162.48583160978</v>
      </c>
      <c r="EM132" s="308">
        <f t="shared" si="99"/>
        <v>184482.90249827644</v>
      </c>
      <c r="EN132" s="308">
        <f>((VLOOKUP($A132,EY!$A:$BS,35,FALSE)-(VLOOKUP($A132,EY!$A:$BS,33,FALSE)*80%))+VLOOKUP($A132,EY!$A:$BS,43,FALSE))+(VLOOKUP(A132,EY!A:DF,110,FALSE)-VLOOKUP(A132,EY!A:DD,108,FALSE))+(VLOOKUP(A132,EY!A:CE,83,FALSE)-VLOOKUP(A132,EY!A:CC,81,FALSE))</f>
        <v>0</v>
      </c>
      <c r="EO132" s="309"/>
      <c r="EP132" s="309">
        <f>_xlfn.IFNA((VLOOKUP($A132,HN!$A:$K,8,FALSE)/12),0)+_xlfn.IFNA((VLOOKUP($A132,HN!$A:$AF,32,FALSE)*1/12),0)</f>
        <v>0</v>
      </c>
      <c r="EQ132" s="309">
        <f>_xlfn.IFNA((VLOOKUP($A132,HN!$A:$BS,14,FALSE)/12),0)+_xlfn.IFNA((VLOOKUP($A132,HN!$A:$BS,34,FALSE)/3),0)</f>
        <v>0</v>
      </c>
      <c r="ER132" s="309">
        <f>_xlfn.IFNA(VLOOKUP($A132,'Post 16'!$A:$AV,32,FALSE),0)/8</f>
        <v>0</v>
      </c>
      <c r="ES132" s="309">
        <f>((VLOOKUP($A132,EY!A:EV,33,FALSE)*80%))+VLOOKUP(A132,EY!A:DD,108,FALSE)+VLOOKUP(A132,EY!A:CC,81,FALSE)</f>
        <v>0</v>
      </c>
      <c r="ET132" s="309">
        <f>_xlfn.IFNA((VLOOKUP($A132,HN!$A:$K,9,FALSE)/12),0)+_xlfn.IFNA((VLOOKUP($A132,HN!$A:$K,10,FALSE)/12),0)+_xlfn.IFNA((VLOOKUP($A132,HN!$A:$BZ,33,FALSE)/12),0)</f>
        <v>0</v>
      </c>
      <c r="EU132" s="309">
        <f>_xlfn.IFNA((VLOOKUP($A132,HN!$A:$BS,15,FALSE)/12),0)</f>
        <v>0</v>
      </c>
      <c r="EV132" s="308">
        <f t="shared" si="100"/>
        <v>-893.2399999999999</v>
      </c>
      <c r="EW132" s="308">
        <f t="shared" si="101"/>
        <v>-427.17666666666668</v>
      </c>
      <c r="EX132" s="309"/>
      <c r="EY132" s="309">
        <f>_xlfn.IFNA(VLOOKUP($A132,'Cash Advances'!$A:$S,17,FALSE),0)</f>
        <v>0</v>
      </c>
      <c r="EZ132" s="309">
        <f>_xlfn.IFNA(VLOOKUP(A132,'LA Deductions'!A:AZ,25,FALSE),0)/9</f>
        <v>0</v>
      </c>
      <c r="FA132" s="308">
        <f t="shared" si="112"/>
        <v>183162.48583160978</v>
      </c>
      <c r="FB132" s="315">
        <f t="shared" si="102"/>
        <v>184482.90249827644</v>
      </c>
      <c r="FC132" s="315"/>
      <c r="FD132" s="316"/>
      <c r="FE132" s="316">
        <f>_xlfn.IFNA((VLOOKUP($A132,HN!$A:$K,8,FALSE)/12),0)+_xlfn.IFNA((VLOOKUP($A132,HN!$A:$AF,32,FALSE)*1/12),0)</f>
        <v>0</v>
      </c>
      <c r="FF132" s="316">
        <f>_xlfn.IFNA((VLOOKUP($A132,HN!$A:$BS,14,FALSE)/12),0)+_xlfn.IFNA((VLOOKUP($A132,HN!$A:$BS,34,FALSE)/3),0)</f>
        <v>0</v>
      </c>
      <c r="FG132" s="316">
        <f>_xlfn.IFNA(VLOOKUP($A132,'Post 16'!$A:$AV,32,FALSE),0)/8</f>
        <v>0</v>
      </c>
      <c r="FH132" s="316"/>
      <c r="FI132" s="316">
        <f>_xlfn.IFNA((VLOOKUP($A132,HN!$A:$K,9,FALSE)/12),0)+_xlfn.IFNA((VLOOKUP($A132,HN!$A:$K,10,FALSE)/12),0)+_xlfn.IFNA((VLOOKUP($A132,HN!$A:$BZ,33,FALSE)/12),0)+_xlfn.IFNA((VLOOKUP($A132,HN!$A:$BZ,35,FALSE)/2),0)</f>
        <v>0</v>
      </c>
      <c r="FJ132" s="316">
        <f>_xlfn.IFNA((VLOOKUP($A132,HN!$A:$BS,15,FALSE)/12),0)+_xlfn.IFNA((VLOOKUP($A132,HN!$A:$CZ,36,FALSE)/2),0)</f>
        <v>0</v>
      </c>
      <c r="FK132" s="315">
        <f t="shared" si="103"/>
        <v>-893.2399999999999</v>
      </c>
      <c r="FL132" s="315">
        <f t="shared" si="104"/>
        <v>-427.17666666666668</v>
      </c>
      <c r="FM132" s="316"/>
      <c r="FN132" s="316">
        <f>_xlfn.IFNA(VLOOKUP($A132,'Cash Advances'!$A:$S,18,FALSE),0)</f>
        <v>0</v>
      </c>
      <c r="FO132" s="316">
        <f>_xlfn.IFNA(VLOOKUP(A132,'LA Deductions'!A:AZ,25,FALSE),0)/9</f>
        <v>0</v>
      </c>
      <c r="FP132" s="315">
        <f t="shared" si="113"/>
        <v>183162.48583160978</v>
      </c>
      <c r="FQ132" s="322">
        <f t="shared" si="105"/>
        <v>184482.90249827644</v>
      </c>
      <c r="FR132" s="322"/>
      <c r="FS132" s="323"/>
      <c r="FT132" s="323">
        <f>_xlfn.IFNA((VLOOKUP($A132,HN!$A:$K,8,FALSE)/12),0)+_xlfn.IFNA((VLOOKUP($A132,HN!$A:$AF,32,FALSE)*1/12),0)</f>
        <v>0</v>
      </c>
      <c r="FU132" s="323">
        <f>_xlfn.IFNA((VLOOKUP($A132,HN!$A:$BS,14,FALSE)/12),0)+_xlfn.IFNA((VLOOKUP($A132,HN!$A:$BS,34,FALSE)/3),0)</f>
        <v>0</v>
      </c>
      <c r="FV132" s="323">
        <f>_xlfn.IFNA(VLOOKUP($A132,'Post 16'!$A:$AV,32,FALSE),0)/8</f>
        <v>0</v>
      </c>
      <c r="FW132" s="323"/>
      <c r="FX132" s="323">
        <f>_xlfn.IFNA((VLOOKUP($A132,HN!$A:$K,9,FALSE)/12),0)+_xlfn.IFNA((VLOOKUP($A132,HN!$A:$K,10,FALSE)/12),0)+_xlfn.IFNA((VLOOKUP($A132,HN!$A:$BZ,33,FALSE)/12),0)+_xlfn.IFNA((VLOOKUP($A132,HN!$A:$BZ,35,FALSE)/2),0)</f>
        <v>0</v>
      </c>
      <c r="FY132" s="323">
        <f>_xlfn.IFNA((VLOOKUP($A132,HN!$A:$BS,15,FALSE)/12),0)+_xlfn.IFNA((VLOOKUP($A132,HN!$A:$CZ,36,FALSE)/2),0)</f>
        <v>0</v>
      </c>
      <c r="FZ132" s="322">
        <f t="shared" si="106"/>
        <v>-893.2399999999999</v>
      </c>
      <c r="GA132" s="322">
        <f t="shared" si="107"/>
        <v>-427.17666666666668</v>
      </c>
      <c r="GB132" s="323"/>
      <c r="GC132" s="323"/>
      <c r="GD132" s="323">
        <f>_xlfn.IFNA(VLOOKUP(A132,'LA Deductions'!A:AZ,25,FALSE),0)/9</f>
        <v>0</v>
      </c>
      <c r="GE132" s="322">
        <f t="shared" si="114"/>
        <v>183162.48583160978</v>
      </c>
      <c r="GG132" s="146">
        <f t="shared" si="130"/>
        <v>2213794.8299793173</v>
      </c>
      <c r="GH132" s="146">
        <f t="shared" si="130"/>
        <v>0</v>
      </c>
      <c r="GI132" s="146">
        <f t="shared" si="130"/>
        <v>0</v>
      </c>
      <c r="GJ132" s="146">
        <f t="shared" si="130"/>
        <v>-10718.88</v>
      </c>
      <c r="GK132" s="146">
        <f t="shared" si="130"/>
        <v>-5126.119999999999</v>
      </c>
      <c r="GL132" s="146">
        <f t="shared" si="130"/>
        <v>-9471</v>
      </c>
      <c r="GN132" s="146">
        <f t="shared" si="131"/>
        <v>2213794.8299793173</v>
      </c>
      <c r="GO132" s="146">
        <f t="shared" si="131"/>
        <v>0</v>
      </c>
      <c r="GP132" s="146">
        <f t="shared" si="131"/>
        <v>0</v>
      </c>
      <c r="GQ132" s="146">
        <f t="shared" si="131"/>
        <v>-10718.88</v>
      </c>
      <c r="GR132" s="146">
        <f t="shared" si="131"/>
        <v>-5126.119999999999</v>
      </c>
      <c r="GS132" s="146">
        <f t="shared" si="131"/>
        <v>-9471</v>
      </c>
      <c r="GU132" s="146"/>
      <c r="GV132" s="57"/>
    </row>
    <row r="133" spans="1:204">
      <c r="A133" s="185">
        <v>3016</v>
      </c>
      <c r="B133" s="185">
        <v>103404</v>
      </c>
      <c r="C133" s="185" t="s">
        <v>290</v>
      </c>
      <c r="D133" s="2" t="s">
        <v>291</v>
      </c>
      <c r="E133" s="191" t="s">
        <v>32</v>
      </c>
      <c r="F133" s="191" t="s">
        <v>912</v>
      </c>
      <c r="H133" s="279">
        <f>_xlfn.IFNA(VLOOKUP($A133,ISB!$A$4:$BY$454,67,FALSE),0)</f>
        <v>1437863.8025428571</v>
      </c>
      <c r="I133" s="279">
        <f>_xlfn.IFNA(VLOOKUP($A133,ISB!$A$4:$BY$454,72,FALSE),0)</f>
        <v>-5320.32</v>
      </c>
      <c r="J133" s="279">
        <f>-_xlfn.IFNA(VLOOKUP($A133,ISB!$A$4:$BY$454,76,FALSE),0)</f>
        <v>-15625.33</v>
      </c>
      <c r="K133" s="279">
        <f>_xlfn.IFNA(VLOOKUP($A133,ISB!$A$4:$BY$454,77,FALSE),0)</f>
        <v>1416918.152542857</v>
      </c>
      <c r="M133" s="301">
        <f t="shared" ref="M133:M193" si="137">$H133/12</f>
        <v>119821.98354523809</v>
      </c>
      <c r="N133" s="301">
        <f>VLOOKUP($A133,EY!$A:$H,8,FALSE)+(VLOOKUP($A133,EY!$A:$BS,17,FALSE)-S133)+VLOOKUP($A133,EY!$A:$BS,41,FALSE)</f>
        <v>0</v>
      </c>
      <c r="O133" s="302"/>
      <c r="P133" s="302">
        <f>_xlfn.IFNA((VLOOKUP($A133,HN!$A:$K,8,FALSE)/12),0)</f>
        <v>0</v>
      </c>
      <c r="Q133" s="302">
        <f>_xlfn.IFNA((VLOOKUP($A133,HN!$A:$BS,14,FALSE)/12),0)</f>
        <v>0</v>
      </c>
      <c r="R133" s="302">
        <f>_xlfn.IFNA(VLOOKUP($A133,'Post 16'!$A:$V,21,FALSE),0)/4</f>
        <v>0</v>
      </c>
      <c r="S133" s="302">
        <f>VLOOKUP($A133,EY!A:Q,15,FALSE)*80%</f>
        <v>0</v>
      </c>
      <c r="T133" s="302">
        <f>_xlfn.IFNA((VLOOKUP($A133,HN!$A:$K,9,FALSE)/12),0)+_xlfn.IFNA((VLOOKUP($A133,HN!$A:$K,10,FALSE)/12),0)</f>
        <v>0</v>
      </c>
      <c r="U133" s="302">
        <f>_xlfn.IFNA((VLOOKUP($A133,HN!$A:$BS,15,FALSE)/12),0)</f>
        <v>0</v>
      </c>
      <c r="V133" s="301">
        <f t="shared" ref="V133:V193" si="138">$I133/12</f>
        <v>-443.35999999999996</v>
      </c>
      <c r="W133" s="301">
        <f t="shared" ref="W133:W193" si="139">$J133/12</f>
        <v>-1302.1108333333334</v>
      </c>
      <c r="X133" s="302"/>
      <c r="Y133" s="302">
        <f>_xlfn.IFNA(VLOOKUP($A133,'Cash Advances'!$A:$S,8,FALSE),0)</f>
        <v>0</v>
      </c>
      <c r="Z133" s="301">
        <f t="shared" si="132"/>
        <v>118076.51271190475</v>
      </c>
      <c r="AA133" s="315">
        <f t="shared" ref="AA133:AA193" si="140">$H133/12</f>
        <v>119821.98354523809</v>
      </c>
      <c r="AB133" s="315"/>
      <c r="AC133" s="316"/>
      <c r="AD133" s="316">
        <f>_xlfn.IFNA((VLOOKUP($A133,HN!$A:$K,8,FALSE)/12),0)</f>
        <v>0</v>
      </c>
      <c r="AE133" s="316">
        <f>_xlfn.IFNA((VLOOKUP($A133,HN!$A:$BS,14,FALSE)/12),0)</f>
        <v>0</v>
      </c>
      <c r="AF133" s="316">
        <f>_xlfn.IFNA(VLOOKUP($A133,'Post 16'!$A:$V,21,FALSE),0)/4</f>
        <v>0</v>
      </c>
      <c r="AG133" s="316"/>
      <c r="AH133" s="316">
        <f>_xlfn.IFNA((VLOOKUP($A133,HN!$A:$K,9,FALSE)/12),0)+_xlfn.IFNA((VLOOKUP($A133,HN!$A:$K,10,FALSE)/12),0)</f>
        <v>0</v>
      </c>
      <c r="AI133" s="316">
        <f>_xlfn.IFNA((VLOOKUP($A133,HN!$A:$BS,15,FALSE)/12),0)</f>
        <v>0</v>
      </c>
      <c r="AJ133" s="315">
        <f t="shared" ref="AJ133:AJ193" si="141">$I133/12</f>
        <v>-443.35999999999996</v>
      </c>
      <c r="AK133" s="315">
        <f t="shared" ref="AK133:AK193" si="142">$J133/12</f>
        <v>-1302.1108333333334</v>
      </c>
      <c r="AL133" s="316"/>
      <c r="AM133" s="316">
        <f>_xlfn.IFNA(VLOOKUP($A133,'Cash Advances'!$A:$S,9,FALSE),0)</f>
        <v>0</v>
      </c>
      <c r="AN133" s="315">
        <f t="shared" si="133"/>
        <v>118076.51271190475</v>
      </c>
      <c r="AO133" s="308">
        <f t="shared" ref="AO133:AO193" si="143">$H133/12</f>
        <v>119821.98354523809</v>
      </c>
      <c r="AP133" s="308"/>
      <c r="AQ133" s="309"/>
      <c r="AR133" s="309">
        <f>_xlfn.IFNA((VLOOKUP($A133,HN!$A:$K,8,FALSE)/12),0)</f>
        <v>0</v>
      </c>
      <c r="AS133" s="309">
        <f>_xlfn.IFNA((VLOOKUP($A133,HN!$A:$BS,14,FALSE)/12),0)</f>
        <v>0</v>
      </c>
      <c r="AT133" s="309">
        <f>_xlfn.IFNA(VLOOKUP($A133,'Post 16'!$A:$V,21,FALSE),0)/4</f>
        <v>0</v>
      </c>
      <c r="AU133" s="309"/>
      <c r="AV133" s="309">
        <f>_xlfn.IFNA((VLOOKUP($A133,HN!$A:$K,9,FALSE)/12),0)+_xlfn.IFNA((VLOOKUP($A133,HN!$A:$K,10,FALSE)/12),0)+_xlfn.IFNA(VLOOKUP(A133,HN!A:V,19,FALSE),0)+_xlfn.IFNA(VLOOKUP(A133,HN!A:V,20,FALSE),0)+_xlfn.IFNA(VLOOKUP(A133,HN!A:V,21,FALSE),0)</f>
        <v>0</v>
      </c>
      <c r="AW133" s="309">
        <f>_xlfn.IFNA((VLOOKUP($A133,HN!$A:$BS,15,FALSE)/12),0)</f>
        <v>0</v>
      </c>
      <c r="AX133" s="308">
        <f t="shared" ref="AX133:AX193" si="144">$I133/12</f>
        <v>-443.35999999999996</v>
      </c>
      <c r="AY133" s="308">
        <f t="shared" ref="AY133:AY193" si="145">$J133/12</f>
        <v>-1302.1108333333334</v>
      </c>
      <c r="AZ133" s="309"/>
      <c r="BA133" s="309">
        <f>_xlfn.IFNA(VLOOKUP($A133,'Cash Advances'!$A:$S,10,FALSE),0)</f>
        <v>0</v>
      </c>
      <c r="BB133" s="308">
        <f t="shared" si="134"/>
        <v>118076.51271190475</v>
      </c>
      <c r="BC133" s="330">
        <f t="shared" ref="BC133:BC193" si="146">$H133/12</f>
        <v>119821.98354523809</v>
      </c>
      <c r="BD133" s="330"/>
      <c r="BE133" s="331"/>
      <c r="BF133" s="331">
        <f>_xlfn.IFNA((VLOOKUP($A133,HN!$A:$K,8,FALSE)/12),0)</f>
        <v>0</v>
      </c>
      <c r="BG133" s="331">
        <f>_xlfn.IFNA((VLOOKUP($A133,HN!$A:$BS,14,FALSE)/12),0)</f>
        <v>0</v>
      </c>
      <c r="BH133" s="331">
        <f>_xlfn.IFNA(VLOOKUP($A133,'Post 16'!$A:$V,21,FALSE),0)/4</f>
        <v>0</v>
      </c>
      <c r="BI133" s="331"/>
      <c r="BJ133" s="331">
        <f>_xlfn.IFNA((VLOOKUP($A133,HN!$A:$K,9,FALSE)/12),0)+_xlfn.IFNA((VLOOKUP($A133,HN!$A:$K,10,FALSE)/12),0)</f>
        <v>0</v>
      </c>
      <c r="BK133" s="331">
        <f>_xlfn.IFNA((VLOOKUP($A133,HN!$A:$BS,15,FALSE)/12),0)</f>
        <v>0</v>
      </c>
      <c r="BL133" s="330">
        <f t="shared" ref="BL133:BL193" si="147">$I133/12</f>
        <v>-443.35999999999996</v>
      </c>
      <c r="BM133" s="330">
        <f t="shared" ref="BM133:BM193" si="148">$J133/12</f>
        <v>-1302.1108333333334</v>
      </c>
      <c r="BN133" s="331"/>
      <c r="BO133" s="331">
        <f>_xlfn.IFNA(VLOOKUP(A133,'Cash Advances'!A:K,11,FALSE),0)</f>
        <v>0</v>
      </c>
      <c r="BP133" s="330">
        <f t="shared" si="135"/>
        <v>118076.51271190475</v>
      </c>
      <c r="BQ133" s="322">
        <f t="shared" ref="BQ133:BQ193" si="149">$H133/12</f>
        <v>119821.98354523809</v>
      </c>
      <c r="BR133" s="322"/>
      <c r="BS133" s="323"/>
      <c r="BT133" s="323">
        <f>_xlfn.IFNA((VLOOKUP($A133,HN!$A:$K,8,FALSE)/12),0)</f>
        <v>0</v>
      </c>
      <c r="BU133" s="323">
        <f>_xlfn.IFNA((VLOOKUP($A133,HN!$A:$BS,14,FALSE)/12),0)</f>
        <v>0</v>
      </c>
      <c r="BV133" s="323">
        <f>(_xlfn.IFNA(VLOOKUP($A133,'Post 16'!$A:$AV,32,FALSE),0)/8)+_xlfn.IFNA(VLOOKUP($A133,'Post 16'!$A:$AR,40,FALSE),0)</f>
        <v>0</v>
      </c>
      <c r="BW133" s="323"/>
      <c r="BX133" s="323">
        <f>_xlfn.IFNA((VLOOKUP($A133,HN!$A:$K,9,FALSE)/12),0)+_xlfn.IFNA((VLOOKUP($A133,HN!$A:$K,10,FALSE)/12),0)</f>
        <v>0</v>
      </c>
      <c r="BY133" s="323">
        <f>_xlfn.IFNA((VLOOKUP($A133,HN!$A:$BS,15,FALSE)/12),0)</f>
        <v>0</v>
      </c>
      <c r="BZ133" s="322">
        <f t="shared" ref="BZ133:BZ193" si="150">$I133/12</f>
        <v>-443.35999999999996</v>
      </c>
      <c r="CA133" s="322">
        <f t="shared" ref="CA133:CA193" si="151">$J133/12</f>
        <v>-1302.1108333333334</v>
      </c>
      <c r="CB133" s="323"/>
      <c r="CC133" s="323"/>
      <c r="CD133" s="322">
        <f t="shared" si="136"/>
        <v>118076.51271190475</v>
      </c>
      <c r="CE133" s="357">
        <f t="shared" ref="CE133:CE193" si="152">$H133/12</f>
        <v>119821.98354523809</v>
      </c>
      <c r="CF133" s="357">
        <f>(VLOOKUP($A133,EY!$A:$BS,26,FALSE)-(VLOOKUP($A133,EY!A:CR,24,FALSE)*80%))+VLOOKUP($A133,EY!$A:$BS,42,FALSE)+(VLOOKUP($A133,EY!A:CC,74,FALSE)-VLOOKUP($A133,EY!A:CC,72,FALSE))</f>
        <v>0</v>
      </c>
      <c r="CG133" s="358"/>
      <c r="CH133" s="358">
        <f>_xlfn.IFNA((VLOOKUP($A133,HN!$A:$K,8,FALSE)/12),0)</f>
        <v>0</v>
      </c>
      <c r="CI133" s="358">
        <f>_xlfn.IFNA((VLOOKUP($A133,HN!$A:$BS,14,FALSE)/12),0)</f>
        <v>0</v>
      </c>
      <c r="CJ133" s="358">
        <f>(_xlfn.IFNA(VLOOKUP($A133,'Post 16'!$A:$AV,32,FALSE),0)/8)</f>
        <v>0</v>
      </c>
      <c r="CK133" s="358">
        <f>(VLOOKUP($A133,EY!A:CR,24,FALSE)*80%)+VLOOKUP($A133,EY!A:CC,72,FALSE)</f>
        <v>0</v>
      </c>
      <c r="CL133" s="358">
        <f>_xlfn.IFNA((VLOOKUP($A133,HN!$A:$K,9,FALSE)/12),0)+_xlfn.IFNA((VLOOKUP($A133,HN!$A:$K,10,FALSE)/12),0)</f>
        <v>0</v>
      </c>
      <c r="CM133" s="358">
        <f>_xlfn.IFNA((VLOOKUP($A133,HN!$A:$BS,15,FALSE)/12),0)</f>
        <v>0</v>
      </c>
      <c r="CN133" s="357">
        <f t="shared" ref="CN133:CN193" si="153">$I133/12</f>
        <v>-443.35999999999996</v>
      </c>
      <c r="CO133" s="357">
        <f t="shared" ref="CO133:CO193" si="154">$J133/12</f>
        <v>-1302.1108333333334</v>
      </c>
      <c r="CP133" s="358">
        <f>_xlfn.IFNA(VLOOKUP(A133,'LA Deductions'!A:W,23,FALSE),0)</f>
        <v>-5139.75</v>
      </c>
      <c r="CQ133" s="358">
        <f>_xlfn.IFNA(VLOOKUP($A133,'Cash Advances'!$A:$S,13,FALSE),0)</f>
        <v>0</v>
      </c>
      <c r="CR133" s="358">
        <f>_xlfn.IFNA(VLOOKUP(A133,'LA Deductions'!A:AZ,25,FALSE),0)/9*3</f>
        <v>0</v>
      </c>
      <c r="CS133" s="357">
        <f t="shared" si="108"/>
        <v>112936.76271190475</v>
      </c>
      <c r="CT133" s="337">
        <f t="shared" ref="CT133:CT193" si="155">$H133/12</f>
        <v>119821.98354523809</v>
      </c>
      <c r="CU133" s="337"/>
      <c r="CV133" s="338">
        <f>_xlfn.IFNA(VLOOKUP(A133,'LA Deductions'!$A$6:$AN$207,34,FALSE),0)</f>
        <v>0</v>
      </c>
      <c r="CW133" s="338">
        <f>_xlfn.IFNA((VLOOKUP($A133,HN!$A:$K,8,FALSE)/12),0)</f>
        <v>0</v>
      </c>
      <c r="CX133" s="338">
        <f>_xlfn.IFNA((VLOOKUP($A133,HN!$A:$BS,14,FALSE)/12),0)</f>
        <v>0</v>
      </c>
      <c r="CY133" s="338">
        <f>_xlfn.IFNA(VLOOKUP($A133,'Post 16'!$A:$AV,32,FALSE),0)/8</f>
        <v>0</v>
      </c>
      <c r="CZ133" s="338"/>
      <c r="DA133" s="338">
        <f>_xlfn.IFNA((VLOOKUP($A133,HN!$A:$K,9,FALSE)/12),0)+_xlfn.IFNA((VLOOKUP($A133,HN!$A:$K,10,FALSE)/12),0)</f>
        <v>0</v>
      </c>
      <c r="DB133" s="338">
        <f>_xlfn.IFNA((VLOOKUP($A133,HN!$A:$BS,15,FALSE)/12),0)</f>
        <v>0</v>
      </c>
      <c r="DC133" s="337">
        <f t="shared" ref="DC133:DC193" si="156">$I133/12</f>
        <v>-443.35999999999996</v>
      </c>
      <c r="DD133" s="337">
        <f t="shared" ref="DD133:DD193" si="157">$J133/12</f>
        <v>-1302.1108333333334</v>
      </c>
      <c r="DE133" s="338"/>
      <c r="DF133" s="338">
        <f>_xlfn.IFNA(VLOOKUP($A133,'Cash Advances'!$A:$S,14,FALSE),0)</f>
        <v>0</v>
      </c>
      <c r="DG133" s="338">
        <f>(_xlfn.IFNA(VLOOKUP(A133,'LA Deductions'!A:AZ,25,FALSE),0)/9)+(_xlfn.IFNA(VLOOKUP(A133,'LA Deductions'!A:AZ,26,FALSE),0))</f>
        <v>0</v>
      </c>
      <c r="DH133" s="337">
        <f t="shared" si="109"/>
        <v>118076.51271190475</v>
      </c>
      <c r="DI133" s="330">
        <f t="shared" ref="DI133:DI193" si="158">$H133/12</f>
        <v>119821.98354523809</v>
      </c>
      <c r="DJ133" s="330"/>
      <c r="DK133" s="331"/>
      <c r="DL133" s="331">
        <f>_xlfn.IFNA((VLOOKUP($A133,HN!$A:$K,8,FALSE)/12),0)+_xlfn.IFNA((VLOOKUP($A133,HN!$A:$AF,32,FALSE)*8/12),0)</f>
        <v>0</v>
      </c>
      <c r="DM133" s="331">
        <f>_xlfn.IFNA((VLOOKUP($A133,HN!$A:$BS,14,FALSE)/12),0)+_xlfn.IFNA(VLOOKUP($A133,HN!$A:$BS,31,FALSE),0)</f>
        <v>0</v>
      </c>
      <c r="DN133" s="331">
        <f>_xlfn.IFNA(VLOOKUP($A133,'Post 16'!$A:$AV,32,FALSE),0)/8</f>
        <v>0</v>
      </c>
      <c r="DO133" s="331"/>
      <c r="DP133" s="331">
        <f>_xlfn.IFNA((VLOOKUP($A133,HN!$A:$K,9,FALSE)/12),0)+_xlfn.IFNA((VLOOKUP($A133,HN!$A:$K,10,FALSE)/12),0)+_xlfn.IFNA((VLOOKUP($A133,HN!$A:$BZ,33,FALSE)*8/12),0)</f>
        <v>0</v>
      </c>
      <c r="DQ133" s="331">
        <f>_xlfn.IFNA((VLOOKUP($A133,HN!$A:$BS,15,FALSE)/12),0)</f>
        <v>0</v>
      </c>
      <c r="DR133" s="330">
        <f t="shared" ref="DR133:DR193" si="159">$I133/12</f>
        <v>-443.35999999999996</v>
      </c>
      <c r="DS133" s="330">
        <f t="shared" ref="DS133:DS193" si="160">$J133/12</f>
        <v>-1302.1108333333334</v>
      </c>
      <c r="DT133" s="331"/>
      <c r="DU133" s="331"/>
      <c r="DV133" s="331">
        <f>(_xlfn.IFNA(VLOOKUP(A133,'LA Deductions'!A:AZ,25,FALSE),0)/9)+_xlfn.IFNA(VLOOKUP(A133,'LA Deductions'!A:AZ,27,FALSE),0)</f>
        <v>0</v>
      </c>
      <c r="DW133" s="330">
        <f t="shared" si="110"/>
        <v>118076.51271190475</v>
      </c>
      <c r="DX133" s="344">
        <f t="shared" ref="DX133:DX193" si="161">$H133/12</f>
        <v>119821.98354523809</v>
      </c>
      <c r="DY133" s="344"/>
      <c r="DZ133" s="345"/>
      <c r="EA133" s="345">
        <f>_xlfn.IFNA((VLOOKUP($A133,HN!$A:$K,8,FALSE)/12),0)+_xlfn.IFNA((VLOOKUP($A133,HN!$A:$AF,32,FALSE)*1/12),0)</f>
        <v>0</v>
      </c>
      <c r="EB133" s="345">
        <f>_xlfn.IFNA((VLOOKUP($A133,HN!$A:$BS,14,FALSE)/12),0)</f>
        <v>0</v>
      </c>
      <c r="EC133" s="345">
        <f>_xlfn.IFNA(VLOOKUP($A133,'Post 16'!$A:$AV,32,FALSE),0)/8</f>
        <v>0</v>
      </c>
      <c r="ED133" s="345"/>
      <c r="EE133" s="345">
        <f>_xlfn.IFNA((VLOOKUP($A133,HN!$A:$K,9,FALSE)/12),0)+_xlfn.IFNA((VLOOKUP($A133,HN!$A:$K,10,FALSE)/12),0)+_xlfn.IFNA((VLOOKUP($A133,HN!$A:$BZ,33,FALSE)/12),0)</f>
        <v>0</v>
      </c>
      <c r="EF133" s="345">
        <f>_xlfn.IFNA((VLOOKUP($A133,HN!$A:$BS,15,FALSE)/12),0)</f>
        <v>0</v>
      </c>
      <c r="EG133" s="344">
        <f t="shared" ref="EG133:EG193" si="162">$I133/12</f>
        <v>-443.35999999999996</v>
      </c>
      <c r="EH133" s="344">
        <f t="shared" ref="EH133:EH193" si="163">$J133/12</f>
        <v>-1302.1108333333334</v>
      </c>
      <c r="EI133" s="345"/>
      <c r="EJ133" s="345">
        <f>_xlfn.IFNA(VLOOKUP(A133,'Cash Advances'!A:P,16,FALSE),0)</f>
        <v>0</v>
      </c>
      <c r="EK133" s="345">
        <f>_xlfn.IFNA(VLOOKUP(A133,'LA Deductions'!A:AZ,25,FALSE),0)/9</f>
        <v>0</v>
      </c>
      <c r="EL133" s="344">
        <f t="shared" si="111"/>
        <v>118076.51271190475</v>
      </c>
      <c r="EM133" s="308">
        <f t="shared" ref="EM133:EM193" si="164">$H133/12</f>
        <v>119821.98354523809</v>
      </c>
      <c r="EN133" s="308">
        <f>((VLOOKUP($A133,EY!$A:$BS,35,FALSE)-(VLOOKUP($A133,EY!$A:$BS,33,FALSE)*80%))+VLOOKUP($A133,EY!$A:$BS,43,FALSE))+(VLOOKUP(A133,EY!A:DF,110,FALSE)-VLOOKUP(A133,EY!A:DD,108,FALSE))+(VLOOKUP(A133,EY!A:CE,83,FALSE)-VLOOKUP(A133,EY!A:CC,81,FALSE))</f>
        <v>0</v>
      </c>
      <c r="EO133" s="309"/>
      <c r="EP133" s="309">
        <f>_xlfn.IFNA((VLOOKUP($A133,HN!$A:$K,8,FALSE)/12),0)+_xlfn.IFNA((VLOOKUP($A133,HN!$A:$AF,32,FALSE)*1/12),0)</f>
        <v>0</v>
      </c>
      <c r="EQ133" s="309">
        <f>_xlfn.IFNA((VLOOKUP($A133,HN!$A:$BS,14,FALSE)/12),0)+_xlfn.IFNA((VLOOKUP($A133,HN!$A:$BS,34,FALSE)/3),0)</f>
        <v>0</v>
      </c>
      <c r="ER133" s="309">
        <f>_xlfn.IFNA(VLOOKUP($A133,'Post 16'!$A:$AV,32,FALSE),0)/8</f>
        <v>0</v>
      </c>
      <c r="ES133" s="309">
        <f>((VLOOKUP($A133,EY!A:EV,33,FALSE)*80%))+VLOOKUP(A133,EY!A:DD,108,FALSE)+VLOOKUP(A133,EY!A:CC,81,FALSE)</f>
        <v>0</v>
      </c>
      <c r="ET133" s="309">
        <f>_xlfn.IFNA((VLOOKUP($A133,HN!$A:$K,9,FALSE)/12),0)+_xlfn.IFNA((VLOOKUP($A133,HN!$A:$K,10,FALSE)/12),0)+_xlfn.IFNA((VLOOKUP($A133,HN!$A:$BZ,33,FALSE)/12),0)</f>
        <v>0</v>
      </c>
      <c r="EU133" s="309">
        <f>_xlfn.IFNA((VLOOKUP($A133,HN!$A:$BS,15,FALSE)/12),0)</f>
        <v>0</v>
      </c>
      <c r="EV133" s="308">
        <f t="shared" ref="EV133:EV193" si="165">$I133/12</f>
        <v>-443.35999999999996</v>
      </c>
      <c r="EW133" s="308">
        <f t="shared" ref="EW133:EW193" si="166">$J133/12</f>
        <v>-1302.1108333333334</v>
      </c>
      <c r="EX133" s="309"/>
      <c r="EY133" s="309">
        <f>_xlfn.IFNA(VLOOKUP($A133,'Cash Advances'!$A:$S,17,FALSE),0)</f>
        <v>0</v>
      </c>
      <c r="EZ133" s="309">
        <f>_xlfn.IFNA(VLOOKUP(A133,'LA Deductions'!A:AZ,25,FALSE),0)/9</f>
        <v>0</v>
      </c>
      <c r="FA133" s="308">
        <f t="shared" si="112"/>
        <v>118076.51271190475</v>
      </c>
      <c r="FB133" s="315">
        <f t="shared" ref="FB133:FB193" si="167">$H133/12</f>
        <v>119821.98354523809</v>
      </c>
      <c r="FC133" s="315"/>
      <c r="FD133" s="316"/>
      <c r="FE133" s="316">
        <f>_xlfn.IFNA((VLOOKUP($A133,HN!$A:$K,8,FALSE)/12),0)+_xlfn.IFNA((VLOOKUP($A133,HN!$A:$AF,32,FALSE)*1/12),0)</f>
        <v>0</v>
      </c>
      <c r="FF133" s="316">
        <f>_xlfn.IFNA((VLOOKUP($A133,HN!$A:$BS,14,FALSE)/12),0)+_xlfn.IFNA((VLOOKUP($A133,HN!$A:$BS,34,FALSE)/3),0)</f>
        <v>0</v>
      </c>
      <c r="FG133" s="316">
        <f>_xlfn.IFNA(VLOOKUP($A133,'Post 16'!$A:$AV,32,FALSE),0)/8</f>
        <v>0</v>
      </c>
      <c r="FH133" s="316"/>
      <c r="FI133" s="316">
        <f>_xlfn.IFNA((VLOOKUP($A133,HN!$A:$K,9,FALSE)/12),0)+_xlfn.IFNA((VLOOKUP($A133,HN!$A:$K,10,FALSE)/12),0)+_xlfn.IFNA((VLOOKUP($A133,HN!$A:$BZ,33,FALSE)/12),0)+_xlfn.IFNA((VLOOKUP($A133,HN!$A:$BZ,35,FALSE)/2),0)</f>
        <v>0</v>
      </c>
      <c r="FJ133" s="316">
        <f>_xlfn.IFNA((VLOOKUP($A133,HN!$A:$BS,15,FALSE)/12),0)+_xlfn.IFNA((VLOOKUP($A133,HN!$A:$CZ,36,FALSE)/2),0)</f>
        <v>0</v>
      </c>
      <c r="FK133" s="315">
        <f t="shared" ref="FK133:FK193" si="168">$I133/12</f>
        <v>-443.35999999999996</v>
      </c>
      <c r="FL133" s="315">
        <f t="shared" ref="FL133:FL193" si="169">$J133/12</f>
        <v>-1302.1108333333334</v>
      </c>
      <c r="FM133" s="316"/>
      <c r="FN133" s="316">
        <f>_xlfn.IFNA(VLOOKUP($A133,'Cash Advances'!$A:$S,18,FALSE),0)</f>
        <v>0</v>
      </c>
      <c r="FO133" s="316">
        <f>_xlfn.IFNA(VLOOKUP(A133,'LA Deductions'!A:AZ,25,FALSE),0)/9</f>
        <v>0</v>
      </c>
      <c r="FP133" s="315">
        <f t="shared" si="113"/>
        <v>118076.51271190475</v>
      </c>
      <c r="FQ133" s="322">
        <f t="shared" ref="FQ133:FQ193" si="170">$H133/12</f>
        <v>119821.98354523809</v>
      </c>
      <c r="FR133" s="322"/>
      <c r="FS133" s="323"/>
      <c r="FT133" s="323">
        <f>_xlfn.IFNA((VLOOKUP($A133,HN!$A:$K,8,FALSE)/12),0)+_xlfn.IFNA((VLOOKUP($A133,HN!$A:$AF,32,FALSE)*1/12),0)</f>
        <v>0</v>
      </c>
      <c r="FU133" s="323">
        <f>_xlfn.IFNA((VLOOKUP($A133,HN!$A:$BS,14,FALSE)/12),0)+_xlfn.IFNA((VLOOKUP($A133,HN!$A:$BS,34,FALSE)/3),0)</f>
        <v>0</v>
      </c>
      <c r="FV133" s="323">
        <f>_xlfn.IFNA(VLOOKUP($A133,'Post 16'!$A:$AV,32,FALSE),0)/8</f>
        <v>0</v>
      </c>
      <c r="FW133" s="323"/>
      <c r="FX133" s="323">
        <f>_xlfn.IFNA((VLOOKUP($A133,HN!$A:$K,9,FALSE)/12),0)+_xlfn.IFNA((VLOOKUP($A133,HN!$A:$K,10,FALSE)/12),0)+_xlfn.IFNA((VLOOKUP($A133,HN!$A:$BZ,33,FALSE)/12),0)+_xlfn.IFNA((VLOOKUP($A133,HN!$A:$BZ,35,FALSE)/2),0)</f>
        <v>0</v>
      </c>
      <c r="FY133" s="323">
        <f>_xlfn.IFNA((VLOOKUP($A133,HN!$A:$BS,15,FALSE)/12),0)+_xlfn.IFNA((VLOOKUP($A133,HN!$A:$CZ,36,FALSE)/2),0)</f>
        <v>0</v>
      </c>
      <c r="FZ133" s="322">
        <f t="shared" ref="FZ133:FZ193" si="171">$I133/12</f>
        <v>-443.35999999999996</v>
      </c>
      <c r="GA133" s="322">
        <f t="shared" ref="GA133:GA193" si="172">$J133/12</f>
        <v>-1302.1108333333334</v>
      </c>
      <c r="GB133" s="323"/>
      <c r="GC133" s="323"/>
      <c r="GD133" s="323">
        <f>_xlfn.IFNA(VLOOKUP(A133,'LA Deductions'!A:AZ,25,FALSE),0)/9</f>
        <v>0</v>
      </c>
      <c r="GE133" s="322">
        <f t="shared" si="114"/>
        <v>118076.51271190475</v>
      </c>
      <c r="GG133" s="146">
        <f t="shared" si="130"/>
        <v>1437863.8025428576</v>
      </c>
      <c r="GH133" s="146">
        <f t="shared" si="130"/>
        <v>0</v>
      </c>
      <c r="GI133" s="146">
        <f t="shared" si="130"/>
        <v>0</v>
      </c>
      <c r="GJ133" s="146">
        <f t="shared" si="130"/>
        <v>-5320.32</v>
      </c>
      <c r="GK133" s="146">
        <f t="shared" si="130"/>
        <v>-15625.330000000004</v>
      </c>
      <c r="GL133" s="146">
        <f t="shared" si="130"/>
        <v>-5139.75</v>
      </c>
      <c r="GN133" s="146">
        <f t="shared" si="131"/>
        <v>1437863.8025428576</v>
      </c>
      <c r="GO133" s="146">
        <f t="shared" si="131"/>
        <v>0</v>
      </c>
      <c r="GP133" s="146">
        <f t="shared" si="131"/>
        <v>0</v>
      </c>
      <c r="GQ133" s="146">
        <f t="shared" si="131"/>
        <v>-5320.32</v>
      </c>
      <c r="GR133" s="146">
        <f t="shared" si="131"/>
        <v>-15625.330000000004</v>
      </c>
      <c r="GS133" s="146">
        <f t="shared" si="131"/>
        <v>-5139.75</v>
      </c>
      <c r="GU133" s="146"/>
      <c r="GV133" s="57"/>
    </row>
    <row r="134" spans="1:204">
      <c r="A134" s="185">
        <v>4606</v>
      </c>
      <c r="B134" s="185">
        <v>103531</v>
      </c>
      <c r="C134" s="185" t="s">
        <v>292</v>
      </c>
      <c r="D134" s="2" t="s">
        <v>293</v>
      </c>
      <c r="E134" s="191" t="s">
        <v>58</v>
      </c>
      <c r="F134" s="191" t="s">
        <v>912</v>
      </c>
      <c r="H134" s="279">
        <f>_xlfn.IFNA(VLOOKUP($A134,ISB!$A$4:$BY$454,67,FALSE),0)</f>
        <v>6090430.3207271649</v>
      </c>
      <c r="I134" s="279">
        <f>_xlfn.IFNA(VLOOKUP($A134,ISB!$A$4:$BY$454,72,FALSE),0)</f>
        <v>-17029.98</v>
      </c>
      <c r="J134" s="279">
        <f>-_xlfn.IFNA(VLOOKUP($A134,ISB!$A$4:$BY$454,76,FALSE),0)</f>
        <v>-14945.91</v>
      </c>
      <c r="K134" s="279">
        <f>_xlfn.IFNA(VLOOKUP($A134,ISB!$A$4:$BY$454,77,FALSE),0)</f>
        <v>6058454.4307271643</v>
      </c>
      <c r="M134" s="301">
        <f t="shared" si="137"/>
        <v>507535.86006059707</v>
      </c>
      <c r="N134" s="301">
        <f>VLOOKUP($A134,EY!$A:$H,8,FALSE)+(VLOOKUP($A134,EY!$A:$BS,17,FALSE)-S134)+VLOOKUP($A134,EY!$A:$BS,41,FALSE)</f>
        <v>0</v>
      </c>
      <c r="O134" s="302"/>
      <c r="P134" s="302">
        <f>_xlfn.IFNA((VLOOKUP($A134,HN!$A:$K,8,FALSE)/12),0)</f>
        <v>0</v>
      </c>
      <c r="Q134" s="302">
        <f>_xlfn.IFNA((VLOOKUP($A134,HN!$A:$BS,14,FALSE)/12),0)</f>
        <v>0</v>
      </c>
      <c r="R134" s="302">
        <f>_xlfn.IFNA(VLOOKUP($A134,'Post 16'!$A:$V,21,FALSE),0)/4</f>
        <v>95493.916666666672</v>
      </c>
      <c r="S134" s="302">
        <f>VLOOKUP($A134,EY!A:Q,15,FALSE)*80%</f>
        <v>0</v>
      </c>
      <c r="T134" s="302">
        <f>_xlfn.IFNA((VLOOKUP($A134,HN!$A:$K,9,FALSE)/12),0)+_xlfn.IFNA((VLOOKUP($A134,HN!$A:$K,10,FALSE)/12),0)</f>
        <v>0</v>
      </c>
      <c r="U134" s="302">
        <f>_xlfn.IFNA((VLOOKUP($A134,HN!$A:$BS,15,FALSE)/12),0)</f>
        <v>0</v>
      </c>
      <c r="V134" s="301">
        <f t="shared" si="138"/>
        <v>-1419.165</v>
      </c>
      <c r="W134" s="301">
        <f t="shared" si="139"/>
        <v>-1245.4925000000001</v>
      </c>
      <c r="X134" s="302"/>
      <c r="Y134" s="302">
        <f>_xlfn.IFNA(VLOOKUP($A134,'Cash Advances'!$A:$S,8,FALSE),0)</f>
        <v>0</v>
      </c>
      <c r="Z134" s="301">
        <f t="shared" si="132"/>
        <v>600365.11922726361</v>
      </c>
      <c r="AA134" s="315">
        <f t="shared" si="140"/>
        <v>507535.86006059707</v>
      </c>
      <c r="AB134" s="315"/>
      <c r="AC134" s="316"/>
      <c r="AD134" s="316">
        <f>_xlfn.IFNA((VLOOKUP($A134,HN!$A:$K,8,FALSE)/12),0)</f>
        <v>0</v>
      </c>
      <c r="AE134" s="316">
        <f>_xlfn.IFNA((VLOOKUP($A134,HN!$A:$BS,14,FALSE)/12),0)</f>
        <v>0</v>
      </c>
      <c r="AF134" s="316">
        <f>_xlfn.IFNA(VLOOKUP($A134,'Post 16'!$A:$V,21,FALSE),0)/4</f>
        <v>95493.916666666672</v>
      </c>
      <c r="AG134" s="316"/>
      <c r="AH134" s="316">
        <f>_xlfn.IFNA((VLOOKUP($A134,HN!$A:$K,9,FALSE)/12),0)+_xlfn.IFNA((VLOOKUP($A134,HN!$A:$K,10,FALSE)/12),0)</f>
        <v>0</v>
      </c>
      <c r="AI134" s="316">
        <f>_xlfn.IFNA((VLOOKUP($A134,HN!$A:$BS,15,FALSE)/12),0)</f>
        <v>0</v>
      </c>
      <c r="AJ134" s="315">
        <f t="shared" si="141"/>
        <v>-1419.165</v>
      </c>
      <c r="AK134" s="315">
        <f t="shared" si="142"/>
        <v>-1245.4925000000001</v>
      </c>
      <c r="AL134" s="316"/>
      <c r="AM134" s="316">
        <f>_xlfn.IFNA(VLOOKUP($A134,'Cash Advances'!$A:$S,9,FALSE),0)</f>
        <v>0</v>
      </c>
      <c r="AN134" s="315">
        <f t="shared" si="133"/>
        <v>600365.11922726361</v>
      </c>
      <c r="AO134" s="308">
        <f t="shared" si="143"/>
        <v>507535.86006059707</v>
      </c>
      <c r="AP134" s="308"/>
      <c r="AQ134" s="309"/>
      <c r="AR134" s="309">
        <f>_xlfn.IFNA((VLOOKUP($A134,HN!$A:$K,8,FALSE)/12),0)</f>
        <v>0</v>
      </c>
      <c r="AS134" s="309">
        <f>_xlfn.IFNA((VLOOKUP($A134,HN!$A:$BS,14,FALSE)/12),0)</f>
        <v>0</v>
      </c>
      <c r="AT134" s="309">
        <f>_xlfn.IFNA(VLOOKUP($A134,'Post 16'!$A:$V,21,FALSE),0)/4</f>
        <v>95493.916666666672</v>
      </c>
      <c r="AU134" s="309"/>
      <c r="AV134" s="309">
        <f>_xlfn.IFNA((VLOOKUP($A134,HN!$A:$K,9,FALSE)/12),0)+_xlfn.IFNA((VLOOKUP($A134,HN!$A:$K,10,FALSE)/12),0)+_xlfn.IFNA(VLOOKUP(A134,HN!A:V,19,FALSE),0)+_xlfn.IFNA(VLOOKUP(A134,HN!A:V,20,FALSE),0)+_xlfn.IFNA(VLOOKUP(A134,HN!A:V,21,FALSE),0)</f>
        <v>0</v>
      </c>
      <c r="AW134" s="309">
        <f>_xlfn.IFNA((VLOOKUP($A134,HN!$A:$BS,15,FALSE)/12),0)</f>
        <v>0</v>
      </c>
      <c r="AX134" s="308">
        <f t="shared" si="144"/>
        <v>-1419.165</v>
      </c>
      <c r="AY134" s="308">
        <f t="shared" si="145"/>
        <v>-1245.4925000000001</v>
      </c>
      <c r="AZ134" s="309"/>
      <c r="BA134" s="309">
        <f>_xlfn.IFNA(VLOOKUP($A134,'Cash Advances'!$A:$S,10,FALSE),0)</f>
        <v>0</v>
      </c>
      <c r="BB134" s="308">
        <f t="shared" si="134"/>
        <v>600365.11922726361</v>
      </c>
      <c r="BC134" s="330">
        <f t="shared" si="146"/>
        <v>507535.86006059707</v>
      </c>
      <c r="BD134" s="330"/>
      <c r="BE134" s="331"/>
      <c r="BF134" s="331">
        <f>_xlfn.IFNA((VLOOKUP($A134,HN!$A:$K,8,FALSE)/12),0)</f>
        <v>0</v>
      </c>
      <c r="BG134" s="331">
        <f>_xlfn.IFNA((VLOOKUP($A134,HN!$A:$BS,14,FALSE)/12),0)</f>
        <v>0</v>
      </c>
      <c r="BH134" s="331">
        <f>_xlfn.IFNA(VLOOKUP($A134,'Post 16'!$A:$V,21,FALSE),0)/4</f>
        <v>95493.916666666672</v>
      </c>
      <c r="BI134" s="331"/>
      <c r="BJ134" s="331">
        <f>_xlfn.IFNA((VLOOKUP($A134,HN!$A:$K,9,FALSE)/12),0)+_xlfn.IFNA((VLOOKUP($A134,HN!$A:$K,10,FALSE)/12),0)</f>
        <v>0</v>
      </c>
      <c r="BK134" s="331">
        <f>_xlfn.IFNA((VLOOKUP($A134,HN!$A:$BS,15,FALSE)/12),0)</f>
        <v>0</v>
      </c>
      <c r="BL134" s="330">
        <f t="shared" si="147"/>
        <v>-1419.165</v>
      </c>
      <c r="BM134" s="330">
        <f t="shared" si="148"/>
        <v>-1245.4925000000001</v>
      </c>
      <c r="BN134" s="331"/>
      <c r="BO134" s="331">
        <f>_xlfn.IFNA(VLOOKUP(A134,'Cash Advances'!A:K,11,FALSE),0)</f>
        <v>0</v>
      </c>
      <c r="BP134" s="330">
        <f t="shared" si="135"/>
        <v>600365.11922726361</v>
      </c>
      <c r="BQ134" s="322">
        <f t="shared" si="149"/>
        <v>507535.86006059707</v>
      </c>
      <c r="BR134" s="322"/>
      <c r="BS134" s="323"/>
      <c r="BT134" s="323">
        <f>_xlfn.IFNA((VLOOKUP($A134,HN!$A:$K,8,FALSE)/12),0)</f>
        <v>0</v>
      </c>
      <c r="BU134" s="323">
        <f>_xlfn.IFNA((VLOOKUP($A134,HN!$A:$BS,14,FALSE)/12),0)</f>
        <v>0</v>
      </c>
      <c r="BV134" s="323">
        <f>(_xlfn.IFNA(VLOOKUP($A134,'Post 16'!$A:$AV,32,FALSE),0)/8)+_xlfn.IFNA(VLOOKUP($A134,'Post 16'!$A:$AR,40,FALSE),0)</f>
        <v>106607.83333333334</v>
      </c>
      <c r="BW134" s="323"/>
      <c r="BX134" s="323">
        <f>_xlfn.IFNA((VLOOKUP($A134,HN!$A:$K,9,FALSE)/12),0)+_xlfn.IFNA((VLOOKUP($A134,HN!$A:$K,10,FALSE)/12),0)</f>
        <v>0</v>
      </c>
      <c r="BY134" s="323">
        <f>_xlfn.IFNA((VLOOKUP($A134,HN!$A:$BS,15,FALSE)/12),0)</f>
        <v>0</v>
      </c>
      <c r="BZ134" s="322">
        <f t="shared" si="150"/>
        <v>-1419.165</v>
      </c>
      <c r="CA134" s="322">
        <f t="shared" si="151"/>
        <v>-1245.4925000000001</v>
      </c>
      <c r="CB134" s="323"/>
      <c r="CC134" s="323"/>
      <c r="CD134" s="322">
        <f t="shared" si="136"/>
        <v>611479.03589393036</v>
      </c>
      <c r="CE134" s="357">
        <f t="shared" si="152"/>
        <v>507535.86006059707</v>
      </c>
      <c r="CF134" s="357">
        <f>(VLOOKUP($A134,EY!$A:$BS,26,FALSE)-(VLOOKUP($A134,EY!A:CR,24,FALSE)*80%))+VLOOKUP($A134,EY!$A:$BS,42,FALSE)+(VLOOKUP($A134,EY!A:CC,74,FALSE)-VLOOKUP($A134,EY!A:CC,72,FALSE))</f>
        <v>0</v>
      </c>
      <c r="CG134" s="358"/>
      <c r="CH134" s="358">
        <f>_xlfn.IFNA((VLOOKUP($A134,HN!$A:$K,8,FALSE)/12),0)</f>
        <v>0</v>
      </c>
      <c r="CI134" s="358">
        <f>_xlfn.IFNA((VLOOKUP($A134,HN!$A:$BS,14,FALSE)/12),0)</f>
        <v>0</v>
      </c>
      <c r="CJ134" s="358">
        <f>(_xlfn.IFNA(VLOOKUP($A134,'Post 16'!$A:$AV,32,FALSE),0)/8)</f>
        <v>106607.83333333334</v>
      </c>
      <c r="CK134" s="358">
        <f>(VLOOKUP($A134,EY!A:CR,24,FALSE)*80%)+VLOOKUP($A134,EY!A:CC,72,FALSE)</f>
        <v>0</v>
      </c>
      <c r="CL134" s="358">
        <f>_xlfn.IFNA((VLOOKUP($A134,HN!$A:$K,9,FALSE)/12),0)+_xlfn.IFNA((VLOOKUP($A134,HN!$A:$K,10,FALSE)/12),0)</f>
        <v>0</v>
      </c>
      <c r="CM134" s="358">
        <f>_xlfn.IFNA((VLOOKUP($A134,HN!$A:$BS,15,FALSE)/12),0)</f>
        <v>0</v>
      </c>
      <c r="CN134" s="357">
        <f t="shared" si="153"/>
        <v>-1419.165</v>
      </c>
      <c r="CO134" s="357">
        <f t="shared" si="154"/>
        <v>-1245.4925000000001</v>
      </c>
      <c r="CP134" s="358">
        <f>_xlfn.IFNA(VLOOKUP(A134,'LA Deductions'!A:W,23,FALSE),0)</f>
        <v>-24312.75</v>
      </c>
      <c r="CQ134" s="358">
        <f>_xlfn.IFNA(VLOOKUP($A134,'Cash Advances'!$A:$S,13,FALSE),0)</f>
        <v>0</v>
      </c>
      <c r="CR134" s="358">
        <f>_xlfn.IFNA(VLOOKUP(A134,'LA Deductions'!A:AZ,25,FALSE),0)/9*3</f>
        <v>0</v>
      </c>
      <c r="CS134" s="357">
        <f t="shared" si="108"/>
        <v>587166.28589393036</v>
      </c>
      <c r="CT134" s="337">
        <f t="shared" si="155"/>
        <v>507535.86006059707</v>
      </c>
      <c r="CU134" s="337"/>
      <c r="CV134" s="338">
        <f>_xlfn.IFNA(VLOOKUP(A134,'LA Deductions'!$A$6:$AN$207,34,FALSE),0)</f>
        <v>0</v>
      </c>
      <c r="CW134" s="338">
        <f>_xlfn.IFNA((VLOOKUP($A134,HN!$A:$K,8,FALSE)/12),0)</f>
        <v>0</v>
      </c>
      <c r="CX134" s="338">
        <f>_xlfn.IFNA((VLOOKUP($A134,HN!$A:$BS,14,FALSE)/12),0)</f>
        <v>0</v>
      </c>
      <c r="CY134" s="338">
        <f>_xlfn.IFNA(VLOOKUP($A134,'Post 16'!$A:$AV,32,FALSE),0)/8</f>
        <v>106607.83333333334</v>
      </c>
      <c r="CZ134" s="338"/>
      <c r="DA134" s="338">
        <f>_xlfn.IFNA((VLOOKUP($A134,HN!$A:$K,9,FALSE)/12),0)+_xlfn.IFNA((VLOOKUP($A134,HN!$A:$K,10,FALSE)/12),0)</f>
        <v>0</v>
      </c>
      <c r="DB134" s="338">
        <f>_xlfn.IFNA((VLOOKUP($A134,HN!$A:$BS,15,FALSE)/12),0)</f>
        <v>0</v>
      </c>
      <c r="DC134" s="337">
        <f t="shared" si="156"/>
        <v>-1419.165</v>
      </c>
      <c r="DD134" s="337">
        <f t="shared" si="157"/>
        <v>-1245.4925000000001</v>
      </c>
      <c r="DE134" s="338"/>
      <c r="DF134" s="338">
        <f>_xlfn.IFNA(VLOOKUP($A134,'Cash Advances'!$A:$S,14,FALSE),0)</f>
        <v>0</v>
      </c>
      <c r="DG134" s="338">
        <f>(_xlfn.IFNA(VLOOKUP(A134,'LA Deductions'!A:AZ,25,FALSE),0)/9)+(_xlfn.IFNA(VLOOKUP(A134,'LA Deductions'!A:AZ,26,FALSE),0))</f>
        <v>0</v>
      </c>
      <c r="DH134" s="337">
        <f t="shared" si="109"/>
        <v>611479.03589393036</v>
      </c>
      <c r="DI134" s="330">
        <f t="shared" si="158"/>
        <v>507535.86006059707</v>
      </c>
      <c r="DJ134" s="330"/>
      <c r="DK134" s="331"/>
      <c r="DL134" s="331">
        <f>_xlfn.IFNA((VLOOKUP($A134,HN!$A:$K,8,FALSE)/12),0)+_xlfn.IFNA((VLOOKUP($A134,HN!$A:$AF,32,FALSE)*8/12),0)</f>
        <v>0</v>
      </c>
      <c r="DM134" s="331">
        <f>_xlfn.IFNA((VLOOKUP($A134,HN!$A:$BS,14,FALSE)/12),0)+_xlfn.IFNA(VLOOKUP($A134,HN!$A:$BS,31,FALSE),0)</f>
        <v>0</v>
      </c>
      <c r="DN134" s="331">
        <f>_xlfn.IFNA(VLOOKUP($A134,'Post 16'!$A:$AV,32,FALSE),0)/8</f>
        <v>106607.83333333334</v>
      </c>
      <c r="DO134" s="331"/>
      <c r="DP134" s="331">
        <f>_xlfn.IFNA((VLOOKUP($A134,HN!$A:$K,9,FALSE)/12),0)+_xlfn.IFNA((VLOOKUP($A134,HN!$A:$K,10,FALSE)/12),0)+_xlfn.IFNA((VLOOKUP($A134,HN!$A:$BZ,33,FALSE)*8/12),0)</f>
        <v>0</v>
      </c>
      <c r="DQ134" s="331">
        <f>_xlfn.IFNA((VLOOKUP($A134,HN!$A:$BS,15,FALSE)/12),0)</f>
        <v>0</v>
      </c>
      <c r="DR134" s="330">
        <f t="shared" si="159"/>
        <v>-1419.165</v>
      </c>
      <c r="DS134" s="330">
        <f t="shared" si="160"/>
        <v>-1245.4925000000001</v>
      </c>
      <c r="DT134" s="331"/>
      <c r="DU134" s="331"/>
      <c r="DV134" s="331">
        <f>(_xlfn.IFNA(VLOOKUP(A134,'LA Deductions'!A:AZ,25,FALSE),0)/9)+_xlfn.IFNA(VLOOKUP(A134,'LA Deductions'!A:AZ,27,FALSE),0)</f>
        <v>0</v>
      </c>
      <c r="DW134" s="330">
        <f t="shared" si="110"/>
        <v>611479.03589393036</v>
      </c>
      <c r="DX134" s="344">
        <f t="shared" si="161"/>
        <v>507535.86006059707</v>
      </c>
      <c r="DY134" s="344"/>
      <c r="DZ134" s="345"/>
      <c r="EA134" s="345">
        <f>_xlfn.IFNA((VLOOKUP($A134,HN!$A:$K,8,FALSE)/12),0)+_xlfn.IFNA((VLOOKUP($A134,HN!$A:$AF,32,FALSE)*1/12),0)</f>
        <v>0</v>
      </c>
      <c r="EB134" s="345">
        <f>_xlfn.IFNA((VLOOKUP($A134,HN!$A:$BS,14,FALSE)/12),0)</f>
        <v>0</v>
      </c>
      <c r="EC134" s="345">
        <f>_xlfn.IFNA(VLOOKUP($A134,'Post 16'!$A:$AV,32,FALSE),0)/8</f>
        <v>106607.83333333334</v>
      </c>
      <c r="ED134" s="345"/>
      <c r="EE134" s="345">
        <f>_xlfn.IFNA((VLOOKUP($A134,HN!$A:$K,9,FALSE)/12),0)+_xlfn.IFNA((VLOOKUP($A134,HN!$A:$K,10,FALSE)/12),0)+_xlfn.IFNA((VLOOKUP($A134,HN!$A:$BZ,33,FALSE)/12),0)</f>
        <v>0</v>
      </c>
      <c r="EF134" s="345">
        <f>_xlfn.IFNA((VLOOKUP($A134,HN!$A:$BS,15,FALSE)/12),0)</f>
        <v>0</v>
      </c>
      <c r="EG134" s="344">
        <f t="shared" si="162"/>
        <v>-1419.165</v>
      </c>
      <c r="EH134" s="344">
        <f t="shared" si="163"/>
        <v>-1245.4925000000001</v>
      </c>
      <c r="EI134" s="345"/>
      <c r="EJ134" s="345">
        <f>_xlfn.IFNA(VLOOKUP(A134,'Cash Advances'!A:P,16,FALSE),0)</f>
        <v>0</v>
      </c>
      <c r="EK134" s="345">
        <f>_xlfn.IFNA(VLOOKUP(A134,'LA Deductions'!A:AZ,25,FALSE),0)/9</f>
        <v>0</v>
      </c>
      <c r="EL134" s="344">
        <f t="shared" si="111"/>
        <v>611479.03589393036</v>
      </c>
      <c r="EM134" s="308">
        <f t="shared" si="164"/>
        <v>507535.86006059707</v>
      </c>
      <c r="EN134" s="308">
        <f>((VLOOKUP($A134,EY!$A:$BS,35,FALSE)-(VLOOKUP($A134,EY!$A:$BS,33,FALSE)*80%))+VLOOKUP($A134,EY!$A:$BS,43,FALSE))+(VLOOKUP(A134,EY!A:DF,110,FALSE)-VLOOKUP(A134,EY!A:DD,108,FALSE))+(VLOOKUP(A134,EY!A:CE,83,FALSE)-VLOOKUP(A134,EY!A:CC,81,FALSE))</f>
        <v>0</v>
      </c>
      <c r="EO134" s="309"/>
      <c r="EP134" s="309">
        <f>_xlfn.IFNA((VLOOKUP($A134,HN!$A:$K,8,FALSE)/12),0)+_xlfn.IFNA((VLOOKUP($A134,HN!$A:$AF,32,FALSE)*1/12),0)</f>
        <v>0</v>
      </c>
      <c r="EQ134" s="309">
        <f>_xlfn.IFNA((VLOOKUP($A134,HN!$A:$BS,14,FALSE)/12),0)+_xlfn.IFNA((VLOOKUP($A134,HN!$A:$BS,34,FALSE)/3),0)</f>
        <v>0</v>
      </c>
      <c r="ER134" s="309">
        <f>_xlfn.IFNA(VLOOKUP($A134,'Post 16'!$A:$AV,32,FALSE),0)/8</f>
        <v>106607.83333333334</v>
      </c>
      <c r="ES134" s="309">
        <f>((VLOOKUP($A134,EY!A:EV,33,FALSE)*80%))+VLOOKUP(A134,EY!A:DD,108,FALSE)+VLOOKUP(A134,EY!A:CC,81,FALSE)</f>
        <v>0</v>
      </c>
      <c r="ET134" s="309">
        <f>_xlfn.IFNA((VLOOKUP($A134,HN!$A:$K,9,FALSE)/12),0)+_xlfn.IFNA((VLOOKUP($A134,HN!$A:$K,10,FALSE)/12),0)+_xlfn.IFNA((VLOOKUP($A134,HN!$A:$BZ,33,FALSE)/12),0)</f>
        <v>0</v>
      </c>
      <c r="EU134" s="309">
        <f>_xlfn.IFNA((VLOOKUP($A134,HN!$A:$BS,15,FALSE)/12),0)</f>
        <v>0</v>
      </c>
      <c r="EV134" s="308">
        <f t="shared" si="165"/>
        <v>-1419.165</v>
      </c>
      <c r="EW134" s="308">
        <f t="shared" si="166"/>
        <v>-1245.4925000000001</v>
      </c>
      <c r="EX134" s="309"/>
      <c r="EY134" s="309">
        <f>_xlfn.IFNA(VLOOKUP($A134,'Cash Advances'!$A:$S,17,FALSE),0)</f>
        <v>0</v>
      </c>
      <c r="EZ134" s="309">
        <f>_xlfn.IFNA(VLOOKUP(A134,'LA Deductions'!A:AZ,25,FALSE),0)/9</f>
        <v>0</v>
      </c>
      <c r="FA134" s="308">
        <f t="shared" si="112"/>
        <v>611479.03589393036</v>
      </c>
      <c r="FB134" s="315">
        <f t="shared" si="167"/>
        <v>507535.86006059707</v>
      </c>
      <c r="FC134" s="315"/>
      <c r="FD134" s="316"/>
      <c r="FE134" s="316">
        <f>_xlfn.IFNA((VLOOKUP($A134,HN!$A:$K,8,FALSE)/12),0)+_xlfn.IFNA((VLOOKUP($A134,HN!$A:$AF,32,FALSE)*1/12),0)</f>
        <v>0</v>
      </c>
      <c r="FF134" s="316">
        <f>_xlfn.IFNA((VLOOKUP($A134,HN!$A:$BS,14,FALSE)/12),0)+_xlfn.IFNA((VLOOKUP($A134,HN!$A:$BS,34,FALSE)/3),0)</f>
        <v>0</v>
      </c>
      <c r="FG134" s="316">
        <f>_xlfn.IFNA(VLOOKUP($A134,'Post 16'!$A:$AV,32,FALSE),0)/8</f>
        <v>106607.83333333334</v>
      </c>
      <c r="FH134" s="316"/>
      <c r="FI134" s="316">
        <f>_xlfn.IFNA((VLOOKUP($A134,HN!$A:$K,9,FALSE)/12),0)+_xlfn.IFNA((VLOOKUP($A134,HN!$A:$K,10,FALSE)/12),0)+_xlfn.IFNA((VLOOKUP($A134,HN!$A:$BZ,33,FALSE)/12),0)+_xlfn.IFNA((VLOOKUP($A134,HN!$A:$BZ,35,FALSE)/2),0)</f>
        <v>0</v>
      </c>
      <c r="FJ134" s="316">
        <f>_xlfn.IFNA((VLOOKUP($A134,HN!$A:$BS,15,FALSE)/12),0)+_xlfn.IFNA((VLOOKUP($A134,HN!$A:$CZ,36,FALSE)/2),0)</f>
        <v>0</v>
      </c>
      <c r="FK134" s="315">
        <f t="shared" si="168"/>
        <v>-1419.165</v>
      </c>
      <c r="FL134" s="315">
        <f t="shared" si="169"/>
        <v>-1245.4925000000001</v>
      </c>
      <c r="FM134" s="316"/>
      <c r="FN134" s="316">
        <f>_xlfn.IFNA(VLOOKUP($A134,'Cash Advances'!$A:$S,18,FALSE),0)</f>
        <v>0</v>
      </c>
      <c r="FO134" s="316">
        <f>_xlfn.IFNA(VLOOKUP(A134,'LA Deductions'!A:AZ,25,FALSE),0)/9</f>
        <v>0</v>
      </c>
      <c r="FP134" s="315">
        <f t="shared" si="113"/>
        <v>611479.03589393036</v>
      </c>
      <c r="FQ134" s="322">
        <f t="shared" si="170"/>
        <v>507535.86006059707</v>
      </c>
      <c r="FR134" s="322"/>
      <c r="FS134" s="323"/>
      <c r="FT134" s="323">
        <f>_xlfn.IFNA((VLOOKUP($A134,HN!$A:$K,8,FALSE)/12),0)+_xlfn.IFNA((VLOOKUP($A134,HN!$A:$AF,32,FALSE)*1/12),0)</f>
        <v>0</v>
      </c>
      <c r="FU134" s="323">
        <f>_xlfn.IFNA((VLOOKUP($A134,HN!$A:$BS,14,FALSE)/12),0)+_xlfn.IFNA((VLOOKUP($A134,HN!$A:$BS,34,FALSE)/3),0)</f>
        <v>0</v>
      </c>
      <c r="FV134" s="323">
        <f>_xlfn.IFNA(VLOOKUP($A134,'Post 16'!$A:$AV,32,FALSE),0)/8</f>
        <v>106607.83333333334</v>
      </c>
      <c r="FW134" s="323"/>
      <c r="FX134" s="323">
        <f>_xlfn.IFNA((VLOOKUP($A134,HN!$A:$K,9,FALSE)/12),0)+_xlfn.IFNA((VLOOKUP($A134,HN!$A:$K,10,FALSE)/12),0)+_xlfn.IFNA((VLOOKUP($A134,HN!$A:$BZ,33,FALSE)/12),0)+_xlfn.IFNA((VLOOKUP($A134,HN!$A:$BZ,35,FALSE)/2),0)</f>
        <v>0</v>
      </c>
      <c r="FY134" s="323">
        <f>_xlfn.IFNA((VLOOKUP($A134,HN!$A:$BS,15,FALSE)/12),0)+_xlfn.IFNA((VLOOKUP($A134,HN!$A:$CZ,36,FALSE)/2),0)</f>
        <v>0</v>
      </c>
      <c r="FZ134" s="322">
        <f t="shared" si="171"/>
        <v>-1419.165</v>
      </c>
      <c r="GA134" s="322">
        <f t="shared" si="172"/>
        <v>-1245.4925000000001</v>
      </c>
      <c r="GB134" s="323"/>
      <c r="GC134" s="323"/>
      <c r="GD134" s="323">
        <f>_xlfn.IFNA(VLOOKUP(A134,'LA Deductions'!A:AZ,25,FALSE),0)/9</f>
        <v>0</v>
      </c>
      <c r="GE134" s="322">
        <f t="shared" si="114"/>
        <v>611479.03589393036</v>
      </c>
      <c r="GG134" s="146">
        <f t="shared" si="130"/>
        <v>6090430.320727163</v>
      </c>
      <c r="GH134" s="146">
        <f t="shared" si="130"/>
        <v>1234838.3333333335</v>
      </c>
      <c r="GI134" s="146">
        <f t="shared" si="130"/>
        <v>0</v>
      </c>
      <c r="GJ134" s="146">
        <f t="shared" si="130"/>
        <v>-17029.980000000003</v>
      </c>
      <c r="GK134" s="146">
        <f t="shared" si="130"/>
        <v>-14945.910000000002</v>
      </c>
      <c r="GL134" s="146">
        <f t="shared" si="130"/>
        <v>-24312.75</v>
      </c>
      <c r="GN134" s="146">
        <f t="shared" si="131"/>
        <v>6090430.320727163</v>
      </c>
      <c r="GO134" s="146">
        <f t="shared" si="131"/>
        <v>1234838.3333333335</v>
      </c>
      <c r="GP134" s="146">
        <f t="shared" si="131"/>
        <v>0</v>
      </c>
      <c r="GQ134" s="146">
        <f t="shared" si="131"/>
        <v>-17029.980000000003</v>
      </c>
      <c r="GR134" s="146">
        <f t="shared" si="131"/>
        <v>-14945.910000000002</v>
      </c>
      <c r="GS134" s="146">
        <f t="shared" si="131"/>
        <v>-24312.75</v>
      </c>
      <c r="GU134" s="146"/>
      <c r="GV134" s="57"/>
    </row>
    <row r="135" spans="1:204">
      <c r="A135" s="185">
        <v>3428</v>
      </c>
      <c r="B135" s="185">
        <v>134476</v>
      </c>
      <c r="C135" s="185" t="s">
        <v>294</v>
      </c>
      <c r="D135" s="2" t="s">
        <v>295</v>
      </c>
      <c r="E135" s="191" t="s">
        <v>32</v>
      </c>
      <c r="F135" s="191" t="s">
        <v>912</v>
      </c>
      <c r="H135" s="279">
        <f>_xlfn.IFNA(VLOOKUP($A135,ISB!$A$4:$BY$454,67,FALSE),0)</f>
        <v>2216381.835639209</v>
      </c>
      <c r="I135" s="279">
        <f>_xlfn.IFNA(VLOOKUP($A135,ISB!$A$4:$BY$454,72,FALSE),0)</f>
        <v>-10744.96</v>
      </c>
      <c r="J135" s="279">
        <f>-_xlfn.IFNA(VLOOKUP($A135,ISB!$A$4:$BY$454,76,FALSE),0)</f>
        <v>-44784.73</v>
      </c>
      <c r="K135" s="279">
        <f>_xlfn.IFNA(VLOOKUP($A135,ISB!$A$4:$BY$454,77,FALSE),0)</f>
        <v>2160852.1456392091</v>
      </c>
      <c r="M135" s="301">
        <f t="shared" si="137"/>
        <v>184698.48630326742</v>
      </c>
      <c r="N135" s="301">
        <f>VLOOKUP($A135,EY!$A:$H,8,FALSE)+(VLOOKUP($A135,EY!$A:$BS,17,FALSE)-S135)+VLOOKUP($A135,EY!$A:$BS,41,FALSE)</f>
        <v>41386.006315789469</v>
      </c>
      <c r="O135" s="302"/>
      <c r="P135" s="302">
        <f>_xlfn.IFNA((VLOOKUP($A135,HN!$A:$K,8,FALSE)/12),0)</f>
        <v>0</v>
      </c>
      <c r="Q135" s="302">
        <f>_xlfn.IFNA((VLOOKUP($A135,HN!$A:$BS,14,FALSE)/12),0)</f>
        <v>0</v>
      </c>
      <c r="R135" s="302">
        <f>_xlfn.IFNA(VLOOKUP($A135,'Post 16'!$A:$V,21,FALSE),0)/4</f>
        <v>0</v>
      </c>
      <c r="S135" s="302">
        <f>VLOOKUP($A135,EY!A:Q,15,FALSE)*80%</f>
        <v>0</v>
      </c>
      <c r="T135" s="302">
        <f>_xlfn.IFNA((VLOOKUP($A135,HN!$A:$K,9,FALSE)/12),0)+_xlfn.IFNA((VLOOKUP($A135,HN!$A:$K,10,FALSE)/12),0)</f>
        <v>0</v>
      </c>
      <c r="U135" s="302">
        <f>_xlfn.IFNA((VLOOKUP($A135,HN!$A:$BS,15,FALSE)/12),0)</f>
        <v>0</v>
      </c>
      <c r="V135" s="301">
        <f t="shared" si="138"/>
        <v>-895.4133333333333</v>
      </c>
      <c r="W135" s="301">
        <f t="shared" si="139"/>
        <v>-3732.0608333333334</v>
      </c>
      <c r="X135" s="302"/>
      <c r="Y135" s="302">
        <f>_xlfn.IFNA(VLOOKUP($A135,'Cash Advances'!$A:$S,8,FALSE),0)</f>
        <v>0</v>
      </c>
      <c r="Z135" s="301">
        <f t="shared" si="132"/>
        <v>221457.01845239024</v>
      </c>
      <c r="AA135" s="315">
        <f t="shared" si="140"/>
        <v>184698.48630326742</v>
      </c>
      <c r="AB135" s="315"/>
      <c r="AC135" s="316"/>
      <c r="AD135" s="316">
        <f>_xlfn.IFNA((VLOOKUP($A135,HN!$A:$K,8,FALSE)/12),0)</f>
        <v>0</v>
      </c>
      <c r="AE135" s="316">
        <f>_xlfn.IFNA((VLOOKUP($A135,HN!$A:$BS,14,FALSE)/12),0)</f>
        <v>0</v>
      </c>
      <c r="AF135" s="316">
        <f>_xlfn.IFNA(VLOOKUP($A135,'Post 16'!$A:$V,21,FALSE),0)/4</f>
        <v>0</v>
      </c>
      <c r="AG135" s="316"/>
      <c r="AH135" s="316">
        <f>_xlfn.IFNA((VLOOKUP($A135,HN!$A:$K,9,FALSE)/12),0)+_xlfn.IFNA((VLOOKUP($A135,HN!$A:$K,10,FALSE)/12),0)</f>
        <v>0</v>
      </c>
      <c r="AI135" s="316">
        <f>_xlfn.IFNA((VLOOKUP($A135,HN!$A:$BS,15,FALSE)/12),0)</f>
        <v>0</v>
      </c>
      <c r="AJ135" s="315">
        <f t="shared" si="141"/>
        <v>-895.4133333333333</v>
      </c>
      <c r="AK135" s="315">
        <f t="shared" si="142"/>
        <v>-3732.0608333333334</v>
      </c>
      <c r="AL135" s="316"/>
      <c r="AM135" s="316">
        <f>_xlfn.IFNA(VLOOKUP($A135,'Cash Advances'!$A:$S,9,FALSE),0)</f>
        <v>0</v>
      </c>
      <c r="AN135" s="315">
        <f t="shared" si="133"/>
        <v>180071.01213660077</v>
      </c>
      <c r="AO135" s="308">
        <f t="shared" si="143"/>
        <v>184698.48630326742</v>
      </c>
      <c r="AP135" s="308"/>
      <c r="AQ135" s="309"/>
      <c r="AR135" s="309">
        <f>_xlfn.IFNA((VLOOKUP($A135,HN!$A:$K,8,FALSE)/12),0)</f>
        <v>0</v>
      </c>
      <c r="AS135" s="309">
        <f>_xlfn.IFNA((VLOOKUP($A135,HN!$A:$BS,14,FALSE)/12),0)</f>
        <v>0</v>
      </c>
      <c r="AT135" s="309">
        <f>_xlfn.IFNA(VLOOKUP($A135,'Post 16'!$A:$V,21,FALSE),0)/4</f>
        <v>0</v>
      </c>
      <c r="AU135" s="309"/>
      <c r="AV135" s="309">
        <f>_xlfn.IFNA((VLOOKUP($A135,HN!$A:$K,9,FALSE)/12),0)+_xlfn.IFNA((VLOOKUP($A135,HN!$A:$K,10,FALSE)/12),0)+_xlfn.IFNA(VLOOKUP(A135,HN!A:V,19,FALSE),0)+_xlfn.IFNA(VLOOKUP(A135,HN!A:V,20,FALSE),0)+_xlfn.IFNA(VLOOKUP(A135,HN!A:V,21,FALSE),0)</f>
        <v>0</v>
      </c>
      <c r="AW135" s="309">
        <f>_xlfn.IFNA((VLOOKUP($A135,HN!$A:$BS,15,FALSE)/12),0)</f>
        <v>0</v>
      </c>
      <c r="AX135" s="308">
        <f t="shared" si="144"/>
        <v>-895.4133333333333</v>
      </c>
      <c r="AY135" s="308">
        <f t="shared" si="145"/>
        <v>-3732.0608333333334</v>
      </c>
      <c r="AZ135" s="309"/>
      <c r="BA135" s="309">
        <f>_xlfn.IFNA(VLOOKUP($A135,'Cash Advances'!$A:$S,10,FALSE),0)</f>
        <v>0</v>
      </c>
      <c r="BB135" s="308">
        <f t="shared" si="134"/>
        <v>180071.01213660077</v>
      </c>
      <c r="BC135" s="330">
        <f t="shared" si="146"/>
        <v>184698.48630326742</v>
      </c>
      <c r="BD135" s="330"/>
      <c r="BE135" s="331"/>
      <c r="BF135" s="331">
        <f>_xlfn.IFNA((VLOOKUP($A135,HN!$A:$K,8,FALSE)/12),0)</f>
        <v>0</v>
      </c>
      <c r="BG135" s="331">
        <f>_xlfn.IFNA((VLOOKUP($A135,HN!$A:$BS,14,FALSE)/12),0)</f>
        <v>0</v>
      </c>
      <c r="BH135" s="331">
        <f>_xlfn.IFNA(VLOOKUP($A135,'Post 16'!$A:$V,21,FALSE),0)/4</f>
        <v>0</v>
      </c>
      <c r="BI135" s="331"/>
      <c r="BJ135" s="331">
        <f>_xlfn.IFNA((VLOOKUP($A135,HN!$A:$K,9,FALSE)/12),0)+_xlfn.IFNA((VLOOKUP($A135,HN!$A:$K,10,FALSE)/12),0)</f>
        <v>0</v>
      </c>
      <c r="BK135" s="331">
        <f>_xlfn.IFNA((VLOOKUP($A135,HN!$A:$BS,15,FALSE)/12),0)</f>
        <v>0</v>
      </c>
      <c r="BL135" s="330">
        <f t="shared" si="147"/>
        <v>-895.4133333333333</v>
      </c>
      <c r="BM135" s="330">
        <f t="shared" si="148"/>
        <v>-3732.0608333333334</v>
      </c>
      <c r="BN135" s="331"/>
      <c r="BO135" s="331">
        <f>_xlfn.IFNA(VLOOKUP(A135,'Cash Advances'!A:K,11,FALSE),0)</f>
        <v>0</v>
      </c>
      <c r="BP135" s="330">
        <f t="shared" si="135"/>
        <v>180071.01213660077</v>
      </c>
      <c r="BQ135" s="322">
        <f t="shared" si="149"/>
        <v>184698.48630326742</v>
      </c>
      <c r="BR135" s="322"/>
      <c r="BS135" s="323"/>
      <c r="BT135" s="323">
        <f>_xlfn.IFNA((VLOOKUP($A135,HN!$A:$K,8,FALSE)/12),0)</f>
        <v>0</v>
      </c>
      <c r="BU135" s="323">
        <f>_xlfn.IFNA((VLOOKUP($A135,HN!$A:$BS,14,FALSE)/12),0)</f>
        <v>0</v>
      </c>
      <c r="BV135" s="323">
        <f>(_xlfn.IFNA(VLOOKUP($A135,'Post 16'!$A:$AV,32,FALSE),0)/8)+_xlfn.IFNA(VLOOKUP($A135,'Post 16'!$A:$AR,40,FALSE),0)</f>
        <v>0</v>
      </c>
      <c r="BW135" s="323"/>
      <c r="BX135" s="323">
        <f>_xlfn.IFNA((VLOOKUP($A135,HN!$A:$K,9,FALSE)/12),0)+_xlfn.IFNA((VLOOKUP($A135,HN!$A:$K,10,FALSE)/12),0)</f>
        <v>0</v>
      </c>
      <c r="BY135" s="323">
        <f>_xlfn.IFNA((VLOOKUP($A135,HN!$A:$BS,15,FALSE)/12),0)</f>
        <v>0</v>
      </c>
      <c r="BZ135" s="322">
        <f t="shared" si="150"/>
        <v>-895.4133333333333</v>
      </c>
      <c r="CA135" s="322">
        <f t="shared" si="151"/>
        <v>-3732.0608333333334</v>
      </c>
      <c r="CB135" s="323"/>
      <c r="CC135" s="323"/>
      <c r="CD135" s="322">
        <f t="shared" si="136"/>
        <v>180071.01213660077</v>
      </c>
      <c r="CE135" s="357">
        <f t="shared" si="152"/>
        <v>184698.48630326742</v>
      </c>
      <c r="CF135" s="357">
        <f>(VLOOKUP($A135,EY!$A:$BS,26,FALSE)-(VLOOKUP($A135,EY!A:CR,24,FALSE)*80%))+VLOOKUP($A135,EY!$A:$BS,42,FALSE)+(VLOOKUP($A135,EY!A:CC,74,FALSE)-VLOOKUP($A135,EY!A:CC,72,FALSE))</f>
        <v>39427.501578947369</v>
      </c>
      <c r="CG135" s="358"/>
      <c r="CH135" s="358">
        <f>_xlfn.IFNA((VLOOKUP($A135,HN!$A:$K,8,FALSE)/12),0)</f>
        <v>0</v>
      </c>
      <c r="CI135" s="358">
        <f>_xlfn.IFNA((VLOOKUP($A135,HN!$A:$BS,14,FALSE)/12),0)</f>
        <v>0</v>
      </c>
      <c r="CJ135" s="358">
        <f>(_xlfn.IFNA(VLOOKUP($A135,'Post 16'!$A:$AV,32,FALSE),0)/8)</f>
        <v>0</v>
      </c>
      <c r="CK135" s="358">
        <f>(VLOOKUP($A135,EY!A:CR,24,FALSE)*80%)+VLOOKUP($A135,EY!A:CC,72,FALSE)</f>
        <v>0</v>
      </c>
      <c r="CL135" s="358">
        <f>_xlfn.IFNA((VLOOKUP($A135,HN!$A:$K,9,FALSE)/12),0)+_xlfn.IFNA((VLOOKUP($A135,HN!$A:$K,10,FALSE)/12),0)</f>
        <v>0</v>
      </c>
      <c r="CM135" s="358">
        <f>_xlfn.IFNA((VLOOKUP($A135,HN!$A:$BS,15,FALSE)/12),0)</f>
        <v>0</v>
      </c>
      <c r="CN135" s="357">
        <f t="shared" si="153"/>
        <v>-895.4133333333333</v>
      </c>
      <c r="CO135" s="357">
        <f t="shared" si="154"/>
        <v>-3732.0608333333334</v>
      </c>
      <c r="CP135" s="358">
        <f>_xlfn.IFNA(VLOOKUP(A135,'LA Deductions'!A:W,23,FALSE),0)</f>
        <v>-9471</v>
      </c>
      <c r="CQ135" s="358">
        <f>_xlfn.IFNA(VLOOKUP($A135,'Cash Advances'!$A:$S,13,FALSE),0)</f>
        <v>0</v>
      </c>
      <c r="CR135" s="358">
        <f>_xlfn.IFNA(VLOOKUP(A135,'LA Deductions'!A:AZ,25,FALSE),0)/9*3</f>
        <v>0</v>
      </c>
      <c r="CS135" s="357">
        <f t="shared" si="108"/>
        <v>210027.51371554812</v>
      </c>
      <c r="CT135" s="337">
        <f t="shared" si="155"/>
        <v>184698.48630326742</v>
      </c>
      <c r="CU135" s="337"/>
      <c r="CV135" s="338">
        <f>_xlfn.IFNA(VLOOKUP(A135,'LA Deductions'!$A$6:$AN$207,34,FALSE),0)</f>
        <v>0</v>
      </c>
      <c r="CW135" s="338">
        <f>_xlfn.IFNA((VLOOKUP($A135,HN!$A:$K,8,FALSE)/12),0)</f>
        <v>0</v>
      </c>
      <c r="CX135" s="338">
        <f>_xlfn.IFNA((VLOOKUP($A135,HN!$A:$BS,14,FALSE)/12),0)</f>
        <v>0</v>
      </c>
      <c r="CY135" s="338">
        <f>_xlfn.IFNA(VLOOKUP($A135,'Post 16'!$A:$AV,32,FALSE),0)/8</f>
        <v>0</v>
      </c>
      <c r="CZ135" s="338"/>
      <c r="DA135" s="338">
        <f>_xlfn.IFNA((VLOOKUP($A135,HN!$A:$K,9,FALSE)/12),0)+_xlfn.IFNA((VLOOKUP($A135,HN!$A:$K,10,FALSE)/12),0)</f>
        <v>0</v>
      </c>
      <c r="DB135" s="338">
        <f>_xlfn.IFNA((VLOOKUP($A135,HN!$A:$BS,15,FALSE)/12),0)</f>
        <v>0</v>
      </c>
      <c r="DC135" s="337">
        <f t="shared" si="156"/>
        <v>-895.4133333333333</v>
      </c>
      <c r="DD135" s="337">
        <f t="shared" si="157"/>
        <v>-3732.0608333333334</v>
      </c>
      <c r="DE135" s="338"/>
      <c r="DF135" s="338">
        <f>_xlfn.IFNA(VLOOKUP($A135,'Cash Advances'!$A:$S,14,FALSE),0)</f>
        <v>100000</v>
      </c>
      <c r="DG135" s="338">
        <f>(_xlfn.IFNA(VLOOKUP(A135,'LA Deductions'!A:AZ,25,FALSE),0)/9)+(_xlfn.IFNA(VLOOKUP(A135,'LA Deductions'!A:AZ,26,FALSE),0))</f>
        <v>0</v>
      </c>
      <c r="DH135" s="337">
        <f t="shared" si="109"/>
        <v>280071.0121366008</v>
      </c>
      <c r="DI135" s="330">
        <f t="shared" si="158"/>
        <v>184698.48630326742</v>
      </c>
      <c r="DJ135" s="330"/>
      <c r="DK135" s="331"/>
      <c r="DL135" s="331">
        <f>_xlfn.IFNA((VLOOKUP($A135,HN!$A:$K,8,FALSE)/12),0)+_xlfn.IFNA((VLOOKUP($A135,HN!$A:$AF,32,FALSE)*8/12),0)</f>
        <v>0</v>
      </c>
      <c r="DM135" s="331">
        <f>_xlfn.IFNA((VLOOKUP($A135,HN!$A:$BS,14,FALSE)/12),0)+_xlfn.IFNA(VLOOKUP($A135,HN!$A:$BS,31,FALSE),0)</f>
        <v>0</v>
      </c>
      <c r="DN135" s="331">
        <f>_xlfn.IFNA(VLOOKUP($A135,'Post 16'!$A:$AV,32,FALSE),0)/8</f>
        <v>0</v>
      </c>
      <c r="DO135" s="331"/>
      <c r="DP135" s="331">
        <f>_xlfn.IFNA((VLOOKUP($A135,HN!$A:$K,9,FALSE)/12),0)+_xlfn.IFNA((VLOOKUP($A135,HN!$A:$K,10,FALSE)/12),0)+_xlfn.IFNA((VLOOKUP($A135,HN!$A:$BZ,33,FALSE)*8/12),0)</f>
        <v>0</v>
      </c>
      <c r="DQ135" s="331">
        <f>_xlfn.IFNA((VLOOKUP($A135,HN!$A:$BS,15,FALSE)/12),0)</f>
        <v>0</v>
      </c>
      <c r="DR135" s="330">
        <f t="shared" si="159"/>
        <v>-895.4133333333333</v>
      </c>
      <c r="DS135" s="330">
        <f t="shared" si="160"/>
        <v>-3732.0608333333334</v>
      </c>
      <c r="DT135" s="331"/>
      <c r="DU135" s="331"/>
      <c r="DV135" s="331">
        <f>(_xlfn.IFNA(VLOOKUP(A135,'LA Deductions'!A:AZ,25,FALSE),0)/9)+_xlfn.IFNA(VLOOKUP(A135,'LA Deductions'!A:AZ,27,FALSE),0)</f>
        <v>0</v>
      </c>
      <c r="DW135" s="330">
        <f t="shared" si="110"/>
        <v>180071.01213660077</v>
      </c>
      <c r="DX135" s="344">
        <f t="shared" si="161"/>
        <v>184698.48630326742</v>
      </c>
      <c r="DY135" s="344"/>
      <c r="DZ135" s="345"/>
      <c r="EA135" s="345">
        <f>_xlfn.IFNA((VLOOKUP($A135,HN!$A:$K,8,FALSE)/12),0)+_xlfn.IFNA((VLOOKUP($A135,HN!$A:$AF,32,FALSE)*1/12),0)</f>
        <v>0</v>
      </c>
      <c r="EB135" s="345">
        <f>_xlfn.IFNA((VLOOKUP($A135,HN!$A:$BS,14,FALSE)/12),0)</f>
        <v>0</v>
      </c>
      <c r="EC135" s="345">
        <f>_xlfn.IFNA(VLOOKUP($A135,'Post 16'!$A:$AV,32,FALSE),0)/8</f>
        <v>0</v>
      </c>
      <c r="ED135" s="345"/>
      <c r="EE135" s="345">
        <f>_xlfn.IFNA((VLOOKUP($A135,HN!$A:$K,9,FALSE)/12),0)+_xlfn.IFNA((VLOOKUP($A135,HN!$A:$K,10,FALSE)/12),0)+_xlfn.IFNA((VLOOKUP($A135,HN!$A:$BZ,33,FALSE)/12),0)</f>
        <v>0</v>
      </c>
      <c r="EF135" s="345">
        <f>_xlfn.IFNA((VLOOKUP($A135,HN!$A:$BS,15,FALSE)/12),0)</f>
        <v>0</v>
      </c>
      <c r="EG135" s="344">
        <f t="shared" si="162"/>
        <v>-895.4133333333333</v>
      </c>
      <c r="EH135" s="344">
        <f t="shared" si="163"/>
        <v>-3732.0608333333334</v>
      </c>
      <c r="EI135" s="345"/>
      <c r="EJ135" s="345">
        <f>_xlfn.IFNA(VLOOKUP(A135,'Cash Advances'!A:P,16,FALSE),0)</f>
        <v>0</v>
      </c>
      <c r="EK135" s="345">
        <f>_xlfn.IFNA(VLOOKUP(A135,'LA Deductions'!A:AZ,25,FALSE),0)/9</f>
        <v>0</v>
      </c>
      <c r="EL135" s="344">
        <f t="shared" si="111"/>
        <v>180071.01213660077</v>
      </c>
      <c r="EM135" s="308">
        <f t="shared" si="164"/>
        <v>184698.48630326742</v>
      </c>
      <c r="EN135" s="308">
        <f>((VLOOKUP($A135,EY!$A:$BS,35,FALSE)-(VLOOKUP($A135,EY!$A:$BS,33,FALSE)*80%))+VLOOKUP($A135,EY!$A:$BS,43,FALSE))+(VLOOKUP(A135,EY!A:DF,110,FALSE)-VLOOKUP(A135,EY!A:DD,108,FALSE))+(VLOOKUP(A135,EY!A:CE,83,FALSE)-VLOOKUP(A135,EY!A:CC,81,FALSE))</f>
        <v>32826.889501385049</v>
      </c>
      <c r="EO135" s="309"/>
      <c r="EP135" s="309">
        <f>_xlfn.IFNA((VLOOKUP($A135,HN!$A:$K,8,FALSE)/12),0)+_xlfn.IFNA((VLOOKUP($A135,HN!$A:$AF,32,FALSE)*1/12),0)</f>
        <v>0</v>
      </c>
      <c r="EQ135" s="309">
        <f>_xlfn.IFNA((VLOOKUP($A135,HN!$A:$BS,14,FALSE)/12),0)+_xlfn.IFNA((VLOOKUP($A135,HN!$A:$BS,34,FALSE)/3),0)</f>
        <v>0</v>
      </c>
      <c r="ER135" s="309">
        <f>_xlfn.IFNA(VLOOKUP($A135,'Post 16'!$A:$AV,32,FALSE),0)/8</f>
        <v>0</v>
      </c>
      <c r="ES135" s="309">
        <f>((VLOOKUP($A135,EY!A:EV,33,FALSE)*80%))+VLOOKUP(A135,EY!A:DD,108,FALSE)+VLOOKUP(A135,EY!A:CC,81,FALSE)</f>
        <v>0</v>
      </c>
      <c r="ET135" s="309">
        <f>_xlfn.IFNA((VLOOKUP($A135,HN!$A:$K,9,FALSE)/12),0)+_xlfn.IFNA((VLOOKUP($A135,HN!$A:$K,10,FALSE)/12),0)+_xlfn.IFNA((VLOOKUP($A135,HN!$A:$BZ,33,FALSE)/12),0)</f>
        <v>0</v>
      </c>
      <c r="EU135" s="309">
        <f>_xlfn.IFNA((VLOOKUP($A135,HN!$A:$BS,15,FALSE)/12),0)</f>
        <v>0</v>
      </c>
      <c r="EV135" s="308">
        <f t="shared" si="165"/>
        <v>-895.4133333333333</v>
      </c>
      <c r="EW135" s="308">
        <f t="shared" si="166"/>
        <v>-3732.0608333333334</v>
      </c>
      <c r="EX135" s="309"/>
      <c r="EY135" s="309">
        <f>_xlfn.IFNA(VLOOKUP($A135,'Cash Advances'!$A:$S,17,FALSE),0)</f>
        <v>0</v>
      </c>
      <c r="EZ135" s="309">
        <f>_xlfn.IFNA(VLOOKUP(A135,'LA Deductions'!A:AZ,25,FALSE),0)/9</f>
        <v>0</v>
      </c>
      <c r="FA135" s="308">
        <f t="shared" si="112"/>
        <v>212897.90163798581</v>
      </c>
      <c r="FB135" s="315">
        <f t="shared" si="167"/>
        <v>184698.48630326742</v>
      </c>
      <c r="FC135" s="315"/>
      <c r="FD135" s="316"/>
      <c r="FE135" s="316">
        <f>_xlfn.IFNA((VLOOKUP($A135,HN!$A:$K,8,FALSE)/12),0)+_xlfn.IFNA((VLOOKUP($A135,HN!$A:$AF,32,FALSE)*1/12),0)</f>
        <v>0</v>
      </c>
      <c r="FF135" s="316">
        <f>_xlfn.IFNA((VLOOKUP($A135,HN!$A:$BS,14,FALSE)/12),0)+_xlfn.IFNA((VLOOKUP($A135,HN!$A:$BS,34,FALSE)/3),0)</f>
        <v>0</v>
      </c>
      <c r="FG135" s="316">
        <f>_xlfn.IFNA(VLOOKUP($A135,'Post 16'!$A:$AV,32,FALSE),0)/8</f>
        <v>0</v>
      </c>
      <c r="FH135" s="316"/>
      <c r="FI135" s="316">
        <f>_xlfn.IFNA((VLOOKUP($A135,HN!$A:$K,9,FALSE)/12),0)+_xlfn.IFNA((VLOOKUP($A135,HN!$A:$K,10,FALSE)/12),0)+_xlfn.IFNA((VLOOKUP($A135,HN!$A:$BZ,33,FALSE)/12),0)+_xlfn.IFNA((VLOOKUP($A135,HN!$A:$BZ,35,FALSE)/2),0)</f>
        <v>0</v>
      </c>
      <c r="FJ135" s="316">
        <f>_xlfn.IFNA((VLOOKUP($A135,HN!$A:$BS,15,FALSE)/12),0)+_xlfn.IFNA((VLOOKUP($A135,HN!$A:$CZ,36,FALSE)/2),0)</f>
        <v>0</v>
      </c>
      <c r="FK135" s="315">
        <f t="shared" si="168"/>
        <v>-895.4133333333333</v>
      </c>
      <c r="FL135" s="315">
        <f t="shared" si="169"/>
        <v>-3732.0608333333334</v>
      </c>
      <c r="FM135" s="316"/>
      <c r="FN135" s="316">
        <f>_xlfn.IFNA(VLOOKUP($A135,'Cash Advances'!$A:$S,18,FALSE),0)</f>
        <v>0</v>
      </c>
      <c r="FO135" s="316">
        <f>_xlfn.IFNA(VLOOKUP(A135,'LA Deductions'!A:AZ,25,FALSE),0)/9</f>
        <v>0</v>
      </c>
      <c r="FP135" s="315">
        <f t="shared" si="113"/>
        <v>180071.01213660077</v>
      </c>
      <c r="FQ135" s="322">
        <f t="shared" si="170"/>
        <v>184698.48630326742</v>
      </c>
      <c r="FR135" s="322"/>
      <c r="FS135" s="323"/>
      <c r="FT135" s="323">
        <f>_xlfn.IFNA((VLOOKUP($A135,HN!$A:$K,8,FALSE)/12),0)+_xlfn.IFNA((VLOOKUP($A135,HN!$A:$AF,32,FALSE)*1/12),0)</f>
        <v>0</v>
      </c>
      <c r="FU135" s="323">
        <f>_xlfn.IFNA((VLOOKUP($A135,HN!$A:$BS,14,FALSE)/12),0)+_xlfn.IFNA((VLOOKUP($A135,HN!$A:$BS,34,FALSE)/3),0)</f>
        <v>0</v>
      </c>
      <c r="FV135" s="323">
        <f>_xlfn.IFNA(VLOOKUP($A135,'Post 16'!$A:$AV,32,FALSE),0)/8</f>
        <v>0</v>
      </c>
      <c r="FW135" s="323"/>
      <c r="FX135" s="323">
        <f>_xlfn.IFNA((VLOOKUP($A135,HN!$A:$K,9,FALSE)/12),0)+_xlfn.IFNA((VLOOKUP($A135,HN!$A:$K,10,FALSE)/12),0)+_xlfn.IFNA((VLOOKUP($A135,HN!$A:$BZ,33,FALSE)/12),0)+_xlfn.IFNA((VLOOKUP($A135,HN!$A:$BZ,35,FALSE)/2),0)</f>
        <v>0</v>
      </c>
      <c r="FY135" s="323">
        <f>_xlfn.IFNA((VLOOKUP($A135,HN!$A:$BS,15,FALSE)/12),0)+_xlfn.IFNA((VLOOKUP($A135,HN!$A:$CZ,36,FALSE)/2),0)</f>
        <v>0</v>
      </c>
      <c r="FZ135" s="322">
        <f t="shared" si="171"/>
        <v>-895.4133333333333</v>
      </c>
      <c r="GA135" s="322">
        <f t="shared" si="172"/>
        <v>-3732.0608333333334</v>
      </c>
      <c r="GB135" s="323"/>
      <c r="GC135" s="323"/>
      <c r="GD135" s="323">
        <f>_xlfn.IFNA(VLOOKUP(A135,'LA Deductions'!A:AZ,25,FALSE),0)/9</f>
        <v>0</v>
      </c>
      <c r="GE135" s="322">
        <f t="shared" si="114"/>
        <v>180071.01213660077</v>
      </c>
      <c r="GG135" s="146">
        <f t="shared" si="130"/>
        <v>2330022.2330353311</v>
      </c>
      <c r="GH135" s="146">
        <f t="shared" si="130"/>
        <v>0</v>
      </c>
      <c r="GI135" s="146">
        <f t="shared" si="130"/>
        <v>0</v>
      </c>
      <c r="GJ135" s="146">
        <f t="shared" si="130"/>
        <v>-10744.96</v>
      </c>
      <c r="GK135" s="146">
        <f t="shared" si="130"/>
        <v>-44784.73000000001</v>
      </c>
      <c r="GL135" s="146">
        <f t="shared" si="130"/>
        <v>-9471</v>
      </c>
      <c r="GN135" s="146">
        <f t="shared" si="131"/>
        <v>2330022.2330353311</v>
      </c>
      <c r="GO135" s="146">
        <f t="shared" si="131"/>
        <v>0</v>
      </c>
      <c r="GP135" s="146">
        <f t="shared" si="131"/>
        <v>0</v>
      </c>
      <c r="GQ135" s="146">
        <f t="shared" si="131"/>
        <v>-10744.96</v>
      </c>
      <c r="GR135" s="146">
        <f t="shared" si="131"/>
        <v>-44784.73000000001</v>
      </c>
      <c r="GS135" s="146">
        <f t="shared" si="131"/>
        <v>-9471</v>
      </c>
      <c r="GU135" s="146"/>
      <c r="GV135" s="57"/>
    </row>
    <row r="136" spans="1:204">
      <c r="A136" s="185">
        <v>3019</v>
      </c>
      <c r="B136" s="185">
        <v>103406</v>
      </c>
      <c r="C136" s="185" t="s">
        <v>296</v>
      </c>
      <c r="D136" s="2" t="s">
        <v>297</v>
      </c>
      <c r="E136" s="191" t="s">
        <v>32</v>
      </c>
      <c r="F136" s="191" t="s">
        <v>912</v>
      </c>
      <c r="H136" s="279">
        <f>_xlfn.IFNA(VLOOKUP($A136,ISB!$A$4:$BY$454,67,FALSE),0)</f>
        <v>2519633.4865974844</v>
      </c>
      <c r="I136" s="279">
        <f>_xlfn.IFNA(VLOOKUP($A136,ISB!$A$4:$BY$454,72,FALSE),0)</f>
        <v>-10614.56</v>
      </c>
      <c r="J136" s="279">
        <f>-_xlfn.IFNA(VLOOKUP($A136,ISB!$A$4:$BY$454,76,FALSE),0)</f>
        <v>-27824.83</v>
      </c>
      <c r="K136" s="279">
        <f>_xlfn.IFNA(VLOOKUP($A136,ISB!$A$4:$BY$454,77,FALSE),0)</f>
        <v>2481194.0965974843</v>
      </c>
      <c r="M136" s="301">
        <f t="shared" si="137"/>
        <v>209969.45721645703</v>
      </c>
      <c r="N136" s="301">
        <f>VLOOKUP($A136,EY!$A:$H,8,FALSE)+(VLOOKUP($A136,EY!$A:$BS,17,FALSE)-S136)+VLOOKUP($A136,EY!$A:$BS,41,FALSE)</f>
        <v>0</v>
      </c>
      <c r="O136" s="302"/>
      <c r="P136" s="302">
        <f>_xlfn.IFNA((VLOOKUP($A136,HN!$A:$K,8,FALSE)/12),0)</f>
        <v>0</v>
      </c>
      <c r="Q136" s="302">
        <f>_xlfn.IFNA((VLOOKUP($A136,HN!$A:$BS,14,FALSE)/12),0)</f>
        <v>0</v>
      </c>
      <c r="R136" s="302">
        <f>_xlfn.IFNA(VLOOKUP($A136,'Post 16'!$A:$V,21,FALSE),0)/4</f>
        <v>0</v>
      </c>
      <c r="S136" s="302">
        <f>VLOOKUP($A136,EY!A:Q,15,FALSE)*80%</f>
        <v>0</v>
      </c>
      <c r="T136" s="302">
        <f>_xlfn.IFNA((VLOOKUP($A136,HN!$A:$K,9,FALSE)/12),0)+_xlfn.IFNA((VLOOKUP($A136,HN!$A:$K,10,FALSE)/12),0)</f>
        <v>0</v>
      </c>
      <c r="U136" s="302">
        <f>_xlfn.IFNA((VLOOKUP($A136,HN!$A:$BS,15,FALSE)/12),0)</f>
        <v>0</v>
      </c>
      <c r="V136" s="301">
        <f t="shared" si="138"/>
        <v>-884.54666666666662</v>
      </c>
      <c r="W136" s="301">
        <f t="shared" si="139"/>
        <v>-2318.7358333333336</v>
      </c>
      <c r="X136" s="302"/>
      <c r="Y136" s="302">
        <f>_xlfn.IFNA(VLOOKUP($A136,'Cash Advances'!$A:$S,8,FALSE),0)</f>
        <v>0</v>
      </c>
      <c r="Z136" s="301">
        <f t="shared" si="132"/>
        <v>206766.17471645703</v>
      </c>
      <c r="AA136" s="315">
        <f t="shared" si="140"/>
        <v>209969.45721645703</v>
      </c>
      <c r="AB136" s="315"/>
      <c r="AC136" s="316"/>
      <c r="AD136" s="316">
        <f>_xlfn.IFNA((VLOOKUP($A136,HN!$A:$K,8,FALSE)/12),0)</f>
        <v>0</v>
      </c>
      <c r="AE136" s="316">
        <f>_xlfn.IFNA((VLOOKUP($A136,HN!$A:$BS,14,FALSE)/12),0)</f>
        <v>0</v>
      </c>
      <c r="AF136" s="316">
        <f>_xlfn.IFNA(VLOOKUP($A136,'Post 16'!$A:$V,21,FALSE),0)/4</f>
        <v>0</v>
      </c>
      <c r="AG136" s="316"/>
      <c r="AH136" s="316">
        <f>_xlfn.IFNA((VLOOKUP($A136,HN!$A:$K,9,FALSE)/12),0)+_xlfn.IFNA((VLOOKUP($A136,HN!$A:$K,10,FALSE)/12),0)</f>
        <v>0</v>
      </c>
      <c r="AI136" s="316">
        <f>_xlfn.IFNA((VLOOKUP($A136,HN!$A:$BS,15,FALSE)/12),0)</f>
        <v>0</v>
      </c>
      <c r="AJ136" s="315">
        <f t="shared" si="141"/>
        <v>-884.54666666666662</v>
      </c>
      <c r="AK136" s="315">
        <f t="shared" si="142"/>
        <v>-2318.7358333333336</v>
      </c>
      <c r="AL136" s="316"/>
      <c r="AM136" s="316">
        <f>_xlfn.IFNA(VLOOKUP($A136,'Cash Advances'!$A:$S,9,FALSE),0)</f>
        <v>0</v>
      </c>
      <c r="AN136" s="315">
        <f t="shared" si="133"/>
        <v>206766.17471645703</v>
      </c>
      <c r="AO136" s="308">
        <f t="shared" si="143"/>
        <v>209969.45721645703</v>
      </c>
      <c r="AP136" s="308"/>
      <c r="AQ136" s="309"/>
      <c r="AR136" s="309">
        <f>_xlfn.IFNA((VLOOKUP($A136,HN!$A:$K,8,FALSE)/12),0)</f>
        <v>0</v>
      </c>
      <c r="AS136" s="309">
        <f>_xlfn.IFNA((VLOOKUP($A136,HN!$A:$BS,14,FALSE)/12),0)</f>
        <v>0</v>
      </c>
      <c r="AT136" s="309">
        <f>_xlfn.IFNA(VLOOKUP($A136,'Post 16'!$A:$V,21,FALSE),0)/4</f>
        <v>0</v>
      </c>
      <c r="AU136" s="309"/>
      <c r="AV136" s="309">
        <f>_xlfn.IFNA((VLOOKUP($A136,HN!$A:$K,9,FALSE)/12),0)+_xlfn.IFNA((VLOOKUP($A136,HN!$A:$K,10,FALSE)/12),0)+_xlfn.IFNA(VLOOKUP(A136,HN!A:V,19,FALSE),0)+_xlfn.IFNA(VLOOKUP(A136,HN!A:V,20,FALSE),0)+_xlfn.IFNA(VLOOKUP(A136,HN!A:V,21,FALSE),0)</f>
        <v>0</v>
      </c>
      <c r="AW136" s="309">
        <f>_xlfn.IFNA((VLOOKUP($A136,HN!$A:$BS,15,FALSE)/12),0)</f>
        <v>0</v>
      </c>
      <c r="AX136" s="308">
        <f t="shared" si="144"/>
        <v>-884.54666666666662</v>
      </c>
      <c r="AY136" s="308">
        <f t="shared" si="145"/>
        <v>-2318.7358333333336</v>
      </c>
      <c r="AZ136" s="309"/>
      <c r="BA136" s="309">
        <f>_xlfn.IFNA(VLOOKUP($A136,'Cash Advances'!$A:$S,10,FALSE),0)</f>
        <v>0</v>
      </c>
      <c r="BB136" s="308">
        <f t="shared" si="134"/>
        <v>206766.17471645703</v>
      </c>
      <c r="BC136" s="330">
        <f t="shared" si="146"/>
        <v>209969.45721645703</v>
      </c>
      <c r="BD136" s="330"/>
      <c r="BE136" s="331"/>
      <c r="BF136" s="331">
        <f>_xlfn.IFNA((VLOOKUP($A136,HN!$A:$K,8,FALSE)/12),0)</f>
        <v>0</v>
      </c>
      <c r="BG136" s="331">
        <f>_xlfn.IFNA((VLOOKUP($A136,HN!$A:$BS,14,FALSE)/12),0)</f>
        <v>0</v>
      </c>
      <c r="BH136" s="331">
        <f>_xlfn.IFNA(VLOOKUP($A136,'Post 16'!$A:$V,21,FALSE),0)/4</f>
        <v>0</v>
      </c>
      <c r="BI136" s="331"/>
      <c r="BJ136" s="331">
        <f>_xlfn.IFNA((VLOOKUP($A136,HN!$A:$K,9,FALSE)/12),0)+_xlfn.IFNA((VLOOKUP($A136,HN!$A:$K,10,FALSE)/12),0)</f>
        <v>0</v>
      </c>
      <c r="BK136" s="331">
        <f>_xlfn.IFNA((VLOOKUP($A136,HN!$A:$BS,15,FALSE)/12),0)</f>
        <v>0</v>
      </c>
      <c r="BL136" s="330">
        <f t="shared" si="147"/>
        <v>-884.54666666666662</v>
      </c>
      <c r="BM136" s="330">
        <f t="shared" si="148"/>
        <v>-2318.7358333333336</v>
      </c>
      <c r="BN136" s="331"/>
      <c r="BO136" s="331">
        <f>_xlfn.IFNA(VLOOKUP(A136,'Cash Advances'!A:K,11,FALSE),0)</f>
        <v>0</v>
      </c>
      <c r="BP136" s="330">
        <f t="shared" si="135"/>
        <v>206766.17471645703</v>
      </c>
      <c r="BQ136" s="322">
        <f t="shared" si="149"/>
        <v>209969.45721645703</v>
      </c>
      <c r="BR136" s="322"/>
      <c r="BS136" s="323"/>
      <c r="BT136" s="323">
        <f>_xlfn.IFNA((VLOOKUP($A136,HN!$A:$K,8,FALSE)/12),0)</f>
        <v>0</v>
      </c>
      <c r="BU136" s="323">
        <f>_xlfn.IFNA((VLOOKUP($A136,HN!$A:$BS,14,FALSE)/12),0)</f>
        <v>0</v>
      </c>
      <c r="BV136" s="323">
        <f>(_xlfn.IFNA(VLOOKUP($A136,'Post 16'!$A:$AV,32,FALSE),0)/8)+_xlfn.IFNA(VLOOKUP($A136,'Post 16'!$A:$AR,40,FALSE),0)</f>
        <v>0</v>
      </c>
      <c r="BW136" s="323"/>
      <c r="BX136" s="323">
        <f>_xlfn.IFNA((VLOOKUP($A136,HN!$A:$K,9,FALSE)/12),0)+_xlfn.IFNA((VLOOKUP($A136,HN!$A:$K,10,FALSE)/12),0)</f>
        <v>0</v>
      </c>
      <c r="BY136" s="323">
        <f>_xlfn.IFNA((VLOOKUP($A136,HN!$A:$BS,15,FALSE)/12),0)</f>
        <v>0</v>
      </c>
      <c r="BZ136" s="322">
        <f t="shared" si="150"/>
        <v>-884.54666666666662</v>
      </c>
      <c r="CA136" s="322">
        <f t="shared" si="151"/>
        <v>-2318.7358333333336</v>
      </c>
      <c r="CB136" s="323"/>
      <c r="CC136" s="323"/>
      <c r="CD136" s="322">
        <f t="shared" si="136"/>
        <v>206766.17471645703</v>
      </c>
      <c r="CE136" s="357">
        <f t="shared" si="152"/>
        <v>209969.45721645703</v>
      </c>
      <c r="CF136" s="357">
        <f>(VLOOKUP($A136,EY!$A:$BS,26,FALSE)-(VLOOKUP($A136,EY!A:CR,24,FALSE)*80%))+VLOOKUP($A136,EY!$A:$BS,42,FALSE)+(VLOOKUP($A136,EY!A:CC,74,FALSE)-VLOOKUP($A136,EY!A:CC,72,FALSE))</f>
        <v>0</v>
      </c>
      <c r="CG136" s="358"/>
      <c r="CH136" s="358">
        <f>_xlfn.IFNA((VLOOKUP($A136,HN!$A:$K,8,FALSE)/12),0)</f>
        <v>0</v>
      </c>
      <c r="CI136" s="358">
        <f>_xlfn.IFNA((VLOOKUP($A136,HN!$A:$BS,14,FALSE)/12),0)</f>
        <v>0</v>
      </c>
      <c r="CJ136" s="358">
        <f>(_xlfn.IFNA(VLOOKUP($A136,'Post 16'!$A:$AV,32,FALSE),0)/8)</f>
        <v>0</v>
      </c>
      <c r="CK136" s="358">
        <f>(VLOOKUP($A136,EY!A:CR,24,FALSE)*80%)+VLOOKUP($A136,EY!A:CC,72,FALSE)</f>
        <v>0</v>
      </c>
      <c r="CL136" s="358">
        <f>_xlfn.IFNA((VLOOKUP($A136,HN!$A:$K,9,FALSE)/12),0)+_xlfn.IFNA((VLOOKUP($A136,HN!$A:$K,10,FALSE)/12),0)</f>
        <v>0</v>
      </c>
      <c r="CM136" s="358">
        <f>_xlfn.IFNA((VLOOKUP($A136,HN!$A:$BS,15,FALSE)/12),0)</f>
        <v>0</v>
      </c>
      <c r="CN136" s="357">
        <f t="shared" si="153"/>
        <v>-884.54666666666662</v>
      </c>
      <c r="CO136" s="357">
        <f t="shared" si="154"/>
        <v>-2318.7358333333336</v>
      </c>
      <c r="CP136" s="358">
        <f>_xlfn.IFNA(VLOOKUP(A136,'LA Deductions'!A:W,23,FALSE),0)</f>
        <v>-9471</v>
      </c>
      <c r="CQ136" s="358">
        <f>_xlfn.IFNA(VLOOKUP($A136,'Cash Advances'!$A:$S,13,FALSE),0)</f>
        <v>0</v>
      </c>
      <c r="CR136" s="358">
        <f>_xlfn.IFNA(VLOOKUP(A136,'LA Deductions'!A:AZ,25,FALSE),0)/9*3</f>
        <v>0</v>
      </c>
      <c r="CS136" s="357">
        <f t="shared" ref="CS136:CS193" si="173">SUM(CE136:CR136)</f>
        <v>197295.17471645703</v>
      </c>
      <c r="CT136" s="337">
        <f t="shared" si="155"/>
        <v>209969.45721645703</v>
      </c>
      <c r="CU136" s="337"/>
      <c r="CV136" s="338">
        <f>_xlfn.IFNA(VLOOKUP(A136,'LA Deductions'!$A$6:$AN$207,34,FALSE),0)</f>
        <v>0</v>
      </c>
      <c r="CW136" s="338">
        <f>_xlfn.IFNA((VLOOKUP($A136,HN!$A:$K,8,FALSE)/12),0)</f>
        <v>0</v>
      </c>
      <c r="CX136" s="338">
        <f>_xlfn.IFNA((VLOOKUP($A136,HN!$A:$BS,14,FALSE)/12),0)</f>
        <v>0</v>
      </c>
      <c r="CY136" s="338">
        <f>_xlfn.IFNA(VLOOKUP($A136,'Post 16'!$A:$AV,32,FALSE),0)/8</f>
        <v>0</v>
      </c>
      <c r="CZ136" s="338"/>
      <c r="DA136" s="338">
        <f>_xlfn.IFNA((VLOOKUP($A136,HN!$A:$K,9,FALSE)/12),0)+_xlfn.IFNA((VLOOKUP($A136,HN!$A:$K,10,FALSE)/12),0)</f>
        <v>0</v>
      </c>
      <c r="DB136" s="338">
        <f>_xlfn.IFNA((VLOOKUP($A136,HN!$A:$BS,15,FALSE)/12),0)</f>
        <v>0</v>
      </c>
      <c r="DC136" s="337">
        <f t="shared" si="156"/>
        <v>-884.54666666666662</v>
      </c>
      <c r="DD136" s="337">
        <f t="shared" si="157"/>
        <v>-2318.7358333333336</v>
      </c>
      <c r="DE136" s="338"/>
      <c r="DF136" s="338">
        <f>_xlfn.IFNA(VLOOKUP($A136,'Cash Advances'!$A:$S,14,FALSE),0)</f>
        <v>0</v>
      </c>
      <c r="DG136" s="338">
        <f>(_xlfn.IFNA(VLOOKUP(A136,'LA Deductions'!A:AZ,25,FALSE),0)/9)+(_xlfn.IFNA(VLOOKUP(A136,'LA Deductions'!A:AZ,26,FALSE),0))</f>
        <v>0</v>
      </c>
      <c r="DH136" s="337">
        <f t="shared" ref="DH136:DH193" si="174">SUM(CT136:DG136)</f>
        <v>206766.17471645703</v>
      </c>
      <c r="DI136" s="330">
        <f t="shared" si="158"/>
        <v>209969.45721645703</v>
      </c>
      <c r="DJ136" s="330"/>
      <c r="DK136" s="331"/>
      <c r="DL136" s="331">
        <f>_xlfn.IFNA((VLOOKUP($A136,HN!$A:$K,8,FALSE)/12),0)+_xlfn.IFNA((VLOOKUP($A136,HN!$A:$AF,32,FALSE)*8/12),0)</f>
        <v>0</v>
      </c>
      <c r="DM136" s="331">
        <f>_xlfn.IFNA((VLOOKUP($A136,HN!$A:$BS,14,FALSE)/12),0)+_xlfn.IFNA(VLOOKUP($A136,HN!$A:$BS,31,FALSE),0)</f>
        <v>0</v>
      </c>
      <c r="DN136" s="331">
        <f>_xlfn.IFNA(VLOOKUP($A136,'Post 16'!$A:$AV,32,FALSE),0)/8</f>
        <v>0</v>
      </c>
      <c r="DO136" s="331"/>
      <c r="DP136" s="331">
        <f>_xlfn.IFNA((VLOOKUP($A136,HN!$A:$K,9,FALSE)/12),0)+_xlfn.IFNA((VLOOKUP($A136,HN!$A:$K,10,FALSE)/12),0)+_xlfn.IFNA((VLOOKUP($A136,HN!$A:$BZ,33,FALSE)*8/12),0)</f>
        <v>0</v>
      </c>
      <c r="DQ136" s="331">
        <f>_xlfn.IFNA((VLOOKUP($A136,HN!$A:$BS,15,FALSE)/12),0)</f>
        <v>0</v>
      </c>
      <c r="DR136" s="330">
        <f t="shared" si="159"/>
        <v>-884.54666666666662</v>
      </c>
      <c r="DS136" s="330">
        <f t="shared" si="160"/>
        <v>-2318.7358333333336</v>
      </c>
      <c r="DT136" s="331"/>
      <c r="DU136" s="331"/>
      <c r="DV136" s="331">
        <f>(_xlfn.IFNA(VLOOKUP(A136,'LA Deductions'!A:AZ,25,FALSE),0)/9)+_xlfn.IFNA(VLOOKUP(A136,'LA Deductions'!A:AZ,27,FALSE),0)</f>
        <v>0</v>
      </c>
      <c r="DW136" s="330">
        <f t="shared" ref="DW136:DW193" si="175">SUM(DI136:DV136)</f>
        <v>206766.17471645703</v>
      </c>
      <c r="DX136" s="344">
        <f t="shared" si="161"/>
        <v>209969.45721645703</v>
      </c>
      <c r="DY136" s="344"/>
      <c r="DZ136" s="345"/>
      <c r="EA136" s="345">
        <f>_xlfn.IFNA((VLOOKUP($A136,HN!$A:$K,8,FALSE)/12),0)+_xlfn.IFNA((VLOOKUP($A136,HN!$A:$AF,32,FALSE)*1/12),0)</f>
        <v>0</v>
      </c>
      <c r="EB136" s="345">
        <f>_xlfn.IFNA((VLOOKUP($A136,HN!$A:$BS,14,FALSE)/12),0)</f>
        <v>0</v>
      </c>
      <c r="EC136" s="345">
        <f>_xlfn.IFNA(VLOOKUP($A136,'Post 16'!$A:$AV,32,FALSE),0)/8</f>
        <v>0</v>
      </c>
      <c r="ED136" s="345"/>
      <c r="EE136" s="345">
        <f>_xlfn.IFNA((VLOOKUP($A136,HN!$A:$K,9,FALSE)/12),0)+_xlfn.IFNA((VLOOKUP($A136,HN!$A:$K,10,FALSE)/12),0)+_xlfn.IFNA((VLOOKUP($A136,HN!$A:$BZ,33,FALSE)/12),0)</f>
        <v>0</v>
      </c>
      <c r="EF136" s="345">
        <f>_xlfn.IFNA((VLOOKUP($A136,HN!$A:$BS,15,FALSE)/12),0)</f>
        <v>0</v>
      </c>
      <c r="EG136" s="344">
        <f t="shared" si="162"/>
        <v>-884.54666666666662</v>
      </c>
      <c r="EH136" s="344">
        <f t="shared" si="163"/>
        <v>-2318.7358333333336</v>
      </c>
      <c r="EI136" s="345"/>
      <c r="EJ136" s="345">
        <f>_xlfn.IFNA(VLOOKUP(A136,'Cash Advances'!A:P,16,FALSE),0)</f>
        <v>0</v>
      </c>
      <c r="EK136" s="345">
        <f>_xlfn.IFNA(VLOOKUP(A136,'LA Deductions'!A:AZ,25,FALSE),0)/9</f>
        <v>0</v>
      </c>
      <c r="EL136" s="344">
        <f t="shared" ref="EL136:EL193" si="176">SUM(DX136:EK136)</f>
        <v>206766.17471645703</v>
      </c>
      <c r="EM136" s="308">
        <f t="shared" si="164"/>
        <v>209969.45721645703</v>
      </c>
      <c r="EN136" s="308">
        <f>((VLOOKUP($A136,EY!$A:$BS,35,FALSE)-(VLOOKUP($A136,EY!$A:$BS,33,FALSE)*80%))+VLOOKUP($A136,EY!$A:$BS,43,FALSE))+(VLOOKUP(A136,EY!A:DF,110,FALSE)-VLOOKUP(A136,EY!A:DD,108,FALSE))+(VLOOKUP(A136,EY!A:CE,83,FALSE)-VLOOKUP(A136,EY!A:CC,81,FALSE))</f>
        <v>0</v>
      </c>
      <c r="EO136" s="309"/>
      <c r="EP136" s="309">
        <f>_xlfn.IFNA((VLOOKUP($A136,HN!$A:$K,8,FALSE)/12),0)+_xlfn.IFNA((VLOOKUP($A136,HN!$A:$AF,32,FALSE)*1/12),0)</f>
        <v>0</v>
      </c>
      <c r="EQ136" s="309">
        <f>_xlfn.IFNA((VLOOKUP($A136,HN!$A:$BS,14,FALSE)/12),0)+_xlfn.IFNA((VLOOKUP($A136,HN!$A:$BS,34,FALSE)/3),0)</f>
        <v>0</v>
      </c>
      <c r="ER136" s="309">
        <f>_xlfn.IFNA(VLOOKUP($A136,'Post 16'!$A:$AV,32,FALSE),0)/8</f>
        <v>0</v>
      </c>
      <c r="ES136" s="309">
        <f>((VLOOKUP($A136,EY!A:EV,33,FALSE)*80%))+VLOOKUP(A136,EY!A:DD,108,FALSE)+VLOOKUP(A136,EY!A:CC,81,FALSE)</f>
        <v>0</v>
      </c>
      <c r="ET136" s="309">
        <f>_xlfn.IFNA((VLOOKUP($A136,HN!$A:$K,9,FALSE)/12),0)+_xlfn.IFNA((VLOOKUP($A136,HN!$A:$K,10,FALSE)/12),0)+_xlfn.IFNA((VLOOKUP($A136,HN!$A:$BZ,33,FALSE)/12),0)</f>
        <v>0</v>
      </c>
      <c r="EU136" s="309">
        <f>_xlfn.IFNA((VLOOKUP($A136,HN!$A:$BS,15,FALSE)/12),0)</f>
        <v>0</v>
      </c>
      <c r="EV136" s="308">
        <f t="shared" si="165"/>
        <v>-884.54666666666662</v>
      </c>
      <c r="EW136" s="308">
        <f t="shared" si="166"/>
        <v>-2318.7358333333336</v>
      </c>
      <c r="EX136" s="309"/>
      <c r="EY136" s="309">
        <f>_xlfn.IFNA(VLOOKUP($A136,'Cash Advances'!$A:$S,17,FALSE),0)</f>
        <v>0</v>
      </c>
      <c r="EZ136" s="309">
        <f>_xlfn.IFNA(VLOOKUP(A136,'LA Deductions'!A:AZ,25,FALSE),0)/9</f>
        <v>0</v>
      </c>
      <c r="FA136" s="308">
        <f t="shared" ref="FA136:FA193" si="177">SUM(EM136:EZ136)</f>
        <v>206766.17471645703</v>
      </c>
      <c r="FB136" s="315">
        <f t="shared" si="167"/>
        <v>209969.45721645703</v>
      </c>
      <c r="FC136" s="315"/>
      <c r="FD136" s="316"/>
      <c r="FE136" s="316">
        <f>_xlfn.IFNA((VLOOKUP($A136,HN!$A:$K,8,FALSE)/12),0)+_xlfn.IFNA((VLOOKUP($A136,HN!$A:$AF,32,FALSE)*1/12),0)</f>
        <v>0</v>
      </c>
      <c r="FF136" s="316">
        <f>_xlfn.IFNA((VLOOKUP($A136,HN!$A:$BS,14,FALSE)/12),0)+_xlfn.IFNA((VLOOKUP($A136,HN!$A:$BS,34,FALSE)/3),0)</f>
        <v>0</v>
      </c>
      <c r="FG136" s="316">
        <f>_xlfn.IFNA(VLOOKUP($A136,'Post 16'!$A:$AV,32,FALSE),0)/8</f>
        <v>0</v>
      </c>
      <c r="FH136" s="316"/>
      <c r="FI136" s="316">
        <f>_xlfn.IFNA((VLOOKUP($A136,HN!$A:$K,9,FALSE)/12),0)+_xlfn.IFNA((VLOOKUP($A136,HN!$A:$K,10,FALSE)/12),0)+_xlfn.IFNA((VLOOKUP($A136,HN!$A:$BZ,33,FALSE)/12),0)+_xlfn.IFNA((VLOOKUP($A136,HN!$A:$BZ,35,FALSE)/2),0)</f>
        <v>0</v>
      </c>
      <c r="FJ136" s="316">
        <f>_xlfn.IFNA((VLOOKUP($A136,HN!$A:$BS,15,FALSE)/12),0)+_xlfn.IFNA((VLOOKUP($A136,HN!$A:$CZ,36,FALSE)/2),0)</f>
        <v>0</v>
      </c>
      <c r="FK136" s="315">
        <f t="shared" si="168"/>
        <v>-884.54666666666662</v>
      </c>
      <c r="FL136" s="315">
        <f t="shared" si="169"/>
        <v>-2318.7358333333336</v>
      </c>
      <c r="FM136" s="316"/>
      <c r="FN136" s="316">
        <f>_xlfn.IFNA(VLOOKUP($A136,'Cash Advances'!$A:$S,18,FALSE),0)</f>
        <v>0</v>
      </c>
      <c r="FO136" s="316">
        <f>_xlfn.IFNA(VLOOKUP(A136,'LA Deductions'!A:AZ,25,FALSE),0)/9</f>
        <v>0</v>
      </c>
      <c r="FP136" s="315">
        <f t="shared" ref="FP136:FP193" si="178">SUM(FB136:FO136)</f>
        <v>206766.17471645703</v>
      </c>
      <c r="FQ136" s="322">
        <f t="shared" si="170"/>
        <v>209969.45721645703</v>
      </c>
      <c r="FR136" s="322"/>
      <c r="FS136" s="323"/>
      <c r="FT136" s="323">
        <f>_xlfn.IFNA((VLOOKUP($A136,HN!$A:$K,8,FALSE)/12),0)+_xlfn.IFNA((VLOOKUP($A136,HN!$A:$AF,32,FALSE)*1/12),0)</f>
        <v>0</v>
      </c>
      <c r="FU136" s="323">
        <f>_xlfn.IFNA((VLOOKUP($A136,HN!$A:$BS,14,FALSE)/12),0)+_xlfn.IFNA((VLOOKUP($A136,HN!$A:$BS,34,FALSE)/3),0)</f>
        <v>0</v>
      </c>
      <c r="FV136" s="323">
        <f>_xlfn.IFNA(VLOOKUP($A136,'Post 16'!$A:$AV,32,FALSE),0)/8</f>
        <v>0</v>
      </c>
      <c r="FW136" s="323"/>
      <c r="FX136" s="323">
        <f>_xlfn.IFNA((VLOOKUP($A136,HN!$A:$K,9,FALSE)/12),0)+_xlfn.IFNA((VLOOKUP($A136,HN!$A:$K,10,FALSE)/12),0)+_xlfn.IFNA((VLOOKUP($A136,HN!$A:$BZ,33,FALSE)/12),0)+_xlfn.IFNA((VLOOKUP($A136,HN!$A:$BZ,35,FALSE)/2),0)</f>
        <v>0</v>
      </c>
      <c r="FY136" s="323">
        <f>_xlfn.IFNA((VLOOKUP($A136,HN!$A:$BS,15,FALSE)/12),0)+_xlfn.IFNA((VLOOKUP($A136,HN!$A:$CZ,36,FALSE)/2),0)</f>
        <v>0</v>
      </c>
      <c r="FZ136" s="322">
        <f t="shared" si="171"/>
        <v>-884.54666666666662</v>
      </c>
      <c r="GA136" s="322">
        <f t="shared" si="172"/>
        <v>-2318.7358333333336</v>
      </c>
      <c r="GB136" s="323"/>
      <c r="GC136" s="323"/>
      <c r="GD136" s="323">
        <f>_xlfn.IFNA(VLOOKUP(A136,'LA Deductions'!A:AZ,25,FALSE),0)/9</f>
        <v>0</v>
      </c>
      <c r="GE136" s="322">
        <f t="shared" ref="GE136:GE193" si="179">SUM(FQ136:GD136)</f>
        <v>206766.17471645703</v>
      </c>
      <c r="GG136" s="146">
        <f t="shared" si="130"/>
        <v>2519633.4865974844</v>
      </c>
      <c r="GH136" s="146">
        <f t="shared" si="130"/>
        <v>0</v>
      </c>
      <c r="GI136" s="146">
        <f t="shared" si="130"/>
        <v>0</v>
      </c>
      <c r="GJ136" s="146">
        <f t="shared" si="130"/>
        <v>-10614.560000000003</v>
      </c>
      <c r="GK136" s="146">
        <f t="shared" si="130"/>
        <v>-27824.829999999998</v>
      </c>
      <c r="GL136" s="146">
        <f t="shared" si="130"/>
        <v>-9471</v>
      </c>
      <c r="GN136" s="146">
        <f t="shared" si="131"/>
        <v>2519633.4865974844</v>
      </c>
      <c r="GO136" s="146">
        <f t="shared" si="131"/>
        <v>0</v>
      </c>
      <c r="GP136" s="146">
        <f t="shared" si="131"/>
        <v>0</v>
      </c>
      <c r="GQ136" s="146">
        <f t="shared" si="131"/>
        <v>-10614.560000000003</v>
      </c>
      <c r="GR136" s="146">
        <f t="shared" si="131"/>
        <v>-27824.829999999998</v>
      </c>
      <c r="GS136" s="146">
        <f t="shared" si="131"/>
        <v>-9471</v>
      </c>
      <c r="GU136" s="146"/>
      <c r="GV136" s="57"/>
    </row>
    <row r="137" spans="1:204">
      <c r="A137" s="185">
        <v>2178</v>
      </c>
      <c r="B137" s="185">
        <v>103257</v>
      </c>
      <c r="C137" s="185" t="s">
        <v>298</v>
      </c>
      <c r="D137" s="2" t="s">
        <v>299</v>
      </c>
      <c r="E137" s="191" t="s">
        <v>32</v>
      </c>
      <c r="F137" s="191" t="s">
        <v>912</v>
      </c>
      <c r="H137" s="279">
        <f>_xlfn.IFNA(VLOOKUP($A137,ISB!$A$4:$BY$454,67,FALSE),0)</f>
        <v>1334475.7081971292</v>
      </c>
      <c r="I137" s="279">
        <f>_xlfn.IFNA(VLOOKUP($A137,ISB!$A$4:$BY$454,72,FALSE),0)</f>
        <v>-5372.48</v>
      </c>
      <c r="J137" s="279">
        <f>-_xlfn.IFNA(VLOOKUP($A137,ISB!$A$4:$BY$454,76,FALSE),0)</f>
        <v>-16400.14</v>
      </c>
      <c r="K137" s="279">
        <f>_xlfn.IFNA(VLOOKUP($A137,ISB!$A$4:$BY$454,77,FALSE),0)</f>
        <v>1312703.0881971293</v>
      </c>
      <c r="M137" s="301">
        <f t="shared" si="137"/>
        <v>111206.30901642743</v>
      </c>
      <c r="N137" s="301">
        <f>VLOOKUP($A137,EY!$A:$H,8,FALSE)+(VLOOKUP($A137,EY!$A:$BS,17,FALSE)-S137)+VLOOKUP($A137,EY!$A:$BS,41,FALSE)</f>
        <v>31546.774315789469</v>
      </c>
      <c r="O137" s="302"/>
      <c r="P137" s="302">
        <f>_xlfn.IFNA((VLOOKUP($A137,HN!$A:$K,8,FALSE)/12),0)</f>
        <v>0</v>
      </c>
      <c r="Q137" s="302">
        <f>_xlfn.IFNA((VLOOKUP($A137,HN!$A:$BS,14,FALSE)/12),0)</f>
        <v>0</v>
      </c>
      <c r="R137" s="302">
        <f>_xlfn.IFNA(VLOOKUP($A137,'Post 16'!$A:$V,21,FALSE),0)/4</f>
        <v>0</v>
      </c>
      <c r="S137" s="302">
        <f>VLOOKUP($A137,EY!A:Q,15,FALSE)*80%</f>
        <v>0</v>
      </c>
      <c r="T137" s="302">
        <f>_xlfn.IFNA((VLOOKUP($A137,HN!$A:$K,9,FALSE)/12),0)+_xlfn.IFNA((VLOOKUP($A137,HN!$A:$K,10,FALSE)/12),0)</f>
        <v>0</v>
      </c>
      <c r="U137" s="302">
        <f>_xlfn.IFNA((VLOOKUP($A137,HN!$A:$BS,15,FALSE)/12),0)</f>
        <v>0</v>
      </c>
      <c r="V137" s="301">
        <f t="shared" si="138"/>
        <v>-447.70666666666665</v>
      </c>
      <c r="W137" s="301">
        <f t="shared" si="139"/>
        <v>-1366.6783333333333</v>
      </c>
      <c r="X137" s="302"/>
      <c r="Y137" s="302">
        <f>_xlfn.IFNA(VLOOKUP($A137,'Cash Advances'!$A:$S,8,FALSE),0)</f>
        <v>0</v>
      </c>
      <c r="Z137" s="301">
        <f t="shared" si="132"/>
        <v>140938.69833221688</v>
      </c>
      <c r="AA137" s="315">
        <f t="shared" si="140"/>
        <v>111206.30901642743</v>
      </c>
      <c r="AB137" s="315"/>
      <c r="AC137" s="316"/>
      <c r="AD137" s="316">
        <f>_xlfn.IFNA((VLOOKUP($A137,HN!$A:$K,8,FALSE)/12),0)</f>
        <v>0</v>
      </c>
      <c r="AE137" s="316">
        <f>_xlfn.IFNA((VLOOKUP($A137,HN!$A:$BS,14,FALSE)/12),0)</f>
        <v>0</v>
      </c>
      <c r="AF137" s="316">
        <f>_xlfn.IFNA(VLOOKUP($A137,'Post 16'!$A:$V,21,FALSE),0)/4</f>
        <v>0</v>
      </c>
      <c r="AG137" s="316"/>
      <c r="AH137" s="316">
        <f>_xlfn.IFNA((VLOOKUP($A137,HN!$A:$K,9,FALSE)/12),0)+_xlfn.IFNA((VLOOKUP($A137,HN!$A:$K,10,FALSE)/12),0)</f>
        <v>0</v>
      </c>
      <c r="AI137" s="316">
        <f>_xlfn.IFNA((VLOOKUP($A137,HN!$A:$BS,15,FALSE)/12),0)</f>
        <v>0</v>
      </c>
      <c r="AJ137" s="315">
        <f t="shared" si="141"/>
        <v>-447.70666666666665</v>
      </c>
      <c r="AK137" s="315">
        <f t="shared" si="142"/>
        <v>-1366.6783333333333</v>
      </c>
      <c r="AL137" s="316"/>
      <c r="AM137" s="316">
        <f>_xlfn.IFNA(VLOOKUP($A137,'Cash Advances'!$A:$S,9,FALSE),0)</f>
        <v>0</v>
      </c>
      <c r="AN137" s="315">
        <f t="shared" si="133"/>
        <v>109391.92401642744</v>
      </c>
      <c r="AO137" s="308">
        <f t="shared" si="143"/>
        <v>111206.30901642743</v>
      </c>
      <c r="AP137" s="308"/>
      <c r="AQ137" s="309"/>
      <c r="AR137" s="309">
        <f>_xlfn.IFNA((VLOOKUP($A137,HN!$A:$K,8,FALSE)/12),0)</f>
        <v>0</v>
      </c>
      <c r="AS137" s="309">
        <f>_xlfn.IFNA((VLOOKUP($A137,HN!$A:$BS,14,FALSE)/12),0)</f>
        <v>0</v>
      </c>
      <c r="AT137" s="309">
        <f>_xlfn.IFNA(VLOOKUP($A137,'Post 16'!$A:$V,21,FALSE),0)/4</f>
        <v>0</v>
      </c>
      <c r="AU137" s="309"/>
      <c r="AV137" s="309">
        <f>_xlfn.IFNA((VLOOKUP($A137,HN!$A:$K,9,FALSE)/12),0)+_xlfn.IFNA((VLOOKUP($A137,HN!$A:$K,10,FALSE)/12),0)+_xlfn.IFNA(VLOOKUP(A137,HN!A:V,19,FALSE),0)+_xlfn.IFNA(VLOOKUP(A137,HN!A:V,20,FALSE),0)+_xlfn.IFNA(VLOOKUP(A137,HN!A:V,21,FALSE),0)</f>
        <v>0</v>
      </c>
      <c r="AW137" s="309">
        <f>_xlfn.IFNA((VLOOKUP($A137,HN!$A:$BS,15,FALSE)/12),0)</f>
        <v>0</v>
      </c>
      <c r="AX137" s="308">
        <f t="shared" si="144"/>
        <v>-447.70666666666665</v>
      </c>
      <c r="AY137" s="308">
        <f t="shared" si="145"/>
        <v>-1366.6783333333333</v>
      </c>
      <c r="AZ137" s="309"/>
      <c r="BA137" s="309">
        <f>_xlfn.IFNA(VLOOKUP($A137,'Cash Advances'!$A:$S,10,FALSE),0)</f>
        <v>0</v>
      </c>
      <c r="BB137" s="308">
        <f t="shared" si="134"/>
        <v>109391.92401642744</v>
      </c>
      <c r="BC137" s="330">
        <f t="shared" si="146"/>
        <v>111206.30901642743</v>
      </c>
      <c r="BD137" s="330"/>
      <c r="BE137" s="331"/>
      <c r="BF137" s="331">
        <f>_xlfn.IFNA((VLOOKUP($A137,HN!$A:$K,8,FALSE)/12),0)</f>
        <v>0</v>
      </c>
      <c r="BG137" s="331">
        <f>_xlfn.IFNA((VLOOKUP($A137,HN!$A:$BS,14,FALSE)/12),0)</f>
        <v>0</v>
      </c>
      <c r="BH137" s="331">
        <f>_xlfn.IFNA(VLOOKUP($A137,'Post 16'!$A:$V,21,FALSE),0)/4</f>
        <v>0</v>
      </c>
      <c r="BI137" s="331"/>
      <c r="BJ137" s="331">
        <f>_xlfn.IFNA((VLOOKUP($A137,HN!$A:$K,9,FALSE)/12),0)+_xlfn.IFNA((VLOOKUP($A137,HN!$A:$K,10,FALSE)/12),0)</f>
        <v>0</v>
      </c>
      <c r="BK137" s="331">
        <f>_xlfn.IFNA((VLOOKUP($A137,HN!$A:$BS,15,FALSE)/12),0)</f>
        <v>0</v>
      </c>
      <c r="BL137" s="330">
        <f t="shared" si="147"/>
        <v>-447.70666666666665</v>
      </c>
      <c r="BM137" s="330">
        <f t="shared" si="148"/>
        <v>-1366.6783333333333</v>
      </c>
      <c r="BN137" s="331"/>
      <c r="BO137" s="331">
        <f>_xlfn.IFNA(VLOOKUP(A137,'Cash Advances'!A:K,11,FALSE),0)</f>
        <v>0</v>
      </c>
      <c r="BP137" s="330">
        <f t="shared" si="135"/>
        <v>109391.92401642744</v>
      </c>
      <c r="BQ137" s="322">
        <f t="shared" si="149"/>
        <v>111206.30901642743</v>
      </c>
      <c r="BR137" s="322"/>
      <c r="BS137" s="323"/>
      <c r="BT137" s="323">
        <f>_xlfn.IFNA((VLOOKUP($A137,HN!$A:$K,8,FALSE)/12),0)</f>
        <v>0</v>
      </c>
      <c r="BU137" s="323">
        <f>_xlfn.IFNA((VLOOKUP($A137,HN!$A:$BS,14,FALSE)/12),0)</f>
        <v>0</v>
      </c>
      <c r="BV137" s="323">
        <f>(_xlfn.IFNA(VLOOKUP($A137,'Post 16'!$A:$AV,32,FALSE),0)/8)+_xlfn.IFNA(VLOOKUP($A137,'Post 16'!$A:$AR,40,FALSE),0)</f>
        <v>0</v>
      </c>
      <c r="BW137" s="323"/>
      <c r="BX137" s="323">
        <f>_xlfn.IFNA((VLOOKUP($A137,HN!$A:$K,9,FALSE)/12),0)+_xlfn.IFNA((VLOOKUP($A137,HN!$A:$K,10,FALSE)/12),0)</f>
        <v>0</v>
      </c>
      <c r="BY137" s="323">
        <f>_xlfn.IFNA((VLOOKUP($A137,HN!$A:$BS,15,FALSE)/12),0)</f>
        <v>0</v>
      </c>
      <c r="BZ137" s="322">
        <f t="shared" si="150"/>
        <v>-447.70666666666665</v>
      </c>
      <c r="CA137" s="322">
        <f t="shared" si="151"/>
        <v>-1366.6783333333333</v>
      </c>
      <c r="CB137" s="323"/>
      <c r="CC137" s="323"/>
      <c r="CD137" s="322">
        <f t="shared" si="136"/>
        <v>109391.92401642744</v>
      </c>
      <c r="CE137" s="357">
        <f t="shared" si="152"/>
        <v>111206.30901642743</v>
      </c>
      <c r="CF137" s="357">
        <f>(VLOOKUP($A137,EY!$A:$BS,26,FALSE)-(VLOOKUP($A137,EY!A:CR,24,FALSE)*80%))+VLOOKUP($A137,EY!$A:$BS,42,FALSE)+(VLOOKUP($A137,EY!A:CC,74,FALSE)-VLOOKUP($A137,EY!A:CC,72,FALSE))</f>
        <v>19504.082000000002</v>
      </c>
      <c r="CG137" s="358"/>
      <c r="CH137" s="358">
        <f>_xlfn.IFNA((VLOOKUP($A137,HN!$A:$K,8,FALSE)/12),0)</f>
        <v>0</v>
      </c>
      <c r="CI137" s="358">
        <f>_xlfn.IFNA((VLOOKUP($A137,HN!$A:$BS,14,FALSE)/12),0)</f>
        <v>0</v>
      </c>
      <c r="CJ137" s="358">
        <f>(_xlfn.IFNA(VLOOKUP($A137,'Post 16'!$A:$AV,32,FALSE),0)/8)</f>
        <v>0</v>
      </c>
      <c r="CK137" s="358">
        <f>(VLOOKUP($A137,EY!A:CR,24,FALSE)*80%)+VLOOKUP($A137,EY!A:CC,72,FALSE)</f>
        <v>0</v>
      </c>
      <c r="CL137" s="358">
        <f>_xlfn.IFNA((VLOOKUP($A137,HN!$A:$K,9,FALSE)/12),0)+_xlfn.IFNA((VLOOKUP($A137,HN!$A:$K,10,FALSE)/12),0)</f>
        <v>0</v>
      </c>
      <c r="CM137" s="358">
        <f>_xlfn.IFNA((VLOOKUP($A137,HN!$A:$BS,15,FALSE)/12),0)</f>
        <v>0</v>
      </c>
      <c r="CN137" s="357">
        <f t="shared" si="153"/>
        <v>-447.70666666666665</v>
      </c>
      <c r="CO137" s="357">
        <f t="shared" si="154"/>
        <v>-1366.6783333333333</v>
      </c>
      <c r="CP137" s="358">
        <f>_xlfn.IFNA(VLOOKUP(A137,'LA Deductions'!A:W,23,FALSE),0)</f>
        <v>-5139.75</v>
      </c>
      <c r="CQ137" s="358">
        <f>_xlfn.IFNA(VLOOKUP($A137,'Cash Advances'!$A:$S,13,FALSE),0)</f>
        <v>0</v>
      </c>
      <c r="CR137" s="358">
        <f>_xlfn.IFNA(VLOOKUP(A137,'LA Deductions'!A:AZ,25,FALSE),0)/9*3</f>
        <v>0</v>
      </c>
      <c r="CS137" s="357">
        <f t="shared" si="173"/>
        <v>123756.25601642743</v>
      </c>
      <c r="CT137" s="337">
        <f t="shared" si="155"/>
        <v>111206.30901642743</v>
      </c>
      <c r="CU137" s="337"/>
      <c r="CV137" s="338">
        <f>_xlfn.IFNA(VLOOKUP(A137,'LA Deductions'!$A$6:$AN$207,34,FALSE),0)</f>
        <v>0</v>
      </c>
      <c r="CW137" s="338">
        <f>_xlfn.IFNA((VLOOKUP($A137,HN!$A:$K,8,FALSE)/12),0)</f>
        <v>0</v>
      </c>
      <c r="CX137" s="338">
        <f>_xlfn.IFNA((VLOOKUP($A137,HN!$A:$BS,14,FALSE)/12),0)</f>
        <v>0</v>
      </c>
      <c r="CY137" s="338">
        <f>_xlfn.IFNA(VLOOKUP($A137,'Post 16'!$A:$AV,32,FALSE),0)/8</f>
        <v>0</v>
      </c>
      <c r="CZ137" s="338"/>
      <c r="DA137" s="338">
        <f>_xlfn.IFNA((VLOOKUP($A137,HN!$A:$K,9,FALSE)/12),0)+_xlfn.IFNA((VLOOKUP($A137,HN!$A:$K,10,FALSE)/12),0)</f>
        <v>0</v>
      </c>
      <c r="DB137" s="338">
        <f>_xlfn.IFNA((VLOOKUP($A137,HN!$A:$BS,15,FALSE)/12),0)</f>
        <v>0</v>
      </c>
      <c r="DC137" s="337">
        <f t="shared" si="156"/>
        <v>-447.70666666666665</v>
      </c>
      <c r="DD137" s="337">
        <f t="shared" si="157"/>
        <v>-1366.6783333333333</v>
      </c>
      <c r="DE137" s="338"/>
      <c r="DF137" s="338">
        <f>_xlfn.IFNA(VLOOKUP($A137,'Cash Advances'!$A:$S,14,FALSE),0)</f>
        <v>0</v>
      </c>
      <c r="DG137" s="338">
        <f>(_xlfn.IFNA(VLOOKUP(A137,'LA Deductions'!A:AZ,25,FALSE),0)/9)+(_xlfn.IFNA(VLOOKUP(A137,'LA Deductions'!A:AZ,26,FALSE),0))</f>
        <v>0</v>
      </c>
      <c r="DH137" s="337">
        <f t="shared" si="174"/>
        <v>109391.92401642744</v>
      </c>
      <c r="DI137" s="330">
        <f t="shared" si="158"/>
        <v>111206.30901642743</v>
      </c>
      <c r="DJ137" s="330"/>
      <c r="DK137" s="331"/>
      <c r="DL137" s="331">
        <f>_xlfn.IFNA((VLOOKUP($A137,HN!$A:$K,8,FALSE)/12),0)+_xlfn.IFNA((VLOOKUP($A137,HN!$A:$AF,32,FALSE)*8/12),0)</f>
        <v>0</v>
      </c>
      <c r="DM137" s="331">
        <f>_xlfn.IFNA((VLOOKUP($A137,HN!$A:$BS,14,FALSE)/12),0)+_xlfn.IFNA(VLOOKUP($A137,HN!$A:$BS,31,FALSE),0)</f>
        <v>0</v>
      </c>
      <c r="DN137" s="331">
        <f>_xlfn.IFNA(VLOOKUP($A137,'Post 16'!$A:$AV,32,FALSE),0)/8</f>
        <v>0</v>
      </c>
      <c r="DO137" s="331"/>
      <c r="DP137" s="331">
        <f>_xlfn.IFNA((VLOOKUP($A137,HN!$A:$K,9,FALSE)/12),0)+_xlfn.IFNA((VLOOKUP($A137,HN!$A:$K,10,FALSE)/12),0)+_xlfn.IFNA((VLOOKUP($A137,HN!$A:$BZ,33,FALSE)*8/12),0)</f>
        <v>0</v>
      </c>
      <c r="DQ137" s="331">
        <f>_xlfn.IFNA((VLOOKUP($A137,HN!$A:$BS,15,FALSE)/12),0)</f>
        <v>0</v>
      </c>
      <c r="DR137" s="330">
        <f t="shared" si="159"/>
        <v>-447.70666666666665</v>
      </c>
      <c r="DS137" s="330">
        <f t="shared" si="160"/>
        <v>-1366.6783333333333</v>
      </c>
      <c r="DT137" s="331"/>
      <c r="DU137" s="331"/>
      <c r="DV137" s="331">
        <f>(_xlfn.IFNA(VLOOKUP(A137,'LA Deductions'!A:AZ,25,FALSE),0)/9)+_xlfn.IFNA(VLOOKUP(A137,'LA Deductions'!A:AZ,27,FALSE),0)</f>
        <v>0</v>
      </c>
      <c r="DW137" s="330">
        <f t="shared" si="175"/>
        <v>109391.92401642744</v>
      </c>
      <c r="DX137" s="344">
        <f t="shared" si="161"/>
        <v>111206.30901642743</v>
      </c>
      <c r="DY137" s="344"/>
      <c r="DZ137" s="345"/>
      <c r="EA137" s="345">
        <f>_xlfn.IFNA((VLOOKUP($A137,HN!$A:$K,8,FALSE)/12),0)+_xlfn.IFNA((VLOOKUP($A137,HN!$A:$AF,32,FALSE)*1/12),0)</f>
        <v>0</v>
      </c>
      <c r="EB137" s="345">
        <f>_xlfn.IFNA((VLOOKUP($A137,HN!$A:$BS,14,FALSE)/12),0)</f>
        <v>0</v>
      </c>
      <c r="EC137" s="345">
        <f>_xlfn.IFNA(VLOOKUP($A137,'Post 16'!$A:$AV,32,FALSE),0)/8</f>
        <v>0</v>
      </c>
      <c r="ED137" s="345"/>
      <c r="EE137" s="345">
        <f>_xlfn.IFNA((VLOOKUP($A137,HN!$A:$K,9,FALSE)/12),0)+_xlfn.IFNA((VLOOKUP($A137,HN!$A:$K,10,FALSE)/12),0)+_xlfn.IFNA((VLOOKUP($A137,HN!$A:$BZ,33,FALSE)/12),0)</f>
        <v>0</v>
      </c>
      <c r="EF137" s="345">
        <f>_xlfn.IFNA((VLOOKUP($A137,HN!$A:$BS,15,FALSE)/12),0)</f>
        <v>0</v>
      </c>
      <c r="EG137" s="344">
        <f t="shared" si="162"/>
        <v>-447.70666666666665</v>
      </c>
      <c r="EH137" s="344">
        <f t="shared" si="163"/>
        <v>-1366.6783333333333</v>
      </c>
      <c r="EI137" s="345"/>
      <c r="EJ137" s="345">
        <f>_xlfn.IFNA(VLOOKUP(A137,'Cash Advances'!A:P,16,FALSE),0)</f>
        <v>0</v>
      </c>
      <c r="EK137" s="345">
        <f>_xlfn.IFNA(VLOOKUP(A137,'LA Deductions'!A:AZ,25,FALSE),0)/9</f>
        <v>0</v>
      </c>
      <c r="EL137" s="344">
        <f t="shared" si="176"/>
        <v>109391.92401642744</v>
      </c>
      <c r="EM137" s="308">
        <f t="shared" si="164"/>
        <v>111206.30901642743</v>
      </c>
      <c r="EN137" s="308">
        <f>((VLOOKUP($A137,EY!$A:$BS,35,FALSE)-(VLOOKUP($A137,EY!$A:$BS,33,FALSE)*80%))+VLOOKUP($A137,EY!$A:$BS,43,FALSE))+(VLOOKUP(A137,EY!A:DF,110,FALSE)-VLOOKUP(A137,EY!A:DD,108,FALSE))+(VLOOKUP(A137,EY!A:CE,83,FALSE)-VLOOKUP(A137,EY!A:CC,81,FALSE))</f>
        <v>40097.82245429363</v>
      </c>
      <c r="EO137" s="309"/>
      <c r="EP137" s="309">
        <f>_xlfn.IFNA((VLOOKUP($A137,HN!$A:$K,8,FALSE)/12),0)+_xlfn.IFNA((VLOOKUP($A137,HN!$A:$AF,32,FALSE)*1/12),0)</f>
        <v>0</v>
      </c>
      <c r="EQ137" s="309">
        <f>_xlfn.IFNA((VLOOKUP($A137,HN!$A:$BS,14,FALSE)/12),0)+_xlfn.IFNA((VLOOKUP($A137,HN!$A:$BS,34,FALSE)/3),0)</f>
        <v>0</v>
      </c>
      <c r="ER137" s="309">
        <f>_xlfn.IFNA(VLOOKUP($A137,'Post 16'!$A:$AV,32,FALSE),0)/8</f>
        <v>0</v>
      </c>
      <c r="ES137" s="309">
        <f>((VLOOKUP($A137,EY!A:EV,33,FALSE)*80%))+VLOOKUP(A137,EY!A:DD,108,FALSE)+VLOOKUP(A137,EY!A:CC,81,FALSE)</f>
        <v>0</v>
      </c>
      <c r="ET137" s="309">
        <f>_xlfn.IFNA((VLOOKUP($A137,HN!$A:$K,9,FALSE)/12),0)+_xlfn.IFNA((VLOOKUP($A137,HN!$A:$K,10,FALSE)/12),0)+_xlfn.IFNA((VLOOKUP($A137,HN!$A:$BZ,33,FALSE)/12),0)</f>
        <v>0</v>
      </c>
      <c r="EU137" s="309">
        <f>_xlfn.IFNA((VLOOKUP($A137,HN!$A:$BS,15,FALSE)/12),0)</f>
        <v>0</v>
      </c>
      <c r="EV137" s="308">
        <f t="shared" si="165"/>
        <v>-447.70666666666665</v>
      </c>
      <c r="EW137" s="308">
        <f t="shared" si="166"/>
        <v>-1366.6783333333333</v>
      </c>
      <c r="EX137" s="309"/>
      <c r="EY137" s="309">
        <f>_xlfn.IFNA(VLOOKUP($A137,'Cash Advances'!$A:$S,17,FALSE),0)</f>
        <v>0</v>
      </c>
      <c r="EZ137" s="309">
        <f>_xlfn.IFNA(VLOOKUP(A137,'LA Deductions'!A:AZ,25,FALSE),0)/9</f>
        <v>0</v>
      </c>
      <c r="FA137" s="308">
        <f t="shared" si="177"/>
        <v>149489.74647072106</v>
      </c>
      <c r="FB137" s="315">
        <f t="shared" si="167"/>
        <v>111206.30901642743</v>
      </c>
      <c r="FC137" s="315"/>
      <c r="FD137" s="316"/>
      <c r="FE137" s="316">
        <f>_xlfn.IFNA((VLOOKUP($A137,HN!$A:$K,8,FALSE)/12),0)+_xlfn.IFNA((VLOOKUP($A137,HN!$A:$AF,32,FALSE)*1/12),0)</f>
        <v>0</v>
      </c>
      <c r="FF137" s="316">
        <f>_xlfn.IFNA((VLOOKUP($A137,HN!$A:$BS,14,FALSE)/12),0)+_xlfn.IFNA((VLOOKUP($A137,HN!$A:$BS,34,FALSE)/3),0)</f>
        <v>0</v>
      </c>
      <c r="FG137" s="316">
        <f>_xlfn.IFNA(VLOOKUP($A137,'Post 16'!$A:$AV,32,FALSE),0)/8</f>
        <v>0</v>
      </c>
      <c r="FH137" s="316"/>
      <c r="FI137" s="316">
        <f>_xlfn.IFNA((VLOOKUP($A137,HN!$A:$K,9,FALSE)/12),0)+_xlfn.IFNA((VLOOKUP($A137,HN!$A:$K,10,FALSE)/12),0)+_xlfn.IFNA((VLOOKUP($A137,HN!$A:$BZ,33,FALSE)/12),0)+_xlfn.IFNA((VLOOKUP($A137,HN!$A:$BZ,35,FALSE)/2),0)</f>
        <v>0</v>
      </c>
      <c r="FJ137" s="316">
        <f>_xlfn.IFNA((VLOOKUP($A137,HN!$A:$BS,15,FALSE)/12),0)+_xlfn.IFNA((VLOOKUP($A137,HN!$A:$CZ,36,FALSE)/2),0)</f>
        <v>0</v>
      </c>
      <c r="FK137" s="315">
        <f t="shared" si="168"/>
        <v>-447.70666666666665</v>
      </c>
      <c r="FL137" s="315">
        <f t="shared" si="169"/>
        <v>-1366.6783333333333</v>
      </c>
      <c r="FM137" s="316"/>
      <c r="FN137" s="316">
        <f>_xlfn.IFNA(VLOOKUP($A137,'Cash Advances'!$A:$S,18,FALSE),0)</f>
        <v>0</v>
      </c>
      <c r="FO137" s="316">
        <f>_xlfn.IFNA(VLOOKUP(A137,'LA Deductions'!A:AZ,25,FALSE),0)/9</f>
        <v>0</v>
      </c>
      <c r="FP137" s="315">
        <f t="shared" si="178"/>
        <v>109391.92401642744</v>
      </c>
      <c r="FQ137" s="322">
        <f t="shared" si="170"/>
        <v>111206.30901642743</v>
      </c>
      <c r="FR137" s="322"/>
      <c r="FS137" s="323"/>
      <c r="FT137" s="323">
        <f>_xlfn.IFNA((VLOOKUP($A137,HN!$A:$K,8,FALSE)/12),0)+_xlfn.IFNA((VLOOKUP($A137,HN!$A:$AF,32,FALSE)*1/12),0)</f>
        <v>0</v>
      </c>
      <c r="FU137" s="323">
        <f>_xlfn.IFNA((VLOOKUP($A137,HN!$A:$BS,14,FALSE)/12),0)+_xlfn.IFNA((VLOOKUP($A137,HN!$A:$BS,34,FALSE)/3),0)</f>
        <v>0</v>
      </c>
      <c r="FV137" s="323">
        <f>_xlfn.IFNA(VLOOKUP($A137,'Post 16'!$A:$AV,32,FALSE),0)/8</f>
        <v>0</v>
      </c>
      <c r="FW137" s="323"/>
      <c r="FX137" s="323">
        <f>_xlfn.IFNA((VLOOKUP($A137,HN!$A:$K,9,FALSE)/12),0)+_xlfn.IFNA((VLOOKUP($A137,HN!$A:$K,10,FALSE)/12),0)+_xlfn.IFNA((VLOOKUP($A137,HN!$A:$BZ,33,FALSE)/12),0)+_xlfn.IFNA((VLOOKUP($A137,HN!$A:$BZ,35,FALSE)/2),0)</f>
        <v>0</v>
      </c>
      <c r="FY137" s="323">
        <f>_xlfn.IFNA((VLOOKUP($A137,HN!$A:$BS,15,FALSE)/12),0)+_xlfn.IFNA((VLOOKUP($A137,HN!$A:$CZ,36,FALSE)/2),0)</f>
        <v>0</v>
      </c>
      <c r="FZ137" s="322">
        <f t="shared" si="171"/>
        <v>-447.70666666666665</v>
      </c>
      <c r="GA137" s="322">
        <f t="shared" si="172"/>
        <v>-1366.6783333333333</v>
      </c>
      <c r="GB137" s="323"/>
      <c r="GC137" s="323"/>
      <c r="GD137" s="323">
        <f>_xlfn.IFNA(VLOOKUP(A137,'LA Deductions'!A:AZ,25,FALSE),0)/9</f>
        <v>0</v>
      </c>
      <c r="GE137" s="322">
        <f t="shared" si="179"/>
        <v>109391.92401642744</v>
      </c>
      <c r="GG137" s="146">
        <f t="shared" ref="GG137:GL145" si="180">SUMIFS($M137:$GE137,$M$7:$GE$7,GG$7)</f>
        <v>1425624.3869672127</v>
      </c>
      <c r="GH137" s="146">
        <f t="shared" si="180"/>
        <v>0</v>
      </c>
      <c r="GI137" s="146">
        <f t="shared" si="180"/>
        <v>0</v>
      </c>
      <c r="GJ137" s="146">
        <f t="shared" si="180"/>
        <v>-5372.48</v>
      </c>
      <c r="GK137" s="146">
        <f t="shared" si="180"/>
        <v>-16400.14</v>
      </c>
      <c r="GL137" s="146">
        <f t="shared" si="180"/>
        <v>-5139.75</v>
      </c>
      <c r="GN137" s="146">
        <f t="shared" ref="GN137:GS145" si="181">SUMIFS($M137:$GE137,$M$7:$GE$7,GN$7,$M$4:$GE$4,$GN$6)</f>
        <v>1425624.3869672127</v>
      </c>
      <c r="GO137" s="146">
        <f t="shared" si="181"/>
        <v>0</v>
      </c>
      <c r="GP137" s="146">
        <f t="shared" si="181"/>
        <v>0</v>
      </c>
      <c r="GQ137" s="146">
        <f t="shared" si="181"/>
        <v>-5372.48</v>
      </c>
      <c r="GR137" s="146">
        <f t="shared" si="181"/>
        <v>-16400.14</v>
      </c>
      <c r="GS137" s="146">
        <f t="shared" si="181"/>
        <v>-5139.75</v>
      </c>
      <c r="GU137" s="146"/>
      <c r="GV137" s="57"/>
    </row>
    <row r="138" spans="1:204">
      <c r="A138" s="185">
        <v>2184</v>
      </c>
      <c r="B138" s="185">
        <v>103262</v>
      </c>
      <c r="C138" s="185" t="s">
        <v>300</v>
      </c>
      <c r="D138" s="2" t="s">
        <v>301</v>
      </c>
      <c r="E138" s="191" t="s">
        <v>32</v>
      </c>
      <c r="F138" s="191" t="s">
        <v>912</v>
      </c>
      <c r="H138" s="279">
        <f>_xlfn.IFNA(VLOOKUP($A138,ISB!$A$4:$BY$454,67,FALSE),0)</f>
        <v>2398015.6835654657</v>
      </c>
      <c r="I138" s="279">
        <f>_xlfn.IFNA(VLOOKUP($A138,ISB!$A$4:$BY$454,72,FALSE),0)</f>
        <v>-10797.119999999999</v>
      </c>
      <c r="J138" s="279">
        <f>-_xlfn.IFNA(VLOOKUP($A138,ISB!$A$4:$BY$454,76,FALSE),0)</f>
        <v>-30739.81</v>
      </c>
      <c r="K138" s="279">
        <f>_xlfn.IFNA(VLOOKUP($A138,ISB!$A$4:$BY$454,77,FALSE),0)</f>
        <v>2356478.7535654656</v>
      </c>
      <c r="M138" s="301">
        <f t="shared" si="137"/>
        <v>199834.64029712215</v>
      </c>
      <c r="N138" s="301">
        <f>VLOOKUP($A138,EY!$A:$H,8,FALSE)+(VLOOKUP($A138,EY!$A:$BS,17,FALSE)-S138)+VLOOKUP($A138,EY!$A:$BS,41,FALSE)</f>
        <v>0</v>
      </c>
      <c r="O138" s="302"/>
      <c r="P138" s="302">
        <f>_xlfn.IFNA((VLOOKUP($A138,HN!$A:$K,8,FALSE)/12),0)</f>
        <v>0</v>
      </c>
      <c r="Q138" s="302">
        <f>_xlfn.IFNA((VLOOKUP($A138,HN!$A:$BS,14,FALSE)/12),0)</f>
        <v>0</v>
      </c>
      <c r="R138" s="302">
        <f>_xlfn.IFNA(VLOOKUP($A138,'Post 16'!$A:$V,21,FALSE),0)/4</f>
        <v>0</v>
      </c>
      <c r="S138" s="302">
        <f>VLOOKUP($A138,EY!A:Q,15,FALSE)*80%</f>
        <v>0</v>
      </c>
      <c r="T138" s="302">
        <f>_xlfn.IFNA((VLOOKUP($A138,HN!$A:$K,9,FALSE)/12),0)+_xlfn.IFNA((VLOOKUP($A138,HN!$A:$K,10,FALSE)/12),0)</f>
        <v>0</v>
      </c>
      <c r="U138" s="302">
        <f>_xlfn.IFNA((VLOOKUP($A138,HN!$A:$BS,15,FALSE)/12),0)</f>
        <v>0</v>
      </c>
      <c r="V138" s="301">
        <f t="shared" si="138"/>
        <v>-899.75999999999988</v>
      </c>
      <c r="W138" s="301">
        <f t="shared" si="139"/>
        <v>-2561.6508333333336</v>
      </c>
      <c r="X138" s="302"/>
      <c r="Y138" s="302">
        <f>_xlfn.IFNA(VLOOKUP($A138,'Cash Advances'!$A:$S,8,FALSE),0)</f>
        <v>0</v>
      </c>
      <c r="Z138" s="301">
        <f t="shared" si="132"/>
        <v>196373.2294637888</v>
      </c>
      <c r="AA138" s="315">
        <f t="shared" si="140"/>
        <v>199834.64029712215</v>
      </c>
      <c r="AB138" s="315"/>
      <c r="AC138" s="316"/>
      <c r="AD138" s="316">
        <f>_xlfn.IFNA((VLOOKUP($A138,HN!$A:$K,8,FALSE)/12),0)</f>
        <v>0</v>
      </c>
      <c r="AE138" s="316">
        <f>_xlfn.IFNA((VLOOKUP($A138,HN!$A:$BS,14,FALSE)/12),0)</f>
        <v>0</v>
      </c>
      <c r="AF138" s="316">
        <f>_xlfn.IFNA(VLOOKUP($A138,'Post 16'!$A:$V,21,FALSE),0)/4</f>
        <v>0</v>
      </c>
      <c r="AG138" s="316"/>
      <c r="AH138" s="316">
        <f>_xlfn.IFNA((VLOOKUP($A138,HN!$A:$K,9,FALSE)/12),0)+_xlfn.IFNA((VLOOKUP($A138,HN!$A:$K,10,FALSE)/12),0)</f>
        <v>0</v>
      </c>
      <c r="AI138" s="316">
        <f>_xlfn.IFNA((VLOOKUP($A138,HN!$A:$BS,15,FALSE)/12),0)</f>
        <v>0</v>
      </c>
      <c r="AJ138" s="315">
        <f t="shared" si="141"/>
        <v>-899.75999999999988</v>
      </c>
      <c r="AK138" s="315">
        <f t="shared" si="142"/>
        <v>-2561.6508333333336</v>
      </c>
      <c r="AL138" s="316"/>
      <c r="AM138" s="316">
        <f>_xlfn.IFNA(VLOOKUP($A138,'Cash Advances'!$A:$S,9,FALSE),0)</f>
        <v>0</v>
      </c>
      <c r="AN138" s="315">
        <f t="shared" si="133"/>
        <v>196373.2294637888</v>
      </c>
      <c r="AO138" s="308">
        <f t="shared" si="143"/>
        <v>199834.64029712215</v>
      </c>
      <c r="AP138" s="308"/>
      <c r="AQ138" s="309"/>
      <c r="AR138" s="309">
        <f>_xlfn.IFNA((VLOOKUP($A138,HN!$A:$K,8,FALSE)/12),0)</f>
        <v>0</v>
      </c>
      <c r="AS138" s="309">
        <f>_xlfn.IFNA((VLOOKUP($A138,HN!$A:$BS,14,FALSE)/12),0)</f>
        <v>0</v>
      </c>
      <c r="AT138" s="309">
        <f>_xlfn.IFNA(VLOOKUP($A138,'Post 16'!$A:$V,21,FALSE),0)/4</f>
        <v>0</v>
      </c>
      <c r="AU138" s="309"/>
      <c r="AV138" s="309">
        <f>_xlfn.IFNA((VLOOKUP($A138,HN!$A:$K,9,FALSE)/12),0)+_xlfn.IFNA((VLOOKUP($A138,HN!$A:$K,10,FALSE)/12),0)+_xlfn.IFNA(VLOOKUP(A138,HN!A:V,19,FALSE),0)+_xlfn.IFNA(VLOOKUP(A138,HN!A:V,20,FALSE),0)+_xlfn.IFNA(VLOOKUP(A138,HN!A:V,21,FALSE),0)</f>
        <v>0</v>
      </c>
      <c r="AW138" s="309">
        <f>_xlfn.IFNA((VLOOKUP($A138,HN!$A:$BS,15,FALSE)/12),0)</f>
        <v>0</v>
      </c>
      <c r="AX138" s="308">
        <f t="shared" si="144"/>
        <v>-899.75999999999988</v>
      </c>
      <c r="AY138" s="308">
        <f t="shared" si="145"/>
        <v>-2561.6508333333336</v>
      </c>
      <c r="AZ138" s="309"/>
      <c r="BA138" s="309">
        <f>_xlfn.IFNA(VLOOKUP($A138,'Cash Advances'!$A:$S,10,FALSE),0)</f>
        <v>0</v>
      </c>
      <c r="BB138" s="308">
        <f t="shared" si="134"/>
        <v>196373.2294637888</v>
      </c>
      <c r="BC138" s="330">
        <f t="shared" si="146"/>
        <v>199834.64029712215</v>
      </c>
      <c r="BD138" s="330"/>
      <c r="BE138" s="331"/>
      <c r="BF138" s="331">
        <f>_xlfn.IFNA((VLOOKUP($A138,HN!$A:$K,8,FALSE)/12),0)</f>
        <v>0</v>
      </c>
      <c r="BG138" s="331">
        <f>_xlfn.IFNA((VLOOKUP($A138,HN!$A:$BS,14,FALSE)/12),0)</f>
        <v>0</v>
      </c>
      <c r="BH138" s="331">
        <f>_xlfn.IFNA(VLOOKUP($A138,'Post 16'!$A:$V,21,FALSE),0)/4</f>
        <v>0</v>
      </c>
      <c r="BI138" s="331"/>
      <c r="BJ138" s="331">
        <f>_xlfn.IFNA((VLOOKUP($A138,HN!$A:$K,9,FALSE)/12),0)+_xlfn.IFNA((VLOOKUP($A138,HN!$A:$K,10,FALSE)/12),0)</f>
        <v>0</v>
      </c>
      <c r="BK138" s="331">
        <f>_xlfn.IFNA((VLOOKUP($A138,HN!$A:$BS,15,FALSE)/12),0)</f>
        <v>0</v>
      </c>
      <c r="BL138" s="330">
        <f t="shared" si="147"/>
        <v>-899.75999999999988</v>
      </c>
      <c r="BM138" s="330">
        <f t="shared" si="148"/>
        <v>-2561.6508333333336</v>
      </c>
      <c r="BN138" s="331"/>
      <c r="BO138" s="331">
        <f>_xlfn.IFNA(VLOOKUP(A138,'Cash Advances'!A:K,11,FALSE),0)</f>
        <v>0</v>
      </c>
      <c r="BP138" s="330">
        <f t="shared" si="135"/>
        <v>196373.2294637888</v>
      </c>
      <c r="BQ138" s="322">
        <f t="shared" si="149"/>
        <v>199834.64029712215</v>
      </c>
      <c r="BR138" s="322"/>
      <c r="BS138" s="323"/>
      <c r="BT138" s="323">
        <f>_xlfn.IFNA((VLOOKUP($A138,HN!$A:$K,8,FALSE)/12),0)</f>
        <v>0</v>
      </c>
      <c r="BU138" s="323">
        <f>_xlfn.IFNA((VLOOKUP($A138,HN!$A:$BS,14,FALSE)/12),0)</f>
        <v>0</v>
      </c>
      <c r="BV138" s="323">
        <f>(_xlfn.IFNA(VLOOKUP($A138,'Post 16'!$A:$AV,32,FALSE),0)/8)+_xlfn.IFNA(VLOOKUP($A138,'Post 16'!$A:$AR,40,FALSE),0)</f>
        <v>0</v>
      </c>
      <c r="BW138" s="323"/>
      <c r="BX138" s="323">
        <f>_xlfn.IFNA((VLOOKUP($A138,HN!$A:$K,9,FALSE)/12),0)+_xlfn.IFNA((VLOOKUP($A138,HN!$A:$K,10,FALSE)/12),0)</f>
        <v>0</v>
      </c>
      <c r="BY138" s="323">
        <f>_xlfn.IFNA((VLOOKUP($A138,HN!$A:$BS,15,FALSE)/12),0)</f>
        <v>0</v>
      </c>
      <c r="BZ138" s="322">
        <f t="shared" si="150"/>
        <v>-899.75999999999988</v>
      </c>
      <c r="CA138" s="322">
        <f t="shared" si="151"/>
        <v>-2561.6508333333336</v>
      </c>
      <c r="CB138" s="323"/>
      <c r="CC138" s="323"/>
      <c r="CD138" s="322">
        <f t="shared" si="136"/>
        <v>196373.2294637888</v>
      </c>
      <c r="CE138" s="357">
        <f t="shared" si="152"/>
        <v>199834.64029712215</v>
      </c>
      <c r="CF138" s="357">
        <f>(VLOOKUP($A138,EY!$A:$BS,26,FALSE)-(VLOOKUP($A138,EY!A:CR,24,FALSE)*80%))+VLOOKUP($A138,EY!$A:$BS,42,FALSE)+(VLOOKUP($A138,EY!A:CC,74,FALSE)-VLOOKUP($A138,EY!A:CC,72,FALSE))</f>
        <v>0</v>
      </c>
      <c r="CG138" s="358"/>
      <c r="CH138" s="358">
        <f>_xlfn.IFNA((VLOOKUP($A138,HN!$A:$K,8,FALSE)/12),0)</f>
        <v>0</v>
      </c>
      <c r="CI138" s="358">
        <f>_xlfn.IFNA((VLOOKUP($A138,HN!$A:$BS,14,FALSE)/12),0)</f>
        <v>0</v>
      </c>
      <c r="CJ138" s="358">
        <f>(_xlfn.IFNA(VLOOKUP($A138,'Post 16'!$A:$AV,32,FALSE),0)/8)</f>
        <v>0</v>
      </c>
      <c r="CK138" s="358">
        <f>(VLOOKUP($A138,EY!A:CR,24,FALSE)*80%)+VLOOKUP($A138,EY!A:CC,72,FALSE)</f>
        <v>0</v>
      </c>
      <c r="CL138" s="358">
        <f>_xlfn.IFNA((VLOOKUP($A138,HN!$A:$K,9,FALSE)/12),0)+_xlfn.IFNA((VLOOKUP($A138,HN!$A:$K,10,FALSE)/12),0)</f>
        <v>0</v>
      </c>
      <c r="CM138" s="358">
        <f>_xlfn.IFNA((VLOOKUP($A138,HN!$A:$BS,15,FALSE)/12),0)</f>
        <v>0</v>
      </c>
      <c r="CN138" s="357">
        <f t="shared" si="153"/>
        <v>-899.75999999999988</v>
      </c>
      <c r="CO138" s="357">
        <f t="shared" si="154"/>
        <v>-2561.6508333333336</v>
      </c>
      <c r="CP138" s="358">
        <f>_xlfn.IFNA(VLOOKUP(A138,'LA Deductions'!A:W,23,FALSE),0)</f>
        <v>-9471</v>
      </c>
      <c r="CQ138" s="358">
        <f>_xlfn.IFNA(VLOOKUP($A138,'Cash Advances'!$A:$S,13,FALSE),0)</f>
        <v>0</v>
      </c>
      <c r="CR138" s="358">
        <f>_xlfn.IFNA(VLOOKUP(A138,'LA Deductions'!A:AZ,25,FALSE),0)/9*3</f>
        <v>0</v>
      </c>
      <c r="CS138" s="357">
        <f t="shared" si="173"/>
        <v>186902.2294637888</v>
      </c>
      <c r="CT138" s="337">
        <f t="shared" si="155"/>
        <v>199834.64029712215</v>
      </c>
      <c r="CU138" s="337"/>
      <c r="CV138" s="338">
        <f>_xlfn.IFNA(VLOOKUP(A138,'LA Deductions'!$A$6:$AN$207,34,FALSE),0)</f>
        <v>0</v>
      </c>
      <c r="CW138" s="338">
        <f>_xlfn.IFNA((VLOOKUP($A138,HN!$A:$K,8,FALSE)/12),0)</f>
        <v>0</v>
      </c>
      <c r="CX138" s="338">
        <f>_xlfn.IFNA((VLOOKUP($A138,HN!$A:$BS,14,FALSE)/12),0)</f>
        <v>0</v>
      </c>
      <c r="CY138" s="338">
        <f>_xlfn.IFNA(VLOOKUP($A138,'Post 16'!$A:$AV,32,FALSE),0)/8</f>
        <v>0</v>
      </c>
      <c r="CZ138" s="338"/>
      <c r="DA138" s="338">
        <f>_xlfn.IFNA((VLOOKUP($A138,HN!$A:$K,9,FALSE)/12),0)+_xlfn.IFNA((VLOOKUP($A138,HN!$A:$K,10,FALSE)/12),0)</f>
        <v>0</v>
      </c>
      <c r="DB138" s="338">
        <f>_xlfn.IFNA((VLOOKUP($A138,HN!$A:$BS,15,FALSE)/12),0)</f>
        <v>0</v>
      </c>
      <c r="DC138" s="337">
        <f t="shared" si="156"/>
        <v>-899.75999999999988</v>
      </c>
      <c r="DD138" s="337">
        <f t="shared" si="157"/>
        <v>-2561.6508333333336</v>
      </c>
      <c r="DE138" s="338"/>
      <c r="DF138" s="338">
        <f>_xlfn.IFNA(VLOOKUP($A138,'Cash Advances'!$A:$S,14,FALSE),0)</f>
        <v>0</v>
      </c>
      <c r="DG138" s="338">
        <f>(_xlfn.IFNA(VLOOKUP(A138,'LA Deductions'!A:AZ,25,FALSE),0)/9)+(_xlfn.IFNA(VLOOKUP(A138,'LA Deductions'!A:AZ,26,FALSE),0))</f>
        <v>0</v>
      </c>
      <c r="DH138" s="337">
        <f t="shared" si="174"/>
        <v>196373.2294637888</v>
      </c>
      <c r="DI138" s="330">
        <f t="shared" si="158"/>
        <v>199834.64029712215</v>
      </c>
      <c r="DJ138" s="330"/>
      <c r="DK138" s="331"/>
      <c r="DL138" s="331">
        <f>_xlfn.IFNA((VLOOKUP($A138,HN!$A:$K,8,FALSE)/12),0)+_xlfn.IFNA((VLOOKUP($A138,HN!$A:$AF,32,FALSE)*8/12),0)</f>
        <v>0</v>
      </c>
      <c r="DM138" s="331">
        <f>_xlfn.IFNA((VLOOKUP($A138,HN!$A:$BS,14,FALSE)/12),0)+_xlfn.IFNA(VLOOKUP($A138,HN!$A:$BS,31,FALSE),0)</f>
        <v>0</v>
      </c>
      <c r="DN138" s="331">
        <f>_xlfn.IFNA(VLOOKUP($A138,'Post 16'!$A:$AV,32,FALSE),0)/8</f>
        <v>0</v>
      </c>
      <c r="DO138" s="331"/>
      <c r="DP138" s="331">
        <f>_xlfn.IFNA((VLOOKUP($A138,HN!$A:$K,9,FALSE)/12),0)+_xlfn.IFNA((VLOOKUP($A138,HN!$A:$K,10,FALSE)/12),0)+_xlfn.IFNA((VLOOKUP($A138,HN!$A:$BZ,33,FALSE)*8/12),0)</f>
        <v>0</v>
      </c>
      <c r="DQ138" s="331">
        <f>_xlfn.IFNA((VLOOKUP($A138,HN!$A:$BS,15,FALSE)/12),0)</f>
        <v>0</v>
      </c>
      <c r="DR138" s="330">
        <f t="shared" si="159"/>
        <v>-899.75999999999988</v>
      </c>
      <c r="DS138" s="330">
        <f t="shared" si="160"/>
        <v>-2561.6508333333336</v>
      </c>
      <c r="DT138" s="331"/>
      <c r="DU138" s="331"/>
      <c r="DV138" s="331">
        <f>(_xlfn.IFNA(VLOOKUP(A138,'LA Deductions'!A:AZ,25,FALSE),0)/9)+_xlfn.IFNA(VLOOKUP(A138,'LA Deductions'!A:AZ,27,FALSE),0)</f>
        <v>0</v>
      </c>
      <c r="DW138" s="330">
        <f t="shared" si="175"/>
        <v>196373.2294637888</v>
      </c>
      <c r="DX138" s="344">
        <f t="shared" si="161"/>
        <v>199834.64029712215</v>
      </c>
      <c r="DY138" s="344"/>
      <c r="DZ138" s="345"/>
      <c r="EA138" s="345">
        <f>_xlfn.IFNA((VLOOKUP($A138,HN!$A:$K,8,FALSE)/12),0)+_xlfn.IFNA((VLOOKUP($A138,HN!$A:$AF,32,FALSE)*1/12),0)</f>
        <v>0</v>
      </c>
      <c r="EB138" s="345">
        <f>_xlfn.IFNA((VLOOKUP($A138,HN!$A:$BS,14,FALSE)/12),0)</f>
        <v>0</v>
      </c>
      <c r="EC138" s="345">
        <f>_xlfn.IFNA(VLOOKUP($A138,'Post 16'!$A:$AV,32,FALSE),0)/8</f>
        <v>0</v>
      </c>
      <c r="ED138" s="345"/>
      <c r="EE138" s="345">
        <f>_xlfn.IFNA((VLOOKUP($A138,HN!$A:$K,9,FALSE)/12),0)+_xlfn.IFNA((VLOOKUP($A138,HN!$A:$K,10,FALSE)/12),0)+_xlfn.IFNA((VLOOKUP($A138,HN!$A:$BZ,33,FALSE)/12),0)</f>
        <v>0</v>
      </c>
      <c r="EF138" s="345">
        <f>_xlfn.IFNA((VLOOKUP($A138,HN!$A:$BS,15,FALSE)/12),0)</f>
        <v>0</v>
      </c>
      <c r="EG138" s="344">
        <f t="shared" si="162"/>
        <v>-899.75999999999988</v>
      </c>
      <c r="EH138" s="344">
        <f t="shared" si="163"/>
        <v>-2561.6508333333336</v>
      </c>
      <c r="EI138" s="345"/>
      <c r="EJ138" s="345">
        <f>_xlfn.IFNA(VLOOKUP(A138,'Cash Advances'!A:P,16,FALSE),0)</f>
        <v>0</v>
      </c>
      <c r="EK138" s="345">
        <f>_xlfn.IFNA(VLOOKUP(A138,'LA Deductions'!A:AZ,25,FALSE),0)/9</f>
        <v>0</v>
      </c>
      <c r="EL138" s="344">
        <f t="shared" si="176"/>
        <v>196373.2294637888</v>
      </c>
      <c r="EM138" s="308">
        <f t="shared" si="164"/>
        <v>199834.64029712215</v>
      </c>
      <c r="EN138" s="308">
        <f>((VLOOKUP($A138,EY!$A:$BS,35,FALSE)-(VLOOKUP($A138,EY!$A:$BS,33,FALSE)*80%))+VLOOKUP($A138,EY!$A:$BS,43,FALSE))+(VLOOKUP(A138,EY!A:DF,110,FALSE)-VLOOKUP(A138,EY!A:DD,108,FALSE))+(VLOOKUP(A138,EY!A:CE,83,FALSE)-VLOOKUP(A138,EY!A:CC,81,FALSE))</f>
        <v>0</v>
      </c>
      <c r="EO138" s="309"/>
      <c r="EP138" s="309">
        <f>_xlfn.IFNA((VLOOKUP($A138,HN!$A:$K,8,FALSE)/12),0)+_xlfn.IFNA((VLOOKUP($A138,HN!$A:$AF,32,FALSE)*1/12),0)</f>
        <v>0</v>
      </c>
      <c r="EQ138" s="309">
        <f>_xlfn.IFNA((VLOOKUP($A138,HN!$A:$BS,14,FALSE)/12),0)+_xlfn.IFNA((VLOOKUP($A138,HN!$A:$BS,34,FALSE)/3),0)</f>
        <v>0</v>
      </c>
      <c r="ER138" s="309">
        <f>_xlfn.IFNA(VLOOKUP($A138,'Post 16'!$A:$AV,32,FALSE),0)/8</f>
        <v>0</v>
      </c>
      <c r="ES138" s="309">
        <f>((VLOOKUP($A138,EY!A:EV,33,FALSE)*80%))+VLOOKUP(A138,EY!A:DD,108,FALSE)+VLOOKUP(A138,EY!A:CC,81,FALSE)</f>
        <v>0</v>
      </c>
      <c r="ET138" s="309">
        <f>_xlfn.IFNA((VLOOKUP($A138,HN!$A:$K,9,FALSE)/12),0)+_xlfn.IFNA((VLOOKUP($A138,HN!$A:$K,10,FALSE)/12),0)+_xlfn.IFNA((VLOOKUP($A138,HN!$A:$BZ,33,FALSE)/12),0)</f>
        <v>0</v>
      </c>
      <c r="EU138" s="309">
        <f>_xlfn.IFNA((VLOOKUP($A138,HN!$A:$BS,15,FALSE)/12),0)</f>
        <v>0</v>
      </c>
      <c r="EV138" s="308">
        <f t="shared" si="165"/>
        <v>-899.75999999999988</v>
      </c>
      <c r="EW138" s="308">
        <f t="shared" si="166"/>
        <v>-2561.6508333333336</v>
      </c>
      <c r="EX138" s="309"/>
      <c r="EY138" s="309">
        <f>_xlfn.IFNA(VLOOKUP($A138,'Cash Advances'!$A:$S,17,FALSE),0)</f>
        <v>0</v>
      </c>
      <c r="EZ138" s="309">
        <f>_xlfn.IFNA(VLOOKUP(A138,'LA Deductions'!A:AZ,25,FALSE),0)/9</f>
        <v>0</v>
      </c>
      <c r="FA138" s="308">
        <f t="shared" si="177"/>
        <v>196373.2294637888</v>
      </c>
      <c r="FB138" s="315">
        <f t="shared" si="167"/>
        <v>199834.64029712215</v>
      </c>
      <c r="FC138" s="315"/>
      <c r="FD138" s="316"/>
      <c r="FE138" s="316">
        <f>_xlfn.IFNA((VLOOKUP($A138,HN!$A:$K,8,FALSE)/12),0)+_xlfn.IFNA((VLOOKUP($A138,HN!$A:$AF,32,FALSE)*1/12),0)</f>
        <v>0</v>
      </c>
      <c r="FF138" s="316">
        <f>_xlfn.IFNA((VLOOKUP($A138,HN!$A:$BS,14,FALSE)/12),0)+_xlfn.IFNA((VLOOKUP($A138,HN!$A:$BS,34,FALSE)/3),0)</f>
        <v>0</v>
      </c>
      <c r="FG138" s="316">
        <f>_xlfn.IFNA(VLOOKUP($A138,'Post 16'!$A:$AV,32,FALSE),0)/8</f>
        <v>0</v>
      </c>
      <c r="FH138" s="316"/>
      <c r="FI138" s="316">
        <f>_xlfn.IFNA((VLOOKUP($A138,HN!$A:$K,9,FALSE)/12),0)+_xlfn.IFNA((VLOOKUP($A138,HN!$A:$K,10,FALSE)/12),0)+_xlfn.IFNA((VLOOKUP($A138,HN!$A:$BZ,33,FALSE)/12),0)+_xlfn.IFNA((VLOOKUP($A138,HN!$A:$BZ,35,FALSE)/2),0)</f>
        <v>0</v>
      </c>
      <c r="FJ138" s="316">
        <f>_xlfn.IFNA((VLOOKUP($A138,HN!$A:$BS,15,FALSE)/12),0)+_xlfn.IFNA((VLOOKUP($A138,HN!$A:$CZ,36,FALSE)/2),0)</f>
        <v>0</v>
      </c>
      <c r="FK138" s="315">
        <f t="shared" si="168"/>
        <v>-899.75999999999988</v>
      </c>
      <c r="FL138" s="315">
        <f t="shared" si="169"/>
        <v>-2561.6508333333336</v>
      </c>
      <c r="FM138" s="316"/>
      <c r="FN138" s="316">
        <f>_xlfn.IFNA(VLOOKUP($A138,'Cash Advances'!$A:$S,18,FALSE),0)</f>
        <v>0</v>
      </c>
      <c r="FO138" s="316">
        <f>_xlfn.IFNA(VLOOKUP(A138,'LA Deductions'!A:AZ,25,FALSE),0)/9</f>
        <v>0</v>
      </c>
      <c r="FP138" s="315">
        <f t="shared" si="178"/>
        <v>196373.2294637888</v>
      </c>
      <c r="FQ138" s="322">
        <f t="shared" si="170"/>
        <v>199834.64029712215</v>
      </c>
      <c r="FR138" s="322"/>
      <c r="FS138" s="323"/>
      <c r="FT138" s="323">
        <f>_xlfn.IFNA((VLOOKUP($A138,HN!$A:$K,8,FALSE)/12),0)+_xlfn.IFNA((VLOOKUP($A138,HN!$A:$AF,32,FALSE)*1/12),0)</f>
        <v>0</v>
      </c>
      <c r="FU138" s="323">
        <f>_xlfn.IFNA((VLOOKUP($A138,HN!$A:$BS,14,FALSE)/12),0)+_xlfn.IFNA((VLOOKUP($A138,HN!$A:$BS,34,FALSE)/3),0)</f>
        <v>0</v>
      </c>
      <c r="FV138" s="323">
        <f>_xlfn.IFNA(VLOOKUP($A138,'Post 16'!$A:$AV,32,FALSE),0)/8</f>
        <v>0</v>
      </c>
      <c r="FW138" s="323"/>
      <c r="FX138" s="323">
        <f>_xlfn.IFNA((VLOOKUP($A138,HN!$A:$K,9,FALSE)/12),0)+_xlfn.IFNA((VLOOKUP($A138,HN!$A:$K,10,FALSE)/12),0)+_xlfn.IFNA((VLOOKUP($A138,HN!$A:$BZ,33,FALSE)/12),0)+_xlfn.IFNA((VLOOKUP($A138,HN!$A:$BZ,35,FALSE)/2),0)</f>
        <v>0</v>
      </c>
      <c r="FY138" s="323">
        <f>_xlfn.IFNA((VLOOKUP($A138,HN!$A:$BS,15,FALSE)/12),0)+_xlfn.IFNA((VLOOKUP($A138,HN!$A:$CZ,36,FALSE)/2),0)</f>
        <v>0</v>
      </c>
      <c r="FZ138" s="322">
        <f t="shared" si="171"/>
        <v>-899.75999999999988</v>
      </c>
      <c r="GA138" s="322">
        <f t="shared" si="172"/>
        <v>-2561.6508333333336</v>
      </c>
      <c r="GB138" s="323"/>
      <c r="GC138" s="323"/>
      <c r="GD138" s="323">
        <f>_xlfn.IFNA(VLOOKUP(A138,'LA Deductions'!A:AZ,25,FALSE),0)/9</f>
        <v>0</v>
      </c>
      <c r="GE138" s="322">
        <f t="shared" si="179"/>
        <v>196373.2294637888</v>
      </c>
      <c r="GG138" s="146">
        <f t="shared" si="180"/>
        <v>2398015.6835654657</v>
      </c>
      <c r="GH138" s="146">
        <f t="shared" si="180"/>
        <v>0</v>
      </c>
      <c r="GI138" s="146">
        <f t="shared" si="180"/>
        <v>0</v>
      </c>
      <c r="GJ138" s="146">
        <f t="shared" si="180"/>
        <v>-10797.12</v>
      </c>
      <c r="GK138" s="146">
        <f t="shared" si="180"/>
        <v>-30739.81</v>
      </c>
      <c r="GL138" s="146">
        <f t="shared" si="180"/>
        <v>-9471</v>
      </c>
      <c r="GN138" s="146">
        <f t="shared" si="181"/>
        <v>2398015.6835654657</v>
      </c>
      <c r="GO138" s="146">
        <f t="shared" si="181"/>
        <v>0</v>
      </c>
      <c r="GP138" s="146">
        <f t="shared" si="181"/>
        <v>0</v>
      </c>
      <c r="GQ138" s="146">
        <f t="shared" si="181"/>
        <v>-10797.12</v>
      </c>
      <c r="GR138" s="146">
        <f t="shared" si="181"/>
        <v>-30739.81</v>
      </c>
      <c r="GS138" s="146">
        <f t="shared" si="181"/>
        <v>-9471</v>
      </c>
      <c r="GU138" s="146"/>
      <c r="GV138" s="57"/>
    </row>
    <row r="139" spans="1:204">
      <c r="A139" s="185">
        <v>2190</v>
      </c>
      <c r="B139" s="185">
        <v>103266</v>
      </c>
      <c r="C139" s="185" t="s">
        <v>302</v>
      </c>
      <c r="D139" s="2" t="s">
        <v>303</v>
      </c>
      <c r="E139" s="191" t="s">
        <v>32</v>
      </c>
      <c r="F139" s="191" t="s">
        <v>912</v>
      </c>
      <c r="H139" s="279">
        <f>_xlfn.IFNA(VLOOKUP($A139,ISB!$A$4:$BY$454,67,FALSE),0)</f>
        <v>1034341.7467947369</v>
      </c>
      <c r="I139" s="279">
        <f>_xlfn.IFNA(VLOOKUP($A139,ISB!$A$4:$BY$454,72,FALSE),0)</f>
        <v>-4068.4799999999996</v>
      </c>
      <c r="J139" s="279">
        <f>-_xlfn.IFNA(VLOOKUP($A139,ISB!$A$4:$BY$454,76,FALSE),0)</f>
        <v>-21694.67</v>
      </c>
      <c r="K139" s="279">
        <f>_xlfn.IFNA(VLOOKUP($A139,ISB!$A$4:$BY$454,77,FALSE),0)</f>
        <v>1008578.5967947369</v>
      </c>
      <c r="M139" s="301">
        <f t="shared" si="137"/>
        <v>86195.145566228079</v>
      </c>
      <c r="N139" s="301">
        <f>VLOOKUP($A139,EY!$A:$H,8,FALSE)+(VLOOKUP($A139,EY!$A:$BS,17,FALSE)-S139)+VLOOKUP($A139,EY!$A:$BS,41,FALSE)</f>
        <v>0</v>
      </c>
      <c r="O139" s="302"/>
      <c r="P139" s="302">
        <f>_xlfn.IFNA((VLOOKUP($A139,HN!$A:$K,8,FALSE)/12),0)</f>
        <v>0</v>
      </c>
      <c r="Q139" s="302">
        <f>_xlfn.IFNA((VLOOKUP($A139,HN!$A:$BS,14,FALSE)/12),0)</f>
        <v>0</v>
      </c>
      <c r="R139" s="302">
        <f>_xlfn.IFNA(VLOOKUP($A139,'Post 16'!$A:$V,21,FALSE),0)/4</f>
        <v>0</v>
      </c>
      <c r="S139" s="302">
        <f>VLOOKUP($A139,EY!A:Q,15,FALSE)*80%</f>
        <v>0</v>
      </c>
      <c r="T139" s="302">
        <f>_xlfn.IFNA((VLOOKUP($A139,HN!$A:$K,9,FALSE)/12),0)+_xlfn.IFNA((VLOOKUP($A139,HN!$A:$K,10,FALSE)/12),0)</f>
        <v>0</v>
      </c>
      <c r="U139" s="302">
        <f>_xlfn.IFNA((VLOOKUP($A139,HN!$A:$BS,15,FALSE)/12),0)</f>
        <v>0</v>
      </c>
      <c r="V139" s="301">
        <f t="shared" si="138"/>
        <v>-339.03999999999996</v>
      </c>
      <c r="W139" s="301">
        <f t="shared" si="139"/>
        <v>-1807.8891666666666</v>
      </c>
      <c r="X139" s="302"/>
      <c r="Y139" s="302">
        <f>_xlfn.IFNA(VLOOKUP($A139,'Cash Advances'!$A:$S,8,FALSE),0)</f>
        <v>0</v>
      </c>
      <c r="Z139" s="301">
        <f t="shared" si="132"/>
        <v>84048.216399561425</v>
      </c>
      <c r="AA139" s="315">
        <f t="shared" si="140"/>
        <v>86195.145566228079</v>
      </c>
      <c r="AB139" s="315"/>
      <c r="AC139" s="316"/>
      <c r="AD139" s="316">
        <f>_xlfn.IFNA((VLOOKUP($A139,HN!$A:$K,8,FALSE)/12),0)</f>
        <v>0</v>
      </c>
      <c r="AE139" s="316">
        <f>_xlfn.IFNA((VLOOKUP($A139,HN!$A:$BS,14,FALSE)/12),0)</f>
        <v>0</v>
      </c>
      <c r="AF139" s="316">
        <f>_xlfn.IFNA(VLOOKUP($A139,'Post 16'!$A:$V,21,FALSE),0)/4</f>
        <v>0</v>
      </c>
      <c r="AG139" s="316"/>
      <c r="AH139" s="316">
        <f>_xlfn.IFNA((VLOOKUP($A139,HN!$A:$K,9,FALSE)/12),0)+_xlfn.IFNA((VLOOKUP($A139,HN!$A:$K,10,FALSE)/12),0)</f>
        <v>0</v>
      </c>
      <c r="AI139" s="316">
        <f>_xlfn.IFNA((VLOOKUP($A139,HN!$A:$BS,15,FALSE)/12),0)</f>
        <v>0</v>
      </c>
      <c r="AJ139" s="315">
        <f t="shared" si="141"/>
        <v>-339.03999999999996</v>
      </c>
      <c r="AK139" s="315">
        <f t="shared" si="142"/>
        <v>-1807.8891666666666</v>
      </c>
      <c r="AL139" s="316"/>
      <c r="AM139" s="316">
        <f>_xlfn.IFNA(VLOOKUP($A139,'Cash Advances'!$A:$S,9,FALSE),0)</f>
        <v>0</v>
      </c>
      <c r="AN139" s="315">
        <f t="shared" si="133"/>
        <v>84048.216399561425</v>
      </c>
      <c r="AO139" s="308">
        <f t="shared" si="143"/>
        <v>86195.145566228079</v>
      </c>
      <c r="AP139" s="308"/>
      <c r="AQ139" s="309"/>
      <c r="AR139" s="309">
        <f>_xlfn.IFNA((VLOOKUP($A139,HN!$A:$K,8,FALSE)/12),0)</f>
        <v>0</v>
      </c>
      <c r="AS139" s="309">
        <f>_xlfn.IFNA((VLOOKUP($A139,HN!$A:$BS,14,FALSE)/12),0)</f>
        <v>0</v>
      </c>
      <c r="AT139" s="309">
        <f>_xlfn.IFNA(VLOOKUP($A139,'Post 16'!$A:$V,21,FALSE),0)/4</f>
        <v>0</v>
      </c>
      <c r="AU139" s="309"/>
      <c r="AV139" s="309">
        <f>_xlfn.IFNA((VLOOKUP($A139,HN!$A:$K,9,FALSE)/12),0)+_xlfn.IFNA((VLOOKUP($A139,HN!$A:$K,10,FALSE)/12),0)+_xlfn.IFNA(VLOOKUP(A139,HN!A:V,19,FALSE),0)+_xlfn.IFNA(VLOOKUP(A139,HN!A:V,20,FALSE),0)+_xlfn.IFNA(VLOOKUP(A139,HN!A:V,21,FALSE),0)</f>
        <v>0</v>
      </c>
      <c r="AW139" s="309">
        <f>_xlfn.IFNA((VLOOKUP($A139,HN!$A:$BS,15,FALSE)/12),0)</f>
        <v>0</v>
      </c>
      <c r="AX139" s="308">
        <f t="shared" si="144"/>
        <v>-339.03999999999996</v>
      </c>
      <c r="AY139" s="308">
        <f t="shared" si="145"/>
        <v>-1807.8891666666666</v>
      </c>
      <c r="AZ139" s="309"/>
      <c r="BA139" s="309">
        <f>_xlfn.IFNA(VLOOKUP($A139,'Cash Advances'!$A:$S,10,FALSE),0)</f>
        <v>0</v>
      </c>
      <c r="BB139" s="308">
        <f t="shared" si="134"/>
        <v>84048.216399561425</v>
      </c>
      <c r="BC139" s="330">
        <f t="shared" si="146"/>
        <v>86195.145566228079</v>
      </c>
      <c r="BD139" s="330"/>
      <c r="BE139" s="331"/>
      <c r="BF139" s="331">
        <f>_xlfn.IFNA((VLOOKUP($A139,HN!$A:$K,8,FALSE)/12),0)</f>
        <v>0</v>
      </c>
      <c r="BG139" s="331">
        <f>_xlfn.IFNA((VLOOKUP($A139,HN!$A:$BS,14,FALSE)/12),0)</f>
        <v>0</v>
      </c>
      <c r="BH139" s="331">
        <f>_xlfn.IFNA(VLOOKUP($A139,'Post 16'!$A:$V,21,FALSE),0)/4</f>
        <v>0</v>
      </c>
      <c r="BI139" s="331"/>
      <c r="BJ139" s="331">
        <f>_xlfn.IFNA((VLOOKUP($A139,HN!$A:$K,9,FALSE)/12),0)+_xlfn.IFNA((VLOOKUP($A139,HN!$A:$K,10,FALSE)/12),0)</f>
        <v>0</v>
      </c>
      <c r="BK139" s="331">
        <f>_xlfn.IFNA((VLOOKUP($A139,HN!$A:$BS,15,FALSE)/12),0)</f>
        <v>0</v>
      </c>
      <c r="BL139" s="330">
        <f t="shared" si="147"/>
        <v>-339.03999999999996</v>
      </c>
      <c r="BM139" s="330">
        <f t="shared" si="148"/>
        <v>-1807.8891666666666</v>
      </c>
      <c r="BN139" s="331"/>
      <c r="BO139" s="331">
        <f>_xlfn.IFNA(VLOOKUP(A139,'Cash Advances'!A:K,11,FALSE),0)</f>
        <v>0</v>
      </c>
      <c r="BP139" s="330">
        <f t="shared" si="135"/>
        <v>84048.216399561425</v>
      </c>
      <c r="BQ139" s="322">
        <f t="shared" si="149"/>
        <v>86195.145566228079</v>
      </c>
      <c r="BR139" s="322"/>
      <c r="BS139" s="323"/>
      <c r="BT139" s="323">
        <f>_xlfn.IFNA((VLOOKUP($A139,HN!$A:$K,8,FALSE)/12),0)</f>
        <v>0</v>
      </c>
      <c r="BU139" s="323">
        <f>_xlfn.IFNA((VLOOKUP($A139,HN!$A:$BS,14,FALSE)/12),0)</f>
        <v>0</v>
      </c>
      <c r="BV139" s="323">
        <f>(_xlfn.IFNA(VLOOKUP($A139,'Post 16'!$A:$AV,32,FALSE),0)/8)+_xlfn.IFNA(VLOOKUP($A139,'Post 16'!$A:$AR,40,FALSE),0)</f>
        <v>0</v>
      </c>
      <c r="BW139" s="323"/>
      <c r="BX139" s="323">
        <f>_xlfn.IFNA((VLOOKUP($A139,HN!$A:$K,9,FALSE)/12),0)+_xlfn.IFNA((VLOOKUP($A139,HN!$A:$K,10,FALSE)/12),0)</f>
        <v>0</v>
      </c>
      <c r="BY139" s="323">
        <f>_xlfn.IFNA((VLOOKUP($A139,HN!$A:$BS,15,FALSE)/12),0)</f>
        <v>0</v>
      </c>
      <c r="BZ139" s="322">
        <f t="shared" si="150"/>
        <v>-339.03999999999996</v>
      </c>
      <c r="CA139" s="322">
        <f t="shared" si="151"/>
        <v>-1807.8891666666666</v>
      </c>
      <c r="CB139" s="323"/>
      <c r="CC139" s="323"/>
      <c r="CD139" s="322">
        <f t="shared" si="136"/>
        <v>84048.216399561425</v>
      </c>
      <c r="CE139" s="357">
        <f t="shared" si="152"/>
        <v>86195.145566228079</v>
      </c>
      <c r="CF139" s="357">
        <f>(VLOOKUP($A139,EY!$A:$BS,26,FALSE)-(VLOOKUP($A139,EY!A:CR,24,FALSE)*80%))+VLOOKUP($A139,EY!$A:$BS,42,FALSE)+(VLOOKUP($A139,EY!A:CC,74,FALSE)-VLOOKUP($A139,EY!A:CC,72,FALSE))</f>
        <v>0</v>
      </c>
      <c r="CG139" s="358"/>
      <c r="CH139" s="358">
        <f>_xlfn.IFNA((VLOOKUP($A139,HN!$A:$K,8,FALSE)/12),0)</f>
        <v>0</v>
      </c>
      <c r="CI139" s="358">
        <f>_xlfn.IFNA((VLOOKUP($A139,HN!$A:$BS,14,FALSE)/12),0)</f>
        <v>0</v>
      </c>
      <c r="CJ139" s="358">
        <f>(_xlfn.IFNA(VLOOKUP($A139,'Post 16'!$A:$AV,32,FALSE),0)/8)</f>
        <v>0</v>
      </c>
      <c r="CK139" s="358">
        <f>(VLOOKUP($A139,EY!A:CR,24,FALSE)*80%)+VLOOKUP($A139,EY!A:CC,72,FALSE)</f>
        <v>0</v>
      </c>
      <c r="CL139" s="358">
        <f>_xlfn.IFNA((VLOOKUP($A139,HN!$A:$K,9,FALSE)/12),0)+_xlfn.IFNA((VLOOKUP($A139,HN!$A:$K,10,FALSE)/12),0)</f>
        <v>0</v>
      </c>
      <c r="CM139" s="358">
        <f>_xlfn.IFNA((VLOOKUP($A139,HN!$A:$BS,15,FALSE)/12),0)</f>
        <v>0</v>
      </c>
      <c r="CN139" s="357">
        <f t="shared" si="153"/>
        <v>-339.03999999999996</v>
      </c>
      <c r="CO139" s="357">
        <f t="shared" si="154"/>
        <v>-1807.8891666666666</v>
      </c>
      <c r="CP139" s="358">
        <f>_xlfn.IFNA(VLOOKUP(A139,'LA Deductions'!A:W,23,FALSE),0)</f>
        <v>-5139.75</v>
      </c>
      <c r="CQ139" s="358">
        <f>_xlfn.IFNA(VLOOKUP($A139,'Cash Advances'!$A:$S,13,FALSE),0)</f>
        <v>0</v>
      </c>
      <c r="CR139" s="358">
        <f>_xlfn.IFNA(VLOOKUP(A139,'LA Deductions'!A:AZ,25,FALSE),0)/9*3</f>
        <v>0</v>
      </c>
      <c r="CS139" s="357">
        <f t="shared" si="173"/>
        <v>78908.466399561425</v>
      </c>
      <c r="CT139" s="337">
        <f t="shared" si="155"/>
        <v>86195.145566228079</v>
      </c>
      <c r="CU139" s="337"/>
      <c r="CV139" s="338">
        <f>_xlfn.IFNA(VLOOKUP(A139,'LA Deductions'!$A$6:$AN$207,34,FALSE),0)</f>
        <v>0</v>
      </c>
      <c r="CW139" s="338">
        <f>_xlfn.IFNA((VLOOKUP($A139,HN!$A:$K,8,FALSE)/12),0)</f>
        <v>0</v>
      </c>
      <c r="CX139" s="338">
        <f>_xlfn.IFNA((VLOOKUP($A139,HN!$A:$BS,14,FALSE)/12),0)</f>
        <v>0</v>
      </c>
      <c r="CY139" s="338">
        <f>_xlfn.IFNA(VLOOKUP($A139,'Post 16'!$A:$AV,32,FALSE),0)/8</f>
        <v>0</v>
      </c>
      <c r="CZ139" s="338"/>
      <c r="DA139" s="338">
        <f>_xlfn.IFNA((VLOOKUP($A139,HN!$A:$K,9,FALSE)/12),0)+_xlfn.IFNA((VLOOKUP($A139,HN!$A:$K,10,FALSE)/12),0)</f>
        <v>0</v>
      </c>
      <c r="DB139" s="338">
        <f>_xlfn.IFNA((VLOOKUP($A139,HN!$A:$BS,15,FALSE)/12),0)</f>
        <v>0</v>
      </c>
      <c r="DC139" s="337">
        <f t="shared" si="156"/>
        <v>-339.03999999999996</v>
      </c>
      <c r="DD139" s="337">
        <f t="shared" si="157"/>
        <v>-1807.8891666666666</v>
      </c>
      <c r="DE139" s="338"/>
      <c r="DF139" s="338">
        <f>_xlfn.IFNA(VLOOKUP($A139,'Cash Advances'!$A:$S,14,FALSE),0)</f>
        <v>0</v>
      </c>
      <c r="DG139" s="338">
        <f>(_xlfn.IFNA(VLOOKUP(A139,'LA Deductions'!A:AZ,25,FALSE),0)/9)+(_xlfn.IFNA(VLOOKUP(A139,'LA Deductions'!A:AZ,26,FALSE),0))</f>
        <v>0</v>
      </c>
      <c r="DH139" s="337">
        <f t="shared" si="174"/>
        <v>84048.216399561425</v>
      </c>
      <c r="DI139" s="330">
        <f t="shared" si="158"/>
        <v>86195.145566228079</v>
      </c>
      <c r="DJ139" s="330"/>
      <c r="DK139" s="331"/>
      <c r="DL139" s="331">
        <f>_xlfn.IFNA((VLOOKUP($A139,HN!$A:$K,8,FALSE)/12),0)+_xlfn.IFNA((VLOOKUP($A139,HN!$A:$AF,32,FALSE)*8/12),0)</f>
        <v>0</v>
      </c>
      <c r="DM139" s="331">
        <f>_xlfn.IFNA((VLOOKUP($A139,HN!$A:$BS,14,FALSE)/12),0)+_xlfn.IFNA(VLOOKUP($A139,HN!$A:$BS,31,FALSE),0)</f>
        <v>0</v>
      </c>
      <c r="DN139" s="331">
        <f>_xlfn.IFNA(VLOOKUP($A139,'Post 16'!$A:$AV,32,FALSE),0)/8</f>
        <v>0</v>
      </c>
      <c r="DO139" s="331"/>
      <c r="DP139" s="331">
        <f>_xlfn.IFNA((VLOOKUP($A139,HN!$A:$K,9,FALSE)/12),0)+_xlfn.IFNA((VLOOKUP($A139,HN!$A:$K,10,FALSE)/12),0)+_xlfn.IFNA((VLOOKUP($A139,HN!$A:$BZ,33,FALSE)*8/12),0)</f>
        <v>0</v>
      </c>
      <c r="DQ139" s="331">
        <f>_xlfn.IFNA((VLOOKUP($A139,HN!$A:$BS,15,FALSE)/12),0)</f>
        <v>0</v>
      </c>
      <c r="DR139" s="330">
        <f t="shared" si="159"/>
        <v>-339.03999999999996</v>
      </c>
      <c r="DS139" s="330">
        <f t="shared" si="160"/>
        <v>-1807.8891666666666</v>
      </c>
      <c r="DT139" s="331"/>
      <c r="DU139" s="331"/>
      <c r="DV139" s="331">
        <f>(_xlfn.IFNA(VLOOKUP(A139,'LA Deductions'!A:AZ,25,FALSE),0)/9)+_xlfn.IFNA(VLOOKUP(A139,'LA Deductions'!A:AZ,27,FALSE),0)</f>
        <v>0</v>
      </c>
      <c r="DW139" s="330">
        <f t="shared" si="175"/>
        <v>84048.216399561425</v>
      </c>
      <c r="DX139" s="344">
        <f t="shared" si="161"/>
        <v>86195.145566228079</v>
      </c>
      <c r="DY139" s="344"/>
      <c r="DZ139" s="345"/>
      <c r="EA139" s="345">
        <f>_xlfn.IFNA((VLOOKUP($A139,HN!$A:$K,8,FALSE)/12),0)+_xlfn.IFNA((VLOOKUP($A139,HN!$A:$AF,32,FALSE)*1/12),0)</f>
        <v>0</v>
      </c>
      <c r="EB139" s="345">
        <f>_xlfn.IFNA((VLOOKUP($A139,HN!$A:$BS,14,FALSE)/12),0)</f>
        <v>0</v>
      </c>
      <c r="EC139" s="345">
        <f>_xlfn.IFNA(VLOOKUP($A139,'Post 16'!$A:$AV,32,FALSE),0)/8</f>
        <v>0</v>
      </c>
      <c r="ED139" s="345"/>
      <c r="EE139" s="345">
        <f>_xlfn.IFNA((VLOOKUP($A139,HN!$A:$K,9,FALSE)/12),0)+_xlfn.IFNA((VLOOKUP($A139,HN!$A:$K,10,FALSE)/12),0)+_xlfn.IFNA((VLOOKUP($A139,HN!$A:$BZ,33,FALSE)/12),0)</f>
        <v>0</v>
      </c>
      <c r="EF139" s="345">
        <f>_xlfn.IFNA((VLOOKUP($A139,HN!$A:$BS,15,FALSE)/12),0)</f>
        <v>0</v>
      </c>
      <c r="EG139" s="344">
        <f t="shared" si="162"/>
        <v>-339.03999999999996</v>
      </c>
      <c r="EH139" s="344">
        <f t="shared" si="163"/>
        <v>-1807.8891666666666</v>
      </c>
      <c r="EI139" s="345"/>
      <c r="EJ139" s="345">
        <f>_xlfn.IFNA(VLOOKUP(A139,'Cash Advances'!A:P,16,FALSE),0)</f>
        <v>0</v>
      </c>
      <c r="EK139" s="345">
        <f>_xlfn.IFNA(VLOOKUP(A139,'LA Deductions'!A:AZ,25,FALSE),0)/9</f>
        <v>0</v>
      </c>
      <c r="EL139" s="344">
        <f t="shared" si="176"/>
        <v>84048.216399561425</v>
      </c>
      <c r="EM139" s="308">
        <f t="shared" si="164"/>
        <v>86195.145566228079</v>
      </c>
      <c r="EN139" s="308">
        <f>((VLOOKUP($A139,EY!$A:$BS,35,FALSE)-(VLOOKUP($A139,EY!$A:$BS,33,FALSE)*80%))+VLOOKUP($A139,EY!$A:$BS,43,FALSE))+(VLOOKUP(A139,EY!A:DF,110,FALSE)-VLOOKUP(A139,EY!A:DD,108,FALSE))+(VLOOKUP(A139,EY!A:CE,83,FALSE)-VLOOKUP(A139,EY!A:CC,81,FALSE))</f>
        <v>0</v>
      </c>
      <c r="EO139" s="309"/>
      <c r="EP139" s="309">
        <f>_xlfn.IFNA((VLOOKUP($A139,HN!$A:$K,8,FALSE)/12),0)+_xlfn.IFNA((VLOOKUP($A139,HN!$A:$AF,32,FALSE)*1/12),0)</f>
        <v>0</v>
      </c>
      <c r="EQ139" s="309">
        <f>_xlfn.IFNA((VLOOKUP($A139,HN!$A:$BS,14,FALSE)/12),0)+_xlfn.IFNA((VLOOKUP($A139,HN!$A:$BS,34,FALSE)/3),0)</f>
        <v>0</v>
      </c>
      <c r="ER139" s="309">
        <f>_xlfn.IFNA(VLOOKUP($A139,'Post 16'!$A:$AV,32,FALSE),0)/8</f>
        <v>0</v>
      </c>
      <c r="ES139" s="309">
        <f>((VLOOKUP($A139,EY!A:EV,33,FALSE)*80%))+VLOOKUP(A139,EY!A:DD,108,FALSE)+VLOOKUP(A139,EY!A:CC,81,FALSE)</f>
        <v>0</v>
      </c>
      <c r="ET139" s="309">
        <f>_xlfn.IFNA((VLOOKUP($A139,HN!$A:$K,9,FALSE)/12),0)+_xlfn.IFNA((VLOOKUP($A139,HN!$A:$K,10,FALSE)/12),0)+_xlfn.IFNA((VLOOKUP($A139,HN!$A:$BZ,33,FALSE)/12),0)</f>
        <v>0</v>
      </c>
      <c r="EU139" s="309">
        <f>_xlfn.IFNA((VLOOKUP($A139,HN!$A:$BS,15,FALSE)/12),0)</f>
        <v>0</v>
      </c>
      <c r="EV139" s="308">
        <f t="shared" si="165"/>
        <v>-339.03999999999996</v>
      </c>
      <c r="EW139" s="308">
        <f t="shared" si="166"/>
        <v>-1807.8891666666666</v>
      </c>
      <c r="EX139" s="309"/>
      <c r="EY139" s="309">
        <f>_xlfn.IFNA(VLOOKUP($A139,'Cash Advances'!$A:$S,17,FALSE),0)</f>
        <v>0</v>
      </c>
      <c r="EZ139" s="309">
        <f>_xlfn.IFNA(VLOOKUP(A139,'LA Deductions'!A:AZ,25,FALSE),0)/9</f>
        <v>0</v>
      </c>
      <c r="FA139" s="308">
        <f t="shared" si="177"/>
        <v>84048.216399561425</v>
      </c>
      <c r="FB139" s="315">
        <f t="shared" si="167"/>
        <v>86195.145566228079</v>
      </c>
      <c r="FC139" s="315"/>
      <c r="FD139" s="316"/>
      <c r="FE139" s="316">
        <f>_xlfn.IFNA((VLOOKUP($A139,HN!$A:$K,8,FALSE)/12),0)+_xlfn.IFNA((VLOOKUP($A139,HN!$A:$AF,32,FALSE)*1/12),0)</f>
        <v>0</v>
      </c>
      <c r="FF139" s="316">
        <f>_xlfn.IFNA((VLOOKUP($A139,HN!$A:$BS,14,FALSE)/12),0)+_xlfn.IFNA((VLOOKUP($A139,HN!$A:$BS,34,FALSE)/3),0)</f>
        <v>0</v>
      </c>
      <c r="FG139" s="316">
        <f>_xlfn.IFNA(VLOOKUP($A139,'Post 16'!$A:$AV,32,FALSE),0)/8</f>
        <v>0</v>
      </c>
      <c r="FH139" s="316"/>
      <c r="FI139" s="316">
        <f>_xlfn.IFNA((VLOOKUP($A139,HN!$A:$K,9,FALSE)/12),0)+_xlfn.IFNA((VLOOKUP($A139,HN!$A:$K,10,FALSE)/12),0)+_xlfn.IFNA((VLOOKUP($A139,HN!$A:$BZ,33,FALSE)/12),0)+_xlfn.IFNA((VLOOKUP($A139,HN!$A:$BZ,35,FALSE)/2),0)</f>
        <v>0</v>
      </c>
      <c r="FJ139" s="316">
        <f>_xlfn.IFNA((VLOOKUP($A139,HN!$A:$BS,15,FALSE)/12),0)+_xlfn.IFNA((VLOOKUP($A139,HN!$A:$CZ,36,FALSE)/2),0)</f>
        <v>0</v>
      </c>
      <c r="FK139" s="315">
        <f t="shared" si="168"/>
        <v>-339.03999999999996</v>
      </c>
      <c r="FL139" s="315">
        <f t="shared" si="169"/>
        <v>-1807.8891666666666</v>
      </c>
      <c r="FM139" s="316"/>
      <c r="FN139" s="316">
        <f>_xlfn.IFNA(VLOOKUP($A139,'Cash Advances'!$A:$S,18,FALSE),0)</f>
        <v>0</v>
      </c>
      <c r="FO139" s="316">
        <f>_xlfn.IFNA(VLOOKUP(A139,'LA Deductions'!A:AZ,25,FALSE),0)/9</f>
        <v>0</v>
      </c>
      <c r="FP139" s="315">
        <f t="shared" si="178"/>
        <v>84048.216399561425</v>
      </c>
      <c r="FQ139" s="322">
        <f t="shared" si="170"/>
        <v>86195.145566228079</v>
      </c>
      <c r="FR139" s="322"/>
      <c r="FS139" s="323"/>
      <c r="FT139" s="323">
        <f>_xlfn.IFNA((VLOOKUP($A139,HN!$A:$K,8,FALSE)/12),0)+_xlfn.IFNA((VLOOKUP($A139,HN!$A:$AF,32,FALSE)*1/12),0)</f>
        <v>0</v>
      </c>
      <c r="FU139" s="323">
        <f>_xlfn.IFNA((VLOOKUP($A139,HN!$A:$BS,14,FALSE)/12),0)+_xlfn.IFNA((VLOOKUP($A139,HN!$A:$BS,34,FALSE)/3),0)</f>
        <v>0</v>
      </c>
      <c r="FV139" s="323">
        <f>_xlfn.IFNA(VLOOKUP($A139,'Post 16'!$A:$AV,32,FALSE),0)/8</f>
        <v>0</v>
      </c>
      <c r="FW139" s="323"/>
      <c r="FX139" s="323">
        <f>_xlfn.IFNA((VLOOKUP($A139,HN!$A:$K,9,FALSE)/12),0)+_xlfn.IFNA((VLOOKUP($A139,HN!$A:$K,10,FALSE)/12),0)+_xlfn.IFNA((VLOOKUP($A139,HN!$A:$BZ,33,FALSE)/12),0)+_xlfn.IFNA((VLOOKUP($A139,HN!$A:$BZ,35,FALSE)/2),0)</f>
        <v>0</v>
      </c>
      <c r="FY139" s="323">
        <f>_xlfn.IFNA((VLOOKUP($A139,HN!$A:$BS,15,FALSE)/12),0)+_xlfn.IFNA((VLOOKUP($A139,HN!$A:$CZ,36,FALSE)/2),0)</f>
        <v>0</v>
      </c>
      <c r="FZ139" s="322">
        <f t="shared" si="171"/>
        <v>-339.03999999999996</v>
      </c>
      <c r="GA139" s="322">
        <f t="shared" si="172"/>
        <v>-1807.8891666666666</v>
      </c>
      <c r="GB139" s="323"/>
      <c r="GC139" s="323"/>
      <c r="GD139" s="323">
        <f>_xlfn.IFNA(VLOOKUP(A139,'LA Deductions'!A:AZ,25,FALSE),0)/9</f>
        <v>0</v>
      </c>
      <c r="GE139" s="322">
        <f t="shared" si="179"/>
        <v>84048.216399561425</v>
      </c>
      <c r="GG139" s="146">
        <f t="shared" si="180"/>
        <v>1034341.7467947369</v>
      </c>
      <c r="GH139" s="146">
        <f t="shared" si="180"/>
        <v>0</v>
      </c>
      <c r="GI139" s="146">
        <f t="shared" si="180"/>
        <v>0</v>
      </c>
      <c r="GJ139" s="146">
        <f t="shared" si="180"/>
        <v>-4068.4799999999996</v>
      </c>
      <c r="GK139" s="146">
        <f t="shared" si="180"/>
        <v>-21694.67</v>
      </c>
      <c r="GL139" s="146">
        <f t="shared" si="180"/>
        <v>-5139.75</v>
      </c>
      <c r="GN139" s="146">
        <f t="shared" si="181"/>
        <v>1034341.7467947369</v>
      </c>
      <c r="GO139" s="146">
        <f t="shared" si="181"/>
        <v>0</v>
      </c>
      <c r="GP139" s="146">
        <f t="shared" si="181"/>
        <v>0</v>
      </c>
      <c r="GQ139" s="146">
        <f t="shared" si="181"/>
        <v>-4068.4799999999996</v>
      </c>
      <c r="GR139" s="146">
        <f t="shared" si="181"/>
        <v>-21694.67</v>
      </c>
      <c r="GS139" s="146">
        <f t="shared" si="181"/>
        <v>-5139.75</v>
      </c>
      <c r="GU139" s="146"/>
      <c r="GV139" s="57"/>
    </row>
    <row r="140" spans="1:204">
      <c r="A140" s="185">
        <v>7035</v>
      </c>
      <c r="B140" s="185">
        <v>103615</v>
      </c>
      <c r="C140" s="185" t="s">
        <v>304</v>
      </c>
      <c r="D140" s="2" t="s">
        <v>305</v>
      </c>
      <c r="E140" s="191" t="s">
        <v>47</v>
      </c>
      <c r="F140" s="191" t="s">
        <v>912</v>
      </c>
      <c r="H140" s="279">
        <f>_xlfn.IFNA(VLOOKUP($A140,ISB!$A$4:$BY$454,67,FALSE),0)</f>
        <v>0</v>
      </c>
      <c r="I140" s="279">
        <f>_xlfn.IFNA(VLOOKUP($A140,ISB!$A$4:$BY$454,72,FALSE),0)</f>
        <v>0</v>
      </c>
      <c r="J140" s="279">
        <f>-_xlfn.IFNA(VLOOKUP($A140,ISB!$A$4:$BY$454,76,FALSE),0)</f>
        <v>0</v>
      </c>
      <c r="K140" s="279">
        <f>_xlfn.IFNA(VLOOKUP($A140,ISB!$A$4:$BY$454,77,FALSE),0)</f>
        <v>0</v>
      </c>
      <c r="M140" s="301">
        <f t="shared" si="137"/>
        <v>0</v>
      </c>
      <c r="N140" s="301">
        <f>VLOOKUP($A140,EY!$A:$H,8,FALSE)+(VLOOKUP($A140,EY!$A:$BS,17,FALSE)-S140)+VLOOKUP($A140,EY!$A:$BS,41,FALSE)</f>
        <v>0</v>
      </c>
      <c r="O140" s="302"/>
      <c r="P140" s="302">
        <f>_xlfn.IFNA((VLOOKUP($A140,HN!$A:$K,8,FALSE)/12),0)</f>
        <v>138187.5</v>
      </c>
      <c r="Q140" s="302">
        <f>_xlfn.IFNA((VLOOKUP($A140,HN!$A:$BS,14,FALSE)/12),0)</f>
        <v>0</v>
      </c>
      <c r="R140" s="302">
        <f>_xlfn.IFNA(VLOOKUP($A140,'Post 16'!$A:$V,21,FALSE),0)/4</f>
        <v>0</v>
      </c>
      <c r="S140" s="302">
        <f>VLOOKUP($A140,EY!A:Q,15,FALSE)*80%</f>
        <v>0</v>
      </c>
      <c r="T140" s="302">
        <f>_xlfn.IFNA((VLOOKUP($A140,HN!$A:$K,9,FALSE)/12),0)+_xlfn.IFNA((VLOOKUP($A140,HN!$A:$K,10,FALSE)/12),0)</f>
        <v>104265.2232003949</v>
      </c>
      <c r="U140" s="302">
        <f>_xlfn.IFNA((VLOOKUP($A140,HN!$A:$BS,15,FALSE)/12),0)</f>
        <v>0</v>
      </c>
      <c r="V140" s="301">
        <f t="shared" si="138"/>
        <v>0</v>
      </c>
      <c r="W140" s="301">
        <f t="shared" si="139"/>
        <v>0</v>
      </c>
      <c r="X140" s="302"/>
      <c r="Y140" s="302">
        <f>_xlfn.IFNA(VLOOKUP($A140,'Cash Advances'!$A:$S,8,FALSE),0)</f>
        <v>0</v>
      </c>
      <c r="Z140" s="301">
        <f t="shared" si="132"/>
        <v>242452.72320039489</v>
      </c>
      <c r="AA140" s="315">
        <f t="shared" si="140"/>
        <v>0</v>
      </c>
      <c r="AB140" s="315"/>
      <c r="AC140" s="316"/>
      <c r="AD140" s="316">
        <f>_xlfn.IFNA((VLOOKUP($A140,HN!$A:$K,8,FALSE)/12),0)</f>
        <v>138187.5</v>
      </c>
      <c r="AE140" s="316">
        <f>_xlfn.IFNA((VLOOKUP($A140,HN!$A:$BS,14,FALSE)/12),0)</f>
        <v>0</v>
      </c>
      <c r="AF140" s="316">
        <f>_xlfn.IFNA(VLOOKUP($A140,'Post 16'!$A:$V,21,FALSE),0)/4</f>
        <v>0</v>
      </c>
      <c r="AG140" s="316"/>
      <c r="AH140" s="316">
        <f>_xlfn.IFNA((VLOOKUP($A140,HN!$A:$K,9,FALSE)/12),0)+_xlfn.IFNA((VLOOKUP($A140,HN!$A:$K,10,FALSE)/12),0)</f>
        <v>104265.2232003949</v>
      </c>
      <c r="AI140" s="316">
        <f>_xlfn.IFNA((VLOOKUP($A140,HN!$A:$BS,15,FALSE)/12),0)</f>
        <v>0</v>
      </c>
      <c r="AJ140" s="315">
        <f t="shared" si="141"/>
        <v>0</v>
      </c>
      <c r="AK140" s="315">
        <f t="shared" si="142"/>
        <v>0</v>
      </c>
      <c r="AL140" s="316"/>
      <c r="AM140" s="316">
        <f>_xlfn.IFNA(VLOOKUP($A140,'Cash Advances'!$A:$S,9,FALSE),0)</f>
        <v>0</v>
      </c>
      <c r="AN140" s="315">
        <f t="shared" si="133"/>
        <v>242452.72320039489</v>
      </c>
      <c r="AO140" s="308">
        <f t="shared" si="143"/>
        <v>0</v>
      </c>
      <c r="AP140" s="308"/>
      <c r="AQ140" s="309"/>
      <c r="AR140" s="309">
        <f>_xlfn.IFNA((VLOOKUP($A140,HN!$A:$K,8,FALSE)/12),0)</f>
        <v>138187.5</v>
      </c>
      <c r="AS140" s="309">
        <f>_xlfn.IFNA((VLOOKUP($A140,HN!$A:$BS,14,FALSE)/12),0)</f>
        <v>0</v>
      </c>
      <c r="AT140" s="309">
        <f>_xlfn.IFNA(VLOOKUP($A140,'Post 16'!$A:$V,21,FALSE),0)/4</f>
        <v>0</v>
      </c>
      <c r="AU140" s="309"/>
      <c r="AV140" s="309">
        <f>_xlfn.IFNA((VLOOKUP($A140,HN!$A:$K,9,FALSE)/12),0)+_xlfn.IFNA((VLOOKUP($A140,HN!$A:$K,10,FALSE)/12),0)+_xlfn.IFNA(VLOOKUP(A140,HN!A:V,19,FALSE),0)+_xlfn.IFNA(VLOOKUP(A140,HN!A:V,20,FALSE),0)+_xlfn.IFNA(VLOOKUP(A140,HN!A:V,21,FALSE),0)</f>
        <v>293637.37704654876</v>
      </c>
      <c r="AW140" s="309">
        <f>_xlfn.IFNA((VLOOKUP($A140,HN!$A:$BS,15,FALSE)/12),0)</f>
        <v>0</v>
      </c>
      <c r="AX140" s="308">
        <f t="shared" si="144"/>
        <v>0</v>
      </c>
      <c r="AY140" s="308">
        <f t="shared" si="145"/>
        <v>0</v>
      </c>
      <c r="AZ140" s="309"/>
      <c r="BA140" s="309">
        <f>_xlfn.IFNA(VLOOKUP($A140,'Cash Advances'!$A:$S,10,FALSE),0)</f>
        <v>0</v>
      </c>
      <c r="BB140" s="308">
        <f t="shared" si="134"/>
        <v>431824.87704654876</v>
      </c>
      <c r="BC140" s="330">
        <f t="shared" si="146"/>
        <v>0</v>
      </c>
      <c r="BD140" s="330"/>
      <c r="BE140" s="331"/>
      <c r="BF140" s="331">
        <f>_xlfn.IFNA((VLOOKUP($A140,HN!$A:$K,8,FALSE)/12),0)</f>
        <v>138187.5</v>
      </c>
      <c r="BG140" s="331">
        <f>_xlfn.IFNA((VLOOKUP($A140,HN!$A:$BS,14,FALSE)/12),0)</f>
        <v>0</v>
      </c>
      <c r="BH140" s="331">
        <f>_xlfn.IFNA(VLOOKUP($A140,'Post 16'!$A:$V,21,FALSE),0)/4</f>
        <v>0</v>
      </c>
      <c r="BI140" s="331"/>
      <c r="BJ140" s="331">
        <f>_xlfn.IFNA((VLOOKUP($A140,HN!$A:$K,9,FALSE)/12),0)+_xlfn.IFNA((VLOOKUP($A140,HN!$A:$K,10,FALSE)/12),0)</f>
        <v>104265.2232003949</v>
      </c>
      <c r="BK140" s="331">
        <f>_xlfn.IFNA((VLOOKUP($A140,HN!$A:$BS,15,FALSE)/12),0)</f>
        <v>0</v>
      </c>
      <c r="BL140" s="330">
        <f t="shared" si="147"/>
        <v>0</v>
      </c>
      <c r="BM140" s="330">
        <f t="shared" si="148"/>
        <v>0</v>
      </c>
      <c r="BN140" s="331"/>
      <c r="BO140" s="331">
        <f>_xlfn.IFNA(VLOOKUP(A140,'Cash Advances'!A:K,11,FALSE),0)</f>
        <v>0</v>
      </c>
      <c r="BP140" s="330">
        <f t="shared" si="135"/>
        <v>242452.72320039489</v>
      </c>
      <c r="BQ140" s="322">
        <f t="shared" si="149"/>
        <v>0</v>
      </c>
      <c r="BR140" s="322"/>
      <c r="BS140" s="323"/>
      <c r="BT140" s="323">
        <f>_xlfn.IFNA((VLOOKUP($A140,HN!$A:$K,8,FALSE)/12),0)</f>
        <v>138187.5</v>
      </c>
      <c r="BU140" s="323">
        <f>_xlfn.IFNA((VLOOKUP($A140,HN!$A:$BS,14,FALSE)/12),0)</f>
        <v>0</v>
      </c>
      <c r="BV140" s="323">
        <f>(_xlfn.IFNA(VLOOKUP($A140,'Post 16'!$A:$AV,32,FALSE),0)/8)+_xlfn.IFNA(VLOOKUP($A140,'Post 16'!$A:$AR,40,FALSE),0)</f>
        <v>0</v>
      </c>
      <c r="BW140" s="323"/>
      <c r="BX140" s="323">
        <f>_xlfn.IFNA((VLOOKUP($A140,HN!$A:$K,9,FALSE)/12),0)+_xlfn.IFNA((VLOOKUP($A140,HN!$A:$K,10,FALSE)/12),0)</f>
        <v>104265.2232003949</v>
      </c>
      <c r="BY140" s="323">
        <f>_xlfn.IFNA((VLOOKUP($A140,HN!$A:$BS,15,FALSE)/12),0)</f>
        <v>0</v>
      </c>
      <c r="BZ140" s="322">
        <f t="shared" si="150"/>
        <v>0</v>
      </c>
      <c r="CA140" s="322">
        <f t="shared" si="151"/>
        <v>0</v>
      </c>
      <c r="CB140" s="323"/>
      <c r="CC140" s="323"/>
      <c r="CD140" s="322">
        <f t="shared" si="136"/>
        <v>242452.72320039489</v>
      </c>
      <c r="CE140" s="357">
        <f t="shared" si="152"/>
        <v>0</v>
      </c>
      <c r="CF140" s="357">
        <f>(VLOOKUP($A140,EY!$A:$BS,26,FALSE)-(VLOOKUP($A140,EY!A:CR,24,FALSE)*80%))+VLOOKUP($A140,EY!$A:$BS,42,FALSE)+(VLOOKUP($A140,EY!A:CC,74,FALSE)-VLOOKUP($A140,EY!A:CC,72,FALSE))</f>
        <v>0</v>
      </c>
      <c r="CG140" s="358"/>
      <c r="CH140" s="358">
        <f>_xlfn.IFNA((VLOOKUP($A140,HN!$A:$K,8,FALSE)/12),0)</f>
        <v>138187.5</v>
      </c>
      <c r="CI140" s="358">
        <f>_xlfn.IFNA((VLOOKUP($A140,HN!$A:$BS,14,FALSE)/12),0)</f>
        <v>0</v>
      </c>
      <c r="CJ140" s="358">
        <f>(_xlfn.IFNA(VLOOKUP($A140,'Post 16'!$A:$AV,32,FALSE),0)/8)</f>
        <v>0</v>
      </c>
      <c r="CK140" s="358">
        <f>(VLOOKUP($A140,EY!A:CR,24,FALSE)*80%)+VLOOKUP($A140,EY!A:CC,72,FALSE)</f>
        <v>0</v>
      </c>
      <c r="CL140" s="358">
        <f>_xlfn.IFNA((VLOOKUP($A140,HN!$A:$K,9,FALSE)/12),0)+_xlfn.IFNA((VLOOKUP($A140,HN!$A:$K,10,FALSE)/12),0)</f>
        <v>104265.2232003949</v>
      </c>
      <c r="CM140" s="358">
        <f>_xlfn.IFNA((VLOOKUP($A140,HN!$A:$BS,15,FALSE)/12),0)</f>
        <v>0</v>
      </c>
      <c r="CN140" s="357">
        <f t="shared" si="153"/>
        <v>0</v>
      </c>
      <c r="CO140" s="357">
        <f t="shared" si="154"/>
        <v>0</v>
      </c>
      <c r="CP140" s="358">
        <f>_xlfn.IFNA(VLOOKUP(A140,'LA Deductions'!A:W,23,FALSE),0)</f>
        <v>-5139.75</v>
      </c>
      <c r="CQ140" s="358">
        <f>_xlfn.IFNA(VLOOKUP($A140,'Cash Advances'!$A:$S,13,FALSE),0)</f>
        <v>0</v>
      </c>
      <c r="CR140" s="358">
        <f>_xlfn.IFNA(VLOOKUP(A140,'LA Deductions'!A:AZ,25,FALSE),0)/9*3</f>
        <v>0</v>
      </c>
      <c r="CS140" s="357">
        <f t="shared" si="173"/>
        <v>237312.97320039489</v>
      </c>
      <c r="CT140" s="337">
        <f t="shared" si="155"/>
        <v>0</v>
      </c>
      <c r="CU140" s="337"/>
      <c r="CV140" s="338">
        <f>_xlfn.IFNA(VLOOKUP(A140,'LA Deductions'!$A$6:$AN$207,34,FALSE),0)</f>
        <v>0</v>
      </c>
      <c r="CW140" s="338">
        <f>_xlfn.IFNA((VLOOKUP($A140,HN!$A:$K,8,FALSE)/12),0)</f>
        <v>138187.5</v>
      </c>
      <c r="CX140" s="338">
        <f>_xlfn.IFNA((VLOOKUP($A140,HN!$A:$BS,14,FALSE)/12),0)</f>
        <v>0</v>
      </c>
      <c r="CY140" s="338">
        <f>_xlfn.IFNA(VLOOKUP($A140,'Post 16'!$A:$AV,32,FALSE),0)/8</f>
        <v>0</v>
      </c>
      <c r="CZ140" s="338"/>
      <c r="DA140" s="338">
        <f>_xlfn.IFNA((VLOOKUP($A140,HN!$A:$K,9,FALSE)/12),0)+_xlfn.IFNA((VLOOKUP($A140,HN!$A:$K,10,FALSE)/12),0)</f>
        <v>104265.2232003949</v>
      </c>
      <c r="DB140" s="338">
        <f>_xlfn.IFNA((VLOOKUP($A140,HN!$A:$BS,15,FALSE)/12),0)</f>
        <v>0</v>
      </c>
      <c r="DC140" s="337">
        <f t="shared" si="156"/>
        <v>0</v>
      </c>
      <c r="DD140" s="337">
        <f t="shared" si="157"/>
        <v>0</v>
      </c>
      <c r="DE140" s="338"/>
      <c r="DF140" s="338">
        <f>_xlfn.IFNA(VLOOKUP($A140,'Cash Advances'!$A:$S,14,FALSE),0)</f>
        <v>0</v>
      </c>
      <c r="DG140" s="338">
        <f>(_xlfn.IFNA(VLOOKUP(A140,'LA Deductions'!A:AZ,25,FALSE),0)/9)+(_xlfn.IFNA(VLOOKUP(A140,'LA Deductions'!A:AZ,26,FALSE),0))</f>
        <v>0</v>
      </c>
      <c r="DH140" s="337">
        <f t="shared" si="174"/>
        <v>242452.72320039489</v>
      </c>
      <c r="DI140" s="330">
        <f t="shared" si="158"/>
        <v>0</v>
      </c>
      <c r="DJ140" s="330"/>
      <c r="DK140" s="331"/>
      <c r="DL140" s="331">
        <f>_xlfn.IFNA((VLOOKUP($A140,HN!$A:$K,8,FALSE)/12),0)+_xlfn.IFNA((VLOOKUP($A140,HN!$A:$AF,32,FALSE)*8/12),0)</f>
        <v>138187.5</v>
      </c>
      <c r="DM140" s="331">
        <f>_xlfn.IFNA((VLOOKUP($A140,HN!$A:$BS,14,FALSE)/12),0)+_xlfn.IFNA(VLOOKUP($A140,HN!$A:$BS,31,FALSE),0)</f>
        <v>0</v>
      </c>
      <c r="DN140" s="331">
        <f>_xlfn.IFNA(VLOOKUP($A140,'Post 16'!$A:$AV,32,FALSE),0)/8</f>
        <v>0</v>
      </c>
      <c r="DO140" s="331"/>
      <c r="DP140" s="331">
        <f>_xlfn.IFNA((VLOOKUP($A140,HN!$A:$K,9,FALSE)/12),0)+_xlfn.IFNA((VLOOKUP($A140,HN!$A:$K,10,FALSE)/12),0)+_xlfn.IFNA((VLOOKUP($A140,HN!$A:$BZ,33,FALSE)*8/12),0)</f>
        <v>180711.66088442548</v>
      </c>
      <c r="DQ140" s="331">
        <f>_xlfn.IFNA((VLOOKUP($A140,HN!$A:$BS,15,FALSE)/12),0)</f>
        <v>0</v>
      </c>
      <c r="DR140" s="330">
        <f t="shared" si="159"/>
        <v>0</v>
      </c>
      <c r="DS140" s="330">
        <f t="shared" si="160"/>
        <v>0</v>
      </c>
      <c r="DT140" s="331"/>
      <c r="DU140" s="331"/>
      <c r="DV140" s="331">
        <f>(_xlfn.IFNA(VLOOKUP(A140,'LA Deductions'!A:AZ,25,FALSE),0)/9)+_xlfn.IFNA(VLOOKUP(A140,'LA Deductions'!A:AZ,27,FALSE),0)</f>
        <v>0</v>
      </c>
      <c r="DW140" s="330">
        <f t="shared" si="175"/>
        <v>318899.16088442551</v>
      </c>
      <c r="DX140" s="344">
        <f t="shared" si="161"/>
        <v>0</v>
      </c>
      <c r="DY140" s="344"/>
      <c r="DZ140" s="345"/>
      <c r="EA140" s="345">
        <f>_xlfn.IFNA((VLOOKUP($A140,HN!$A:$K,8,FALSE)/12),0)+_xlfn.IFNA((VLOOKUP($A140,HN!$A:$AF,32,FALSE)*1/12),0)</f>
        <v>138187.5</v>
      </c>
      <c r="EB140" s="345">
        <f>_xlfn.IFNA((VLOOKUP($A140,HN!$A:$BS,14,FALSE)/12),0)</f>
        <v>0</v>
      </c>
      <c r="EC140" s="345">
        <f>_xlfn.IFNA(VLOOKUP($A140,'Post 16'!$A:$AV,32,FALSE),0)/8</f>
        <v>0</v>
      </c>
      <c r="ED140" s="345"/>
      <c r="EE140" s="345">
        <f>_xlfn.IFNA((VLOOKUP($A140,HN!$A:$K,9,FALSE)/12),0)+_xlfn.IFNA((VLOOKUP($A140,HN!$A:$K,10,FALSE)/12),0)+_xlfn.IFNA((VLOOKUP($A140,HN!$A:$BZ,33,FALSE)/12),0)</f>
        <v>113821.02791089873</v>
      </c>
      <c r="EF140" s="345">
        <f>_xlfn.IFNA((VLOOKUP($A140,HN!$A:$BS,15,FALSE)/12),0)</f>
        <v>0</v>
      </c>
      <c r="EG140" s="344">
        <f t="shared" si="162"/>
        <v>0</v>
      </c>
      <c r="EH140" s="344">
        <f t="shared" si="163"/>
        <v>0</v>
      </c>
      <c r="EI140" s="345"/>
      <c r="EJ140" s="345">
        <f>_xlfn.IFNA(VLOOKUP(A140,'Cash Advances'!A:P,16,FALSE),0)</f>
        <v>0</v>
      </c>
      <c r="EK140" s="345">
        <f>_xlfn.IFNA(VLOOKUP(A140,'LA Deductions'!A:AZ,25,FALSE),0)/9</f>
        <v>0</v>
      </c>
      <c r="EL140" s="344">
        <f t="shared" si="176"/>
        <v>252008.52791089873</v>
      </c>
      <c r="EM140" s="308">
        <f t="shared" si="164"/>
        <v>0</v>
      </c>
      <c r="EN140" s="308">
        <f>((VLOOKUP($A140,EY!$A:$BS,35,FALSE)-(VLOOKUP($A140,EY!$A:$BS,33,FALSE)*80%))+VLOOKUP($A140,EY!$A:$BS,43,FALSE))+(VLOOKUP(A140,EY!A:DF,110,FALSE)-VLOOKUP(A140,EY!A:DD,108,FALSE))+(VLOOKUP(A140,EY!A:CE,83,FALSE)-VLOOKUP(A140,EY!A:CC,81,FALSE))</f>
        <v>0</v>
      </c>
      <c r="EO140" s="309"/>
      <c r="EP140" s="309">
        <f>_xlfn.IFNA((VLOOKUP($A140,HN!$A:$K,8,FALSE)/12),0)+_xlfn.IFNA((VLOOKUP($A140,HN!$A:$AF,32,FALSE)*1/12),0)</f>
        <v>138187.5</v>
      </c>
      <c r="EQ140" s="309">
        <f>_xlfn.IFNA((VLOOKUP($A140,HN!$A:$BS,14,FALSE)/12),0)+_xlfn.IFNA((VLOOKUP($A140,HN!$A:$BS,34,FALSE)/3),0)</f>
        <v>0</v>
      </c>
      <c r="ER140" s="309">
        <f>_xlfn.IFNA(VLOOKUP($A140,'Post 16'!$A:$AV,32,FALSE),0)/8</f>
        <v>0</v>
      </c>
      <c r="ES140" s="309">
        <f>((VLOOKUP($A140,EY!A:EV,33,FALSE)*80%))+VLOOKUP(A140,EY!A:DD,108,FALSE)+VLOOKUP(A140,EY!A:CC,81,FALSE)</f>
        <v>0</v>
      </c>
      <c r="ET140" s="309">
        <f>_xlfn.IFNA((VLOOKUP($A140,HN!$A:$K,9,FALSE)/12),0)+_xlfn.IFNA((VLOOKUP($A140,HN!$A:$K,10,FALSE)/12),0)+_xlfn.IFNA((VLOOKUP($A140,HN!$A:$BZ,33,FALSE)/12),0)</f>
        <v>113821.02791089873</v>
      </c>
      <c r="EU140" s="309">
        <f>_xlfn.IFNA((VLOOKUP($A140,HN!$A:$BS,15,FALSE)/12),0)</f>
        <v>0</v>
      </c>
      <c r="EV140" s="308">
        <f t="shared" si="165"/>
        <v>0</v>
      </c>
      <c r="EW140" s="308">
        <f t="shared" si="166"/>
        <v>0</v>
      </c>
      <c r="EX140" s="309"/>
      <c r="EY140" s="309">
        <f>_xlfn.IFNA(VLOOKUP($A140,'Cash Advances'!$A:$S,17,FALSE),0)</f>
        <v>0</v>
      </c>
      <c r="EZ140" s="309">
        <f>_xlfn.IFNA(VLOOKUP(A140,'LA Deductions'!A:AZ,25,FALSE),0)/9</f>
        <v>0</v>
      </c>
      <c r="FA140" s="308">
        <f t="shared" si="177"/>
        <v>252008.52791089873</v>
      </c>
      <c r="FB140" s="315">
        <f t="shared" si="167"/>
        <v>0</v>
      </c>
      <c r="FC140" s="315"/>
      <c r="FD140" s="316"/>
      <c r="FE140" s="316">
        <f>_xlfn.IFNA((VLOOKUP($A140,HN!$A:$K,8,FALSE)/12),0)+_xlfn.IFNA((VLOOKUP($A140,HN!$A:$AF,32,FALSE)*1/12),0)</f>
        <v>138187.5</v>
      </c>
      <c r="FF140" s="316">
        <f>_xlfn.IFNA((VLOOKUP($A140,HN!$A:$BS,14,FALSE)/12),0)+_xlfn.IFNA((VLOOKUP($A140,HN!$A:$BS,34,FALSE)/3),0)</f>
        <v>0</v>
      </c>
      <c r="FG140" s="316">
        <f>_xlfn.IFNA(VLOOKUP($A140,'Post 16'!$A:$AV,32,FALSE),0)/8</f>
        <v>0</v>
      </c>
      <c r="FH140" s="316"/>
      <c r="FI140" s="316">
        <f>_xlfn.IFNA((VLOOKUP($A140,HN!$A:$K,9,FALSE)/12),0)+_xlfn.IFNA((VLOOKUP($A140,HN!$A:$K,10,FALSE)/12),0)+_xlfn.IFNA((VLOOKUP($A140,HN!$A:$BZ,33,FALSE)/12),0)+_xlfn.IFNA((VLOOKUP($A140,HN!$A:$BZ,35,FALSE)/2),0)</f>
        <v>181321.02791089873</v>
      </c>
      <c r="FJ140" s="316">
        <f>_xlfn.IFNA((VLOOKUP($A140,HN!$A:$BS,15,FALSE)/12),0)+_xlfn.IFNA((VLOOKUP($A140,HN!$A:$CZ,36,FALSE)/2),0)</f>
        <v>0</v>
      </c>
      <c r="FK140" s="315">
        <f t="shared" si="168"/>
        <v>0</v>
      </c>
      <c r="FL140" s="315">
        <f t="shared" si="169"/>
        <v>0</v>
      </c>
      <c r="FM140" s="316"/>
      <c r="FN140" s="316">
        <f>_xlfn.IFNA(VLOOKUP($A140,'Cash Advances'!$A:$S,18,FALSE),0)</f>
        <v>0</v>
      </c>
      <c r="FO140" s="316">
        <f>_xlfn.IFNA(VLOOKUP(A140,'LA Deductions'!A:AZ,25,FALSE),0)/9</f>
        <v>0</v>
      </c>
      <c r="FP140" s="315">
        <f t="shared" si="178"/>
        <v>319508.52791089873</v>
      </c>
      <c r="FQ140" s="322">
        <f t="shared" si="170"/>
        <v>0</v>
      </c>
      <c r="FR140" s="322"/>
      <c r="FS140" s="323"/>
      <c r="FT140" s="323">
        <f>_xlfn.IFNA((VLOOKUP($A140,HN!$A:$K,8,FALSE)/12),0)+_xlfn.IFNA((VLOOKUP($A140,HN!$A:$AF,32,FALSE)*1/12),0)</f>
        <v>138187.5</v>
      </c>
      <c r="FU140" s="323">
        <f>_xlfn.IFNA((VLOOKUP($A140,HN!$A:$BS,14,FALSE)/12),0)+_xlfn.IFNA((VLOOKUP($A140,HN!$A:$BS,34,FALSE)/3),0)</f>
        <v>0</v>
      </c>
      <c r="FV140" s="323">
        <f>_xlfn.IFNA(VLOOKUP($A140,'Post 16'!$A:$AV,32,FALSE),0)/8</f>
        <v>0</v>
      </c>
      <c r="FW140" s="323"/>
      <c r="FX140" s="323">
        <f>_xlfn.IFNA((VLOOKUP($A140,HN!$A:$K,9,FALSE)/12),0)+_xlfn.IFNA((VLOOKUP($A140,HN!$A:$K,10,FALSE)/12),0)+_xlfn.IFNA((VLOOKUP($A140,HN!$A:$BZ,33,FALSE)/12),0)+_xlfn.IFNA((VLOOKUP($A140,HN!$A:$BZ,35,FALSE)/2),0)</f>
        <v>181321.02791089873</v>
      </c>
      <c r="FY140" s="323">
        <f>_xlfn.IFNA((VLOOKUP($A140,HN!$A:$BS,15,FALSE)/12),0)+_xlfn.IFNA((VLOOKUP($A140,HN!$A:$CZ,36,FALSE)/2),0)</f>
        <v>0</v>
      </c>
      <c r="FZ140" s="322">
        <f t="shared" si="171"/>
        <v>0</v>
      </c>
      <c r="GA140" s="322">
        <f t="shared" si="172"/>
        <v>0</v>
      </c>
      <c r="GB140" s="323"/>
      <c r="GC140" s="323"/>
      <c r="GD140" s="323">
        <f>_xlfn.IFNA(VLOOKUP(A140,'LA Deductions'!A:AZ,25,FALSE),0)/9</f>
        <v>0</v>
      </c>
      <c r="GE140" s="322">
        <f t="shared" si="179"/>
        <v>319508.52791089873</v>
      </c>
      <c r="GG140" s="146">
        <f t="shared" si="180"/>
        <v>1658250</v>
      </c>
      <c r="GH140" s="146">
        <f t="shared" si="180"/>
        <v>0</v>
      </c>
      <c r="GI140" s="146">
        <f t="shared" si="180"/>
        <v>1690224.4887769383</v>
      </c>
      <c r="GJ140" s="146">
        <f t="shared" si="180"/>
        <v>0</v>
      </c>
      <c r="GK140" s="146">
        <f t="shared" si="180"/>
        <v>0</v>
      </c>
      <c r="GL140" s="146">
        <f t="shared" si="180"/>
        <v>-5139.75</v>
      </c>
      <c r="GN140" s="146">
        <f t="shared" si="181"/>
        <v>1658250</v>
      </c>
      <c r="GO140" s="146">
        <f t="shared" si="181"/>
        <v>0</v>
      </c>
      <c r="GP140" s="146">
        <f t="shared" si="181"/>
        <v>1690224.4887769383</v>
      </c>
      <c r="GQ140" s="146">
        <f t="shared" si="181"/>
        <v>0</v>
      </c>
      <c r="GR140" s="146">
        <f t="shared" si="181"/>
        <v>0</v>
      </c>
      <c r="GS140" s="146">
        <f t="shared" si="181"/>
        <v>-5139.75</v>
      </c>
      <c r="GU140" s="146"/>
      <c r="GV140" s="57"/>
    </row>
    <row r="141" spans="1:204">
      <c r="A141" s="185">
        <v>7045</v>
      </c>
      <c r="B141" s="185">
        <v>103622</v>
      </c>
      <c r="C141" s="185" t="s">
        <v>308</v>
      </c>
      <c r="D141" s="2" t="s">
        <v>309</v>
      </c>
      <c r="E141" s="191" t="s">
        <v>47</v>
      </c>
      <c r="F141" s="191" t="s">
        <v>912</v>
      </c>
      <c r="H141" s="279">
        <f>_xlfn.IFNA(VLOOKUP($A141,ISB!$A$4:$BY$454,67,FALSE),0)</f>
        <v>0</v>
      </c>
      <c r="I141" s="279">
        <f>_xlfn.IFNA(VLOOKUP($A141,ISB!$A$4:$BY$454,72,FALSE),0)</f>
        <v>0</v>
      </c>
      <c r="J141" s="279">
        <f>-_xlfn.IFNA(VLOOKUP($A141,ISB!$A$4:$BY$454,76,FALSE),0)</f>
        <v>0</v>
      </c>
      <c r="K141" s="279">
        <f>_xlfn.IFNA(VLOOKUP($A141,ISB!$A$4:$BY$454,77,FALSE),0)</f>
        <v>0</v>
      </c>
      <c r="M141" s="301">
        <f t="shared" si="137"/>
        <v>0</v>
      </c>
      <c r="N141" s="301">
        <f>VLOOKUP($A141,EY!$A:$H,8,FALSE)+(VLOOKUP($A141,EY!$A:$BS,17,FALSE)-S141)+VLOOKUP($A141,EY!$A:$BS,41,FALSE)</f>
        <v>0</v>
      </c>
      <c r="O141" s="302"/>
      <c r="P141" s="302">
        <f>_xlfn.IFNA((VLOOKUP($A141,HN!$A:$K,8,FALSE)/12),0)</f>
        <v>248737.5</v>
      </c>
      <c r="Q141" s="302">
        <f>_xlfn.IFNA((VLOOKUP($A141,HN!$A:$BS,14,FALSE)/12),0)</f>
        <v>0</v>
      </c>
      <c r="R141" s="302">
        <f>_xlfn.IFNA(VLOOKUP($A141,'Post 16'!$A:$V,21,FALSE),0)/4</f>
        <v>0</v>
      </c>
      <c r="S141" s="302">
        <f>VLOOKUP($A141,EY!A:Q,15,FALSE)*80%</f>
        <v>0</v>
      </c>
      <c r="T141" s="302">
        <f>_xlfn.IFNA((VLOOKUP($A141,HN!$A:$K,9,FALSE)/12),0)+_xlfn.IFNA((VLOOKUP($A141,HN!$A:$K,10,FALSE)/12),0)</f>
        <v>244131.16577521691</v>
      </c>
      <c r="U141" s="302">
        <f>_xlfn.IFNA((VLOOKUP($A141,HN!$A:$BS,15,FALSE)/12),0)</f>
        <v>0</v>
      </c>
      <c r="V141" s="301">
        <f t="shared" si="138"/>
        <v>0</v>
      </c>
      <c r="W141" s="301">
        <f t="shared" si="139"/>
        <v>0</v>
      </c>
      <c r="X141" s="302"/>
      <c r="Y141" s="302">
        <f>_xlfn.IFNA(VLOOKUP($A141,'Cash Advances'!$A:$S,8,FALSE),0)</f>
        <v>0</v>
      </c>
      <c r="Z141" s="301">
        <f t="shared" si="132"/>
        <v>492868.66577521688</v>
      </c>
      <c r="AA141" s="315">
        <f t="shared" si="140"/>
        <v>0</v>
      </c>
      <c r="AB141" s="315"/>
      <c r="AC141" s="316"/>
      <c r="AD141" s="316">
        <f>_xlfn.IFNA((VLOOKUP($A141,HN!$A:$K,8,FALSE)/12),0)</f>
        <v>248737.5</v>
      </c>
      <c r="AE141" s="316">
        <f>_xlfn.IFNA((VLOOKUP($A141,HN!$A:$BS,14,FALSE)/12),0)</f>
        <v>0</v>
      </c>
      <c r="AF141" s="316">
        <f>_xlfn.IFNA(VLOOKUP($A141,'Post 16'!$A:$V,21,FALSE),0)/4</f>
        <v>0</v>
      </c>
      <c r="AG141" s="316"/>
      <c r="AH141" s="316">
        <f>_xlfn.IFNA((VLOOKUP($A141,HN!$A:$K,9,FALSE)/12),0)+_xlfn.IFNA((VLOOKUP($A141,HN!$A:$K,10,FALSE)/12),0)</f>
        <v>244131.16577521691</v>
      </c>
      <c r="AI141" s="316">
        <f>_xlfn.IFNA((VLOOKUP($A141,HN!$A:$BS,15,FALSE)/12),0)</f>
        <v>0</v>
      </c>
      <c r="AJ141" s="315">
        <f t="shared" si="141"/>
        <v>0</v>
      </c>
      <c r="AK141" s="315">
        <f t="shared" si="142"/>
        <v>0</v>
      </c>
      <c r="AL141" s="316"/>
      <c r="AM141" s="316">
        <f>_xlfn.IFNA(VLOOKUP($A141,'Cash Advances'!$A:$S,9,FALSE),0)</f>
        <v>0</v>
      </c>
      <c r="AN141" s="315">
        <f t="shared" si="133"/>
        <v>492868.66577521688</v>
      </c>
      <c r="AO141" s="308">
        <f t="shared" si="143"/>
        <v>0</v>
      </c>
      <c r="AP141" s="308"/>
      <c r="AQ141" s="309"/>
      <c r="AR141" s="309">
        <f>_xlfn.IFNA((VLOOKUP($A141,HN!$A:$K,8,FALSE)/12),0)</f>
        <v>248737.5</v>
      </c>
      <c r="AS141" s="309">
        <f>_xlfn.IFNA((VLOOKUP($A141,HN!$A:$BS,14,FALSE)/12),0)</f>
        <v>0</v>
      </c>
      <c r="AT141" s="309">
        <f>_xlfn.IFNA(VLOOKUP($A141,'Post 16'!$A:$V,21,FALSE),0)/4</f>
        <v>0</v>
      </c>
      <c r="AU141" s="309"/>
      <c r="AV141" s="309">
        <f>_xlfn.IFNA((VLOOKUP($A141,HN!$A:$K,9,FALSE)/12),0)+_xlfn.IFNA((VLOOKUP($A141,HN!$A:$K,10,FALSE)/12),0)+_xlfn.IFNA(VLOOKUP(A141,HN!A:V,19,FALSE),0)+_xlfn.IFNA(VLOOKUP(A141,HN!A:V,20,FALSE),0)+_xlfn.IFNA(VLOOKUP(A141,HN!A:V,21,FALSE),0)</f>
        <v>402188.7042367555</v>
      </c>
      <c r="AW141" s="309">
        <f>_xlfn.IFNA((VLOOKUP($A141,HN!$A:$BS,15,FALSE)/12),0)</f>
        <v>0</v>
      </c>
      <c r="AX141" s="308">
        <f t="shared" si="144"/>
        <v>0</v>
      </c>
      <c r="AY141" s="308">
        <f t="shared" si="145"/>
        <v>0</v>
      </c>
      <c r="AZ141" s="309"/>
      <c r="BA141" s="309">
        <f>_xlfn.IFNA(VLOOKUP($A141,'Cash Advances'!$A:$S,10,FALSE),0)</f>
        <v>0</v>
      </c>
      <c r="BB141" s="308">
        <f t="shared" si="134"/>
        <v>650926.2042367555</v>
      </c>
      <c r="BC141" s="330">
        <f t="shared" si="146"/>
        <v>0</v>
      </c>
      <c r="BD141" s="330"/>
      <c r="BE141" s="331"/>
      <c r="BF141" s="331">
        <f>_xlfn.IFNA((VLOOKUP($A141,HN!$A:$K,8,FALSE)/12),0)</f>
        <v>248737.5</v>
      </c>
      <c r="BG141" s="331">
        <f>_xlfn.IFNA((VLOOKUP($A141,HN!$A:$BS,14,FALSE)/12),0)</f>
        <v>0</v>
      </c>
      <c r="BH141" s="331">
        <f>_xlfn.IFNA(VLOOKUP($A141,'Post 16'!$A:$V,21,FALSE),0)/4</f>
        <v>0</v>
      </c>
      <c r="BI141" s="331"/>
      <c r="BJ141" s="331">
        <f>_xlfn.IFNA((VLOOKUP($A141,HN!$A:$K,9,FALSE)/12),0)+_xlfn.IFNA((VLOOKUP($A141,HN!$A:$K,10,FALSE)/12),0)</f>
        <v>244131.16577521691</v>
      </c>
      <c r="BK141" s="331">
        <f>_xlfn.IFNA((VLOOKUP($A141,HN!$A:$BS,15,FALSE)/12),0)</f>
        <v>0</v>
      </c>
      <c r="BL141" s="330">
        <f t="shared" si="147"/>
        <v>0</v>
      </c>
      <c r="BM141" s="330">
        <f t="shared" si="148"/>
        <v>0</v>
      </c>
      <c r="BN141" s="331"/>
      <c r="BO141" s="331">
        <f>_xlfn.IFNA(VLOOKUP(A141,'Cash Advances'!A:K,11,FALSE),0)</f>
        <v>0</v>
      </c>
      <c r="BP141" s="330">
        <f t="shared" si="135"/>
        <v>492868.66577521688</v>
      </c>
      <c r="BQ141" s="322">
        <f t="shared" si="149"/>
        <v>0</v>
      </c>
      <c r="BR141" s="322"/>
      <c r="BS141" s="323"/>
      <c r="BT141" s="323">
        <f>_xlfn.IFNA((VLOOKUP($A141,HN!$A:$K,8,FALSE)/12),0)</f>
        <v>248737.5</v>
      </c>
      <c r="BU141" s="323">
        <f>_xlfn.IFNA((VLOOKUP($A141,HN!$A:$BS,14,FALSE)/12),0)</f>
        <v>0</v>
      </c>
      <c r="BV141" s="323">
        <f>(_xlfn.IFNA(VLOOKUP($A141,'Post 16'!$A:$AV,32,FALSE),0)/8)+_xlfn.IFNA(VLOOKUP($A141,'Post 16'!$A:$AR,40,FALSE),0)</f>
        <v>0</v>
      </c>
      <c r="BW141" s="323"/>
      <c r="BX141" s="323">
        <f>_xlfn.IFNA((VLOOKUP($A141,HN!$A:$K,9,FALSE)/12),0)+_xlfn.IFNA((VLOOKUP($A141,HN!$A:$K,10,FALSE)/12),0)</f>
        <v>244131.16577521691</v>
      </c>
      <c r="BY141" s="323">
        <f>_xlfn.IFNA((VLOOKUP($A141,HN!$A:$BS,15,FALSE)/12),0)</f>
        <v>0</v>
      </c>
      <c r="BZ141" s="322">
        <f t="shared" si="150"/>
        <v>0</v>
      </c>
      <c r="CA141" s="322">
        <f t="shared" si="151"/>
        <v>0</v>
      </c>
      <c r="CB141" s="323"/>
      <c r="CC141" s="323"/>
      <c r="CD141" s="322">
        <f t="shared" si="136"/>
        <v>492868.66577521688</v>
      </c>
      <c r="CE141" s="357">
        <f t="shared" si="152"/>
        <v>0</v>
      </c>
      <c r="CF141" s="357">
        <f>(VLOOKUP($A141,EY!$A:$BS,26,FALSE)-(VLOOKUP($A141,EY!A:CR,24,FALSE)*80%))+VLOOKUP($A141,EY!$A:$BS,42,FALSE)+(VLOOKUP($A141,EY!A:CC,74,FALSE)-VLOOKUP($A141,EY!A:CC,72,FALSE))</f>
        <v>0</v>
      </c>
      <c r="CG141" s="358"/>
      <c r="CH141" s="358">
        <f>_xlfn.IFNA((VLOOKUP($A141,HN!$A:$K,8,FALSE)/12),0)</f>
        <v>248737.5</v>
      </c>
      <c r="CI141" s="358">
        <f>_xlfn.IFNA((VLOOKUP($A141,HN!$A:$BS,14,FALSE)/12),0)</f>
        <v>0</v>
      </c>
      <c r="CJ141" s="358">
        <f>(_xlfn.IFNA(VLOOKUP($A141,'Post 16'!$A:$AV,32,FALSE),0)/8)</f>
        <v>0</v>
      </c>
      <c r="CK141" s="358">
        <f>(VLOOKUP($A141,EY!A:CR,24,FALSE)*80%)+VLOOKUP($A141,EY!A:CC,72,FALSE)</f>
        <v>0</v>
      </c>
      <c r="CL141" s="358">
        <f>_xlfn.IFNA((VLOOKUP($A141,HN!$A:$K,9,FALSE)/12),0)+_xlfn.IFNA((VLOOKUP($A141,HN!$A:$K,10,FALSE)/12),0)</f>
        <v>244131.16577521691</v>
      </c>
      <c r="CM141" s="358">
        <f>_xlfn.IFNA((VLOOKUP($A141,HN!$A:$BS,15,FALSE)/12),0)</f>
        <v>0</v>
      </c>
      <c r="CN141" s="357">
        <f t="shared" si="153"/>
        <v>0</v>
      </c>
      <c r="CO141" s="357">
        <f t="shared" si="154"/>
        <v>0</v>
      </c>
      <c r="CP141" s="358">
        <f>_xlfn.IFNA(VLOOKUP(A141,'LA Deductions'!A:W,23,FALSE),0)</f>
        <v>-5139.75</v>
      </c>
      <c r="CQ141" s="358">
        <f>_xlfn.IFNA(VLOOKUP($A141,'Cash Advances'!$A:$S,13,FALSE),0)</f>
        <v>0</v>
      </c>
      <c r="CR141" s="358">
        <f>_xlfn.IFNA(VLOOKUP(A141,'LA Deductions'!A:AZ,25,FALSE),0)/9*3</f>
        <v>0</v>
      </c>
      <c r="CS141" s="357">
        <f t="shared" si="173"/>
        <v>487728.91577521688</v>
      </c>
      <c r="CT141" s="337">
        <f t="shared" si="155"/>
        <v>0</v>
      </c>
      <c r="CU141" s="337"/>
      <c r="CV141" s="338">
        <f>_xlfn.IFNA(VLOOKUP(A141,'LA Deductions'!$A$6:$AN$207,34,FALSE),0)</f>
        <v>0</v>
      </c>
      <c r="CW141" s="338">
        <f>_xlfn.IFNA((VLOOKUP($A141,HN!$A:$K,8,FALSE)/12),0)</f>
        <v>248737.5</v>
      </c>
      <c r="CX141" s="338">
        <f>_xlfn.IFNA((VLOOKUP($A141,HN!$A:$BS,14,FALSE)/12),0)</f>
        <v>0</v>
      </c>
      <c r="CY141" s="338">
        <f>_xlfn.IFNA(VLOOKUP($A141,'Post 16'!$A:$AV,32,FALSE),0)/8</f>
        <v>0</v>
      </c>
      <c r="CZ141" s="338"/>
      <c r="DA141" s="338">
        <f>_xlfn.IFNA((VLOOKUP($A141,HN!$A:$K,9,FALSE)/12),0)+_xlfn.IFNA((VLOOKUP($A141,HN!$A:$K,10,FALSE)/12),0)</f>
        <v>244131.16577521691</v>
      </c>
      <c r="DB141" s="338">
        <f>_xlfn.IFNA((VLOOKUP($A141,HN!$A:$BS,15,FALSE)/12),0)</f>
        <v>0</v>
      </c>
      <c r="DC141" s="337">
        <f t="shared" si="156"/>
        <v>0</v>
      </c>
      <c r="DD141" s="337">
        <f t="shared" si="157"/>
        <v>0</v>
      </c>
      <c r="DE141" s="338"/>
      <c r="DF141" s="338">
        <f>_xlfn.IFNA(VLOOKUP($A141,'Cash Advances'!$A:$S,14,FALSE),0)</f>
        <v>0</v>
      </c>
      <c r="DG141" s="338">
        <f>(_xlfn.IFNA(VLOOKUP(A141,'LA Deductions'!A:AZ,25,FALSE),0)/9)+(_xlfn.IFNA(VLOOKUP(A141,'LA Deductions'!A:AZ,26,FALSE),0))</f>
        <v>0</v>
      </c>
      <c r="DH141" s="337">
        <f t="shared" si="174"/>
        <v>492868.66577521688</v>
      </c>
      <c r="DI141" s="330">
        <f t="shared" si="158"/>
        <v>0</v>
      </c>
      <c r="DJ141" s="330"/>
      <c r="DK141" s="331"/>
      <c r="DL141" s="331">
        <f>_xlfn.IFNA((VLOOKUP($A141,HN!$A:$K,8,FALSE)/12),0)+_xlfn.IFNA((VLOOKUP($A141,HN!$A:$AF,32,FALSE)*8/12),0)</f>
        <v>248737.5</v>
      </c>
      <c r="DM141" s="331">
        <f>_xlfn.IFNA((VLOOKUP($A141,HN!$A:$BS,14,FALSE)/12),0)+_xlfn.IFNA(VLOOKUP($A141,HN!$A:$BS,31,FALSE),0)</f>
        <v>0</v>
      </c>
      <c r="DN141" s="331">
        <f>_xlfn.IFNA(VLOOKUP($A141,'Post 16'!$A:$AV,32,FALSE),0)/8</f>
        <v>0</v>
      </c>
      <c r="DO141" s="331"/>
      <c r="DP141" s="331">
        <f>_xlfn.IFNA((VLOOKUP($A141,HN!$A:$K,9,FALSE)/12),0)+_xlfn.IFNA((VLOOKUP($A141,HN!$A:$K,10,FALSE)/12),0)+_xlfn.IFNA((VLOOKUP($A141,HN!$A:$BZ,33,FALSE)*8/12),0)</f>
        <v>370425.08723597176</v>
      </c>
      <c r="DQ141" s="331">
        <f>_xlfn.IFNA((VLOOKUP($A141,HN!$A:$BS,15,FALSE)/12),0)</f>
        <v>0</v>
      </c>
      <c r="DR141" s="330">
        <f t="shared" si="159"/>
        <v>0</v>
      </c>
      <c r="DS141" s="330">
        <f t="shared" si="160"/>
        <v>0</v>
      </c>
      <c r="DT141" s="331"/>
      <c r="DU141" s="331"/>
      <c r="DV141" s="331">
        <f>(_xlfn.IFNA(VLOOKUP(A141,'LA Deductions'!A:AZ,25,FALSE),0)/9)+_xlfn.IFNA(VLOOKUP(A141,'LA Deductions'!A:AZ,27,FALSE),0)</f>
        <v>0</v>
      </c>
      <c r="DW141" s="330">
        <f t="shared" si="175"/>
        <v>619162.58723597182</v>
      </c>
      <c r="DX141" s="344">
        <f t="shared" si="161"/>
        <v>0</v>
      </c>
      <c r="DY141" s="344"/>
      <c r="DZ141" s="345"/>
      <c r="EA141" s="345">
        <f>_xlfn.IFNA((VLOOKUP($A141,HN!$A:$K,8,FALSE)/12),0)+_xlfn.IFNA((VLOOKUP($A141,HN!$A:$AF,32,FALSE)*1/12),0)</f>
        <v>248737.5</v>
      </c>
      <c r="EB141" s="345">
        <f>_xlfn.IFNA((VLOOKUP($A141,HN!$A:$BS,14,FALSE)/12),0)</f>
        <v>0</v>
      </c>
      <c r="EC141" s="345">
        <f>_xlfn.IFNA(VLOOKUP($A141,'Post 16'!$A:$AV,32,FALSE),0)/8</f>
        <v>0</v>
      </c>
      <c r="ED141" s="345"/>
      <c r="EE141" s="345">
        <f>_xlfn.IFNA((VLOOKUP($A141,HN!$A:$K,9,FALSE)/12),0)+_xlfn.IFNA((VLOOKUP($A141,HN!$A:$K,10,FALSE)/12),0)+_xlfn.IFNA((VLOOKUP($A141,HN!$A:$BZ,33,FALSE)/12),0)</f>
        <v>259917.90595781128</v>
      </c>
      <c r="EF141" s="345">
        <f>_xlfn.IFNA((VLOOKUP($A141,HN!$A:$BS,15,FALSE)/12),0)</f>
        <v>0</v>
      </c>
      <c r="EG141" s="344">
        <f t="shared" si="162"/>
        <v>0</v>
      </c>
      <c r="EH141" s="344">
        <f t="shared" si="163"/>
        <v>0</v>
      </c>
      <c r="EI141" s="345"/>
      <c r="EJ141" s="345">
        <f>_xlfn.IFNA(VLOOKUP(A141,'Cash Advances'!A:P,16,FALSE),0)</f>
        <v>0</v>
      </c>
      <c r="EK141" s="345">
        <f>_xlfn.IFNA(VLOOKUP(A141,'LA Deductions'!A:AZ,25,FALSE),0)/9</f>
        <v>0</v>
      </c>
      <c r="EL141" s="344">
        <f t="shared" si="176"/>
        <v>508655.40595781128</v>
      </c>
      <c r="EM141" s="308">
        <f t="shared" si="164"/>
        <v>0</v>
      </c>
      <c r="EN141" s="308">
        <f>((VLOOKUP($A141,EY!$A:$BS,35,FALSE)-(VLOOKUP($A141,EY!$A:$BS,33,FALSE)*80%))+VLOOKUP($A141,EY!$A:$BS,43,FALSE))+(VLOOKUP(A141,EY!A:DF,110,FALSE)-VLOOKUP(A141,EY!A:DD,108,FALSE))+(VLOOKUP(A141,EY!A:CE,83,FALSE)-VLOOKUP(A141,EY!A:CC,81,FALSE))</f>
        <v>0</v>
      </c>
      <c r="EO141" s="309"/>
      <c r="EP141" s="309">
        <f>_xlfn.IFNA((VLOOKUP($A141,HN!$A:$K,8,FALSE)/12),0)+_xlfn.IFNA((VLOOKUP($A141,HN!$A:$AF,32,FALSE)*1/12),0)</f>
        <v>248737.5</v>
      </c>
      <c r="EQ141" s="309">
        <f>_xlfn.IFNA((VLOOKUP($A141,HN!$A:$BS,14,FALSE)/12),0)+_xlfn.IFNA((VLOOKUP($A141,HN!$A:$BS,34,FALSE)/3),0)</f>
        <v>0</v>
      </c>
      <c r="ER141" s="309">
        <f>_xlfn.IFNA(VLOOKUP($A141,'Post 16'!$A:$AV,32,FALSE),0)/8</f>
        <v>0</v>
      </c>
      <c r="ES141" s="309">
        <f>((VLOOKUP($A141,EY!A:EV,33,FALSE)*80%))+VLOOKUP(A141,EY!A:DD,108,FALSE)+VLOOKUP(A141,EY!A:CC,81,FALSE)</f>
        <v>0</v>
      </c>
      <c r="ET141" s="309">
        <f>_xlfn.IFNA((VLOOKUP($A141,HN!$A:$K,9,FALSE)/12),0)+_xlfn.IFNA((VLOOKUP($A141,HN!$A:$K,10,FALSE)/12),0)+_xlfn.IFNA((VLOOKUP($A141,HN!$A:$BZ,33,FALSE)/12),0)</f>
        <v>259917.90595781128</v>
      </c>
      <c r="EU141" s="309">
        <f>_xlfn.IFNA((VLOOKUP($A141,HN!$A:$BS,15,FALSE)/12),0)</f>
        <v>0</v>
      </c>
      <c r="EV141" s="308">
        <f t="shared" si="165"/>
        <v>0</v>
      </c>
      <c r="EW141" s="308">
        <f t="shared" si="166"/>
        <v>0</v>
      </c>
      <c r="EX141" s="309"/>
      <c r="EY141" s="309">
        <f>_xlfn.IFNA(VLOOKUP($A141,'Cash Advances'!$A:$S,17,FALSE),0)</f>
        <v>0</v>
      </c>
      <c r="EZ141" s="309">
        <f>_xlfn.IFNA(VLOOKUP(A141,'LA Deductions'!A:AZ,25,FALSE),0)/9</f>
        <v>0</v>
      </c>
      <c r="FA141" s="308">
        <f t="shared" si="177"/>
        <v>508655.40595781128</v>
      </c>
      <c r="FB141" s="315">
        <f t="shared" si="167"/>
        <v>0</v>
      </c>
      <c r="FC141" s="315"/>
      <c r="FD141" s="316"/>
      <c r="FE141" s="316">
        <f>_xlfn.IFNA((VLOOKUP($A141,HN!$A:$K,8,FALSE)/12),0)+_xlfn.IFNA((VLOOKUP($A141,HN!$A:$AF,32,FALSE)*1/12),0)</f>
        <v>248737.5</v>
      </c>
      <c r="FF141" s="316">
        <f>_xlfn.IFNA((VLOOKUP($A141,HN!$A:$BS,14,FALSE)/12),0)+_xlfn.IFNA((VLOOKUP($A141,HN!$A:$BS,34,FALSE)/3),0)</f>
        <v>0</v>
      </c>
      <c r="FG141" s="316">
        <f>_xlfn.IFNA(VLOOKUP($A141,'Post 16'!$A:$AV,32,FALSE),0)/8</f>
        <v>0</v>
      </c>
      <c r="FH141" s="316"/>
      <c r="FI141" s="316">
        <f>_xlfn.IFNA((VLOOKUP($A141,HN!$A:$K,9,FALSE)/12),0)+_xlfn.IFNA((VLOOKUP($A141,HN!$A:$K,10,FALSE)/12),0)+_xlfn.IFNA((VLOOKUP($A141,HN!$A:$BZ,33,FALSE)/12),0)+_xlfn.IFNA((VLOOKUP($A141,HN!$A:$BZ,35,FALSE)/2),0)</f>
        <v>309917.90595781128</v>
      </c>
      <c r="FJ141" s="316">
        <f>_xlfn.IFNA((VLOOKUP($A141,HN!$A:$BS,15,FALSE)/12),0)+_xlfn.IFNA((VLOOKUP($A141,HN!$A:$CZ,36,FALSE)/2),0)</f>
        <v>0</v>
      </c>
      <c r="FK141" s="315">
        <f t="shared" si="168"/>
        <v>0</v>
      </c>
      <c r="FL141" s="315">
        <f t="shared" si="169"/>
        <v>0</v>
      </c>
      <c r="FM141" s="316"/>
      <c r="FN141" s="316">
        <f>_xlfn.IFNA(VLOOKUP($A141,'Cash Advances'!$A:$S,18,FALSE),0)</f>
        <v>0</v>
      </c>
      <c r="FO141" s="316">
        <f>_xlfn.IFNA(VLOOKUP(A141,'LA Deductions'!A:AZ,25,FALSE),0)/9</f>
        <v>0</v>
      </c>
      <c r="FP141" s="315">
        <f t="shared" si="178"/>
        <v>558655.40595781128</v>
      </c>
      <c r="FQ141" s="322">
        <f t="shared" si="170"/>
        <v>0</v>
      </c>
      <c r="FR141" s="322"/>
      <c r="FS141" s="323"/>
      <c r="FT141" s="323">
        <f>_xlfn.IFNA((VLOOKUP($A141,HN!$A:$K,8,FALSE)/12),0)+_xlfn.IFNA((VLOOKUP($A141,HN!$A:$AF,32,FALSE)*1/12),0)</f>
        <v>248737.5</v>
      </c>
      <c r="FU141" s="323">
        <f>_xlfn.IFNA((VLOOKUP($A141,HN!$A:$BS,14,FALSE)/12),0)+_xlfn.IFNA((VLOOKUP($A141,HN!$A:$BS,34,FALSE)/3),0)</f>
        <v>0</v>
      </c>
      <c r="FV141" s="323">
        <f>_xlfn.IFNA(VLOOKUP($A141,'Post 16'!$A:$AV,32,FALSE),0)/8</f>
        <v>0</v>
      </c>
      <c r="FW141" s="323"/>
      <c r="FX141" s="323">
        <f>_xlfn.IFNA((VLOOKUP($A141,HN!$A:$K,9,FALSE)/12),0)+_xlfn.IFNA((VLOOKUP($A141,HN!$A:$K,10,FALSE)/12),0)+_xlfn.IFNA((VLOOKUP($A141,HN!$A:$BZ,33,FALSE)/12),0)+_xlfn.IFNA((VLOOKUP($A141,HN!$A:$BZ,35,FALSE)/2),0)</f>
        <v>309917.90595781128</v>
      </c>
      <c r="FY141" s="323">
        <f>_xlfn.IFNA((VLOOKUP($A141,HN!$A:$BS,15,FALSE)/12),0)+_xlfn.IFNA((VLOOKUP($A141,HN!$A:$CZ,36,FALSE)/2),0)</f>
        <v>0</v>
      </c>
      <c r="FZ141" s="322">
        <f t="shared" si="171"/>
        <v>0</v>
      </c>
      <c r="GA141" s="322">
        <f t="shared" si="172"/>
        <v>0</v>
      </c>
      <c r="GB141" s="323"/>
      <c r="GC141" s="323"/>
      <c r="GD141" s="323">
        <f>_xlfn.IFNA(VLOOKUP(A141,'LA Deductions'!A:AZ,25,FALSE),0)/9</f>
        <v>0</v>
      </c>
      <c r="GE141" s="322">
        <f t="shared" si="179"/>
        <v>558655.40595781128</v>
      </c>
      <c r="GG141" s="146">
        <f t="shared" si="180"/>
        <v>2984850</v>
      </c>
      <c r="GH141" s="146">
        <f t="shared" si="180"/>
        <v>0</v>
      </c>
      <c r="GI141" s="146">
        <f t="shared" si="180"/>
        <v>3377072.4099552743</v>
      </c>
      <c r="GJ141" s="146">
        <f t="shared" si="180"/>
        <v>0</v>
      </c>
      <c r="GK141" s="146">
        <f t="shared" si="180"/>
        <v>0</v>
      </c>
      <c r="GL141" s="146">
        <f t="shared" si="180"/>
        <v>-5139.75</v>
      </c>
      <c r="GN141" s="146">
        <f t="shared" si="181"/>
        <v>2984850</v>
      </c>
      <c r="GO141" s="146">
        <f t="shared" si="181"/>
        <v>0</v>
      </c>
      <c r="GP141" s="146">
        <f t="shared" si="181"/>
        <v>3377072.4099552743</v>
      </c>
      <c r="GQ141" s="146">
        <f t="shared" si="181"/>
        <v>0</v>
      </c>
      <c r="GR141" s="146">
        <f t="shared" si="181"/>
        <v>0</v>
      </c>
      <c r="GS141" s="146">
        <f t="shared" si="181"/>
        <v>-5139.75</v>
      </c>
      <c r="GU141" s="146"/>
      <c r="GV141" s="57"/>
    </row>
    <row r="142" spans="1:204">
      <c r="A142" s="185">
        <v>2192</v>
      </c>
      <c r="B142" s="185">
        <v>103268</v>
      </c>
      <c r="C142" s="185" t="s">
        <v>310</v>
      </c>
      <c r="D142" s="2" t="s">
        <v>311</v>
      </c>
      <c r="E142" s="191" t="s">
        <v>32</v>
      </c>
      <c r="F142" s="191" t="s">
        <v>912</v>
      </c>
      <c r="H142" s="279">
        <f>_xlfn.IFNA(VLOOKUP($A142,ISB!$A$4:$BY$454,67,FALSE),0)</f>
        <v>2809959.869238086</v>
      </c>
      <c r="I142" s="279">
        <f>_xlfn.IFNA(VLOOKUP($A142,ISB!$A$4:$BY$454,72,FALSE),0)</f>
        <v>-12518.4</v>
      </c>
      <c r="J142" s="279">
        <f>-_xlfn.IFNA(VLOOKUP($A142,ISB!$A$4:$BY$454,76,FALSE),0)</f>
        <v>-33654.800000000003</v>
      </c>
      <c r="K142" s="279">
        <f>_xlfn.IFNA(VLOOKUP($A142,ISB!$A$4:$BY$454,77,FALSE),0)</f>
        <v>2763786.6692380863</v>
      </c>
      <c r="M142" s="301">
        <f t="shared" si="137"/>
        <v>234163.32243650718</v>
      </c>
      <c r="N142" s="301">
        <f>VLOOKUP($A142,EY!$A:$H,8,FALSE)+(VLOOKUP($A142,EY!$A:$BS,17,FALSE)-S142)+VLOOKUP($A142,EY!$A:$BS,41,FALSE)</f>
        <v>0</v>
      </c>
      <c r="O142" s="302"/>
      <c r="P142" s="302">
        <f>_xlfn.IFNA((VLOOKUP($A142,HN!$A:$K,8,FALSE)/12),0)</f>
        <v>0</v>
      </c>
      <c r="Q142" s="302">
        <f>_xlfn.IFNA((VLOOKUP($A142,HN!$A:$BS,14,FALSE)/12),0)</f>
        <v>0</v>
      </c>
      <c r="R142" s="302">
        <f>_xlfn.IFNA(VLOOKUP($A142,'Post 16'!$A:$V,21,FALSE),0)/4</f>
        <v>0</v>
      </c>
      <c r="S142" s="302">
        <f>VLOOKUP($A142,EY!A:Q,15,FALSE)*80%</f>
        <v>0</v>
      </c>
      <c r="T142" s="302">
        <f>_xlfn.IFNA((VLOOKUP($A142,HN!$A:$K,9,FALSE)/12),0)+_xlfn.IFNA((VLOOKUP($A142,HN!$A:$K,10,FALSE)/12),0)</f>
        <v>0</v>
      </c>
      <c r="U142" s="302">
        <f>_xlfn.IFNA((VLOOKUP($A142,HN!$A:$BS,15,FALSE)/12),0)</f>
        <v>0</v>
      </c>
      <c r="V142" s="301">
        <f t="shared" si="138"/>
        <v>-1043.2</v>
      </c>
      <c r="W142" s="301">
        <f t="shared" si="139"/>
        <v>-2804.5666666666671</v>
      </c>
      <c r="X142" s="302"/>
      <c r="Y142" s="302">
        <f>_xlfn.IFNA(VLOOKUP($A142,'Cash Advances'!$A:$S,8,FALSE),0)</f>
        <v>0</v>
      </c>
      <c r="Z142" s="301">
        <f t="shared" si="132"/>
        <v>230315.55576984049</v>
      </c>
      <c r="AA142" s="315">
        <f t="shared" si="140"/>
        <v>234163.32243650718</v>
      </c>
      <c r="AB142" s="315"/>
      <c r="AC142" s="316"/>
      <c r="AD142" s="316">
        <f>_xlfn.IFNA((VLOOKUP($A142,HN!$A:$K,8,FALSE)/12),0)</f>
        <v>0</v>
      </c>
      <c r="AE142" s="316">
        <f>_xlfn.IFNA((VLOOKUP($A142,HN!$A:$BS,14,FALSE)/12),0)</f>
        <v>0</v>
      </c>
      <c r="AF142" s="316">
        <f>_xlfn.IFNA(VLOOKUP($A142,'Post 16'!$A:$V,21,FALSE),0)/4</f>
        <v>0</v>
      </c>
      <c r="AG142" s="316"/>
      <c r="AH142" s="316">
        <f>_xlfn.IFNA((VLOOKUP($A142,HN!$A:$K,9,FALSE)/12),0)+_xlfn.IFNA((VLOOKUP($A142,HN!$A:$K,10,FALSE)/12),0)</f>
        <v>0</v>
      </c>
      <c r="AI142" s="316">
        <f>_xlfn.IFNA((VLOOKUP($A142,HN!$A:$BS,15,FALSE)/12),0)</f>
        <v>0</v>
      </c>
      <c r="AJ142" s="315">
        <f t="shared" si="141"/>
        <v>-1043.2</v>
      </c>
      <c r="AK142" s="315">
        <f t="shared" si="142"/>
        <v>-2804.5666666666671</v>
      </c>
      <c r="AL142" s="316"/>
      <c r="AM142" s="316">
        <f>_xlfn.IFNA(VLOOKUP($A142,'Cash Advances'!$A:$S,9,FALSE),0)</f>
        <v>0</v>
      </c>
      <c r="AN142" s="315">
        <f t="shared" si="133"/>
        <v>230315.55576984049</v>
      </c>
      <c r="AO142" s="308">
        <f t="shared" si="143"/>
        <v>234163.32243650718</v>
      </c>
      <c r="AP142" s="308"/>
      <c r="AQ142" s="309"/>
      <c r="AR142" s="309">
        <f>_xlfn.IFNA((VLOOKUP($A142,HN!$A:$K,8,FALSE)/12),0)</f>
        <v>0</v>
      </c>
      <c r="AS142" s="309">
        <f>_xlfn.IFNA((VLOOKUP($A142,HN!$A:$BS,14,FALSE)/12),0)</f>
        <v>0</v>
      </c>
      <c r="AT142" s="309">
        <f>_xlfn.IFNA(VLOOKUP($A142,'Post 16'!$A:$V,21,FALSE),0)/4</f>
        <v>0</v>
      </c>
      <c r="AU142" s="309"/>
      <c r="AV142" s="309">
        <f>_xlfn.IFNA((VLOOKUP($A142,HN!$A:$K,9,FALSE)/12),0)+_xlfn.IFNA((VLOOKUP($A142,HN!$A:$K,10,FALSE)/12),0)+_xlfn.IFNA(VLOOKUP(A142,HN!A:V,19,FALSE),0)+_xlfn.IFNA(VLOOKUP(A142,HN!A:V,20,FALSE),0)+_xlfn.IFNA(VLOOKUP(A142,HN!A:V,21,FALSE),0)</f>
        <v>0</v>
      </c>
      <c r="AW142" s="309">
        <f>_xlfn.IFNA((VLOOKUP($A142,HN!$A:$BS,15,FALSE)/12),0)</f>
        <v>0</v>
      </c>
      <c r="AX142" s="308">
        <f t="shared" si="144"/>
        <v>-1043.2</v>
      </c>
      <c r="AY142" s="308">
        <f t="shared" si="145"/>
        <v>-2804.5666666666671</v>
      </c>
      <c r="AZ142" s="309"/>
      <c r="BA142" s="309">
        <f>_xlfn.IFNA(VLOOKUP($A142,'Cash Advances'!$A:$S,10,FALSE),0)</f>
        <v>0</v>
      </c>
      <c r="BB142" s="308">
        <f t="shared" si="134"/>
        <v>230315.55576984049</v>
      </c>
      <c r="BC142" s="330">
        <f t="shared" si="146"/>
        <v>234163.32243650718</v>
      </c>
      <c r="BD142" s="330"/>
      <c r="BE142" s="331"/>
      <c r="BF142" s="331">
        <f>_xlfn.IFNA((VLOOKUP($A142,HN!$A:$K,8,FALSE)/12),0)</f>
        <v>0</v>
      </c>
      <c r="BG142" s="331">
        <f>_xlfn.IFNA((VLOOKUP($A142,HN!$A:$BS,14,FALSE)/12),0)</f>
        <v>0</v>
      </c>
      <c r="BH142" s="331">
        <f>_xlfn.IFNA(VLOOKUP($A142,'Post 16'!$A:$V,21,FALSE),0)/4</f>
        <v>0</v>
      </c>
      <c r="BI142" s="331"/>
      <c r="BJ142" s="331">
        <f>_xlfn.IFNA((VLOOKUP($A142,HN!$A:$K,9,FALSE)/12),0)+_xlfn.IFNA((VLOOKUP($A142,HN!$A:$K,10,FALSE)/12),0)</f>
        <v>0</v>
      </c>
      <c r="BK142" s="331">
        <f>_xlfn.IFNA((VLOOKUP($A142,HN!$A:$BS,15,FALSE)/12),0)</f>
        <v>0</v>
      </c>
      <c r="BL142" s="330">
        <f t="shared" si="147"/>
        <v>-1043.2</v>
      </c>
      <c r="BM142" s="330">
        <f t="shared" si="148"/>
        <v>-2804.5666666666671</v>
      </c>
      <c r="BN142" s="331"/>
      <c r="BO142" s="331">
        <f>_xlfn.IFNA(VLOOKUP(A142,'Cash Advances'!A:K,11,FALSE),0)</f>
        <v>0</v>
      </c>
      <c r="BP142" s="330">
        <f t="shared" si="135"/>
        <v>230315.55576984049</v>
      </c>
      <c r="BQ142" s="322">
        <f t="shared" si="149"/>
        <v>234163.32243650718</v>
      </c>
      <c r="BR142" s="322"/>
      <c r="BS142" s="323"/>
      <c r="BT142" s="323">
        <f>_xlfn.IFNA((VLOOKUP($A142,HN!$A:$K,8,FALSE)/12),0)</f>
        <v>0</v>
      </c>
      <c r="BU142" s="323">
        <f>_xlfn.IFNA((VLOOKUP($A142,HN!$A:$BS,14,FALSE)/12),0)</f>
        <v>0</v>
      </c>
      <c r="BV142" s="323">
        <f>(_xlfn.IFNA(VLOOKUP($A142,'Post 16'!$A:$AV,32,FALSE),0)/8)+_xlfn.IFNA(VLOOKUP($A142,'Post 16'!$A:$AR,40,FALSE),0)</f>
        <v>0</v>
      </c>
      <c r="BW142" s="323"/>
      <c r="BX142" s="323">
        <f>_xlfn.IFNA((VLOOKUP($A142,HN!$A:$K,9,FALSE)/12),0)+_xlfn.IFNA((VLOOKUP($A142,HN!$A:$K,10,FALSE)/12),0)</f>
        <v>0</v>
      </c>
      <c r="BY142" s="323">
        <f>_xlfn.IFNA((VLOOKUP($A142,HN!$A:$BS,15,FALSE)/12),0)</f>
        <v>0</v>
      </c>
      <c r="BZ142" s="322">
        <f t="shared" si="150"/>
        <v>-1043.2</v>
      </c>
      <c r="CA142" s="322">
        <f t="shared" si="151"/>
        <v>-2804.5666666666671</v>
      </c>
      <c r="CB142" s="323"/>
      <c r="CC142" s="323"/>
      <c r="CD142" s="322">
        <f t="shared" si="136"/>
        <v>230315.55576984049</v>
      </c>
      <c r="CE142" s="357">
        <f t="shared" si="152"/>
        <v>234163.32243650718</v>
      </c>
      <c r="CF142" s="357">
        <f>(VLOOKUP($A142,EY!$A:$BS,26,FALSE)-(VLOOKUP($A142,EY!A:CR,24,FALSE)*80%))+VLOOKUP($A142,EY!$A:$BS,42,FALSE)+(VLOOKUP($A142,EY!A:CC,74,FALSE)-VLOOKUP($A142,EY!A:CC,72,FALSE))</f>
        <v>0</v>
      </c>
      <c r="CG142" s="358"/>
      <c r="CH142" s="358">
        <f>_xlfn.IFNA((VLOOKUP($A142,HN!$A:$K,8,FALSE)/12),0)</f>
        <v>0</v>
      </c>
      <c r="CI142" s="358">
        <f>_xlfn.IFNA((VLOOKUP($A142,HN!$A:$BS,14,FALSE)/12),0)</f>
        <v>0</v>
      </c>
      <c r="CJ142" s="358">
        <f>(_xlfn.IFNA(VLOOKUP($A142,'Post 16'!$A:$AV,32,FALSE),0)/8)</f>
        <v>0</v>
      </c>
      <c r="CK142" s="358">
        <f>(VLOOKUP($A142,EY!A:CR,24,FALSE)*80%)+VLOOKUP($A142,EY!A:CC,72,FALSE)</f>
        <v>0</v>
      </c>
      <c r="CL142" s="358">
        <f>_xlfn.IFNA((VLOOKUP($A142,HN!$A:$K,9,FALSE)/12),0)+_xlfn.IFNA((VLOOKUP($A142,HN!$A:$K,10,FALSE)/12),0)</f>
        <v>0</v>
      </c>
      <c r="CM142" s="358">
        <f>_xlfn.IFNA((VLOOKUP($A142,HN!$A:$BS,15,FALSE)/12),0)</f>
        <v>0</v>
      </c>
      <c r="CN142" s="357">
        <f t="shared" si="153"/>
        <v>-1043.2</v>
      </c>
      <c r="CO142" s="357">
        <f t="shared" si="154"/>
        <v>-2804.5666666666671</v>
      </c>
      <c r="CP142" s="358">
        <f>_xlfn.IFNA(VLOOKUP(A142,'LA Deductions'!A:W,23,FALSE),0)</f>
        <v>-12566.4</v>
      </c>
      <c r="CQ142" s="358">
        <f>_xlfn.IFNA(VLOOKUP($A142,'Cash Advances'!$A:$S,13,FALSE),0)</f>
        <v>0</v>
      </c>
      <c r="CR142" s="358">
        <f>_xlfn.IFNA(VLOOKUP(A142,'LA Deductions'!A:AZ,25,FALSE),0)/9*3</f>
        <v>0</v>
      </c>
      <c r="CS142" s="357">
        <f t="shared" si="173"/>
        <v>217749.15576984049</v>
      </c>
      <c r="CT142" s="337">
        <f t="shared" si="155"/>
        <v>234163.32243650718</v>
      </c>
      <c r="CU142" s="337"/>
      <c r="CV142" s="338">
        <f>_xlfn.IFNA(VLOOKUP(A142,'LA Deductions'!$A$6:$AN$207,34,FALSE),0)</f>
        <v>0</v>
      </c>
      <c r="CW142" s="338">
        <f>_xlfn.IFNA((VLOOKUP($A142,HN!$A:$K,8,FALSE)/12),0)</f>
        <v>0</v>
      </c>
      <c r="CX142" s="338">
        <f>_xlfn.IFNA((VLOOKUP($A142,HN!$A:$BS,14,FALSE)/12),0)</f>
        <v>0</v>
      </c>
      <c r="CY142" s="338">
        <f>_xlfn.IFNA(VLOOKUP($A142,'Post 16'!$A:$AV,32,FALSE),0)/8</f>
        <v>0</v>
      </c>
      <c r="CZ142" s="338"/>
      <c r="DA142" s="338">
        <f>_xlfn.IFNA((VLOOKUP($A142,HN!$A:$K,9,FALSE)/12),0)+_xlfn.IFNA((VLOOKUP($A142,HN!$A:$K,10,FALSE)/12),0)</f>
        <v>0</v>
      </c>
      <c r="DB142" s="338">
        <f>_xlfn.IFNA((VLOOKUP($A142,HN!$A:$BS,15,FALSE)/12),0)</f>
        <v>0</v>
      </c>
      <c r="DC142" s="337">
        <f t="shared" si="156"/>
        <v>-1043.2</v>
      </c>
      <c r="DD142" s="337">
        <f t="shared" si="157"/>
        <v>-2804.5666666666671</v>
      </c>
      <c r="DE142" s="338"/>
      <c r="DF142" s="338">
        <f>_xlfn.IFNA(VLOOKUP($A142,'Cash Advances'!$A:$S,14,FALSE),0)</f>
        <v>0</v>
      </c>
      <c r="DG142" s="338">
        <f>(_xlfn.IFNA(VLOOKUP(A142,'LA Deductions'!A:AZ,25,FALSE),0)/9)+(_xlfn.IFNA(VLOOKUP(A142,'LA Deductions'!A:AZ,26,FALSE),0))</f>
        <v>0</v>
      </c>
      <c r="DH142" s="337">
        <f t="shared" si="174"/>
        <v>230315.55576984049</v>
      </c>
      <c r="DI142" s="330">
        <f t="shared" si="158"/>
        <v>234163.32243650718</v>
      </c>
      <c r="DJ142" s="330"/>
      <c r="DK142" s="331"/>
      <c r="DL142" s="331">
        <f>_xlfn.IFNA((VLOOKUP($A142,HN!$A:$K,8,FALSE)/12),0)+_xlfn.IFNA((VLOOKUP($A142,HN!$A:$AF,32,FALSE)*8/12),0)</f>
        <v>0</v>
      </c>
      <c r="DM142" s="331">
        <f>_xlfn.IFNA((VLOOKUP($A142,HN!$A:$BS,14,FALSE)/12),0)+_xlfn.IFNA(VLOOKUP($A142,HN!$A:$BS,31,FALSE),0)</f>
        <v>0</v>
      </c>
      <c r="DN142" s="331">
        <f>_xlfn.IFNA(VLOOKUP($A142,'Post 16'!$A:$AV,32,FALSE),0)/8</f>
        <v>0</v>
      </c>
      <c r="DO142" s="331"/>
      <c r="DP142" s="331">
        <f>_xlfn.IFNA((VLOOKUP($A142,HN!$A:$K,9,FALSE)/12),0)+_xlfn.IFNA((VLOOKUP($A142,HN!$A:$K,10,FALSE)/12),0)+_xlfn.IFNA((VLOOKUP($A142,HN!$A:$BZ,33,FALSE)*8/12),0)</f>
        <v>0</v>
      </c>
      <c r="DQ142" s="331">
        <f>_xlfn.IFNA((VLOOKUP($A142,HN!$A:$BS,15,FALSE)/12),0)</f>
        <v>0</v>
      </c>
      <c r="DR142" s="330">
        <f t="shared" si="159"/>
        <v>-1043.2</v>
      </c>
      <c r="DS142" s="330">
        <f t="shared" si="160"/>
        <v>-2804.5666666666671</v>
      </c>
      <c r="DT142" s="331"/>
      <c r="DU142" s="331"/>
      <c r="DV142" s="331">
        <f>(_xlfn.IFNA(VLOOKUP(A142,'LA Deductions'!A:AZ,25,FALSE),0)/9)+_xlfn.IFNA(VLOOKUP(A142,'LA Deductions'!A:AZ,27,FALSE),0)</f>
        <v>0</v>
      </c>
      <c r="DW142" s="330">
        <f t="shared" si="175"/>
        <v>230315.55576984049</v>
      </c>
      <c r="DX142" s="344">
        <f t="shared" si="161"/>
        <v>234163.32243650718</v>
      </c>
      <c r="DY142" s="344"/>
      <c r="DZ142" s="345"/>
      <c r="EA142" s="345">
        <f>_xlfn.IFNA((VLOOKUP($A142,HN!$A:$K,8,FALSE)/12),0)+_xlfn.IFNA((VLOOKUP($A142,HN!$A:$AF,32,FALSE)*1/12),0)</f>
        <v>0</v>
      </c>
      <c r="EB142" s="345">
        <f>_xlfn.IFNA((VLOOKUP($A142,HN!$A:$BS,14,FALSE)/12),0)</f>
        <v>0</v>
      </c>
      <c r="EC142" s="345">
        <f>_xlfn.IFNA(VLOOKUP($A142,'Post 16'!$A:$AV,32,FALSE),0)/8</f>
        <v>0</v>
      </c>
      <c r="ED142" s="345"/>
      <c r="EE142" s="345">
        <f>_xlfn.IFNA((VLOOKUP($A142,HN!$A:$K,9,FALSE)/12),0)+_xlfn.IFNA((VLOOKUP($A142,HN!$A:$K,10,FALSE)/12),0)+_xlfn.IFNA((VLOOKUP($A142,HN!$A:$BZ,33,FALSE)/12),0)</f>
        <v>0</v>
      </c>
      <c r="EF142" s="345">
        <f>_xlfn.IFNA((VLOOKUP($A142,HN!$A:$BS,15,FALSE)/12),0)</f>
        <v>0</v>
      </c>
      <c r="EG142" s="344">
        <f t="shared" si="162"/>
        <v>-1043.2</v>
      </c>
      <c r="EH142" s="344">
        <f t="shared" si="163"/>
        <v>-2804.5666666666671</v>
      </c>
      <c r="EI142" s="345"/>
      <c r="EJ142" s="345">
        <f>_xlfn.IFNA(VLOOKUP(A142,'Cash Advances'!A:P,16,FALSE),0)</f>
        <v>0</v>
      </c>
      <c r="EK142" s="345">
        <f>_xlfn.IFNA(VLOOKUP(A142,'LA Deductions'!A:AZ,25,FALSE),0)/9</f>
        <v>0</v>
      </c>
      <c r="EL142" s="344">
        <f t="shared" si="176"/>
        <v>230315.55576984049</v>
      </c>
      <c r="EM142" s="308">
        <f t="shared" si="164"/>
        <v>234163.32243650718</v>
      </c>
      <c r="EN142" s="308">
        <f>((VLOOKUP($A142,EY!$A:$BS,35,FALSE)-(VLOOKUP($A142,EY!$A:$BS,33,FALSE)*80%))+VLOOKUP($A142,EY!$A:$BS,43,FALSE))+(VLOOKUP(A142,EY!A:DF,110,FALSE)-VLOOKUP(A142,EY!A:DD,108,FALSE))+(VLOOKUP(A142,EY!A:CE,83,FALSE)-VLOOKUP(A142,EY!A:CC,81,FALSE))</f>
        <v>0</v>
      </c>
      <c r="EO142" s="309"/>
      <c r="EP142" s="309">
        <f>_xlfn.IFNA((VLOOKUP($A142,HN!$A:$K,8,FALSE)/12),0)+_xlfn.IFNA((VLOOKUP($A142,HN!$A:$AF,32,FALSE)*1/12),0)</f>
        <v>0</v>
      </c>
      <c r="EQ142" s="309">
        <f>_xlfn.IFNA((VLOOKUP($A142,HN!$A:$BS,14,FALSE)/12),0)+_xlfn.IFNA((VLOOKUP($A142,HN!$A:$BS,34,FALSE)/3),0)</f>
        <v>0</v>
      </c>
      <c r="ER142" s="309">
        <f>_xlfn.IFNA(VLOOKUP($A142,'Post 16'!$A:$AV,32,FALSE),0)/8</f>
        <v>0</v>
      </c>
      <c r="ES142" s="309">
        <f>((VLOOKUP($A142,EY!A:EV,33,FALSE)*80%))+VLOOKUP(A142,EY!A:DD,108,FALSE)+VLOOKUP(A142,EY!A:CC,81,FALSE)</f>
        <v>0</v>
      </c>
      <c r="ET142" s="309">
        <f>_xlfn.IFNA((VLOOKUP($A142,HN!$A:$K,9,FALSE)/12),0)+_xlfn.IFNA((VLOOKUP($A142,HN!$A:$K,10,FALSE)/12),0)+_xlfn.IFNA((VLOOKUP($A142,HN!$A:$BZ,33,FALSE)/12),0)</f>
        <v>0</v>
      </c>
      <c r="EU142" s="309">
        <f>_xlfn.IFNA((VLOOKUP($A142,HN!$A:$BS,15,FALSE)/12),0)</f>
        <v>0</v>
      </c>
      <c r="EV142" s="308">
        <f t="shared" si="165"/>
        <v>-1043.2</v>
      </c>
      <c r="EW142" s="308">
        <f t="shared" si="166"/>
        <v>-2804.5666666666671</v>
      </c>
      <c r="EX142" s="309"/>
      <c r="EY142" s="309">
        <f>_xlfn.IFNA(VLOOKUP($A142,'Cash Advances'!$A:$S,17,FALSE),0)</f>
        <v>0</v>
      </c>
      <c r="EZ142" s="309">
        <f>_xlfn.IFNA(VLOOKUP(A142,'LA Deductions'!A:AZ,25,FALSE),0)/9</f>
        <v>0</v>
      </c>
      <c r="FA142" s="308">
        <f t="shared" si="177"/>
        <v>230315.55576984049</v>
      </c>
      <c r="FB142" s="315">
        <f t="shared" si="167"/>
        <v>234163.32243650718</v>
      </c>
      <c r="FC142" s="315"/>
      <c r="FD142" s="316"/>
      <c r="FE142" s="316">
        <f>_xlfn.IFNA((VLOOKUP($A142,HN!$A:$K,8,FALSE)/12),0)+_xlfn.IFNA((VLOOKUP($A142,HN!$A:$AF,32,FALSE)*1/12),0)</f>
        <v>0</v>
      </c>
      <c r="FF142" s="316">
        <f>_xlfn.IFNA((VLOOKUP($A142,HN!$A:$BS,14,FALSE)/12),0)+_xlfn.IFNA((VLOOKUP($A142,HN!$A:$BS,34,FALSE)/3),0)</f>
        <v>0</v>
      </c>
      <c r="FG142" s="316">
        <f>_xlfn.IFNA(VLOOKUP($A142,'Post 16'!$A:$AV,32,FALSE),0)/8</f>
        <v>0</v>
      </c>
      <c r="FH142" s="316"/>
      <c r="FI142" s="316">
        <f>_xlfn.IFNA((VLOOKUP($A142,HN!$A:$K,9,FALSE)/12),0)+_xlfn.IFNA((VLOOKUP($A142,HN!$A:$K,10,FALSE)/12),0)+_xlfn.IFNA((VLOOKUP($A142,HN!$A:$BZ,33,FALSE)/12),0)+_xlfn.IFNA((VLOOKUP($A142,HN!$A:$BZ,35,FALSE)/2),0)</f>
        <v>0</v>
      </c>
      <c r="FJ142" s="316">
        <f>_xlfn.IFNA((VLOOKUP($A142,HN!$A:$BS,15,FALSE)/12),0)+_xlfn.IFNA((VLOOKUP($A142,HN!$A:$CZ,36,FALSE)/2),0)</f>
        <v>0</v>
      </c>
      <c r="FK142" s="315">
        <f t="shared" si="168"/>
        <v>-1043.2</v>
      </c>
      <c r="FL142" s="315">
        <f t="shared" si="169"/>
        <v>-2804.5666666666671</v>
      </c>
      <c r="FM142" s="316"/>
      <c r="FN142" s="316">
        <f>_xlfn.IFNA(VLOOKUP($A142,'Cash Advances'!$A:$S,18,FALSE),0)</f>
        <v>0</v>
      </c>
      <c r="FO142" s="316">
        <f>_xlfn.IFNA(VLOOKUP(A142,'LA Deductions'!A:AZ,25,FALSE),0)/9</f>
        <v>0</v>
      </c>
      <c r="FP142" s="315">
        <f t="shared" si="178"/>
        <v>230315.55576984049</v>
      </c>
      <c r="FQ142" s="322">
        <f t="shared" si="170"/>
        <v>234163.32243650718</v>
      </c>
      <c r="FR142" s="322"/>
      <c r="FS142" s="323"/>
      <c r="FT142" s="323">
        <f>_xlfn.IFNA((VLOOKUP($A142,HN!$A:$K,8,FALSE)/12),0)+_xlfn.IFNA((VLOOKUP($A142,HN!$A:$AF,32,FALSE)*1/12),0)</f>
        <v>0</v>
      </c>
      <c r="FU142" s="323">
        <f>_xlfn.IFNA((VLOOKUP($A142,HN!$A:$BS,14,FALSE)/12),0)+_xlfn.IFNA((VLOOKUP($A142,HN!$A:$BS,34,FALSE)/3),0)</f>
        <v>0</v>
      </c>
      <c r="FV142" s="323">
        <f>_xlfn.IFNA(VLOOKUP($A142,'Post 16'!$A:$AV,32,FALSE),0)/8</f>
        <v>0</v>
      </c>
      <c r="FW142" s="323"/>
      <c r="FX142" s="323">
        <f>_xlfn.IFNA((VLOOKUP($A142,HN!$A:$K,9,FALSE)/12),0)+_xlfn.IFNA((VLOOKUP($A142,HN!$A:$K,10,FALSE)/12),0)+_xlfn.IFNA((VLOOKUP($A142,HN!$A:$BZ,33,FALSE)/12),0)+_xlfn.IFNA((VLOOKUP($A142,HN!$A:$BZ,35,FALSE)/2),0)</f>
        <v>0</v>
      </c>
      <c r="FY142" s="323">
        <f>_xlfn.IFNA((VLOOKUP($A142,HN!$A:$BS,15,FALSE)/12),0)+_xlfn.IFNA((VLOOKUP($A142,HN!$A:$CZ,36,FALSE)/2),0)</f>
        <v>0</v>
      </c>
      <c r="FZ142" s="322">
        <f t="shared" si="171"/>
        <v>-1043.2</v>
      </c>
      <c r="GA142" s="322">
        <f t="shared" si="172"/>
        <v>-2804.5666666666671</v>
      </c>
      <c r="GB142" s="323"/>
      <c r="GC142" s="323"/>
      <c r="GD142" s="323">
        <f>_xlfn.IFNA(VLOOKUP(A142,'LA Deductions'!A:AZ,25,FALSE),0)/9</f>
        <v>0</v>
      </c>
      <c r="GE142" s="322">
        <f t="shared" si="179"/>
        <v>230315.55576984049</v>
      </c>
      <c r="GG142" s="146">
        <f t="shared" si="180"/>
        <v>2809959.8692380865</v>
      </c>
      <c r="GH142" s="146">
        <f t="shared" si="180"/>
        <v>0</v>
      </c>
      <c r="GI142" s="146">
        <f t="shared" si="180"/>
        <v>0</v>
      </c>
      <c r="GJ142" s="146">
        <f t="shared" si="180"/>
        <v>-12518.400000000003</v>
      </c>
      <c r="GK142" s="146">
        <f t="shared" si="180"/>
        <v>-33654.799999999996</v>
      </c>
      <c r="GL142" s="146">
        <f t="shared" si="180"/>
        <v>-12566.4</v>
      </c>
      <c r="GN142" s="146">
        <f t="shared" si="181"/>
        <v>2809959.8692380865</v>
      </c>
      <c r="GO142" s="146">
        <f t="shared" si="181"/>
        <v>0</v>
      </c>
      <c r="GP142" s="146">
        <f t="shared" si="181"/>
        <v>0</v>
      </c>
      <c r="GQ142" s="146">
        <f t="shared" si="181"/>
        <v>-12518.400000000003</v>
      </c>
      <c r="GR142" s="146">
        <f t="shared" si="181"/>
        <v>-33654.799999999996</v>
      </c>
      <c r="GS142" s="146">
        <f t="shared" si="181"/>
        <v>-12566.4</v>
      </c>
      <c r="GU142" s="146"/>
      <c r="GV142" s="57"/>
    </row>
    <row r="143" spans="1:204">
      <c r="A143" s="185">
        <v>7014</v>
      </c>
      <c r="B143" s="185">
        <v>103605</v>
      </c>
      <c r="C143" s="185" t="s">
        <v>312</v>
      </c>
      <c r="D143" s="2" t="s">
        <v>313</v>
      </c>
      <c r="E143" s="191" t="s">
        <v>47</v>
      </c>
      <c r="F143" s="191" t="s">
        <v>912</v>
      </c>
      <c r="H143" s="279">
        <f>_xlfn.IFNA(VLOOKUP($A143,ISB!$A$4:$BY$454,67,FALSE),0)</f>
        <v>0</v>
      </c>
      <c r="I143" s="279">
        <f>_xlfn.IFNA(VLOOKUP($A143,ISB!$A$4:$BY$454,72,FALSE),0)</f>
        <v>0</v>
      </c>
      <c r="J143" s="279">
        <f>-_xlfn.IFNA(VLOOKUP($A143,ISB!$A$4:$BY$454,76,FALSE),0)</f>
        <v>0</v>
      </c>
      <c r="K143" s="279">
        <f>_xlfn.IFNA(VLOOKUP($A143,ISB!$A$4:$BY$454,77,FALSE),0)</f>
        <v>0</v>
      </c>
      <c r="M143" s="301">
        <f t="shared" si="137"/>
        <v>0</v>
      </c>
      <c r="N143" s="301">
        <f>VLOOKUP($A143,EY!$A:$H,8,FALSE)+(VLOOKUP($A143,EY!$A:$BS,17,FALSE)-S143)+VLOOKUP($A143,EY!$A:$BS,41,FALSE)</f>
        <v>0</v>
      </c>
      <c r="O143" s="302"/>
      <c r="P143" s="302">
        <f>_xlfn.IFNA((VLOOKUP($A143,HN!$A:$K,8,FALSE)/12),0)</f>
        <v>257950</v>
      </c>
      <c r="Q143" s="302">
        <f>_xlfn.IFNA((VLOOKUP($A143,HN!$A:$BS,14,FALSE)/12),0)</f>
        <v>0</v>
      </c>
      <c r="R143" s="302">
        <f>_xlfn.IFNA(VLOOKUP($A143,'Post 16'!$A:$V,21,FALSE),0)/4</f>
        <v>0</v>
      </c>
      <c r="S143" s="302">
        <f>VLOOKUP($A143,EY!A:Q,15,FALSE)*80%</f>
        <v>0</v>
      </c>
      <c r="T143" s="302">
        <f>_xlfn.IFNA((VLOOKUP($A143,HN!$A:$K,9,FALSE)/12),0)+_xlfn.IFNA((VLOOKUP($A143,HN!$A:$K,10,FALSE)/12),0)</f>
        <v>297687.61551817128</v>
      </c>
      <c r="U143" s="302">
        <f>_xlfn.IFNA((VLOOKUP($A143,HN!$A:$BS,15,FALSE)/12),0)</f>
        <v>0</v>
      </c>
      <c r="V143" s="301">
        <f t="shared" si="138"/>
        <v>0</v>
      </c>
      <c r="W143" s="301">
        <f t="shared" si="139"/>
        <v>0</v>
      </c>
      <c r="X143" s="302"/>
      <c r="Y143" s="302">
        <f>_xlfn.IFNA(VLOOKUP($A143,'Cash Advances'!$A:$S,8,FALSE),0)</f>
        <v>0</v>
      </c>
      <c r="Z143" s="301">
        <f t="shared" si="132"/>
        <v>555637.61551817134</v>
      </c>
      <c r="AA143" s="315">
        <f t="shared" si="140"/>
        <v>0</v>
      </c>
      <c r="AB143" s="315"/>
      <c r="AC143" s="316"/>
      <c r="AD143" s="316">
        <f>_xlfn.IFNA((VLOOKUP($A143,HN!$A:$K,8,FALSE)/12),0)</f>
        <v>257950</v>
      </c>
      <c r="AE143" s="316">
        <f>_xlfn.IFNA((VLOOKUP($A143,HN!$A:$BS,14,FALSE)/12),0)</f>
        <v>0</v>
      </c>
      <c r="AF143" s="316">
        <f>_xlfn.IFNA(VLOOKUP($A143,'Post 16'!$A:$V,21,FALSE),0)/4</f>
        <v>0</v>
      </c>
      <c r="AG143" s="316"/>
      <c r="AH143" s="316">
        <f>_xlfn.IFNA((VLOOKUP($A143,HN!$A:$K,9,FALSE)/12),0)+_xlfn.IFNA((VLOOKUP($A143,HN!$A:$K,10,FALSE)/12),0)</f>
        <v>297687.61551817128</v>
      </c>
      <c r="AI143" s="316">
        <f>_xlfn.IFNA((VLOOKUP($A143,HN!$A:$BS,15,FALSE)/12),0)</f>
        <v>0</v>
      </c>
      <c r="AJ143" s="315">
        <f t="shared" si="141"/>
        <v>0</v>
      </c>
      <c r="AK143" s="315">
        <f t="shared" si="142"/>
        <v>0</v>
      </c>
      <c r="AL143" s="316"/>
      <c r="AM143" s="316">
        <f>_xlfn.IFNA(VLOOKUP($A143,'Cash Advances'!$A:$S,9,FALSE),0)</f>
        <v>0</v>
      </c>
      <c r="AN143" s="315">
        <f t="shared" si="133"/>
        <v>555637.61551817134</v>
      </c>
      <c r="AO143" s="308">
        <f t="shared" si="143"/>
        <v>0</v>
      </c>
      <c r="AP143" s="308"/>
      <c r="AQ143" s="309"/>
      <c r="AR143" s="309">
        <f>_xlfn.IFNA((VLOOKUP($A143,HN!$A:$K,8,FALSE)/12),0)</f>
        <v>257950</v>
      </c>
      <c r="AS143" s="309">
        <f>_xlfn.IFNA((VLOOKUP($A143,HN!$A:$BS,14,FALSE)/12),0)</f>
        <v>0</v>
      </c>
      <c r="AT143" s="309">
        <f>_xlfn.IFNA(VLOOKUP($A143,'Post 16'!$A:$V,21,FALSE),0)/4</f>
        <v>0</v>
      </c>
      <c r="AU143" s="309"/>
      <c r="AV143" s="309">
        <f>_xlfn.IFNA((VLOOKUP($A143,HN!$A:$K,9,FALSE)/12),0)+_xlfn.IFNA((VLOOKUP($A143,HN!$A:$K,10,FALSE)/12),0)+_xlfn.IFNA(VLOOKUP(A143,HN!A:V,19,FALSE),0)+_xlfn.IFNA(VLOOKUP(A143,HN!A:V,20,FALSE),0)+_xlfn.IFNA(VLOOKUP(A143,HN!A:V,21,FALSE),0)</f>
        <v>869422.76936432486</v>
      </c>
      <c r="AW143" s="309">
        <f>_xlfn.IFNA((VLOOKUP($A143,HN!$A:$BS,15,FALSE)/12),0)</f>
        <v>0</v>
      </c>
      <c r="AX143" s="308">
        <f t="shared" si="144"/>
        <v>0</v>
      </c>
      <c r="AY143" s="308">
        <f t="shared" si="145"/>
        <v>0</v>
      </c>
      <c r="AZ143" s="309"/>
      <c r="BA143" s="309">
        <f>_xlfn.IFNA(VLOOKUP($A143,'Cash Advances'!$A:$S,10,FALSE),0)</f>
        <v>0</v>
      </c>
      <c r="BB143" s="308">
        <f t="shared" si="134"/>
        <v>1127372.7693643249</v>
      </c>
      <c r="BC143" s="330">
        <f t="shared" si="146"/>
        <v>0</v>
      </c>
      <c r="BD143" s="330"/>
      <c r="BE143" s="331"/>
      <c r="BF143" s="331">
        <f>_xlfn.IFNA((VLOOKUP($A143,HN!$A:$K,8,FALSE)/12),0)</f>
        <v>257950</v>
      </c>
      <c r="BG143" s="331">
        <f>_xlfn.IFNA((VLOOKUP($A143,HN!$A:$BS,14,FALSE)/12),0)</f>
        <v>0</v>
      </c>
      <c r="BH143" s="331">
        <f>_xlfn.IFNA(VLOOKUP($A143,'Post 16'!$A:$V,21,FALSE),0)/4</f>
        <v>0</v>
      </c>
      <c r="BI143" s="331"/>
      <c r="BJ143" s="331">
        <f>_xlfn.IFNA((VLOOKUP($A143,HN!$A:$K,9,FALSE)/12),0)+_xlfn.IFNA((VLOOKUP($A143,HN!$A:$K,10,FALSE)/12),0)</f>
        <v>297687.61551817128</v>
      </c>
      <c r="BK143" s="331">
        <f>_xlfn.IFNA((VLOOKUP($A143,HN!$A:$BS,15,FALSE)/12),0)</f>
        <v>0</v>
      </c>
      <c r="BL143" s="330">
        <f t="shared" si="147"/>
        <v>0</v>
      </c>
      <c r="BM143" s="330">
        <f t="shared" si="148"/>
        <v>0</v>
      </c>
      <c r="BN143" s="331"/>
      <c r="BO143" s="331">
        <f>_xlfn.IFNA(VLOOKUP(A143,'Cash Advances'!A:K,11,FALSE),0)</f>
        <v>0</v>
      </c>
      <c r="BP143" s="330">
        <f t="shared" si="135"/>
        <v>555637.61551817134</v>
      </c>
      <c r="BQ143" s="322">
        <f t="shared" si="149"/>
        <v>0</v>
      </c>
      <c r="BR143" s="322"/>
      <c r="BS143" s="323"/>
      <c r="BT143" s="323">
        <f>_xlfn.IFNA((VLOOKUP($A143,HN!$A:$K,8,FALSE)/12),0)</f>
        <v>257950</v>
      </c>
      <c r="BU143" s="323">
        <f>_xlfn.IFNA((VLOOKUP($A143,HN!$A:$BS,14,FALSE)/12),0)</f>
        <v>0</v>
      </c>
      <c r="BV143" s="323">
        <f>(_xlfn.IFNA(VLOOKUP($A143,'Post 16'!$A:$AV,32,FALSE),0)/8)+_xlfn.IFNA(VLOOKUP($A143,'Post 16'!$A:$AR,40,FALSE),0)</f>
        <v>0</v>
      </c>
      <c r="BW143" s="323"/>
      <c r="BX143" s="323">
        <f>_xlfn.IFNA((VLOOKUP($A143,HN!$A:$K,9,FALSE)/12),0)+_xlfn.IFNA((VLOOKUP($A143,HN!$A:$K,10,FALSE)/12),0)</f>
        <v>297687.61551817128</v>
      </c>
      <c r="BY143" s="323">
        <f>_xlfn.IFNA((VLOOKUP($A143,HN!$A:$BS,15,FALSE)/12),0)</f>
        <v>0</v>
      </c>
      <c r="BZ143" s="322">
        <f t="shared" si="150"/>
        <v>0</v>
      </c>
      <c r="CA143" s="322">
        <f t="shared" si="151"/>
        <v>0</v>
      </c>
      <c r="CB143" s="323"/>
      <c r="CC143" s="323"/>
      <c r="CD143" s="322">
        <f t="shared" si="136"/>
        <v>555637.61551817134</v>
      </c>
      <c r="CE143" s="357">
        <f t="shared" si="152"/>
        <v>0</v>
      </c>
      <c r="CF143" s="357">
        <f>(VLOOKUP($A143,EY!$A:$BS,26,FALSE)-(VLOOKUP($A143,EY!A:CR,24,FALSE)*80%))+VLOOKUP($A143,EY!$A:$BS,42,FALSE)+(VLOOKUP($A143,EY!A:CC,74,FALSE)-VLOOKUP($A143,EY!A:CC,72,FALSE))</f>
        <v>0</v>
      </c>
      <c r="CG143" s="358"/>
      <c r="CH143" s="358">
        <f>_xlfn.IFNA((VLOOKUP($A143,HN!$A:$K,8,FALSE)/12),0)</f>
        <v>257950</v>
      </c>
      <c r="CI143" s="358">
        <f>_xlfn.IFNA((VLOOKUP($A143,HN!$A:$BS,14,FALSE)/12),0)</f>
        <v>0</v>
      </c>
      <c r="CJ143" s="358">
        <f>(_xlfn.IFNA(VLOOKUP($A143,'Post 16'!$A:$AV,32,FALSE),0)/8)</f>
        <v>0</v>
      </c>
      <c r="CK143" s="358">
        <f>(VLOOKUP($A143,EY!A:CR,24,FALSE)*80%)+VLOOKUP($A143,EY!A:CC,72,FALSE)</f>
        <v>0</v>
      </c>
      <c r="CL143" s="358">
        <f>_xlfn.IFNA((VLOOKUP($A143,HN!$A:$K,9,FALSE)/12),0)+_xlfn.IFNA((VLOOKUP($A143,HN!$A:$K,10,FALSE)/12),0)</f>
        <v>297687.61551817128</v>
      </c>
      <c r="CM143" s="358">
        <f>_xlfn.IFNA((VLOOKUP($A143,HN!$A:$BS,15,FALSE)/12),0)</f>
        <v>0</v>
      </c>
      <c r="CN143" s="357">
        <f t="shared" si="153"/>
        <v>0</v>
      </c>
      <c r="CO143" s="357">
        <f t="shared" si="154"/>
        <v>0</v>
      </c>
      <c r="CP143" s="358">
        <f>_xlfn.IFNA(VLOOKUP(A143,'LA Deductions'!A:W,23,FALSE),0)</f>
        <v>-7209</v>
      </c>
      <c r="CQ143" s="358">
        <f>_xlfn.IFNA(VLOOKUP($A143,'Cash Advances'!$A:$S,13,FALSE),0)</f>
        <v>0</v>
      </c>
      <c r="CR143" s="358">
        <f>_xlfn.IFNA(VLOOKUP(A143,'LA Deductions'!A:AZ,25,FALSE),0)/9*3</f>
        <v>0</v>
      </c>
      <c r="CS143" s="357">
        <f t="shared" si="173"/>
        <v>548428.61551817134</v>
      </c>
      <c r="CT143" s="337">
        <f t="shared" si="155"/>
        <v>0</v>
      </c>
      <c r="CU143" s="337"/>
      <c r="CV143" s="338">
        <f>_xlfn.IFNA(VLOOKUP(A143,'LA Deductions'!$A$6:$AN$207,34,FALSE),0)</f>
        <v>0</v>
      </c>
      <c r="CW143" s="338">
        <f>_xlfn.IFNA((VLOOKUP($A143,HN!$A:$K,8,FALSE)/12),0)</f>
        <v>257950</v>
      </c>
      <c r="CX143" s="338">
        <f>_xlfn.IFNA((VLOOKUP($A143,HN!$A:$BS,14,FALSE)/12),0)</f>
        <v>0</v>
      </c>
      <c r="CY143" s="338">
        <f>_xlfn.IFNA(VLOOKUP($A143,'Post 16'!$A:$AV,32,FALSE),0)/8</f>
        <v>0</v>
      </c>
      <c r="CZ143" s="338"/>
      <c r="DA143" s="338">
        <f>_xlfn.IFNA((VLOOKUP($A143,HN!$A:$K,9,FALSE)/12),0)+_xlfn.IFNA((VLOOKUP($A143,HN!$A:$K,10,FALSE)/12),0)</f>
        <v>297687.61551817128</v>
      </c>
      <c r="DB143" s="338">
        <f>_xlfn.IFNA((VLOOKUP($A143,HN!$A:$BS,15,FALSE)/12),0)</f>
        <v>0</v>
      </c>
      <c r="DC143" s="337">
        <f t="shared" si="156"/>
        <v>0</v>
      </c>
      <c r="DD143" s="337">
        <f t="shared" si="157"/>
        <v>0</v>
      </c>
      <c r="DE143" s="338"/>
      <c r="DF143" s="338">
        <f>_xlfn.IFNA(VLOOKUP($A143,'Cash Advances'!$A:$S,14,FALSE),0)</f>
        <v>0</v>
      </c>
      <c r="DG143" s="338">
        <f>(_xlfn.IFNA(VLOOKUP(A143,'LA Deductions'!A:AZ,25,FALSE),0)/9)+(_xlfn.IFNA(VLOOKUP(A143,'LA Deductions'!A:AZ,26,FALSE),0))</f>
        <v>0</v>
      </c>
      <c r="DH143" s="337">
        <f t="shared" si="174"/>
        <v>555637.61551817134</v>
      </c>
      <c r="DI143" s="330">
        <f t="shared" si="158"/>
        <v>0</v>
      </c>
      <c r="DJ143" s="330"/>
      <c r="DK143" s="331"/>
      <c r="DL143" s="331">
        <f>_xlfn.IFNA((VLOOKUP($A143,HN!$A:$K,8,FALSE)/12),0)+_xlfn.IFNA((VLOOKUP($A143,HN!$A:$AF,32,FALSE)*8/12),0)</f>
        <v>331650</v>
      </c>
      <c r="DM143" s="331">
        <f>_xlfn.IFNA((VLOOKUP($A143,HN!$A:$BS,14,FALSE)/12),0)+_xlfn.IFNA(VLOOKUP($A143,HN!$A:$BS,31,FALSE),0)</f>
        <v>0</v>
      </c>
      <c r="DN143" s="331">
        <f>_xlfn.IFNA(VLOOKUP($A143,'Post 16'!$A:$AV,32,FALSE),0)/8</f>
        <v>0</v>
      </c>
      <c r="DO143" s="331"/>
      <c r="DP143" s="331">
        <f>_xlfn.IFNA((VLOOKUP($A143,HN!$A:$K,9,FALSE)/12),0)+_xlfn.IFNA((VLOOKUP($A143,HN!$A:$K,10,FALSE)/12),0)+_xlfn.IFNA((VLOOKUP($A143,HN!$A:$BZ,33,FALSE)*8/12),0)</f>
        <v>642251.91252709331</v>
      </c>
      <c r="DQ143" s="331">
        <f>_xlfn.IFNA((VLOOKUP($A143,HN!$A:$BS,15,FALSE)/12),0)</f>
        <v>0</v>
      </c>
      <c r="DR143" s="330">
        <f t="shared" si="159"/>
        <v>0</v>
      </c>
      <c r="DS143" s="330">
        <f t="shared" si="160"/>
        <v>0</v>
      </c>
      <c r="DT143" s="331"/>
      <c r="DU143" s="331"/>
      <c r="DV143" s="331">
        <f>(_xlfn.IFNA(VLOOKUP(A143,'LA Deductions'!A:AZ,25,FALSE),0)/9)+_xlfn.IFNA(VLOOKUP(A143,'LA Deductions'!A:AZ,27,FALSE),0)</f>
        <v>0</v>
      </c>
      <c r="DW143" s="330">
        <f t="shared" si="175"/>
        <v>973901.91252709331</v>
      </c>
      <c r="DX143" s="344">
        <f t="shared" si="161"/>
        <v>0</v>
      </c>
      <c r="DY143" s="344"/>
      <c r="DZ143" s="345"/>
      <c r="EA143" s="345">
        <f>_xlfn.IFNA((VLOOKUP($A143,HN!$A:$K,8,FALSE)/12),0)+_xlfn.IFNA((VLOOKUP($A143,HN!$A:$AF,32,FALSE)*1/12),0)</f>
        <v>267162.5</v>
      </c>
      <c r="EB143" s="345">
        <f>_xlfn.IFNA((VLOOKUP($A143,HN!$A:$BS,14,FALSE)/12),0)</f>
        <v>0</v>
      </c>
      <c r="EC143" s="345">
        <f>_xlfn.IFNA(VLOOKUP($A143,'Post 16'!$A:$AV,32,FALSE),0)/8</f>
        <v>0</v>
      </c>
      <c r="ED143" s="345"/>
      <c r="EE143" s="345">
        <f>_xlfn.IFNA((VLOOKUP($A143,HN!$A:$K,9,FALSE)/12),0)+_xlfn.IFNA((VLOOKUP($A143,HN!$A:$K,10,FALSE)/12),0)+_xlfn.IFNA((VLOOKUP($A143,HN!$A:$BZ,33,FALSE)/12),0)</f>
        <v>340758.15264428651</v>
      </c>
      <c r="EF143" s="345">
        <f>_xlfn.IFNA((VLOOKUP($A143,HN!$A:$BS,15,FALSE)/12),0)</f>
        <v>0</v>
      </c>
      <c r="EG143" s="344">
        <f t="shared" si="162"/>
        <v>0</v>
      </c>
      <c r="EH143" s="344">
        <f t="shared" si="163"/>
        <v>0</v>
      </c>
      <c r="EI143" s="345"/>
      <c r="EJ143" s="345">
        <f>_xlfn.IFNA(VLOOKUP(A143,'Cash Advances'!A:P,16,FALSE),0)</f>
        <v>0</v>
      </c>
      <c r="EK143" s="345">
        <f>_xlfn.IFNA(VLOOKUP(A143,'LA Deductions'!A:AZ,25,FALSE),0)/9</f>
        <v>0</v>
      </c>
      <c r="EL143" s="344">
        <f t="shared" si="176"/>
        <v>607920.65264428651</v>
      </c>
      <c r="EM143" s="308">
        <f t="shared" si="164"/>
        <v>0</v>
      </c>
      <c r="EN143" s="308">
        <f>((VLOOKUP($A143,EY!$A:$BS,35,FALSE)-(VLOOKUP($A143,EY!$A:$BS,33,FALSE)*80%))+VLOOKUP($A143,EY!$A:$BS,43,FALSE))+(VLOOKUP(A143,EY!A:DF,110,FALSE)-VLOOKUP(A143,EY!A:DD,108,FALSE))+(VLOOKUP(A143,EY!A:CE,83,FALSE)-VLOOKUP(A143,EY!A:CC,81,FALSE))</f>
        <v>0</v>
      </c>
      <c r="EO143" s="309"/>
      <c r="EP143" s="309">
        <f>_xlfn.IFNA((VLOOKUP($A143,HN!$A:$K,8,FALSE)/12),0)+_xlfn.IFNA((VLOOKUP($A143,HN!$A:$AF,32,FALSE)*1/12),0)</f>
        <v>267162.5</v>
      </c>
      <c r="EQ143" s="309">
        <f>_xlfn.IFNA((VLOOKUP($A143,HN!$A:$BS,14,FALSE)/12),0)+_xlfn.IFNA((VLOOKUP($A143,HN!$A:$BS,34,FALSE)/3),0)</f>
        <v>0</v>
      </c>
      <c r="ER143" s="309">
        <f>_xlfn.IFNA(VLOOKUP($A143,'Post 16'!$A:$AV,32,FALSE),0)/8</f>
        <v>0</v>
      </c>
      <c r="ES143" s="309">
        <f>((VLOOKUP($A143,EY!A:EV,33,FALSE)*80%))+VLOOKUP(A143,EY!A:DD,108,FALSE)+VLOOKUP(A143,EY!A:CC,81,FALSE)</f>
        <v>0</v>
      </c>
      <c r="ET143" s="309">
        <f>_xlfn.IFNA((VLOOKUP($A143,HN!$A:$K,9,FALSE)/12),0)+_xlfn.IFNA((VLOOKUP($A143,HN!$A:$K,10,FALSE)/12),0)+_xlfn.IFNA((VLOOKUP($A143,HN!$A:$BZ,33,FALSE)/12),0)</f>
        <v>340758.15264428651</v>
      </c>
      <c r="EU143" s="309">
        <f>_xlfn.IFNA((VLOOKUP($A143,HN!$A:$BS,15,FALSE)/12),0)</f>
        <v>0</v>
      </c>
      <c r="EV143" s="308">
        <f t="shared" si="165"/>
        <v>0</v>
      </c>
      <c r="EW143" s="308">
        <f t="shared" si="166"/>
        <v>0</v>
      </c>
      <c r="EX143" s="309"/>
      <c r="EY143" s="309">
        <f>_xlfn.IFNA(VLOOKUP($A143,'Cash Advances'!$A:$S,17,FALSE),0)</f>
        <v>0</v>
      </c>
      <c r="EZ143" s="309">
        <f>_xlfn.IFNA(VLOOKUP(A143,'LA Deductions'!A:AZ,25,FALSE),0)/9</f>
        <v>0</v>
      </c>
      <c r="FA143" s="308">
        <f t="shared" si="177"/>
        <v>607920.65264428651</v>
      </c>
      <c r="FB143" s="315">
        <f t="shared" si="167"/>
        <v>0</v>
      </c>
      <c r="FC143" s="315"/>
      <c r="FD143" s="316"/>
      <c r="FE143" s="316">
        <f>_xlfn.IFNA((VLOOKUP($A143,HN!$A:$K,8,FALSE)/12),0)+_xlfn.IFNA((VLOOKUP($A143,HN!$A:$AF,32,FALSE)*1/12),0)</f>
        <v>267162.5</v>
      </c>
      <c r="FF143" s="316">
        <f>_xlfn.IFNA((VLOOKUP($A143,HN!$A:$BS,14,FALSE)/12),0)+_xlfn.IFNA((VLOOKUP($A143,HN!$A:$BS,34,FALSE)/3),0)</f>
        <v>0</v>
      </c>
      <c r="FG143" s="316">
        <f>_xlfn.IFNA(VLOOKUP($A143,'Post 16'!$A:$AV,32,FALSE),0)/8</f>
        <v>0</v>
      </c>
      <c r="FH143" s="316"/>
      <c r="FI143" s="316">
        <f>_xlfn.IFNA((VLOOKUP($A143,HN!$A:$K,9,FALSE)/12),0)+_xlfn.IFNA((VLOOKUP($A143,HN!$A:$K,10,FALSE)/12),0)+_xlfn.IFNA((VLOOKUP($A143,HN!$A:$BZ,33,FALSE)/12),0)+_xlfn.IFNA((VLOOKUP($A143,HN!$A:$BZ,35,FALSE)/2),0)</f>
        <v>354079.36264428654</v>
      </c>
      <c r="FJ143" s="316">
        <f>_xlfn.IFNA((VLOOKUP($A143,HN!$A:$BS,15,FALSE)/12),0)+_xlfn.IFNA((VLOOKUP($A143,HN!$A:$CZ,36,FALSE)/2),0)</f>
        <v>0</v>
      </c>
      <c r="FK143" s="315">
        <f t="shared" si="168"/>
        <v>0</v>
      </c>
      <c r="FL143" s="315">
        <f t="shared" si="169"/>
        <v>0</v>
      </c>
      <c r="FM143" s="316"/>
      <c r="FN143" s="316">
        <f>_xlfn.IFNA(VLOOKUP($A143,'Cash Advances'!$A:$S,18,FALSE),0)</f>
        <v>0</v>
      </c>
      <c r="FO143" s="316">
        <f>_xlfn.IFNA(VLOOKUP(A143,'LA Deductions'!A:AZ,25,FALSE),0)/9</f>
        <v>0</v>
      </c>
      <c r="FP143" s="315">
        <f t="shared" si="178"/>
        <v>621241.86264428659</v>
      </c>
      <c r="FQ143" s="322">
        <f t="shared" si="170"/>
        <v>0</v>
      </c>
      <c r="FR143" s="322"/>
      <c r="FS143" s="323"/>
      <c r="FT143" s="323">
        <f>_xlfn.IFNA((VLOOKUP($A143,HN!$A:$K,8,FALSE)/12),0)+_xlfn.IFNA((VLOOKUP($A143,HN!$A:$AF,32,FALSE)*1/12),0)</f>
        <v>267162.5</v>
      </c>
      <c r="FU143" s="323">
        <f>_xlfn.IFNA((VLOOKUP($A143,HN!$A:$BS,14,FALSE)/12),0)+_xlfn.IFNA((VLOOKUP($A143,HN!$A:$BS,34,FALSE)/3),0)</f>
        <v>0</v>
      </c>
      <c r="FV143" s="323">
        <f>_xlfn.IFNA(VLOOKUP($A143,'Post 16'!$A:$AV,32,FALSE),0)/8</f>
        <v>0</v>
      </c>
      <c r="FW143" s="323"/>
      <c r="FX143" s="323">
        <f>_xlfn.IFNA((VLOOKUP($A143,HN!$A:$K,9,FALSE)/12),0)+_xlfn.IFNA((VLOOKUP($A143,HN!$A:$K,10,FALSE)/12),0)+_xlfn.IFNA((VLOOKUP($A143,HN!$A:$BZ,33,FALSE)/12),0)+_xlfn.IFNA((VLOOKUP($A143,HN!$A:$BZ,35,FALSE)/2),0)</f>
        <v>354079.36264428654</v>
      </c>
      <c r="FY143" s="323">
        <f>_xlfn.IFNA((VLOOKUP($A143,HN!$A:$BS,15,FALSE)/12),0)+_xlfn.IFNA((VLOOKUP($A143,HN!$A:$CZ,36,FALSE)/2),0)</f>
        <v>0</v>
      </c>
      <c r="FZ143" s="322">
        <f t="shared" si="171"/>
        <v>0</v>
      </c>
      <c r="GA143" s="322">
        <f t="shared" si="172"/>
        <v>0</v>
      </c>
      <c r="GB143" s="323"/>
      <c r="GC143" s="323"/>
      <c r="GD143" s="323">
        <f>_xlfn.IFNA(VLOOKUP(A143,'LA Deductions'!A:AZ,25,FALSE),0)/9</f>
        <v>0</v>
      </c>
      <c r="GE143" s="322">
        <f t="shared" si="179"/>
        <v>621241.86264428659</v>
      </c>
      <c r="GG143" s="146">
        <f t="shared" si="180"/>
        <v>3205950</v>
      </c>
      <c r="GH143" s="146">
        <f t="shared" si="180"/>
        <v>0</v>
      </c>
      <c r="GI143" s="146">
        <f t="shared" si="180"/>
        <v>4687475.4055775926</v>
      </c>
      <c r="GJ143" s="146">
        <f t="shared" si="180"/>
        <v>0</v>
      </c>
      <c r="GK143" s="146">
        <f t="shared" si="180"/>
        <v>0</v>
      </c>
      <c r="GL143" s="146">
        <f t="shared" si="180"/>
        <v>-7209</v>
      </c>
      <c r="GN143" s="146">
        <f t="shared" si="181"/>
        <v>3205950</v>
      </c>
      <c r="GO143" s="146">
        <f t="shared" si="181"/>
        <v>0</v>
      </c>
      <c r="GP143" s="146">
        <f t="shared" si="181"/>
        <v>4687475.4055775926</v>
      </c>
      <c r="GQ143" s="146">
        <f t="shared" si="181"/>
        <v>0</v>
      </c>
      <c r="GR143" s="146">
        <f t="shared" si="181"/>
        <v>0</v>
      </c>
      <c r="GS143" s="146">
        <f t="shared" si="181"/>
        <v>-7209</v>
      </c>
      <c r="GU143" s="146"/>
      <c r="GV143" s="57"/>
    </row>
    <row r="144" spans="1:204">
      <c r="A144" s="185">
        <v>7009</v>
      </c>
      <c r="B144" s="185">
        <v>103601</v>
      </c>
      <c r="C144" s="185" t="s">
        <v>314</v>
      </c>
      <c r="D144" s="2" t="s">
        <v>315</v>
      </c>
      <c r="E144" s="191" t="s">
        <v>47</v>
      </c>
      <c r="F144" s="191" t="s">
        <v>912</v>
      </c>
      <c r="H144" s="279">
        <f>_xlfn.IFNA(VLOOKUP($A144,ISB!$A$4:$BY$454,67,FALSE),0)</f>
        <v>0</v>
      </c>
      <c r="I144" s="279">
        <f>_xlfn.IFNA(VLOOKUP($A144,ISB!$A$4:$BY$454,72,FALSE),0)</f>
        <v>0</v>
      </c>
      <c r="J144" s="279">
        <f>-_xlfn.IFNA(VLOOKUP($A144,ISB!$A$4:$BY$454,76,FALSE),0)</f>
        <v>0</v>
      </c>
      <c r="K144" s="279">
        <f>_xlfn.IFNA(VLOOKUP($A144,ISB!$A$4:$BY$454,77,FALSE),0)</f>
        <v>0</v>
      </c>
      <c r="M144" s="301">
        <f t="shared" si="137"/>
        <v>0</v>
      </c>
      <c r="N144" s="301">
        <f>VLOOKUP($A144,EY!$A:$H,8,FALSE)+(VLOOKUP($A144,EY!$A:$BS,17,FALSE)-S144)+VLOOKUP($A144,EY!$A:$BS,41,FALSE)</f>
        <v>0</v>
      </c>
      <c r="O144" s="302"/>
      <c r="P144" s="302">
        <f>_xlfn.IFNA((VLOOKUP($A144,HN!$A:$K,8,FALSE)/12),0)</f>
        <v>210045</v>
      </c>
      <c r="Q144" s="302">
        <f>_xlfn.IFNA((VLOOKUP($A144,HN!$A:$BS,14,FALSE)/12),0)</f>
        <v>0</v>
      </c>
      <c r="R144" s="302">
        <f>_xlfn.IFNA(VLOOKUP($A144,'Post 16'!$A:$V,21,FALSE),0)/4</f>
        <v>0</v>
      </c>
      <c r="S144" s="302">
        <f>VLOOKUP($A144,EY!A:Q,15,FALSE)*80%</f>
        <v>0</v>
      </c>
      <c r="T144" s="302">
        <f>_xlfn.IFNA((VLOOKUP($A144,HN!$A:$K,9,FALSE)/12),0)+_xlfn.IFNA((VLOOKUP($A144,HN!$A:$K,10,FALSE)/12),0)</f>
        <v>202877.23188377041</v>
      </c>
      <c r="U144" s="302">
        <f>_xlfn.IFNA((VLOOKUP($A144,HN!$A:$BS,15,FALSE)/12),0)</f>
        <v>0</v>
      </c>
      <c r="V144" s="301">
        <f t="shared" si="138"/>
        <v>0</v>
      </c>
      <c r="W144" s="301">
        <f t="shared" si="139"/>
        <v>0</v>
      </c>
      <c r="X144" s="302"/>
      <c r="Y144" s="302">
        <f>_xlfn.IFNA(VLOOKUP($A144,'Cash Advances'!$A:$S,8,FALSE),0)</f>
        <v>0</v>
      </c>
      <c r="Z144" s="301">
        <f t="shared" si="132"/>
        <v>412922.23188377044</v>
      </c>
      <c r="AA144" s="315">
        <f t="shared" si="140"/>
        <v>0</v>
      </c>
      <c r="AB144" s="315"/>
      <c r="AC144" s="316"/>
      <c r="AD144" s="316">
        <f>_xlfn.IFNA((VLOOKUP($A144,HN!$A:$K,8,FALSE)/12),0)</f>
        <v>210045</v>
      </c>
      <c r="AE144" s="316">
        <f>_xlfn.IFNA((VLOOKUP($A144,HN!$A:$BS,14,FALSE)/12),0)</f>
        <v>0</v>
      </c>
      <c r="AF144" s="316">
        <f>_xlfn.IFNA(VLOOKUP($A144,'Post 16'!$A:$V,21,FALSE),0)/4</f>
        <v>0</v>
      </c>
      <c r="AG144" s="316"/>
      <c r="AH144" s="316">
        <f>_xlfn.IFNA((VLOOKUP($A144,HN!$A:$K,9,FALSE)/12),0)+_xlfn.IFNA((VLOOKUP($A144,HN!$A:$K,10,FALSE)/12),0)</f>
        <v>202877.23188377041</v>
      </c>
      <c r="AI144" s="316">
        <f>_xlfn.IFNA((VLOOKUP($A144,HN!$A:$BS,15,FALSE)/12),0)</f>
        <v>0</v>
      </c>
      <c r="AJ144" s="315">
        <f t="shared" si="141"/>
        <v>0</v>
      </c>
      <c r="AK144" s="315">
        <f t="shared" si="142"/>
        <v>0</v>
      </c>
      <c r="AL144" s="316"/>
      <c r="AM144" s="316">
        <f>_xlfn.IFNA(VLOOKUP($A144,'Cash Advances'!$A:$S,9,FALSE),0)</f>
        <v>0</v>
      </c>
      <c r="AN144" s="315">
        <f t="shared" si="133"/>
        <v>412922.23188377044</v>
      </c>
      <c r="AO144" s="308">
        <f t="shared" si="143"/>
        <v>0</v>
      </c>
      <c r="AP144" s="308"/>
      <c r="AQ144" s="309"/>
      <c r="AR144" s="309">
        <f>_xlfn.IFNA((VLOOKUP($A144,HN!$A:$K,8,FALSE)/12),0)</f>
        <v>210045</v>
      </c>
      <c r="AS144" s="309">
        <f>_xlfn.IFNA((VLOOKUP($A144,HN!$A:$BS,14,FALSE)/12),0)</f>
        <v>0</v>
      </c>
      <c r="AT144" s="309">
        <f>_xlfn.IFNA(VLOOKUP($A144,'Post 16'!$A:$V,21,FALSE),0)/4</f>
        <v>0</v>
      </c>
      <c r="AU144" s="309"/>
      <c r="AV144" s="309">
        <f>_xlfn.IFNA((VLOOKUP($A144,HN!$A:$K,9,FALSE)/12),0)+_xlfn.IFNA((VLOOKUP($A144,HN!$A:$K,10,FALSE)/12),0)+_xlfn.IFNA(VLOOKUP(A144,HN!A:V,19,FALSE),0)+_xlfn.IFNA(VLOOKUP(A144,HN!A:V,20,FALSE),0)+_xlfn.IFNA(VLOOKUP(A144,HN!A:V,21,FALSE),0)</f>
        <v>1232662.5011145391</v>
      </c>
      <c r="AW144" s="309">
        <f>_xlfn.IFNA((VLOOKUP($A144,HN!$A:$BS,15,FALSE)/12),0)</f>
        <v>0</v>
      </c>
      <c r="AX144" s="308">
        <f t="shared" si="144"/>
        <v>0</v>
      </c>
      <c r="AY144" s="308">
        <f t="shared" si="145"/>
        <v>0</v>
      </c>
      <c r="AZ144" s="309"/>
      <c r="BA144" s="309">
        <f>_xlfn.IFNA(VLOOKUP($A144,'Cash Advances'!$A:$S,10,FALSE),0)</f>
        <v>0</v>
      </c>
      <c r="BB144" s="308">
        <f t="shared" si="134"/>
        <v>1442707.5011145391</v>
      </c>
      <c r="BC144" s="330">
        <f t="shared" si="146"/>
        <v>0</v>
      </c>
      <c r="BD144" s="330"/>
      <c r="BE144" s="331"/>
      <c r="BF144" s="331">
        <f>_xlfn.IFNA((VLOOKUP($A144,HN!$A:$K,8,FALSE)/12),0)</f>
        <v>210045</v>
      </c>
      <c r="BG144" s="331">
        <f>_xlfn.IFNA((VLOOKUP($A144,HN!$A:$BS,14,FALSE)/12),0)</f>
        <v>0</v>
      </c>
      <c r="BH144" s="331">
        <f>_xlfn.IFNA(VLOOKUP($A144,'Post 16'!$A:$V,21,FALSE),0)/4</f>
        <v>0</v>
      </c>
      <c r="BI144" s="331"/>
      <c r="BJ144" s="331">
        <f>_xlfn.IFNA((VLOOKUP($A144,HN!$A:$K,9,FALSE)/12),0)+_xlfn.IFNA((VLOOKUP($A144,HN!$A:$K,10,FALSE)/12),0)</f>
        <v>202877.23188377041</v>
      </c>
      <c r="BK144" s="331">
        <f>_xlfn.IFNA((VLOOKUP($A144,HN!$A:$BS,15,FALSE)/12),0)</f>
        <v>0</v>
      </c>
      <c r="BL144" s="330">
        <f t="shared" si="147"/>
        <v>0</v>
      </c>
      <c r="BM144" s="330">
        <f t="shared" si="148"/>
        <v>0</v>
      </c>
      <c r="BN144" s="331"/>
      <c r="BO144" s="331">
        <f>_xlfn.IFNA(VLOOKUP(A144,'Cash Advances'!A:K,11,FALSE),0)</f>
        <v>0</v>
      </c>
      <c r="BP144" s="330">
        <f t="shared" si="135"/>
        <v>412922.23188377044</v>
      </c>
      <c r="BQ144" s="322">
        <f t="shared" si="149"/>
        <v>0</v>
      </c>
      <c r="BR144" s="322"/>
      <c r="BS144" s="323"/>
      <c r="BT144" s="323">
        <f>_xlfn.IFNA((VLOOKUP($A144,HN!$A:$K,8,FALSE)/12),0)</f>
        <v>210045</v>
      </c>
      <c r="BU144" s="323">
        <f>_xlfn.IFNA((VLOOKUP($A144,HN!$A:$BS,14,FALSE)/12),0)</f>
        <v>0</v>
      </c>
      <c r="BV144" s="323">
        <f>(_xlfn.IFNA(VLOOKUP($A144,'Post 16'!$A:$AV,32,FALSE),0)/8)+_xlfn.IFNA(VLOOKUP($A144,'Post 16'!$A:$AR,40,FALSE),0)</f>
        <v>0</v>
      </c>
      <c r="BW144" s="323"/>
      <c r="BX144" s="323">
        <f>_xlfn.IFNA((VLOOKUP($A144,HN!$A:$K,9,FALSE)/12),0)+_xlfn.IFNA((VLOOKUP($A144,HN!$A:$K,10,FALSE)/12),0)</f>
        <v>202877.23188377041</v>
      </c>
      <c r="BY144" s="323">
        <f>_xlfn.IFNA((VLOOKUP($A144,HN!$A:$BS,15,FALSE)/12),0)</f>
        <v>0</v>
      </c>
      <c r="BZ144" s="322">
        <f t="shared" si="150"/>
        <v>0</v>
      </c>
      <c r="CA144" s="322">
        <f t="shared" si="151"/>
        <v>0</v>
      </c>
      <c r="CB144" s="323"/>
      <c r="CC144" s="323"/>
      <c r="CD144" s="322">
        <f t="shared" si="136"/>
        <v>412922.23188377044</v>
      </c>
      <c r="CE144" s="357">
        <f t="shared" si="152"/>
        <v>0</v>
      </c>
      <c r="CF144" s="357">
        <f>(VLOOKUP($A144,EY!$A:$BS,26,FALSE)-(VLOOKUP($A144,EY!A:CR,24,FALSE)*80%))+VLOOKUP($A144,EY!$A:$BS,42,FALSE)+(VLOOKUP($A144,EY!A:CC,74,FALSE)-VLOOKUP($A144,EY!A:CC,72,FALSE))</f>
        <v>0</v>
      </c>
      <c r="CG144" s="358"/>
      <c r="CH144" s="358">
        <f>_xlfn.IFNA((VLOOKUP($A144,HN!$A:$K,8,FALSE)/12),0)</f>
        <v>210045</v>
      </c>
      <c r="CI144" s="358">
        <f>_xlfn.IFNA((VLOOKUP($A144,HN!$A:$BS,14,FALSE)/12),0)</f>
        <v>0</v>
      </c>
      <c r="CJ144" s="358">
        <f>(_xlfn.IFNA(VLOOKUP($A144,'Post 16'!$A:$AV,32,FALSE),0)/8)</f>
        <v>0</v>
      </c>
      <c r="CK144" s="358">
        <f>(VLOOKUP($A144,EY!A:CR,24,FALSE)*80%)+VLOOKUP($A144,EY!A:CC,72,FALSE)</f>
        <v>0</v>
      </c>
      <c r="CL144" s="358">
        <f>_xlfn.IFNA((VLOOKUP($A144,HN!$A:$K,9,FALSE)/12),0)+_xlfn.IFNA((VLOOKUP($A144,HN!$A:$K,10,FALSE)/12),0)</f>
        <v>202877.23188377041</v>
      </c>
      <c r="CM144" s="358">
        <f>_xlfn.IFNA((VLOOKUP($A144,HN!$A:$BS,15,FALSE)/12),0)</f>
        <v>0</v>
      </c>
      <c r="CN144" s="357">
        <f t="shared" si="153"/>
        <v>0</v>
      </c>
      <c r="CO144" s="357">
        <f t="shared" si="154"/>
        <v>0</v>
      </c>
      <c r="CP144" s="358">
        <f>_xlfn.IFNA(VLOOKUP(A144,'LA Deductions'!A:W,23,FALSE),0)</f>
        <v>-6237</v>
      </c>
      <c r="CQ144" s="358">
        <f>_xlfn.IFNA(VLOOKUP($A144,'Cash Advances'!$A:$S,13,FALSE),0)</f>
        <v>0</v>
      </c>
      <c r="CR144" s="358">
        <f>_xlfn.IFNA(VLOOKUP(A144,'LA Deductions'!A:AZ,25,FALSE),0)/9*3</f>
        <v>0</v>
      </c>
      <c r="CS144" s="357">
        <f t="shared" si="173"/>
        <v>406685.23188377044</v>
      </c>
      <c r="CT144" s="337">
        <f t="shared" si="155"/>
        <v>0</v>
      </c>
      <c r="CU144" s="337"/>
      <c r="CV144" s="338">
        <f>_xlfn.IFNA(VLOOKUP(A144,'LA Deductions'!$A$6:$AN$207,34,FALSE),0)</f>
        <v>0</v>
      </c>
      <c r="CW144" s="338">
        <f>_xlfn.IFNA((VLOOKUP($A144,HN!$A:$K,8,FALSE)/12),0)</f>
        <v>210045</v>
      </c>
      <c r="CX144" s="338">
        <f>_xlfn.IFNA((VLOOKUP($A144,HN!$A:$BS,14,FALSE)/12),0)</f>
        <v>0</v>
      </c>
      <c r="CY144" s="338">
        <f>_xlfn.IFNA(VLOOKUP($A144,'Post 16'!$A:$AV,32,FALSE),0)/8</f>
        <v>0</v>
      </c>
      <c r="CZ144" s="338"/>
      <c r="DA144" s="338">
        <f>_xlfn.IFNA((VLOOKUP($A144,HN!$A:$K,9,FALSE)/12),0)+_xlfn.IFNA((VLOOKUP($A144,HN!$A:$K,10,FALSE)/12),0)</f>
        <v>202877.23188377041</v>
      </c>
      <c r="DB144" s="338">
        <f>_xlfn.IFNA((VLOOKUP($A144,HN!$A:$BS,15,FALSE)/12),0)</f>
        <v>0</v>
      </c>
      <c r="DC144" s="337">
        <f t="shared" si="156"/>
        <v>0</v>
      </c>
      <c r="DD144" s="337">
        <f t="shared" si="157"/>
        <v>0</v>
      </c>
      <c r="DE144" s="338"/>
      <c r="DF144" s="338">
        <f>_xlfn.IFNA(VLOOKUP($A144,'Cash Advances'!$A:$S,14,FALSE),0)</f>
        <v>0</v>
      </c>
      <c r="DG144" s="338">
        <f>(_xlfn.IFNA(VLOOKUP(A144,'LA Deductions'!A:AZ,25,FALSE),0)/9)+(_xlfn.IFNA(VLOOKUP(A144,'LA Deductions'!A:AZ,26,FALSE),0))</f>
        <v>0</v>
      </c>
      <c r="DH144" s="337">
        <f t="shared" si="174"/>
        <v>412922.23188377044</v>
      </c>
      <c r="DI144" s="330">
        <f t="shared" si="158"/>
        <v>0</v>
      </c>
      <c r="DJ144" s="330"/>
      <c r="DK144" s="331"/>
      <c r="DL144" s="331">
        <f>_xlfn.IFNA((VLOOKUP($A144,HN!$A:$K,8,FALSE)/12),0)+_xlfn.IFNA((VLOOKUP($A144,HN!$A:$AF,32,FALSE)*8/12),0)</f>
        <v>210045</v>
      </c>
      <c r="DM144" s="331">
        <f>_xlfn.IFNA((VLOOKUP($A144,HN!$A:$BS,14,FALSE)/12),0)+_xlfn.IFNA(VLOOKUP($A144,HN!$A:$BS,31,FALSE),0)</f>
        <v>0</v>
      </c>
      <c r="DN144" s="331">
        <f>_xlfn.IFNA(VLOOKUP($A144,'Post 16'!$A:$AV,32,FALSE),0)/8</f>
        <v>0</v>
      </c>
      <c r="DO144" s="331"/>
      <c r="DP144" s="331">
        <f>_xlfn.IFNA((VLOOKUP($A144,HN!$A:$K,9,FALSE)/12),0)+_xlfn.IFNA((VLOOKUP($A144,HN!$A:$K,10,FALSE)/12),0)+_xlfn.IFNA((VLOOKUP($A144,HN!$A:$BZ,33,FALSE)*8/12),0)</f>
        <v>149543.89855043706</v>
      </c>
      <c r="DQ144" s="331">
        <f>_xlfn.IFNA((VLOOKUP($A144,HN!$A:$BS,15,FALSE)/12),0)</f>
        <v>0</v>
      </c>
      <c r="DR144" s="330">
        <f t="shared" si="159"/>
        <v>0</v>
      </c>
      <c r="DS144" s="330">
        <f t="shared" si="160"/>
        <v>0</v>
      </c>
      <c r="DT144" s="331"/>
      <c r="DU144" s="331"/>
      <c r="DV144" s="331">
        <f>(_xlfn.IFNA(VLOOKUP(A144,'LA Deductions'!A:AZ,25,FALSE),0)/9)+_xlfn.IFNA(VLOOKUP(A144,'LA Deductions'!A:AZ,27,FALSE),0)</f>
        <v>0</v>
      </c>
      <c r="DW144" s="330">
        <f t="shared" si="175"/>
        <v>359588.89855043706</v>
      </c>
      <c r="DX144" s="344">
        <f t="shared" si="161"/>
        <v>0</v>
      </c>
      <c r="DY144" s="344"/>
      <c r="DZ144" s="345"/>
      <c r="EA144" s="345">
        <f>_xlfn.IFNA((VLOOKUP($A144,HN!$A:$K,8,FALSE)/12),0)+_xlfn.IFNA((VLOOKUP($A144,HN!$A:$AF,32,FALSE)*1/12),0)</f>
        <v>210045</v>
      </c>
      <c r="EB144" s="345">
        <f>_xlfn.IFNA((VLOOKUP($A144,HN!$A:$BS,14,FALSE)/12),0)</f>
        <v>0</v>
      </c>
      <c r="EC144" s="345">
        <f>_xlfn.IFNA(VLOOKUP($A144,'Post 16'!$A:$AV,32,FALSE),0)/8</f>
        <v>0</v>
      </c>
      <c r="ED144" s="345"/>
      <c r="EE144" s="345">
        <f>_xlfn.IFNA((VLOOKUP($A144,HN!$A:$K,9,FALSE)/12),0)+_xlfn.IFNA((VLOOKUP($A144,HN!$A:$K,10,FALSE)/12),0)+_xlfn.IFNA((VLOOKUP($A144,HN!$A:$BZ,33,FALSE)/12),0)</f>
        <v>196210.56521710375</v>
      </c>
      <c r="EF144" s="345">
        <f>_xlfn.IFNA((VLOOKUP($A144,HN!$A:$BS,15,FALSE)/12),0)</f>
        <v>0</v>
      </c>
      <c r="EG144" s="344">
        <f t="shared" si="162"/>
        <v>0</v>
      </c>
      <c r="EH144" s="344">
        <f t="shared" si="163"/>
        <v>0</v>
      </c>
      <c r="EI144" s="345"/>
      <c r="EJ144" s="345">
        <f>_xlfn.IFNA(VLOOKUP(A144,'Cash Advances'!A:P,16,FALSE),0)</f>
        <v>0</v>
      </c>
      <c r="EK144" s="345">
        <f>_xlfn.IFNA(VLOOKUP(A144,'LA Deductions'!A:AZ,25,FALSE),0)/9</f>
        <v>0</v>
      </c>
      <c r="EL144" s="344">
        <f t="shared" si="176"/>
        <v>406255.56521710375</v>
      </c>
      <c r="EM144" s="308">
        <f t="shared" si="164"/>
        <v>0</v>
      </c>
      <c r="EN144" s="308">
        <f>((VLOOKUP($A144,EY!$A:$BS,35,FALSE)-(VLOOKUP($A144,EY!$A:$BS,33,FALSE)*80%))+VLOOKUP($A144,EY!$A:$BS,43,FALSE))+(VLOOKUP(A144,EY!A:DF,110,FALSE)-VLOOKUP(A144,EY!A:DD,108,FALSE))+(VLOOKUP(A144,EY!A:CE,83,FALSE)-VLOOKUP(A144,EY!A:CC,81,FALSE))</f>
        <v>0</v>
      </c>
      <c r="EO144" s="309"/>
      <c r="EP144" s="309">
        <f>_xlfn.IFNA((VLOOKUP($A144,HN!$A:$K,8,FALSE)/12),0)+_xlfn.IFNA((VLOOKUP($A144,HN!$A:$AF,32,FALSE)*1/12),0)</f>
        <v>210045</v>
      </c>
      <c r="EQ144" s="309">
        <f>_xlfn.IFNA((VLOOKUP($A144,HN!$A:$BS,14,FALSE)/12),0)+_xlfn.IFNA((VLOOKUP($A144,HN!$A:$BS,34,FALSE)/3),0)</f>
        <v>0</v>
      </c>
      <c r="ER144" s="309">
        <f>_xlfn.IFNA(VLOOKUP($A144,'Post 16'!$A:$AV,32,FALSE),0)/8</f>
        <v>0</v>
      </c>
      <c r="ES144" s="309">
        <f>((VLOOKUP($A144,EY!A:EV,33,FALSE)*80%))+VLOOKUP(A144,EY!A:DD,108,FALSE)+VLOOKUP(A144,EY!A:CC,81,FALSE)</f>
        <v>0</v>
      </c>
      <c r="ET144" s="309">
        <f>_xlfn.IFNA((VLOOKUP($A144,HN!$A:$K,9,FALSE)/12),0)+_xlfn.IFNA((VLOOKUP($A144,HN!$A:$K,10,FALSE)/12),0)+_xlfn.IFNA((VLOOKUP($A144,HN!$A:$BZ,33,FALSE)/12),0)</f>
        <v>196210.56521710375</v>
      </c>
      <c r="EU144" s="309">
        <f>_xlfn.IFNA((VLOOKUP($A144,HN!$A:$BS,15,FALSE)/12),0)</f>
        <v>0</v>
      </c>
      <c r="EV144" s="308">
        <f t="shared" si="165"/>
        <v>0</v>
      </c>
      <c r="EW144" s="308">
        <f t="shared" si="166"/>
        <v>0</v>
      </c>
      <c r="EX144" s="309"/>
      <c r="EY144" s="309">
        <f>_xlfn.IFNA(VLOOKUP($A144,'Cash Advances'!$A:$S,17,FALSE),0)</f>
        <v>0</v>
      </c>
      <c r="EZ144" s="309">
        <f>_xlfn.IFNA(VLOOKUP(A144,'LA Deductions'!A:AZ,25,FALSE),0)/9</f>
        <v>0</v>
      </c>
      <c r="FA144" s="308">
        <f t="shared" si="177"/>
        <v>406255.56521710375</v>
      </c>
      <c r="FB144" s="315">
        <f t="shared" si="167"/>
        <v>0</v>
      </c>
      <c r="FC144" s="315"/>
      <c r="FD144" s="316"/>
      <c r="FE144" s="316">
        <f>_xlfn.IFNA((VLOOKUP($A144,HN!$A:$K,8,FALSE)/12),0)+_xlfn.IFNA((VLOOKUP($A144,HN!$A:$AF,32,FALSE)*1/12),0)</f>
        <v>210045</v>
      </c>
      <c r="FF144" s="316">
        <f>_xlfn.IFNA((VLOOKUP($A144,HN!$A:$BS,14,FALSE)/12),0)+_xlfn.IFNA((VLOOKUP($A144,HN!$A:$BS,34,FALSE)/3),0)</f>
        <v>0</v>
      </c>
      <c r="FG144" s="316">
        <f>_xlfn.IFNA(VLOOKUP($A144,'Post 16'!$A:$AV,32,FALSE),0)/8</f>
        <v>0</v>
      </c>
      <c r="FH144" s="316"/>
      <c r="FI144" s="316">
        <f>_xlfn.IFNA((VLOOKUP($A144,HN!$A:$K,9,FALSE)/12),0)+_xlfn.IFNA((VLOOKUP($A144,HN!$A:$K,10,FALSE)/12),0)+_xlfn.IFNA((VLOOKUP($A144,HN!$A:$BZ,33,FALSE)/12),0)+_xlfn.IFNA((VLOOKUP($A144,HN!$A:$BZ,35,FALSE)/2),0)</f>
        <v>167466.35021710375</v>
      </c>
      <c r="FJ144" s="316">
        <f>_xlfn.IFNA((VLOOKUP($A144,HN!$A:$BS,15,FALSE)/12),0)+_xlfn.IFNA((VLOOKUP($A144,HN!$A:$CZ,36,FALSE)/2),0)</f>
        <v>0</v>
      </c>
      <c r="FK144" s="315">
        <f t="shared" si="168"/>
        <v>0</v>
      </c>
      <c r="FL144" s="315">
        <f t="shared" si="169"/>
        <v>0</v>
      </c>
      <c r="FM144" s="316"/>
      <c r="FN144" s="316">
        <f>_xlfn.IFNA(VLOOKUP($A144,'Cash Advances'!$A:$S,18,FALSE),0)</f>
        <v>0</v>
      </c>
      <c r="FO144" s="316">
        <f>_xlfn.IFNA(VLOOKUP(A144,'LA Deductions'!A:AZ,25,FALSE),0)/9</f>
        <v>0</v>
      </c>
      <c r="FP144" s="315">
        <f t="shared" si="178"/>
        <v>377511.35021710373</v>
      </c>
      <c r="FQ144" s="322">
        <f t="shared" si="170"/>
        <v>0</v>
      </c>
      <c r="FR144" s="322"/>
      <c r="FS144" s="323"/>
      <c r="FT144" s="323">
        <f>_xlfn.IFNA((VLOOKUP($A144,HN!$A:$K,8,FALSE)/12),0)+_xlfn.IFNA((VLOOKUP($A144,HN!$A:$AF,32,FALSE)*1/12),0)</f>
        <v>210045</v>
      </c>
      <c r="FU144" s="323">
        <f>_xlfn.IFNA((VLOOKUP($A144,HN!$A:$BS,14,FALSE)/12),0)+_xlfn.IFNA((VLOOKUP($A144,HN!$A:$BS,34,FALSE)/3),0)</f>
        <v>0</v>
      </c>
      <c r="FV144" s="323">
        <f>_xlfn.IFNA(VLOOKUP($A144,'Post 16'!$A:$AV,32,FALSE),0)/8</f>
        <v>0</v>
      </c>
      <c r="FW144" s="323"/>
      <c r="FX144" s="323">
        <f>_xlfn.IFNA((VLOOKUP($A144,HN!$A:$K,9,FALSE)/12),0)+_xlfn.IFNA((VLOOKUP($A144,HN!$A:$K,10,FALSE)/12),0)+_xlfn.IFNA((VLOOKUP($A144,HN!$A:$BZ,33,FALSE)/12),0)+_xlfn.IFNA((VLOOKUP($A144,HN!$A:$BZ,35,FALSE)/2),0)</f>
        <v>167466.35021710375</v>
      </c>
      <c r="FY144" s="323">
        <f>_xlfn.IFNA((VLOOKUP($A144,HN!$A:$BS,15,FALSE)/12),0)+_xlfn.IFNA((VLOOKUP($A144,HN!$A:$CZ,36,FALSE)/2),0)</f>
        <v>0</v>
      </c>
      <c r="FZ144" s="322">
        <f t="shared" si="171"/>
        <v>0</v>
      </c>
      <c r="GA144" s="322">
        <f t="shared" si="172"/>
        <v>0</v>
      </c>
      <c r="GB144" s="323"/>
      <c r="GC144" s="323"/>
      <c r="GD144" s="323">
        <f>_xlfn.IFNA(VLOOKUP(A144,'LA Deductions'!A:AZ,25,FALSE),0)/9</f>
        <v>0</v>
      </c>
      <c r="GE144" s="322">
        <f t="shared" si="179"/>
        <v>377511.35021710373</v>
      </c>
      <c r="GG144" s="146">
        <f t="shared" si="180"/>
        <v>2520540</v>
      </c>
      <c r="GH144" s="146">
        <f t="shared" si="180"/>
        <v>0</v>
      </c>
      <c r="GI144" s="146">
        <f t="shared" si="180"/>
        <v>3326823.6218360141</v>
      </c>
      <c r="GJ144" s="146">
        <f t="shared" si="180"/>
        <v>0</v>
      </c>
      <c r="GK144" s="146">
        <f t="shared" si="180"/>
        <v>0</v>
      </c>
      <c r="GL144" s="146">
        <f t="shared" si="180"/>
        <v>-6237</v>
      </c>
      <c r="GN144" s="146">
        <f t="shared" si="181"/>
        <v>2520540</v>
      </c>
      <c r="GO144" s="146">
        <f t="shared" si="181"/>
        <v>0</v>
      </c>
      <c r="GP144" s="146">
        <f t="shared" si="181"/>
        <v>3326823.6218360141</v>
      </c>
      <c r="GQ144" s="146">
        <f t="shared" si="181"/>
        <v>0</v>
      </c>
      <c r="GR144" s="146">
        <f t="shared" si="181"/>
        <v>0</v>
      </c>
      <c r="GS144" s="146">
        <f t="shared" si="181"/>
        <v>-6237</v>
      </c>
      <c r="GU144" s="146"/>
      <c r="GV144" s="57"/>
    </row>
    <row r="145" spans="1:204">
      <c r="A145" s="185">
        <v>5203</v>
      </c>
      <c r="B145" s="185">
        <v>103544</v>
      </c>
      <c r="C145" s="185" t="s">
        <v>316</v>
      </c>
      <c r="D145" s="2" t="s">
        <v>317</v>
      </c>
      <c r="E145" s="191" t="s">
        <v>32</v>
      </c>
      <c r="F145" s="191" t="s">
        <v>912</v>
      </c>
      <c r="H145" s="279">
        <f>_xlfn.IFNA(VLOOKUP($A145,ISB!$A$4:$BY$454,67,FALSE),0)</f>
        <v>1342857.847165281</v>
      </c>
      <c r="I145" s="279">
        <f>_xlfn.IFNA(VLOOKUP($A145,ISB!$A$4:$BY$454,72,FALSE),0)</f>
        <v>-6885.12</v>
      </c>
      <c r="J145" s="279">
        <f>-_xlfn.IFNA(VLOOKUP($A145,ISB!$A$4:$BY$454,76,FALSE),0)</f>
        <v>-6271.17</v>
      </c>
      <c r="K145" s="279">
        <f>_xlfn.IFNA(VLOOKUP($A145,ISB!$A$4:$BY$454,77,FALSE),0)</f>
        <v>1329701.5571652809</v>
      </c>
      <c r="M145" s="301">
        <f t="shared" si="137"/>
        <v>111904.82059710675</v>
      </c>
      <c r="N145" s="301">
        <f>VLOOKUP($A145,EY!$A:$H,8,FALSE)+(VLOOKUP($A145,EY!$A:$BS,17,FALSE)-S145)+VLOOKUP($A145,EY!$A:$BS,41,FALSE)</f>
        <v>85862.399999999994</v>
      </c>
      <c r="O145" s="302"/>
      <c r="P145" s="302">
        <f>_xlfn.IFNA((VLOOKUP($A145,HN!$A:$K,8,FALSE)/12),0)</f>
        <v>0</v>
      </c>
      <c r="Q145" s="302">
        <f>_xlfn.IFNA((VLOOKUP($A145,HN!$A:$BS,14,FALSE)/12),0)</f>
        <v>0</v>
      </c>
      <c r="R145" s="302">
        <f>_xlfn.IFNA(VLOOKUP($A145,'Post 16'!$A:$V,21,FALSE),0)/4</f>
        <v>0</v>
      </c>
      <c r="S145" s="302">
        <f>VLOOKUP($A145,EY!A:Q,15,FALSE)*80%</f>
        <v>0</v>
      </c>
      <c r="T145" s="302">
        <f>_xlfn.IFNA((VLOOKUP($A145,HN!$A:$K,9,FALSE)/12),0)+_xlfn.IFNA((VLOOKUP($A145,HN!$A:$K,10,FALSE)/12),0)</f>
        <v>0</v>
      </c>
      <c r="U145" s="302">
        <f>_xlfn.IFNA((VLOOKUP($A145,HN!$A:$BS,15,FALSE)/12),0)</f>
        <v>0</v>
      </c>
      <c r="V145" s="301">
        <f t="shared" si="138"/>
        <v>-573.76</v>
      </c>
      <c r="W145" s="301">
        <f t="shared" si="139"/>
        <v>-522.59749999999997</v>
      </c>
      <c r="X145" s="302"/>
      <c r="Y145" s="302">
        <f>_xlfn.IFNA(VLOOKUP($A145,'Cash Advances'!$A:$S,8,FALSE),0)</f>
        <v>0</v>
      </c>
      <c r="Z145" s="301">
        <f t="shared" si="132"/>
        <v>196670.86309710672</v>
      </c>
      <c r="AA145" s="315">
        <f t="shared" si="140"/>
        <v>111904.82059710675</v>
      </c>
      <c r="AB145" s="315"/>
      <c r="AC145" s="316"/>
      <c r="AD145" s="316">
        <f>_xlfn.IFNA((VLOOKUP($A145,HN!$A:$K,8,FALSE)/12),0)</f>
        <v>0</v>
      </c>
      <c r="AE145" s="316">
        <f>_xlfn.IFNA((VLOOKUP($A145,HN!$A:$BS,14,FALSE)/12),0)</f>
        <v>0</v>
      </c>
      <c r="AF145" s="316">
        <f>_xlfn.IFNA(VLOOKUP($A145,'Post 16'!$A:$V,21,FALSE),0)/4</f>
        <v>0</v>
      </c>
      <c r="AG145" s="316"/>
      <c r="AH145" s="316">
        <f>_xlfn.IFNA((VLOOKUP($A145,HN!$A:$K,9,FALSE)/12),0)+_xlfn.IFNA((VLOOKUP($A145,HN!$A:$K,10,FALSE)/12),0)</f>
        <v>0</v>
      </c>
      <c r="AI145" s="316">
        <f>_xlfn.IFNA((VLOOKUP($A145,HN!$A:$BS,15,FALSE)/12),0)</f>
        <v>0</v>
      </c>
      <c r="AJ145" s="315">
        <f t="shared" si="141"/>
        <v>-573.76</v>
      </c>
      <c r="AK145" s="315">
        <f t="shared" si="142"/>
        <v>-522.59749999999997</v>
      </c>
      <c r="AL145" s="316"/>
      <c r="AM145" s="316">
        <f>_xlfn.IFNA(VLOOKUP($A145,'Cash Advances'!$A:$S,9,FALSE),0)</f>
        <v>0</v>
      </c>
      <c r="AN145" s="315">
        <f t="shared" si="133"/>
        <v>110808.46309710675</v>
      </c>
      <c r="AO145" s="308">
        <f t="shared" si="143"/>
        <v>111904.82059710675</v>
      </c>
      <c r="AP145" s="308"/>
      <c r="AQ145" s="309"/>
      <c r="AR145" s="309">
        <f>_xlfn.IFNA((VLOOKUP($A145,HN!$A:$K,8,FALSE)/12),0)</f>
        <v>0</v>
      </c>
      <c r="AS145" s="309">
        <f>_xlfn.IFNA((VLOOKUP($A145,HN!$A:$BS,14,FALSE)/12),0)</f>
        <v>0</v>
      </c>
      <c r="AT145" s="309">
        <f>_xlfn.IFNA(VLOOKUP($A145,'Post 16'!$A:$V,21,FALSE),0)/4</f>
        <v>0</v>
      </c>
      <c r="AU145" s="309"/>
      <c r="AV145" s="309">
        <f>_xlfn.IFNA((VLOOKUP($A145,HN!$A:$K,9,FALSE)/12),0)+_xlfn.IFNA((VLOOKUP($A145,HN!$A:$K,10,FALSE)/12),0)+_xlfn.IFNA(VLOOKUP(A145,HN!A:V,19,FALSE),0)+_xlfn.IFNA(VLOOKUP(A145,HN!A:V,20,FALSE),0)+_xlfn.IFNA(VLOOKUP(A145,HN!A:V,21,FALSE),0)</f>
        <v>0</v>
      </c>
      <c r="AW145" s="309">
        <f>_xlfn.IFNA((VLOOKUP($A145,HN!$A:$BS,15,FALSE)/12),0)</f>
        <v>0</v>
      </c>
      <c r="AX145" s="308">
        <f t="shared" si="144"/>
        <v>-573.76</v>
      </c>
      <c r="AY145" s="308">
        <f t="shared" si="145"/>
        <v>-522.59749999999997</v>
      </c>
      <c r="AZ145" s="309"/>
      <c r="BA145" s="309">
        <f>_xlfn.IFNA(VLOOKUP($A145,'Cash Advances'!$A:$S,10,FALSE),0)</f>
        <v>0</v>
      </c>
      <c r="BB145" s="308">
        <f t="shared" si="134"/>
        <v>110808.46309710675</v>
      </c>
      <c r="BC145" s="330">
        <f t="shared" si="146"/>
        <v>111904.82059710675</v>
      </c>
      <c r="BD145" s="330"/>
      <c r="BE145" s="331"/>
      <c r="BF145" s="331">
        <f>_xlfn.IFNA((VLOOKUP($A145,HN!$A:$K,8,FALSE)/12),0)</f>
        <v>0</v>
      </c>
      <c r="BG145" s="331">
        <f>_xlfn.IFNA((VLOOKUP($A145,HN!$A:$BS,14,FALSE)/12),0)</f>
        <v>0</v>
      </c>
      <c r="BH145" s="331">
        <f>_xlfn.IFNA(VLOOKUP($A145,'Post 16'!$A:$V,21,FALSE),0)/4</f>
        <v>0</v>
      </c>
      <c r="BI145" s="331"/>
      <c r="BJ145" s="331">
        <f>_xlfn.IFNA((VLOOKUP($A145,HN!$A:$K,9,FALSE)/12),0)+_xlfn.IFNA((VLOOKUP($A145,HN!$A:$K,10,FALSE)/12),0)</f>
        <v>0</v>
      </c>
      <c r="BK145" s="331">
        <f>_xlfn.IFNA((VLOOKUP($A145,HN!$A:$BS,15,FALSE)/12),0)</f>
        <v>0</v>
      </c>
      <c r="BL145" s="330">
        <f t="shared" si="147"/>
        <v>-573.76</v>
      </c>
      <c r="BM145" s="330">
        <f t="shared" si="148"/>
        <v>-522.59749999999997</v>
      </c>
      <c r="BN145" s="331"/>
      <c r="BO145" s="331">
        <f>_xlfn.IFNA(VLOOKUP(A145,'Cash Advances'!A:K,11,FALSE),0)</f>
        <v>0</v>
      </c>
      <c r="BP145" s="330">
        <f t="shared" si="135"/>
        <v>110808.46309710675</v>
      </c>
      <c r="BQ145" s="322">
        <f t="shared" si="149"/>
        <v>111904.82059710675</v>
      </c>
      <c r="BR145" s="322"/>
      <c r="BS145" s="323"/>
      <c r="BT145" s="323">
        <f>_xlfn.IFNA((VLOOKUP($A145,HN!$A:$K,8,FALSE)/12),0)</f>
        <v>0</v>
      </c>
      <c r="BU145" s="323">
        <f>_xlfn.IFNA((VLOOKUP($A145,HN!$A:$BS,14,FALSE)/12),0)</f>
        <v>0</v>
      </c>
      <c r="BV145" s="323">
        <f>(_xlfn.IFNA(VLOOKUP($A145,'Post 16'!$A:$AV,32,FALSE),0)/8)+_xlfn.IFNA(VLOOKUP($A145,'Post 16'!$A:$AR,40,FALSE),0)</f>
        <v>0</v>
      </c>
      <c r="BW145" s="323"/>
      <c r="BX145" s="323">
        <f>_xlfn.IFNA((VLOOKUP($A145,HN!$A:$K,9,FALSE)/12),0)+_xlfn.IFNA((VLOOKUP($A145,HN!$A:$K,10,FALSE)/12),0)</f>
        <v>0</v>
      </c>
      <c r="BY145" s="323">
        <f>_xlfn.IFNA((VLOOKUP($A145,HN!$A:$BS,15,FALSE)/12),0)</f>
        <v>0</v>
      </c>
      <c r="BZ145" s="322">
        <f t="shared" si="150"/>
        <v>-573.76</v>
      </c>
      <c r="CA145" s="322">
        <f t="shared" si="151"/>
        <v>-522.59749999999997</v>
      </c>
      <c r="CB145" s="323"/>
      <c r="CC145" s="323"/>
      <c r="CD145" s="322">
        <f t="shared" si="136"/>
        <v>110808.46309710675</v>
      </c>
      <c r="CE145" s="357">
        <f t="shared" si="152"/>
        <v>111904.82059710675</v>
      </c>
      <c r="CF145" s="357">
        <f>(VLOOKUP($A145,EY!$A:$BS,26,FALSE)-(VLOOKUP($A145,EY!A:CR,24,FALSE)*80%))+VLOOKUP($A145,EY!$A:$BS,42,FALSE)+(VLOOKUP($A145,EY!A:CC,74,FALSE)-VLOOKUP($A145,EY!A:CC,72,FALSE))</f>
        <v>105028.82000000004</v>
      </c>
      <c r="CG145" s="358"/>
      <c r="CH145" s="358">
        <f>_xlfn.IFNA((VLOOKUP($A145,HN!$A:$K,8,FALSE)/12),0)</f>
        <v>0</v>
      </c>
      <c r="CI145" s="358">
        <f>_xlfn.IFNA((VLOOKUP($A145,HN!$A:$BS,14,FALSE)/12),0)</f>
        <v>0</v>
      </c>
      <c r="CJ145" s="358">
        <f>(_xlfn.IFNA(VLOOKUP($A145,'Post 16'!$A:$AV,32,FALSE),0)/8)</f>
        <v>0</v>
      </c>
      <c r="CK145" s="358">
        <f>(VLOOKUP($A145,EY!A:CR,24,FALSE)*80%)+VLOOKUP($A145,EY!A:CC,72,FALSE)</f>
        <v>0</v>
      </c>
      <c r="CL145" s="358">
        <f>_xlfn.IFNA((VLOOKUP($A145,HN!$A:$K,9,FALSE)/12),0)+_xlfn.IFNA((VLOOKUP($A145,HN!$A:$K,10,FALSE)/12),0)</f>
        <v>0</v>
      </c>
      <c r="CM145" s="358">
        <f>_xlfn.IFNA((VLOOKUP($A145,HN!$A:$BS,15,FALSE)/12),0)</f>
        <v>0</v>
      </c>
      <c r="CN145" s="357">
        <f t="shared" si="153"/>
        <v>-573.76</v>
      </c>
      <c r="CO145" s="357">
        <f t="shared" si="154"/>
        <v>-522.59749999999997</v>
      </c>
      <c r="CP145" s="358">
        <f>_xlfn.IFNA(VLOOKUP(A145,'LA Deductions'!A:W,23,FALSE),0)</f>
        <v>-5139.75</v>
      </c>
      <c r="CQ145" s="358">
        <f>_xlfn.IFNA(VLOOKUP($A145,'Cash Advances'!$A:$S,13,FALSE),0)</f>
        <v>0</v>
      </c>
      <c r="CR145" s="358">
        <f>_xlfn.IFNA(VLOOKUP(A145,'LA Deductions'!A:AZ,25,FALSE),0)/9*3</f>
        <v>0</v>
      </c>
      <c r="CS145" s="357">
        <f t="shared" si="173"/>
        <v>210697.53309710676</v>
      </c>
      <c r="CT145" s="337">
        <f t="shared" si="155"/>
        <v>111904.82059710675</v>
      </c>
      <c r="CU145" s="337"/>
      <c r="CV145" s="338">
        <f>_xlfn.IFNA(VLOOKUP(A145,'LA Deductions'!$A$6:$AN$207,34,FALSE),0)</f>
        <v>0</v>
      </c>
      <c r="CW145" s="338">
        <f>_xlfn.IFNA((VLOOKUP($A145,HN!$A:$K,8,FALSE)/12),0)</f>
        <v>0</v>
      </c>
      <c r="CX145" s="338">
        <f>_xlfn.IFNA((VLOOKUP($A145,HN!$A:$BS,14,FALSE)/12),0)</f>
        <v>0</v>
      </c>
      <c r="CY145" s="338">
        <f>_xlfn.IFNA(VLOOKUP($A145,'Post 16'!$A:$AV,32,FALSE),0)/8</f>
        <v>0</v>
      </c>
      <c r="CZ145" s="338"/>
      <c r="DA145" s="338">
        <f>_xlfn.IFNA((VLOOKUP($A145,HN!$A:$K,9,FALSE)/12),0)+_xlfn.IFNA((VLOOKUP($A145,HN!$A:$K,10,FALSE)/12),0)</f>
        <v>0</v>
      </c>
      <c r="DB145" s="338">
        <f>_xlfn.IFNA((VLOOKUP($A145,HN!$A:$BS,15,FALSE)/12),0)</f>
        <v>0</v>
      </c>
      <c r="DC145" s="337">
        <f t="shared" si="156"/>
        <v>-573.76</v>
      </c>
      <c r="DD145" s="337">
        <f t="shared" si="157"/>
        <v>-522.59749999999997</v>
      </c>
      <c r="DE145" s="338"/>
      <c r="DF145" s="338">
        <f>_xlfn.IFNA(VLOOKUP($A145,'Cash Advances'!$A:$S,14,FALSE),0)</f>
        <v>0</v>
      </c>
      <c r="DG145" s="338">
        <f>(_xlfn.IFNA(VLOOKUP(A145,'LA Deductions'!A:AZ,25,FALSE),0)/9)+(_xlfn.IFNA(VLOOKUP(A145,'LA Deductions'!A:AZ,26,FALSE),0))</f>
        <v>0</v>
      </c>
      <c r="DH145" s="337">
        <f t="shared" si="174"/>
        <v>110808.46309710675</v>
      </c>
      <c r="DI145" s="330">
        <f t="shared" si="158"/>
        <v>111904.82059710675</v>
      </c>
      <c r="DJ145" s="330"/>
      <c r="DK145" s="331"/>
      <c r="DL145" s="331">
        <f>_xlfn.IFNA((VLOOKUP($A145,HN!$A:$K,8,FALSE)/12),0)+_xlfn.IFNA((VLOOKUP($A145,HN!$A:$AF,32,FALSE)*8/12),0)</f>
        <v>0</v>
      </c>
      <c r="DM145" s="331">
        <f>_xlfn.IFNA((VLOOKUP($A145,HN!$A:$BS,14,FALSE)/12),0)+_xlfn.IFNA(VLOOKUP($A145,HN!$A:$BS,31,FALSE),0)</f>
        <v>0</v>
      </c>
      <c r="DN145" s="331">
        <f>_xlfn.IFNA(VLOOKUP($A145,'Post 16'!$A:$AV,32,FALSE),0)/8</f>
        <v>0</v>
      </c>
      <c r="DO145" s="331"/>
      <c r="DP145" s="331">
        <f>_xlfn.IFNA((VLOOKUP($A145,HN!$A:$K,9,FALSE)/12),0)+_xlfn.IFNA((VLOOKUP($A145,HN!$A:$K,10,FALSE)/12),0)+_xlfn.IFNA((VLOOKUP($A145,HN!$A:$BZ,33,FALSE)*8/12),0)</f>
        <v>0</v>
      </c>
      <c r="DQ145" s="331">
        <f>_xlfn.IFNA((VLOOKUP($A145,HN!$A:$BS,15,FALSE)/12),0)</f>
        <v>0</v>
      </c>
      <c r="DR145" s="330">
        <f t="shared" si="159"/>
        <v>-573.76</v>
      </c>
      <c r="DS145" s="330">
        <f t="shared" si="160"/>
        <v>-522.59749999999997</v>
      </c>
      <c r="DT145" s="331"/>
      <c r="DU145" s="331"/>
      <c r="DV145" s="331">
        <f>(_xlfn.IFNA(VLOOKUP(A145,'LA Deductions'!A:AZ,25,FALSE),0)/9)+_xlfn.IFNA(VLOOKUP(A145,'LA Deductions'!A:AZ,27,FALSE),0)</f>
        <v>0</v>
      </c>
      <c r="DW145" s="330">
        <f t="shared" si="175"/>
        <v>110808.46309710675</v>
      </c>
      <c r="DX145" s="344">
        <f t="shared" si="161"/>
        <v>111904.82059710675</v>
      </c>
      <c r="DY145" s="344"/>
      <c r="DZ145" s="345"/>
      <c r="EA145" s="345">
        <f>_xlfn.IFNA((VLOOKUP($A145,HN!$A:$K,8,FALSE)/12),0)+_xlfn.IFNA((VLOOKUP($A145,HN!$A:$AF,32,FALSE)*1/12),0)</f>
        <v>0</v>
      </c>
      <c r="EB145" s="345">
        <f>_xlfn.IFNA((VLOOKUP($A145,HN!$A:$BS,14,FALSE)/12),0)</f>
        <v>0</v>
      </c>
      <c r="EC145" s="345">
        <f>_xlfn.IFNA(VLOOKUP($A145,'Post 16'!$A:$AV,32,FALSE),0)/8</f>
        <v>0</v>
      </c>
      <c r="ED145" s="345"/>
      <c r="EE145" s="345">
        <f>_xlfn.IFNA((VLOOKUP($A145,HN!$A:$K,9,FALSE)/12),0)+_xlfn.IFNA((VLOOKUP($A145,HN!$A:$K,10,FALSE)/12),0)+_xlfn.IFNA((VLOOKUP($A145,HN!$A:$BZ,33,FALSE)/12),0)</f>
        <v>0</v>
      </c>
      <c r="EF145" s="345">
        <f>_xlfn.IFNA((VLOOKUP($A145,HN!$A:$BS,15,FALSE)/12),0)</f>
        <v>0</v>
      </c>
      <c r="EG145" s="344">
        <f t="shared" si="162"/>
        <v>-573.76</v>
      </c>
      <c r="EH145" s="344">
        <f t="shared" si="163"/>
        <v>-522.59749999999997</v>
      </c>
      <c r="EI145" s="345"/>
      <c r="EJ145" s="345">
        <f>_xlfn.IFNA(VLOOKUP(A145,'Cash Advances'!A:P,16,FALSE),0)</f>
        <v>0</v>
      </c>
      <c r="EK145" s="345">
        <f>_xlfn.IFNA(VLOOKUP(A145,'LA Deductions'!A:AZ,25,FALSE),0)/9</f>
        <v>0</v>
      </c>
      <c r="EL145" s="344">
        <f t="shared" si="176"/>
        <v>110808.46309710675</v>
      </c>
      <c r="EM145" s="308">
        <f t="shared" si="164"/>
        <v>111904.82059710675</v>
      </c>
      <c r="EN145" s="308">
        <f>((VLOOKUP($A145,EY!$A:$BS,35,FALSE)-(VLOOKUP($A145,EY!$A:$BS,33,FALSE)*80%))+VLOOKUP($A145,EY!$A:$BS,43,FALSE))+(VLOOKUP(A145,EY!A:DF,110,FALSE)-VLOOKUP(A145,EY!A:DD,108,FALSE))+(VLOOKUP(A145,EY!A:CE,83,FALSE)-VLOOKUP(A145,EY!A:CC,81,FALSE))</f>
        <v>98077.827063711913</v>
      </c>
      <c r="EO145" s="309"/>
      <c r="EP145" s="309">
        <f>_xlfn.IFNA((VLOOKUP($A145,HN!$A:$K,8,FALSE)/12),0)+_xlfn.IFNA((VLOOKUP($A145,HN!$A:$AF,32,FALSE)*1/12),0)</f>
        <v>0</v>
      </c>
      <c r="EQ145" s="309">
        <f>_xlfn.IFNA((VLOOKUP($A145,HN!$A:$BS,14,FALSE)/12),0)+_xlfn.IFNA((VLOOKUP($A145,HN!$A:$BS,34,FALSE)/3),0)</f>
        <v>0</v>
      </c>
      <c r="ER145" s="309">
        <f>_xlfn.IFNA(VLOOKUP($A145,'Post 16'!$A:$AV,32,FALSE),0)/8</f>
        <v>0</v>
      </c>
      <c r="ES145" s="309">
        <f>((VLOOKUP($A145,EY!A:EV,33,FALSE)*80%))+VLOOKUP(A145,EY!A:DD,108,FALSE)+VLOOKUP(A145,EY!A:CC,81,FALSE)</f>
        <v>0</v>
      </c>
      <c r="ET145" s="309">
        <f>_xlfn.IFNA((VLOOKUP($A145,HN!$A:$K,9,FALSE)/12),0)+_xlfn.IFNA((VLOOKUP($A145,HN!$A:$K,10,FALSE)/12),0)+_xlfn.IFNA((VLOOKUP($A145,HN!$A:$BZ,33,FALSE)/12),0)</f>
        <v>0</v>
      </c>
      <c r="EU145" s="309">
        <f>_xlfn.IFNA((VLOOKUP($A145,HN!$A:$BS,15,FALSE)/12),0)</f>
        <v>0</v>
      </c>
      <c r="EV145" s="308">
        <f t="shared" si="165"/>
        <v>-573.76</v>
      </c>
      <c r="EW145" s="308">
        <f t="shared" si="166"/>
        <v>-522.59749999999997</v>
      </c>
      <c r="EX145" s="309"/>
      <c r="EY145" s="309">
        <f>_xlfn.IFNA(VLOOKUP($A145,'Cash Advances'!$A:$S,17,FALSE),0)</f>
        <v>0</v>
      </c>
      <c r="EZ145" s="309">
        <f>_xlfn.IFNA(VLOOKUP(A145,'LA Deductions'!A:AZ,25,FALSE),0)/9</f>
        <v>0</v>
      </c>
      <c r="FA145" s="308">
        <f t="shared" si="177"/>
        <v>208886.29016081864</v>
      </c>
      <c r="FB145" s="315">
        <f t="shared" si="167"/>
        <v>111904.82059710675</v>
      </c>
      <c r="FC145" s="315"/>
      <c r="FD145" s="316"/>
      <c r="FE145" s="316">
        <f>_xlfn.IFNA((VLOOKUP($A145,HN!$A:$K,8,FALSE)/12),0)+_xlfn.IFNA((VLOOKUP($A145,HN!$A:$AF,32,FALSE)*1/12),0)</f>
        <v>0</v>
      </c>
      <c r="FF145" s="316">
        <f>_xlfn.IFNA((VLOOKUP($A145,HN!$A:$BS,14,FALSE)/12),0)+_xlfn.IFNA((VLOOKUP($A145,HN!$A:$BS,34,FALSE)/3),0)</f>
        <v>0</v>
      </c>
      <c r="FG145" s="316">
        <f>_xlfn.IFNA(VLOOKUP($A145,'Post 16'!$A:$AV,32,FALSE),0)/8</f>
        <v>0</v>
      </c>
      <c r="FH145" s="316"/>
      <c r="FI145" s="316">
        <f>_xlfn.IFNA((VLOOKUP($A145,HN!$A:$K,9,FALSE)/12),0)+_xlfn.IFNA((VLOOKUP($A145,HN!$A:$K,10,FALSE)/12),0)+_xlfn.IFNA((VLOOKUP($A145,HN!$A:$BZ,33,FALSE)/12),0)+_xlfn.IFNA((VLOOKUP($A145,HN!$A:$BZ,35,FALSE)/2),0)</f>
        <v>0</v>
      </c>
      <c r="FJ145" s="316">
        <f>_xlfn.IFNA((VLOOKUP($A145,HN!$A:$BS,15,FALSE)/12),0)+_xlfn.IFNA((VLOOKUP($A145,HN!$A:$CZ,36,FALSE)/2),0)</f>
        <v>0</v>
      </c>
      <c r="FK145" s="315">
        <f t="shared" si="168"/>
        <v>-573.76</v>
      </c>
      <c r="FL145" s="315">
        <f t="shared" si="169"/>
        <v>-522.59749999999997</v>
      </c>
      <c r="FM145" s="316"/>
      <c r="FN145" s="316">
        <f>_xlfn.IFNA(VLOOKUP($A145,'Cash Advances'!$A:$S,18,FALSE),0)</f>
        <v>0</v>
      </c>
      <c r="FO145" s="316">
        <f>_xlfn.IFNA(VLOOKUP(A145,'LA Deductions'!A:AZ,25,FALSE),0)/9</f>
        <v>0</v>
      </c>
      <c r="FP145" s="315">
        <f t="shared" si="178"/>
        <v>110808.46309710675</v>
      </c>
      <c r="FQ145" s="322">
        <f t="shared" si="170"/>
        <v>111904.82059710675</v>
      </c>
      <c r="FR145" s="322"/>
      <c r="FS145" s="323"/>
      <c r="FT145" s="323">
        <f>_xlfn.IFNA((VLOOKUP($A145,HN!$A:$K,8,FALSE)/12),0)+_xlfn.IFNA((VLOOKUP($A145,HN!$A:$AF,32,FALSE)*1/12),0)</f>
        <v>0</v>
      </c>
      <c r="FU145" s="323">
        <f>_xlfn.IFNA((VLOOKUP($A145,HN!$A:$BS,14,FALSE)/12),0)+_xlfn.IFNA((VLOOKUP($A145,HN!$A:$BS,34,FALSE)/3),0)</f>
        <v>0</v>
      </c>
      <c r="FV145" s="323">
        <f>_xlfn.IFNA(VLOOKUP($A145,'Post 16'!$A:$AV,32,FALSE),0)/8</f>
        <v>0</v>
      </c>
      <c r="FW145" s="323"/>
      <c r="FX145" s="323">
        <f>_xlfn.IFNA((VLOOKUP($A145,HN!$A:$K,9,FALSE)/12),0)+_xlfn.IFNA((VLOOKUP($A145,HN!$A:$K,10,FALSE)/12),0)+_xlfn.IFNA((VLOOKUP($A145,HN!$A:$BZ,33,FALSE)/12),0)+_xlfn.IFNA((VLOOKUP($A145,HN!$A:$BZ,35,FALSE)/2),0)</f>
        <v>0</v>
      </c>
      <c r="FY145" s="323">
        <f>_xlfn.IFNA((VLOOKUP($A145,HN!$A:$BS,15,FALSE)/12),0)+_xlfn.IFNA((VLOOKUP($A145,HN!$A:$CZ,36,FALSE)/2),0)</f>
        <v>0</v>
      </c>
      <c r="FZ145" s="322">
        <f t="shared" si="171"/>
        <v>-573.76</v>
      </c>
      <c r="GA145" s="322">
        <f t="shared" si="172"/>
        <v>-522.59749999999997</v>
      </c>
      <c r="GB145" s="323"/>
      <c r="GC145" s="323"/>
      <c r="GD145" s="323">
        <f>_xlfn.IFNA(VLOOKUP(A145,'LA Deductions'!A:AZ,25,FALSE),0)/9</f>
        <v>0</v>
      </c>
      <c r="GE145" s="322">
        <f t="shared" si="179"/>
        <v>110808.46309710675</v>
      </c>
      <c r="GG145" s="146">
        <f t="shared" si="180"/>
        <v>1631826.894228993</v>
      </c>
      <c r="GH145" s="146">
        <f t="shared" si="180"/>
        <v>0</v>
      </c>
      <c r="GI145" s="146">
        <f t="shared" si="180"/>
        <v>0</v>
      </c>
      <c r="GJ145" s="146">
        <f t="shared" si="180"/>
        <v>-6885.1200000000017</v>
      </c>
      <c r="GK145" s="146">
        <f t="shared" si="180"/>
        <v>-6271.1699999999992</v>
      </c>
      <c r="GL145" s="146">
        <f t="shared" si="180"/>
        <v>-5139.75</v>
      </c>
      <c r="GN145" s="146">
        <f t="shared" si="181"/>
        <v>1631826.894228993</v>
      </c>
      <c r="GO145" s="146">
        <f t="shared" si="181"/>
        <v>0</v>
      </c>
      <c r="GP145" s="146">
        <f t="shared" si="181"/>
        <v>0</v>
      </c>
      <c r="GQ145" s="146">
        <f t="shared" si="181"/>
        <v>-6885.1200000000017</v>
      </c>
      <c r="GR145" s="146">
        <f t="shared" si="181"/>
        <v>-6271.1699999999992</v>
      </c>
      <c r="GS145" s="146">
        <f t="shared" si="181"/>
        <v>-5139.75</v>
      </c>
      <c r="GU145" s="146"/>
      <c r="GV145" s="57"/>
    </row>
    <row r="146" spans="1:204">
      <c r="A146" s="185">
        <v>5202</v>
      </c>
      <c r="B146" s="185">
        <v>103543</v>
      </c>
      <c r="C146" s="185" t="s">
        <v>318</v>
      </c>
      <c r="D146" s="2" t="s">
        <v>319</v>
      </c>
      <c r="E146" s="191" t="s">
        <v>32</v>
      </c>
      <c r="F146" s="191" t="s">
        <v>912</v>
      </c>
      <c r="H146" s="279">
        <f>_xlfn.IFNA(VLOOKUP($A146,ISB!$A$4:$BY$454,67,FALSE),0)</f>
        <v>1788013.47</v>
      </c>
      <c r="I146" s="279">
        <f>_xlfn.IFNA(VLOOKUP($A146,ISB!$A$4:$BY$454,72,FALSE),0)</f>
        <v>-9388.7999999999993</v>
      </c>
      <c r="J146" s="279">
        <f>-_xlfn.IFNA(VLOOKUP($A146,ISB!$A$4:$BY$454,76,FALSE),0)</f>
        <v>-4213.47</v>
      </c>
      <c r="K146" s="279">
        <f>_xlfn.IFNA(VLOOKUP($A146,ISB!$A$4:$BY$454,77,FALSE),0)</f>
        <v>1774411.2</v>
      </c>
      <c r="M146" s="301">
        <f t="shared" si="137"/>
        <v>149001.1225</v>
      </c>
      <c r="N146" s="301">
        <f>VLOOKUP($A146,EY!$A:$H,8,FALSE)+(VLOOKUP($A146,EY!$A:$BS,17,FALSE)-S146)+VLOOKUP($A146,EY!$A:$BS,41,FALSE)</f>
        <v>0</v>
      </c>
      <c r="O146" s="302"/>
      <c r="P146" s="302">
        <f>_xlfn.IFNA((VLOOKUP($A146,HN!$A:$K,8,FALSE)/12),0)</f>
        <v>0</v>
      </c>
      <c r="Q146" s="302">
        <f>_xlfn.IFNA((VLOOKUP($A146,HN!$A:$BS,14,FALSE)/12),0)</f>
        <v>0</v>
      </c>
      <c r="R146" s="302">
        <f>_xlfn.IFNA(VLOOKUP($A146,'Post 16'!$A:$V,21,FALSE),0)/4</f>
        <v>0</v>
      </c>
      <c r="S146" s="302">
        <f>VLOOKUP($A146,EY!A:Q,15,FALSE)*80%</f>
        <v>0</v>
      </c>
      <c r="T146" s="302">
        <f>_xlfn.IFNA((VLOOKUP($A146,HN!$A:$K,9,FALSE)/12),0)+_xlfn.IFNA((VLOOKUP($A146,HN!$A:$K,10,FALSE)/12),0)</f>
        <v>0</v>
      </c>
      <c r="U146" s="302">
        <f>_xlfn.IFNA((VLOOKUP($A146,HN!$A:$BS,15,FALSE)/12),0)</f>
        <v>0</v>
      </c>
      <c r="V146" s="301">
        <f t="shared" si="138"/>
        <v>-782.4</v>
      </c>
      <c r="W146" s="301">
        <f t="shared" si="139"/>
        <v>-351.1225</v>
      </c>
      <c r="X146" s="302"/>
      <c r="Y146" s="302">
        <f>_xlfn.IFNA(VLOOKUP($A146,'Cash Advances'!$A:$S,8,FALSE),0)</f>
        <v>0</v>
      </c>
      <c r="Z146" s="301">
        <f t="shared" si="132"/>
        <v>147867.6</v>
      </c>
      <c r="AA146" s="315">
        <f t="shared" si="140"/>
        <v>149001.1225</v>
      </c>
      <c r="AB146" s="315"/>
      <c r="AC146" s="316"/>
      <c r="AD146" s="316">
        <f>_xlfn.IFNA((VLOOKUP($A146,HN!$A:$K,8,FALSE)/12),0)</f>
        <v>0</v>
      </c>
      <c r="AE146" s="316">
        <f>_xlfn.IFNA((VLOOKUP($A146,HN!$A:$BS,14,FALSE)/12),0)</f>
        <v>0</v>
      </c>
      <c r="AF146" s="316">
        <f>_xlfn.IFNA(VLOOKUP($A146,'Post 16'!$A:$V,21,FALSE),0)/4</f>
        <v>0</v>
      </c>
      <c r="AG146" s="316"/>
      <c r="AH146" s="316">
        <f>_xlfn.IFNA((VLOOKUP($A146,HN!$A:$K,9,FALSE)/12),0)+_xlfn.IFNA((VLOOKUP($A146,HN!$A:$K,10,FALSE)/12),0)</f>
        <v>0</v>
      </c>
      <c r="AI146" s="316">
        <f>_xlfn.IFNA((VLOOKUP($A146,HN!$A:$BS,15,FALSE)/12),0)</f>
        <v>0</v>
      </c>
      <c r="AJ146" s="315">
        <f t="shared" si="141"/>
        <v>-782.4</v>
      </c>
      <c r="AK146" s="315">
        <f t="shared" si="142"/>
        <v>-351.1225</v>
      </c>
      <c r="AL146" s="316"/>
      <c r="AM146" s="316">
        <f>_xlfn.IFNA(VLOOKUP($A146,'Cash Advances'!$A:$S,9,FALSE),0)</f>
        <v>0</v>
      </c>
      <c r="AN146" s="315">
        <f t="shared" si="133"/>
        <v>147867.6</v>
      </c>
      <c r="AO146" s="308">
        <f t="shared" si="143"/>
        <v>149001.1225</v>
      </c>
      <c r="AP146" s="308"/>
      <c r="AQ146" s="309"/>
      <c r="AR146" s="309">
        <f>_xlfn.IFNA((VLOOKUP($A146,HN!$A:$K,8,FALSE)/12),0)</f>
        <v>0</v>
      </c>
      <c r="AS146" s="309">
        <f>_xlfn.IFNA((VLOOKUP($A146,HN!$A:$BS,14,FALSE)/12),0)</f>
        <v>0</v>
      </c>
      <c r="AT146" s="309">
        <f>_xlfn.IFNA(VLOOKUP($A146,'Post 16'!$A:$V,21,FALSE),0)/4</f>
        <v>0</v>
      </c>
      <c r="AU146" s="309"/>
      <c r="AV146" s="309">
        <f>_xlfn.IFNA((VLOOKUP($A146,HN!$A:$K,9,FALSE)/12),0)+_xlfn.IFNA((VLOOKUP($A146,HN!$A:$K,10,FALSE)/12),0)+_xlfn.IFNA(VLOOKUP(A146,HN!A:V,19,FALSE),0)+_xlfn.IFNA(VLOOKUP(A146,HN!A:V,20,FALSE),0)+_xlfn.IFNA(VLOOKUP(A146,HN!A:V,21,FALSE),0)</f>
        <v>0</v>
      </c>
      <c r="AW146" s="309">
        <f>_xlfn.IFNA((VLOOKUP($A146,HN!$A:$BS,15,FALSE)/12),0)</f>
        <v>0</v>
      </c>
      <c r="AX146" s="308">
        <f t="shared" si="144"/>
        <v>-782.4</v>
      </c>
      <c r="AY146" s="308">
        <f t="shared" si="145"/>
        <v>-351.1225</v>
      </c>
      <c r="AZ146" s="309"/>
      <c r="BA146" s="309">
        <f>_xlfn.IFNA(VLOOKUP($A146,'Cash Advances'!$A:$S,10,FALSE),0)</f>
        <v>0</v>
      </c>
      <c r="BB146" s="308">
        <f t="shared" si="134"/>
        <v>147867.6</v>
      </c>
      <c r="BC146" s="330">
        <f t="shared" si="146"/>
        <v>149001.1225</v>
      </c>
      <c r="BD146" s="330"/>
      <c r="BE146" s="331"/>
      <c r="BF146" s="331">
        <f>_xlfn.IFNA((VLOOKUP($A146,HN!$A:$K,8,FALSE)/12),0)</f>
        <v>0</v>
      </c>
      <c r="BG146" s="331">
        <f>_xlfn.IFNA((VLOOKUP($A146,HN!$A:$BS,14,FALSE)/12),0)</f>
        <v>0</v>
      </c>
      <c r="BH146" s="331">
        <f>_xlfn.IFNA(VLOOKUP($A146,'Post 16'!$A:$V,21,FALSE),0)/4</f>
        <v>0</v>
      </c>
      <c r="BI146" s="331"/>
      <c r="BJ146" s="331">
        <f>_xlfn.IFNA((VLOOKUP($A146,HN!$A:$K,9,FALSE)/12),0)+_xlfn.IFNA((VLOOKUP($A146,HN!$A:$K,10,FALSE)/12),0)</f>
        <v>0</v>
      </c>
      <c r="BK146" s="331">
        <f>_xlfn.IFNA((VLOOKUP($A146,HN!$A:$BS,15,FALSE)/12),0)</f>
        <v>0</v>
      </c>
      <c r="BL146" s="330">
        <f t="shared" si="147"/>
        <v>-782.4</v>
      </c>
      <c r="BM146" s="330">
        <f t="shared" si="148"/>
        <v>-351.1225</v>
      </c>
      <c r="BN146" s="331"/>
      <c r="BO146" s="331">
        <f>_xlfn.IFNA(VLOOKUP(A146,'Cash Advances'!A:K,11,FALSE),0)</f>
        <v>0</v>
      </c>
      <c r="BP146" s="330">
        <f t="shared" si="135"/>
        <v>147867.6</v>
      </c>
      <c r="BQ146" s="322">
        <f t="shared" si="149"/>
        <v>149001.1225</v>
      </c>
      <c r="BR146" s="322"/>
      <c r="BS146" s="323"/>
      <c r="BT146" s="323">
        <f>_xlfn.IFNA((VLOOKUP($A146,HN!$A:$K,8,FALSE)/12),0)</f>
        <v>0</v>
      </c>
      <c r="BU146" s="323">
        <f>_xlfn.IFNA((VLOOKUP($A146,HN!$A:$BS,14,FALSE)/12),0)</f>
        <v>0</v>
      </c>
      <c r="BV146" s="323">
        <f>(_xlfn.IFNA(VLOOKUP($A146,'Post 16'!$A:$AV,32,FALSE),0)/8)+_xlfn.IFNA(VLOOKUP($A146,'Post 16'!$A:$AR,40,FALSE),0)</f>
        <v>0</v>
      </c>
      <c r="BW146" s="323"/>
      <c r="BX146" s="323">
        <f>_xlfn.IFNA((VLOOKUP($A146,HN!$A:$K,9,FALSE)/12),0)+_xlfn.IFNA((VLOOKUP($A146,HN!$A:$K,10,FALSE)/12),0)</f>
        <v>0</v>
      </c>
      <c r="BY146" s="323">
        <f>_xlfn.IFNA((VLOOKUP($A146,HN!$A:$BS,15,FALSE)/12),0)</f>
        <v>0</v>
      </c>
      <c r="BZ146" s="322">
        <f t="shared" si="150"/>
        <v>-782.4</v>
      </c>
      <c r="CA146" s="322">
        <f t="shared" si="151"/>
        <v>-351.1225</v>
      </c>
      <c r="CB146" s="323"/>
      <c r="CC146" s="323"/>
      <c r="CD146" s="322">
        <f t="shared" si="136"/>
        <v>147867.6</v>
      </c>
      <c r="CE146" s="357">
        <f t="shared" si="152"/>
        <v>149001.1225</v>
      </c>
      <c r="CF146" s="357">
        <f>(VLOOKUP($A146,EY!$A:$BS,26,FALSE)-(VLOOKUP($A146,EY!A:CR,24,FALSE)*80%))+VLOOKUP($A146,EY!$A:$BS,42,FALSE)+(VLOOKUP($A146,EY!A:CC,74,FALSE)-VLOOKUP($A146,EY!A:CC,72,FALSE))</f>
        <v>0</v>
      </c>
      <c r="CG146" s="358"/>
      <c r="CH146" s="358">
        <f>_xlfn.IFNA((VLOOKUP($A146,HN!$A:$K,8,FALSE)/12),0)</f>
        <v>0</v>
      </c>
      <c r="CI146" s="358">
        <f>_xlfn.IFNA((VLOOKUP($A146,HN!$A:$BS,14,FALSE)/12),0)</f>
        <v>0</v>
      </c>
      <c r="CJ146" s="358">
        <f>(_xlfn.IFNA(VLOOKUP($A146,'Post 16'!$A:$AV,32,FALSE),0)/8)</f>
        <v>0</v>
      </c>
      <c r="CK146" s="358">
        <f>(VLOOKUP($A146,EY!A:CR,24,FALSE)*80%)+VLOOKUP($A146,EY!A:CC,72,FALSE)</f>
        <v>0</v>
      </c>
      <c r="CL146" s="358">
        <f>_xlfn.IFNA((VLOOKUP($A146,HN!$A:$K,9,FALSE)/12),0)+_xlfn.IFNA((VLOOKUP($A146,HN!$A:$K,10,FALSE)/12),0)</f>
        <v>0</v>
      </c>
      <c r="CM146" s="358">
        <f>_xlfn.IFNA((VLOOKUP($A146,HN!$A:$BS,15,FALSE)/12),0)</f>
        <v>0</v>
      </c>
      <c r="CN146" s="357">
        <f t="shared" si="153"/>
        <v>-782.4</v>
      </c>
      <c r="CO146" s="357">
        <f t="shared" si="154"/>
        <v>-351.1225</v>
      </c>
      <c r="CP146" s="358">
        <f>_xlfn.IFNA(VLOOKUP(A146,'LA Deductions'!A:W,23,FALSE),0)</f>
        <v>0</v>
      </c>
      <c r="CQ146" s="358">
        <f>_xlfn.IFNA(VLOOKUP($A146,'Cash Advances'!$A:$S,13,FALSE),0)</f>
        <v>0</v>
      </c>
      <c r="CR146" s="358">
        <f>_xlfn.IFNA(VLOOKUP(A146,'LA Deductions'!A:AZ,25,FALSE),0)/9*3</f>
        <v>0</v>
      </c>
      <c r="CS146" s="357">
        <f t="shared" si="173"/>
        <v>147867.6</v>
      </c>
      <c r="CT146" s="337">
        <f t="shared" si="155"/>
        <v>149001.1225</v>
      </c>
      <c r="CU146" s="337"/>
      <c r="CV146" s="338">
        <f>_xlfn.IFNA(VLOOKUP(A146,'LA Deductions'!$A$6:$AN$207,34,FALSE),0)</f>
        <v>0</v>
      </c>
      <c r="CW146" s="338">
        <f>_xlfn.IFNA((VLOOKUP($A146,HN!$A:$K,8,FALSE)/12),0)</f>
        <v>0</v>
      </c>
      <c r="CX146" s="338">
        <f>_xlfn.IFNA((VLOOKUP($A146,HN!$A:$BS,14,FALSE)/12),0)</f>
        <v>0</v>
      </c>
      <c r="CY146" s="338">
        <f>_xlfn.IFNA(VLOOKUP($A146,'Post 16'!$A:$AV,32,FALSE),0)/8</f>
        <v>0</v>
      </c>
      <c r="CZ146" s="338"/>
      <c r="DA146" s="338">
        <f>_xlfn.IFNA((VLOOKUP($A146,HN!$A:$K,9,FALSE)/12),0)+_xlfn.IFNA((VLOOKUP($A146,HN!$A:$K,10,FALSE)/12),0)</f>
        <v>0</v>
      </c>
      <c r="DB146" s="338">
        <f>_xlfn.IFNA((VLOOKUP($A146,HN!$A:$BS,15,FALSE)/12),0)</f>
        <v>0</v>
      </c>
      <c r="DC146" s="337">
        <f t="shared" si="156"/>
        <v>-782.4</v>
      </c>
      <c r="DD146" s="337">
        <f t="shared" si="157"/>
        <v>-351.1225</v>
      </c>
      <c r="DE146" s="338"/>
      <c r="DF146" s="338">
        <f>_xlfn.IFNA(VLOOKUP($A146,'Cash Advances'!$A:$S,14,FALSE),0)</f>
        <v>0</v>
      </c>
      <c r="DG146" s="338">
        <f>(_xlfn.IFNA(VLOOKUP(A146,'LA Deductions'!A:AZ,25,FALSE),0)/9)+(_xlfn.IFNA(VLOOKUP(A146,'LA Deductions'!A:AZ,26,FALSE),0))</f>
        <v>0</v>
      </c>
      <c r="DH146" s="337">
        <f t="shared" si="174"/>
        <v>147867.6</v>
      </c>
      <c r="DI146" s="330">
        <f t="shared" si="158"/>
        <v>149001.1225</v>
      </c>
      <c r="DJ146" s="330"/>
      <c r="DK146" s="331"/>
      <c r="DL146" s="331">
        <f>_xlfn.IFNA((VLOOKUP($A146,HN!$A:$K,8,FALSE)/12),0)+_xlfn.IFNA((VLOOKUP($A146,HN!$A:$AF,32,FALSE)*8/12),0)</f>
        <v>0</v>
      </c>
      <c r="DM146" s="331">
        <f>_xlfn.IFNA((VLOOKUP($A146,HN!$A:$BS,14,FALSE)/12),0)+_xlfn.IFNA(VLOOKUP($A146,HN!$A:$BS,31,FALSE),0)</f>
        <v>0</v>
      </c>
      <c r="DN146" s="331">
        <f>_xlfn.IFNA(VLOOKUP($A146,'Post 16'!$A:$AV,32,FALSE),0)/8</f>
        <v>0</v>
      </c>
      <c r="DO146" s="331"/>
      <c r="DP146" s="331">
        <f>_xlfn.IFNA((VLOOKUP($A146,HN!$A:$K,9,FALSE)/12),0)+_xlfn.IFNA((VLOOKUP($A146,HN!$A:$K,10,FALSE)/12),0)+_xlfn.IFNA((VLOOKUP($A146,HN!$A:$BZ,33,FALSE)*8/12),0)</f>
        <v>0</v>
      </c>
      <c r="DQ146" s="331">
        <f>_xlfn.IFNA((VLOOKUP($A146,HN!$A:$BS,15,FALSE)/12),0)</f>
        <v>0</v>
      </c>
      <c r="DR146" s="330">
        <f t="shared" si="159"/>
        <v>-782.4</v>
      </c>
      <c r="DS146" s="330">
        <f t="shared" si="160"/>
        <v>-351.1225</v>
      </c>
      <c r="DT146" s="331"/>
      <c r="DU146" s="331"/>
      <c r="DV146" s="331">
        <f>(_xlfn.IFNA(VLOOKUP(A146,'LA Deductions'!A:AZ,25,FALSE),0)/9)+_xlfn.IFNA(VLOOKUP(A146,'LA Deductions'!A:AZ,27,FALSE),0)</f>
        <v>0</v>
      </c>
      <c r="DW146" s="330">
        <f t="shared" si="175"/>
        <v>147867.6</v>
      </c>
      <c r="DX146" s="344">
        <f t="shared" si="161"/>
        <v>149001.1225</v>
      </c>
      <c r="DY146" s="344"/>
      <c r="DZ146" s="345"/>
      <c r="EA146" s="345">
        <f>_xlfn.IFNA((VLOOKUP($A146,HN!$A:$K,8,FALSE)/12),0)+_xlfn.IFNA((VLOOKUP($A146,HN!$A:$AF,32,FALSE)*1/12),0)</f>
        <v>0</v>
      </c>
      <c r="EB146" s="345">
        <f>_xlfn.IFNA((VLOOKUP($A146,HN!$A:$BS,14,FALSE)/12),0)</f>
        <v>0</v>
      </c>
      <c r="EC146" s="345">
        <f>_xlfn.IFNA(VLOOKUP($A146,'Post 16'!$A:$AV,32,FALSE),0)/8</f>
        <v>0</v>
      </c>
      <c r="ED146" s="345"/>
      <c r="EE146" s="345">
        <f>_xlfn.IFNA((VLOOKUP($A146,HN!$A:$K,9,FALSE)/12),0)+_xlfn.IFNA((VLOOKUP($A146,HN!$A:$K,10,FALSE)/12),0)+_xlfn.IFNA((VLOOKUP($A146,HN!$A:$BZ,33,FALSE)/12),0)</f>
        <v>0</v>
      </c>
      <c r="EF146" s="345">
        <f>_xlfn.IFNA((VLOOKUP($A146,HN!$A:$BS,15,FALSE)/12),0)</f>
        <v>0</v>
      </c>
      <c r="EG146" s="344">
        <f t="shared" si="162"/>
        <v>-782.4</v>
      </c>
      <c r="EH146" s="344">
        <f t="shared" si="163"/>
        <v>-351.1225</v>
      </c>
      <c r="EI146" s="345"/>
      <c r="EJ146" s="345">
        <f>_xlfn.IFNA(VLOOKUP(A146,'Cash Advances'!A:P,16,FALSE),0)</f>
        <v>0</v>
      </c>
      <c r="EK146" s="345">
        <f>_xlfn.IFNA(VLOOKUP(A146,'LA Deductions'!A:AZ,25,FALSE),0)/9</f>
        <v>0</v>
      </c>
      <c r="EL146" s="344">
        <f t="shared" si="176"/>
        <v>147867.6</v>
      </c>
      <c r="EM146" s="308">
        <f t="shared" si="164"/>
        <v>149001.1225</v>
      </c>
      <c r="EN146" s="308">
        <f>((VLOOKUP($A146,EY!$A:$BS,35,FALSE)-(VLOOKUP($A146,EY!$A:$BS,33,FALSE)*80%))+VLOOKUP($A146,EY!$A:$BS,43,FALSE))+(VLOOKUP(A146,EY!A:DF,110,FALSE)-VLOOKUP(A146,EY!A:DD,108,FALSE))+(VLOOKUP(A146,EY!A:CE,83,FALSE)-VLOOKUP(A146,EY!A:CC,81,FALSE))</f>
        <v>0</v>
      </c>
      <c r="EO146" s="309"/>
      <c r="EP146" s="309">
        <f>_xlfn.IFNA((VLOOKUP($A146,HN!$A:$K,8,FALSE)/12),0)+_xlfn.IFNA((VLOOKUP($A146,HN!$A:$AF,32,FALSE)*1/12),0)</f>
        <v>0</v>
      </c>
      <c r="EQ146" s="309">
        <f>_xlfn.IFNA((VLOOKUP($A146,HN!$A:$BS,14,FALSE)/12),0)+_xlfn.IFNA((VLOOKUP($A146,HN!$A:$BS,34,FALSE)/3),0)</f>
        <v>0</v>
      </c>
      <c r="ER146" s="309">
        <f>_xlfn.IFNA(VLOOKUP($A146,'Post 16'!$A:$AV,32,FALSE),0)/8</f>
        <v>0</v>
      </c>
      <c r="ES146" s="309">
        <f>((VLOOKUP($A146,EY!A:EV,33,FALSE)*80%))+VLOOKUP(A146,EY!A:DD,108,FALSE)+VLOOKUP(A146,EY!A:CC,81,FALSE)</f>
        <v>0</v>
      </c>
      <c r="ET146" s="309">
        <f>_xlfn.IFNA((VLOOKUP($A146,HN!$A:$K,9,FALSE)/12),0)+_xlfn.IFNA((VLOOKUP($A146,HN!$A:$K,10,FALSE)/12),0)+_xlfn.IFNA((VLOOKUP($A146,HN!$A:$BZ,33,FALSE)/12),0)</f>
        <v>0</v>
      </c>
      <c r="EU146" s="309">
        <f>_xlfn.IFNA((VLOOKUP($A146,HN!$A:$BS,15,FALSE)/12),0)</f>
        <v>0</v>
      </c>
      <c r="EV146" s="308">
        <f t="shared" si="165"/>
        <v>-782.4</v>
      </c>
      <c r="EW146" s="308">
        <f t="shared" si="166"/>
        <v>-351.1225</v>
      </c>
      <c r="EX146" s="309"/>
      <c r="EY146" s="309">
        <f>_xlfn.IFNA(VLOOKUP($A146,'Cash Advances'!$A:$S,17,FALSE),0)</f>
        <v>0</v>
      </c>
      <c r="EZ146" s="309">
        <f>_xlfn.IFNA(VLOOKUP(A146,'LA Deductions'!A:AZ,25,FALSE),0)/9</f>
        <v>0</v>
      </c>
      <c r="FA146" s="308">
        <f t="shared" si="177"/>
        <v>147867.6</v>
      </c>
      <c r="FB146" s="315">
        <f t="shared" si="167"/>
        <v>149001.1225</v>
      </c>
      <c r="FC146" s="315"/>
      <c r="FD146" s="316"/>
      <c r="FE146" s="316">
        <f>_xlfn.IFNA((VLOOKUP($A146,HN!$A:$K,8,FALSE)/12),0)+_xlfn.IFNA((VLOOKUP($A146,HN!$A:$AF,32,FALSE)*1/12),0)</f>
        <v>0</v>
      </c>
      <c r="FF146" s="316">
        <f>_xlfn.IFNA((VLOOKUP($A146,HN!$A:$BS,14,FALSE)/12),0)+_xlfn.IFNA((VLOOKUP($A146,HN!$A:$BS,34,FALSE)/3),0)</f>
        <v>0</v>
      </c>
      <c r="FG146" s="316">
        <f>_xlfn.IFNA(VLOOKUP($A146,'Post 16'!$A:$AV,32,FALSE),0)/8</f>
        <v>0</v>
      </c>
      <c r="FH146" s="316"/>
      <c r="FI146" s="316">
        <f>_xlfn.IFNA((VLOOKUP($A146,HN!$A:$K,9,FALSE)/12),0)+_xlfn.IFNA((VLOOKUP($A146,HN!$A:$K,10,FALSE)/12),0)+_xlfn.IFNA((VLOOKUP($A146,HN!$A:$BZ,33,FALSE)/12),0)+_xlfn.IFNA((VLOOKUP($A146,HN!$A:$BZ,35,FALSE)/2),0)</f>
        <v>0</v>
      </c>
      <c r="FJ146" s="316">
        <f>_xlfn.IFNA((VLOOKUP($A146,HN!$A:$BS,15,FALSE)/12),0)+_xlfn.IFNA((VLOOKUP($A146,HN!$A:$CZ,36,FALSE)/2),0)</f>
        <v>0</v>
      </c>
      <c r="FK146" s="315">
        <f t="shared" si="168"/>
        <v>-782.4</v>
      </c>
      <c r="FL146" s="315">
        <f t="shared" si="169"/>
        <v>-351.1225</v>
      </c>
      <c r="FM146" s="316"/>
      <c r="FN146" s="316">
        <f>_xlfn.IFNA(VLOOKUP($A146,'Cash Advances'!$A:$S,18,FALSE),0)</f>
        <v>0</v>
      </c>
      <c r="FO146" s="316">
        <f>_xlfn.IFNA(VLOOKUP(A146,'LA Deductions'!A:AZ,25,FALSE),0)/9</f>
        <v>0</v>
      </c>
      <c r="FP146" s="315">
        <f t="shared" si="178"/>
        <v>147867.6</v>
      </c>
      <c r="FQ146" s="322">
        <f t="shared" si="170"/>
        <v>149001.1225</v>
      </c>
      <c r="FR146" s="322"/>
      <c r="FS146" s="323"/>
      <c r="FT146" s="323">
        <f>_xlfn.IFNA((VLOOKUP($A146,HN!$A:$K,8,FALSE)/12),0)+_xlfn.IFNA((VLOOKUP($A146,HN!$A:$AF,32,FALSE)*1/12),0)</f>
        <v>0</v>
      </c>
      <c r="FU146" s="323">
        <f>_xlfn.IFNA((VLOOKUP($A146,HN!$A:$BS,14,FALSE)/12),0)+_xlfn.IFNA((VLOOKUP($A146,HN!$A:$BS,34,FALSE)/3),0)</f>
        <v>0</v>
      </c>
      <c r="FV146" s="323">
        <f>_xlfn.IFNA(VLOOKUP($A146,'Post 16'!$A:$AV,32,FALSE),0)/8</f>
        <v>0</v>
      </c>
      <c r="FW146" s="323"/>
      <c r="FX146" s="323">
        <f>_xlfn.IFNA((VLOOKUP($A146,HN!$A:$K,9,FALSE)/12),0)+_xlfn.IFNA((VLOOKUP($A146,HN!$A:$K,10,FALSE)/12),0)+_xlfn.IFNA((VLOOKUP($A146,HN!$A:$BZ,33,FALSE)/12),0)+_xlfn.IFNA((VLOOKUP($A146,HN!$A:$BZ,35,FALSE)/2),0)</f>
        <v>0</v>
      </c>
      <c r="FY146" s="323">
        <f>_xlfn.IFNA((VLOOKUP($A146,HN!$A:$BS,15,FALSE)/12),0)+_xlfn.IFNA((VLOOKUP($A146,HN!$A:$CZ,36,FALSE)/2),0)</f>
        <v>0</v>
      </c>
      <c r="FZ146" s="322">
        <f t="shared" si="171"/>
        <v>-782.4</v>
      </c>
      <c r="GA146" s="322">
        <f t="shared" si="172"/>
        <v>-351.1225</v>
      </c>
      <c r="GB146" s="323"/>
      <c r="GC146" s="323"/>
      <c r="GD146" s="323">
        <f>_xlfn.IFNA(VLOOKUP(A146,'LA Deductions'!A:AZ,25,FALSE),0)/9</f>
        <v>0</v>
      </c>
      <c r="GE146" s="322">
        <f t="shared" si="179"/>
        <v>147867.6</v>
      </c>
      <c r="GG146" s="146">
        <f t="shared" ref="GG146:GL155" si="182">SUMIFS($M146:$GE146,$M$7:$GE$7,GG$7)</f>
        <v>1788013.4700000004</v>
      </c>
      <c r="GH146" s="146">
        <f t="shared" si="182"/>
        <v>0</v>
      </c>
      <c r="GI146" s="146">
        <f t="shared" si="182"/>
        <v>0</v>
      </c>
      <c r="GJ146" s="146">
        <f t="shared" si="182"/>
        <v>-9388.7999999999975</v>
      </c>
      <c r="GK146" s="146">
        <f t="shared" si="182"/>
        <v>-4213.47</v>
      </c>
      <c r="GL146" s="146">
        <f t="shared" si="182"/>
        <v>0</v>
      </c>
      <c r="GN146" s="146">
        <f t="shared" ref="GN146:GS155" si="183">SUMIFS($M146:$GE146,$M$7:$GE$7,GN$7,$M$4:$GE$4,$GN$6)</f>
        <v>1788013.4700000004</v>
      </c>
      <c r="GO146" s="146">
        <f t="shared" si="183"/>
        <v>0</v>
      </c>
      <c r="GP146" s="146">
        <f t="shared" si="183"/>
        <v>0</v>
      </c>
      <c r="GQ146" s="146">
        <f t="shared" si="183"/>
        <v>-9388.7999999999975</v>
      </c>
      <c r="GR146" s="146">
        <f t="shared" si="183"/>
        <v>-4213.47</v>
      </c>
      <c r="GS146" s="146">
        <f t="shared" si="183"/>
        <v>0</v>
      </c>
      <c r="GU146" s="146"/>
      <c r="GV146" s="57"/>
    </row>
    <row r="147" spans="1:204">
      <c r="A147" s="185">
        <v>2108</v>
      </c>
      <c r="B147" s="185">
        <v>103217</v>
      </c>
      <c r="C147" s="185" t="s">
        <v>320</v>
      </c>
      <c r="D147" s="2" t="s">
        <v>321</v>
      </c>
      <c r="E147" s="191" t="s">
        <v>32</v>
      </c>
      <c r="F147" s="191" t="s">
        <v>912</v>
      </c>
      <c r="H147" s="279">
        <f>_xlfn.IFNA(VLOOKUP($A147,ISB!$A$4:$BY$454,67,FALSE),0)</f>
        <v>4833822.2616690295</v>
      </c>
      <c r="I147" s="279">
        <f>_xlfn.IFNA(VLOOKUP($A147,ISB!$A$4:$BY$454,72,FALSE),0)</f>
        <v>-21802.879999999997</v>
      </c>
      <c r="J147" s="279">
        <f>-_xlfn.IFNA(VLOOKUP($A147,ISB!$A$4:$BY$454,76,FALSE),0)</f>
        <v>-75170.080000000002</v>
      </c>
      <c r="K147" s="279">
        <f>_xlfn.IFNA(VLOOKUP($A147,ISB!$A$4:$BY$454,77,FALSE),0)</f>
        <v>4736849.3016690295</v>
      </c>
      <c r="M147" s="301">
        <f t="shared" si="137"/>
        <v>402818.52180575248</v>
      </c>
      <c r="N147" s="301">
        <f>VLOOKUP($A147,EY!$A:$H,8,FALSE)+(VLOOKUP($A147,EY!$A:$BS,17,FALSE)-S147)+VLOOKUP($A147,EY!$A:$BS,41,FALSE)</f>
        <v>47651.76</v>
      </c>
      <c r="O147" s="302"/>
      <c r="P147" s="302">
        <f>_xlfn.IFNA((VLOOKUP($A147,HN!$A:$K,8,FALSE)/12),0)</f>
        <v>0</v>
      </c>
      <c r="Q147" s="302">
        <f>_xlfn.IFNA((VLOOKUP($A147,HN!$A:$BS,14,FALSE)/12),0)</f>
        <v>9000</v>
      </c>
      <c r="R147" s="302">
        <f>_xlfn.IFNA(VLOOKUP($A147,'Post 16'!$A:$V,21,FALSE),0)/4</f>
        <v>0</v>
      </c>
      <c r="S147" s="302">
        <f>VLOOKUP($A147,EY!A:Q,15,FALSE)*80%</f>
        <v>0</v>
      </c>
      <c r="T147" s="302">
        <f>_xlfn.IFNA((VLOOKUP($A147,HN!$A:$K,9,FALSE)/12),0)+_xlfn.IFNA((VLOOKUP($A147,HN!$A:$K,10,FALSE)/12),0)</f>
        <v>0</v>
      </c>
      <c r="U147" s="302">
        <f>_xlfn.IFNA((VLOOKUP($A147,HN!$A:$BS,15,FALSE)/12),0)</f>
        <v>15655.470833333333</v>
      </c>
      <c r="V147" s="301">
        <f t="shared" si="138"/>
        <v>-1816.9066666666665</v>
      </c>
      <c r="W147" s="301">
        <f t="shared" si="139"/>
        <v>-6264.1733333333332</v>
      </c>
      <c r="X147" s="302"/>
      <c r="Y147" s="302">
        <f>_xlfn.IFNA(VLOOKUP($A147,'Cash Advances'!$A:$S,8,FALSE),0)</f>
        <v>0</v>
      </c>
      <c r="Z147" s="301">
        <f t="shared" si="132"/>
        <v>467044.67263908579</v>
      </c>
      <c r="AA147" s="315">
        <f t="shared" si="140"/>
        <v>402818.52180575248</v>
      </c>
      <c r="AB147" s="315"/>
      <c r="AC147" s="316"/>
      <c r="AD147" s="316">
        <f>_xlfn.IFNA((VLOOKUP($A147,HN!$A:$K,8,FALSE)/12),0)</f>
        <v>0</v>
      </c>
      <c r="AE147" s="316">
        <f>_xlfn.IFNA((VLOOKUP($A147,HN!$A:$BS,14,FALSE)/12),0)</f>
        <v>9000</v>
      </c>
      <c r="AF147" s="316">
        <f>_xlfn.IFNA(VLOOKUP($A147,'Post 16'!$A:$V,21,FALSE),0)/4</f>
        <v>0</v>
      </c>
      <c r="AG147" s="316"/>
      <c r="AH147" s="316">
        <f>_xlfn.IFNA((VLOOKUP($A147,HN!$A:$K,9,FALSE)/12),0)+_xlfn.IFNA((VLOOKUP($A147,HN!$A:$K,10,FALSE)/12),0)</f>
        <v>0</v>
      </c>
      <c r="AI147" s="316">
        <f>_xlfn.IFNA((VLOOKUP($A147,HN!$A:$BS,15,FALSE)/12),0)</f>
        <v>15655.470833333333</v>
      </c>
      <c r="AJ147" s="315">
        <f t="shared" si="141"/>
        <v>-1816.9066666666665</v>
      </c>
      <c r="AK147" s="315">
        <f t="shared" si="142"/>
        <v>-6264.1733333333332</v>
      </c>
      <c r="AL147" s="316"/>
      <c r="AM147" s="316">
        <f>_xlfn.IFNA(VLOOKUP($A147,'Cash Advances'!$A:$S,9,FALSE),0)</f>
        <v>0</v>
      </c>
      <c r="AN147" s="315">
        <f t="shared" si="133"/>
        <v>419392.91263908579</v>
      </c>
      <c r="AO147" s="308">
        <f t="shared" si="143"/>
        <v>402818.52180575248</v>
      </c>
      <c r="AP147" s="308"/>
      <c r="AQ147" s="309"/>
      <c r="AR147" s="309">
        <f>_xlfn.IFNA((VLOOKUP($A147,HN!$A:$K,8,FALSE)/12),0)</f>
        <v>0</v>
      </c>
      <c r="AS147" s="309">
        <f>_xlfn.IFNA((VLOOKUP($A147,HN!$A:$BS,14,FALSE)/12),0)</f>
        <v>9000</v>
      </c>
      <c r="AT147" s="309">
        <f>_xlfn.IFNA(VLOOKUP($A147,'Post 16'!$A:$V,21,FALSE),0)/4</f>
        <v>0</v>
      </c>
      <c r="AU147" s="309"/>
      <c r="AV147" s="309">
        <f>_xlfn.IFNA((VLOOKUP($A147,HN!$A:$K,9,FALSE)/12),0)+_xlfn.IFNA((VLOOKUP($A147,HN!$A:$K,10,FALSE)/12),0)+_xlfn.IFNA(VLOOKUP(A147,HN!A:V,19,FALSE),0)+_xlfn.IFNA(VLOOKUP(A147,HN!A:V,20,FALSE),0)+_xlfn.IFNA(VLOOKUP(A147,HN!A:V,21,FALSE),0)</f>
        <v>0</v>
      </c>
      <c r="AW147" s="309">
        <f>_xlfn.IFNA((VLOOKUP($A147,HN!$A:$BS,15,FALSE)/12),0)</f>
        <v>15655.470833333333</v>
      </c>
      <c r="AX147" s="308">
        <f t="shared" si="144"/>
        <v>-1816.9066666666665</v>
      </c>
      <c r="AY147" s="308">
        <f t="shared" si="145"/>
        <v>-6264.1733333333332</v>
      </c>
      <c r="AZ147" s="309"/>
      <c r="BA147" s="309">
        <f>_xlfn.IFNA(VLOOKUP($A147,'Cash Advances'!$A:$S,10,FALSE),0)</f>
        <v>0</v>
      </c>
      <c r="BB147" s="308">
        <f t="shared" si="134"/>
        <v>419392.91263908579</v>
      </c>
      <c r="BC147" s="330">
        <f t="shared" si="146"/>
        <v>402818.52180575248</v>
      </c>
      <c r="BD147" s="330"/>
      <c r="BE147" s="331"/>
      <c r="BF147" s="331">
        <f>_xlfn.IFNA((VLOOKUP($A147,HN!$A:$K,8,FALSE)/12),0)</f>
        <v>0</v>
      </c>
      <c r="BG147" s="331">
        <f>_xlfn.IFNA((VLOOKUP($A147,HN!$A:$BS,14,FALSE)/12),0)</f>
        <v>9000</v>
      </c>
      <c r="BH147" s="331">
        <f>_xlfn.IFNA(VLOOKUP($A147,'Post 16'!$A:$V,21,FALSE),0)/4</f>
        <v>0</v>
      </c>
      <c r="BI147" s="331"/>
      <c r="BJ147" s="331">
        <f>_xlfn.IFNA((VLOOKUP($A147,HN!$A:$K,9,FALSE)/12),0)+_xlfn.IFNA((VLOOKUP($A147,HN!$A:$K,10,FALSE)/12),0)</f>
        <v>0</v>
      </c>
      <c r="BK147" s="331">
        <f>_xlfn.IFNA((VLOOKUP($A147,HN!$A:$BS,15,FALSE)/12),0)</f>
        <v>15655.470833333333</v>
      </c>
      <c r="BL147" s="330">
        <f t="shared" si="147"/>
        <v>-1816.9066666666665</v>
      </c>
      <c r="BM147" s="330">
        <f t="shared" si="148"/>
        <v>-6264.1733333333332</v>
      </c>
      <c r="BN147" s="331"/>
      <c r="BO147" s="331">
        <f>_xlfn.IFNA(VLOOKUP(A147,'Cash Advances'!A:K,11,FALSE),0)</f>
        <v>0</v>
      </c>
      <c r="BP147" s="330">
        <f t="shared" si="135"/>
        <v>419392.91263908579</v>
      </c>
      <c r="BQ147" s="322">
        <f t="shared" si="149"/>
        <v>402818.52180575248</v>
      </c>
      <c r="BR147" s="322"/>
      <c r="BS147" s="323"/>
      <c r="BT147" s="323">
        <f>_xlfn.IFNA((VLOOKUP($A147,HN!$A:$K,8,FALSE)/12),0)</f>
        <v>0</v>
      </c>
      <c r="BU147" s="323">
        <f>_xlfn.IFNA((VLOOKUP($A147,HN!$A:$BS,14,FALSE)/12),0)</f>
        <v>9000</v>
      </c>
      <c r="BV147" s="323">
        <f>(_xlfn.IFNA(VLOOKUP($A147,'Post 16'!$A:$AV,32,FALSE),0)/8)+_xlfn.IFNA(VLOOKUP($A147,'Post 16'!$A:$AR,40,FALSE),0)</f>
        <v>0</v>
      </c>
      <c r="BW147" s="323"/>
      <c r="BX147" s="323">
        <f>_xlfn.IFNA((VLOOKUP($A147,HN!$A:$K,9,FALSE)/12),0)+_xlfn.IFNA((VLOOKUP($A147,HN!$A:$K,10,FALSE)/12),0)</f>
        <v>0</v>
      </c>
      <c r="BY147" s="323">
        <f>_xlfn.IFNA((VLOOKUP($A147,HN!$A:$BS,15,FALSE)/12),0)</f>
        <v>15655.470833333333</v>
      </c>
      <c r="BZ147" s="322">
        <f t="shared" si="150"/>
        <v>-1816.9066666666665</v>
      </c>
      <c r="CA147" s="322">
        <f t="shared" si="151"/>
        <v>-6264.1733333333332</v>
      </c>
      <c r="CB147" s="323"/>
      <c r="CC147" s="323"/>
      <c r="CD147" s="322">
        <f t="shared" si="136"/>
        <v>419392.91263908579</v>
      </c>
      <c r="CE147" s="357">
        <f t="shared" si="152"/>
        <v>402818.52180575248</v>
      </c>
      <c r="CF147" s="357">
        <f>(VLOOKUP($A147,EY!$A:$BS,26,FALSE)-(VLOOKUP($A147,EY!A:CR,24,FALSE)*80%))+VLOOKUP($A147,EY!$A:$BS,42,FALSE)+(VLOOKUP($A147,EY!A:CC,74,FALSE)-VLOOKUP($A147,EY!A:CC,72,FALSE))</f>
        <v>43628.513157894726</v>
      </c>
      <c r="CG147" s="358"/>
      <c r="CH147" s="358">
        <f>_xlfn.IFNA((VLOOKUP($A147,HN!$A:$K,8,FALSE)/12),0)</f>
        <v>0</v>
      </c>
      <c r="CI147" s="358">
        <f>_xlfn.IFNA((VLOOKUP($A147,HN!$A:$BS,14,FALSE)/12),0)</f>
        <v>9000</v>
      </c>
      <c r="CJ147" s="358">
        <f>(_xlfn.IFNA(VLOOKUP($A147,'Post 16'!$A:$AV,32,FALSE),0)/8)</f>
        <v>0</v>
      </c>
      <c r="CK147" s="358">
        <f>(VLOOKUP($A147,EY!A:CR,24,FALSE)*80%)+VLOOKUP($A147,EY!A:CC,72,FALSE)</f>
        <v>0</v>
      </c>
      <c r="CL147" s="358">
        <f>_xlfn.IFNA((VLOOKUP($A147,HN!$A:$K,9,FALSE)/12),0)+_xlfn.IFNA((VLOOKUP($A147,HN!$A:$K,10,FALSE)/12),0)</f>
        <v>0</v>
      </c>
      <c r="CM147" s="358">
        <f>_xlfn.IFNA((VLOOKUP($A147,HN!$A:$BS,15,FALSE)/12),0)</f>
        <v>15655.470833333333</v>
      </c>
      <c r="CN147" s="357">
        <f t="shared" si="153"/>
        <v>-1816.9066666666665</v>
      </c>
      <c r="CO147" s="357">
        <f t="shared" si="154"/>
        <v>-6264.1733333333332</v>
      </c>
      <c r="CP147" s="358">
        <f>_xlfn.IFNA(VLOOKUP(A147,'LA Deductions'!A:W,23,FALSE),0)</f>
        <v>-24312.75</v>
      </c>
      <c r="CQ147" s="358">
        <f>_xlfn.IFNA(VLOOKUP($A147,'Cash Advances'!$A:$S,13,FALSE),0)</f>
        <v>0</v>
      </c>
      <c r="CR147" s="358">
        <f>_xlfn.IFNA(VLOOKUP(A147,'LA Deductions'!A:AZ,25,FALSE),0)/9*3</f>
        <v>0</v>
      </c>
      <c r="CS147" s="357">
        <f t="shared" si="173"/>
        <v>438708.6757969805</v>
      </c>
      <c r="CT147" s="337">
        <f t="shared" si="155"/>
        <v>402818.52180575248</v>
      </c>
      <c r="CU147" s="337"/>
      <c r="CV147" s="338">
        <f>_xlfn.IFNA(VLOOKUP(A147,'LA Deductions'!$A$6:$AN$207,34,FALSE),0)</f>
        <v>-3832.5414000000001</v>
      </c>
      <c r="CW147" s="338">
        <f>_xlfn.IFNA((VLOOKUP($A147,HN!$A:$K,8,FALSE)/12),0)</f>
        <v>0</v>
      </c>
      <c r="CX147" s="338">
        <f>_xlfn.IFNA((VLOOKUP($A147,HN!$A:$BS,14,FALSE)/12),0)</f>
        <v>9000</v>
      </c>
      <c r="CY147" s="338">
        <f>_xlfn.IFNA(VLOOKUP($A147,'Post 16'!$A:$AV,32,FALSE),0)/8</f>
        <v>0</v>
      </c>
      <c r="CZ147" s="338"/>
      <c r="DA147" s="338">
        <f>_xlfn.IFNA((VLOOKUP($A147,HN!$A:$K,9,FALSE)/12),0)+_xlfn.IFNA((VLOOKUP($A147,HN!$A:$K,10,FALSE)/12),0)</f>
        <v>0</v>
      </c>
      <c r="DB147" s="338">
        <f>_xlfn.IFNA((VLOOKUP($A147,HN!$A:$BS,15,FALSE)/12),0)</f>
        <v>15655.470833333333</v>
      </c>
      <c r="DC147" s="337">
        <f t="shared" si="156"/>
        <v>-1816.9066666666665</v>
      </c>
      <c r="DD147" s="337">
        <f t="shared" si="157"/>
        <v>-6264.1733333333332</v>
      </c>
      <c r="DE147" s="338"/>
      <c r="DF147" s="338">
        <f>_xlfn.IFNA(VLOOKUP($A147,'Cash Advances'!$A:$S,14,FALSE),0)</f>
        <v>0</v>
      </c>
      <c r="DG147" s="338">
        <f>(_xlfn.IFNA(VLOOKUP(A147,'LA Deductions'!A:AZ,25,FALSE),0)/9)+(_xlfn.IFNA(VLOOKUP(A147,'LA Deductions'!A:AZ,26,FALSE),0))</f>
        <v>0</v>
      </c>
      <c r="DH147" s="337">
        <f t="shared" si="174"/>
        <v>415560.3712390858</v>
      </c>
      <c r="DI147" s="330">
        <f t="shared" si="158"/>
        <v>402818.52180575248</v>
      </c>
      <c r="DJ147" s="330"/>
      <c r="DK147" s="331"/>
      <c r="DL147" s="331">
        <f>_xlfn.IFNA((VLOOKUP($A147,HN!$A:$K,8,FALSE)/12),0)+_xlfn.IFNA((VLOOKUP($A147,HN!$A:$AF,32,FALSE)*8/12),0)</f>
        <v>0</v>
      </c>
      <c r="DM147" s="331">
        <f>_xlfn.IFNA((VLOOKUP($A147,HN!$A:$BS,14,FALSE)/12),0)+_xlfn.IFNA(VLOOKUP($A147,HN!$A:$BS,31,FALSE),0)</f>
        <v>9000</v>
      </c>
      <c r="DN147" s="331">
        <f>_xlfn.IFNA(VLOOKUP($A147,'Post 16'!$A:$AV,32,FALSE),0)/8</f>
        <v>0</v>
      </c>
      <c r="DO147" s="331"/>
      <c r="DP147" s="331">
        <f>_xlfn.IFNA((VLOOKUP($A147,HN!$A:$K,9,FALSE)/12),0)+_xlfn.IFNA((VLOOKUP($A147,HN!$A:$K,10,FALSE)/12),0)+_xlfn.IFNA((VLOOKUP($A147,HN!$A:$BZ,33,FALSE)*8/12),0)</f>
        <v>0</v>
      </c>
      <c r="DQ147" s="331">
        <f>_xlfn.IFNA((VLOOKUP($A147,HN!$A:$BS,15,FALSE)/12),0)</f>
        <v>15655.470833333333</v>
      </c>
      <c r="DR147" s="330">
        <f t="shared" si="159"/>
        <v>-1816.9066666666665</v>
      </c>
      <c r="DS147" s="330">
        <f t="shared" si="160"/>
        <v>-6264.1733333333332</v>
      </c>
      <c r="DT147" s="331"/>
      <c r="DU147" s="331"/>
      <c r="DV147" s="331">
        <f>(_xlfn.IFNA(VLOOKUP(A147,'LA Deductions'!A:AZ,25,FALSE),0)/9)+_xlfn.IFNA(VLOOKUP(A147,'LA Deductions'!A:AZ,27,FALSE),0)</f>
        <v>0</v>
      </c>
      <c r="DW147" s="330">
        <f t="shared" si="175"/>
        <v>419392.91263908579</v>
      </c>
      <c r="DX147" s="344">
        <f t="shared" si="161"/>
        <v>402818.52180575248</v>
      </c>
      <c r="DY147" s="344"/>
      <c r="DZ147" s="345"/>
      <c r="EA147" s="345">
        <f>_xlfn.IFNA((VLOOKUP($A147,HN!$A:$K,8,FALSE)/12),0)+_xlfn.IFNA((VLOOKUP($A147,HN!$A:$AF,32,FALSE)*1/12),0)</f>
        <v>0</v>
      </c>
      <c r="EB147" s="345">
        <f>_xlfn.IFNA((VLOOKUP($A147,HN!$A:$BS,14,FALSE)/12),0)</f>
        <v>9000</v>
      </c>
      <c r="EC147" s="345">
        <f>_xlfn.IFNA(VLOOKUP($A147,'Post 16'!$A:$AV,32,FALSE),0)/8</f>
        <v>0</v>
      </c>
      <c r="ED147" s="345"/>
      <c r="EE147" s="345">
        <f>_xlfn.IFNA((VLOOKUP($A147,HN!$A:$K,9,FALSE)/12),0)+_xlfn.IFNA((VLOOKUP($A147,HN!$A:$K,10,FALSE)/12),0)+_xlfn.IFNA((VLOOKUP($A147,HN!$A:$BZ,33,FALSE)/12),0)</f>
        <v>0</v>
      </c>
      <c r="EF147" s="345">
        <f>_xlfn.IFNA((VLOOKUP($A147,HN!$A:$BS,15,FALSE)/12),0)</f>
        <v>15655.470833333333</v>
      </c>
      <c r="EG147" s="344">
        <f t="shared" si="162"/>
        <v>-1816.9066666666665</v>
      </c>
      <c r="EH147" s="344">
        <f t="shared" si="163"/>
        <v>-6264.1733333333332</v>
      </c>
      <c r="EI147" s="345"/>
      <c r="EJ147" s="345">
        <f>_xlfn.IFNA(VLOOKUP(A147,'Cash Advances'!A:P,16,FALSE),0)</f>
        <v>0</v>
      </c>
      <c r="EK147" s="345">
        <f>_xlfn.IFNA(VLOOKUP(A147,'LA Deductions'!A:AZ,25,FALSE),0)/9</f>
        <v>0</v>
      </c>
      <c r="EL147" s="344">
        <f t="shared" si="176"/>
        <v>419392.91263908579</v>
      </c>
      <c r="EM147" s="308">
        <f t="shared" si="164"/>
        <v>402818.52180575248</v>
      </c>
      <c r="EN147" s="308">
        <f>((VLOOKUP($A147,EY!$A:$BS,35,FALSE)-(VLOOKUP($A147,EY!$A:$BS,33,FALSE)*80%))+VLOOKUP($A147,EY!$A:$BS,43,FALSE))+(VLOOKUP(A147,EY!A:DF,110,FALSE)-VLOOKUP(A147,EY!A:DD,108,FALSE))+(VLOOKUP(A147,EY!A:CE,83,FALSE)-VLOOKUP(A147,EY!A:CC,81,FALSE))</f>
        <v>47296.519058171747</v>
      </c>
      <c r="EO147" s="309"/>
      <c r="EP147" s="309">
        <f>_xlfn.IFNA((VLOOKUP($A147,HN!$A:$K,8,FALSE)/12),0)+_xlfn.IFNA((VLOOKUP($A147,HN!$A:$AF,32,FALSE)*1/12),0)</f>
        <v>0</v>
      </c>
      <c r="EQ147" s="309">
        <f>_xlfn.IFNA((VLOOKUP($A147,HN!$A:$BS,14,FALSE)/12),0)+_xlfn.IFNA((VLOOKUP($A147,HN!$A:$BS,34,FALSE)/3),0)</f>
        <v>9000</v>
      </c>
      <c r="ER147" s="309">
        <f>_xlfn.IFNA(VLOOKUP($A147,'Post 16'!$A:$AV,32,FALSE),0)/8</f>
        <v>0</v>
      </c>
      <c r="ES147" s="309">
        <f>((VLOOKUP($A147,EY!A:EV,33,FALSE)*80%))+VLOOKUP(A147,EY!A:DD,108,FALSE)+VLOOKUP(A147,EY!A:CC,81,FALSE)</f>
        <v>0</v>
      </c>
      <c r="ET147" s="309">
        <f>_xlfn.IFNA((VLOOKUP($A147,HN!$A:$K,9,FALSE)/12),0)+_xlfn.IFNA((VLOOKUP($A147,HN!$A:$K,10,FALSE)/12),0)+_xlfn.IFNA((VLOOKUP($A147,HN!$A:$BZ,33,FALSE)/12),0)</f>
        <v>0</v>
      </c>
      <c r="EU147" s="309">
        <f>_xlfn.IFNA((VLOOKUP($A147,HN!$A:$BS,15,FALSE)/12),0)</f>
        <v>15655.470833333333</v>
      </c>
      <c r="EV147" s="308">
        <f t="shared" si="165"/>
        <v>-1816.9066666666665</v>
      </c>
      <c r="EW147" s="308">
        <f t="shared" si="166"/>
        <v>-6264.1733333333332</v>
      </c>
      <c r="EX147" s="309"/>
      <c r="EY147" s="309">
        <f>_xlfn.IFNA(VLOOKUP($A147,'Cash Advances'!$A:$S,17,FALSE),0)</f>
        <v>0</v>
      </c>
      <c r="EZ147" s="309">
        <f>_xlfn.IFNA(VLOOKUP(A147,'LA Deductions'!A:AZ,25,FALSE),0)/9</f>
        <v>0</v>
      </c>
      <c r="FA147" s="308">
        <f t="shared" si="177"/>
        <v>466689.4316972575</v>
      </c>
      <c r="FB147" s="315">
        <f t="shared" si="167"/>
        <v>402818.52180575248</v>
      </c>
      <c r="FC147" s="315"/>
      <c r="FD147" s="316"/>
      <c r="FE147" s="316">
        <f>_xlfn.IFNA((VLOOKUP($A147,HN!$A:$K,8,FALSE)/12),0)+_xlfn.IFNA((VLOOKUP($A147,HN!$A:$AF,32,FALSE)*1/12),0)</f>
        <v>0</v>
      </c>
      <c r="FF147" s="316">
        <f>_xlfn.IFNA((VLOOKUP($A147,HN!$A:$BS,14,FALSE)/12),0)+_xlfn.IFNA((VLOOKUP($A147,HN!$A:$BS,34,FALSE)/3),0)</f>
        <v>9000</v>
      </c>
      <c r="FG147" s="316">
        <f>_xlfn.IFNA(VLOOKUP($A147,'Post 16'!$A:$AV,32,FALSE),0)/8</f>
        <v>0</v>
      </c>
      <c r="FH147" s="316"/>
      <c r="FI147" s="316">
        <f>_xlfn.IFNA((VLOOKUP($A147,HN!$A:$K,9,FALSE)/12),0)+_xlfn.IFNA((VLOOKUP($A147,HN!$A:$K,10,FALSE)/12),0)+_xlfn.IFNA((VLOOKUP($A147,HN!$A:$BZ,33,FALSE)/12),0)+_xlfn.IFNA((VLOOKUP($A147,HN!$A:$BZ,35,FALSE)/2),0)</f>
        <v>0</v>
      </c>
      <c r="FJ147" s="316">
        <f>_xlfn.IFNA((VLOOKUP($A147,HN!$A:$BS,15,FALSE)/12),0)+_xlfn.IFNA((VLOOKUP($A147,HN!$A:$CZ,36,FALSE)/2),0)</f>
        <v>12585.225833333334</v>
      </c>
      <c r="FK147" s="315">
        <f t="shared" si="168"/>
        <v>-1816.9066666666665</v>
      </c>
      <c r="FL147" s="315">
        <f t="shared" si="169"/>
        <v>-6264.1733333333332</v>
      </c>
      <c r="FM147" s="316"/>
      <c r="FN147" s="316">
        <f>_xlfn.IFNA(VLOOKUP($A147,'Cash Advances'!$A:$S,18,FALSE),0)</f>
        <v>0</v>
      </c>
      <c r="FO147" s="316">
        <f>_xlfn.IFNA(VLOOKUP(A147,'LA Deductions'!A:AZ,25,FALSE),0)/9</f>
        <v>0</v>
      </c>
      <c r="FP147" s="315">
        <f t="shared" si="178"/>
        <v>416322.66763908579</v>
      </c>
      <c r="FQ147" s="322">
        <f t="shared" si="170"/>
        <v>402818.52180575248</v>
      </c>
      <c r="FR147" s="322"/>
      <c r="FS147" s="323"/>
      <c r="FT147" s="323">
        <f>_xlfn.IFNA((VLOOKUP($A147,HN!$A:$K,8,FALSE)/12),0)+_xlfn.IFNA((VLOOKUP($A147,HN!$A:$AF,32,FALSE)*1/12),0)</f>
        <v>0</v>
      </c>
      <c r="FU147" s="323">
        <f>_xlfn.IFNA((VLOOKUP($A147,HN!$A:$BS,14,FALSE)/12),0)+_xlfn.IFNA((VLOOKUP($A147,HN!$A:$BS,34,FALSE)/3),0)</f>
        <v>9000</v>
      </c>
      <c r="FV147" s="323">
        <f>_xlfn.IFNA(VLOOKUP($A147,'Post 16'!$A:$AV,32,FALSE),0)/8</f>
        <v>0</v>
      </c>
      <c r="FW147" s="323"/>
      <c r="FX147" s="323">
        <f>_xlfn.IFNA((VLOOKUP($A147,HN!$A:$K,9,FALSE)/12),0)+_xlfn.IFNA((VLOOKUP($A147,HN!$A:$K,10,FALSE)/12),0)+_xlfn.IFNA((VLOOKUP($A147,HN!$A:$BZ,33,FALSE)/12),0)+_xlfn.IFNA((VLOOKUP($A147,HN!$A:$BZ,35,FALSE)/2),0)</f>
        <v>0</v>
      </c>
      <c r="FY147" s="323">
        <f>_xlfn.IFNA((VLOOKUP($A147,HN!$A:$BS,15,FALSE)/12),0)+_xlfn.IFNA((VLOOKUP($A147,HN!$A:$CZ,36,FALSE)/2),0)</f>
        <v>12585.225833333334</v>
      </c>
      <c r="FZ147" s="322">
        <f t="shared" si="171"/>
        <v>-1816.9066666666665</v>
      </c>
      <c r="GA147" s="322">
        <f t="shared" si="172"/>
        <v>-6264.1733333333332</v>
      </c>
      <c r="GB147" s="323"/>
      <c r="GC147" s="323"/>
      <c r="GD147" s="323">
        <f>_xlfn.IFNA(VLOOKUP(A147,'LA Deductions'!A:AZ,25,FALSE),0)/9</f>
        <v>0</v>
      </c>
      <c r="GE147" s="322">
        <f t="shared" si="179"/>
        <v>416322.66763908579</v>
      </c>
      <c r="GG147" s="146">
        <f t="shared" si="182"/>
        <v>5076566.5124850953</v>
      </c>
      <c r="GH147" s="146">
        <f t="shared" si="182"/>
        <v>0</v>
      </c>
      <c r="GI147" s="146">
        <f t="shared" si="182"/>
        <v>181725.15999999995</v>
      </c>
      <c r="GJ147" s="146">
        <f t="shared" si="182"/>
        <v>-21802.879999999994</v>
      </c>
      <c r="GK147" s="146">
        <f t="shared" si="182"/>
        <v>-75170.080000000002</v>
      </c>
      <c r="GL147" s="146">
        <f t="shared" si="182"/>
        <v>-24312.75</v>
      </c>
      <c r="GN147" s="146">
        <f t="shared" si="183"/>
        <v>5076566.5124850953</v>
      </c>
      <c r="GO147" s="146">
        <f t="shared" si="183"/>
        <v>0</v>
      </c>
      <c r="GP147" s="146">
        <f t="shared" si="183"/>
        <v>181725.15999999995</v>
      </c>
      <c r="GQ147" s="146">
        <f t="shared" si="183"/>
        <v>-21802.879999999994</v>
      </c>
      <c r="GR147" s="146">
        <f t="shared" si="183"/>
        <v>-75170.080000000002</v>
      </c>
      <c r="GS147" s="146">
        <f t="shared" si="183"/>
        <v>-24312.75</v>
      </c>
      <c r="GU147" s="146"/>
      <c r="GV147" s="57"/>
    </row>
    <row r="148" spans="1:204">
      <c r="A148" s="185">
        <v>2306</v>
      </c>
      <c r="B148" s="185">
        <v>103326</v>
      </c>
      <c r="C148" s="185" t="s">
        <v>322</v>
      </c>
      <c r="D148" s="2" t="s">
        <v>323</v>
      </c>
      <c r="E148" s="191" t="s">
        <v>32</v>
      </c>
      <c r="F148" s="191" t="s">
        <v>912</v>
      </c>
      <c r="H148" s="279">
        <f>_xlfn.IFNA(VLOOKUP($A148,ISB!$A$4:$BY$454,67,FALSE),0)</f>
        <v>1308148.4418285023</v>
      </c>
      <c r="I148" s="279">
        <f>_xlfn.IFNA(VLOOKUP($A148,ISB!$A$4:$BY$454,72,FALSE),0)</f>
        <v>-5502.8799999999992</v>
      </c>
      <c r="J148" s="279">
        <f>-_xlfn.IFNA(VLOOKUP($A148,ISB!$A$4:$BY$454,76,FALSE),0)</f>
        <v>-19886.79</v>
      </c>
      <c r="K148" s="279">
        <f>_xlfn.IFNA(VLOOKUP($A148,ISB!$A$4:$BY$454,77,FALSE),0)</f>
        <v>1282758.7718285024</v>
      </c>
      <c r="M148" s="301">
        <f t="shared" si="137"/>
        <v>109012.3701523752</v>
      </c>
      <c r="N148" s="301">
        <f>VLOOKUP($A148,EY!$A:$H,8,FALSE)+(VLOOKUP($A148,EY!$A:$BS,17,FALSE)-S148)+VLOOKUP($A148,EY!$A:$BS,41,FALSE)</f>
        <v>0</v>
      </c>
      <c r="O148" s="302"/>
      <c r="P148" s="302">
        <f>_xlfn.IFNA((VLOOKUP($A148,HN!$A:$K,8,FALSE)/12),0)</f>
        <v>0</v>
      </c>
      <c r="Q148" s="302">
        <f>_xlfn.IFNA((VLOOKUP($A148,HN!$A:$BS,14,FALSE)/12),0)</f>
        <v>0</v>
      </c>
      <c r="R148" s="302">
        <f>_xlfn.IFNA(VLOOKUP($A148,'Post 16'!$A:$V,21,FALSE),0)/4</f>
        <v>0</v>
      </c>
      <c r="S148" s="302">
        <f>VLOOKUP($A148,EY!A:Q,15,FALSE)*80%</f>
        <v>0</v>
      </c>
      <c r="T148" s="302">
        <f>_xlfn.IFNA((VLOOKUP($A148,HN!$A:$K,9,FALSE)/12),0)+_xlfn.IFNA((VLOOKUP($A148,HN!$A:$K,10,FALSE)/12),0)</f>
        <v>0</v>
      </c>
      <c r="U148" s="302">
        <f>_xlfn.IFNA((VLOOKUP($A148,HN!$A:$BS,15,FALSE)/12),0)</f>
        <v>0</v>
      </c>
      <c r="V148" s="301">
        <f t="shared" si="138"/>
        <v>-458.57333333333327</v>
      </c>
      <c r="W148" s="301">
        <f t="shared" si="139"/>
        <v>-1657.2325000000001</v>
      </c>
      <c r="X148" s="302"/>
      <c r="Y148" s="302">
        <f>_xlfn.IFNA(VLOOKUP($A148,'Cash Advances'!$A:$S,8,FALSE),0)</f>
        <v>0</v>
      </c>
      <c r="Z148" s="301">
        <f t="shared" si="132"/>
        <v>106896.56431904186</v>
      </c>
      <c r="AA148" s="315">
        <f t="shared" si="140"/>
        <v>109012.3701523752</v>
      </c>
      <c r="AB148" s="315"/>
      <c r="AC148" s="316"/>
      <c r="AD148" s="316">
        <f>_xlfn.IFNA((VLOOKUP($A148,HN!$A:$K,8,FALSE)/12),0)</f>
        <v>0</v>
      </c>
      <c r="AE148" s="316">
        <f>_xlfn.IFNA((VLOOKUP($A148,HN!$A:$BS,14,FALSE)/12),0)</f>
        <v>0</v>
      </c>
      <c r="AF148" s="316">
        <f>_xlfn.IFNA(VLOOKUP($A148,'Post 16'!$A:$V,21,FALSE),0)/4</f>
        <v>0</v>
      </c>
      <c r="AG148" s="316"/>
      <c r="AH148" s="316">
        <f>_xlfn.IFNA((VLOOKUP($A148,HN!$A:$K,9,FALSE)/12),0)+_xlfn.IFNA((VLOOKUP($A148,HN!$A:$K,10,FALSE)/12),0)</f>
        <v>0</v>
      </c>
      <c r="AI148" s="316">
        <f>_xlfn.IFNA((VLOOKUP($A148,HN!$A:$BS,15,FALSE)/12),0)</f>
        <v>0</v>
      </c>
      <c r="AJ148" s="315">
        <f t="shared" si="141"/>
        <v>-458.57333333333327</v>
      </c>
      <c r="AK148" s="315">
        <f t="shared" si="142"/>
        <v>-1657.2325000000001</v>
      </c>
      <c r="AL148" s="316"/>
      <c r="AM148" s="316">
        <f>_xlfn.IFNA(VLOOKUP($A148,'Cash Advances'!$A:$S,9,FALSE),0)</f>
        <v>0</v>
      </c>
      <c r="AN148" s="315">
        <f t="shared" si="133"/>
        <v>106896.56431904186</v>
      </c>
      <c r="AO148" s="308">
        <f t="shared" si="143"/>
        <v>109012.3701523752</v>
      </c>
      <c r="AP148" s="308"/>
      <c r="AQ148" s="309"/>
      <c r="AR148" s="309">
        <f>_xlfn.IFNA((VLOOKUP($A148,HN!$A:$K,8,FALSE)/12),0)</f>
        <v>0</v>
      </c>
      <c r="AS148" s="309">
        <f>_xlfn.IFNA((VLOOKUP($A148,HN!$A:$BS,14,FALSE)/12),0)</f>
        <v>0</v>
      </c>
      <c r="AT148" s="309">
        <f>_xlfn.IFNA(VLOOKUP($A148,'Post 16'!$A:$V,21,FALSE),0)/4</f>
        <v>0</v>
      </c>
      <c r="AU148" s="309"/>
      <c r="AV148" s="309">
        <f>_xlfn.IFNA((VLOOKUP($A148,HN!$A:$K,9,FALSE)/12),0)+_xlfn.IFNA((VLOOKUP($A148,HN!$A:$K,10,FALSE)/12),0)+_xlfn.IFNA(VLOOKUP(A148,HN!A:V,19,FALSE),0)+_xlfn.IFNA(VLOOKUP(A148,HN!A:V,20,FALSE),0)+_xlfn.IFNA(VLOOKUP(A148,HN!A:V,21,FALSE),0)</f>
        <v>0</v>
      </c>
      <c r="AW148" s="309">
        <f>_xlfn.IFNA((VLOOKUP($A148,HN!$A:$BS,15,FALSE)/12),0)</f>
        <v>0</v>
      </c>
      <c r="AX148" s="308">
        <f t="shared" si="144"/>
        <v>-458.57333333333327</v>
      </c>
      <c r="AY148" s="308">
        <f t="shared" si="145"/>
        <v>-1657.2325000000001</v>
      </c>
      <c r="AZ148" s="309"/>
      <c r="BA148" s="309">
        <f>_xlfn.IFNA(VLOOKUP($A148,'Cash Advances'!$A:$S,10,FALSE),0)</f>
        <v>0</v>
      </c>
      <c r="BB148" s="308">
        <f t="shared" si="134"/>
        <v>106896.56431904186</v>
      </c>
      <c r="BC148" s="330">
        <f t="shared" si="146"/>
        <v>109012.3701523752</v>
      </c>
      <c r="BD148" s="330"/>
      <c r="BE148" s="331"/>
      <c r="BF148" s="331">
        <f>_xlfn.IFNA((VLOOKUP($A148,HN!$A:$K,8,FALSE)/12),0)</f>
        <v>0</v>
      </c>
      <c r="BG148" s="331">
        <f>_xlfn.IFNA((VLOOKUP($A148,HN!$A:$BS,14,FALSE)/12),0)</f>
        <v>0</v>
      </c>
      <c r="BH148" s="331">
        <f>_xlfn.IFNA(VLOOKUP($A148,'Post 16'!$A:$V,21,FALSE),0)/4</f>
        <v>0</v>
      </c>
      <c r="BI148" s="331"/>
      <c r="BJ148" s="331">
        <f>_xlfn.IFNA((VLOOKUP($A148,HN!$A:$K,9,FALSE)/12),0)+_xlfn.IFNA((VLOOKUP($A148,HN!$A:$K,10,FALSE)/12),0)</f>
        <v>0</v>
      </c>
      <c r="BK148" s="331">
        <f>_xlfn.IFNA((VLOOKUP($A148,HN!$A:$BS,15,FALSE)/12),0)</f>
        <v>0</v>
      </c>
      <c r="BL148" s="330">
        <f t="shared" si="147"/>
        <v>-458.57333333333327</v>
      </c>
      <c r="BM148" s="330">
        <f t="shared" si="148"/>
        <v>-1657.2325000000001</v>
      </c>
      <c r="BN148" s="331"/>
      <c r="BO148" s="331">
        <f>_xlfn.IFNA(VLOOKUP(A148,'Cash Advances'!A:K,11,FALSE),0)</f>
        <v>0</v>
      </c>
      <c r="BP148" s="330">
        <f t="shared" si="135"/>
        <v>106896.56431904186</v>
      </c>
      <c r="BQ148" s="322">
        <f t="shared" si="149"/>
        <v>109012.3701523752</v>
      </c>
      <c r="BR148" s="322"/>
      <c r="BS148" s="323"/>
      <c r="BT148" s="323">
        <f>_xlfn.IFNA((VLOOKUP($A148,HN!$A:$K,8,FALSE)/12),0)</f>
        <v>0</v>
      </c>
      <c r="BU148" s="323">
        <f>_xlfn.IFNA((VLOOKUP($A148,HN!$A:$BS,14,FALSE)/12),0)</f>
        <v>0</v>
      </c>
      <c r="BV148" s="323">
        <f>(_xlfn.IFNA(VLOOKUP($A148,'Post 16'!$A:$AV,32,FALSE),0)/8)+_xlfn.IFNA(VLOOKUP($A148,'Post 16'!$A:$AR,40,FALSE),0)</f>
        <v>0</v>
      </c>
      <c r="BW148" s="323"/>
      <c r="BX148" s="323">
        <f>_xlfn.IFNA((VLOOKUP($A148,HN!$A:$K,9,FALSE)/12),0)+_xlfn.IFNA((VLOOKUP($A148,HN!$A:$K,10,FALSE)/12),0)</f>
        <v>0</v>
      </c>
      <c r="BY148" s="323">
        <f>_xlfn.IFNA((VLOOKUP($A148,HN!$A:$BS,15,FALSE)/12),0)</f>
        <v>0</v>
      </c>
      <c r="BZ148" s="322">
        <f t="shared" si="150"/>
        <v>-458.57333333333327</v>
      </c>
      <c r="CA148" s="322">
        <f t="shared" si="151"/>
        <v>-1657.2325000000001</v>
      </c>
      <c r="CB148" s="323"/>
      <c r="CC148" s="323"/>
      <c r="CD148" s="322">
        <f t="shared" si="136"/>
        <v>106896.56431904186</v>
      </c>
      <c r="CE148" s="357">
        <f t="shared" si="152"/>
        <v>109012.3701523752</v>
      </c>
      <c r="CF148" s="357">
        <f>(VLOOKUP($A148,EY!$A:$BS,26,FALSE)-(VLOOKUP($A148,EY!A:CR,24,FALSE)*80%))+VLOOKUP($A148,EY!$A:$BS,42,FALSE)+(VLOOKUP($A148,EY!A:CC,74,FALSE)-VLOOKUP($A148,EY!A:CC,72,FALSE))</f>
        <v>0</v>
      </c>
      <c r="CG148" s="358"/>
      <c r="CH148" s="358">
        <f>_xlfn.IFNA((VLOOKUP($A148,HN!$A:$K,8,FALSE)/12),0)</f>
        <v>0</v>
      </c>
      <c r="CI148" s="358">
        <f>_xlfn.IFNA((VLOOKUP($A148,HN!$A:$BS,14,FALSE)/12),0)</f>
        <v>0</v>
      </c>
      <c r="CJ148" s="358">
        <f>(_xlfn.IFNA(VLOOKUP($A148,'Post 16'!$A:$AV,32,FALSE),0)/8)</f>
        <v>0</v>
      </c>
      <c r="CK148" s="358">
        <f>(VLOOKUP($A148,EY!A:CR,24,FALSE)*80%)+VLOOKUP($A148,EY!A:CC,72,FALSE)</f>
        <v>0</v>
      </c>
      <c r="CL148" s="358">
        <f>_xlfn.IFNA((VLOOKUP($A148,HN!$A:$K,9,FALSE)/12),0)+_xlfn.IFNA((VLOOKUP($A148,HN!$A:$K,10,FALSE)/12),0)</f>
        <v>0</v>
      </c>
      <c r="CM148" s="358">
        <f>_xlfn.IFNA((VLOOKUP($A148,HN!$A:$BS,15,FALSE)/12),0)</f>
        <v>0</v>
      </c>
      <c r="CN148" s="357">
        <f t="shared" si="153"/>
        <v>-458.57333333333327</v>
      </c>
      <c r="CO148" s="357">
        <f t="shared" si="154"/>
        <v>-1657.2325000000001</v>
      </c>
      <c r="CP148" s="358">
        <f>_xlfn.IFNA(VLOOKUP(A148,'LA Deductions'!A:W,23,FALSE),0)</f>
        <v>-5139.75</v>
      </c>
      <c r="CQ148" s="358">
        <f>_xlfn.IFNA(VLOOKUP($A148,'Cash Advances'!$A:$S,13,FALSE),0)</f>
        <v>0</v>
      </c>
      <c r="CR148" s="358">
        <f>_xlfn.IFNA(VLOOKUP(A148,'LA Deductions'!A:AZ,25,FALSE),0)/9*3</f>
        <v>0</v>
      </c>
      <c r="CS148" s="357">
        <f t="shared" si="173"/>
        <v>101756.81431904186</v>
      </c>
      <c r="CT148" s="337">
        <f t="shared" si="155"/>
        <v>109012.3701523752</v>
      </c>
      <c r="CU148" s="337"/>
      <c r="CV148" s="338">
        <f>_xlfn.IFNA(VLOOKUP(A148,'LA Deductions'!$A$6:$AN$207,34,FALSE),0)</f>
        <v>0</v>
      </c>
      <c r="CW148" s="338">
        <f>_xlfn.IFNA((VLOOKUP($A148,HN!$A:$K,8,FALSE)/12),0)</f>
        <v>0</v>
      </c>
      <c r="CX148" s="338">
        <f>_xlfn.IFNA((VLOOKUP($A148,HN!$A:$BS,14,FALSE)/12),0)</f>
        <v>0</v>
      </c>
      <c r="CY148" s="338">
        <f>_xlfn.IFNA(VLOOKUP($A148,'Post 16'!$A:$AV,32,FALSE),0)/8</f>
        <v>0</v>
      </c>
      <c r="CZ148" s="338"/>
      <c r="DA148" s="338">
        <f>_xlfn.IFNA((VLOOKUP($A148,HN!$A:$K,9,FALSE)/12),0)+_xlfn.IFNA((VLOOKUP($A148,HN!$A:$K,10,FALSE)/12),0)</f>
        <v>0</v>
      </c>
      <c r="DB148" s="338">
        <f>_xlfn.IFNA((VLOOKUP($A148,HN!$A:$BS,15,FALSE)/12),0)</f>
        <v>0</v>
      </c>
      <c r="DC148" s="337">
        <f t="shared" si="156"/>
        <v>-458.57333333333327</v>
      </c>
      <c r="DD148" s="337">
        <f t="shared" si="157"/>
        <v>-1657.2325000000001</v>
      </c>
      <c r="DE148" s="338"/>
      <c r="DF148" s="338">
        <f>_xlfn.IFNA(VLOOKUP($A148,'Cash Advances'!$A:$S,14,FALSE),0)</f>
        <v>0</v>
      </c>
      <c r="DG148" s="338">
        <f>(_xlfn.IFNA(VLOOKUP(A148,'LA Deductions'!A:AZ,25,FALSE),0)/9)+(_xlfn.IFNA(VLOOKUP(A148,'LA Deductions'!A:AZ,26,FALSE),0))</f>
        <v>0</v>
      </c>
      <c r="DH148" s="337">
        <f t="shared" si="174"/>
        <v>106896.56431904186</v>
      </c>
      <c r="DI148" s="330">
        <f t="shared" si="158"/>
        <v>109012.3701523752</v>
      </c>
      <c r="DJ148" s="330"/>
      <c r="DK148" s="331"/>
      <c r="DL148" s="331">
        <f>_xlfn.IFNA((VLOOKUP($A148,HN!$A:$K,8,FALSE)/12),0)+_xlfn.IFNA((VLOOKUP($A148,HN!$A:$AF,32,FALSE)*8/12),0)</f>
        <v>0</v>
      </c>
      <c r="DM148" s="331">
        <f>_xlfn.IFNA((VLOOKUP($A148,HN!$A:$BS,14,FALSE)/12),0)+_xlfn.IFNA(VLOOKUP($A148,HN!$A:$BS,31,FALSE),0)</f>
        <v>0</v>
      </c>
      <c r="DN148" s="331">
        <f>_xlfn.IFNA(VLOOKUP($A148,'Post 16'!$A:$AV,32,FALSE),0)/8</f>
        <v>0</v>
      </c>
      <c r="DO148" s="331"/>
      <c r="DP148" s="331">
        <f>_xlfn.IFNA((VLOOKUP($A148,HN!$A:$K,9,FALSE)/12),0)+_xlfn.IFNA((VLOOKUP($A148,HN!$A:$K,10,FALSE)/12),0)+_xlfn.IFNA((VLOOKUP($A148,HN!$A:$BZ,33,FALSE)*8/12),0)</f>
        <v>0</v>
      </c>
      <c r="DQ148" s="331">
        <f>_xlfn.IFNA((VLOOKUP($A148,HN!$A:$BS,15,FALSE)/12),0)</f>
        <v>0</v>
      </c>
      <c r="DR148" s="330">
        <f t="shared" si="159"/>
        <v>-458.57333333333327</v>
      </c>
      <c r="DS148" s="330">
        <f t="shared" si="160"/>
        <v>-1657.2325000000001</v>
      </c>
      <c r="DT148" s="331"/>
      <c r="DU148" s="331"/>
      <c r="DV148" s="331">
        <f>(_xlfn.IFNA(VLOOKUP(A148,'LA Deductions'!A:AZ,25,FALSE),0)/9)+_xlfn.IFNA(VLOOKUP(A148,'LA Deductions'!A:AZ,27,FALSE),0)</f>
        <v>0</v>
      </c>
      <c r="DW148" s="330">
        <f t="shared" si="175"/>
        <v>106896.56431904186</v>
      </c>
      <c r="DX148" s="344">
        <f t="shared" si="161"/>
        <v>109012.3701523752</v>
      </c>
      <c r="DY148" s="344"/>
      <c r="DZ148" s="345"/>
      <c r="EA148" s="345">
        <f>_xlfn.IFNA((VLOOKUP($A148,HN!$A:$K,8,FALSE)/12),0)+_xlfn.IFNA((VLOOKUP($A148,HN!$A:$AF,32,FALSE)*1/12),0)</f>
        <v>0</v>
      </c>
      <c r="EB148" s="345">
        <f>_xlfn.IFNA((VLOOKUP($A148,HN!$A:$BS,14,FALSE)/12),0)</f>
        <v>0</v>
      </c>
      <c r="EC148" s="345">
        <f>_xlfn.IFNA(VLOOKUP($A148,'Post 16'!$A:$AV,32,FALSE),0)/8</f>
        <v>0</v>
      </c>
      <c r="ED148" s="345"/>
      <c r="EE148" s="345">
        <f>_xlfn.IFNA((VLOOKUP($A148,HN!$A:$K,9,FALSE)/12),0)+_xlfn.IFNA((VLOOKUP($A148,HN!$A:$K,10,FALSE)/12),0)+_xlfn.IFNA((VLOOKUP($A148,HN!$A:$BZ,33,FALSE)/12),0)</f>
        <v>0</v>
      </c>
      <c r="EF148" s="345">
        <f>_xlfn.IFNA((VLOOKUP($A148,HN!$A:$BS,15,FALSE)/12),0)</f>
        <v>0</v>
      </c>
      <c r="EG148" s="344">
        <f t="shared" si="162"/>
        <v>-458.57333333333327</v>
      </c>
      <c r="EH148" s="344">
        <f t="shared" si="163"/>
        <v>-1657.2325000000001</v>
      </c>
      <c r="EI148" s="345"/>
      <c r="EJ148" s="345">
        <f>_xlfn.IFNA(VLOOKUP(A148,'Cash Advances'!A:P,16,FALSE),0)</f>
        <v>0</v>
      </c>
      <c r="EK148" s="345">
        <f>_xlfn.IFNA(VLOOKUP(A148,'LA Deductions'!A:AZ,25,FALSE),0)/9</f>
        <v>0</v>
      </c>
      <c r="EL148" s="344">
        <f t="shared" si="176"/>
        <v>106896.56431904186</v>
      </c>
      <c r="EM148" s="308">
        <f t="shared" si="164"/>
        <v>109012.3701523752</v>
      </c>
      <c r="EN148" s="308">
        <f>((VLOOKUP($A148,EY!$A:$BS,35,FALSE)-(VLOOKUP($A148,EY!$A:$BS,33,FALSE)*80%))+VLOOKUP($A148,EY!$A:$BS,43,FALSE))+(VLOOKUP(A148,EY!A:DF,110,FALSE)-VLOOKUP(A148,EY!A:DD,108,FALSE))+(VLOOKUP(A148,EY!A:CE,83,FALSE)-VLOOKUP(A148,EY!A:CC,81,FALSE))</f>
        <v>0</v>
      </c>
      <c r="EO148" s="309"/>
      <c r="EP148" s="309">
        <f>_xlfn.IFNA((VLOOKUP($A148,HN!$A:$K,8,FALSE)/12),0)+_xlfn.IFNA((VLOOKUP($A148,HN!$A:$AF,32,FALSE)*1/12),0)</f>
        <v>0</v>
      </c>
      <c r="EQ148" s="309">
        <f>_xlfn.IFNA((VLOOKUP($A148,HN!$A:$BS,14,FALSE)/12),0)+_xlfn.IFNA((VLOOKUP($A148,HN!$A:$BS,34,FALSE)/3),0)</f>
        <v>0</v>
      </c>
      <c r="ER148" s="309">
        <f>_xlfn.IFNA(VLOOKUP($A148,'Post 16'!$A:$AV,32,FALSE),0)/8</f>
        <v>0</v>
      </c>
      <c r="ES148" s="309">
        <f>((VLOOKUP($A148,EY!A:EV,33,FALSE)*80%))+VLOOKUP(A148,EY!A:DD,108,FALSE)+VLOOKUP(A148,EY!A:CC,81,FALSE)</f>
        <v>0</v>
      </c>
      <c r="ET148" s="309">
        <f>_xlfn.IFNA((VLOOKUP($A148,HN!$A:$K,9,FALSE)/12),0)+_xlfn.IFNA((VLOOKUP($A148,HN!$A:$K,10,FALSE)/12),0)+_xlfn.IFNA((VLOOKUP($A148,HN!$A:$BZ,33,FALSE)/12),0)</f>
        <v>0</v>
      </c>
      <c r="EU148" s="309">
        <f>_xlfn.IFNA((VLOOKUP($A148,HN!$A:$BS,15,FALSE)/12),0)</f>
        <v>0</v>
      </c>
      <c r="EV148" s="308">
        <f t="shared" si="165"/>
        <v>-458.57333333333327</v>
      </c>
      <c r="EW148" s="308">
        <f t="shared" si="166"/>
        <v>-1657.2325000000001</v>
      </c>
      <c r="EX148" s="309"/>
      <c r="EY148" s="309">
        <f>_xlfn.IFNA(VLOOKUP($A148,'Cash Advances'!$A:$S,17,FALSE),0)</f>
        <v>0</v>
      </c>
      <c r="EZ148" s="309">
        <f>_xlfn.IFNA(VLOOKUP(A148,'LA Deductions'!A:AZ,25,FALSE),0)/9</f>
        <v>0</v>
      </c>
      <c r="FA148" s="308">
        <f t="shared" si="177"/>
        <v>106896.56431904186</v>
      </c>
      <c r="FB148" s="315">
        <f t="shared" si="167"/>
        <v>109012.3701523752</v>
      </c>
      <c r="FC148" s="315"/>
      <c r="FD148" s="316"/>
      <c r="FE148" s="316">
        <f>_xlfn.IFNA((VLOOKUP($A148,HN!$A:$K,8,FALSE)/12),0)+_xlfn.IFNA((VLOOKUP($A148,HN!$A:$AF,32,FALSE)*1/12),0)</f>
        <v>0</v>
      </c>
      <c r="FF148" s="316">
        <f>_xlfn.IFNA((VLOOKUP($A148,HN!$A:$BS,14,FALSE)/12),0)+_xlfn.IFNA((VLOOKUP($A148,HN!$A:$BS,34,FALSE)/3),0)</f>
        <v>0</v>
      </c>
      <c r="FG148" s="316">
        <f>_xlfn.IFNA(VLOOKUP($A148,'Post 16'!$A:$AV,32,FALSE),0)/8</f>
        <v>0</v>
      </c>
      <c r="FH148" s="316"/>
      <c r="FI148" s="316">
        <f>_xlfn.IFNA((VLOOKUP($A148,HN!$A:$K,9,FALSE)/12),0)+_xlfn.IFNA((VLOOKUP($A148,HN!$A:$K,10,FALSE)/12),0)+_xlfn.IFNA((VLOOKUP($A148,HN!$A:$BZ,33,FALSE)/12),0)+_xlfn.IFNA((VLOOKUP($A148,HN!$A:$BZ,35,FALSE)/2),0)</f>
        <v>0</v>
      </c>
      <c r="FJ148" s="316">
        <f>_xlfn.IFNA((VLOOKUP($A148,HN!$A:$BS,15,FALSE)/12),0)+_xlfn.IFNA((VLOOKUP($A148,HN!$A:$CZ,36,FALSE)/2),0)</f>
        <v>0</v>
      </c>
      <c r="FK148" s="315">
        <f t="shared" si="168"/>
        <v>-458.57333333333327</v>
      </c>
      <c r="FL148" s="315">
        <f t="shared" si="169"/>
        <v>-1657.2325000000001</v>
      </c>
      <c r="FM148" s="316"/>
      <c r="FN148" s="316">
        <f>_xlfn.IFNA(VLOOKUP($A148,'Cash Advances'!$A:$S,18,FALSE),0)</f>
        <v>0</v>
      </c>
      <c r="FO148" s="316">
        <f>_xlfn.IFNA(VLOOKUP(A148,'LA Deductions'!A:AZ,25,FALSE),0)/9</f>
        <v>0</v>
      </c>
      <c r="FP148" s="315">
        <f t="shared" si="178"/>
        <v>106896.56431904186</v>
      </c>
      <c r="FQ148" s="322">
        <f t="shared" si="170"/>
        <v>109012.3701523752</v>
      </c>
      <c r="FR148" s="322"/>
      <c r="FS148" s="323"/>
      <c r="FT148" s="323">
        <f>_xlfn.IFNA((VLOOKUP($A148,HN!$A:$K,8,FALSE)/12),0)+_xlfn.IFNA((VLOOKUP($A148,HN!$A:$AF,32,FALSE)*1/12),0)</f>
        <v>0</v>
      </c>
      <c r="FU148" s="323">
        <f>_xlfn.IFNA((VLOOKUP($A148,HN!$A:$BS,14,FALSE)/12),0)+_xlfn.IFNA((VLOOKUP($A148,HN!$A:$BS,34,FALSE)/3),0)</f>
        <v>0</v>
      </c>
      <c r="FV148" s="323">
        <f>_xlfn.IFNA(VLOOKUP($A148,'Post 16'!$A:$AV,32,FALSE),0)/8</f>
        <v>0</v>
      </c>
      <c r="FW148" s="323"/>
      <c r="FX148" s="323">
        <f>_xlfn.IFNA((VLOOKUP($A148,HN!$A:$K,9,FALSE)/12),0)+_xlfn.IFNA((VLOOKUP($A148,HN!$A:$K,10,FALSE)/12),0)+_xlfn.IFNA((VLOOKUP($A148,HN!$A:$BZ,33,FALSE)/12),0)+_xlfn.IFNA((VLOOKUP($A148,HN!$A:$BZ,35,FALSE)/2),0)</f>
        <v>0</v>
      </c>
      <c r="FY148" s="323">
        <f>_xlfn.IFNA((VLOOKUP($A148,HN!$A:$BS,15,FALSE)/12),0)+_xlfn.IFNA((VLOOKUP($A148,HN!$A:$CZ,36,FALSE)/2),0)</f>
        <v>0</v>
      </c>
      <c r="FZ148" s="322">
        <f t="shared" si="171"/>
        <v>-458.57333333333327</v>
      </c>
      <c r="GA148" s="322">
        <f t="shared" si="172"/>
        <v>-1657.2325000000001</v>
      </c>
      <c r="GB148" s="323"/>
      <c r="GC148" s="323"/>
      <c r="GD148" s="323">
        <f>_xlfn.IFNA(VLOOKUP(A148,'LA Deductions'!A:AZ,25,FALSE),0)/9</f>
        <v>0</v>
      </c>
      <c r="GE148" s="322">
        <f t="shared" si="179"/>
        <v>106896.56431904186</v>
      </c>
      <c r="GG148" s="146">
        <f t="shared" si="182"/>
        <v>1308148.4418285023</v>
      </c>
      <c r="GH148" s="146">
        <f t="shared" si="182"/>
        <v>0</v>
      </c>
      <c r="GI148" s="146">
        <f t="shared" si="182"/>
        <v>0</v>
      </c>
      <c r="GJ148" s="146">
        <f t="shared" si="182"/>
        <v>-5502.880000000001</v>
      </c>
      <c r="GK148" s="146">
        <f t="shared" si="182"/>
        <v>-19886.79</v>
      </c>
      <c r="GL148" s="146">
        <f t="shared" si="182"/>
        <v>-5139.75</v>
      </c>
      <c r="GN148" s="146">
        <f t="shared" si="183"/>
        <v>1308148.4418285023</v>
      </c>
      <c r="GO148" s="146">
        <f t="shared" si="183"/>
        <v>0</v>
      </c>
      <c r="GP148" s="146">
        <f t="shared" si="183"/>
        <v>0</v>
      </c>
      <c r="GQ148" s="146">
        <f t="shared" si="183"/>
        <v>-5502.880000000001</v>
      </c>
      <c r="GR148" s="146">
        <f t="shared" si="183"/>
        <v>-19886.79</v>
      </c>
      <c r="GS148" s="146">
        <f t="shared" si="183"/>
        <v>-5139.75</v>
      </c>
      <c r="GU148" s="146"/>
      <c r="GV148" s="57"/>
    </row>
    <row r="149" spans="1:204">
      <c r="A149" s="185">
        <v>2308</v>
      </c>
      <c r="B149" s="185">
        <v>103328</v>
      </c>
      <c r="C149" s="185" t="s">
        <v>324</v>
      </c>
      <c r="D149" s="2" t="s">
        <v>325</v>
      </c>
      <c r="E149" s="191" t="s">
        <v>32</v>
      </c>
      <c r="F149" s="191" t="s">
        <v>912</v>
      </c>
      <c r="H149" s="279">
        <f>_xlfn.IFNA(VLOOKUP($A149,ISB!$A$4:$BY$454,67,FALSE),0)</f>
        <v>2508976.5366325001</v>
      </c>
      <c r="I149" s="279">
        <f>_xlfn.IFNA(VLOOKUP($A149,ISB!$A$4:$BY$454,72,FALSE),0)</f>
        <v>-10171.199999999999</v>
      </c>
      <c r="J149" s="279">
        <f>-_xlfn.IFNA(VLOOKUP($A149,ISB!$A$4:$BY$454,76,FALSE),0)</f>
        <v>-36039.78</v>
      </c>
      <c r="K149" s="279">
        <f>_xlfn.IFNA(VLOOKUP($A149,ISB!$A$4:$BY$454,77,FALSE),0)</f>
        <v>2462765.5566325001</v>
      </c>
      <c r="M149" s="301">
        <f t="shared" si="137"/>
        <v>209081.37805270834</v>
      </c>
      <c r="N149" s="301">
        <f>VLOOKUP($A149,EY!$A:$H,8,FALSE)+(VLOOKUP($A149,EY!$A:$BS,17,FALSE)-S149)+VLOOKUP($A149,EY!$A:$BS,41,FALSE)</f>
        <v>51220.246315789482</v>
      </c>
      <c r="O149" s="302"/>
      <c r="P149" s="302">
        <f>_xlfn.IFNA((VLOOKUP($A149,HN!$A:$K,8,FALSE)/12),0)</f>
        <v>0</v>
      </c>
      <c r="Q149" s="302">
        <f>_xlfn.IFNA((VLOOKUP($A149,HN!$A:$BS,14,FALSE)/12),0)</f>
        <v>0</v>
      </c>
      <c r="R149" s="302">
        <f>_xlfn.IFNA(VLOOKUP($A149,'Post 16'!$A:$V,21,FALSE),0)/4</f>
        <v>0</v>
      </c>
      <c r="S149" s="302">
        <f>VLOOKUP($A149,EY!A:Q,15,FALSE)*80%</f>
        <v>0</v>
      </c>
      <c r="T149" s="302">
        <f>_xlfn.IFNA((VLOOKUP($A149,HN!$A:$K,9,FALSE)/12),0)+_xlfn.IFNA((VLOOKUP($A149,HN!$A:$K,10,FALSE)/12),0)</f>
        <v>0</v>
      </c>
      <c r="U149" s="302">
        <f>_xlfn.IFNA((VLOOKUP($A149,HN!$A:$BS,15,FALSE)/12),0)</f>
        <v>0</v>
      </c>
      <c r="V149" s="301">
        <f t="shared" si="138"/>
        <v>-847.59999999999991</v>
      </c>
      <c r="W149" s="301">
        <f t="shared" si="139"/>
        <v>-3003.3150000000001</v>
      </c>
      <c r="X149" s="302"/>
      <c r="Y149" s="302">
        <f>_xlfn.IFNA(VLOOKUP($A149,'Cash Advances'!$A:$S,8,FALSE),0)</f>
        <v>0</v>
      </c>
      <c r="Z149" s="301">
        <f t="shared" si="132"/>
        <v>256450.7093684978</v>
      </c>
      <c r="AA149" s="315">
        <f t="shared" si="140"/>
        <v>209081.37805270834</v>
      </c>
      <c r="AB149" s="315"/>
      <c r="AC149" s="316"/>
      <c r="AD149" s="316">
        <f>_xlfn.IFNA((VLOOKUP($A149,HN!$A:$K,8,FALSE)/12),0)</f>
        <v>0</v>
      </c>
      <c r="AE149" s="316">
        <f>_xlfn.IFNA((VLOOKUP($A149,HN!$A:$BS,14,FALSE)/12),0)</f>
        <v>0</v>
      </c>
      <c r="AF149" s="316">
        <f>_xlfn.IFNA(VLOOKUP($A149,'Post 16'!$A:$V,21,FALSE),0)/4</f>
        <v>0</v>
      </c>
      <c r="AG149" s="316"/>
      <c r="AH149" s="316">
        <f>_xlfn.IFNA((VLOOKUP($A149,HN!$A:$K,9,FALSE)/12),0)+_xlfn.IFNA((VLOOKUP($A149,HN!$A:$K,10,FALSE)/12),0)</f>
        <v>0</v>
      </c>
      <c r="AI149" s="316">
        <f>_xlfn.IFNA((VLOOKUP($A149,HN!$A:$BS,15,FALSE)/12),0)</f>
        <v>0</v>
      </c>
      <c r="AJ149" s="315">
        <f t="shared" si="141"/>
        <v>-847.59999999999991</v>
      </c>
      <c r="AK149" s="315">
        <f t="shared" si="142"/>
        <v>-3003.3150000000001</v>
      </c>
      <c r="AL149" s="316"/>
      <c r="AM149" s="316">
        <f>_xlfn.IFNA(VLOOKUP($A149,'Cash Advances'!$A:$S,9,FALSE),0)</f>
        <v>0</v>
      </c>
      <c r="AN149" s="315">
        <f t="shared" si="133"/>
        <v>205230.46305270834</v>
      </c>
      <c r="AO149" s="308">
        <f t="shared" si="143"/>
        <v>209081.37805270834</v>
      </c>
      <c r="AP149" s="308"/>
      <c r="AQ149" s="309"/>
      <c r="AR149" s="309">
        <f>_xlfn.IFNA((VLOOKUP($A149,HN!$A:$K,8,FALSE)/12),0)</f>
        <v>0</v>
      </c>
      <c r="AS149" s="309">
        <f>_xlfn.IFNA((VLOOKUP($A149,HN!$A:$BS,14,FALSE)/12),0)</f>
        <v>0</v>
      </c>
      <c r="AT149" s="309">
        <f>_xlfn.IFNA(VLOOKUP($A149,'Post 16'!$A:$V,21,FALSE),0)/4</f>
        <v>0</v>
      </c>
      <c r="AU149" s="309"/>
      <c r="AV149" s="309">
        <f>_xlfn.IFNA((VLOOKUP($A149,HN!$A:$K,9,FALSE)/12),0)+_xlfn.IFNA((VLOOKUP($A149,HN!$A:$K,10,FALSE)/12),0)+_xlfn.IFNA(VLOOKUP(A149,HN!A:V,19,FALSE),0)+_xlfn.IFNA(VLOOKUP(A149,HN!A:V,20,FALSE),0)+_xlfn.IFNA(VLOOKUP(A149,HN!A:V,21,FALSE),0)</f>
        <v>0</v>
      </c>
      <c r="AW149" s="309">
        <f>_xlfn.IFNA((VLOOKUP($A149,HN!$A:$BS,15,FALSE)/12),0)</f>
        <v>0</v>
      </c>
      <c r="AX149" s="308">
        <f t="shared" si="144"/>
        <v>-847.59999999999991</v>
      </c>
      <c r="AY149" s="308">
        <f t="shared" si="145"/>
        <v>-3003.3150000000001</v>
      </c>
      <c r="AZ149" s="309"/>
      <c r="BA149" s="309">
        <f>_xlfn.IFNA(VLOOKUP($A149,'Cash Advances'!$A:$S,10,FALSE),0)</f>
        <v>0</v>
      </c>
      <c r="BB149" s="308">
        <f t="shared" si="134"/>
        <v>205230.46305270834</v>
      </c>
      <c r="BC149" s="330">
        <f t="shared" si="146"/>
        <v>209081.37805270834</v>
      </c>
      <c r="BD149" s="330"/>
      <c r="BE149" s="331"/>
      <c r="BF149" s="331">
        <f>_xlfn.IFNA((VLOOKUP($A149,HN!$A:$K,8,FALSE)/12),0)</f>
        <v>0</v>
      </c>
      <c r="BG149" s="331">
        <f>_xlfn.IFNA((VLOOKUP($A149,HN!$A:$BS,14,FALSE)/12),0)</f>
        <v>0</v>
      </c>
      <c r="BH149" s="331">
        <f>_xlfn.IFNA(VLOOKUP($A149,'Post 16'!$A:$V,21,FALSE),0)/4</f>
        <v>0</v>
      </c>
      <c r="BI149" s="331"/>
      <c r="BJ149" s="331">
        <f>_xlfn.IFNA((VLOOKUP($A149,HN!$A:$K,9,FALSE)/12),0)+_xlfn.IFNA((VLOOKUP($A149,HN!$A:$K,10,FALSE)/12),0)</f>
        <v>0</v>
      </c>
      <c r="BK149" s="331">
        <f>_xlfn.IFNA((VLOOKUP($A149,HN!$A:$BS,15,FALSE)/12),0)</f>
        <v>0</v>
      </c>
      <c r="BL149" s="330">
        <f t="shared" si="147"/>
        <v>-847.59999999999991</v>
      </c>
      <c r="BM149" s="330">
        <f t="shared" si="148"/>
        <v>-3003.3150000000001</v>
      </c>
      <c r="BN149" s="331"/>
      <c r="BO149" s="331">
        <f>_xlfn.IFNA(VLOOKUP(A149,'Cash Advances'!A:K,11,FALSE),0)</f>
        <v>0</v>
      </c>
      <c r="BP149" s="330">
        <f t="shared" si="135"/>
        <v>205230.46305270834</v>
      </c>
      <c r="BQ149" s="322">
        <f t="shared" si="149"/>
        <v>209081.37805270834</v>
      </c>
      <c r="BR149" s="322"/>
      <c r="BS149" s="323"/>
      <c r="BT149" s="323">
        <f>_xlfn.IFNA((VLOOKUP($A149,HN!$A:$K,8,FALSE)/12),0)</f>
        <v>0</v>
      </c>
      <c r="BU149" s="323">
        <f>_xlfn.IFNA((VLOOKUP($A149,HN!$A:$BS,14,FALSE)/12),0)</f>
        <v>0</v>
      </c>
      <c r="BV149" s="323">
        <f>(_xlfn.IFNA(VLOOKUP($A149,'Post 16'!$A:$AV,32,FALSE),0)/8)+_xlfn.IFNA(VLOOKUP($A149,'Post 16'!$A:$AR,40,FALSE),0)</f>
        <v>0</v>
      </c>
      <c r="BW149" s="323"/>
      <c r="BX149" s="323">
        <f>_xlfn.IFNA((VLOOKUP($A149,HN!$A:$K,9,FALSE)/12),0)+_xlfn.IFNA((VLOOKUP($A149,HN!$A:$K,10,FALSE)/12),0)</f>
        <v>0</v>
      </c>
      <c r="BY149" s="323">
        <f>_xlfn.IFNA((VLOOKUP($A149,HN!$A:$BS,15,FALSE)/12),0)</f>
        <v>0</v>
      </c>
      <c r="BZ149" s="322">
        <f t="shared" si="150"/>
        <v>-847.59999999999991</v>
      </c>
      <c r="CA149" s="322">
        <f t="shared" si="151"/>
        <v>-3003.3150000000001</v>
      </c>
      <c r="CB149" s="323"/>
      <c r="CC149" s="323"/>
      <c r="CD149" s="322">
        <f t="shared" si="136"/>
        <v>205230.46305270834</v>
      </c>
      <c r="CE149" s="357">
        <f t="shared" si="152"/>
        <v>209081.37805270834</v>
      </c>
      <c r="CF149" s="357">
        <f>(VLOOKUP($A149,EY!$A:$BS,26,FALSE)-(VLOOKUP($A149,EY!A:CR,24,FALSE)*80%))+VLOOKUP($A149,EY!$A:$BS,42,FALSE)+(VLOOKUP($A149,EY!A:CC,74,FALSE)-VLOOKUP($A149,EY!A:CC,72,FALSE))</f>
        <v>24083.683684210519</v>
      </c>
      <c r="CG149" s="358"/>
      <c r="CH149" s="358">
        <f>_xlfn.IFNA((VLOOKUP($A149,HN!$A:$K,8,FALSE)/12),0)</f>
        <v>0</v>
      </c>
      <c r="CI149" s="358">
        <f>_xlfn.IFNA((VLOOKUP($A149,HN!$A:$BS,14,FALSE)/12),0)</f>
        <v>0</v>
      </c>
      <c r="CJ149" s="358">
        <f>(_xlfn.IFNA(VLOOKUP($A149,'Post 16'!$A:$AV,32,FALSE),0)/8)</f>
        <v>0</v>
      </c>
      <c r="CK149" s="358">
        <f>(VLOOKUP($A149,EY!A:CR,24,FALSE)*80%)+VLOOKUP($A149,EY!A:CC,72,FALSE)</f>
        <v>0</v>
      </c>
      <c r="CL149" s="358">
        <f>_xlfn.IFNA((VLOOKUP($A149,HN!$A:$K,9,FALSE)/12),0)+_xlfn.IFNA((VLOOKUP($A149,HN!$A:$K,10,FALSE)/12),0)</f>
        <v>0</v>
      </c>
      <c r="CM149" s="358">
        <f>_xlfn.IFNA((VLOOKUP($A149,HN!$A:$BS,15,FALSE)/12),0)</f>
        <v>0</v>
      </c>
      <c r="CN149" s="357">
        <f t="shared" si="153"/>
        <v>-847.59999999999991</v>
      </c>
      <c r="CO149" s="357">
        <f t="shared" si="154"/>
        <v>-3003.3150000000001</v>
      </c>
      <c r="CP149" s="358">
        <f>_xlfn.IFNA(VLOOKUP(A149,'LA Deductions'!A:W,23,FALSE),0)</f>
        <v>-9471</v>
      </c>
      <c r="CQ149" s="358">
        <f>_xlfn.IFNA(VLOOKUP($A149,'Cash Advances'!$A:$S,13,FALSE),0)</f>
        <v>0</v>
      </c>
      <c r="CR149" s="358">
        <f>_xlfn.IFNA(VLOOKUP(A149,'LA Deductions'!A:AZ,25,FALSE),0)/9*3</f>
        <v>0</v>
      </c>
      <c r="CS149" s="357">
        <f t="shared" si="173"/>
        <v>219843.14673691886</v>
      </c>
      <c r="CT149" s="337">
        <f t="shared" si="155"/>
        <v>209081.37805270834</v>
      </c>
      <c r="CU149" s="337"/>
      <c r="CV149" s="338">
        <f>_xlfn.IFNA(VLOOKUP(A149,'LA Deductions'!$A$6:$AN$207,34,FALSE),0)</f>
        <v>0</v>
      </c>
      <c r="CW149" s="338">
        <f>_xlfn.IFNA((VLOOKUP($A149,HN!$A:$K,8,FALSE)/12),0)</f>
        <v>0</v>
      </c>
      <c r="CX149" s="338">
        <f>_xlfn.IFNA((VLOOKUP($A149,HN!$A:$BS,14,FALSE)/12),0)</f>
        <v>0</v>
      </c>
      <c r="CY149" s="338">
        <f>_xlfn.IFNA(VLOOKUP($A149,'Post 16'!$A:$AV,32,FALSE),0)/8</f>
        <v>0</v>
      </c>
      <c r="CZ149" s="338"/>
      <c r="DA149" s="338">
        <f>_xlfn.IFNA((VLOOKUP($A149,HN!$A:$K,9,FALSE)/12),0)+_xlfn.IFNA((VLOOKUP($A149,HN!$A:$K,10,FALSE)/12),0)</f>
        <v>0</v>
      </c>
      <c r="DB149" s="338">
        <f>_xlfn.IFNA((VLOOKUP($A149,HN!$A:$BS,15,FALSE)/12),0)</f>
        <v>0</v>
      </c>
      <c r="DC149" s="337">
        <f t="shared" si="156"/>
        <v>-847.59999999999991</v>
      </c>
      <c r="DD149" s="337">
        <f t="shared" si="157"/>
        <v>-3003.3150000000001</v>
      </c>
      <c r="DE149" s="338"/>
      <c r="DF149" s="338">
        <f>_xlfn.IFNA(VLOOKUP($A149,'Cash Advances'!$A:$S,14,FALSE),0)</f>
        <v>0</v>
      </c>
      <c r="DG149" s="338">
        <f>(_xlfn.IFNA(VLOOKUP(A149,'LA Deductions'!A:AZ,25,FALSE),0)/9)+(_xlfn.IFNA(VLOOKUP(A149,'LA Deductions'!A:AZ,26,FALSE),0))</f>
        <v>0</v>
      </c>
      <c r="DH149" s="337">
        <f t="shared" si="174"/>
        <v>205230.46305270834</v>
      </c>
      <c r="DI149" s="330">
        <f t="shared" si="158"/>
        <v>209081.37805270834</v>
      </c>
      <c r="DJ149" s="330"/>
      <c r="DK149" s="331"/>
      <c r="DL149" s="331">
        <f>_xlfn.IFNA((VLOOKUP($A149,HN!$A:$K,8,FALSE)/12),0)+_xlfn.IFNA((VLOOKUP($A149,HN!$A:$AF,32,FALSE)*8/12),0)</f>
        <v>0</v>
      </c>
      <c r="DM149" s="331">
        <f>_xlfn.IFNA((VLOOKUP($A149,HN!$A:$BS,14,FALSE)/12),0)+_xlfn.IFNA(VLOOKUP($A149,HN!$A:$BS,31,FALSE),0)</f>
        <v>0</v>
      </c>
      <c r="DN149" s="331">
        <f>_xlfn.IFNA(VLOOKUP($A149,'Post 16'!$A:$AV,32,FALSE),0)/8</f>
        <v>0</v>
      </c>
      <c r="DO149" s="331"/>
      <c r="DP149" s="331">
        <f>_xlfn.IFNA((VLOOKUP($A149,HN!$A:$K,9,FALSE)/12),0)+_xlfn.IFNA((VLOOKUP($A149,HN!$A:$K,10,FALSE)/12),0)+_xlfn.IFNA((VLOOKUP($A149,HN!$A:$BZ,33,FALSE)*8/12),0)</f>
        <v>0</v>
      </c>
      <c r="DQ149" s="331">
        <f>_xlfn.IFNA((VLOOKUP($A149,HN!$A:$BS,15,FALSE)/12),0)</f>
        <v>0</v>
      </c>
      <c r="DR149" s="330">
        <f t="shared" si="159"/>
        <v>-847.59999999999991</v>
      </c>
      <c r="DS149" s="330">
        <f t="shared" si="160"/>
        <v>-3003.3150000000001</v>
      </c>
      <c r="DT149" s="331"/>
      <c r="DU149" s="331"/>
      <c r="DV149" s="331">
        <f>(_xlfn.IFNA(VLOOKUP(A149,'LA Deductions'!A:AZ,25,FALSE),0)/9)+_xlfn.IFNA(VLOOKUP(A149,'LA Deductions'!A:AZ,27,FALSE),0)</f>
        <v>0</v>
      </c>
      <c r="DW149" s="330">
        <f t="shared" si="175"/>
        <v>205230.46305270834</v>
      </c>
      <c r="DX149" s="344">
        <f t="shared" si="161"/>
        <v>209081.37805270834</v>
      </c>
      <c r="DY149" s="344"/>
      <c r="DZ149" s="345"/>
      <c r="EA149" s="345">
        <f>_xlfn.IFNA((VLOOKUP($A149,HN!$A:$K,8,FALSE)/12),0)+_xlfn.IFNA((VLOOKUP($A149,HN!$A:$AF,32,FALSE)*1/12),0)</f>
        <v>0</v>
      </c>
      <c r="EB149" s="345">
        <f>_xlfn.IFNA((VLOOKUP($A149,HN!$A:$BS,14,FALSE)/12),0)</f>
        <v>0</v>
      </c>
      <c r="EC149" s="345">
        <f>_xlfn.IFNA(VLOOKUP($A149,'Post 16'!$A:$AV,32,FALSE),0)/8</f>
        <v>0</v>
      </c>
      <c r="ED149" s="345"/>
      <c r="EE149" s="345">
        <f>_xlfn.IFNA((VLOOKUP($A149,HN!$A:$K,9,FALSE)/12),0)+_xlfn.IFNA((VLOOKUP($A149,HN!$A:$K,10,FALSE)/12),0)+_xlfn.IFNA((VLOOKUP($A149,HN!$A:$BZ,33,FALSE)/12),0)</f>
        <v>0</v>
      </c>
      <c r="EF149" s="345">
        <f>_xlfn.IFNA((VLOOKUP($A149,HN!$A:$BS,15,FALSE)/12),0)</f>
        <v>0</v>
      </c>
      <c r="EG149" s="344">
        <f t="shared" si="162"/>
        <v>-847.59999999999991</v>
      </c>
      <c r="EH149" s="344">
        <f t="shared" si="163"/>
        <v>-3003.3150000000001</v>
      </c>
      <c r="EI149" s="345"/>
      <c r="EJ149" s="345">
        <f>_xlfn.IFNA(VLOOKUP(A149,'Cash Advances'!A:P,16,FALSE),0)</f>
        <v>0</v>
      </c>
      <c r="EK149" s="345">
        <f>_xlfn.IFNA(VLOOKUP(A149,'LA Deductions'!A:AZ,25,FALSE),0)/9</f>
        <v>0</v>
      </c>
      <c r="EL149" s="344">
        <f t="shared" si="176"/>
        <v>205230.46305270834</v>
      </c>
      <c r="EM149" s="308">
        <f t="shared" si="164"/>
        <v>209081.37805270834</v>
      </c>
      <c r="EN149" s="308">
        <f>((VLOOKUP($A149,EY!$A:$BS,35,FALSE)-(VLOOKUP($A149,EY!$A:$BS,33,FALSE)*80%))+VLOOKUP($A149,EY!$A:$BS,43,FALSE))+(VLOOKUP(A149,EY!A:DF,110,FALSE)-VLOOKUP(A149,EY!A:DD,108,FALSE))+(VLOOKUP(A149,EY!A:CE,83,FALSE)-VLOOKUP(A149,EY!A:CC,81,FALSE))</f>
        <v>50426.575180055399</v>
      </c>
      <c r="EO149" s="309"/>
      <c r="EP149" s="309">
        <f>_xlfn.IFNA((VLOOKUP($A149,HN!$A:$K,8,FALSE)/12),0)+_xlfn.IFNA((VLOOKUP($A149,HN!$A:$AF,32,FALSE)*1/12),0)</f>
        <v>0</v>
      </c>
      <c r="EQ149" s="309">
        <f>_xlfn.IFNA((VLOOKUP($A149,HN!$A:$BS,14,FALSE)/12),0)+_xlfn.IFNA((VLOOKUP($A149,HN!$A:$BS,34,FALSE)/3),0)</f>
        <v>0</v>
      </c>
      <c r="ER149" s="309">
        <f>_xlfn.IFNA(VLOOKUP($A149,'Post 16'!$A:$AV,32,FALSE),0)/8</f>
        <v>0</v>
      </c>
      <c r="ES149" s="309">
        <f>((VLOOKUP($A149,EY!A:EV,33,FALSE)*80%))+VLOOKUP(A149,EY!A:DD,108,FALSE)+VLOOKUP(A149,EY!A:CC,81,FALSE)</f>
        <v>0</v>
      </c>
      <c r="ET149" s="309">
        <f>_xlfn.IFNA((VLOOKUP($A149,HN!$A:$K,9,FALSE)/12),0)+_xlfn.IFNA((VLOOKUP($A149,HN!$A:$K,10,FALSE)/12),0)+_xlfn.IFNA((VLOOKUP($A149,HN!$A:$BZ,33,FALSE)/12),0)</f>
        <v>0</v>
      </c>
      <c r="EU149" s="309">
        <f>_xlfn.IFNA((VLOOKUP($A149,HN!$A:$BS,15,FALSE)/12),0)</f>
        <v>0</v>
      </c>
      <c r="EV149" s="308">
        <f t="shared" si="165"/>
        <v>-847.59999999999991</v>
      </c>
      <c r="EW149" s="308">
        <f t="shared" si="166"/>
        <v>-3003.3150000000001</v>
      </c>
      <c r="EX149" s="309"/>
      <c r="EY149" s="309">
        <f>_xlfn.IFNA(VLOOKUP($A149,'Cash Advances'!$A:$S,17,FALSE),0)</f>
        <v>0</v>
      </c>
      <c r="EZ149" s="309">
        <f>_xlfn.IFNA(VLOOKUP(A149,'LA Deductions'!A:AZ,25,FALSE),0)/9</f>
        <v>0</v>
      </c>
      <c r="FA149" s="308">
        <f t="shared" si="177"/>
        <v>255657.03823276373</v>
      </c>
      <c r="FB149" s="315">
        <f t="shared" si="167"/>
        <v>209081.37805270834</v>
      </c>
      <c r="FC149" s="315"/>
      <c r="FD149" s="316"/>
      <c r="FE149" s="316">
        <f>_xlfn.IFNA((VLOOKUP($A149,HN!$A:$K,8,FALSE)/12),0)+_xlfn.IFNA((VLOOKUP($A149,HN!$A:$AF,32,FALSE)*1/12),0)</f>
        <v>0</v>
      </c>
      <c r="FF149" s="316">
        <f>_xlfn.IFNA((VLOOKUP($A149,HN!$A:$BS,14,FALSE)/12),0)+_xlfn.IFNA((VLOOKUP($A149,HN!$A:$BS,34,FALSE)/3),0)</f>
        <v>0</v>
      </c>
      <c r="FG149" s="316">
        <f>_xlfn.IFNA(VLOOKUP($A149,'Post 16'!$A:$AV,32,FALSE),0)/8</f>
        <v>0</v>
      </c>
      <c r="FH149" s="316"/>
      <c r="FI149" s="316">
        <f>_xlfn.IFNA((VLOOKUP($A149,HN!$A:$K,9,FALSE)/12),0)+_xlfn.IFNA((VLOOKUP($A149,HN!$A:$K,10,FALSE)/12),0)+_xlfn.IFNA((VLOOKUP($A149,HN!$A:$BZ,33,FALSE)/12),0)+_xlfn.IFNA((VLOOKUP($A149,HN!$A:$BZ,35,FALSE)/2),0)</f>
        <v>0</v>
      </c>
      <c r="FJ149" s="316">
        <f>_xlfn.IFNA((VLOOKUP($A149,HN!$A:$BS,15,FALSE)/12),0)+_xlfn.IFNA((VLOOKUP($A149,HN!$A:$CZ,36,FALSE)/2),0)</f>
        <v>0</v>
      </c>
      <c r="FK149" s="315">
        <f t="shared" si="168"/>
        <v>-847.59999999999991</v>
      </c>
      <c r="FL149" s="315">
        <f t="shared" si="169"/>
        <v>-3003.3150000000001</v>
      </c>
      <c r="FM149" s="316"/>
      <c r="FN149" s="316">
        <f>_xlfn.IFNA(VLOOKUP($A149,'Cash Advances'!$A:$S,18,FALSE),0)</f>
        <v>0</v>
      </c>
      <c r="FO149" s="316">
        <f>_xlfn.IFNA(VLOOKUP(A149,'LA Deductions'!A:AZ,25,FALSE),0)/9</f>
        <v>0</v>
      </c>
      <c r="FP149" s="315">
        <f t="shared" si="178"/>
        <v>205230.46305270834</v>
      </c>
      <c r="FQ149" s="322">
        <f t="shared" si="170"/>
        <v>209081.37805270834</v>
      </c>
      <c r="FR149" s="322"/>
      <c r="FS149" s="323"/>
      <c r="FT149" s="323">
        <f>_xlfn.IFNA((VLOOKUP($A149,HN!$A:$K,8,FALSE)/12),0)+_xlfn.IFNA((VLOOKUP($A149,HN!$A:$AF,32,FALSE)*1/12),0)</f>
        <v>0</v>
      </c>
      <c r="FU149" s="323">
        <f>_xlfn.IFNA((VLOOKUP($A149,HN!$A:$BS,14,FALSE)/12),0)+_xlfn.IFNA((VLOOKUP($A149,HN!$A:$BS,34,FALSE)/3),0)</f>
        <v>0</v>
      </c>
      <c r="FV149" s="323">
        <f>_xlfn.IFNA(VLOOKUP($A149,'Post 16'!$A:$AV,32,FALSE),0)/8</f>
        <v>0</v>
      </c>
      <c r="FW149" s="323"/>
      <c r="FX149" s="323">
        <f>_xlfn.IFNA((VLOOKUP($A149,HN!$A:$K,9,FALSE)/12),0)+_xlfn.IFNA((VLOOKUP($A149,HN!$A:$K,10,FALSE)/12),0)+_xlfn.IFNA((VLOOKUP($A149,HN!$A:$BZ,33,FALSE)/12),0)+_xlfn.IFNA((VLOOKUP($A149,HN!$A:$BZ,35,FALSE)/2),0)</f>
        <v>0</v>
      </c>
      <c r="FY149" s="323">
        <f>_xlfn.IFNA((VLOOKUP($A149,HN!$A:$BS,15,FALSE)/12),0)+_xlfn.IFNA((VLOOKUP($A149,HN!$A:$CZ,36,FALSE)/2),0)</f>
        <v>0</v>
      </c>
      <c r="FZ149" s="322">
        <f t="shared" si="171"/>
        <v>-847.59999999999991</v>
      </c>
      <c r="GA149" s="322">
        <f t="shared" si="172"/>
        <v>-3003.3150000000001</v>
      </c>
      <c r="GB149" s="323"/>
      <c r="GC149" s="323"/>
      <c r="GD149" s="323">
        <f>_xlfn.IFNA(VLOOKUP(A149,'LA Deductions'!A:AZ,25,FALSE),0)/9</f>
        <v>0</v>
      </c>
      <c r="GE149" s="322">
        <f t="shared" si="179"/>
        <v>205230.46305270834</v>
      </c>
      <c r="GG149" s="146">
        <f t="shared" si="182"/>
        <v>2634707.0418125554</v>
      </c>
      <c r="GH149" s="146">
        <f t="shared" si="182"/>
        <v>0</v>
      </c>
      <c r="GI149" s="146">
        <f t="shared" si="182"/>
        <v>0</v>
      </c>
      <c r="GJ149" s="146">
        <f t="shared" si="182"/>
        <v>-10171.200000000003</v>
      </c>
      <c r="GK149" s="146">
        <f t="shared" si="182"/>
        <v>-36039.78</v>
      </c>
      <c r="GL149" s="146">
        <f t="shared" si="182"/>
        <v>-9471</v>
      </c>
      <c r="GN149" s="146">
        <f t="shared" si="183"/>
        <v>2634707.0418125554</v>
      </c>
      <c r="GO149" s="146">
        <f t="shared" si="183"/>
        <v>0</v>
      </c>
      <c r="GP149" s="146">
        <f t="shared" si="183"/>
        <v>0</v>
      </c>
      <c r="GQ149" s="146">
        <f t="shared" si="183"/>
        <v>-10171.200000000003</v>
      </c>
      <c r="GR149" s="146">
        <f t="shared" si="183"/>
        <v>-36039.78</v>
      </c>
      <c r="GS149" s="146">
        <f t="shared" si="183"/>
        <v>-9471</v>
      </c>
      <c r="GU149" s="146"/>
      <c r="GV149" s="57"/>
    </row>
    <row r="150" spans="1:204">
      <c r="A150" s="185">
        <v>2245</v>
      </c>
      <c r="B150" s="185">
        <v>103295</v>
      </c>
      <c r="C150" s="185" t="s">
        <v>326</v>
      </c>
      <c r="D150" s="2" t="s">
        <v>327</v>
      </c>
      <c r="E150" s="191" t="s">
        <v>32</v>
      </c>
      <c r="F150" s="191" t="s">
        <v>912</v>
      </c>
      <c r="H150" s="279">
        <f>_xlfn.IFNA(VLOOKUP($A150,ISB!$A$4:$BY$454,67,FALSE),0)</f>
        <v>1529104.9678</v>
      </c>
      <c r="I150" s="279">
        <f>_xlfn.IFNA(VLOOKUP($A150,ISB!$A$4:$BY$454,72,FALSE),0)</f>
        <v>-5502.8799999999992</v>
      </c>
      <c r="J150" s="279">
        <f>-_xlfn.IFNA(VLOOKUP($A150,ISB!$A$4:$BY$454,76,FALSE),0)</f>
        <v>-18595.43</v>
      </c>
      <c r="K150" s="279">
        <f>_xlfn.IFNA(VLOOKUP($A150,ISB!$A$4:$BY$454,77,FALSE),0)</f>
        <v>1505006.6578000002</v>
      </c>
      <c r="M150" s="301">
        <f t="shared" si="137"/>
        <v>127425.41398333333</v>
      </c>
      <c r="N150" s="301">
        <f>VLOOKUP($A150,EY!$A:$H,8,FALSE)+(VLOOKUP($A150,EY!$A:$BS,17,FALSE)-S150)+VLOOKUP($A150,EY!$A:$BS,41,FALSE)</f>
        <v>27294.444210526315</v>
      </c>
      <c r="O150" s="302"/>
      <c r="P150" s="302">
        <f>_xlfn.IFNA((VLOOKUP($A150,HN!$A:$K,8,FALSE)/12),0)</f>
        <v>0</v>
      </c>
      <c r="Q150" s="302">
        <f>_xlfn.IFNA((VLOOKUP($A150,HN!$A:$BS,14,FALSE)/12),0)</f>
        <v>6000</v>
      </c>
      <c r="R150" s="302">
        <f>_xlfn.IFNA(VLOOKUP($A150,'Post 16'!$A:$V,21,FALSE),0)/4</f>
        <v>0</v>
      </c>
      <c r="S150" s="302">
        <f>VLOOKUP($A150,EY!A:Q,15,FALSE)*80%</f>
        <v>0</v>
      </c>
      <c r="T150" s="302">
        <f>_xlfn.IFNA((VLOOKUP($A150,HN!$A:$K,9,FALSE)/12),0)+_xlfn.IFNA((VLOOKUP($A150,HN!$A:$K,10,FALSE)/12),0)</f>
        <v>0</v>
      </c>
      <c r="U150" s="302">
        <f>_xlfn.IFNA((VLOOKUP($A150,HN!$A:$BS,15,FALSE)/12),0)</f>
        <v>10857.008333333331</v>
      </c>
      <c r="V150" s="301">
        <f t="shared" si="138"/>
        <v>-458.57333333333327</v>
      </c>
      <c r="W150" s="301">
        <f t="shared" si="139"/>
        <v>-1549.6191666666666</v>
      </c>
      <c r="X150" s="302"/>
      <c r="Y150" s="302">
        <f>_xlfn.IFNA(VLOOKUP($A150,'Cash Advances'!$A:$S,8,FALSE),0)</f>
        <v>0</v>
      </c>
      <c r="Z150" s="301">
        <f t="shared" si="132"/>
        <v>169568.67402719296</v>
      </c>
      <c r="AA150" s="315">
        <f t="shared" si="140"/>
        <v>127425.41398333333</v>
      </c>
      <c r="AB150" s="315"/>
      <c r="AC150" s="316"/>
      <c r="AD150" s="316">
        <f>_xlfn.IFNA((VLOOKUP($A150,HN!$A:$K,8,FALSE)/12),0)</f>
        <v>0</v>
      </c>
      <c r="AE150" s="316">
        <f>_xlfn.IFNA((VLOOKUP($A150,HN!$A:$BS,14,FALSE)/12),0)</f>
        <v>6000</v>
      </c>
      <c r="AF150" s="316">
        <f>_xlfn.IFNA(VLOOKUP($A150,'Post 16'!$A:$V,21,FALSE),0)/4</f>
        <v>0</v>
      </c>
      <c r="AG150" s="316"/>
      <c r="AH150" s="316">
        <f>_xlfn.IFNA((VLOOKUP($A150,HN!$A:$K,9,FALSE)/12),0)+_xlfn.IFNA((VLOOKUP($A150,HN!$A:$K,10,FALSE)/12),0)</f>
        <v>0</v>
      </c>
      <c r="AI150" s="316">
        <f>_xlfn.IFNA((VLOOKUP($A150,HN!$A:$BS,15,FALSE)/12),0)</f>
        <v>10857.008333333331</v>
      </c>
      <c r="AJ150" s="315">
        <f t="shared" si="141"/>
        <v>-458.57333333333327</v>
      </c>
      <c r="AK150" s="315">
        <f t="shared" si="142"/>
        <v>-1549.6191666666666</v>
      </c>
      <c r="AL150" s="316"/>
      <c r="AM150" s="316">
        <f>_xlfn.IFNA(VLOOKUP($A150,'Cash Advances'!$A:$S,9,FALSE),0)</f>
        <v>0</v>
      </c>
      <c r="AN150" s="315">
        <f t="shared" si="133"/>
        <v>142274.22981666666</v>
      </c>
      <c r="AO150" s="308">
        <f t="shared" si="143"/>
        <v>127425.41398333333</v>
      </c>
      <c r="AP150" s="308"/>
      <c r="AQ150" s="309"/>
      <c r="AR150" s="309">
        <f>_xlfn.IFNA((VLOOKUP($A150,HN!$A:$K,8,FALSE)/12),0)</f>
        <v>0</v>
      </c>
      <c r="AS150" s="309">
        <f>_xlfn.IFNA((VLOOKUP($A150,HN!$A:$BS,14,FALSE)/12),0)</f>
        <v>6000</v>
      </c>
      <c r="AT150" s="309">
        <f>_xlfn.IFNA(VLOOKUP($A150,'Post 16'!$A:$V,21,FALSE),0)/4</f>
        <v>0</v>
      </c>
      <c r="AU150" s="309"/>
      <c r="AV150" s="309">
        <f>_xlfn.IFNA((VLOOKUP($A150,HN!$A:$K,9,FALSE)/12),0)+_xlfn.IFNA((VLOOKUP($A150,HN!$A:$K,10,FALSE)/12),0)+_xlfn.IFNA(VLOOKUP(A150,HN!A:V,19,FALSE),0)+_xlfn.IFNA(VLOOKUP(A150,HN!A:V,20,FALSE),0)+_xlfn.IFNA(VLOOKUP(A150,HN!A:V,21,FALSE),0)</f>
        <v>0</v>
      </c>
      <c r="AW150" s="309">
        <f>_xlfn.IFNA((VLOOKUP($A150,HN!$A:$BS,15,FALSE)/12),0)</f>
        <v>10857.008333333331</v>
      </c>
      <c r="AX150" s="308">
        <f t="shared" si="144"/>
        <v>-458.57333333333327</v>
      </c>
      <c r="AY150" s="308">
        <f t="shared" si="145"/>
        <v>-1549.6191666666666</v>
      </c>
      <c r="AZ150" s="309"/>
      <c r="BA150" s="309">
        <f>_xlfn.IFNA(VLOOKUP($A150,'Cash Advances'!$A:$S,10,FALSE),0)</f>
        <v>0</v>
      </c>
      <c r="BB150" s="308">
        <f t="shared" si="134"/>
        <v>142274.22981666666</v>
      </c>
      <c r="BC150" s="330">
        <f t="shared" si="146"/>
        <v>127425.41398333333</v>
      </c>
      <c r="BD150" s="330"/>
      <c r="BE150" s="331"/>
      <c r="BF150" s="331">
        <f>_xlfn.IFNA((VLOOKUP($A150,HN!$A:$K,8,FALSE)/12),0)</f>
        <v>0</v>
      </c>
      <c r="BG150" s="331">
        <f>_xlfn.IFNA((VLOOKUP($A150,HN!$A:$BS,14,FALSE)/12),0)</f>
        <v>6000</v>
      </c>
      <c r="BH150" s="331">
        <f>_xlfn.IFNA(VLOOKUP($A150,'Post 16'!$A:$V,21,FALSE),0)/4</f>
        <v>0</v>
      </c>
      <c r="BI150" s="331"/>
      <c r="BJ150" s="331">
        <f>_xlfn.IFNA((VLOOKUP($A150,HN!$A:$K,9,FALSE)/12),0)+_xlfn.IFNA((VLOOKUP($A150,HN!$A:$K,10,FALSE)/12),0)</f>
        <v>0</v>
      </c>
      <c r="BK150" s="331">
        <f>_xlfn.IFNA((VLOOKUP($A150,HN!$A:$BS,15,FALSE)/12),0)</f>
        <v>10857.008333333331</v>
      </c>
      <c r="BL150" s="330">
        <f t="shared" si="147"/>
        <v>-458.57333333333327</v>
      </c>
      <c r="BM150" s="330">
        <f t="shared" si="148"/>
        <v>-1549.6191666666666</v>
      </c>
      <c r="BN150" s="331"/>
      <c r="BO150" s="331">
        <f>_xlfn.IFNA(VLOOKUP(A150,'Cash Advances'!A:K,11,FALSE),0)</f>
        <v>0</v>
      </c>
      <c r="BP150" s="330">
        <f t="shared" si="135"/>
        <v>142274.22981666666</v>
      </c>
      <c r="BQ150" s="322">
        <f t="shared" si="149"/>
        <v>127425.41398333333</v>
      </c>
      <c r="BR150" s="322"/>
      <c r="BS150" s="323"/>
      <c r="BT150" s="323">
        <f>_xlfn.IFNA((VLOOKUP($A150,HN!$A:$K,8,FALSE)/12),0)</f>
        <v>0</v>
      </c>
      <c r="BU150" s="323">
        <f>_xlfn.IFNA((VLOOKUP($A150,HN!$A:$BS,14,FALSE)/12),0)</f>
        <v>6000</v>
      </c>
      <c r="BV150" s="323">
        <f>(_xlfn.IFNA(VLOOKUP($A150,'Post 16'!$A:$AV,32,FALSE),0)/8)+_xlfn.IFNA(VLOOKUP($A150,'Post 16'!$A:$AR,40,FALSE),0)</f>
        <v>0</v>
      </c>
      <c r="BW150" s="323"/>
      <c r="BX150" s="323">
        <f>_xlfn.IFNA((VLOOKUP($A150,HN!$A:$K,9,FALSE)/12),0)+_xlfn.IFNA((VLOOKUP($A150,HN!$A:$K,10,FALSE)/12),0)</f>
        <v>0</v>
      </c>
      <c r="BY150" s="323">
        <f>_xlfn.IFNA((VLOOKUP($A150,HN!$A:$BS,15,FALSE)/12),0)</f>
        <v>10857.008333333331</v>
      </c>
      <c r="BZ150" s="322">
        <f t="shared" si="150"/>
        <v>-458.57333333333327</v>
      </c>
      <c r="CA150" s="322">
        <f t="shared" si="151"/>
        <v>-1549.6191666666666</v>
      </c>
      <c r="CB150" s="323"/>
      <c r="CC150" s="323"/>
      <c r="CD150" s="322">
        <f t="shared" si="136"/>
        <v>142274.22981666666</v>
      </c>
      <c r="CE150" s="357">
        <f t="shared" si="152"/>
        <v>127425.41398333333</v>
      </c>
      <c r="CF150" s="357">
        <f>(VLOOKUP($A150,EY!$A:$BS,26,FALSE)-(VLOOKUP($A150,EY!A:CR,24,FALSE)*80%))+VLOOKUP($A150,EY!$A:$BS,42,FALSE)+(VLOOKUP($A150,EY!A:CC,74,FALSE)-VLOOKUP($A150,EY!A:CC,72,FALSE))</f>
        <v>19952.947368421053</v>
      </c>
      <c r="CG150" s="358"/>
      <c r="CH150" s="358">
        <f>_xlfn.IFNA((VLOOKUP($A150,HN!$A:$K,8,FALSE)/12),0)</f>
        <v>0</v>
      </c>
      <c r="CI150" s="358">
        <f>_xlfn.IFNA((VLOOKUP($A150,HN!$A:$BS,14,FALSE)/12),0)</f>
        <v>6000</v>
      </c>
      <c r="CJ150" s="358">
        <f>(_xlfn.IFNA(VLOOKUP($A150,'Post 16'!$A:$AV,32,FALSE),0)/8)</f>
        <v>0</v>
      </c>
      <c r="CK150" s="358">
        <f>(VLOOKUP($A150,EY!A:CR,24,FALSE)*80%)+VLOOKUP($A150,EY!A:CC,72,FALSE)</f>
        <v>0</v>
      </c>
      <c r="CL150" s="358">
        <f>_xlfn.IFNA((VLOOKUP($A150,HN!$A:$K,9,FALSE)/12),0)+_xlfn.IFNA((VLOOKUP($A150,HN!$A:$K,10,FALSE)/12),0)</f>
        <v>0</v>
      </c>
      <c r="CM150" s="358">
        <f>_xlfn.IFNA((VLOOKUP($A150,HN!$A:$BS,15,FALSE)/12),0)</f>
        <v>10857.008333333331</v>
      </c>
      <c r="CN150" s="357">
        <f t="shared" si="153"/>
        <v>-458.57333333333327</v>
      </c>
      <c r="CO150" s="357">
        <f t="shared" si="154"/>
        <v>-1549.6191666666666</v>
      </c>
      <c r="CP150" s="358">
        <f>_xlfn.IFNA(VLOOKUP(A150,'LA Deductions'!A:W,23,FALSE),0)</f>
        <v>-5139.75</v>
      </c>
      <c r="CQ150" s="358">
        <f>_xlfn.IFNA(VLOOKUP($A150,'Cash Advances'!$A:$S,13,FALSE),0)</f>
        <v>0</v>
      </c>
      <c r="CR150" s="358">
        <f>_xlfn.IFNA(VLOOKUP(A150,'LA Deductions'!A:AZ,25,FALSE),0)/9*3</f>
        <v>0</v>
      </c>
      <c r="CS150" s="357">
        <f t="shared" si="173"/>
        <v>157087.42718508773</v>
      </c>
      <c r="CT150" s="337">
        <f t="shared" si="155"/>
        <v>127425.41398333333</v>
      </c>
      <c r="CU150" s="337"/>
      <c r="CV150" s="338">
        <f>_xlfn.IFNA(VLOOKUP(A150,'LA Deductions'!$A$6:$AN$207,34,FALSE),0)</f>
        <v>0</v>
      </c>
      <c r="CW150" s="338">
        <f>_xlfn.IFNA((VLOOKUP($A150,HN!$A:$K,8,FALSE)/12),0)</f>
        <v>0</v>
      </c>
      <c r="CX150" s="338">
        <f>_xlfn.IFNA((VLOOKUP($A150,HN!$A:$BS,14,FALSE)/12),0)</f>
        <v>6000</v>
      </c>
      <c r="CY150" s="338">
        <f>_xlfn.IFNA(VLOOKUP($A150,'Post 16'!$A:$AV,32,FALSE),0)/8</f>
        <v>0</v>
      </c>
      <c r="CZ150" s="338"/>
      <c r="DA150" s="338">
        <f>_xlfn.IFNA((VLOOKUP($A150,HN!$A:$K,9,FALSE)/12),0)+_xlfn.IFNA((VLOOKUP($A150,HN!$A:$K,10,FALSE)/12),0)</f>
        <v>0</v>
      </c>
      <c r="DB150" s="338">
        <f>_xlfn.IFNA((VLOOKUP($A150,HN!$A:$BS,15,FALSE)/12),0)</f>
        <v>10857.008333333331</v>
      </c>
      <c r="DC150" s="337">
        <f t="shared" si="156"/>
        <v>-458.57333333333327</v>
      </c>
      <c r="DD150" s="337">
        <f t="shared" si="157"/>
        <v>-1549.6191666666666</v>
      </c>
      <c r="DE150" s="338"/>
      <c r="DF150" s="338">
        <f>_xlfn.IFNA(VLOOKUP($A150,'Cash Advances'!$A:$S,14,FALSE),0)</f>
        <v>0</v>
      </c>
      <c r="DG150" s="338">
        <f>(_xlfn.IFNA(VLOOKUP(A150,'LA Deductions'!A:AZ,25,FALSE),0)/9)+(_xlfn.IFNA(VLOOKUP(A150,'LA Deductions'!A:AZ,26,FALSE),0))</f>
        <v>0</v>
      </c>
      <c r="DH150" s="337">
        <f t="shared" si="174"/>
        <v>142274.22981666666</v>
      </c>
      <c r="DI150" s="330">
        <f t="shared" si="158"/>
        <v>127425.41398333333</v>
      </c>
      <c r="DJ150" s="330"/>
      <c r="DK150" s="331"/>
      <c r="DL150" s="331">
        <f>_xlfn.IFNA((VLOOKUP($A150,HN!$A:$K,8,FALSE)/12),0)+_xlfn.IFNA((VLOOKUP($A150,HN!$A:$AF,32,FALSE)*8/12),0)</f>
        <v>0</v>
      </c>
      <c r="DM150" s="331">
        <f>_xlfn.IFNA((VLOOKUP($A150,HN!$A:$BS,14,FALSE)/12),0)+_xlfn.IFNA(VLOOKUP($A150,HN!$A:$BS,31,FALSE),0)</f>
        <v>6000</v>
      </c>
      <c r="DN150" s="331">
        <f>_xlfn.IFNA(VLOOKUP($A150,'Post 16'!$A:$AV,32,FALSE),0)/8</f>
        <v>0</v>
      </c>
      <c r="DO150" s="331"/>
      <c r="DP150" s="331">
        <f>_xlfn.IFNA((VLOOKUP($A150,HN!$A:$K,9,FALSE)/12),0)+_xlfn.IFNA((VLOOKUP($A150,HN!$A:$K,10,FALSE)/12),0)+_xlfn.IFNA((VLOOKUP($A150,HN!$A:$BZ,33,FALSE)*8/12),0)</f>
        <v>0</v>
      </c>
      <c r="DQ150" s="331">
        <f>_xlfn.IFNA((VLOOKUP($A150,HN!$A:$BS,15,FALSE)/12),0)</f>
        <v>10857.008333333331</v>
      </c>
      <c r="DR150" s="330">
        <f t="shared" si="159"/>
        <v>-458.57333333333327</v>
      </c>
      <c r="DS150" s="330">
        <f t="shared" si="160"/>
        <v>-1549.6191666666666</v>
      </c>
      <c r="DT150" s="331"/>
      <c r="DU150" s="331"/>
      <c r="DV150" s="331">
        <f>(_xlfn.IFNA(VLOOKUP(A150,'LA Deductions'!A:AZ,25,FALSE),0)/9)+_xlfn.IFNA(VLOOKUP(A150,'LA Deductions'!A:AZ,27,FALSE),0)</f>
        <v>0</v>
      </c>
      <c r="DW150" s="330">
        <f t="shared" si="175"/>
        <v>142274.22981666666</v>
      </c>
      <c r="DX150" s="344">
        <f t="shared" si="161"/>
        <v>127425.41398333333</v>
      </c>
      <c r="DY150" s="344"/>
      <c r="DZ150" s="345"/>
      <c r="EA150" s="345">
        <f>_xlfn.IFNA((VLOOKUP($A150,HN!$A:$K,8,FALSE)/12),0)+_xlfn.IFNA((VLOOKUP($A150,HN!$A:$AF,32,FALSE)*1/12),0)</f>
        <v>0</v>
      </c>
      <c r="EB150" s="345">
        <f>_xlfn.IFNA((VLOOKUP($A150,HN!$A:$BS,14,FALSE)/12),0)</f>
        <v>6000</v>
      </c>
      <c r="EC150" s="345">
        <f>_xlfn.IFNA(VLOOKUP($A150,'Post 16'!$A:$AV,32,FALSE),0)/8</f>
        <v>0</v>
      </c>
      <c r="ED150" s="345"/>
      <c r="EE150" s="345">
        <f>_xlfn.IFNA((VLOOKUP($A150,HN!$A:$K,9,FALSE)/12),0)+_xlfn.IFNA((VLOOKUP($A150,HN!$A:$K,10,FALSE)/12),0)+_xlfn.IFNA((VLOOKUP($A150,HN!$A:$BZ,33,FALSE)/12),0)</f>
        <v>0</v>
      </c>
      <c r="EF150" s="345">
        <f>_xlfn.IFNA((VLOOKUP($A150,HN!$A:$BS,15,FALSE)/12),0)</f>
        <v>10857.008333333331</v>
      </c>
      <c r="EG150" s="344">
        <f t="shared" si="162"/>
        <v>-458.57333333333327</v>
      </c>
      <c r="EH150" s="344">
        <f t="shared" si="163"/>
        <v>-1549.6191666666666</v>
      </c>
      <c r="EI150" s="345"/>
      <c r="EJ150" s="345">
        <f>_xlfn.IFNA(VLOOKUP(A150,'Cash Advances'!A:P,16,FALSE),0)</f>
        <v>0</v>
      </c>
      <c r="EK150" s="345">
        <f>_xlfn.IFNA(VLOOKUP(A150,'LA Deductions'!A:AZ,25,FALSE),0)/9</f>
        <v>0</v>
      </c>
      <c r="EL150" s="344">
        <f t="shared" si="176"/>
        <v>142274.22981666666</v>
      </c>
      <c r="EM150" s="308">
        <f t="shared" si="164"/>
        <v>127425.41398333333</v>
      </c>
      <c r="EN150" s="308">
        <f>((VLOOKUP($A150,EY!$A:$BS,35,FALSE)-(VLOOKUP($A150,EY!$A:$BS,33,FALSE)*80%))+VLOOKUP($A150,EY!$A:$BS,43,FALSE))+(VLOOKUP(A150,EY!A:DF,110,FALSE)-VLOOKUP(A150,EY!A:DD,108,FALSE))+(VLOOKUP(A150,EY!A:CE,83,FALSE)-VLOOKUP(A150,EY!A:CC,81,FALSE))</f>
        <v>35357.816094182832</v>
      </c>
      <c r="EO150" s="309"/>
      <c r="EP150" s="309">
        <f>_xlfn.IFNA((VLOOKUP($A150,HN!$A:$K,8,FALSE)/12),0)+_xlfn.IFNA((VLOOKUP($A150,HN!$A:$AF,32,FALSE)*1/12),0)</f>
        <v>0</v>
      </c>
      <c r="EQ150" s="309">
        <f>_xlfn.IFNA((VLOOKUP($A150,HN!$A:$BS,14,FALSE)/12),0)+_xlfn.IFNA((VLOOKUP($A150,HN!$A:$BS,34,FALSE)/3),0)</f>
        <v>6000</v>
      </c>
      <c r="ER150" s="309">
        <f>_xlfn.IFNA(VLOOKUP($A150,'Post 16'!$A:$AV,32,FALSE),0)/8</f>
        <v>0</v>
      </c>
      <c r="ES150" s="309">
        <f>((VLOOKUP($A150,EY!A:EV,33,FALSE)*80%))+VLOOKUP(A150,EY!A:DD,108,FALSE)+VLOOKUP(A150,EY!A:CC,81,FALSE)</f>
        <v>0</v>
      </c>
      <c r="ET150" s="309">
        <f>_xlfn.IFNA((VLOOKUP($A150,HN!$A:$K,9,FALSE)/12),0)+_xlfn.IFNA((VLOOKUP($A150,HN!$A:$K,10,FALSE)/12),0)+_xlfn.IFNA((VLOOKUP($A150,HN!$A:$BZ,33,FALSE)/12),0)</f>
        <v>0</v>
      </c>
      <c r="EU150" s="309">
        <f>_xlfn.IFNA((VLOOKUP($A150,HN!$A:$BS,15,FALSE)/12),0)</f>
        <v>10857.008333333331</v>
      </c>
      <c r="EV150" s="308">
        <f t="shared" si="165"/>
        <v>-458.57333333333327</v>
      </c>
      <c r="EW150" s="308">
        <f t="shared" si="166"/>
        <v>-1549.6191666666666</v>
      </c>
      <c r="EX150" s="309"/>
      <c r="EY150" s="309">
        <f>_xlfn.IFNA(VLOOKUP($A150,'Cash Advances'!$A:$S,17,FALSE),0)</f>
        <v>0</v>
      </c>
      <c r="EZ150" s="309">
        <f>_xlfn.IFNA(VLOOKUP(A150,'LA Deductions'!A:AZ,25,FALSE),0)/9</f>
        <v>0</v>
      </c>
      <c r="FA150" s="308">
        <f t="shared" si="177"/>
        <v>177632.0459108495</v>
      </c>
      <c r="FB150" s="315">
        <f t="shared" si="167"/>
        <v>127425.41398333333</v>
      </c>
      <c r="FC150" s="315"/>
      <c r="FD150" s="316"/>
      <c r="FE150" s="316">
        <f>_xlfn.IFNA((VLOOKUP($A150,HN!$A:$K,8,FALSE)/12),0)+_xlfn.IFNA((VLOOKUP($A150,HN!$A:$AF,32,FALSE)*1/12),0)</f>
        <v>0</v>
      </c>
      <c r="FF150" s="316">
        <f>_xlfn.IFNA((VLOOKUP($A150,HN!$A:$BS,14,FALSE)/12),0)+_xlfn.IFNA((VLOOKUP($A150,HN!$A:$BS,34,FALSE)/3),0)</f>
        <v>6000</v>
      </c>
      <c r="FG150" s="316">
        <f>_xlfn.IFNA(VLOOKUP($A150,'Post 16'!$A:$AV,32,FALSE),0)/8</f>
        <v>0</v>
      </c>
      <c r="FH150" s="316"/>
      <c r="FI150" s="316">
        <f>_xlfn.IFNA((VLOOKUP($A150,HN!$A:$K,9,FALSE)/12),0)+_xlfn.IFNA((VLOOKUP($A150,HN!$A:$K,10,FALSE)/12),0)+_xlfn.IFNA((VLOOKUP($A150,HN!$A:$BZ,33,FALSE)/12),0)+_xlfn.IFNA((VLOOKUP($A150,HN!$A:$BZ,35,FALSE)/2),0)</f>
        <v>0</v>
      </c>
      <c r="FJ150" s="316">
        <f>_xlfn.IFNA((VLOOKUP($A150,HN!$A:$BS,15,FALSE)/12),0)+_xlfn.IFNA((VLOOKUP($A150,HN!$A:$CZ,36,FALSE)/2),0)</f>
        <v>565.84333333333052</v>
      </c>
      <c r="FK150" s="315">
        <f t="shared" si="168"/>
        <v>-458.57333333333327</v>
      </c>
      <c r="FL150" s="315">
        <f t="shared" si="169"/>
        <v>-1549.6191666666666</v>
      </c>
      <c r="FM150" s="316"/>
      <c r="FN150" s="316">
        <f>_xlfn.IFNA(VLOOKUP($A150,'Cash Advances'!$A:$S,18,FALSE),0)</f>
        <v>0</v>
      </c>
      <c r="FO150" s="316">
        <f>_xlfn.IFNA(VLOOKUP(A150,'LA Deductions'!A:AZ,25,FALSE),0)/9</f>
        <v>0</v>
      </c>
      <c r="FP150" s="315">
        <f t="shared" si="178"/>
        <v>131983.06481666665</v>
      </c>
      <c r="FQ150" s="322">
        <f t="shared" si="170"/>
        <v>127425.41398333333</v>
      </c>
      <c r="FR150" s="322"/>
      <c r="FS150" s="323"/>
      <c r="FT150" s="323">
        <f>_xlfn.IFNA((VLOOKUP($A150,HN!$A:$K,8,FALSE)/12),0)+_xlfn.IFNA((VLOOKUP($A150,HN!$A:$AF,32,FALSE)*1/12),0)</f>
        <v>0</v>
      </c>
      <c r="FU150" s="323">
        <f>_xlfn.IFNA((VLOOKUP($A150,HN!$A:$BS,14,FALSE)/12),0)+_xlfn.IFNA((VLOOKUP($A150,HN!$A:$BS,34,FALSE)/3),0)</f>
        <v>6000</v>
      </c>
      <c r="FV150" s="323">
        <f>_xlfn.IFNA(VLOOKUP($A150,'Post 16'!$A:$AV,32,FALSE),0)/8</f>
        <v>0</v>
      </c>
      <c r="FW150" s="323"/>
      <c r="FX150" s="323">
        <f>_xlfn.IFNA((VLOOKUP($A150,HN!$A:$K,9,FALSE)/12),0)+_xlfn.IFNA((VLOOKUP($A150,HN!$A:$K,10,FALSE)/12),0)+_xlfn.IFNA((VLOOKUP($A150,HN!$A:$BZ,33,FALSE)/12),0)+_xlfn.IFNA((VLOOKUP($A150,HN!$A:$BZ,35,FALSE)/2),0)</f>
        <v>0</v>
      </c>
      <c r="FY150" s="323">
        <f>_xlfn.IFNA((VLOOKUP($A150,HN!$A:$BS,15,FALSE)/12),0)+_xlfn.IFNA((VLOOKUP($A150,HN!$A:$CZ,36,FALSE)/2),0)</f>
        <v>565.84333333333052</v>
      </c>
      <c r="FZ150" s="322">
        <f t="shared" si="171"/>
        <v>-458.57333333333327</v>
      </c>
      <c r="GA150" s="322">
        <f t="shared" si="172"/>
        <v>-1549.6191666666666</v>
      </c>
      <c r="GB150" s="323"/>
      <c r="GC150" s="323"/>
      <c r="GD150" s="323">
        <f>_xlfn.IFNA(VLOOKUP(A150,'LA Deductions'!A:AZ,25,FALSE),0)/9</f>
        <v>0</v>
      </c>
      <c r="GE150" s="322">
        <f t="shared" si="179"/>
        <v>131983.06481666665</v>
      </c>
      <c r="GG150" s="146">
        <f t="shared" si="182"/>
        <v>1683710.1754731305</v>
      </c>
      <c r="GH150" s="146">
        <f t="shared" si="182"/>
        <v>0</v>
      </c>
      <c r="GI150" s="146">
        <f t="shared" si="182"/>
        <v>109701.76999999996</v>
      </c>
      <c r="GJ150" s="146">
        <f t="shared" si="182"/>
        <v>-5502.880000000001</v>
      </c>
      <c r="GK150" s="146">
        <f t="shared" si="182"/>
        <v>-18595.430000000004</v>
      </c>
      <c r="GL150" s="146">
        <f t="shared" si="182"/>
        <v>-5139.75</v>
      </c>
      <c r="GN150" s="146">
        <f t="shared" si="183"/>
        <v>1683710.1754731305</v>
      </c>
      <c r="GO150" s="146">
        <f t="shared" si="183"/>
        <v>0</v>
      </c>
      <c r="GP150" s="146">
        <f t="shared" si="183"/>
        <v>109701.76999999996</v>
      </c>
      <c r="GQ150" s="146">
        <f t="shared" si="183"/>
        <v>-5502.880000000001</v>
      </c>
      <c r="GR150" s="146">
        <f t="shared" si="183"/>
        <v>-18595.430000000004</v>
      </c>
      <c r="GS150" s="146">
        <f t="shared" si="183"/>
        <v>-5139.75</v>
      </c>
      <c r="GU150" s="146"/>
      <c r="GV150" s="57"/>
    </row>
    <row r="151" spans="1:204">
      <c r="A151" s="185">
        <v>1014</v>
      </c>
      <c r="B151" s="185">
        <v>103127</v>
      </c>
      <c r="C151" s="185" t="s">
        <v>328</v>
      </c>
      <c r="D151" s="2" t="s">
        <v>329</v>
      </c>
      <c r="E151" s="191" t="s">
        <v>29</v>
      </c>
      <c r="F151" s="191" t="s">
        <v>912</v>
      </c>
      <c r="H151" s="279">
        <f>_xlfn.IFNA(VLOOKUP($A151,ISB!$A$4:$BY$454,67,FALSE),0)</f>
        <v>0</v>
      </c>
      <c r="I151" s="279">
        <f>_xlfn.IFNA(VLOOKUP($A151,ISB!$A$4:$BY$454,72,FALSE),0)</f>
        <v>0</v>
      </c>
      <c r="J151" s="279">
        <f>-_xlfn.IFNA(VLOOKUP($A151,ISB!$A$4:$BY$454,76,FALSE),0)</f>
        <v>0</v>
      </c>
      <c r="K151" s="279">
        <f>_xlfn.IFNA(VLOOKUP($A151,ISB!$A$4:$BY$454,77,FALSE),0)</f>
        <v>0</v>
      </c>
      <c r="M151" s="301">
        <f t="shared" si="137"/>
        <v>0</v>
      </c>
      <c r="N151" s="301">
        <f>VLOOKUP($A151,EY!$A:$H,8,FALSE)+(VLOOKUP($A151,EY!$A:$BS,17,FALSE)-S151)+VLOOKUP($A151,EY!$A:$BS,41,FALSE)</f>
        <v>404898.32983456273</v>
      </c>
      <c r="O151" s="302"/>
      <c r="P151" s="302">
        <f>_xlfn.IFNA((VLOOKUP($A151,HN!$A:$K,8,FALSE)/12),0)</f>
        <v>0</v>
      </c>
      <c r="Q151" s="302">
        <f>_xlfn.IFNA((VLOOKUP($A151,HN!$A:$BS,14,FALSE)/12),0)</f>
        <v>0</v>
      </c>
      <c r="R151" s="302">
        <f>_xlfn.IFNA(VLOOKUP($A151,'Post 16'!$A:$V,21,FALSE),0)/4</f>
        <v>0</v>
      </c>
      <c r="S151" s="302">
        <f>VLOOKUP($A151,EY!A:Q,15,FALSE)*80%</f>
        <v>1540.2947368421055</v>
      </c>
      <c r="T151" s="302">
        <f>_xlfn.IFNA((VLOOKUP($A151,HN!$A:$K,9,FALSE)/12),0)+_xlfn.IFNA((VLOOKUP($A151,HN!$A:$K,10,FALSE)/12),0)</f>
        <v>0</v>
      </c>
      <c r="U151" s="302">
        <f>_xlfn.IFNA((VLOOKUP($A151,HN!$A:$BS,15,FALSE)/12),0)</f>
        <v>0</v>
      </c>
      <c r="V151" s="301">
        <f t="shared" si="138"/>
        <v>0</v>
      </c>
      <c r="W151" s="301">
        <f t="shared" si="139"/>
        <v>0</v>
      </c>
      <c r="X151" s="302"/>
      <c r="Y151" s="302">
        <f>_xlfn.IFNA(VLOOKUP($A151,'Cash Advances'!$A:$S,8,FALSE),0)</f>
        <v>0</v>
      </c>
      <c r="Z151" s="301">
        <f t="shared" si="132"/>
        <v>406438.62457140483</v>
      </c>
      <c r="AA151" s="315">
        <f t="shared" si="140"/>
        <v>0</v>
      </c>
      <c r="AB151" s="315"/>
      <c r="AC151" s="316"/>
      <c r="AD151" s="316">
        <f>_xlfn.IFNA((VLOOKUP($A151,HN!$A:$K,8,FALSE)/12),0)</f>
        <v>0</v>
      </c>
      <c r="AE151" s="316">
        <f>_xlfn.IFNA((VLOOKUP($A151,HN!$A:$BS,14,FALSE)/12),0)</f>
        <v>0</v>
      </c>
      <c r="AF151" s="316">
        <f>_xlfn.IFNA(VLOOKUP($A151,'Post 16'!$A:$V,21,FALSE),0)/4</f>
        <v>0</v>
      </c>
      <c r="AG151" s="316"/>
      <c r="AH151" s="316">
        <f>_xlfn.IFNA((VLOOKUP($A151,HN!$A:$K,9,FALSE)/12),0)+_xlfn.IFNA((VLOOKUP($A151,HN!$A:$K,10,FALSE)/12),0)</f>
        <v>0</v>
      </c>
      <c r="AI151" s="316">
        <f>_xlfn.IFNA((VLOOKUP($A151,HN!$A:$BS,15,FALSE)/12),0)</f>
        <v>0</v>
      </c>
      <c r="AJ151" s="315">
        <f t="shared" si="141"/>
        <v>0</v>
      </c>
      <c r="AK151" s="315">
        <f t="shared" si="142"/>
        <v>0</v>
      </c>
      <c r="AL151" s="316"/>
      <c r="AM151" s="316">
        <f>_xlfn.IFNA(VLOOKUP($A151,'Cash Advances'!$A:$S,9,FALSE),0)</f>
        <v>0</v>
      </c>
      <c r="AN151" s="315">
        <f t="shared" si="133"/>
        <v>0</v>
      </c>
      <c r="AO151" s="308">
        <f t="shared" si="143"/>
        <v>0</v>
      </c>
      <c r="AP151" s="308"/>
      <c r="AQ151" s="309"/>
      <c r="AR151" s="309">
        <f>_xlfn.IFNA((VLOOKUP($A151,HN!$A:$K,8,FALSE)/12),0)</f>
        <v>0</v>
      </c>
      <c r="AS151" s="309">
        <f>_xlfn.IFNA((VLOOKUP($A151,HN!$A:$BS,14,FALSE)/12),0)</f>
        <v>0</v>
      </c>
      <c r="AT151" s="309">
        <f>_xlfn.IFNA(VLOOKUP($A151,'Post 16'!$A:$V,21,FALSE),0)/4</f>
        <v>0</v>
      </c>
      <c r="AU151" s="309"/>
      <c r="AV151" s="309">
        <f>_xlfn.IFNA((VLOOKUP($A151,HN!$A:$K,9,FALSE)/12),0)+_xlfn.IFNA((VLOOKUP($A151,HN!$A:$K,10,FALSE)/12),0)+_xlfn.IFNA(VLOOKUP(A151,HN!A:V,19,FALSE),0)+_xlfn.IFNA(VLOOKUP(A151,HN!A:V,20,FALSE),0)+_xlfn.IFNA(VLOOKUP(A151,HN!A:V,21,FALSE),0)</f>
        <v>0</v>
      </c>
      <c r="AW151" s="309">
        <f>_xlfn.IFNA((VLOOKUP($A151,HN!$A:$BS,15,FALSE)/12),0)</f>
        <v>0</v>
      </c>
      <c r="AX151" s="308">
        <f t="shared" si="144"/>
        <v>0</v>
      </c>
      <c r="AY151" s="308">
        <f t="shared" si="145"/>
        <v>0</v>
      </c>
      <c r="AZ151" s="309"/>
      <c r="BA151" s="309">
        <f>_xlfn.IFNA(VLOOKUP($A151,'Cash Advances'!$A:$S,10,FALSE),0)</f>
        <v>0</v>
      </c>
      <c r="BB151" s="308">
        <f t="shared" si="134"/>
        <v>0</v>
      </c>
      <c r="BC151" s="330">
        <f t="shared" si="146"/>
        <v>0</v>
      </c>
      <c r="BD151" s="330"/>
      <c r="BE151" s="331"/>
      <c r="BF151" s="331">
        <f>_xlfn.IFNA((VLOOKUP($A151,HN!$A:$K,8,FALSE)/12),0)</f>
        <v>0</v>
      </c>
      <c r="BG151" s="331">
        <f>_xlfn.IFNA((VLOOKUP($A151,HN!$A:$BS,14,FALSE)/12),0)</f>
        <v>0</v>
      </c>
      <c r="BH151" s="331">
        <f>_xlfn.IFNA(VLOOKUP($A151,'Post 16'!$A:$V,21,FALSE),0)/4</f>
        <v>0</v>
      </c>
      <c r="BI151" s="331"/>
      <c r="BJ151" s="331">
        <f>_xlfn.IFNA((VLOOKUP($A151,HN!$A:$K,9,FALSE)/12),0)+_xlfn.IFNA((VLOOKUP($A151,HN!$A:$K,10,FALSE)/12),0)</f>
        <v>0</v>
      </c>
      <c r="BK151" s="331">
        <f>_xlfn.IFNA((VLOOKUP($A151,HN!$A:$BS,15,FALSE)/12),0)</f>
        <v>0</v>
      </c>
      <c r="BL151" s="330">
        <f t="shared" si="147"/>
        <v>0</v>
      </c>
      <c r="BM151" s="330">
        <f t="shared" si="148"/>
        <v>0</v>
      </c>
      <c r="BN151" s="331"/>
      <c r="BO151" s="331">
        <f>_xlfn.IFNA(VLOOKUP(A151,'Cash Advances'!A:K,11,FALSE),0)</f>
        <v>0</v>
      </c>
      <c r="BP151" s="330">
        <f t="shared" si="135"/>
        <v>0</v>
      </c>
      <c r="BQ151" s="322">
        <f t="shared" si="149"/>
        <v>0</v>
      </c>
      <c r="BR151" s="322"/>
      <c r="BS151" s="323"/>
      <c r="BT151" s="323">
        <f>_xlfn.IFNA((VLOOKUP($A151,HN!$A:$K,8,FALSE)/12),0)</f>
        <v>0</v>
      </c>
      <c r="BU151" s="323">
        <f>_xlfn.IFNA((VLOOKUP($A151,HN!$A:$BS,14,FALSE)/12),0)</f>
        <v>0</v>
      </c>
      <c r="BV151" s="323">
        <f>(_xlfn.IFNA(VLOOKUP($A151,'Post 16'!$A:$AV,32,FALSE),0)/8)+_xlfn.IFNA(VLOOKUP($A151,'Post 16'!$A:$AR,40,FALSE),0)</f>
        <v>0</v>
      </c>
      <c r="BW151" s="323"/>
      <c r="BX151" s="323">
        <f>_xlfn.IFNA((VLOOKUP($A151,HN!$A:$K,9,FALSE)/12),0)+_xlfn.IFNA((VLOOKUP($A151,HN!$A:$K,10,FALSE)/12),0)</f>
        <v>0</v>
      </c>
      <c r="BY151" s="323">
        <f>_xlfn.IFNA((VLOOKUP($A151,HN!$A:$BS,15,FALSE)/12),0)</f>
        <v>0</v>
      </c>
      <c r="BZ151" s="322">
        <f t="shared" si="150"/>
        <v>0</v>
      </c>
      <c r="CA151" s="322">
        <f t="shared" si="151"/>
        <v>0</v>
      </c>
      <c r="CB151" s="323"/>
      <c r="CC151" s="323"/>
      <c r="CD151" s="322">
        <f t="shared" si="136"/>
        <v>0</v>
      </c>
      <c r="CE151" s="357">
        <f t="shared" si="152"/>
        <v>0</v>
      </c>
      <c r="CF151" s="357">
        <f>(VLOOKUP($A151,EY!$A:$BS,26,FALSE)-(VLOOKUP($A151,EY!A:CR,24,FALSE)*80%))+VLOOKUP($A151,EY!$A:$BS,42,FALSE)+(VLOOKUP($A151,EY!A:CC,74,FALSE)-VLOOKUP($A151,EY!A:CC,72,FALSE))</f>
        <v>162580.09387863652</v>
      </c>
      <c r="CG151" s="358"/>
      <c r="CH151" s="358">
        <f>_xlfn.IFNA((VLOOKUP($A151,HN!$A:$K,8,FALSE)/12),0)</f>
        <v>0</v>
      </c>
      <c r="CI151" s="358">
        <f>_xlfn.IFNA((VLOOKUP($A151,HN!$A:$BS,14,FALSE)/12),0)</f>
        <v>0</v>
      </c>
      <c r="CJ151" s="358">
        <f>(_xlfn.IFNA(VLOOKUP($A151,'Post 16'!$A:$AV,32,FALSE),0)/8)</f>
        <v>0</v>
      </c>
      <c r="CK151" s="358">
        <f>(VLOOKUP($A151,EY!A:CR,24,FALSE)*80%)+VLOOKUP($A151,EY!A:CC,72,FALSE)</f>
        <v>1155.1926315789472</v>
      </c>
      <c r="CL151" s="358">
        <f>_xlfn.IFNA((VLOOKUP($A151,HN!$A:$K,9,FALSE)/12),0)+_xlfn.IFNA((VLOOKUP($A151,HN!$A:$K,10,FALSE)/12),0)</f>
        <v>0</v>
      </c>
      <c r="CM151" s="358">
        <f>_xlfn.IFNA((VLOOKUP($A151,HN!$A:$BS,15,FALSE)/12),0)</f>
        <v>0</v>
      </c>
      <c r="CN151" s="357">
        <f t="shared" si="153"/>
        <v>0</v>
      </c>
      <c r="CO151" s="357">
        <f t="shared" si="154"/>
        <v>0</v>
      </c>
      <c r="CP151" s="358">
        <f>_xlfn.IFNA(VLOOKUP(A151,'LA Deductions'!A:W,23,FALSE),0)</f>
        <v>-3291.75</v>
      </c>
      <c r="CQ151" s="358">
        <f>_xlfn.IFNA(VLOOKUP($A151,'Cash Advances'!$A:$S,13,FALSE),0)</f>
        <v>0</v>
      </c>
      <c r="CR151" s="358">
        <f>_xlfn.IFNA(VLOOKUP(A151,'LA Deductions'!A:AZ,25,FALSE),0)/9*3</f>
        <v>0</v>
      </c>
      <c r="CS151" s="357">
        <f t="shared" si="173"/>
        <v>160443.53651021546</v>
      </c>
      <c r="CT151" s="337">
        <f t="shared" si="155"/>
        <v>0</v>
      </c>
      <c r="CU151" s="337"/>
      <c r="CV151" s="338">
        <f>_xlfn.IFNA(VLOOKUP(A151,'LA Deductions'!$A$6:$AN$207,34,FALSE),0)</f>
        <v>0</v>
      </c>
      <c r="CW151" s="338">
        <f>_xlfn.IFNA((VLOOKUP($A151,HN!$A:$K,8,FALSE)/12),0)</f>
        <v>0</v>
      </c>
      <c r="CX151" s="338">
        <f>_xlfn.IFNA((VLOOKUP($A151,HN!$A:$BS,14,FALSE)/12),0)</f>
        <v>0</v>
      </c>
      <c r="CY151" s="338">
        <f>_xlfn.IFNA(VLOOKUP($A151,'Post 16'!$A:$AV,32,FALSE),0)/8</f>
        <v>0</v>
      </c>
      <c r="CZ151" s="338"/>
      <c r="DA151" s="338">
        <f>_xlfn.IFNA((VLOOKUP($A151,HN!$A:$K,9,FALSE)/12),0)+_xlfn.IFNA((VLOOKUP($A151,HN!$A:$K,10,FALSE)/12),0)</f>
        <v>0</v>
      </c>
      <c r="DB151" s="338">
        <f>_xlfn.IFNA((VLOOKUP($A151,HN!$A:$BS,15,FALSE)/12),0)</f>
        <v>0</v>
      </c>
      <c r="DC151" s="337">
        <f t="shared" si="156"/>
        <v>0</v>
      </c>
      <c r="DD151" s="337">
        <f t="shared" si="157"/>
        <v>0</v>
      </c>
      <c r="DE151" s="338"/>
      <c r="DF151" s="338">
        <f>_xlfn.IFNA(VLOOKUP($A151,'Cash Advances'!$A:$S,14,FALSE),0)</f>
        <v>0</v>
      </c>
      <c r="DG151" s="338">
        <f>(_xlfn.IFNA(VLOOKUP(A151,'LA Deductions'!A:AZ,25,FALSE),0)/9)+(_xlfn.IFNA(VLOOKUP(A151,'LA Deductions'!A:AZ,26,FALSE),0))</f>
        <v>0</v>
      </c>
      <c r="DH151" s="337">
        <f t="shared" si="174"/>
        <v>0</v>
      </c>
      <c r="DI151" s="330">
        <f t="shared" si="158"/>
        <v>0</v>
      </c>
      <c r="DJ151" s="330"/>
      <c r="DK151" s="331"/>
      <c r="DL151" s="331">
        <f>_xlfn.IFNA((VLOOKUP($A151,HN!$A:$K,8,FALSE)/12),0)+_xlfn.IFNA((VLOOKUP($A151,HN!$A:$AF,32,FALSE)*8/12),0)</f>
        <v>0</v>
      </c>
      <c r="DM151" s="331">
        <f>_xlfn.IFNA((VLOOKUP($A151,HN!$A:$BS,14,FALSE)/12),0)+_xlfn.IFNA(VLOOKUP($A151,HN!$A:$BS,31,FALSE),0)</f>
        <v>0</v>
      </c>
      <c r="DN151" s="331">
        <f>_xlfn.IFNA(VLOOKUP($A151,'Post 16'!$A:$AV,32,FALSE),0)/8</f>
        <v>0</v>
      </c>
      <c r="DO151" s="331"/>
      <c r="DP151" s="331">
        <f>_xlfn.IFNA((VLOOKUP($A151,HN!$A:$K,9,FALSE)/12),0)+_xlfn.IFNA((VLOOKUP($A151,HN!$A:$K,10,FALSE)/12),0)+_xlfn.IFNA((VLOOKUP($A151,HN!$A:$BZ,33,FALSE)*8/12),0)</f>
        <v>0</v>
      </c>
      <c r="DQ151" s="331">
        <f>_xlfn.IFNA((VLOOKUP($A151,HN!$A:$BS,15,FALSE)/12),0)</f>
        <v>0</v>
      </c>
      <c r="DR151" s="330">
        <f t="shared" si="159"/>
        <v>0</v>
      </c>
      <c r="DS151" s="330">
        <f t="shared" si="160"/>
        <v>0</v>
      </c>
      <c r="DT151" s="331"/>
      <c r="DU151" s="331"/>
      <c r="DV151" s="331">
        <f>(_xlfn.IFNA(VLOOKUP(A151,'LA Deductions'!A:AZ,25,FALSE),0)/9)+_xlfn.IFNA(VLOOKUP(A151,'LA Deductions'!A:AZ,27,FALSE),0)</f>
        <v>0</v>
      </c>
      <c r="DW151" s="330">
        <f t="shared" si="175"/>
        <v>0</v>
      </c>
      <c r="DX151" s="344">
        <f t="shared" si="161"/>
        <v>0</v>
      </c>
      <c r="DY151" s="344"/>
      <c r="DZ151" s="345"/>
      <c r="EA151" s="345">
        <f>_xlfn.IFNA((VLOOKUP($A151,HN!$A:$K,8,FALSE)/12),0)+_xlfn.IFNA((VLOOKUP($A151,HN!$A:$AF,32,FALSE)*1/12),0)</f>
        <v>0</v>
      </c>
      <c r="EB151" s="345">
        <f>_xlfn.IFNA((VLOOKUP($A151,HN!$A:$BS,14,FALSE)/12),0)</f>
        <v>0</v>
      </c>
      <c r="EC151" s="345">
        <f>_xlfn.IFNA(VLOOKUP($A151,'Post 16'!$A:$AV,32,FALSE),0)/8</f>
        <v>0</v>
      </c>
      <c r="ED151" s="345"/>
      <c r="EE151" s="345">
        <f>_xlfn.IFNA((VLOOKUP($A151,HN!$A:$K,9,FALSE)/12),0)+_xlfn.IFNA((VLOOKUP($A151,HN!$A:$K,10,FALSE)/12),0)+_xlfn.IFNA((VLOOKUP($A151,HN!$A:$BZ,33,FALSE)/12),0)</f>
        <v>0</v>
      </c>
      <c r="EF151" s="345">
        <f>_xlfn.IFNA((VLOOKUP($A151,HN!$A:$BS,15,FALSE)/12),0)</f>
        <v>0</v>
      </c>
      <c r="EG151" s="344">
        <f t="shared" si="162"/>
        <v>0</v>
      </c>
      <c r="EH151" s="344">
        <f t="shared" si="163"/>
        <v>0</v>
      </c>
      <c r="EI151" s="345"/>
      <c r="EJ151" s="345">
        <f>_xlfn.IFNA(VLOOKUP(A151,'Cash Advances'!A:P,16,FALSE),0)</f>
        <v>0</v>
      </c>
      <c r="EK151" s="345">
        <f>_xlfn.IFNA(VLOOKUP(A151,'LA Deductions'!A:AZ,25,FALSE),0)/9</f>
        <v>0</v>
      </c>
      <c r="EL151" s="344">
        <f t="shared" si="176"/>
        <v>0</v>
      </c>
      <c r="EM151" s="308">
        <f t="shared" si="164"/>
        <v>0</v>
      </c>
      <c r="EN151" s="308">
        <f>((VLOOKUP($A151,EY!$A:$BS,35,FALSE)-(VLOOKUP($A151,EY!$A:$BS,33,FALSE)*80%))+VLOOKUP($A151,EY!$A:$BS,43,FALSE))+(VLOOKUP(A151,EY!A:DF,110,FALSE)-VLOOKUP(A151,EY!A:DD,108,FALSE))+(VLOOKUP(A151,EY!A:CE,83,FALSE)-VLOOKUP(A151,EY!A:CC,81,FALSE))</f>
        <v>167387.495734072</v>
      </c>
      <c r="EO151" s="309"/>
      <c r="EP151" s="309">
        <f>_xlfn.IFNA((VLOOKUP($A151,HN!$A:$K,8,FALSE)/12),0)+_xlfn.IFNA((VLOOKUP($A151,HN!$A:$AF,32,FALSE)*1/12),0)</f>
        <v>0</v>
      </c>
      <c r="EQ151" s="309">
        <f>_xlfn.IFNA((VLOOKUP($A151,HN!$A:$BS,14,FALSE)/12),0)+_xlfn.IFNA((VLOOKUP($A151,HN!$A:$BS,34,FALSE)/3),0)</f>
        <v>0</v>
      </c>
      <c r="ER151" s="309">
        <f>_xlfn.IFNA(VLOOKUP($A151,'Post 16'!$A:$AV,32,FALSE),0)/8</f>
        <v>0</v>
      </c>
      <c r="ES151" s="309">
        <f>((VLOOKUP($A151,EY!A:EV,33,FALSE)*80%))+VLOOKUP(A151,EY!A:DD,108,FALSE)+VLOOKUP(A151,EY!A:CC,81,FALSE)</f>
        <v>5930.9946260387806</v>
      </c>
      <c r="ET151" s="309">
        <f>_xlfn.IFNA((VLOOKUP($A151,HN!$A:$K,9,FALSE)/12),0)+_xlfn.IFNA((VLOOKUP($A151,HN!$A:$K,10,FALSE)/12),0)+_xlfn.IFNA((VLOOKUP($A151,HN!$A:$BZ,33,FALSE)/12),0)</f>
        <v>0</v>
      </c>
      <c r="EU151" s="309">
        <f>_xlfn.IFNA((VLOOKUP($A151,HN!$A:$BS,15,FALSE)/12),0)</f>
        <v>0</v>
      </c>
      <c r="EV151" s="308">
        <f t="shared" si="165"/>
        <v>0</v>
      </c>
      <c r="EW151" s="308">
        <f t="shared" si="166"/>
        <v>0</v>
      </c>
      <c r="EX151" s="309"/>
      <c r="EY151" s="309">
        <f>_xlfn.IFNA(VLOOKUP($A151,'Cash Advances'!$A:$S,17,FALSE),0)</f>
        <v>0</v>
      </c>
      <c r="EZ151" s="309">
        <f>_xlfn.IFNA(VLOOKUP(A151,'LA Deductions'!A:AZ,25,FALSE),0)/9</f>
        <v>0</v>
      </c>
      <c r="FA151" s="308">
        <f t="shared" si="177"/>
        <v>173318.49036011077</v>
      </c>
      <c r="FB151" s="315">
        <f t="shared" si="167"/>
        <v>0</v>
      </c>
      <c r="FC151" s="315"/>
      <c r="FD151" s="316"/>
      <c r="FE151" s="316">
        <f>_xlfn.IFNA((VLOOKUP($A151,HN!$A:$K,8,FALSE)/12),0)+_xlfn.IFNA((VLOOKUP($A151,HN!$A:$AF,32,FALSE)*1/12),0)</f>
        <v>0</v>
      </c>
      <c r="FF151" s="316">
        <f>_xlfn.IFNA((VLOOKUP($A151,HN!$A:$BS,14,FALSE)/12),0)+_xlfn.IFNA((VLOOKUP($A151,HN!$A:$BS,34,FALSE)/3),0)</f>
        <v>0</v>
      </c>
      <c r="FG151" s="316">
        <f>_xlfn.IFNA(VLOOKUP($A151,'Post 16'!$A:$AV,32,FALSE),0)/8</f>
        <v>0</v>
      </c>
      <c r="FH151" s="316"/>
      <c r="FI151" s="316">
        <f>_xlfn.IFNA((VLOOKUP($A151,HN!$A:$K,9,FALSE)/12),0)+_xlfn.IFNA((VLOOKUP($A151,HN!$A:$K,10,FALSE)/12),0)+_xlfn.IFNA((VLOOKUP($A151,HN!$A:$BZ,33,FALSE)/12),0)+_xlfn.IFNA((VLOOKUP($A151,HN!$A:$BZ,35,FALSE)/2),0)</f>
        <v>0</v>
      </c>
      <c r="FJ151" s="316">
        <f>_xlfn.IFNA((VLOOKUP($A151,HN!$A:$BS,15,FALSE)/12),0)+_xlfn.IFNA((VLOOKUP($A151,HN!$A:$CZ,36,FALSE)/2),0)</f>
        <v>0</v>
      </c>
      <c r="FK151" s="315">
        <f t="shared" si="168"/>
        <v>0</v>
      </c>
      <c r="FL151" s="315">
        <f t="shared" si="169"/>
        <v>0</v>
      </c>
      <c r="FM151" s="316"/>
      <c r="FN151" s="316">
        <f>_xlfn.IFNA(VLOOKUP($A151,'Cash Advances'!$A:$S,18,FALSE),0)</f>
        <v>0</v>
      </c>
      <c r="FO151" s="316">
        <f>_xlfn.IFNA(VLOOKUP(A151,'LA Deductions'!A:AZ,25,FALSE),0)/9</f>
        <v>0</v>
      </c>
      <c r="FP151" s="315">
        <f t="shared" si="178"/>
        <v>0</v>
      </c>
      <c r="FQ151" s="322">
        <f t="shared" si="170"/>
        <v>0</v>
      </c>
      <c r="FR151" s="322"/>
      <c r="FS151" s="323"/>
      <c r="FT151" s="323">
        <f>_xlfn.IFNA((VLOOKUP($A151,HN!$A:$K,8,FALSE)/12),0)+_xlfn.IFNA((VLOOKUP($A151,HN!$A:$AF,32,FALSE)*1/12),0)</f>
        <v>0</v>
      </c>
      <c r="FU151" s="323">
        <f>_xlfn.IFNA((VLOOKUP($A151,HN!$A:$BS,14,FALSE)/12),0)+_xlfn.IFNA((VLOOKUP($A151,HN!$A:$BS,34,FALSE)/3),0)</f>
        <v>0</v>
      </c>
      <c r="FV151" s="323">
        <f>_xlfn.IFNA(VLOOKUP($A151,'Post 16'!$A:$AV,32,FALSE),0)/8</f>
        <v>0</v>
      </c>
      <c r="FW151" s="323"/>
      <c r="FX151" s="323">
        <f>_xlfn.IFNA((VLOOKUP($A151,HN!$A:$K,9,FALSE)/12),0)+_xlfn.IFNA((VLOOKUP($A151,HN!$A:$K,10,FALSE)/12),0)+_xlfn.IFNA((VLOOKUP($A151,HN!$A:$BZ,33,FALSE)/12),0)+_xlfn.IFNA((VLOOKUP($A151,HN!$A:$BZ,35,FALSE)/2),0)</f>
        <v>0</v>
      </c>
      <c r="FY151" s="323">
        <f>_xlfn.IFNA((VLOOKUP($A151,HN!$A:$BS,15,FALSE)/12),0)+_xlfn.IFNA((VLOOKUP($A151,HN!$A:$CZ,36,FALSE)/2),0)</f>
        <v>0</v>
      </c>
      <c r="FZ151" s="322">
        <f t="shared" si="171"/>
        <v>0</v>
      </c>
      <c r="GA151" s="322">
        <f t="shared" si="172"/>
        <v>0</v>
      </c>
      <c r="GB151" s="323"/>
      <c r="GC151" s="323"/>
      <c r="GD151" s="323">
        <f>_xlfn.IFNA(VLOOKUP(A151,'LA Deductions'!A:AZ,25,FALSE),0)/9</f>
        <v>0</v>
      </c>
      <c r="GE151" s="322">
        <f t="shared" si="179"/>
        <v>0</v>
      </c>
      <c r="GG151" s="146">
        <f t="shared" si="182"/>
        <v>734865.91944727115</v>
      </c>
      <c r="GH151" s="146">
        <f t="shared" si="182"/>
        <v>0</v>
      </c>
      <c r="GI151" s="146">
        <f t="shared" si="182"/>
        <v>8626.481994459833</v>
      </c>
      <c r="GJ151" s="146">
        <f t="shared" si="182"/>
        <v>0</v>
      </c>
      <c r="GK151" s="146">
        <f t="shared" si="182"/>
        <v>0</v>
      </c>
      <c r="GL151" s="146">
        <f t="shared" si="182"/>
        <v>-3291.75</v>
      </c>
      <c r="GN151" s="146">
        <f t="shared" si="183"/>
        <v>734865.91944727115</v>
      </c>
      <c r="GO151" s="146">
        <f t="shared" si="183"/>
        <v>0</v>
      </c>
      <c r="GP151" s="146">
        <f t="shared" si="183"/>
        <v>8626.481994459833</v>
      </c>
      <c r="GQ151" s="146">
        <f t="shared" si="183"/>
        <v>0</v>
      </c>
      <c r="GR151" s="146">
        <f t="shared" si="183"/>
        <v>0</v>
      </c>
      <c r="GS151" s="146">
        <f t="shared" si="183"/>
        <v>-3291.75</v>
      </c>
      <c r="GU151" s="146"/>
      <c r="GV151" s="57"/>
    </row>
    <row r="152" spans="1:204">
      <c r="A152" s="185">
        <v>2011</v>
      </c>
      <c r="B152" s="185">
        <v>134099</v>
      </c>
      <c r="C152" s="185" t="s">
        <v>330</v>
      </c>
      <c r="D152" s="2" t="s">
        <v>331</v>
      </c>
      <c r="E152" s="191" t="s">
        <v>32</v>
      </c>
      <c r="F152" s="191" t="s">
        <v>912</v>
      </c>
      <c r="H152" s="279">
        <f>_xlfn.IFNA(VLOOKUP($A152,ISB!$A$4:$BY$454,67,FALSE),0)</f>
        <v>3399513.8815221302</v>
      </c>
      <c r="I152" s="279">
        <f>_xlfn.IFNA(VLOOKUP($A152,ISB!$A$4:$BY$454,72,FALSE),0)</f>
        <v>-15908.8</v>
      </c>
      <c r="J152" s="279">
        <f>-_xlfn.IFNA(VLOOKUP($A152,ISB!$A$4:$BY$454,76,FALSE),0)</f>
        <v>-93050.07</v>
      </c>
      <c r="K152" s="279">
        <f>_xlfn.IFNA(VLOOKUP($A152,ISB!$A$4:$BY$454,77,FALSE),0)</f>
        <v>3290555.0115221306</v>
      </c>
      <c r="M152" s="301">
        <f t="shared" si="137"/>
        <v>283292.82346017752</v>
      </c>
      <c r="N152" s="301">
        <f>VLOOKUP($A152,EY!$A:$H,8,FALSE)+(VLOOKUP($A152,EY!$A:$BS,17,FALSE)-S152)+VLOOKUP($A152,EY!$A:$BS,41,FALSE)</f>
        <v>36636.928421052631</v>
      </c>
      <c r="O152" s="302"/>
      <c r="P152" s="302">
        <f>_xlfn.IFNA((VLOOKUP($A152,HN!$A:$K,8,FALSE)/12),0)</f>
        <v>0</v>
      </c>
      <c r="Q152" s="302">
        <f>_xlfn.IFNA((VLOOKUP($A152,HN!$A:$BS,14,FALSE)/12),0)</f>
        <v>0</v>
      </c>
      <c r="R152" s="302">
        <f>_xlfn.IFNA(VLOOKUP($A152,'Post 16'!$A:$V,21,FALSE),0)/4</f>
        <v>0</v>
      </c>
      <c r="S152" s="302">
        <f>VLOOKUP($A152,EY!A:Q,15,FALSE)*80%</f>
        <v>0</v>
      </c>
      <c r="T152" s="302">
        <f>_xlfn.IFNA((VLOOKUP($A152,HN!$A:$K,9,FALSE)/12),0)+_xlfn.IFNA((VLOOKUP($A152,HN!$A:$K,10,FALSE)/12),0)</f>
        <v>0</v>
      </c>
      <c r="U152" s="302">
        <f>_xlfn.IFNA((VLOOKUP($A152,HN!$A:$BS,15,FALSE)/12),0)</f>
        <v>0</v>
      </c>
      <c r="V152" s="301">
        <f t="shared" si="138"/>
        <v>-1325.7333333333333</v>
      </c>
      <c r="W152" s="301">
        <f t="shared" si="139"/>
        <v>-7754.1725000000006</v>
      </c>
      <c r="X152" s="302"/>
      <c r="Y152" s="302">
        <f>_xlfn.IFNA(VLOOKUP($A152,'Cash Advances'!$A:$S,8,FALSE),0)</f>
        <v>0</v>
      </c>
      <c r="Z152" s="301">
        <f t="shared" si="132"/>
        <v>310849.84604789683</v>
      </c>
      <c r="AA152" s="315">
        <f t="shared" si="140"/>
        <v>283292.82346017752</v>
      </c>
      <c r="AB152" s="315"/>
      <c r="AC152" s="316"/>
      <c r="AD152" s="316">
        <f>_xlfn.IFNA((VLOOKUP($A152,HN!$A:$K,8,FALSE)/12),0)</f>
        <v>0</v>
      </c>
      <c r="AE152" s="316">
        <f>_xlfn.IFNA((VLOOKUP($A152,HN!$A:$BS,14,FALSE)/12),0)</f>
        <v>0</v>
      </c>
      <c r="AF152" s="316">
        <f>_xlfn.IFNA(VLOOKUP($A152,'Post 16'!$A:$V,21,FALSE),0)/4</f>
        <v>0</v>
      </c>
      <c r="AG152" s="316"/>
      <c r="AH152" s="316">
        <f>_xlfn.IFNA((VLOOKUP($A152,HN!$A:$K,9,FALSE)/12),0)+_xlfn.IFNA((VLOOKUP($A152,HN!$A:$K,10,FALSE)/12),0)</f>
        <v>0</v>
      </c>
      <c r="AI152" s="316">
        <f>_xlfn.IFNA((VLOOKUP($A152,HN!$A:$BS,15,FALSE)/12),0)</f>
        <v>0</v>
      </c>
      <c r="AJ152" s="315">
        <f t="shared" si="141"/>
        <v>-1325.7333333333333</v>
      </c>
      <c r="AK152" s="315">
        <f t="shared" si="142"/>
        <v>-7754.1725000000006</v>
      </c>
      <c r="AL152" s="316"/>
      <c r="AM152" s="316">
        <f>_xlfn.IFNA(VLOOKUP($A152,'Cash Advances'!$A:$S,9,FALSE),0)</f>
        <v>0</v>
      </c>
      <c r="AN152" s="315">
        <f t="shared" si="133"/>
        <v>274212.9176268442</v>
      </c>
      <c r="AO152" s="308">
        <f t="shared" si="143"/>
        <v>283292.82346017752</v>
      </c>
      <c r="AP152" s="308"/>
      <c r="AQ152" s="309"/>
      <c r="AR152" s="309">
        <f>_xlfn.IFNA((VLOOKUP($A152,HN!$A:$K,8,FALSE)/12),0)</f>
        <v>0</v>
      </c>
      <c r="AS152" s="309">
        <f>_xlfn.IFNA((VLOOKUP($A152,HN!$A:$BS,14,FALSE)/12),0)</f>
        <v>0</v>
      </c>
      <c r="AT152" s="309">
        <f>_xlfn.IFNA(VLOOKUP($A152,'Post 16'!$A:$V,21,FALSE),0)/4</f>
        <v>0</v>
      </c>
      <c r="AU152" s="309"/>
      <c r="AV152" s="309">
        <f>_xlfn.IFNA((VLOOKUP($A152,HN!$A:$K,9,FALSE)/12),0)+_xlfn.IFNA((VLOOKUP($A152,HN!$A:$K,10,FALSE)/12),0)+_xlfn.IFNA(VLOOKUP(A152,HN!A:V,19,FALSE),0)+_xlfn.IFNA(VLOOKUP(A152,HN!A:V,20,FALSE),0)+_xlfn.IFNA(VLOOKUP(A152,HN!A:V,21,FALSE),0)</f>
        <v>0</v>
      </c>
      <c r="AW152" s="309">
        <f>_xlfn.IFNA((VLOOKUP($A152,HN!$A:$BS,15,FALSE)/12),0)</f>
        <v>0</v>
      </c>
      <c r="AX152" s="308">
        <f t="shared" si="144"/>
        <v>-1325.7333333333333</v>
      </c>
      <c r="AY152" s="308">
        <f t="shared" si="145"/>
        <v>-7754.1725000000006</v>
      </c>
      <c r="AZ152" s="309"/>
      <c r="BA152" s="309">
        <f>_xlfn.IFNA(VLOOKUP($A152,'Cash Advances'!$A:$S,10,FALSE),0)</f>
        <v>0</v>
      </c>
      <c r="BB152" s="308">
        <f t="shared" si="134"/>
        <v>274212.9176268442</v>
      </c>
      <c r="BC152" s="330">
        <f t="shared" si="146"/>
        <v>283292.82346017752</v>
      </c>
      <c r="BD152" s="330"/>
      <c r="BE152" s="331"/>
      <c r="BF152" s="331">
        <f>_xlfn.IFNA((VLOOKUP($A152,HN!$A:$K,8,FALSE)/12),0)</f>
        <v>0</v>
      </c>
      <c r="BG152" s="331">
        <f>_xlfn.IFNA((VLOOKUP($A152,HN!$A:$BS,14,FALSE)/12),0)</f>
        <v>0</v>
      </c>
      <c r="BH152" s="331">
        <f>_xlfn.IFNA(VLOOKUP($A152,'Post 16'!$A:$V,21,FALSE),0)/4</f>
        <v>0</v>
      </c>
      <c r="BI152" s="331"/>
      <c r="BJ152" s="331">
        <f>_xlfn.IFNA((VLOOKUP($A152,HN!$A:$K,9,FALSE)/12),0)+_xlfn.IFNA((VLOOKUP($A152,HN!$A:$K,10,FALSE)/12),0)</f>
        <v>0</v>
      </c>
      <c r="BK152" s="331">
        <f>_xlfn.IFNA((VLOOKUP($A152,HN!$A:$BS,15,FALSE)/12),0)</f>
        <v>0</v>
      </c>
      <c r="BL152" s="330">
        <f t="shared" si="147"/>
        <v>-1325.7333333333333</v>
      </c>
      <c r="BM152" s="330">
        <f t="shared" si="148"/>
        <v>-7754.1725000000006</v>
      </c>
      <c r="BN152" s="331"/>
      <c r="BO152" s="331">
        <f>_xlfn.IFNA(VLOOKUP(A152,'Cash Advances'!A:K,11,FALSE),0)</f>
        <v>0</v>
      </c>
      <c r="BP152" s="330">
        <f t="shared" si="135"/>
        <v>274212.9176268442</v>
      </c>
      <c r="BQ152" s="322">
        <f t="shared" si="149"/>
        <v>283292.82346017752</v>
      </c>
      <c r="BR152" s="322"/>
      <c r="BS152" s="323"/>
      <c r="BT152" s="323">
        <f>_xlfn.IFNA((VLOOKUP($A152,HN!$A:$K,8,FALSE)/12),0)</f>
        <v>0</v>
      </c>
      <c r="BU152" s="323">
        <f>_xlfn.IFNA((VLOOKUP($A152,HN!$A:$BS,14,FALSE)/12),0)</f>
        <v>0</v>
      </c>
      <c r="BV152" s="323">
        <f>(_xlfn.IFNA(VLOOKUP($A152,'Post 16'!$A:$AV,32,FALSE),0)/8)+_xlfn.IFNA(VLOOKUP($A152,'Post 16'!$A:$AR,40,FALSE),0)</f>
        <v>0</v>
      </c>
      <c r="BW152" s="323"/>
      <c r="BX152" s="323">
        <f>_xlfn.IFNA((VLOOKUP($A152,HN!$A:$K,9,FALSE)/12),0)+_xlfn.IFNA((VLOOKUP($A152,HN!$A:$K,10,FALSE)/12),0)</f>
        <v>0</v>
      </c>
      <c r="BY152" s="323">
        <f>_xlfn.IFNA((VLOOKUP($A152,HN!$A:$BS,15,FALSE)/12),0)</f>
        <v>0</v>
      </c>
      <c r="BZ152" s="322">
        <f t="shared" si="150"/>
        <v>-1325.7333333333333</v>
      </c>
      <c r="CA152" s="322">
        <f t="shared" si="151"/>
        <v>-7754.1725000000006</v>
      </c>
      <c r="CB152" s="323"/>
      <c r="CC152" s="323"/>
      <c r="CD152" s="322">
        <f t="shared" si="136"/>
        <v>274212.9176268442</v>
      </c>
      <c r="CE152" s="357">
        <f t="shared" si="152"/>
        <v>283292.82346017752</v>
      </c>
      <c r="CF152" s="357">
        <f>(VLOOKUP($A152,EY!$A:$BS,26,FALSE)-(VLOOKUP($A152,EY!A:CR,24,FALSE)*80%))+VLOOKUP($A152,EY!$A:$BS,42,FALSE)+(VLOOKUP($A152,EY!A:CC,74,FALSE)-VLOOKUP($A152,EY!A:CC,72,FALSE))</f>
        <v>48251.176315789475</v>
      </c>
      <c r="CG152" s="358"/>
      <c r="CH152" s="358">
        <f>_xlfn.IFNA((VLOOKUP($A152,HN!$A:$K,8,FALSE)/12),0)</f>
        <v>0</v>
      </c>
      <c r="CI152" s="358">
        <f>_xlfn.IFNA((VLOOKUP($A152,HN!$A:$BS,14,FALSE)/12),0)</f>
        <v>0</v>
      </c>
      <c r="CJ152" s="358">
        <f>(_xlfn.IFNA(VLOOKUP($A152,'Post 16'!$A:$AV,32,FALSE),0)/8)</f>
        <v>0</v>
      </c>
      <c r="CK152" s="358">
        <f>(VLOOKUP($A152,EY!A:CR,24,FALSE)*80%)+VLOOKUP($A152,EY!A:CC,72,FALSE)</f>
        <v>0</v>
      </c>
      <c r="CL152" s="358">
        <f>_xlfn.IFNA((VLOOKUP($A152,HN!$A:$K,9,FALSE)/12),0)+_xlfn.IFNA((VLOOKUP($A152,HN!$A:$K,10,FALSE)/12),0)</f>
        <v>0</v>
      </c>
      <c r="CM152" s="358">
        <f>_xlfn.IFNA((VLOOKUP($A152,HN!$A:$BS,15,FALSE)/12),0)</f>
        <v>0</v>
      </c>
      <c r="CN152" s="357">
        <f t="shared" si="153"/>
        <v>-1325.7333333333333</v>
      </c>
      <c r="CO152" s="357">
        <f t="shared" si="154"/>
        <v>-7754.1725000000006</v>
      </c>
      <c r="CP152" s="358">
        <f>_xlfn.IFNA(VLOOKUP(A152,'LA Deductions'!A:W,23,FALSE),0)</f>
        <v>-18745.650000000001</v>
      </c>
      <c r="CQ152" s="358">
        <f>_xlfn.IFNA(VLOOKUP($A152,'Cash Advances'!$A:$S,13,FALSE),0)</f>
        <v>0</v>
      </c>
      <c r="CR152" s="358">
        <f>_xlfn.IFNA(VLOOKUP(A152,'LA Deductions'!A:AZ,25,FALSE),0)/9*3</f>
        <v>0</v>
      </c>
      <c r="CS152" s="357">
        <f t="shared" si="173"/>
        <v>303718.44394263363</v>
      </c>
      <c r="CT152" s="337">
        <f t="shared" si="155"/>
        <v>283292.82346017752</v>
      </c>
      <c r="CU152" s="337"/>
      <c r="CV152" s="338">
        <f>_xlfn.IFNA(VLOOKUP(A152,'LA Deductions'!$A$6:$AN$207,34,FALSE),0)</f>
        <v>-3832.5414000000001</v>
      </c>
      <c r="CW152" s="338">
        <f>_xlfn.IFNA((VLOOKUP($A152,HN!$A:$K,8,FALSE)/12),0)</f>
        <v>0</v>
      </c>
      <c r="CX152" s="338">
        <f>_xlfn.IFNA((VLOOKUP($A152,HN!$A:$BS,14,FALSE)/12),0)</f>
        <v>0</v>
      </c>
      <c r="CY152" s="338">
        <f>_xlfn.IFNA(VLOOKUP($A152,'Post 16'!$A:$AV,32,FALSE),0)/8</f>
        <v>0</v>
      </c>
      <c r="CZ152" s="338"/>
      <c r="DA152" s="338">
        <f>_xlfn.IFNA((VLOOKUP($A152,HN!$A:$K,9,FALSE)/12),0)+_xlfn.IFNA((VLOOKUP($A152,HN!$A:$K,10,FALSE)/12),0)</f>
        <v>0</v>
      </c>
      <c r="DB152" s="338">
        <f>_xlfn.IFNA((VLOOKUP($A152,HN!$A:$BS,15,FALSE)/12),0)</f>
        <v>0</v>
      </c>
      <c r="DC152" s="337">
        <f t="shared" si="156"/>
        <v>-1325.7333333333333</v>
      </c>
      <c r="DD152" s="337">
        <f t="shared" si="157"/>
        <v>-7754.1725000000006</v>
      </c>
      <c r="DE152" s="338"/>
      <c r="DF152" s="338">
        <f>_xlfn.IFNA(VLOOKUP($A152,'Cash Advances'!$A:$S,14,FALSE),0)</f>
        <v>0</v>
      </c>
      <c r="DG152" s="338">
        <f>(_xlfn.IFNA(VLOOKUP(A152,'LA Deductions'!A:AZ,25,FALSE),0)/9)+(_xlfn.IFNA(VLOOKUP(A152,'LA Deductions'!A:AZ,26,FALSE),0))</f>
        <v>0</v>
      </c>
      <c r="DH152" s="337">
        <f t="shared" si="174"/>
        <v>270380.37622684421</v>
      </c>
      <c r="DI152" s="330">
        <f t="shared" si="158"/>
        <v>283292.82346017752</v>
      </c>
      <c r="DJ152" s="330"/>
      <c r="DK152" s="331"/>
      <c r="DL152" s="331">
        <f>_xlfn.IFNA((VLOOKUP($A152,HN!$A:$K,8,FALSE)/12),0)+_xlfn.IFNA((VLOOKUP($A152,HN!$A:$AF,32,FALSE)*8/12),0)</f>
        <v>0</v>
      </c>
      <c r="DM152" s="331">
        <f>_xlfn.IFNA((VLOOKUP($A152,HN!$A:$BS,14,FALSE)/12),0)+_xlfn.IFNA(VLOOKUP($A152,HN!$A:$BS,31,FALSE),0)</f>
        <v>0</v>
      </c>
      <c r="DN152" s="331">
        <f>_xlfn.IFNA(VLOOKUP($A152,'Post 16'!$A:$AV,32,FALSE),0)/8</f>
        <v>0</v>
      </c>
      <c r="DO152" s="331"/>
      <c r="DP152" s="331">
        <f>_xlfn.IFNA((VLOOKUP($A152,HN!$A:$K,9,FALSE)/12),0)+_xlfn.IFNA((VLOOKUP($A152,HN!$A:$K,10,FALSE)/12),0)+_xlfn.IFNA((VLOOKUP($A152,HN!$A:$BZ,33,FALSE)*8/12),0)</f>
        <v>0</v>
      </c>
      <c r="DQ152" s="331">
        <f>_xlfn.IFNA((VLOOKUP($A152,HN!$A:$BS,15,FALSE)/12),0)</f>
        <v>0</v>
      </c>
      <c r="DR152" s="330">
        <f t="shared" si="159"/>
        <v>-1325.7333333333333</v>
      </c>
      <c r="DS152" s="330">
        <f t="shared" si="160"/>
        <v>-7754.1725000000006</v>
      </c>
      <c r="DT152" s="331"/>
      <c r="DU152" s="331"/>
      <c r="DV152" s="331">
        <f>(_xlfn.IFNA(VLOOKUP(A152,'LA Deductions'!A:AZ,25,FALSE),0)/9)+_xlfn.IFNA(VLOOKUP(A152,'LA Deductions'!A:AZ,27,FALSE),0)</f>
        <v>0</v>
      </c>
      <c r="DW152" s="330">
        <f t="shared" si="175"/>
        <v>274212.9176268442</v>
      </c>
      <c r="DX152" s="344">
        <f t="shared" si="161"/>
        <v>283292.82346017752</v>
      </c>
      <c r="DY152" s="344"/>
      <c r="DZ152" s="345"/>
      <c r="EA152" s="345">
        <f>_xlfn.IFNA((VLOOKUP($A152,HN!$A:$K,8,FALSE)/12),0)+_xlfn.IFNA((VLOOKUP($A152,HN!$A:$AF,32,FALSE)*1/12),0)</f>
        <v>0</v>
      </c>
      <c r="EB152" s="345">
        <f>_xlfn.IFNA((VLOOKUP($A152,HN!$A:$BS,14,FALSE)/12),0)</f>
        <v>0</v>
      </c>
      <c r="EC152" s="345">
        <f>_xlfn.IFNA(VLOOKUP($A152,'Post 16'!$A:$AV,32,FALSE),0)/8</f>
        <v>0</v>
      </c>
      <c r="ED152" s="345"/>
      <c r="EE152" s="345">
        <f>_xlfn.IFNA((VLOOKUP($A152,HN!$A:$K,9,FALSE)/12),0)+_xlfn.IFNA((VLOOKUP($A152,HN!$A:$K,10,FALSE)/12),0)+_xlfn.IFNA((VLOOKUP($A152,HN!$A:$BZ,33,FALSE)/12),0)</f>
        <v>0</v>
      </c>
      <c r="EF152" s="345">
        <f>_xlfn.IFNA((VLOOKUP($A152,HN!$A:$BS,15,FALSE)/12),0)</f>
        <v>0</v>
      </c>
      <c r="EG152" s="344">
        <f t="shared" si="162"/>
        <v>-1325.7333333333333</v>
      </c>
      <c r="EH152" s="344">
        <f t="shared" si="163"/>
        <v>-7754.1725000000006</v>
      </c>
      <c r="EI152" s="345"/>
      <c r="EJ152" s="345">
        <f>_xlfn.IFNA(VLOOKUP(A152,'Cash Advances'!A:P,16,FALSE),0)</f>
        <v>0</v>
      </c>
      <c r="EK152" s="345">
        <f>_xlfn.IFNA(VLOOKUP(A152,'LA Deductions'!A:AZ,25,FALSE),0)/9</f>
        <v>0</v>
      </c>
      <c r="EL152" s="344">
        <f t="shared" si="176"/>
        <v>274212.9176268442</v>
      </c>
      <c r="EM152" s="308">
        <f t="shared" si="164"/>
        <v>283292.82346017752</v>
      </c>
      <c r="EN152" s="308">
        <f>((VLOOKUP($A152,EY!$A:$BS,35,FALSE)-(VLOOKUP($A152,EY!$A:$BS,33,FALSE)*80%))+VLOOKUP($A152,EY!$A:$BS,43,FALSE))+(VLOOKUP(A152,EY!A:DF,110,FALSE)-VLOOKUP(A152,EY!A:DD,108,FALSE))+(VLOOKUP(A152,EY!A:CE,83,FALSE)-VLOOKUP(A152,EY!A:CC,81,FALSE))</f>
        <v>39340.899861495847</v>
      </c>
      <c r="EO152" s="309"/>
      <c r="EP152" s="309">
        <f>_xlfn.IFNA((VLOOKUP($A152,HN!$A:$K,8,FALSE)/12),0)+_xlfn.IFNA((VLOOKUP($A152,HN!$A:$AF,32,FALSE)*1/12),0)</f>
        <v>0</v>
      </c>
      <c r="EQ152" s="309">
        <f>_xlfn.IFNA((VLOOKUP($A152,HN!$A:$BS,14,FALSE)/12),0)+_xlfn.IFNA((VLOOKUP($A152,HN!$A:$BS,34,FALSE)/3),0)</f>
        <v>0</v>
      </c>
      <c r="ER152" s="309">
        <f>_xlfn.IFNA(VLOOKUP($A152,'Post 16'!$A:$AV,32,FALSE),0)/8</f>
        <v>0</v>
      </c>
      <c r="ES152" s="309">
        <f>((VLOOKUP($A152,EY!A:EV,33,FALSE)*80%))+VLOOKUP(A152,EY!A:DD,108,FALSE)+VLOOKUP(A152,EY!A:CC,81,FALSE)</f>
        <v>0</v>
      </c>
      <c r="ET152" s="309">
        <f>_xlfn.IFNA((VLOOKUP($A152,HN!$A:$K,9,FALSE)/12),0)+_xlfn.IFNA((VLOOKUP($A152,HN!$A:$K,10,FALSE)/12),0)+_xlfn.IFNA((VLOOKUP($A152,HN!$A:$BZ,33,FALSE)/12),0)</f>
        <v>0</v>
      </c>
      <c r="EU152" s="309">
        <f>_xlfn.IFNA((VLOOKUP($A152,HN!$A:$BS,15,FALSE)/12),0)</f>
        <v>0</v>
      </c>
      <c r="EV152" s="308">
        <f t="shared" si="165"/>
        <v>-1325.7333333333333</v>
      </c>
      <c r="EW152" s="308">
        <f t="shared" si="166"/>
        <v>-7754.1725000000006</v>
      </c>
      <c r="EX152" s="309"/>
      <c r="EY152" s="309">
        <f>_xlfn.IFNA(VLOOKUP($A152,'Cash Advances'!$A:$S,17,FALSE),0)</f>
        <v>0</v>
      </c>
      <c r="EZ152" s="309">
        <f>_xlfn.IFNA(VLOOKUP(A152,'LA Deductions'!A:AZ,25,FALSE),0)/9</f>
        <v>0</v>
      </c>
      <c r="FA152" s="308">
        <f t="shared" si="177"/>
        <v>313553.81748834002</v>
      </c>
      <c r="FB152" s="315">
        <f t="shared" si="167"/>
        <v>283292.82346017752</v>
      </c>
      <c r="FC152" s="315"/>
      <c r="FD152" s="316"/>
      <c r="FE152" s="316">
        <f>_xlfn.IFNA((VLOOKUP($A152,HN!$A:$K,8,FALSE)/12),0)+_xlfn.IFNA((VLOOKUP($A152,HN!$A:$AF,32,FALSE)*1/12),0)</f>
        <v>0</v>
      </c>
      <c r="FF152" s="316">
        <f>_xlfn.IFNA((VLOOKUP($A152,HN!$A:$BS,14,FALSE)/12),0)+_xlfn.IFNA((VLOOKUP($A152,HN!$A:$BS,34,FALSE)/3),0)</f>
        <v>0</v>
      </c>
      <c r="FG152" s="316">
        <f>_xlfn.IFNA(VLOOKUP($A152,'Post 16'!$A:$AV,32,FALSE),0)/8</f>
        <v>0</v>
      </c>
      <c r="FH152" s="316"/>
      <c r="FI152" s="316">
        <f>_xlfn.IFNA((VLOOKUP($A152,HN!$A:$K,9,FALSE)/12),0)+_xlfn.IFNA((VLOOKUP($A152,HN!$A:$K,10,FALSE)/12),0)+_xlfn.IFNA((VLOOKUP($A152,HN!$A:$BZ,33,FALSE)/12),0)+_xlfn.IFNA((VLOOKUP($A152,HN!$A:$BZ,35,FALSE)/2),0)</f>
        <v>0</v>
      </c>
      <c r="FJ152" s="316">
        <f>_xlfn.IFNA((VLOOKUP($A152,HN!$A:$BS,15,FALSE)/12),0)+_xlfn.IFNA((VLOOKUP($A152,HN!$A:$CZ,36,FALSE)/2),0)</f>
        <v>0</v>
      </c>
      <c r="FK152" s="315">
        <f t="shared" si="168"/>
        <v>-1325.7333333333333</v>
      </c>
      <c r="FL152" s="315">
        <f t="shared" si="169"/>
        <v>-7754.1725000000006</v>
      </c>
      <c r="FM152" s="316"/>
      <c r="FN152" s="316">
        <f>_xlfn.IFNA(VLOOKUP($A152,'Cash Advances'!$A:$S,18,FALSE),0)</f>
        <v>0</v>
      </c>
      <c r="FO152" s="316">
        <f>_xlfn.IFNA(VLOOKUP(A152,'LA Deductions'!A:AZ,25,FALSE),0)/9</f>
        <v>0</v>
      </c>
      <c r="FP152" s="315">
        <f t="shared" si="178"/>
        <v>274212.9176268442</v>
      </c>
      <c r="FQ152" s="322">
        <f t="shared" si="170"/>
        <v>283292.82346017752</v>
      </c>
      <c r="FR152" s="322"/>
      <c r="FS152" s="323"/>
      <c r="FT152" s="323">
        <f>_xlfn.IFNA((VLOOKUP($A152,HN!$A:$K,8,FALSE)/12),0)+_xlfn.IFNA((VLOOKUP($A152,HN!$A:$AF,32,FALSE)*1/12),0)</f>
        <v>0</v>
      </c>
      <c r="FU152" s="323">
        <f>_xlfn.IFNA((VLOOKUP($A152,HN!$A:$BS,14,FALSE)/12),0)+_xlfn.IFNA((VLOOKUP($A152,HN!$A:$BS,34,FALSE)/3),0)</f>
        <v>0</v>
      </c>
      <c r="FV152" s="323">
        <f>_xlfn.IFNA(VLOOKUP($A152,'Post 16'!$A:$AV,32,FALSE),0)/8</f>
        <v>0</v>
      </c>
      <c r="FW152" s="323"/>
      <c r="FX152" s="323">
        <f>_xlfn.IFNA((VLOOKUP($A152,HN!$A:$K,9,FALSE)/12),0)+_xlfn.IFNA((VLOOKUP($A152,HN!$A:$K,10,FALSE)/12),0)+_xlfn.IFNA((VLOOKUP($A152,HN!$A:$BZ,33,FALSE)/12),0)+_xlfn.IFNA((VLOOKUP($A152,HN!$A:$BZ,35,FALSE)/2),0)</f>
        <v>0</v>
      </c>
      <c r="FY152" s="323">
        <f>_xlfn.IFNA((VLOOKUP($A152,HN!$A:$BS,15,FALSE)/12),0)+_xlfn.IFNA((VLOOKUP($A152,HN!$A:$CZ,36,FALSE)/2),0)</f>
        <v>0</v>
      </c>
      <c r="FZ152" s="322">
        <f t="shared" si="171"/>
        <v>-1325.7333333333333</v>
      </c>
      <c r="GA152" s="322">
        <f t="shared" si="172"/>
        <v>-7754.1725000000006</v>
      </c>
      <c r="GB152" s="323"/>
      <c r="GC152" s="323"/>
      <c r="GD152" s="323">
        <f>_xlfn.IFNA(VLOOKUP(A152,'LA Deductions'!A:AZ,25,FALSE),0)/9</f>
        <v>0</v>
      </c>
      <c r="GE152" s="322">
        <f t="shared" si="179"/>
        <v>274212.9176268442</v>
      </c>
      <c r="GG152" s="146">
        <f t="shared" si="182"/>
        <v>3519910.3447204684</v>
      </c>
      <c r="GH152" s="146">
        <f t="shared" si="182"/>
        <v>0</v>
      </c>
      <c r="GI152" s="146">
        <f t="shared" si="182"/>
        <v>0</v>
      </c>
      <c r="GJ152" s="146">
        <f t="shared" si="182"/>
        <v>-15908.800000000001</v>
      </c>
      <c r="GK152" s="146">
        <f t="shared" si="182"/>
        <v>-93050.07</v>
      </c>
      <c r="GL152" s="146">
        <f t="shared" si="182"/>
        <v>-18745.650000000001</v>
      </c>
      <c r="GN152" s="146">
        <f t="shared" si="183"/>
        <v>3519910.3447204684</v>
      </c>
      <c r="GO152" s="146">
        <f t="shared" si="183"/>
        <v>0</v>
      </c>
      <c r="GP152" s="146">
        <f t="shared" si="183"/>
        <v>0</v>
      </c>
      <c r="GQ152" s="146">
        <f t="shared" si="183"/>
        <v>-15908.800000000001</v>
      </c>
      <c r="GR152" s="146">
        <f t="shared" si="183"/>
        <v>-93050.07</v>
      </c>
      <c r="GS152" s="146">
        <f t="shared" si="183"/>
        <v>-18745.650000000001</v>
      </c>
      <c r="GU152" s="146"/>
      <c r="GV152" s="57"/>
    </row>
    <row r="153" spans="1:204">
      <c r="A153" s="185">
        <v>4193</v>
      </c>
      <c r="B153" s="185">
        <v>103501</v>
      </c>
      <c r="C153" s="185" t="s">
        <v>332</v>
      </c>
      <c r="D153" s="2" t="s">
        <v>333</v>
      </c>
      <c r="E153" s="191" t="s">
        <v>58</v>
      </c>
      <c r="F153" s="191" t="s">
        <v>912</v>
      </c>
      <c r="H153" s="279">
        <f>_xlfn.IFNA(VLOOKUP($A153,ISB!$A$4:$BY$454,67,FALSE),0)</f>
        <v>5210169.5346611654</v>
      </c>
      <c r="I153" s="279">
        <f>_xlfn.IFNA(VLOOKUP($A153,ISB!$A$4:$BY$454,72,FALSE),0)</f>
        <v>-13587.75</v>
      </c>
      <c r="J153" s="279">
        <f>-_xlfn.IFNA(VLOOKUP($A153,ISB!$A$4:$BY$454,76,FALSE),0)</f>
        <v>-126037.06</v>
      </c>
      <c r="K153" s="279">
        <f>_xlfn.IFNA(VLOOKUP($A153,ISB!$A$4:$BY$454,77,FALSE),0)</f>
        <v>5070544.7246611658</v>
      </c>
      <c r="M153" s="301">
        <f t="shared" si="137"/>
        <v>434180.79455509712</v>
      </c>
      <c r="N153" s="301">
        <f>VLOOKUP($A153,EY!$A:$H,8,FALSE)+(VLOOKUP($A153,EY!$A:$BS,17,FALSE)-S153)+VLOOKUP($A153,EY!$A:$BS,41,FALSE)</f>
        <v>0</v>
      </c>
      <c r="O153" s="302"/>
      <c r="P153" s="302">
        <f>_xlfn.IFNA((VLOOKUP($A153,HN!$A:$K,8,FALSE)/12),0)</f>
        <v>0</v>
      </c>
      <c r="Q153" s="302">
        <f>_xlfn.IFNA((VLOOKUP($A153,HN!$A:$BS,14,FALSE)/12),0)</f>
        <v>0</v>
      </c>
      <c r="R153" s="302">
        <f>_xlfn.IFNA(VLOOKUP($A153,'Post 16'!$A:$V,21,FALSE),0)/4</f>
        <v>0</v>
      </c>
      <c r="S153" s="302">
        <f>VLOOKUP($A153,EY!A:Q,15,FALSE)*80%</f>
        <v>0</v>
      </c>
      <c r="T153" s="302">
        <f>_xlfn.IFNA((VLOOKUP($A153,HN!$A:$K,9,FALSE)/12),0)+_xlfn.IFNA((VLOOKUP($A153,HN!$A:$K,10,FALSE)/12),0)</f>
        <v>0</v>
      </c>
      <c r="U153" s="302">
        <f>_xlfn.IFNA((VLOOKUP($A153,HN!$A:$BS,15,FALSE)/12),0)</f>
        <v>0</v>
      </c>
      <c r="V153" s="301">
        <f t="shared" si="138"/>
        <v>-1132.3125</v>
      </c>
      <c r="W153" s="301">
        <f t="shared" si="139"/>
        <v>-10503.088333333333</v>
      </c>
      <c r="X153" s="302"/>
      <c r="Y153" s="302">
        <f>_xlfn.IFNA(VLOOKUP($A153,'Cash Advances'!$A:$S,8,FALSE),0)</f>
        <v>0</v>
      </c>
      <c r="Z153" s="301">
        <f t="shared" si="132"/>
        <v>422545.3937217638</v>
      </c>
      <c r="AA153" s="315">
        <f t="shared" si="140"/>
        <v>434180.79455509712</v>
      </c>
      <c r="AB153" s="315"/>
      <c r="AC153" s="316"/>
      <c r="AD153" s="316">
        <f>_xlfn.IFNA((VLOOKUP($A153,HN!$A:$K,8,FALSE)/12),0)</f>
        <v>0</v>
      </c>
      <c r="AE153" s="316">
        <f>_xlfn.IFNA((VLOOKUP($A153,HN!$A:$BS,14,FALSE)/12),0)</f>
        <v>0</v>
      </c>
      <c r="AF153" s="316">
        <f>_xlfn.IFNA(VLOOKUP($A153,'Post 16'!$A:$V,21,FALSE),0)/4</f>
        <v>0</v>
      </c>
      <c r="AG153" s="316"/>
      <c r="AH153" s="316">
        <f>_xlfn.IFNA((VLOOKUP($A153,HN!$A:$K,9,FALSE)/12),0)+_xlfn.IFNA((VLOOKUP($A153,HN!$A:$K,10,FALSE)/12),0)</f>
        <v>0</v>
      </c>
      <c r="AI153" s="316">
        <f>_xlfn.IFNA((VLOOKUP($A153,HN!$A:$BS,15,FALSE)/12),0)</f>
        <v>0</v>
      </c>
      <c r="AJ153" s="315">
        <f t="shared" si="141"/>
        <v>-1132.3125</v>
      </c>
      <c r="AK153" s="315">
        <f t="shared" si="142"/>
        <v>-10503.088333333333</v>
      </c>
      <c r="AL153" s="316"/>
      <c r="AM153" s="316">
        <f>_xlfn.IFNA(VLOOKUP($A153,'Cash Advances'!$A:$S,9,FALSE),0)</f>
        <v>0</v>
      </c>
      <c r="AN153" s="315">
        <f t="shared" si="133"/>
        <v>422545.3937217638</v>
      </c>
      <c r="AO153" s="308">
        <f t="shared" si="143"/>
        <v>434180.79455509712</v>
      </c>
      <c r="AP153" s="308"/>
      <c r="AQ153" s="309"/>
      <c r="AR153" s="309">
        <f>_xlfn.IFNA((VLOOKUP($A153,HN!$A:$K,8,FALSE)/12),0)</f>
        <v>0</v>
      </c>
      <c r="AS153" s="309">
        <f>_xlfn.IFNA((VLOOKUP($A153,HN!$A:$BS,14,FALSE)/12),0)</f>
        <v>0</v>
      </c>
      <c r="AT153" s="309">
        <f>_xlfn.IFNA(VLOOKUP($A153,'Post 16'!$A:$V,21,FALSE),0)/4</f>
        <v>0</v>
      </c>
      <c r="AU153" s="309"/>
      <c r="AV153" s="309">
        <f>_xlfn.IFNA((VLOOKUP($A153,HN!$A:$K,9,FALSE)/12),0)+_xlfn.IFNA((VLOOKUP($A153,HN!$A:$K,10,FALSE)/12),0)+_xlfn.IFNA(VLOOKUP(A153,HN!A:V,19,FALSE),0)+_xlfn.IFNA(VLOOKUP(A153,HN!A:V,20,FALSE),0)+_xlfn.IFNA(VLOOKUP(A153,HN!A:V,21,FALSE),0)</f>
        <v>0</v>
      </c>
      <c r="AW153" s="309">
        <f>_xlfn.IFNA((VLOOKUP($A153,HN!$A:$BS,15,FALSE)/12),0)</f>
        <v>0</v>
      </c>
      <c r="AX153" s="308">
        <f t="shared" si="144"/>
        <v>-1132.3125</v>
      </c>
      <c r="AY153" s="308">
        <f t="shared" si="145"/>
        <v>-10503.088333333333</v>
      </c>
      <c r="AZ153" s="309"/>
      <c r="BA153" s="309">
        <f>_xlfn.IFNA(VLOOKUP($A153,'Cash Advances'!$A:$S,10,FALSE),0)</f>
        <v>0</v>
      </c>
      <c r="BB153" s="308">
        <f t="shared" si="134"/>
        <v>422545.3937217638</v>
      </c>
      <c r="BC153" s="330">
        <f t="shared" si="146"/>
        <v>434180.79455509712</v>
      </c>
      <c r="BD153" s="330"/>
      <c r="BE153" s="331"/>
      <c r="BF153" s="331">
        <f>_xlfn.IFNA((VLOOKUP($A153,HN!$A:$K,8,FALSE)/12),0)</f>
        <v>0</v>
      </c>
      <c r="BG153" s="331">
        <f>_xlfn.IFNA((VLOOKUP($A153,HN!$A:$BS,14,FALSE)/12),0)</f>
        <v>0</v>
      </c>
      <c r="BH153" s="331">
        <f>_xlfn.IFNA(VLOOKUP($A153,'Post 16'!$A:$V,21,FALSE),0)/4</f>
        <v>0</v>
      </c>
      <c r="BI153" s="331"/>
      <c r="BJ153" s="331">
        <f>_xlfn.IFNA((VLOOKUP($A153,HN!$A:$K,9,FALSE)/12),0)+_xlfn.IFNA((VLOOKUP($A153,HN!$A:$K,10,FALSE)/12),0)</f>
        <v>0</v>
      </c>
      <c r="BK153" s="331">
        <f>_xlfn.IFNA((VLOOKUP($A153,HN!$A:$BS,15,FALSE)/12),0)</f>
        <v>0</v>
      </c>
      <c r="BL153" s="330">
        <f t="shared" si="147"/>
        <v>-1132.3125</v>
      </c>
      <c r="BM153" s="330">
        <f t="shared" si="148"/>
        <v>-10503.088333333333</v>
      </c>
      <c r="BN153" s="331"/>
      <c r="BO153" s="331">
        <f>_xlfn.IFNA(VLOOKUP(A153,'Cash Advances'!A:K,11,FALSE),0)</f>
        <v>0</v>
      </c>
      <c r="BP153" s="330">
        <f t="shared" si="135"/>
        <v>422545.3937217638</v>
      </c>
      <c r="BQ153" s="322">
        <f t="shared" si="149"/>
        <v>434180.79455509712</v>
      </c>
      <c r="BR153" s="322"/>
      <c r="BS153" s="323"/>
      <c r="BT153" s="323">
        <f>_xlfn.IFNA((VLOOKUP($A153,HN!$A:$K,8,FALSE)/12),0)</f>
        <v>0</v>
      </c>
      <c r="BU153" s="323">
        <f>_xlfn.IFNA((VLOOKUP($A153,HN!$A:$BS,14,FALSE)/12),0)</f>
        <v>0</v>
      </c>
      <c r="BV153" s="323">
        <f>(_xlfn.IFNA(VLOOKUP($A153,'Post 16'!$A:$AV,32,FALSE),0)/8)+_xlfn.IFNA(VLOOKUP($A153,'Post 16'!$A:$AR,40,FALSE),0)</f>
        <v>0</v>
      </c>
      <c r="BW153" s="323"/>
      <c r="BX153" s="323">
        <f>_xlfn.IFNA((VLOOKUP($A153,HN!$A:$K,9,FALSE)/12),0)+_xlfn.IFNA((VLOOKUP($A153,HN!$A:$K,10,FALSE)/12),0)</f>
        <v>0</v>
      </c>
      <c r="BY153" s="323">
        <f>_xlfn.IFNA((VLOOKUP($A153,HN!$A:$BS,15,FALSE)/12),0)</f>
        <v>0</v>
      </c>
      <c r="BZ153" s="322">
        <f t="shared" si="150"/>
        <v>-1132.3125</v>
      </c>
      <c r="CA153" s="322">
        <f t="shared" si="151"/>
        <v>-10503.088333333333</v>
      </c>
      <c r="CB153" s="323"/>
      <c r="CC153" s="323"/>
      <c r="CD153" s="322">
        <f t="shared" si="136"/>
        <v>422545.3937217638</v>
      </c>
      <c r="CE153" s="357">
        <f t="shared" si="152"/>
        <v>434180.79455509712</v>
      </c>
      <c r="CF153" s="357">
        <f>(VLOOKUP($A153,EY!$A:$BS,26,FALSE)-(VLOOKUP($A153,EY!A:CR,24,FALSE)*80%))+VLOOKUP($A153,EY!$A:$BS,42,FALSE)+(VLOOKUP($A153,EY!A:CC,74,FALSE)-VLOOKUP($A153,EY!A:CC,72,FALSE))</f>
        <v>0</v>
      </c>
      <c r="CG153" s="358"/>
      <c r="CH153" s="358">
        <f>_xlfn.IFNA((VLOOKUP($A153,HN!$A:$K,8,FALSE)/12),0)</f>
        <v>0</v>
      </c>
      <c r="CI153" s="358">
        <f>_xlfn.IFNA((VLOOKUP($A153,HN!$A:$BS,14,FALSE)/12),0)</f>
        <v>0</v>
      </c>
      <c r="CJ153" s="358">
        <f>(_xlfn.IFNA(VLOOKUP($A153,'Post 16'!$A:$AV,32,FALSE),0)/8)</f>
        <v>0</v>
      </c>
      <c r="CK153" s="358">
        <f>(VLOOKUP($A153,EY!A:CR,24,FALSE)*80%)+VLOOKUP($A153,EY!A:CC,72,FALSE)</f>
        <v>0</v>
      </c>
      <c r="CL153" s="358">
        <f>_xlfn.IFNA((VLOOKUP($A153,HN!$A:$K,9,FALSE)/12),0)+_xlfn.IFNA((VLOOKUP($A153,HN!$A:$K,10,FALSE)/12),0)</f>
        <v>0</v>
      </c>
      <c r="CM153" s="358">
        <f>_xlfn.IFNA((VLOOKUP($A153,HN!$A:$BS,15,FALSE)/12),0)</f>
        <v>0</v>
      </c>
      <c r="CN153" s="357">
        <f t="shared" si="153"/>
        <v>-1132.3125</v>
      </c>
      <c r="CO153" s="357">
        <f t="shared" si="154"/>
        <v>-10503.088333333333</v>
      </c>
      <c r="CP153" s="358">
        <f>_xlfn.IFNA(VLOOKUP(A153,'LA Deductions'!A:W,23,FALSE),0)</f>
        <v>-18745.650000000001</v>
      </c>
      <c r="CQ153" s="358">
        <f>_xlfn.IFNA(VLOOKUP($A153,'Cash Advances'!$A:$S,13,FALSE),0)</f>
        <v>0</v>
      </c>
      <c r="CR153" s="358">
        <f>_xlfn.IFNA(VLOOKUP(A153,'LA Deductions'!A:AZ,25,FALSE),0)/9*3</f>
        <v>0</v>
      </c>
      <c r="CS153" s="357">
        <f t="shared" si="173"/>
        <v>403799.74372176378</v>
      </c>
      <c r="CT153" s="337">
        <f t="shared" si="155"/>
        <v>434180.79455509712</v>
      </c>
      <c r="CU153" s="337"/>
      <c r="CV153" s="338">
        <f>_xlfn.IFNA(VLOOKUP(A153,'LA Deductions'!$A$6:$AN$207,34,FALSE),0)</f>
        <v>-6434.5177999999996</v>
      </c>
      <c r="CW153" s="338">
        <f>_xlfn.IFNA((VLOOKUP($A153,HN!$A:$K,8,FALSE)/12),0)</f>
        <v>0</v>
      </c>
      <c r="CX153" s="338">
        <f>_xlfn.IFNA((VLOOKUP($A153,HN!$A:$BS,14,FALSE)/12),0)</f>
        <v>0</v>
      </c>
      <c r="CY153" s="338">
        <f>_xlfn.IFNA(VLOOKUP($A153,'Post 16'!$A:$AV,32,FALSE),0)/8</f>
        <v>0</v>
      </c>
      <c r="CZ153" s="338"/>
      <c r="DA153" s="338">
        <f>_xlfn.IFNA((VLOOKUP($A153,HN!$A:$K,9,FALSE)/12),0)+_xlfn.IFNA((VLOOKUP($A153,HN!$A:$K,10,FALSE)/12),0)</f>
        <v>0</v>
      </c>
      <c r="DB153" s="338">
        <f>_xlfn.IFNA((VLOOKUP($A153,HN!$A:$BS,15,FALSE)/12),0)</f>
        <v>0</v>
      </c>
      <c r="DC153" s="337">
        <f t="shared" si="156"/>
        <v>-1132.3125</v>
      </c>
      <c r="DD153" s="337">
        <f t="shared" si="157"/>
        <v>-10503.088333333333</v>
      </c>
      <c r="DE153" s="338"/>
      <c r="DF153" s="338">
        <f>_xlfn.IFNA(VLOOKUP($A153,'Cash Advances'!$A:$S,14,FALSE),0)</f>
        <v>0</v>
      </c>
      <c r="DG153" s="338">
        <f>(_xlfn.IFNA(VLOOKUP(A153,'LA Deductions'!A:AZ,25,FALSE),0)/9)+(_xlfn.IFNA(VLOOKUP(A153,'LA Deductions'!A:AZ,26,FALSE),0))</f>
        <v>1442.64</v>
      </c>
      <c r="DH153" s="337">
        <f t="shared" si="174"/>
        <v>417553.51592176384</v>
      </c>
      <c r="DI153" s="330">
        <f t="shared" si="158"/>
        <v>434180.79455509712</v>
      </c>
      <c r="DJ153" s="330"/>
      <c r="DK153" s="331"/>
      <c r="DL153" s="331">
        <f>_xlfn.IFNA((VLOOKUP($A153,HN!$A:$K,8,FALSE)/12),0)+_xlfn.IFNA((VLOOKUP($A153,HN!$A:$AF,32,FALSE)*8/12),0)</f>
        <v>0</v>
      </c>
      <c r="DM153" s="331">
        <f>_xlfn.IFNA((VLOOKUP($A153,HN!$A:$BS,14,FALSE)/12),0)+_xlfn.IFNA(VLOOKUP($A153,HN!$A:$BS,31,FALSE),0)</f>
        <v>0</v>
      </c>
      <c r="DN153" s="331">
        <f>_xlfn.IFNA(VLOOKUP($A153,'Post 16'!$A:$AV,32,FALSE),0)/8</f>
        <v>0</v>
      </c>
      <c r="DO153" s="331"/>
      <c r="DP153" s="331">
        <f>_xlfn.IFNA((VLOOKUP($A153,HN!$A:$K,9,FALSE)/12),0)+_xlfn.IFNA((VLOOKUP($A153,HN!$A:$K,10,FALSE)/12),0)+_xlfn.IFNA((VLOOKUP($A153,HN!$A:$BZ,33,FALSE)*8/12),0)</f>
        <v>0</v>
      </c>
      <c r="DQ153" s="331">
        <f>_xlfn.IFNA((VLOOKUP($A153,HN!$A:$BS,15,FALSE)/12),0)</f>
        <v>0</v>
      </c>
      <c r="DR153" s="330">
        <f t="shared" si="159"/>
        <v>-1132.3125</v>
      </c>
      <c r="DS153" s="330">
        <f t="shared" si="160"/>
        <v>-10503.088333333333</v>
      </c>
      <c r="DT153" s="331"/>
      <c r="DU153" s="331"/>
      <c r="DV153" s="331">
        <f>(_xlfn.IFNA(VLOOKUP(A153,'LA Deductions'!A:AZ,25,FALSE),0)/9)+_xlfn.IFNA(VLOOKUP(A153,'LA Deductions'!A:AZ,27,FALSE),0)</f>
        <v>0</v>
      </c>
      <c r="DW153" s="330">
        <f t="shared" si="175"/>
        <v>422545.3937217638</v>
      </c>
      <c r="DX153" s="344">
        <f t="shared" si="161"/>
        <v>434180.79455509712</v>
      </c>
      <c r="DY153" s="344"/>
      <c r="DZ153" s="345"/>
      <c r="EA153" s="345">
        <f>_xlfn.IFNA((VLOOKUP($A153,HN!$A:$K,8,FALSE)/12),0)+_xlfn.IFNA((VLOOKUP($A153,HN!$A:$AF,32,FALSE)*1/12),0)</f>
        <v>0</v>
      </c>
      <c r="EB153" s="345">
        <f>_xlfn.IFNA((VLOOKUP($A153,HN!$A:$BS,14,FALSE)/12),0)</f>
        <v>0</v>
      </c>
      <c r="EC153" s="345">
        <f>_xlfn.IFNA(VLOOKUP($A153,'Post 16'!$A:$AV,32,FALSE),0)/8</f>
        <v>0</v>
      </c>
      <c r="ED153" s="345"/>
      <c r="EE153" s="345">
        <f>_xlfn.IFNA((VLOOKUP($A153,HN!$A:$K,9,FALSE)/12),0)+_xlfn.IFNA((VLOOKUP($A153,HN!$A:$K,10,FALSE)/12),0)+_xlfn.IFNA((VLOOKUP($A153,HN!$A:$BZ,33,FALSE)/12),0)</f>
        <v>0</v>
      </c>
      <c r="EF153" s="345">
        <f>_xlfn.IFNA((VLOOKUP($A153,HN!$A:$BS,15,FALSE)/12),0)</f>
        <v>0</v>
      </c>
      <c r="EG153" s="344">
        <f t="shared" si="162"/>
        <v>-1132.3125</v>
      </c>
      <c r="EH153" s="344">
        <f t="shared" si="163"/>
        <v>-10503.088333333333</v>
      </c>
      <c r="EI153" s="345"/>
      <c r="EJ153" s="345">
        <f>_xlfn.IFNA(VLOOKUP(A153,'Cash Advances'!A:P,16,FALSE),0)</f>
        <v>0</v>
      </c>
      <c r="EK153" s="345">
        <f>_xlfn.IFNA(VLOOKUP(A153,'LA Deductions'!A:AZ,25,FALSE),0)/9</f>
        <v>0</v>
      </c>
      <c r="EL153" s="344">
        <f t="shared" si="176"/>
        <v>422545.3937217638</v>
      </c>
      <c r="EM153" s="308">
        <f t="shared" si="164"/>
        <v>434180.79455509712</v>
      </c>
      <c r="EN153" s="308">
        <f>((VLOOKUP($A153,EY!$A:$BS,35,FALSE)-(VLOOKUP($A153,EY!$A:$BS,33,FALSE)*80%))+VLOOKUP($A153,EY!$A:$BS,43,FALSE))+(VLOOKUP(A153,EY!A:DF,110,FALSE)-VLOOKUP(A153,EY!A:DD,108,FALSE))+(VLOOKUP(A153,EY!A:CE,83,FALSE)-VLOOKUP(A153,EY!A:CC,81,FALSE))</f>
        <v>0</v>
      </c>
      <c r="EO153" s="309"/>
      <c r="EP153" s="309">
        <f>_xlfn.IFNA((VLOOKUP($A153,HN!$A:$K,8,FALSE)/12),0)+_xlfn.IFNA((VLOOKUP($A153,HN!$A:$AF,32,FALSE)*1/12),0)</f>
        <v>0</v>
      </c>
      <c r="EQ153" s="309">
        <f>_xlfn.IFNA((VLOOKUP($A153,HN!$A:$BS,14,FALSE)/12),0)+_xlfn.IFNA((VLOOKUP($A153,HN!$A:$BS,34,FALSE)/3),0)</f>
        <v>0</v>
      </c>
      <c r="ER153" s="309">
        <f>_xlfn.IFNA(VLOOKUP($A153,'Post 16'!$A:$AV,32,FALSE),0)/8</f>
        <v>0</v>
      </c>
      <c r="ES153" s="309">
        <f>((VLOOKUP($A153,EY!A:EV,33,FALSE)*80%))+VLOOKUP(A153,EY!A:DD,108,FALSE)+VLOOKUP(A153,EY!A:CC,81,FALSE)</f>
        <v>0</v>
      </c>
      <c r="ET153" s="309">
        <f>_xlfn.IFNA((VLOOKUP($A153,HN!$A:$K,9,FALSE)/12),0)+_xlfn.IFNA((VLOOKUP($A153,HN!$A:$K,10,FALSE)/12),0)+_xlfn.IFNA((VLOOKUP($A153,HN!$A:$BZ,33,FALSE)/12),0)</f>
        <v>0</v>
      </c>
      <c r="EU153" s="309">
        <f>_xlfn.IFNA((VLOOKUP($A153,HN!$A:$BS,15,FALSE)/12),0)</f>
        <v>0</v>
      </c>
      <c r="EV153" s="308">
        <f t="shared" si="165"/>
        <v>-1132.3125</v>
      </c>
      <c r="EW153" s="308">
        <f t="shared" si="166"/>
        <v>-10503.088333333333</v>
      </c>
      <c r="EX153" s="309"/>
      <c r="EY153" s="309">
        <f>_xlfn.IFNA(VLOOKUP($A153,'Cash Advances'!$A:$S,17,FALSE),0)</f>
        <v>0</v>
      </c>
      <c r="EZ153" s="309">
        <f>_xlfn.IFNA(VLOOKUP(A153,'LA Deductions'!A:AZ,25,FALSE),0)/9</f>
        <v>0</v>
      </c>
      <c r="FA153" s="308">
        <f t="shared" si="177"/>
        <v>422545.3937217638</v>
      </c>
      <c r="FB153" s="315">
        <f t="shared" si="167"/>
        <v>434180.79455509712</v>
      </c>
      <c r="FC153" s="315"/>
      <c r="FD153" s="316"/>
      <c r="FE153" s="316">
        <f>_xlfn.IFNA((VLOOKUP($A153,HN!$A:$K,8,FALSE)/12),0)+_xlfn.IFNA((VLOOKUP($A153,HN!$A:$AF,32,FALSE)*1/12),0)</f>
        <v>0</v>
      </c>
      <c r="FF153" s="316">
        <f>_xlfn.IFNA((VLOOKUP($A153,HN!$A:$BS,14,FALSE)/12),0)+_xlfn.IFNA((VLOOKUP($A153,HN!$A:$BS,34,FALSE)/3),0)</f>
        <v>0</v>
      </c>
      <c r="FG153" s="316">
        <f>_xlfn.IFNA(VLOOKUP($A153,'Post 16'!$A:$AV,32,FALSE),0)/8</f>
        <v>0</v>
      </c>
      <c r="FH153" s="316"/>
      <c r="FI153" s="316">
        <f>_xlfn.IFNA((VLOOKUP($A153,HN!$A:$K,9,FALSE)/12),0)+_xlfn.IFNA((VLOOKUP($A153,HN!$A:$K,10,FALSE)/12),0)+_xlfn.IFNA((VLOOKUP($A153,HN!$A:$BZ,33,FALSE)/12),0)+_xlfn.IFNA((VLOOKUP($A153,HN!$A:$BZ,35,FALSE)/2),0)</f>
        <v>0</v>
      </c>
      <c r="FJ153" s="316">
        <f>_xlfn.IFNA((VLOOKUP($A153,HN!$A:$BS,15,FALSE)/12),0)+_xlfn.IFNA((VLOOKUP($A153,HN!$A:$CZ,36,FALSE)/2),0)</f>
        <v>0</v>
      </c>
      <c r="FK153" s="315">
        <f t="shared" si="168"/>
        <v>-1132.3125</v>
      </c>
      <c r="FL153" s="315">
        <f t="shared" si="169"/>
        <v>-10503.088333333333</v>
      </c>
      <c r="FM153" s="316"/>
      <c r="FN153" s="316">
        <f>_xlfn.IFNA(VLOOKUP($A153,'Cash Advances'!$A:$S,18,FALSE),0)</f>
        <v>0</v>
      </c>
      <c r="FO153" s="316">
        <f>_xlfn.IFNA(VLOOKUP(A153,'LA Deductions'!A:AZ,25,FALSE),0)/9</f>
        <v>0</v>
      </c>
      <c r="FP153" s="315">
        <f t="shared" si="178"/>
        <v>422545.3937217638</v>
      </c>
      <c r="FQ153" s="322">
        <f t="shared" si="170"/>
        <v>434180.79455509712</v>
      </c>
      <c r="FR153" s="322"/>
      <c r="FS153" s="323"/>
      <c r="FT153" s="323">
        <f>_xlfn.IFNA((VLOOKUP($A153,HN!$A:$K,8,FALSE)/12),0)+_xlfn.IFNA((VLOOKUP($A153,HN!$A:$AF,32,FALSE)*1/12),0)</f>
        <v>0</v>
      </c>
      <c r="FU153" s="323">
        <f>_xlfn.IFNA((VLOOKUP($A153,HN!$A:$BS,14,FALSE)/12),0)+_xlfn.IFNA((VLOOKUP($A153,HN!$A:$BS,34,FALSE)/3),0)</f>
        <v>0</v>
      </c>
      <c r="FV153" s="323">
        <f>_xlfn.IFNA(VLOOKUP($A153,'Post 16'!$A:$AV,32,FALSE),0)/8</f>
        <v>0</v>
      </c>
      <c r="FW153" s="323"/>
      <c r="FX153" s="323">
        <f>_xlfn.IFNA((VLOOKUP($A153,HN!$A:$K,9,FALSE)/12),0)+_xlfn.IFNA((VLOOKUP($A153,HN!$A:$K,10,FALSE)/12),0)+_xlfn.IFNA((VLOOKUP($A153,HN!$A:$BZ,33,FALSE)/12),0)+_xlfn.IFNA((VLOOKUP($A153,HN!$A:$BZ,35,FALSE)/2),0)</f>
        <v>0</v>
      </c>
      <c r="FY153" s="323">
        <f>_xlfn.IFNA((VLOOKUP($A153,HN!$A:$BS,15,FALSE)/12),0)+_xlfn.IFNA((VLOOKUP($A153,HN!$A:$CZ,36,FALSE)/2),0)</f>
        <v>0</v>
      </c>
      <c r="FZ153" s="322">
        <f t="shared" si="171"/>
        <v>-1132.3125</v>
      </c>
      <c r="GA153" s="322">
        <f t="shared" si="172"/>
        <v>-10503.088333333333</v>
      </c>
      <c r="GB153" s="323"/>
      <c r="GC153" s="323"/>
      <c r="GD153" s="323">
        <f>_xlfn.IFNA(VLOOKUP(A153,'LA Deductions'!A:AZ,25,FALSE),0)/9</f>
        <v>0</v>
      </c>
      <c r="GE153" s="322">
        <f t="shared" si="179"/>
        <v>422545.3937217638</v>
      </c>
      <c r="GG153" s="146">
        <f t="shared" si="182"/>
        <v>5203735.016861164</v>
      </c>
      <c r="GH153" s="146">
        <f t="shared" si="182"/>
        <v>0</v>
      </c>
      <c r="GI153" s="146">
        <f t="shared" si="182"/>
        <v>0</v>
      </c>
      <c r="GJ153" s="146">
        <f t="shared" si="182"/>
        <v>-13587.75</v>
      </c>
      <c r="GK153" s="146">
        <f t="shared" si="182"/>
        <v>-126037.06</v>
      </c>
      <c r="GL153" s="146">
        <f t="shared" si="182"/>
        <v>-18745.650000000001</v>
      </c>
      <c r="GN153" s="146">
        <f t="shared" si="183"/>
        <v>5203735.016861164</v>
      </c>
      <c r="GO153" s="146">
        <f t="shared" si="183"/>
        <v>0</v>
      </c>
      <c r="GP153" s="146">
        <f t="shared" si="183"/>
        <v>0</v>
      </c>
      <c r="GQ153" s="146">
        <f t="shared" si="183"/>
        <v>-13587.75</v>
      </c>
      <c r="GR153" s="146">
        <f t="shared" si="183"/>
        <v>-126037.06</v>
      </c>
      <c r="GS153" s="146">
        <f t="shared" si="183"/>
        <v>-18745.650000000001</v>
      </c>
      <c r="GU153" s="146"/>
      <c r="GV153" s="57"/>
    </row>
    <row r="154" spans="1:204">
      <c r="A154" s="185">
        <v>2478</v>
      </c>
      <c r="B154" s="185">
        <v>132007</v>
      </c>
      <c r="C154" s="185" t="s">
        <v>334</v>
      </c>
      <c r="D154" s="2" t="s">
        <v>335</v>
      </c>
      <c r="E154" s="191" t="s">
        <v>32</v>
      </c>
      <c r="F154" s="191" t="s">
        <v>912</v>
      </c>
      <c r="H154" s="279">
        <f>_xlfn.IFNA(VLOOKUP($A154,ISB!$A$4:$BY$454,67,FALSE),0)</f>
        <v>2148019.58</v>
      </c>
      <c r="I154" s="279">
        <f>_xlfn.IFNA(VLOOKUP($A154,ISB!$A$4:$BY$454,72,FALSE),0)</f>
        <v>-11057.92</v>
      </c>
      <c r="J154" s="279">
        <f>-_xlfn.IFNA(VLOOKUP($A154,ISB!$A$4:$BY$454,76,FALSE),0)</f>
        <v>-47099.58</v>
      </c>
      <c r="K154" s="279">
        <f>_xlfn.IFNA(VLOOKUP($A154,ISB!$A$4:$BY$454,77,FALSE),0)</f>
        <v>2089862.08</v>
      </c>
      <c r="M154" s="301">
        <f t="shared" si="137"/>
        <v>179001.63166666668</v>
      </c>
      <c r="N154" s="301">
        <f>VLOOKUP($A154,EY!$A:$H,8,FALSE)+(VLOOKUP($A154,EY!$A:$BS,17,FALSE)-S154)+VLOOKUP($A154,EY!$A:$BS,41,FALSE)</f>
        <v>45951.360000000008</v>
      </c>
      <c r="O154" s="302"/>
      <c r="P154" s="302">
        <f>_xlfn.IFNA((VLOOKUP($A154,HN!$A:$K,8,FALSE)/12),0)</f>
        <v>0</v>
      </c>
      <c r="Q154" s="302">
        <f>_xlfn.IFNA((VLOOKUP($A154,HN!$A:$BS,14,FALSE)/12),0)</f>
        <v>0</v>
      </c>
      <c r="R154" s="302">
        <f>_xlfn.IFNA(VLOOKUP($A154,'Post 16'!$A:$V,21,FALSE),0)/4</f>
        <v>0</v>
      </c>
      <c r="S154" s="302">
        <f>VLOOKUP($A154,EY!A:Q,15,FALSE)*80%</f>
        <v>0</v>
      </c>
      <c r="T154" s="302">
        <f>_xlfn.IFNA((VLOOKUP($A154,HN!$A:$K,9,FALSE)/12),0)+_xlfn.IFNA((VLOOKUP($A154,HN!$A:$K,10,FALSE)/12),0)</f>
        <v>0</v>
      </c>
      <c r="U154" s="302">
        <f>_xlfn.IFNA((VLOOKUP($A154,HN!$A:$BS,15,FALSE)/12),0)</f>
        <v>0</v>
      </c>
      <c r="V154" s="301">
        <f t="shared" si="138"/>
        <v>-921.49333333333334</v>
      </c>
      <c r="W154" s="301">
        <f t="shared" si="139"/>
        <v>-3924.9650000000001</v>
      </c>
      <c r="X154" s="302"/>
      <c r="Y154" s="302">
        <f>_xlfn.IFNA(VLOOKUP($A154,'Cash Advances'!$A:$S,8,FALSE),0)</f>
        <v>0</v>
      </c>
      <c r="Z154" s="301">
        <f t="shared" si="132"/>
        <v>220106.53333333335</v>
      </c>
      <c r="AA154" s="315">
        <f t="shared" si="140"/>
        <v>179001.63166666668</v>
      </c>
      <c r="AB154" s="315"/>
      <c r="AC154" s="316"/>
      <c r="AD154" s="316">
        <f>_xlfn.IFNA((VLOOKUP($A154,HN!$A:$K,8,FALSE)/12),0)</f>
        <v>0</v>
      </c>
      <c r="AE154" s="316">
        <f>_xlfn.IFNA((VLOOKUP($A154,HN!$A:$BS,14,FALSE)/12),0)</f>
        <v>0</v>
      </c>
      <c r="AF154" s="316">
        <f>_xlfn.IFNA(VLOOKUP($A154,'Post 16'!$A:$V,21,FALSE),0)/4</f>
        <v>0</v>
      </c>
      <c r="AG154" s="316"/>
      <c r="AH154" s="316">
        <f>_xlfn.IFNA((VLOOKUP($A154,HN!$A:$K,9,FALSE)/12),0)+_xlfn.IFNA((VLOOKUP($A154,HN!$A:$K,10,FALSE)/12),0)</f>
        <v>0</v>
      </c>
      <c r="AI154" s="316">
        <f>_xlfn.IFNA((VLOOKUP($A154,HN!$A:$BS,15,FALSE)/12),0)</f>
        <v>0</v>
      </c>
      <c r="AJ154" s="315">
        <f t="shared" si="141"/>
        <v>-921.49333333333334</v>
      </c>
      <c r="AK154" s="315">
        <f t="shared" si="142"/>
        <v>-3924.9650000000001</v>
      </c>
      <c r="AL154" s="316"/>
      <c r="AM154" s="316">
        <f>_xlfn.IFNA(VLOOKUP($A154,'Cash Advances'!$A:$S,9,FALSE),0)</f>
        <v>0</v>
      </c>
      <c r="AN154" s="315">
        <f t="shared" si="133"/>
        <v>174155.17333333334</v>
      </c>
      <c r="AO154" s="308">
        <f t="shared" si="143"/>
        <v>179001.63166666668</v>
      </c>
      <c r="AP154" s="308"/>
      <c r="AQ154" s="309"/>
      <c r="AR154" s="309">
        <f>_xlfn.IFNA((VLOOKUP($A154,HN!$A:$K,8,FALSE)/12),0)</f>
        <v>0</v>
      </c>
      <c r="AS154" s="309">
        <f>_xlfn.IFNA((VLOOKUP($A154,HN!$A:$BS,14,FALSE)/12),0)</f>
        <v>0</v>
      </c>
      <c r="AT154" s="309">
        <f>_xlfn.IFNA(VLOOKUP($A154,'Post 16'!$A:$V,21,FALSE),0)/4</f>
        <v>0</v>
      </c>
      <c r="AU154" s="309"/>
      <c r="AV154" s="309">
        <f>_xlfn.IFNA((VLOOKUP($A154,HN!$A:$K,9,FALSE)/12),0)+_xlfn.IFNA((VLOOKUP($A154,HN!$A:$K,10,FALSE)/12),0)+_xlfn.IFNA(VLOOKUP(A154,HN!A:V,19,FALSE),0)+_xlfn.IFNA(VLOOKUP(A154,HN!A:V,20,FALSE),0)+_xlfn.IFNA(VLOOKUP(A154,HN!A:V,21,FALSE),0)</f>
        <v>0</v>
      </c>
      <c r="AW154" s="309">
        <f>_xlfn.IFNA((VLOOKUP($A154,HN!$A:$BS,15,FALSE)/12),0)</f>
        <v>0</v>
      </c>
      <c r="AX154" s="308">
        <f t="shared" si="144"/>
        <v>-921.49333333333334</v>
      </c>
      <c r="AY154" s="308">
        <f t="shared" si="145"/>
        <v>-3924.9650000000001</v>
      </c>
      <c r="AZ154" s="309"/>
      <c r="BA154" s="309">
        <f>_xlfn.IFNA(VLOOKUP($A154,'Cash Advances'!$A:$S,10,FALSE),0)</f>
        <v>0</v>
      </c>
      <c r="BB154" s="308">
        <f t="shared" si="134"/>
        <v>174155.17333333334</v>
      </c>
      <c r="BC154" s="330">
        <f t="shared" si="146"/>
        <v>179001.63166666668</v>
      </c>
      <c r="BD154" s="330"/>
      <c r="BE154" s="331"/>
      <c r="BF154" s="331">
        <f>_xlfn.IFNA((VLOOKUP($A154,HN!$A:$K,8,FALSE)/12),0)</f>
        <v>0</v>
      </c>
      <c r="BG154" s="331">
        <f>_xlfn.IFNA((VLOOKUP($A154,HN!$A:$BS,14,FALSE)/12),0)</f>
        <v>0</v>
      </c>
      <c r="BH154" s="331">
        <f>_xlfn.IFNA(VLOOKUP($A154,'Post 16'!$A:$V,21,FALSE),0)/4</f>
        <v>0</v>
      </c>
      <c r="BI154" s="331"/>
      <c r="BJ154" s="331">
        <f>_xlfn.IFNA((VLOOKUP($A154,HN!$A:$K,9,FALSE)/12),0)+_xlfn.IFNA((VLOOKUP($A154,HN!$A:$K,10,FALSE)/12),0)</f>
        <v>0</v>
      </c>
      <c r="BK154" s="331">
        <f>_xlfn.IFNA((VLOOKUP($A154,HN!$A:$BS,15,FALSE)/12),0)</f>
        <v>0</v>
      </c>
      <c r="BL154" s="330">
        <f t="shared" si="147"/>
        <v>-921.49333333333334</v>
      </c>
      <c r="BM154" s="330">
        <f t="shared" si="148"/>
        <v>-3924.9650000000001</v>
      </c>
      <c r="BN154" s="331"/>
      <c r="BO154" s="331">
        <f>_xlfn.IFNA(VLOOKUP(A154,'Cash Advances'!A:K,11,FALSE),0)</f>
        <v>0</v>
      </c>
      <c r="BP154" s="330">
        <f t="shared" si="135"/>
        <v>174155.17333333334</v>
      </c>
      <c r="BQ154" s="322">
        <f t="shared" si="149"/>
        <v>179001.63166666668</v>
      </c>
      <c r="BR154" s="322"/>
      <c r="BS154" s="323"/>
      <c r="BT154" s="323">
        <f>_xlfn.IFNA((VLOOKUP($A154,HN!$A:$K,8,FALSE)/12),0)</f>
        <v>0</v>
      </c>
      <c r="BU154" s="323">
        <f>_xlfn.IFNA((VLOOKUP($A154,HN!$A:$BS,14,FALSE)/12),0)</f>
        <v>0</v>
      </c>
      <c r="BV154" s="323">
        <f>(_xlfn.IFNA(VLOOKUP($A154,'Post 16'!$A:$AV,32,FALSE),0)/8)+_xlfn.IFNA(VLOOKUP($A154,'Post 16'!$A:$AR,40,FALSE),0)</f>
        <v>0</v>
      </c>
      <c r="BW154" s="323"/>
      <c r="BX154" s="323">
        <f>_xlfn.IFNA((VLOOKUP($A154,HN!$A:$K,9,FALSE)/12),0)+_xlfn.IFNA((VLOOKUP($A154,HN!$A:$K,10,FALSE)/12),0)</f>
        <v>0</v>
      </c>
      <c r="BY154" s="323">
        <f>_xlfn.IFNA((VLOOKUP($A154,HN!$A:$BS,15,FALSE)/12),0)</f>
        <v>0</v>
      </c>
      <c r="BZ154" s="322">
        <f t="shared" si="150"/>
        <v>-921.49333333333334</v>
      </c>
      <c r="CA154" s="322">
        <f t="shared" si="151"/>
        <v>-3924.9650000000001</v>
      </c>
      <c r="CB154" s="323"/>
      <c r="CC154" s="323"/>
      <c r="CD154" s="322">
        <f t="shared" si="136"/>
        <v>174155.17333333334</v>
      </c>
      <c r="CE154" s="357">
        <f t="shared" si="152"/>
        <v>179001.63166666668</v>
      </c>
      <c r="CF154" s="357">
        <f>(VLOOKUP($A154,EY!$A:$BS,26,FALSE)-(VLOOKUP($A154,EY!A:CR,24,FALSE)*80%))+VLOOKUP($A154,EY!$A:$BS,42,FALSE)+(VLOOKUP($A154,EY!A:CC,74,FALSE)-VLOOKUP($A154,EY!A:CC,72,FALSE))</f>
        <v>34980.837894736847</v>
      </c>
      <c r="CG154" s="358"/>
      <c r="CH154" s="358">
        <f>_xlfn.IFNA((VLOOKUP($A154,HN!$A:$K,8,FALSE)/12),0)</f>
        <v>0</v>
      </c>
      <c r="CI154" s="358">
        <f>_xlfn.IFNA((VLOOKUP($A154,HN!$A:$BS,14,FALSE)/12),0)</f>
        <v>0</v>
      </c>
      <c r="CJ154" s="358">
        <f>(_xlfn.IFNA(VLOOKUP($A154,'Post 16'!$A:$AV,32,FALSE),0)/8)</f>
        <v>0</v>
      </c>
      <c r="CK154" s="358">
        <f>(VLOOKUP($A154,EY!A:CR,24,FALSE)*80%)+VLOOKUP($A154,EY!A:CC,72,FALSE)</f>
        <v>0</v>
      </c>
      <c r="CL154" s="358">
        <f>_xlfn.IFNA((VLOOKUP($A154,HN!$A:$K,9,FALSE)/12),0)+_xlfn.IFNA((VLOOKUP($A154,HN!$A:$K,10,FALSE)/12),0)</f>
        <v>0</v>
      </c>
      <c r="CM154" s="358">
        <f>_xlfn.IFNA((VLOOKUP($A154,HN!$A:$BS,15,FALSE)/12),0)</f>
        <v>0</v>
      </c>
      <c r="CN154" s="357">
        <f t="shared" si="153"/>
        <v>-921.49333333333334</v>
      </c>
      <c r="CO154" s="357">
        <f t="shared" si="154"/>
        <v>-3924.9650000000001</v>
      </c>
      <c r="CP154" s="358">
        <f>_xlfn.IFNA(VLOOKUP(A154,'LA Deductions'!A:W,23,FALSE),0)</f>
        <v>-11934</v>
      </c>
      <c r="CQ154" s="358">
        <f>_xlfn.IFNA(VLOOKUP($A154,'Cash Advances'!$A:$S,13,FALSE),0)</f>
        <v>0</v>
      </c>
      <c r="CR154" s="358">
        <f>_xlfn.IFNA(VLOOKUP(A154,'LA Deductions'!A:AZ,25,FALSE),0)/9*3</f>
        <v>0</v>
      </c>
      <c r="CS154" s="357">
        <f t="shared" si="173"/>
        <v>197202.01122807019</v>
      </c>
      <c r="CT154" s="337">
        <f t="shared" si="155"/>
        <v>179001.63166666668</v>
      </c>
      <c r="CU154" s="337"/>
      <c r="CV154" s="338">
        <f>_xlfn.IFNA(VLOOKUP(A154,'LA Deductions'!$A$6:$AN$207,34,FALSE),0)</f>
        <v>0</v>
      </c>
      <c r="CW154" s="338">
        <f>_xlfn.IFNA((VLOOKUP($A154,HN!$A:$K,8,FALSE)/12),0)</f>
        <v>0</v>
      </c>
      <c r="CX154" s="338">
        <f>_xlfn.IFNA((VLOOKUP($A154,HN!$A:$BS,14,FALSE)/12),0)</f>
        <v>0</v>
      </c>
      <c r="CY154" s="338">
        <f>_xlfn.IFNA(VLOOKUP($A154,'Post 16'!$A:$AV,32,FALSE),0)/8</f>
        <v>0</v>
      </c>
      <c r="CZ154" s="338"/>
      <c r="DA154" s="338">
        <f>_xlfn.IFNA((VLOOKUP($A154,HN!$A:$K,9,FALSE)/12),0)+_xlfn.IFNA((VLOOKUP($A154,HN!$A:$K,10,FALSE)/12),0)</f>
        <v>0</v>
      </c>
      <c r="DB154" s="338">
        <f>_xlfn.IFNA((VLOOKUP($A154,HN!$A:$BS,15,FALSE)/12),0)</f>
        <v>0</v>
      </c>
      <c r="DC154" s="337">
        <f t="shared" si="156"/>
        <v>-921.49333333333334</v>
      </c>
      <c r="DD154" s="337">
        <f t="shared" si="157"/>
        <v>-3924.9650000000001</v>
      </c>
      <c r="DE154" s="338"/>
      <c r="DF154" s="338">
        <f>_xlfn.IFNA(VLOOKUP($A154,'Cash Advances'!$A:$S,14,FALSE),0)</f>
        <v>0</v>
      </c>
      <c r="DG154" s="338">
        <f>(_xlfn.IFNA(VLOOKUP(A154,'LA Deductions'!A:AZ,25,FALSE),0)/9)+(_xlfn.IFNA(VLOOKUP(A154,'LA Deductions'!A:AZ,26,FALSE),0))</f>
        <v>0</v>
      </c>
      <c r="DH154" s="337">
        <f t="shared" si="174"/>
        <v>174155.17333333334</v>
      </c>
      <c r="DI154" s="330">
        <f t="shared" si="158"/>
        <v>179001.63166666668</v>
      </c>
      <c r="DJ154" s="330"/>
      <c r="DK154" s="331"/>
      <c r="DL154" s="331">
        <f>_xlfn.IFNA((VLOOKUP($A154,HN!$A:$K,8,FALSE)/12),0)+_xlfn.IFNA((VLOOKUP($A154,HN!$A:$AF,32,FALSE)*8/12),0)</f>
        <v>0</v>
      </c>
      <c r="DM154" s="331">
        <f>_xlfn.IFNA((VLOOKUP($A154,HN!$A:$BS,14,FALSE)/12),0)+_xlfn.IFNA(VLOOKUP($A154,HN!$A:$BS,31,FALSE),0)</f>
        <v>0</v>
      </c>
      <c r="DN154" s="331">
        <f>_xlfn.IFNA(VLOOKUP($A154,'Post 16'!$A:$AV,32,FALSE),0)/8</f>
        <v>0</v>
      </c>
      <c r="DO154" s="331"/>
      <c r="DP154" s="331">
        <f>_xlfn.IFNA((VLOOKUP($A154,HN!$A:$K,9,FALSE)/12),0)+_xlfn.IFNA((VLOOKUP($A154,HN!$A:$K,10,FALSE)/12),0)+_xlfn.IFNA((VLOOKUP($A154,HN!$A:$BZ,33,FALSE)*8/12),0)</f>
        <v>0</v>
      </c>
      <c r="DQ154" s="331">
        <f>_xlfn.IFNA((VLOOKUP($A154,HN!$A:$BS,15,FALSE)/12),0)</f>
        <v>0</v>
      </c>
      <c r="DR154" s="330">
        <f t="shared" si="159"/>
        <v>-921.49333333333334</v>
      </c>
      <c r="DS154" s="330">
        <f t="shared" si="160"/>
        <v>-3924.9650000000001</v>
      </c>
      <c r="DT154" s="331"/>
      <c r="DU154" s="331"/>
      <c r="DV154" s="331">
        <f>(_xlfn.IFNA(VLOOKUP(A154,'LA Deductions'!A:AZ,25,FALSE),0)/9)+_xlfn.IFNA(VLOOKUP(A154,'LA Deductions'!A:AZ,27,FALSE),0)</f>
        <v>0</v>
      </c>
      <c r="DW154" s="330">
        <f t="shared" si="175"/>
        <v>174155.17333333334</v>
      </c>
      <c r="DX154" s="344">
        <f t="shared" si="161"/>
        <v>179001.63166666668</v>
      </c>
      <c r="DY154" s="344"/>
      <c r="DZ154" s="345"/>
      <c r="EA154" s="345">
        <f>_xlfn.IFNA((VLOOKUP($A154,HN!$A:$K,8,FALSE)/12),0)+_xlfn.IFNA((VLOOKUP($A154,HN!$A:$AF,32,FALSE)*1/12),0)</f>
        <v>0</v>
      </c>
      <c r="EB154" s="345">
        <f>_xlfn.IFNA((VLOOKUP($A154,HN!$A:$BS,14,FALSE)/12),0)</f>
        <v>0</v>
      </c>
      <c r="EC154" s="345">
        <f>_xlfn.IFNA(VLOOKUP($A154,'Post 16'!$A:$AV,32,FALSE),0)/8</f>
        <v>0</v>
      </c>
      <c r="ED154" s="345"/>
      <c r="EE154" s="345">
        <f>_xlfn.IFNA((VLOOKUP($A154,HN!$A:$K,9,FALSE)/12),0)+_xlfn.IFNA((VLOOKUP($A154,HN!$A:$K,10,FALSE)/12),0)+_xlfn.IFNA((VLOOKUP($A154,HN!$A:$BZ,33,FALSE)/12),0)</f>
        <v>0</v>
      </c>
      <c r="EF154" s="345">
        <f>_xlfn.IFNA((VLOOKUP($A154,HN!$A:$BS,15,FALSE)/12),0)</f>
        <v>0</v>
      </c>
      <c r="EG154" s="344">
        <f t="shared" si="162"/>
        <v>-921.49333333333334</v>
      </c>
      <c r="EH154" s="344">
        <f t="shared" si="163"/>
        <v>-3924.9650000000001</v>
      </c>
      <c r="EI154" s="345"/>
      <c r="EJ154" s="345">
        <f>_xlfn.IFNA(VLOOKUP(A154,'Cash Advances'!A:P,16,FALSE),0)</f>
        <v>0</v>
      </c>
      <c r="EK154" s="345">
        <f>_xlfn.IFNA(VLOOKUP(A154,'LA Deductions'!A:AZ,25,FALSE),0)/9</f>
        <v>0</v>
      </c>
      <c r="EL154" s="344">
        <f t="shared" si="176"/>
        <v>174155.17333333334</v>
      </c>
      <c r="EM154" s="308">
        <f t="shared" si="164"/>
        <v>179001.63166666668</v>
      </c>
      <c r="EN154" s="308">
        <f>((VLOOKUP($A154,EY!$A:$BS,35,FALSE)-(VLOOKUP($A154,EY!$A:$BS,33,FALSE)*80%))+VLOOKUP($A154,EY!$A:$BS,43,FALSE))+(VLOOKUP(A154,EY!A:DF,110,FALSE)-VLOOKUP(A154,EY!A:DD,108,FALSE))+(VLOOKUP(A154,EY!A:CE,83,FALSE)-VLOOKUP(A154,EY!A:CC,81,FALSE))</f>
        <v>46033.849473684211</v>
      </c>
      <c r="EO154" s="309"/>
      <c r="EP154" s="309">
        <f>_xlfn.IFNA((VLOOKUP($A154,HN!$A:$K,8,FALSE)/12),0)+_xlfn.IFNA((VLOOKUP($A154,HN!$A:$AF,32,FALSE)*1/12),0)</f>
        <v>0</v>
      </c>
      <c r="EQ154" s="309">
        <f>_xlfn.IFNA((VLOOKUP($A154,HN!$A:$BS,14,FALSE)/12),0)+_xlfn.IFNA((VLOOKUP($A154,HN!$A:$BS,34,FALSE)/3),0)</f>
        <v>0</v>
      </c>
      <c r="ER154" s="309">
        <f>_xlfn.IFNA(VLOOKUP($A154,'Post 16'!$A:$AV,32,FALSE),0)/8</f>
        <v>0</v>
      </c>
      <c r="ES154" s="309">
        <f>((VLOOKUP($A154,EY!A:EV,33,FALSE)*80%))+VLOOKUP(A154,EY!A:DD,108,FALSE)+VLOOKUP(A154,EY!A:CC,81,FALSE)</f>
        <v>0</v>
      </c>
      <c r="ET154" s="309">
        <f>_xlfn.IFNA((VLOOKUP($A154,HN!$A:$K,9,FALSE)/12),0)+_xlfn.IFNA((VLOOKUP($A154,HN!$A:$K,10,FALSE)/12),0)+_xlfn.IFNA((VLOOKUP($A154,HN!$A:$BZ,33,FALSE)/12),0)</f>
        <v>0</v>
      </c>
      <c r="EU154" s="309">
        <f>_xlfn.IFNA((VLOOKUP($A154,HN!$A:$BS,15,FALSE)/12),0)</f>
        <v>0</v>
      </c>
      <c r="EV154" s="308">
        <f t="shared" si="165"/>
        <v>-921.49333333333334</v>
      </c>
      <c r="EW154" s="308">
        <f t="shared" si="166"/>
        <v>-3924.9650000000001</v>
      </c>
      <c r="EX154" s="309"/>
      <c r="EY154" s="309">
        <f>_xlfn.IFNA(VLOOKUP($A154,'Cash Advances'!$A:$S,17,FALSE),0)</f>
        <v>0</v>
      </c>
      <c r="EZ154" s="309">
        <f>_xlfn.IFNA(VLOOKUP(A154,'LA Deductions'!A:AZ,25,FALSE),0)/9</f>
        <v>0</v>
      </c>
      <c r="FA154" s="308">
        <f t="shared" si="177"/>
        <v>220189.02280701755</v>
      </c>
      <c r="FB154" s="315">
        <f t="shared" si="167"/>
        <v>179001.63166666668</v>
      </c>
      <c r="FC154" s="315"/>
      <c r="FD154" s="316"/>
      <c r="FE154" s="316">
        <f>_xlfn.IFNA((VLOOKUP($A154,HN!$A:$K,8,FALSE)/12),0)+_xlfn.IFNA((VLOOKUP($A154,HN!$A:$AF,32,FALSE)*1/12),0)</f>
        <v>0</v>
      </c>
      <c r="FF154" s="316">
        <f>_xlfn.IFNA((VLOOKUP($A154,HN!$A:$BS,14,FALSE)/12),0)+_xlfn.IFNA((VLOOKUP($A154,HN!$A:$BS,34,FALSE)/3),0)</f>
        <v>0</v>
      </c>
      <c r="FG154" s="316">
        <f>_xlfn.IFNA(VLOOKUP($A154,'Post 16'!$A:$AV,32,FALSE),0)/8</f>
        <v>0</v>
      </c>
      <c r="FH154" s="316"/>
      <c r="FI154" s="316">
        <f>_xlfn.IFNA((VLOOKUP($A154,HN!$A:$K,9,FALSE)/12),0)+_xlfn.IFNA((VLOOKUP($A154,HN!$A:$K,10,FALSE)/12),0)+_xlfn.IFNA((VLOOKUP($A154,HN!$A:$BZ,33,FALSE)/12),0)+_xlfn.IFNA((VLOOKUP($A154,HN!$A:$BZ,35,FALSE)/2),0)</f>
        <v>0</v>
      </c>
      <c r="FJ154" s="316">
        <f>_xlfn.IFNA((VLOOKUP($A154,HN!$A:$BS,15,FALSE)/12),0)+_xlfn.IFNA((VLOOKUP($A154,HN!$A:$CZ,36,FALSE)/2),0)</f>
        <v>0</v>
      </c>
      <c r="FK154" s="315">
        <f t="shared" si="168"/>
        <v>-921.49333333333334</v>
      </c>
      <c r="FL154" s="315">
        <f t="shared" si="169"/>
        <v>-3924.9650000000001</v>
      </c>
      <c r="FM154" s="316"/>
      <c r="FN154" s="316">
        <f>_xlfn.IFNA(VLOOKUP($A154,'Cash Advances'!$A:$S,18,FALSE),0)</f>
        <v>0</v>
      </c>
      <c r="FO154" s="316">
        <f>_xlfn.IFNA(VLOOKUP(A154,'LA Deductions'!A:AZ,25,FALSE),0)/9</f>
        <v>0</v>
      </c>
      <c r="FP154" s="315">
        <f t="shared" si="178"/>
        <v>174155.17333333334</v>
      </c>
      <c r="FQ154" s="322">
        <f t="shared" si="170"/>
        <v>179001.63166666668</v>
      </c>
      <c r="FR154" s="322"/>
      <c r="FS154" s="323"/>
      <c r="FT154" s="323">
        <f>_xlfn.IFNA((VLOOKUP($A154,HN!$A:$K,8,FALSE)/12),0)+_xlfn.IFNA((VLOOKUP($A154,HN!$A:$AF,32,FALSE)*1/12),0)</f>
        <v>0</v>
      </c>
      <c r="FU154" s="323">
        <f>_xlfn.IFNA((VLOOKUP($A154,HN!$A:$BS,14,FALSE)/12),0)+_xlfn.IFNA((VLOOKUP($A154,HN!$A:$BS,34,FALSE)/3),0)</f>
        <v>0</v>
      </c>
      <c r="FV154" s="323">
        <f>_xlfn.IFNA(VLOOKUP($A154,'Post 16'!$A:$AV,32,FALSE),0)/8</f>
        <v>0</v>
      </c>
      <c r="FW154" s="323"/>
      <c r="FX154" s="323">
        <f>_xlfn.IFNA((VLOOKUP($A154,HN!$A:$K,9,FALSE)/12),0)+_xlfn.IFNA((VLOOKUP($A154,HN!$A:$K,10,FALSE)/12),0)+_xlfn.IFNA((VLOOKUP($A154,HN!$A:$BZ,33,FALSE)/12),0)+_xlfn.IFNA((VLOOKUP($A154,HN!$A:$BZ,35,FALSE)/2),0)</f>
        <v>0</v>
      </c>
      <c r="FY154" s="323">
        <f>_xlfn.IFNA((VLOOKUP($A154,HN!$A:$BS,15,FALSE)/12),0)+_xlfn.IFNA((VLOOKUP($A154,HN!$A:$CZ,36,FALSE)/2),0)</f>
        <v>0</v>
      </c>
      <c r="FZ154" s="322">
        <f t="shared" si="171"/>
        <v>-921.49333333333334</v>
      </c>
      <c r="GA154" s="322">
        <f t="shared" si="172"/>
        <v>-3924.9650000000001</v>
      </c>
      <c r="GB154" s="323"/>
      <c r="GC154" s="323"/>
      <c r="GD154" s="323">
        <f>_xlfn.IFNA(VLOOKUP(A154,'LA Deductions'!A:AZ,25,FALSE),0)/9</f>
        <v>0</v>
      </c>
      <c r="GE154" s="322">
        <f t="shared" si="179"/>
        <v>174155.17333333334</v>
      </c>
      <c r="GG154" s="146">
        <f t="shared" si="182"/>
        <v>2274985.6273684208</v>
      </c>
      <c r="GH154" s="146">
        <f t="shared" si="182"/>
        <v>0</v>
      </c>
      <c r="GI154" s="146">
        <f t="shared" si="182"/>
        <v>0</v>
      </c>
      <c r="GJ154" s="146">
        <f t="shared" si="182"/>
        <v>-11057.920000000004</v>
      </c>
      <c r="GK154" s="146">
        <f t="shared" si="182"/>
        <v>-47099.579999999987</v>
      </c>
      <c r="GL154" s="146">
        <f t="shared" si="182"/>
        <v>-11934</v>
      </c>
      <c r="GN154" s="146">
        <f t="shared" si="183"/>
        <v>2274985.6273684208</v>
      </c>
      <c r="GO154" s="146">
        <f t="shared" si="183"/>
        <v>0</v>
      </c>
      <c r="GP154" s="146">
        <f t="shared" si="183"/>
        <v>0</v>
      </c>
      <c r="GQ154" s="146">
        <f t="shared" si="183"/>
        <v>-11057.920000000004</v>
      </c>
      <c r="GR154" s="146">
        <f t="shared" si="183"/>
        <v>-47099.579999999987</v>
      </c>
      <c r="GS154" s="146">
        <f t="shared" si="183"/>
        <v>-11934</v>
      </c>
      <c r="GU154" s="146"/>
      <c r="GV154" s="57"/>
    </row>
    <row r="155" spans="1:204">
      <c r="A155" s="185">
        <v>2293</v>
      </c>
      <c r="B155" s="185">
        <v>103317</v>
      </c>
      <c r="C155" s="185" t="s">
        <v>336</v>
      </c>
      <c r="D155" s="2" t="s">
        <v>337</v>
      </c>
      <c r="E155" s="191" t="s">
        <v>32</v>
      </c>
      <c r="F155" s="191" t="s">
        <v>912</v>
      </c>
      <c r="H155" s="279">
        <f>_xlfn.IFNA(VLOOKUP($A155,ISB!$A$4:$BY$454,67,FALSE),0)</f>
        <v>3364050.0147690508</v>
      </c>
      <c r="I155" s="279">
        <f>_xlfn.IFNA(VLOOKUP($A155,ISB!$A$4:$BY$454,72,FALSE),0)</f>
        <v>-14917.759999999998</v>
      </c>
      <c r="J155" s="279">
        <f>-_xlfn.IFNA(VLOOKUP($A155,ISB!$A$4:$BY$454,76,FALSE),0)</f>
        <v>-41074.75</v>
      </c>
      <c r="K155" s="279">
        <f>_xlfn.IFNA(VLOOKUP($A155,ISB!$A$4:$BY$454,77,FALSE),0)</f>
        <v>3308057.504769051</v>
      </c>
      <c r="M155" s="301">
        <f t="shared" si="137"/>
        <v>280337.50123075425</v>
      </c>
      <c r="N155" s="301">
        <f>VLOOKUP($A155,EY!$A:$H,8,FALSE)+(VLOOKUP($A155,EY!$A:$BS,17,FALSE)-S155)+VLOOKUP($A155,EY!$A:$BS,41,FALSE)</f>
        <v>51186.720000000001</v>
      </c>
      <c r="O155" s="302"/>
      <c r="P155" s="302">
        <f>_xlfn.IFNA((VLOOKUP($A155,HN!$A:$K,8,FALSE)/12),0)</f>
        <v>0</v>
      </c>
      <c r="Q155" s="302">
        <f>_xlfn.IFNA((VLOOKUP($A155,HN!$A:$BS,14,FALSE)/12),0)</f>
        <v>0</v>
      </c>
      <c r="R155" s="302">
        <f>_xlfn.IFNA(VLOOKUP($A155,'Post 16'!$A:$V,21,FALSE),0)/4</f>
        <v>0</v>
      </c>
      <c r="S155" s="302">
        <f>VLOOKUP($A155,EY!A:Q,15,FALSE)*80%</f>
        <v>0</v>
      </c>
      <c r="T155" s="302">
        <f>_xlfn.IFNA((VLOOKUP($A155,HN!$A:$K,9,FALSE)/12),0)+_xlfn.IFNA((VLOOKUP($A155,HN!$A:$K,10,FALSE)/12),0)</f>
        <v>0</v>
      </c>
      <c r="U155" s="302">
        <f>_xlfn.IFNA((VLOOKUP($A155,HN!$A:$BS,15,FALSE)/12),0)</f>
        <v>0</v>
      </c>
      <c r="V155" s="301">
        <f t="shared" si="138"/>
        <v>-1243.1466666666665</v>
      </c>
      <c r="W155" s="301">
        <f t="shared" si="139"/>
        <v>-3422.8958333333335</v>
      </c>
      <c r="X155" s="302"/>
      <c r="Y155" s="302">
        <f>_xlfn.IFNA(VLOOKUP($A155,'Cash Advances'!$A:$S,8,FALSE),0)</f>
        <v>0</v>
      </c>
      <c r="Z155" s="301">
        <f t="shared" si="132"/>
        <v>326858.1787307543</v>
      </c>
      <c r="AA155" s="315">
        <f t="shared" si="140"/>
        <v>280337.50123075425</v>
      </c>
      <c r="AB155" s="315"/>
      <c r="AC155" s="316"/>
      <c r="AD155" s="316">
        <f>_xlfn.IFNA((VLOOKUP($A155,HN!$A:$K,8,FALSE)/12),0)</f>
        <v>0</v>
      </c>
      <c r="AE155" s="316">
        <f>_xlfn.IFNA((VLOOKUP($A155,HN!$A:$BS,14,FALSE)/12),0)</f>
        <v>0</v>
      </c>
      <c r="AF155" s="316">
        <f>_xlfn.IFNA(VLOOKUP($A155,'Post 16'!$A:$V,21,FALSE),0)/4</f>
        <v>0</v>
      </c>
      <c r="AG155" s="316"/>
      <c r="AH155" s="316">
        <f>_xlfn.IFNA((VLOOKUP($A155,HN!$A:$K,9,FALSE)/12),0)+_xlfn.IFNA((VLOOKUP($A155,HN!$A:$K,10,FALSE)/12),0)</f>
        <v>0</v>
      </c>
      <c r="AI155" s="316">
        <f>_xlfn.IFNA((VLOOKUP($A155,HN!$A:$BS,15,FALSE)/12),0)</f>
        <v>0</v>
      </c>
      <c r="AJ155" s="315">
        <f t="shared" si="141"/>
        <v>-1243.1466666666665</v>
      </c>
      <c r="AK155" s="315">
        <f t="shared" si="142"/>
        <v>-3422.8958333333335</v>
      </c>
      <c r="AL155" s="316"/>
      <c r="AM155" s="316">
        <f>_xlfn.IFNA(VLOOKUP($A155,'Cash Advances'!$A:$S,9,FALSE),0)</f>
        <v>0</v>
      </c>
      <c r="AN155" s="315">
        <f t="shared" si="133"/>
        <v>275671.45873075427</v>
      </c>
      <c r="AO155" s="308">
        <f t="shared" si="143"/>
        <v>280337.50123075425</v>
      </c>
      <c r="AP155" s="308"/>
      <c r="AQ155" s="309"/>
      <c r="AR155" s="309">
        <f>_xlfn.IFNA((VLOOKUP($A155,HN!$A:$K,8,FALSE)/12),0)</f>
        <v>0</v>
      </c>
      <c r="AS155" s="309">
        <f>_xlfn.IFNA((VLOOKUP($A155,HN!$A:$BS,14,FALSE)/12),0)</f>
        <v>0</v>
      </c>
      <c r="AT155" s="309">
        <f>_xlfn.IFNA(VLOOKUP($A155,'Post 16'!$A:$V,21,FALSE),0)/4</f>
        <v>0</v>
      </c>
      <c r="AU155" s="309"/>
      <c r="AV155" s="309">
        <f>_xlfn.IFNA((VLOOKUP($A155,HN!$A:$K,9,FALSE)/12),0)+_xlfn.IFNA((VLOOKUP($A155,HN!$A:$K,10,FALSE)/12),0)+_xlfn.IFNA(VLOOKUP(A155,HN!A:V,19,FALSE),0)+_xlfn.IFNA(VLOOKUP(A155,HN!A:V,20,FALSE),0)+_xlfn.IFNA(VLOOKUP(A155,HN!A:V,21,FALSE),0)</f>
        <v>0</v>
      </c>
      <c r="AW155" s="309">
        <f>_xlfn.IFNA((VLOOKUP($A155,HN!$A:$BS,15,FALSE)/12),0)</f>
        <v>0</v>
      </c>
      <c r="AX155" s="308">
        <f t="shared" si="144"/>
        <v>-1243.1466666666665</v>
      </c>
      <c r="AY155" s="308">
        <f t="shared" si="145"/>
        <v>-3422.8958333333335</v>
      </c>
      <c r="AZ155" s="309"/>
      <c r="BA155" s="309">
        <f>_xlfn.IFNA(VLOOKUP($A155,'Cash Advances'!$A:$S,10,FALSE),0)</f>
        <v>0</v>
      </c>
      <c r="BB155" s="308">
        <f t="shared" si="134"/>
        <v>275671.45873075427</v>
      </c>
      <c r="BC155" s="330">
        <f t="shared" si="146"/>
        <v>280337.50123075425</v>
      </c>
      <c r="BD155" s="330"/>
      <c r="BE155" s="331"/>
      <c r="BF155" s="331">
        <f>_xlfn.IFNA((VLOOKUP($A155,HN!$A:$K,8,FALSE)/12),0)</f>
        <v>0</v>
      </c>
      <c r="BG155" s="331">
        <f>_xlfn.IFNA((VLOOKUP($A155,HN!$A:$BS,14,FALSE)/12),0)</f>
        <v>0</v>
      </c>
      <c r="BH155" s="331">
        <f>_xlfn.IFNA(VLOOKUP($A155,'Post 16'!$A:$V,21,FALSE),0)/4</f>
        <v>0</v>
      </c>
      <c r="BI155" s="331"/>
      <c r="BJ155" s="331">
        <f>_xlfn.IFNA((VLOOKUP($A155,HN!$A:$K,9,FALSE)/12),0)+_xlfn.IFNA((VLOOKUP($A155,HN!$A:$K,10,FALSE)/12),0)</f>
        <v>0</v>
      </c>
      <c r="BK155" s="331">
        <f>_xlfn.IFNA((VLOOKUP($A155,HN!$A:$BS,15,FALSE)/12),0)</f>
        <v>0</v>
      </c>
      <c r="BL155" s="330">
        <f t="shared" si="147"/>
        <v>-1243.1466666666665</v>
      </c>
      <c r="BM155" s="330">
        <f t="shared" si="148"/>
        <v>-3422.8958333333335</v>
      </c>
      <c r="BN155" s="331"/>
      <c r="BO155" s="331">
        <f>_xlfn.IFNA(VLOOKUP(A155,'Cash Advances'!A:K,11,FALSE),0)</f>
        <v>0</v>
      </c>
      <c r="BP155" s="330">
        <f t="shared" si="135"/>
        <v>275671.45873075427</v>
      </c>
      <c r="BQ155" s="322">
        <f t="shared" si="149"/>
        <v>280337.50123075425</v>
      </c>
      <c r="BR155" s="322"/>
      <c r="BS155" s="323"/>
      <c r="BT155" s="323">
        <f>_xlfn.IFNA((VLOOKUP($A155,HN!$A:$K,8,FALSE)/12),0)</f>
        <v>0</v>
      </c>
      <c r="BU155" s="323">
        <f>_xlfn.IFNA((VLOOKUP($A155,HN!$A:$BS,14,FALSE)/12),0)</f>
        <v>0</v>
      </c>
      <c r="BV155" s="323">
        <f>(_xlfn.IFNA(VLOOKUP($A155,'Post 16'!$A:$AV,32,FALSE),0)/8)+_xlfn.IFNA(VLOOKUP($A155,'Post 16'!$A:$AR,40,FALSE),0)</f>
        <v>0</v>
      </c>
      <c r="BW155" s="323"/>
      <c r="BX155" s="323">
        <f>_xlfn.IFNA((VLOOKUP($A155,HN!$A:$K,9,FALSE)/12),0)+_xlfn.IFNA((VLOOKUP($A155,HN!$A:$K,10,FALSE)/12),0)</f>
        <v>0</v>
      </c>
      <c r="BY155" s="323">
        <f>_xlfn.IFNA((VLOOKUP($A155,HN!$A:$BS,15,FALSE)/12),0)</f>
        <v>0</v>
      </c>
      <c r="BZ155" s="322">
        <f t="shared" si="150"/>
        <v>-1243.1466666666665</v>
      </c>
      <c r="CA155" s="322">
        <f t="shared" si="151"/>
        <v>-3422.8958333333335</v>
      </c>
      <c r="CB155" s="323"/>
      <c r="CC155" s="323"/>
      <c r="CD155" s="322">
        <f t="shared" si="136"/>
        <v>275671.45873075427</v>
      </c>
      <c r="CE155" s="357">
        <f t="shared" si="152"/>
        <v>280337.50123075425</v>
      </c>
      <c r="CF155" s="357">
        <f>(VLOOKUP($A155,EY!$A:$BS,26,FALSE)-(VLOOKUP($A155,EY!A:CR,24,FALSE)*80%))+VLOOKUP($A155,EY!$A:$BS,42,FALSE)+(VLOOKUP($A155,EY!A:CC,74,FALSE)-VLOOKUP($A155,EY!A:CC,72,FALSE))</f>
        <v>88329.93</v>
      </c>
      <c r="CG155" s="358"/>
      <c r="CH155" s="358">
        <f>_xlfn.IFNA((VLOOKUP($A155,HN!$A:$K,8,FALSE)/12),0)</f>
        <v>0</v>
      </c>
      <c r="CI155" s="358">
        <f>_xlfn.IFNA((VLOOKUP($A155,HN!$A:$BS,14,FALSE)/12),0)</f>
        <v>0</v>
      </c>
      <c r="CJ155" s="358">
        <f>(_xlfn.IFNA(VLOOKUP($A155,'Post 16'!$A:$AV,32,FALSE),0)/8)</f>
        <v>0</v>
      </c>
      <c r="CK155" s="358">
        <f>(VLOOKUP($A155,EY!A:CR,24,FALSE)*80%)+VLOOKUP($A155,EY!A:CC,72,FALSE)</f>
        <v>0</v>
      </c>
      <c r="CL155" s="358">
        <f>_xlfn.IFNA((VLOOKUP($A155,HN!$A:$K,9,FALSE)/12),0)+_xlfn.IFNA((VLOOKUP($A155,HN!$A:$K,10,FALSE)/12),0)</f>
        <v>0</v>
      </c>
      <c r="CM155" s="358">
        <f>_xlfn.IFNA((VLOOKUP($A155,HN!$A:$BS,15,FALSE)/12),0)</f>
        <v>0</v>
      </c>
      <c r="CN155" s="357">
        <f t="shared" si="153"/>
        <v>-1243.1466666666665</v>
      </c>
      <c r="CO155" s="357">
        <f t="shared" si="154"/>
        <v>-3422.8958333333335</v>
      </c>
      <c r="CP155" s="358">
        <f>_xlfn.IFNA(VLOOKUP(A155,'LA Deductions'!A:W,23,FALSE),0)</f>
        <v>-12566.4</v>
      </c>
      <c r="CQ155" s="358">
        <f>_xlfn.IFNA(VLOOKUP($A155,'Cash Advances'!$A:$S,13,FALSE),0)</f>
        <v>0</v>
      </c>
      <c r="CR155" s="358">
        <f>_xlfn.IFNA(VLOOKUP(A155,'LA Deductions'!A:AZ,25,FALSE),0)/9*3</f>
        <v>0</v>
      </c>
      <c r="CS155" s="357">
        <f t="shared" si="173"/>
        <v>351434.98873075424</v>
      </c>
      <c r="CT155" s="337">
        <f t="shared" si="155"/>
        <v>280337.50123075425</v>
      </c>
      <c r="CU155" s="337"/>
      <c r="CV155" s="338">
        <f>_xlfn.IFNA(VLOOKUP(A155,'LA Deductions'!$A$6:$AN$207,34,FALSE),0)</f>
        <v>0</v>
      </c>
      <c r="CW155" s="338">
        <f>_xlfn.IFNA((VLOOKUP($A155,HN!$A:$K,8,FALSE)/12),0)</f>
        <v>0</v>
      </c>
      <c r="CX155" s="338">
        <f>_xlfn.IFNA((VLOOKUP($A155,HN!$A:$BS,14,FALSE)/12),0)</f>
        <v>0</v>
      </c>
      <c r="CY155" s="338">
        <f>_xlfn.IFNA(VLOOKUP($A155,'Post 16'!$A:$AV,32,FALSE),0)/8</f>
        <v>0</v>
      </c>
      <c r="CZ155" s="338"/>
      <c r="DA155" s="338">
        <f>_xlfn.IFNA((VLOOKUP($A155,HN!$A:$K,9,FALSE)/12),0)+_xlfn.IFNA((VLOOKUP($A155,HN!$A:$K,10,FALSE)/12),0)</f>
        <v>0</v>
      </c>
      <c r="DB155" s="338">
        <f>_xlfn.IFNA((VLOOKUP($A155,HN!$A:$BS,15,FALSE)/12),0)</f>
        <v>0</v>
      </c>
      <c r="DC155" s="337">
        <f t="shared" si="156"/>
        <v>-1243.1466666666665</v>
      </c>
      <c r="DD155" s="337">
        <f t="shared" si="157"/>
        <v>-3422.8958333333335</v>
      </c>
      <c r="DE155" s="338"/>
      <c r="DF155" s="338">
        <f>_xlfn.IFNA(VLOOKUP($A155,'Cash Advances'!$A:$S,14,FALSE),0)</f>
        <v>0</v>
      </c>
      <c r="DG155" s="338">
        <f>(_xlfn.IFNA(VLOOKUP(A155,'LA Deductions'!A:AZ,25,FALSE),0)/9)+(_xlfn.IFNA(VLOOKUP(A155,'LA Deductions'!A:AZ,26,FALSE),0))</f>
        <v>0</v>
      </c>
      <c r="DH155" s="337">
        <f t="shared" si="174"/>
        <v>275671.45873075427</v>
      </c>
      <c r="DI155" s="330">
        <f t="shared" si="158"/>
        <v>280337.50123075425</v>
      </c>
      <c r="DJ155" s="330"/>
      <c r="DK155" s="331"/>
      <c r="DL155" s="331">
        <f>_xlfn.IFNA((VLOOKUP($A155,HN!$A:$K,8,FALSE)/12),0)+_xlfn.IFNA((VLOOKUP($A155,HN!$A:$AF,32,FALSE)*8/12),0)</f>
        <v>0</v>
      </c>
      <c r="DM155" s="331">
        <f>_xlfn.IFNA((VLOOKUP($A155,HN!$A:$BS,14,FALSE)/12),0)+_xlfn.IFNA(VLOOKUP($A155,HN!$A:$BS,31,FALSE),0)</f>
        <v>0</v>
      </c>
      <c r="DN155" s="331">
        <f>_xlfn.IFNA(VLOOKUP($A155,'Post 16'!$A:$AV,32,FALSE),0)/8</f>
        <v>0</v>
      </c>
      <c r="DO155" s="331"/>
      <c r="DP155" s="331">
        <f>_xlfn.IFNA((VLOOKUP($A155,HN!$A:$K,9,FALSE)/12),0)+_xlfn.IFNA((VLOOKUP($A155,HN!$A:$K,10,FALSE)/12),0)+_xlfn.IFNA((VLOOKUP($A155,HN!$A:$BZ,33,FALSE)*8/12),0)</f>
        <v>0</v>
      </c>
      <c r="DQ155" s="331">
        <f>_xlfn.IFNA((VLOOKUP($A155,HN!$A:$BS,15,FALSE)/12),0)</f>
        <v>0</v>
      </c>
      <c r="DR155" s="330">
        <f t="shared" si="159"/>
        <v>-1243.1466666666665</v>
      </c>
      <c r="DS155" s="330">
        <f t="shared" si="160"/>
        <v>-3422.8958333333335</v>
      </c>
      <c r="DT155" s="331"/>
      <c r="DU155" s="331"/>
      <c r="DV155" s="331">
        <f>(_xlfn.IFNA(VLOOKUP(A155,'LA Deductions'!A:AZ,25,FALSE),0)/9)+_xlfn.IFNA(VLOOKUP(A155,'LA Deductions'!A:AZ,27,FALSE),0)</f>
        <v>0</v>
      </c>
      <c r="DW155" s="330">
        <f t="shared" si="175"/>
        <v>275671.45873075427</v>
      </c>
      <c r="DX155" s="344">
        <f t="shared" si="161"/>
        <v>280337.50123075425</v>
      </c>
      <c r="DY155" s="344"/>
      <c r="DZ155" s="345"/>
      <c r="EA155" s="345">
        <f>_xlfn.IFNA((VLOOKUP($A155,HN!$A:$K,8,FALSE)/12),0)+_xlfn.IFNA((VLOOKUP($A155,HN!$A:$AF,32,FALSE)*1/12),0)</f>
        <v>0</v>
      </c>
      <c r="EB155" s="345">
        <f>_xlfn.IFNA((VLOOKUP($A155,HN!$A:$BS,14,FALSE)/12),0)</f>
        <v>0</v>
      </c>
      <c r="EC155" s="345">
        <f>_xlfn.IFNA(VLOOKUP($A155,'Post 16'!$A:$AV,32,FALSE),0)/8</f>
        <v>0</v>
      </c>
      <c r="ED155" s="345"/>
      <c r="EE155" s="345">
        <f>_xlfn.IFNA((VLOOKUP($A155,HN!$A:$K,9,FALSE)/12),0)+_xlfn.IFNA((VLOOKUP($A155,HN!$A:$K,10,FALSE)/12),0)+_xlfn.IFNA((VLOOKUP($A155,HN!$A:$BZ,33,FALSE)/12),0)</f>
        <v>0</v>
      </c>
      <c r="EF155" s="345">
        <f>_xlfn.IFNA((VLOOKUP($A155,HN!$A:$BS,15,FALSE)/12),0)</f>
        <v>0</v>
      </c>
      <c r="EG155" s="344">
        <f t="shared" si="162"/>
        <v>-1243.1466666666665</v>
      </c>
      <c r="EH155" s="344">
        <f t="shared" si="163"/>
        <v>-3422.8958333333335</v>
      </c>
      <c r="EI155" s="345"/>
      <c r="EJ155" s="345">
        <f>_xlfn.IFNA(VLOOKUP(A155,'Cash Advances'!A:P,16,FALSE),0)</f>
        <v>0</v>
      </c>
      <c r="EK155" s="345">
        <f>_xlfn.IFNA(VLOOKUP(A155,'LA Deductions'!A:AZ,25,FALSE),0)/9</f>
        <v>0</v>
      </c>
      <c r="EL155" s="344">
        <f t="shared" si="176"/>
        <v>275671.45873075427</v>
      </c>
      <c r="EM155" s="308">
        <f t="shared" si="164"/>
        <v>280337.50123075425</v>
      </c>
      <c r="EN155" s="308">
        <f>((VLOOKUP($A155,EY!$A:$BS,35,FALSE)-(VLOOKUP($A155,EY!$A:$BS,33,FALSE)*80%))+VLOOKUP($A155,EY!$A:$BS,43,FALSE))+(VLOOKUP(A155,EY!A:DF,110,FALSE)-VLOOKUP(A155,EY!A:DD,108,FALSE))+(VLOOKUP(A155,EY!A:CE,83,FALSE)-VLOOKUP(A155,EY!A:CC,81,FALSE))</f>
        <v>23654.452105263157</v>
      </c>
      <c r="EO155" s="309"/>
      <c r="EP155" s="309">
        <f>_xlfn.IFNA((VLOOKUP($A155,HN!$A:$K,8,FALSE)/12),0)+_xlfn.IFNA((VLOOKUP($A155,HN!$A:$AF,32,FALSE)*1/12),0)</f>
        <v>0</v>
      </c>
      <c r="EQ155" s="309">
        <f>_xlfn.IFNA((VLOOKUP($A155,HN!$A:$BS,14,FALSE)/12),0)+_xlfn.IFNA((VLOOKUP($A155,HN!$A:$BS,34,FALSE)/3),0)</f>
        <v>0</v>
      </c>
      <c r="ER155" s="309">
        <f>_xlfn.IFNA(VLOOKUP($A155,'Post 16'!$A:$AV,32,FALSE),0)/8</f>
        <v>0</v>
      </c>
      <c r="ES155" s="309">
        <f>((VLOOKUP($A155,EY!A:EV,33,FALSE)*80%))+VLOOKUP(A155,EY!A:DD,108,FALSE)+VLOOKUP(A155,EY!A:CC,81,FALSE)</f>
        <v>0</v>
      </c>
      <c r="ET155" s="309">
        <f>_xlfn.IFNA((VLOOKUP($A155,HN!$A:$K,9,FALSE)/12),0)+_xlfn.IFNA((VLOOKUP($A155,HN!$A:$K,10,FALSE)/12),0)+_xlfn.IFNA((VLOOKUP($A155,HN!$A:$BZ,33,FALSE)/12),0)</f>
        <v>0</v>
      </c>
      <c r="EU155" s="309">
        <f>_xlfn.IFNA((VLOOKUP($A155,HN!$A:$BS,15,FALSE)/12),0)</f>
        <v>0</v>
      </c>
      <c r="EV155" s="308">
        <f t="shared" si="165"/>
        <v>-1243.1466666666665</v>
      </c>
      <c r="EW155" s="308">
        <f t="shared" si="166"/>
        <v>-3422.8958333333335</v>
      </c>
      <c r="EX155" s="309"/>
      <c r="EY155" s="309">
        <f>_xlfn.IFNA(VLOOKUP($A155,'Cash Advances'!$A:$S,17,FALSE),0)</f>
        <v>0</v>
      </c>
      <c r="EZ155" s="309">
        <f>_xlfn.IFNA(VLOOKUP(A155,'LA Deductions'!A:AZ,25,FALSE),0)/9</f>
        <v>0</v>
      </c>
      <c r="FA155" s="308">
        <f t="shared" si="177"/>
        <v>299325.9108360174</v>
      </c>
      <c r="FB155" s="315">
        <f t="shared" si="167"/>
        <v>280337.50123075425</v>
      </c>
      <c r="FC155" s="315"/>
      <c r="FD155" s="316"/>
      <c r="FE155" s="316">
        <f>_xlfn.IFNA((VLOOKUP($A155,HN!$A:$K,8,FALSE)/12),0)+_xlfn.IFNA((VLOOKUP($A155,HN!$A:$AF,32,FALSE)*1/12),0)</f>
        <v>0</v>
      </c>
      <c r="FF155" s="316">
        <f>_xlfn.IFNA((VLOOKUP($A155,HN!$A:$BS,14,FALSE)/12),0)+_xlfn.IFNA((VLOOKUP($A155,HN!$A:$BS,34,FALSE)/3),0)</f>
        <v>0</v>
      </c>
      <c r="FG155" s="316">
        <f>_xlfn.IFNA(VLOOKUP($A155,'Post 16'!$A:$AV,32,FALSE),0)/8</f>
        <v>0</v>
      </c>
      <c r="FH155" s="316"/>
      <c r="FI155" s="316">
        <f>_xlfn.IFNA((VLOOKUP($A155,HN!$A:$K,9,FALSE)/12),0)+_xlfn.IFNA((VLOOKUP($A155,HN!$A:$K,10,FALSE)/12),0)+_xlfn.IFNA((VLOOKUP($A155,HN!$A:$BZ,33,FALSE)/12),0)+_xlfn.IFNA((VLOOKUP($A155,HN!$A:$BZ,35,FALSE)/2),0)</f>
        <v>0</v>
      </c>
      <c r="FJ155" s="316">
        <f>_xlfn.IFNA((VLOOKUP($A155,HN!$A:$BS,15,FALSE)/12),0)+_xlfn.IFNA((VLOOKUP($A155,HN!$A:$CZ,36,FALSE)/2),0)</f>
        <v>0</v>
      </c>
      <c r="FK155" s="315">
        <f t="shared" si="168"/>
        <v>-1243.1466666666665</v>
      </c>
      <c r="FL155" s="315">
        <f t="shared" si="169"/>
        <v>-3422.8958333333335</v>
      </c>
      <c r="FM155" s="316"/>
      <c r="FN155" s="316">
        <f>_xlfn.IFNA(VLOOKUP($A155,'Cash Advances'!$A:$S,18,FALSE),0)</f>
        <v>0</v>
      </c>
      <c r="FO155" s="316">
        <f>_xlfn.IFNA(VLOOKUP(A155,'LA Deductions'!A:AZ,25,FALSE),0)/9</f>
        <v>0</v>
      </c>
      <c r="FP155" s="315">
        <f t="shared" si="178"/>
        <v>275671.45873075427</v>
      </c>
      <c r="FQ155" s="322">
        <f t="shared" si="170"/>
        <v>280337.50123075425</v>
      </c>
      <c r="FR155" s="322"/>
      <c r="FS155" s="323"/>
      <c r="FT155" s="323">
        <f>_xlfn.IFNA((VLOOKUP($A155,HN!$A:$K,8,FALSE)/12),0)+_xlfn.IFNA((VLOOKUP($A155,HN!$A:$AF,32,FALSE)*1/12),0)</f>
        <v>0</v>
      </c>
      <c r="FU155" s="323">
        <f>_xlfn.IFNA((VLOOKUP($A155,HN!$A:$BS,14,FALSE)/12),0)+_xlfn.IFNA((VLOOKUP($A155,HN!$A:$BS,34,FALSE)/3),0)</f>
        <v>0</v>
      </c>
      <c r="FV155" s="323">
        <f>_xlfn.IFNA(VLOOKUP($A155,'Post 16'!$A:$AV,32,FALSE),0)/8</f>
        <v>0</v>
      </c>
      <c r="FW155" s="323"/>
      <c r="FX155" s="323">
        <f>_xlfn.IFNA((VLOOKUP($A155,HN!$A:$K,9,FALSE)/12),0)+_xlfn.IFNA((VLOOKUP($A155,HN!$A:$K,10,FALSE)/12),0)+_xlfn.IFNA((VLOOKUP($A155,HN!$A:$BZ,33,FALSE)/12),0)+_xlfn.IFNA((VLOOKUP($A155,HN!$A:$BZ,35,FALSE)/2),0)</f>
        <v>0</v>
      </c>
      <c r="FY155" s="323">
        <f>_xlfn.IFNA((VLOOKUP($A155,HN!$A:$BS,15,FALSE)/12),0)+_xlfn.IFNA((VLOOKUP($A155,HN!$A:$CZ,36,FALSE)/2),0)</f>
        <v>0</v>
      </c>
      <c r="FZ155" s="322">
        <f t="shared" si="171"/>
        <v>-1243.1466666666665</v>
      </c>
      <c r="GA155" s="322">
        <f t="shared" si="172"/>
        <v>-3422.8958333333335</v>
      </c>
      <c r="GB155" s="323"/>
      <c r="GC155" s="323"/>
      <c r="GD155" s="323">
        <f>_xlfn.IFNA(VLOOKUP(A155,'LA Deductions'!A:AZ,25,FALSE),0)/9</f>
        <v>0</v>
      </c>
      <c r="GE155" s="322">
        <f t="shared" si="179"/>
        <v>275671.45873075427</v>
      </c>
      <c r="GG155" s="146">
        <f t="shared" si="182"/>
        <v>3527221.1168743148</v>
      </c>
      <c r="GH155" s="146">
        <f t="shared" si="182"/>
        <v>0</v>
      </c>
      <c r="GI155" s="146">
        <f t="shared" si="182"/>
        <v>0</v>
      </c>
      <c r="GJ155" s="146">
        <f t="shared" si="182"/>
        <v>-14917.760000000002</v>
      </c>
      <c r="GK155" s="146">
        <f t="shared" si="182"/>
        <v>-41074.75</v>
      </c>
      <c r="GL155" s="146">
        <f t="shared" si="182"/>
        <v>-12566.4</v>
      </c>
      <c r="GN155" s="146">
        <f t="shared" si="183"/>
        <v>3527221.1168743148</v>
      </c>
      <c r="GO155" s="146">
        <f t="shared" si="183"/>
        <v>0</v>
      </c>
      <c r="GP155" s="146">
        <f t="shared" si="183"/>
        <v>0</v>
      </c>
      <c r="GQ155" s="146">
        <f t="shared" si="183"/>
        <v>-14917.760000000002</v>
      </c>
      <c r="GR155" s="146">
        <f t="shared" si="183"/>
        <v>-41074.75</v>
      </c>
      <c r="GS155" s="146">
        <f t="shared" si="183"/>
        <v>-12566.4</v>
      </c>
      <c r="GU155" s="146"/>
      <c r="GV155" s="57"/>
    </row>
    <row r="156" spans="1:204">
      <c r="A156" s="185">
        <v>2278</v>
      </c>
      <c r="B156" s="185">
        <v>103310</v>
      </c>
      <c r="C156" s="185" t="s">
        <v>338</v>
      </c>
      <c r="D156" s="2" t="s">
        <v>339</v>
      </c>
      <c r="E156" s="191" t="s">
        <v>32</v>
      </c>
      <c r="F156" s="191" t="s">
        <v>912</v>
      </c>
      <c r="H156" s="279">
        <f>_xlfn.IFNA(VLOOKUP($A156,ISB!$A$4:$BY$454,67,FALSE),0)</f>
        <v>2493745.2232283941</v>
      </c>
      <c r="I156" s="279">
        <f>_xlfn.IFNA(VLOOKUP($A156,ISB!$A$4:$BY$454,72,FALSE),0)</f>
        <v>-10458.08</v>
      </c>
      <c r="J156" s="279">
        <f>-_xlfn.IFNA(VLOOKUP($A156,ISB!$A$4:$BY$454,76,FALSE),0)</f>
        <v>-24535.64</v>
      </c>
      <c r="K156" s="279">
        <f>_xlfn.IFNA(VLOOKUP($A156,ISB!$A$4:$BY$454,77,FALSE),0)</f>
        <v>2458751.5032283938</v>
      </c>
      <c r="M156" s="301">
        <f t="shared" si="137"/>
        <v>207812.10193569949</v>
      </c>
      <c r="N156" s="301">
        <f>VLOOKUP($A156,EY!$A:$H,8,FALSE)+(VLOOKUP($A156,EY!$A:$BS,17,FALSE)-S156)+VLOOKUP($A156,EY!$A:$BS,41,FALSE)</f>
        <v>0</v>
      </c>
      <c r="O156" s="302"/>
      <c r="P156" s="302">
        <f>_xlfn.IFNA((VLOOKUP($A156,HN!$A:$K,8,FALSE)/12),0)</f>
        <v>0</v>
      </c>
      <c r="Q156" s="302">
        <f>_xlfn.IFNA((VLOOKUP($A156,HN!$A:$BS,14,FALSE)/12),0)</f>
        <v>0</v>
      </c>
      <c r="R156" s="302">
        <f>_xlfn.IFNA(VLOOKUP($A156,'Post 16'!$A:$V,21,FALSE),0)/4</f>
        <v>0</v>
      </c>
      <c r="S156" s="302">
        <f>VLOOKUP($A156,EY!A:Q,15,FALSE)*80%</f>
        <v>0</v>
      </c>
      <c r="T156" s="302">
        <f>_xlfn.IFNA((VLOOKUP($A156,HN!$A:$K,9,FALSE)/12),0)+_xlfn.IFNA((VLOOKUP($A156,HN!$A:$K,10,FALSE)/12),0)</f>
        <v>0</v>
      </c>
      <c r="U156" s="302">
        <f>_xlfn.IFNA((VLOOKUP($A156,HN!$A:$BS,15,FALSE)/12),0)</f>
        <v>0</v>
      </c>
      <c r="V156" s="301">
        <f t="shared" si="138"/>
        <v>-871.50666666666666</v>
      </c>
      <c r="W156" s="301">
        <f t="shared" si="139"/>
        <v>-2044.6366666666665</v>
      </c>
      <c r="X156" s="302"/>
      <c r="Y156" s="302">
        <f>_xlfn.IFNA(VLOOKUP($A156,'Cash Advances'!$A:$S,8,FALSE),0)</f>
        <v>0</v>
      </c>
      <c r="Z156" s="301">
        <f t="shared" si="132"/>
        <v>204895.95860236618</v>
      </c>
      <c r="AA156" s="315">
        <f t="shared" si="140"/>
        <v>207812.10193569949</v>
      </c>
      <c r="AB156" s="315"/>
      <c r="AC156" s="316"/>
      <c r="AD156" s="316">
        <f>_xlfn.IFNA((VLOOKUP($A156,HN!$A:$K,8,FALSE)/12),0)</f>
        <v>0</v>
      </c>
      <c r="AE156" s="316">
        <f>_xlfn.IFNA((VLOOKUP($A156,HN!$A:$BS,14,FALSE)/12),0)</f>
        <v>0</v>
      </c>
      <c r="AF156" s="316">
        <f>_xlfn.IFNA(VLOOKUP($A156,'Post 16'!$A:$V,21,FALSE),0)/4</f>
        <v>0</v>
      </c>
      <c r="AG156" s="316"/>
      <c r="AH156" s="316">
        <f>_xlfn.IFNA((VLOOKUP($A156,HN!$A:$K,9,FALSE)/12),0)+_xlfn.IFNA((VLOOKUP($A156,HN!$A:$K,10,FALSE)/12),0)</f>
        <v>0</v>
      </c>
      <c r="AI156" s="316">
        <f>_xlfn.IFNA((VLOOKUP($A156,HN!$A:$BS,15,FALSE)/12),0)</f>
        <v>0</v>
      </c>
      <c r="AJ156" s="315">
        <f t="shared" si="141"/>
        <v>-871.50666666666666</v>
      </c>
      <c r="AK156" s="315">
        <f t="shared" si="142"/>
        <v>-2044.6366666666665</v>
      </c>
      <c r="AL156" s="316"/>
      <c r="AM156" s="316">
        <f>_xlfn.IFNA(VLOOKUP($A156,'Cash Advances'!$A:$S,9,FALSE),0)</f>
        <v>0</v>
      </c>
      <c r="AN156" s="315">
        <f t="shared" si="133"/>
        <v>204895.95860236618</v>
      </c>
      <c r="AO156" s="308">
        <f t="shared" si="143"/>
        <v>207812.10193569949</v>
      </c>
      <c r="AP156" s="308"/>
      <c r="AQ156" s="309"/>
      <c r="AR156" s="309">
        <f>_xlfn.IFNA((VLOOKUP($A156,HN!$A:$K,8,FALSE)/12),0)</f>
        <v>0</v>
      </c>
      <c r="AS156" s="309">
        <f>_xlfn.IFNA((VLOOKUP($A156,HN!$A:$BS,14,FALSE)/12),0)</f>
        <v>0</v>
      </c>
      <c r="AT156" s="309">
        <f>_xlfn.IFNA(VLOOKUP($A156,'Post 16'!$A:$V,21,FALSE),0)/4</f>
        <v>0</v>
      </c>
      <c r="AU156" s="309"/>
      <c r="AV156" s="309">
        <f>_xlfn.IFNA((VLOOKUP($A156,HN!$A:$K,9,FALSE)/12),0)+_xlfn.IFNA((VLOOKUP($A156,HN!$A:$K,10,FALSE)/12),0)+_xlfn.IFNA(VLOOKUP(A156,HN!A:V,19,FALSE),0)+_xlfn.IFNA(VLOOKUP(A156,HN!A:V,20,FALSE),0)+_xlfn.IFNA(VLOOKUP(A156,HN!A:V,21,FALSE),0)</f>
        <v>0</v>
      </c>
      <c r="AW156" s="309">
        <f>_xlfn.IFNA((VLOOKUP($A156,HN!$A:$BS,15,FALSE)/12),0)</f>
        <v>0</v>
      </c>
      <c r="AX156" s="308">
        <f t="shared" si="144"/>
        <v>-871.50666666666666</v>
      </c>
      <c r="AY156" s="308">
        <f t="shared" si="145"/>
        <v>-2044.6366666666665</v>
      </c>
      <c r="AZ156" s="309"/>
      <c r="BA156" s="309">
        <f>_xlfn.IFNA(VLOOKUP($A156,'Cash Advances'!$A:$S,10,FALSE),0)</f>
        <v>0</v>
      </c>
      <c r="BB156" s="308">
        <f t="shared" si="134"/>
        <v>204895.95860236618</v>
      </c>
      <c r="BC156" s="330">
        <f t="shared" si="146"/>
        <v>207812.10193569949</v>
      </c>
      <c r="BD156" s="330"/>
      <c r="BE156" s="331"/>
      <c r="BF156" s="331">
        <f>_xlfn.IFNA((VLOOKUP($A156,HN!$A:$K,8,FALSE)/12),0)</f>
        <v>0</v>
      </c>
      <c r="BG156" s="331">
        <f>_xlfn.IFNA((VLOOKUP($A156,HN!$A:$BS,14,FALSE)/12),0)</f>
        <v>0</v>
      </c>
      <c r="BH156" s="331">
        <f>_xlfn.IFNA(VLOOKUP($A156,'Post 16'!$A:$V,21,FALSE),0)/4</f>
        <v>0</v>
      </c>
      <c r="BI156" s="331"/>
      <c r="BJ156" s="331">
        <f>_xlfn.IFNA((VLOOKUP($A156,HN!$A:$K,9,FALSE)/12),0)+_xlfn.IFNA((VLOOKUP($A156,HN!$A:$K,10,FALSE)/12),0)</f>
        <v>0</v>
      </c>
      <c r="BK156" s="331">
        <f>_xlfn.IFNA((VLOOKUP($A156,HN!$A:$BS,15,FALSE)/12),0)</f>
        <v>0</v>
      </c>
      <c r="BL156" s="330">
        <f t="shared" si="147"/>
        <v>-871.50666666666666</v>
      </c>
      <c r="BM156" s="330">
        <f t="shared" si="148"/>
        <v>-2044.6366666666665</v>
      </c>
      <c r="BN156" s="331"/>
      <c r="BO156" s="331">
        <f>_xlfn.IFNA(VLOOKUP(A156,'Cash Advances'!A:K,11,FALSE),0)</f>
        <v>0</v>
      </c>
      <c r="BP156" s="330">
        <f t="shared" si="135"/>
        <v>204895.95860236618</v>
      </c>
      <c r="BQ156" s="322">
        <f t="shared" si="149"/>
        <v>207812.10193569949</v>
      </c>
      <c r="BR156" s="322"/>
      <c r="BS156" s="323"/>
      <c r="BT156" s="323">
        <f>_xlfn.IFNA((VLOOKUP($A156,HN!$A:$K,8,FALSE)/12),0)</f>
        <v>0</v>
      </c>
      <c r="BU156" s="323">
        <f>_xlfn.IFNA((VLOOKUP($A156,HN!$A:$BS,14,FALSE)/12),0)</f>
        <v>0</v>
      </c>
      <c r="BV156" s="323">
        <f>(_xlfn.IFNA(VLOOKUP($A156,'Post 16'!$A:$AV,32,FALSE),0)/8)+_xlfn.IFNA(VLOOKUP($A156,'Post 16'!$A:$AR,40,FALSE),0)</f>
        <v>0</v>
      </c>
      <c r="BW156" s="323"/>
      <c r="BX156" s="323">
        <f>_xlfn.IFNA((VLOOKUP($A156,HN!$A:$K,9,FALSE)/12),0)+_xlfn.IFNA((VLOOKUP($A156,HN!$A:$K,10,FALSE)/12),0)</f>
        <v>0</v>
      </c>
      <c r="BY156" s="323">
        <f>_xlfn.IFNA((VLOOKUP($A156,HN!$A:$BS,15,FALSE)/12),0)</f>
        <v>0</v>
      </c>
      <c r="BZ156" s="322">
        <f t="shared" si="150"/>
        <v>-871.50666666666666</v>
      </c>
      <c r="CA156" s="322">
        <f t="shared" si="151"/>
        <v>-2044.6366666666665</v>
      </c>
      <c r="CB156" s="323"/>
      <c r="CC156" s="323"/>
      <c r="CD156" s="322">
        <f t="shared" si="136"/>
        <v>204895.95860236618</v>
      </c>
      <c r="CE156" s="357">
        <f t="shared" si="152"/>
        <v>207812.10193569949</v>
      </c>
      <c r="CF156" s="357">
        <f>(VLOOKUP($A156,EY!$A:$BS,26,FALSE)-(VLOOKUP($A156,EY!A:CR,24,FALSE)*80%))+VLOOKUP($A156,EY!$A:$BS,42,FALSE)+(VLOOKUP($A156,EY!A:CC,74,FALSE)-VLOOKUP($A156,EY!A:CC,72,FALSE))</f>
        <v>0</v>
      </c>
      <c r="CG156" s="358"/>
      <c r="CH156" s="358">
        <f>_xlfn.IFNA((VLOOKUP($A156,HN!$A:$K,8,FALSE)/12),0)</f>
        <v>0</v>
      </c>
      <c r="CI156" s="358">
        <f>_xlfn.IFNA((VLOOKUP($A156,HN!$A:$BS,14,FALSE)/12),0)</f>
        <v>0</v>
      </c>
      <c r="CJ156" s="358">
        <f>(_xlfn.IFNA(VLOOKUP($A156,'Post 16'!$A:$AV,32,FALSE),0)/8)</f>
        <v>0</v>
      </c>
      <c r="CK156" s="358">
        <f>(VLOOKUP($A156,EY!A:CR,24,FALSE)*80%)+VLOOKUP($A156,EY!A:CC,72,FALSE)</f>
        <v>0</v>
      </c>
      <c r="CL156" s="358">
        <f>_xlfn.IFNA((VLOOKUP($A156,HN!$A:$K,9,FALSE)/12),0)+_xlfn.IFNA((VLOOKUP($A156,HN!$A:$K,10,FALSE)/12),0)</f>
        <v>0</v>
      </c>
      <c r="CM156" s="358">
        <f>_xlfn.IFNA((VLOOKUP($A156,HN!$A:$BS,15,FALSE)/12),0)</f>
        <v>0</v>
      </c>
      <c r="CN156" s="357">
        <f t="shared" si="153"/>
        <v>-871.50666666666666</v>
      </c>
      <c r="CO156" s="357">
        <f t="shared" si="154"/>
        <v>-2044.6366666666665</v>
      </c>
      <c r="CP156" s="358">
        <f>_xlfn.IFNA(VLOOKUP(A156,'LA Deductions'!A:W,23,FALSE),0)</f>
        <v>-9471</v>
      </c>
      <c r="CQ156" s="358">
        <f>_xlfn.IFNA(VLOOKUP($A156,'Cash Advances'!$A:$S,13,FALSE),0)</f>
        <v>0</v>
      </c>
      <c r="CR156" s="358">
        <f>_xlfn.IFNA(VLOOKUP(A156,'LA Deductions'!A:AZ,25,FALSE),0)/9*3</f>
        <v>0</v>
      </c>
      <c r="CS156" s="357">
        <f t="shared" si="173"/>
        <v>195424.95860236618</v>
      </c>
      <c r="CT156" s="337">
        <f t="shared" si="155"/>
        <v>207812.10193569949</v>
      </c>
      <c r="CU156" s="337"/>
      <c r="CV156" s="338">
        <f>_xlfn.IFNA(VLOOKUP(A156,'LA Deductions'!$A$6:$AN$207,34,FALSE),0)</f>
        <v>-3832.5414000000001</v>
      </c>
      <c r="CW156" s="338">
        <f>_xlfn.IFNA((VLOOKUP($A156,HN!$A:$K,8,FALSE)/12),0)</f>
        <v>0</v>
      </c>
      <c r="CX156" s="338">
        <f>_xlfn.IFNA((VLOOKUP($A156,HN!$A:$BS,14,FALSE)/12),0)</f>
        <v>0</v>
      </c>
      <c r="CY156" s="338">
        <f>_xlfn.IFNA(VLOOKUP($A156,'Post 16'!$A:$AV,32,FALSE),0)/8</f>
        <v>0</v>
      </c>
      <c r="CZ156" s="338"/>
      <c r="DA156" s="338">
        <f>_xlfn.IFNA((VLOOKUP($A156,HN!$A:$K,9,FALSE)/12),0)+_xlfn.IFNA((VLOOKUP($A156,HN!$A:$K,10,FALSE)/12),0)</f>
        <v>0</v>
      </c>
      <c r="DB156" s="338">
        <f>_xlfn.IFNA((VLOOKUP($A156,HN!$A:$BS,15,FALSE)/12),0)</f>
        <v>0</v>
      </c>
      <c r="DC156" s="337">
        <f t="shared" si="156"/>
        <v>-871.50666666666666</v>
      </c>
      <c r="DD156" s="337">
        <f t="shared" si="157"/>
        <v>-2044.6366666666665</v>
      </c>
      <c r="DE156" s="338"/>
      <c r="DF156" s="338">
        <f>_xlfn.IFNA(VLOOKUP($A156,'Cash Advances'!$A:$S,14,FALSE),0)</f>
        <v>0</v>
      </c>
      <c r="DG156" s="338">
        <f>(_xlfn.IFNA(VLOOKUP(A156,'LA Deductions'!A:AZ,25,FALSE),0)/9)+(_xlfn.IFNA(VLOOKUP(A156,'LA Deductions'!A:AZ,26,FALSE),0))</f>
        <v>0</v>
      </c>
      <c r="DH156" s="337">
        <f t="shared" si="174"/>
        <v>201063.4172023662</v>
      </c>
      <c r="DI156" s="330">
        <f t="shared" si="158"/>
        <v>207812.10193569949</v>
      </c>
      <c r="DJ156" s="330"/>
      <c r="DK156" s="331"/>
      <c r="DL156" s="331">
        <f>_xlfn.IFNA((VLOOKUP($A156,HN!$A:$K,8,FALSE)/12),0)+_xlfn.IFNA((VLOOKUP($A156,HN!$A:$AF,32,FALSE)*8/12),0)</f>
        <v>0</v>
      </c>
      <c r="DM156" s="331">
        <f>_xlfn.IFNA((VLOOKUP($A156,HN!$A:$BS,14,FALSE)/12),0)+_xlfn.IFNA(VLOOKUP($A156,HN!$A:$BS,31,FALSE),0)</f>
        <v>0</v>
      </c>
      <c r="DN156" s="331">
        <f>_xlfn.IFNA(VLOOKUP($A156,'Post 16'!$A:$AV,32,FALSE),0)/8</f>
        <v>0</v>
      </c>
      <c r="DO156" s="331"/>
      <c r="DP156" s="331">
        <f>_xlfn.IFNA((VLOOKUP($A156,HN!$A:$K,9,FALSE)/12),0)+_xlfn.IFNA((VLOOKUP($A156,HN!$A:$K,10,FALSE)/12),0)+_xlfn.IFNA((VLOOKUP($A156,HN!$A:$BZ,33,FALSE)*8/12),0)</f>
        <v>0</v>
      </c>
      <c r="DQ156" s="331">
        <f>_xlfn.IFNA((VLOOKUP($A156,HN!$A:$BS,15,FALSE)/12),0)</f>
        <v>0</v>
      </c>
      <c r="DR156" s="330">
        <f t="shared" si="159"/>
        <v>-871.50666666666666</v>
      </c>
      <c r="DS156" s="330">
        <f t="shared" si="160"/>
        <v>-2044.6366666666665</v>
      </c>
      <c r="DT156" s="331"/>
      <c r="DU156" s="331"/>
      <c r="DV156" s="331">
        <f>(_xlfn.IFNA(VLOOKUP(A156,'LA Deductions'!A:AZ,25,FALSE),0)/9)+_xlfn.IFNA(VLOOKUP(A156,'LA Deductions'!A:AZ,27,FALSE),0)</f>
        <v>0</v>
      </c>
      <c r="DW156" s="330">
        <f t="shared" si="175"/>
        <v>204895.95860236618</v>
      </c>
      <c r="DX156" s="344">
        <f t="shared" si="161"/>
        <v>207812.10193569949</v>
      </c>
      <c r="DY156" s="344"/>
      <c r="DZ156" s="345"/>
      <c r="EA156" s="345">
        <f>_xlfn.IFNA((VLOOKUP($A156,HN!$A:$K,8,FALSE)/12),0)+_xlfn.IFNA((VLOOKUP($A156,HN!$A:$AF,32,FALSE)*1/12),0)</f>
        <v>0</v>
      </c>
      <c r="EB156" s="345">
        <f>_xlfn.IFNA((VLOOKUP($A156,HN!$A:$BS,14,FALSE)/12),0)</f>
        <v>0</v>
      </c>
      <c r="EC156" s="345">
        <f>_xlfn.IFNA(VLOOKUP($A156,'Post 16'!$A:$AV,32,FALSE),0)/8</f>
        <v>0</v>
      </c>
      <c r="ED156" s="345"/>
      <c r="EE156" s="345">
        <f>_xlfn.IFNA((VLOOKUP($A156,HN!$A:$K,9,FALSE)/12),0)+_xlfn.IFNA((VLOOKUP($A156,HN!$A:$K,10,FALSE)/12),0)+_xlfn.IFNA((VLOOKUP($A156,HN!$A:$BZ,33,FALSE)/12),0)</f>
        <v>0</v>
      </c>
      <c r="EF156" s="345">
        <f>_xlfn.IFNA((VLOOKUP($A156,HN!$A:$BS,15,FALSE)/12),0)</f>
        <v>0</v>
      </c>
      <c r="EG156" s="344">
        <f t="shared" si="162"/>
        <v>-871.50666666666666</v>
      </c>
      <c r="EH156" s="344">
        <f t="shared" si="163"/>
        <v>-2044.6366666666665</v>
      </c>
      <c r="EI156" s="345"/>
      <c r="EJ156" s="345">
        <f>_xlfn.IFNA(VLOOKUP(A156,'Cash Advances'!A:P,16,FALSE),0)</f>
        <v>0</v>
      </c>
      <c r="EK156" s="345">
        <f>_xlfn.IFNA(VLOOKUP(A156,'LA Deductions'!A:AZ,25,FALSE),0)/9</f>
        <v>0</v>
      </c>
      <c r="EL156" s="344">
        <f t="shared" si="176"/>
        <v>204895.95860236618</v>
      </c>
      <c r="EM156" s="308">
        <f t="shared" si="164"/>
        <v>207812.10193569949</v>
      </c>
      <c r="EN156" s="308">
        <f>((VLOOKUP($A156,EY!$A:$BS,35,FALSE)-(VLOOKUP($A156,EY!$A:$BS,33,FALSE)*80%))+VLOOKUP($A156,EY!$A:$BS,43,FALSE))+(VLOOKUP(A156,EY!A:DF,110,FALSE)-VLOOKUP(A156,EY!A:DD,108,FALSE))+(VLOOKUP(A156,EY!A:CE,83,FALSE)-VLOOKUP(A156,EY!A:CC,81,FALSE))</f>
        <v>0</v>
      </c>
      <c r="EO156" s="309"/>
      <c r="EP156" s="309">
        <f>_xlfn.IFNA((VLOOKUP($A156,HN!$A:$K,8,FALSE)/12),0)+_xlfn.IFNA((VLOOKUP($A156,HN!$A:$AF,32,FALSE)*1/12),0)</f>
        <v>0</v>
      </c>
      <c r="EQ156" s="309">
        <f>_xlfn.IFNA((VLOOKUP($A156,HN!$A:$BS,14,FALSE)/12),0)+_xlfn.IFNA((VLOOKUP($A156,HN!$A:$BS,34,FALSE)/3),0)</f>
        <v>0</v>
      </c>
      <c r="ER156" s="309">
        <f>_xlfn.IFNA(VLOOKUP($A156,'Post 16'!$A:$AV,32,FALSE),0)/8</f>
        <v>0</v>
      </c>
      <c r="ES156" s="309">
        <f>((VLOOKUP($A156,EY!A:EV,33,FALSE)*80%))+VLOOKUP(A156,EY!A:DD,108,FALSE)+VLOOKUP(A156,EY!A:CC,81,FALSE)</f>
        <v>0</v>
      </c>
      <c r="ET156" s="309">
        <f>_xlfn.IFNA((VLOOKUP($A156,HN!$A:$K,9,FALSE)/12),0)+_xlfn.IFNA((VLOOKUP($A156,HN!$A:$K,10,FALSE)/12),0)+_xlfn.IFNA((VLOOKUP($A156,HN!$A:$BZ,33,FALSE)/12),0)</f>
        <v>0</v>
      </c>
      <c r="EU156" s="309">
        <f>_xlfn.IFNA((VLOOKUP($A156,HN!$A:$BS,15,FALSE)/12),0)</f>
        <v>0</v>
      </c>
      <c r="EV156" s="308">
        <f t="shared" si="165"/>
        <v>-871.50666666666666</v>
      </c>
      <c r="EW156" s="308">
        <f t="shared" si="166"/>
        <v>-2044.6366666666665</v>
      </c>
      <c r="EX156" s="309"/>
      <c r="EY156" s="309">
        <f>_xlfn.IFNA(VLOOKUP($A156,'Cash Advances'!$A:$S,17,FALSE),0)</f>
        <v>0</v>
      </c>
      <c r="EZ156" s="309">
        <f>_xlfn.IFNA(VLOOKUP(A156,'LA Deductions'!A:AZ,25,FALSE),0)/9</f>
        <v>0</v>
      </c>
      <c r="FA156" s="308">
        <f t="shared" si="177"/>
        <v>204895.95860236618</v>
      </c>
      <c r="FB156" s="315">
        <f t="shared" si="167"/>
        <v>207812.10193569949</v>
      </c>
      <c r="FC156" s="315"/>
      <c r="FD156" s="316"/>
      <c r="FE156" s="316">
        <f>_xlfn.IFNA((VLOOKUP($A156,HN!$A:$K,8,FALSE)/12),0)+_xlfn.IFNA((VLOOKUP($A156,HN!$A:$AF,32,FALSE)*1/12),0)</f>
        <v>0</v>
      </c>
      <c r="FF156" s="316">
        <f>_xlfn.IFNA((VLOOKUP($A156,HN!$A:$BS,14,FALSE)/12),0)+_xlfn.IFNA((VLOOKUP($A156,HN!$A:$BS,34,FALSE)/3),0)</f>
        <v>0</v>
      </c>
      <c r="FG156" s="316">
        <f>_xlfn.IFNA(VLOOKUP($A156,'Post 16'!$A:$AV,32,FALSE),0)/8</f>
        <v>0</v>
      </c>
      <c r="FH156" s="316"/>
      <c r="FI156" s="316">
        <f>_xlfn.IFNA((VLOOKUP($A156,HN!$A:$K,9,FALSE)/12),0)+_xlfn.IFNA((VLOOKUP($A156,HN!$A:$K,10,FALSE)/12),0)+_xlfn.IFNA((VLOOKUP($A156,HN!$A:$BZ,33,FALSE)/12),0)+_xlfn.IFNA((VLOOKUP($A156,HN!$A:$BZ,35,FALSE)/2),0)</f>
        <v>0</v>
      </c>
      <c r="FJ156" s="316">
        <f>_xlfn.IFNA((VLOOKUP($A156,HN!$A:$BS,15,FALSE)/12),0)+_xlfn.IFNA((VLOOKUP($A156,HN!$A:$CZ,36,FALSE)/2),0)</f>
        <v>0</v>
      </c>
      <c r="FK156" s="315">
        <f t="shared" si="168"/>
        <v>-871.50666666666666</v>
      </c>
      <c r="FL156" s="315">
        <f t="shared" si="169"/>
        <v>-2044.6366666666665</v>
      </c>
      <c r="FM156" s="316"/>
      <c r="FN156" s="316">
        <f>_xlfn.IFNA(VLOOKUP($A156,'Cash Advances'!$A:$S,18,FALSE),0)</f>
        <v>0</v>
      </c>
      <c r="FO156" s="316">
        <f>_xlfn.IFNA(VLOOKUP(A156,'LA Deductions'!A:AZ,25,FALSE),0)/9</f>
        <v>0</v>
      </c>
      <c r="FP156" s="315">
        <f t="shared" si="178"/>
        <v>204895.95860236618</v>
      </c>
      <c r="FQ156" s="322">
        <f t="shared" si="170"/>
        <v>207812.10193569949</v>
      </c>
      <c r="FR156" s="322"/>
      <c r="FS156" s="323"/>
      <c r="FT156" s="323">
        <f>_xlfn.IFNA((VLOOKUP($A156,HN!$A:$K,8,FALSE)/12),0)+_xlfn.IFNA((VLOOKUP($A156,HN!$A:$AF,32,FALSE)*1/12),0)</f>
        <v>0</v>
      </c>
      <c r="FU156" s="323">
        <f>_xlfn.IFNA((VLOOKUP($A156,HN!$A:$BS,14,FALSE)/12),0)+_xlfn.IFNA((VLOOKUP($A156,HN!$A:$BS,34,FALSE)/3),0)</f>
        <v>0</v>
      </c>
      <c r="FV156" s="323">
        <f>_xlfn.IFNA(VLOOKUP($A156,'Post 16'!$A:$AV,32,FALSE),0)/8</f>
        <v>0</v>
      </c>
      <c r="FW156" s="323"/>
      <c r="FX156" s="323">
        <f>_xlfn.IFNA((VLOOKUP($A156,HN!$A:$K,9,FALSE)/12),0)+_xlfn.IFNA((VLOOKUP($A156,HN!$A:$K,10,FALSE)/12),0)+_xlfn.IFNA((VLOOKUP($A156,HN!$A:$BZ,33,FALSE)/12),0)+_xlfn.IFNA((VLOOKUP($A156,HN!$A:$BZ,35,FALSE)/2),0)</f>
        <v>0</v>
      </c>
      <c r="FY156" s="323">
        <f>_xlfn.IFNA((VLOOKUP($A156,HN!$A:$BS,15,FALSE)/12),0)+_xlfn.IFNA((VLOOKUP($A156,HN!$A:$CZ,36,FALSE)/2),0)</f>
        <v>0</v>
      </c>
      <c r="FZ156" s="322">
        <f t="shared" si="171"/>
        <v>-871.50666666666666</v>
      </c>
      <c r="GA156" s="322">
        <f t="shared" si="172"/>
        <v>-2044.6366666666665</v>
      </c>
      <c r="GB156" s="323"/>
      <c r="GC156" s="323"/>
      <c r="GD156" s="323">
        <f>_xlfn.IFNA(VLOOKUP(A156,'LA Deductions'!A:AZ,25,FALSE),0)/9</f>
        <v>0</v>
      </c>
      <c r="GE156" s="322">
        <f t="shared" si="179"/>
        <v>204895.95860236618</v>
      </c>
      <c r="GG156" s="146">
        <f t="shared" ref="GG156:GL164" si="184">SUMIFS($M156:$GE156,$M$7:$GE$7,GG$7)</f>
        <v>2489912.6818283945</v>
      </c>
      <c r="GH156" s="146">
        <f t="shared" si="184"/>
        <v>0</v>
      </c>
      <c r="GI156" s="146">
        <f t="shared" si="184"/>
        <v>0</v>
      </c>
      <c r="GJ156" s="146">
        <f t="shared" si="184"/>
        <v>-10458.079999999996</v>
      </c>
      <c r="GK156" s="146">
        <f t="shared" si="184"/>
        <v>-24535.639999999996</v>
      </c>
      <c r="GL156" s="146">
        <f t="shared" si="184"/>
        <v>-9471</v>
      </c>
      <c r="GN156" s="146">
        <f t="shared" ref="GN156:GS164" si="185">SUMIFS($M156:$GE156,$M$7:$GE$7,GN$7,$M$4:$GE$4,$GN$6)</f>
        <v>2489912.6818283945</v>
      </c>
      <c r="GO156" s="146">
        <f t="shared" si="185"/>
        <v>0</v>
      </c>
      <c r="GP156" s="146">
        <f t="shared" si="185"/>
        <v>0</v>
      </c>
      <c r="GQ156" s="146">
        <f t="shared" si="185"/>
        <v>-10458.079999999996</v>
      </c>
      <c r="GR156" s="146">
        <f t="shared" si="185"/>
        <v>-24535.639999999996</v>
      </c>
      <c r="GS156" s="146">
        <f t="shared" si="185"/>
        <v>-9471</v>
      </c>
      <c r="GU156" s="146"/>
      <c r="GV156" s="57"/>
    </row>
    <row r="157" spans="1:204">
      <c r="A157" s="185">
        <v>2317</v>
      </c>
      <c r="B157" s="185">
        <v>103337</v>
      </c>
      <c r="C157" s="185" t="s">
        <v>342</v>
      </c>
      <c r="D157" s="2" t="s">
        <v>343</v>
      </c>
      <c r="E157" s="191" t="s">
        <v>32</v>
      </c>
      <c r="F157" s="191" t="s">
        <v>912</v>
      </c>
      <c r="H157" s="279">
        <f>_xlfn.IFNA(VLOOKUP($A157,ISB!$A$4:$BY$454,67,FALSE),0)</f>
        <v>1527117.6090670591</v>
      </c>
      <c r="I157" s="279">
        <f>_xlfn.IFNA(VLOOKUP($A157,ISB!$A$4:$BY$454,72,FALSE),0)</f>
        <v>-6546.08</v>
      </c>
      <c r="J157" s="279">
        <f>-_xlfn.IFNA(VLOOKUP($A157,ISB!$A$4:$BY$454,76,FALSE),0)</f>
        <v>-15383.15</v>
      </c>
      <c r="K157" s="279">
        <f>_xlfn.IFNA(VLOOKUP($A157,ISB!$A$4:$BY$454,77,FALSE),0)</f>
        <v>1505188.3790670591</v>
      </c>
      <c r="M157" s="301">
        <f t="shared" si="137"/>
        <v>127259.80075558827</v>
      </c>
      <c r="N157" s="301">
        <f>VLOOKUP($A157,EY!$A:$H,8,FALSE)+(VLOOKUP($A157,EY!$A:$BS,17,FALSE)-S157)+VLOOKUP($A157,EY!$A:$BS,41,FALSE)</f>
        <v>66161.926315789475</v>
      </c>
      <c r="O157" s="302"/>
      <c r="P157" s="302">
        <f>_xlfn.IFNA((VLOOKUP($A157,HN!$A:$K,8,FALSE)/12),0)</f>
        <v>0</v>
      </c>
      <c r="Q157" s="302">
        <f>_xlfn.IFNA((VLOOKUP($A157,HN!$A:$BS,14,FALSE)/12),0)</f>
        <v>1833.3333333333333</v>
      </c>
      <c r="R157" s="302">
        <f>_xlfn.IFNA(VLOOKUP($A157,'Post 16'!$A:$V,21,FALSE),0)/4</f>
        <v>0</v>
      </c>
      <c r="S157" s="302">
        <f>VLOOKUP($A157,EY!A:Q,15,FALSE)*80%</f>
        <v>0</v>
      </c>
      <c r="T157" s="302">
        <f>_xlfn.IFNA((VLOOKUP($A157,HN!$A:$K,9,FALSE)/12),0)+_xlfn.IFNA((VLOOKUP($A157,HN!$A:$K,10,FALSE)/12),0)</f>
        <v>0</v>
      </c>
      <c r="U157" s="302">
        <f>_xlfn.IFNA((VLOOKUP($A157,HN!$A:$BS,15,FALSE)/12),0)</f>
        <v>2650.07</v>
      </c>
      <c r="V157" s="301">
        <f t="shared" si="138"/>
        <v>-545.50666666666666</v>
      </c>
      <c r="W157" s="301">
        <f t="shared" si="139"/>
        <v>-1281.9291666666666</v>
      </c>
      <c r="X157" s="302"/>
      <c r="Y157" s="302">
        <f>_xlfn.IFNA(VLOOKUP($A157,'Cash Advances'!$A:$S,8,FALSE),0)</f>
        <v>0</v>
      </c>
      <c r="Z157" s="301">
        <f t="shared" si="132"/>
        <v>196077.69457137777</v>
      </c>
      <c r="AA157" s="315">
        <f t="shared" si="140"/>
        <v>127259.80075558827</v>
      </c>
      <c r="AB157" s="315"/>
      <c r="AC157" s="316"/>
      <c r="AD157" s="316">
        <f>_xlfn.IFNA((VLOOKUP($A157,HN!$A:$K,8,FALSE)/12),0)</f>
        <v>0</v>
      </c>
      <c r="AE157" s="316">
        <f>_xlfn.IFNA((VLOOKUP($A157,HN!$A:$BS,14,FALSE)/12),0)</f>
        <v>1833.3333333333333</v>
      </c>
      <c r="AF157" s="316">
        <f>_xlfn.IFNA(VLOOKUP($A157,'Post 16'!$A:$V,21,FALSE),0)/4</f>
        <v>0</v>
      </c>
      <c r="AG157" s="316"/>
      <c r="AH157" s="316">
        <f>_xlfn.IFNA((VLOOKUP($A157,HN!$A:$K,9,FALSE)/12),0)+_xlfn.IFNA((VLOOKUP($A157,HN!$A:$K,10,FALSE)/12),0)</f>
        <v>0</v>
      </c>
      <c r="AI157" s="316">
        <f>_xlfn.IFNA((VLOOKUP($A157,HN!$A:$BS,15,FALSE)/12),0)</f>
        <v>2650.07</v>
      </c>
      <c r="AJ157" s="315">
        <f t="shared" si="141"/>
        <v>-545.50666666666666</v>
      </c>
      <c r="AK157" s="315">
        <f t="shared" si="142"/>
        <v>-1281.9291666666666</v>
      </c>
      <c r="AL157" s="316"/>
      <c r="AM157" s="316">
        <f>_xlfn.IFNA(VLOOKUP($A157,'Cash Advances'!$A:$S,9,FALSE),0)</f>
        <v>0</v>
      </c>
      <c r="AN157" s="315">
        <f t="shared" si="133"/>
        <v>129915.76825558828</v>
      </c>
      <c r="AO157" s="308">
        <f t="shared" si="143"/>
        <v>127259.80075558827</v>
      </c>
      <c r="AP157" s="308"/>
      <c r="AQ157" s="309"/>
      <c r="AR157" s="309">
        <f>_xlfn.IFNA((VLOOKUP($A157,HN!$A:$K,8,FALSE)/12),0)</f>
        <v>0</v>
      </c>
      <c r="AS157" s="309">
        <f>_xlfn.IFNA((VLOOKUP($A157,HN!$A:$BS,14,FALSE)/12),0)</f>
        <v>1833.3333333333333</v>
      </c>
      <c r="AT157" s="309">
        <f>_xlfn.IFNA(VLOOKUP($A157,'Post 16'!$A:$V,21,FALSE),0)/4</f>
        <v>0</v>
      </c>
      <c r="AU157" s="309"/>
      <c r="AV157" s="309">
        <f>_xlfn.IFNA((VLOOKUP($A157,HN!$A:$K,9,FALSE)/12),0)+_xlfn.IFNA((VLOOKUP($A157,HN!$A:$K,10,FALSE)/12),0)+_xlfn.IFNA(VLOOKUP(A157,HN!A:V,19,FALSE),0)+_xlfn.IFNA(VLOOKUP(A157,HN!A:V,20,FALSE),0)+_xlfn.IFNA(VLOOKUP(A157,HN!A:V,21,FALSE),0)</f>
        <v>0</v>
      </c>
      <c r="AW157" s="309">
        <f>_xlfn.IFNA((VLOOKUP($A157,HN!$A:$BS,15,FALSE)/12),0)</f>
        <v>2650.07</v>
      </c>
      <c r="AX157" s="308">
        <f t="shared" si="144"/>
        <v>-545.50666666666666</v>
      </c>
      <c r="AY157" s="308">
        <f t="shared" si="145"/>
        <v>-1281.9291666666666</v>
      </c>
      <c r="AZ157" s="309"/>
      <c r="BA157" s="309">
        <f>_xlfn.IFNA(VLOOKUP($A157,'Cash Advances'!$A:$S,10,FALSE),0)</f>
        <v>0</v>
      </c>
      <c r="BB157" s="308">
        <f t="shared" si="134"/>
        <v>129915.76825558828</v>
      </c>
      <c r="BC157" s="330">
        <f t="shared" si="146"/>
        <v>127259.80075558827</v>
      </c>
      <c r="BD157" s="330"/>
      <c r="BE157" s="331"/>
      <c r="BF157" s="331">
        <f>_xlfn.IFNA((VLOOKUP($A157,HN!$A:$K,8,FALSE)/12),0)</f>
        <v>0</v>
      </c>
      <c r="BG157" s="331">
        <f>_xlfn.IFNA((VLOOKUP($A157,HN!$A:$BS,14,FALSE)/12),0)</f>
        <v>1833.3333333333333</v>
      </c>
      <c r="BH157" s="331">
        <f>_xlfn.IFNA(VLOOKUP($A157,'Post 16'!$A:$V,21,FALSE),0)/4</f>
        <v>0</v>
      </c>
      <c r="BI157" s="331"/>
      <c r="BJ157" s="331">
        <f>_xlfn.IFNA((VLOOKUP($A157,HN!$A:$K,9,FALSE)/12),0)+_xlfn.IFNA((VLOOKUP($A157,HN!$A:$K,10,FALSE)/12),0)</f>
        <v>0</v>
      </c>
      <c r="BK157" s="331">
        <f>_xlfn.IFNA((VLOOKUP($A157,HN!$A:$BS,15,FALSE)/12),0)</f>
        <v>2650.07</v>
      </c>
      <c r="BL157" s="330">
        <f t="shared" si="147"/>
        <v>-545.50666666666666</v>
      </c>
      <c r="BM157" s="330">
        <f t="shared" si="148"/>
        <v>-1281.9291666666666</v>
      </c>
      <c r="BN157" s="331"/>
      <c r="BO157" s="331">
        <f>_xlfn.IFNA(VLOOKUP(A157,'Cash Advances'!A:K,11,FALSE),0)</f>
        <v>0</v>
      </c>
      <c r="BP157" s="330">
        <f t="shared" si="135"/>
        <v>129915.76825558828</v>
      </c>
      <c r="BQ157" s="322">
        <f t="shared" si="149"/>
        <v>127259.80075558827</v>
      </c>
      <c r="BR157" s="322"/>
      <c r="BS157" s="323"/>
      <c r="BT157" s="323">
        <f>_xlfn.IFNA((VLOOKUP($A157,HN!$A:$K,8,FALSE)/12),0)</f>
        <v>0</v>
      </c>
      <c r="BU157" s="323">
        <f>_xlfn.IFNA((VLOOKUP($A157,HN!$A:$BS,14,FALSE)/12),0)</f>
        <v>1833.3333333333333</v>
      </c>
      <c r="BV157" s="323">
        <f>(_xlfn.IFNA(VLOOKUP($A157,'Post 16'!$A:$AV,32,FALSE),0)/8)+_xlfn.IFNA(VLOOKUP($A157,'Post 16'!$A:$AR,40,FALSE),0)</f>
        <v>0</v>
      </c>
      <c r="BW157" s="323"/>
      <c r="BX157" s="323">
        <f>_xlfn.IFNA((VLOOKUP($A157,HN!$A:$K,9,FALSE)/12),0)+_xlfn.IFNA((VLOOKUP($A157,HN!$A:$K,10,FALSE)/12),0)</f>
        <v>0</v>
      </c>
      <c r="BY157" s="323">
        <f>_xlfn.IFNA((VLOOKUP($A157,HN!$A:$BS,15,FALSE)/12),0)</f>
        <v>2650.07</v>
      </c>
      <c r="BZ157" s="322">
        <f t="shared" si="150"/>
        <v>-545.50666666666666</v>
      </c>
      <c r="CA157" s="322">
        <f t="shared" si="151"/>
        <v>-1281.9291666666666</v>
      </c>
      <c r="CB157" s="323"/>
      <c r="CC157" s="323"/>
      <c r="CD157" s="322">
        <f t="shared" si="136"/>
        <v>129915.76825558828</v>
      </c>
      <c r="CE157" s="357">
        <f t="shared" si="152"/>
        <v>127259.80075558827</v>
      </c>
      <c r="CF157" s="357">
        <f>(VLOOKUP($A157,EY!$A:$BS,26,FALSE)-(VLOOKUP($A157,EY!A:CR,24,FALSE)*80%))+VLOOKUP($A157,EY!$A:$BS,42,FALSE)+(VLOOKUP($A157,EY!A:CC,74,FALSE)-VLOOKUP($A157,EY!A:CC,72,FALSE))</f>
        <v>103507.79263157895</v>
      </c>
      <c r="CG157" s="358"/>
      <c r="CH157" s="358">
        <f>_xlfn.IFNA((VLOOKUP($A157,HN!$A:$K,8,FALSE)/12),0)</f>
        <v>0</v>
      </c>
      <c r="CI157" s="358">
        <f>_xlfn.IFNA((VLOOKUP($A157,HN!$A:$BS,14,FALSE)/12),0)</f>
        <v>1833.3333333333333</v>
      </c>
      <c r="CJ157" s="358">
        <f>(_xlfn.IFNA(VLOOKUP($A157,'Post 16'!$A:$AV,32,FALSE),0)/8)</f>
        <v>0</v>
      </c>
      <c r="CK157" s="358">
        <f>(VLOOKUP($A157,EY!A:CR,24,FALSE)*80%)+VLOOKUP($A157,EY!A:CC,72,FALSE)</f>
        <v>0</v>
      </c>
      <c r="CL157" s="358">
        <f>_xlfn.IFNA((VLOOKUP($A157,HN!$A:$K,9,FALSE)/12),0)+_xlfn.IFNA((VLOOKUP($A157,HN!$A:$K,10,FALSE)/12),0)</f>
        <v>0</v>
      </c>
      <c r="CM157" s="358">
        <f>_xlfn.IFNA((VLOOKUP($A157,HN!$A:$BS,15,FALSE)/12),0)</f>
        <v>2650.07</v>
      </c>
      <c r="CN157" s="357">
        <f t="shared" si="153"/>
        <v>-545.50666666666666</v>
      </c>
      <c r="CO157" s="357">
        <f t="shared" si="154"/>
        <v>-1281.9291666666666</v>
      </c>
      <c r="CP157" s="358">
        <f>_xlfn.IFNA(VLOOKUP(A157,'LA Deductions'!A:W,23,FALSE),0)</f>
        <v>-5139.75</v>
      </c>
      <c r="CQ157" s="358">
        <f>_xlfn.IFNA(VLOOKUP($A157,'Cash Advances'!$A:$S,13,FALSE),0)</f>
        <v>0</v>
      </c>
      <c r="CR157" s="358">
        <f>_xlfn.IFNA(VLOOKUP(A157,'LA Deductions'!A:AZ,25,FALSE),0)/9*3</f>
        <v>0</v>
      </c>
      <c r="CS157" s="357">
        <f t="shared" si="173"/>
        <v>228283.81088716723</v>
      </c>
      <c r="CT157" s="337">
        <f t="shared" si="155"/>
        <v>127259.80075558827</v>
      </c>
      <c r="CU157" s="337"/>
      <c r="CV157" s="338">
        <f>_xlfn.IFNA(VLOOKUP(A157,'LA Deductions'!$A$6:$AN$207,34,FALSE),0)</f>
        <v>0</v>
      </c>
      <c r="CW157" s="338">
        <f>_xlfn.IFNA((VLOOKUP($A157,HN!$A:$K,8,FALSE)/12),0)</f>
        <v>0</v>
      </c>
      <c r="CX157" s="338">
        <f>_xlfn.IFNA((VLOOKUP($A157,HN!$A:$BS,14,FALSE)/12),0)</f>
        <v>1833.3333333333333</v>
      </c>
      <c r="CY157" s="338">
        <f>_xlfn.IFNA(VLOOKUP($A157,'Post 16'!$A:$AV,32,FALSE),0)/8</f>
        <v>0</v>
      </c>
      <c r="CZ157" s="338"/>
      <c r="DA157" s="338">
        <f>_xlfn.IFNA((VLOOKUP($A157,HN!$A:$K,9,FALSE)/12),0)+_xlfn.IFNA((VLOOKUP($A157,HN!$A:$K,10,FALSE)/12),0)</f>
        <v>0</v>
      </c>
      <c r="DB157" s="338">
        <f>_xlfn.IFNA((VLOOKUP($A157,HN!$A:$BS,15,FALSE)/12),0)</f>
        <v>2650.07</v>
      </c>
      <c r="DC157" s="337">
        <f t="shared" si="156"/>
        <v>-545.50666666666666</v>
      </c>
      <c r="DD157" s="337">
        <f t="shared" si="157"/>
        <v>-1281.9291666666666</v>
      </c>
      <c r="DE157" s="338"/>
      <c r="DF157" s="338">
        <f>_xlfn.IFNA(VLOOKUP($A157,'Cash Advances'!$A:$S,14,FALSE),0)</f>
        <v>0</v>
      </c>
      <c r="DG157" s="338">
        <f>(_xlfn.IFNA(VLOOKUP(A157,'LA Deductions'!A:AZ,25,FALSE),0)/9)+(_xlfn.IFNA(VLOOKUP(A157,'LA Deductions'!A:AZ,26,FALSE),0))</f>
        <v>0</v>
      </c>
      <c r="DH157" s="337">
        <f t="shared" si="174"/>
        <v>129915.76825558828</v>
      </c>
      <c r="DI157" s="330">
        <f t="shared" si="158"/>
        <v>127259.80075558827</v>
      </c>
      <c r="DJ157" s="330"/>
      <c r="DK157" s="331"/>
      <c r="DL157" s="331">
        <f>_xlfn.IFNA((VLOOKUP($A157,HN!$A:$K,8,FALSE)/12),0)+_xlfn.IFNA((VLOOKUP($A157,HN!$A:$AF,32,FALSE)*8/12),0)</f>
        <v>0</v>
      </c>
      <c r="DM157" s="331">
        <f>_xlfn.IFNA((VLOOKUP($A157,HN!$A:$BS,14,FALSE)/12),0)+_xlfn.IFNA(VLOOKUP($A157,HN!$A:$BS,31,FALSE),0)</f>
        <v>1833.3333333333333</v>
      </c>
      <c r="DN157" s="331">
        <f>_xlfn.IFNA(VLOOKUP($A157,'Post 16'!$A:$AV,32,FALSE),0)/8</f>
        <v>0</v>
      </c>
      <c r="DO157" s="331"/>
      <c r="DP157" s="331">
        <f>_xlfn.IFNA((VLOOKUP($A157,HN!$A:$K,9,FALSE)/12),0)+_xlfn.IFNA((VLOOKUP($A157,HN!$A:$K,10,FALSE)/12),0)+_xlfn.IFNA((VLOOKUP($A157,HN!$A:$BZ,33,FALSE)*8/12),0)</f>
        <v>0</v>
      </c>
      <c r="DQ157" s="331">
        <f>_xlfn.IFNA((VLOOKUP($A157,HN!$A:$BS,15,FALSE)/12),0)</f>
        <v>2650.07</v>
      </c>
      <c r="DR157" s="330">
        <f t="shared" si="159"/>
        <v>-545.50666666666666</v>
      </c>
      <c r="DS157" s="330">
        <f t="shared" si="160"/>
        <v>-1281.9291666666666</v>
      </c>
      <c r="DT157" s="331"/>
      <c r="DU157" s="331"/>
      <c r="DV157" s="331">
        <f>(_xlfn.IFNA(VLOOKUP(A157,'LA Deductions'!A:AZ,25,FALSE),0)/9)+_xlfn.IFNA(VLOOKUP(A157,'LA Deductions'!A:AZ,27,FALSE),0)</f>
        <v>0</v>
      </c>
      <c r="DW157" s="330">
        <f t="shared" si="175"/>
        <v>129915.76825558828</v>
      </c>
      <c r="DX157" s="344">
        <f t="shared" si="161"/>
        <v>127259.80075558827</v>
      </c>
      <c r="DY157" s="344"/>
      <c r="DZ157" s="345"/>
      <c r="EA157" s="345">
        <f>_xlfn.IFNA((VLOOKUP($A157,HN!$A:$K,8,FALSE)/12),0)+_xlfn.IFNA((VLOOKUP($A157,HN!$A:$AF,32,FALSE)*1/12),0)</f>
        <v>0</v>
      </c>
      <c r="EB157" s="345">
        <f>_xlfn.IFNA((VLOOKUP($A157,HN!$A:$BS,14,FALSE)/12),0)</f>
        <v>1833.3333333333333</v>
      </c>
      <c r="EC157" s="345">
        <f>_xlfn.IFNA(VLOOKUP($A157,'Post 16'!$A:$AV,32,FALSE),0)/8</f>
        <v>0</v>
      </c>
      <c r="ED157" s="345"/>
      <c r="EE157" s="345">
        <f>_xlfn.IFNA((VLOOKUP($A157,HN!$A:$K,9,FALSE)/12),0)+_xlfn.IFNA((VLOOKUP($A157,HN!$A:$K,10,FALSE)/12),0)+_xlfn.IFNA((VLOOKUP($A157,HN!$A:$BZ,33,FALSE)/12),0)</f>
        <v>0</v>
      </c>
      <c r="EF157" s="345">
        <f>_xlfn.IFNA((VLOOKUP($A157,HN!$A:$BS,15,FALSE)/12),0)</f>
        <v>2650.07</v>
      </c>
      <c r="EG157" s="344">
        <f t="shared" si="162"/>
        <v>-545.50666666666666</v>
      </c>
      <c r="EH157" s="344">
        <f t="shared" si="163"/>
        <v>-1281.9291666666666</v>
      </c>
      <c r="EI157" s="345"/>
      <c r="EJ157" s="345">
        <f>_xlfn.IFNA(VLOOKUP(A157,'Cash Advances'!A:P,16,FALSE),0)</f>
        <v>0</v>
      </c>
      <c r="EK157" s="345">
        <f>_xlfn.IFNA(VLOOKUP(A157,'LA Deductions'!A:AZ,25,FALSE),0)/9</f>
        <v>0</v>
      </c>
      <c r="EL157" s="344">
        <f t="shared" si="176"/>
        <v>129915.76825558828</v>
      </c>
      <c r="EM157" s="308">
        <f t="shared" si="164"/>
        <v>127259.80075558827</v>
      </c>
      <c r="EN157" s="308">
        <f>((VLOOKUP($A157,EY!$A:$BS,35,FALSE)-(VLOOKUP($A157,EY!$A:$BS,33,FALSE)*80%))+VLOOKUP($A157,EY!$A:$BS,43,FALSE))+(VLOOKUP(A157,EY!A:DF,110,FALSE)-VLOOKUP(A157,EY!A:DD,108,FALSE))+(VLOOKUP(A157,EY!A:CE,83,FALSE)-VLOOKUP(A157,EY!A:CC,81,FALSE))</f>
        <v>55977.187867036031</v>
      </c>
      <c r="EO157" s="309"/>
      <c r="EP157" s="309">
        <f>_xlfn.IFNA((VLOOKUP($A157,HN!$A:$K,8,FALSE)/12),0)+_xlfn.IFNA((VLOOKUP($A157,HN!$A:$AF,32,FALSE)*1/12),0)</f>
        <v>0</v>
      </c>
      <c r="EQ157" s="309">
        <f>_xlfn.IFNA((VLOOKUP($A157,HN!$A:$BS,14,FALSE)/12),0)+_xlfn.IFNA((VLOOKUP($A157,HN!$A:$BS,34,FALSE)/3),0)</f>
        <v>1833.3333333333333</v>
      </c>
      <c r="ER157" s="309">
        <f>_xlfn.IFNA(VLOOKUP($A157,'Post 16'!$A:$AV,32,FALSE),0)/8</f>
        <v>0</v>
      </c>
      <c r="ES157" s="309">
        <f>((VLOOKUP($A157,EY!A:EV,33,FALSE)*80%))+VLOOKUP(A157,EY!A:DD,108,FALSE)+VLOOKUP(A157,EY!A:CC,81,FALSE)</f>
        <v>0</v>
      </c>
      <c r="ET157" s="309">
        <f>_xlfn.IFNA((VLOOKUP($A157,HN!$A:$K,9,FALSE)/12),0)+_xlfn.IFNA((VLOOKUP($A157,HN!$A:$K,10,FALSE)/12),0)+_xlfn.IFNA((VLOOKUP($A157,HN!$A:$BZ,33,FALSE)/12),0)</f>
        <v>0</v>
      </c>
      <c r="EU157" s="309">
        <f>_xlfn.IFNA((VLOOKUP($A157,HN!$A:$BS,15,FALSE)/12),0)</f>
        <v>2650.07</v>
      </c>
      <c r="EV157" s="308">
        <f t="shared" si="165"/>
        <v>-545.50666666666666</v>
      </c>
      <c r="EW157" s="308">
        <f t="shared" si="166"/>
        <v>-1281.9291666666666</v>
      </c>
      <c r="EX157" s="309"/>
      <c r="EY157" s="309">
        <f>_xlfn.IFNA(VLOOKUP($A157,'Cash Advances'!$A:$S,17,FALSE),0)</f>
        <v>0</v>
      </c>
      <c r="EZ157" s="309">
        <f>_xlfn.IFNA(VLOOKUP(A157,'LA Deductions'!A:AZ,25,FALSE),0)/9</f>
        <v>0</v>
      </c>
      <c r="FA157" s="308">
        <f t="shared" si="177"/>
        <v>185892.95612262434</v>
      </c>
      <c r="FB157" s="315">
        <f t="shared" si="167"/>
        <v>127259.80075558827</v>
      </c>
      <c r="FC157" s="315"/>
      <c r="FD157" s="316"/>
      <c r="FE157" s="316">
        <f>_xlfn.IFNA((VLOOKUP($A157,HN!$A:$K,8,FALSE)/12),0)+_xlfn.IFNA((VLOOKUP($A157,HN!$A:$AF,32,FALSE)*1/12),0)</f>
        <v>0</v>
      </c>
      <c r="FF157" s="316">
        <f>_xlfn.IFNA((VLOOKUP($A157,HN!$A:$BS,14,FALSE)/12),0)+_xlfn.IFNA((VLOOKUP($A157,HN!$A:$BS,34,FALSE)/3),0)</f>
        <v>1833.3333333333333</v>
      </c>
      <c r="FG157" s="316">
        <f>_xlfn.IFNA(VLOOKUP($A157,'Post 16'!$A:$AV,32,FALSE),0)/8</f>
        <v>0</v>
      </c>
      <c r="FH157" s="316"/>
      <c r="FI157" s="316">
        <f>_xlfn.IFNA((VLOOKUP($A157,HN!$A:$K,9,FALSE)/12),0)+_xlfn.IFNA((VLOOKUP($A157,HN!$A:$K,10,FALSE)/12),0)+_xlfn.IFNA((VLOOKUP($A157,HN!$A:$BZ,33,FALSE)/12),0)+_xlfn.IFNA((VLOOKUP($A157,HN!$A:$BZ,35,FALSE)/2),0)</f>
        <v>0</v>
      </c>
      <c r="FJ157" s="316">
        <f>_xlfn.IFNA((VLOOKUP($A157,HN!$A:$BS,15,FALSE)/12),0)+_xlfn.IFNA((VLOOKUP($A157,HN!$A:$CZ,36,FALSE)/2),0)</f>
        <v>2650.07</v>
      </c>
      <c r="FK157" s="315">
        <f t="shared" si="168"/>
        <v>-545.50666666666666</v>
      </c>
      <c r="FL157" s="315">
        <f t="shared" si="169"/>
        <v>-1281.9291666666666</v>
      </c>
      <c r="FM157" s="316"/>
      <c r="FN157" s="316">
        <f>_xlfn.IFNA(VLOOKUP($A157,'Cash Advances'!$A:$S,18,FALSE),0)</f>
        <v>0</v>
      </c>
      <c r="FO157" s="316">
        <f>_xlfn.IFNA(VLOOKUP(A157,'LA Deductions'!A:AZ,25,FALSE),0)/9</f>
        <v>0</v>
      </c>
      <c r="FP157" s="315">
        <f t="shared" si="178"/>
        <v>129915.76825558828</v>
      </c>
      <c r="FQ157" s="322">
        <f t="shared" si="170"/>
        <v>127259.80075558827</v>
      </c>
      <c r="FR157" s="322"/>
      <c r="FS157" s="323"/>
      <c r="FT157" s="323">
        <f>_xlfn.IFNA((VLOOKUP($A157,HN!$A:$K,8,FALSE)/12),0)+_xlfn.IFNA((VLOOKUP($A157,HN!$A:$AF,32,FALSE)*1/12),0)</f>
        <v>0</v>
      </c>
      <c r="FU157" s="323">
        <f>_xlfn.IFNA((VLOOKUP($A157,HN!$A:$BS,14,FALSE)/12),0)+_xlfn.IFNA((VLOOKUP($A157,HN!$A:$BS,34,FALSE)/3),0)</f>
        <v>1833.3333333333333</v>
      </c>
      <c r="FV157" s="323">
        <f>_xlfn.IFNA(VLOOKUP($A157,'Post 16'!$A:$AV,32,FALSE),0)/8</f>
        <v>0</v>
      </c>
      <c r="FW157" s="323"/>
      <c r="FX157" s="323">
        <f>_xlfn.IFNA((VLOOKUP($A157,HN!$A:$K,9,FALSE)/12),0)+_xlfn.IFNA((VLOOKUP($A157,HN!$A:$K,10,FALSE)/12),0)+_xlfn.IFNA((VLOOKUP($A157,HN!$A:$BZ,33,FALSE)/12),0)+_xlfn.IFNA((VLOOKUP($A157,HN!$A:$BZ,35,FALSE)/2),0)</f>
        <v>0</v>
      </c>
      <c r="FY157" s="323">
        <f>_xlfn.IFNA((VLOOKUP($A157,HN!$A:$BS,15,FALSE)/12),0)+_xlfn.IFNA((VLOOKUP($A157,HN!$A:$CZ,36,FALSE)/2),0)</f>
        <v>2650.07</v>
      </c>
      <c r="FZ157" s="322">
        <f t="shared" si="171"/>
        <v>-545.50666666666666</v>
      </c>
      <c r="GA157" s="322">
        <f t="shared" si="172"/>
        <v>-1281.9291666666666</v>
      </c>
      <c r="GB157" s="323"/>
      <c r="GC157" s="323"/>
      <c r="GD157" s="323">
        <f>_xlfn.IFNA(VLOOKUP(A157,'LA Deductions'!A:AZ,25,FALSE),0)/9</f>
        <v>0</v>
      </c>
      <c r="GE157" s="322">
        <f t="shared" si="179"/>
        <v>129915.76825558828</v>
      </c>
      <c r="GG157" s="146">
        <f t="shared" si="184"/>
        <v>1774764.5158814637</v>
      </c>
      <c r="GH157" s="146">
        <f t="shared" si="184"/>
        <v>0</v>
      </c>
      <c r="GI157" s="146">
        <f t="shared" si="184"/>
        <v>31800.84</v>
      </c>
      <c r="GJ157" s="146">
        <f t="shared" si="184"/>
        <v>-6546.0799999999981</v>
      </c>
      <c r="GK157" s="146">
        <f t="shared" si="184"/>
        <v>-15383.15</v>
      </c>
      <c r="GL157" s="146">
        <f t="shared" si="184"/>
        <v>-5139.75</v>
      </c>
      <c r="GN157" s="146">
        <f t="shared" si="185"/>
        <v>1774764.5158814637</v>
      </c>
      <c r="GO157" s="146">
        <f t="shared" si="185"/>
        <v>0</v>
      </c>
      <c r="GP157" s="146">
        <f t="shared" si="185"/>
        <v>31800.84</v>
      </c>
      <c r="GQ157" s="146">
        <f t="shared" si="185"/>
        <v>-6546.0799999999981</v>
      </c>
      <c r="GR157" s="146">
        <f t="shared" si="185"/>
        <v>-15383.15</v>
      </c>
      <c r="GS157" s="146">
        <f t="shared" si="185"/>
        <v>-5139.75</v>
      </c>
      <c r="GU157" s="146"/>
      <c r="GV157" s="57"/>
    </row>
    <row r="158" spans="1:204">
      <c r="A158" s="185">
        <v>2225</v>
      </c>
      <c r="B158" s="185">
        <v>103279</v>
      </c>
      <c r="C158" s="185" t="s">
        <v>344</v>
      </c>
      <c r="D158" s="2" t="s">
        <v>345</v>
      </c>
      <c r="E158" s="191" t="s">
        <v>32</v>
      </c>
      <c r="F158" s="191" t="s">
        <v>912</v>
      </c>
      <c r="H158" s="279">
        <f>_xlfn.IFNA(VLOOKUP($A158,ISB!$A$4:$BY$454,67,FALSE),0)</f>
        <v>2172256.4927828242</v>
      </c>
      <c r="I158" s="279">
        <f>_xlfn.IFNA(VLOOKUP($A158,ISB!$A$4:$BY$454,72,FALSE),0)</f>
        <v>-9414.8799999999992</v>
      </c>
      <c r="J158" s="279">
        <f>-_xlfn.IFNA(VLOOKUP($A158,ISB!$A$4:$BY$454,76,FALSE),0)</f>
        <v>-20391.63</v>
      </c>
      <c r="K158" s="279">
        <f>_xlfn.IFNA(VLOOKUP($A158,ISB!$A$4:$BY$454,77,FALSE),0)</f>
        <v>2142449.9827828244</v>
      </c>
      <c r="M158" s="301">
        <f t="shared" si="137"/>
        <v>181021.37439856867</v>
      </c>
      <c r="N158" s="301">
        <f>VLOOKUP($A158,EY!$A:$H,8,FALSE)+(VLOOKUP($A158,EY!$A:$BS,17,FALSE)-S158)+VLOOKUP($A158,EY!$A:$BS,41,FALSE)</f>
        <v>0</v>
      </c>
      <c r="O158" s="302"/>
      <c r="P158" s="302">
        <f>_xlfn.IFNA((VLOOKUP($A158,HN!$A:$K,8,FALSE)/12),0)</f>
        <v>0</v>
      </c>
      <c r="Q158" s="302">
        <f>_xlfn.IFNA((VLOOKUP($A158,HN!$A:$BS,14,FALSE)/12),0)</f>
        <v>4000</v>
      </c>
      <c r="R158" s="302">
        <f>_xlfn.IFNA(VLOOKUP($A158,'Post 16'!$A:$V,21,FALSE),0)/4</f>
        <v>0</v>
      </c>
      <c r="S158" s="302">
        <f>VLOOKUP($A158,EY!A:Q,15,FALSE)*80%</f>
        <v>0</v>
      </c>
      <c r="T158" s="302">
        <f>_xlfn.IFNA((VLOOKUP($A158,HN!$A:$K,9,FALSE)/12),0)+_xlfn.IFNA((VLOOKUP($A158,HN!$A:$K,10,FALSE)/12),0)</f>
        <v>0</v>
      </c>
      <c r="U158" s="302">
        <f>_xlfn.IFNA((VLOOKUP($A158,HN!$A:$BS,15,FALSE)/12),0)</f>
        <v>13419.988333333335</v>
      </c>
      <c r="V158" s="301">
        <f t="shared" si="138"/>
        <v>-784.57333333333327</v>
      </c>
      <c r="W158" s="301">
        <f t="shared" si="139"/>
        <v>-1699.3025</v>
      </c>
      <c r="X158" s="302"/>
      <c r="Y158" s="302">
        <f>_xlfn.IFNA(VLOOKUP($A158,'Cash Advances'!$A:$S,8,FALSE),0)</f>
        <v>0</v>
      </c>
      <c r="Z158" s="301">
        <f t="shared" si="132"/>
        <v>195957.48689856869</v>
      </c>
      <c r="AA158" s="315">
        <f t="shared" si="140"/>
        <v>181021.37439856867</v>
      </c>
      <c r="AB158" s="315"/>
      <c r="AC158" s="316"/>
      <c r="AD158" s="316">
        <f>_xlfn.IFNA((VLOOKUP($A158,HN!$A:$K,8,FALSE)/12),0)</f>
        <v>0</v>
      </c>
      <c r="AE158" s="316">
        <f>_xlfn.IFNA((VLOOKUP($A158,HN!$A:$BS,14,FALSE)/12),0)</f>
        <v>4000</v>
      </c>
      <c r="AF158" s="316">
        <f>_xlfn.IFNA(VLOOKUP($A158,'Post 16'!$A:$V,21,FALSE),0)/4</f>
        <v>0</v>
      </c>
      <c r="AG158" s="316"/>
      <c r="AH158" s="316">
        <f>_xlfn.IFNA((VLOOKUP($A158,HN!$A:$K,9,FALSE)/12),0)+_xlfn.IFNA((VLOOKUP($A158,HN!$A:$K,10,FALSE)/12),0)</f>
        <v>0</v>
      </c>
      <c r="AI158" s="316">
        <f>_xlfn.IFNA((VLOOKUP($A158,HN!$A:$BS,15,FALSE)/12),0)</f>
        <v>13419.988333333335</v>
      </c>
      <c r="AJ158" s="315">
        <f t="shared" si="141"/>
        <v>-784.57333333333327</v>
      </c>
      <c r="AK158" s="315">
        <f t="shared" si="142"/>
        <v>-1699.3025</v>
      </c>
      <c r="AL158" s="316"/>
      <c r="AM158" s="316">
        <f>_xlfn.IFNA(VLOOKUP($A158,'Cash Advances'!$A:$S,9,FALSE),0)</f>
        <v>0</v>
      </c>
      <c r="AN158" s="315">
        <f t="shared" si="133"/>
        <v>195957.48689856869</v>
      </c>
      <c r="AO158" s="308">
        <f t="shared" si="143"/>
        <v>181021.37439856867</v>
      </c>
      <c r="AP158" s="308"/>
      <c r="AQ158" s="309"/>
      <c r="AR158" s="309">
        <f>_xlfn.IFNA((VLOOKUP($A158,HN!$A:$K,8,FALSE)/12),0)</f>
        <v>0</v>
      </c>
      <c r="AS158" s="309">
        <f>_xlfn.IFNA((VLOOKUP($A158,HN!$A:$BS,14,FALSE)/12),0)</f>
        <v>4000</v>
      </c>
      <c r="AT158" s="309">
        <f>_xlfn.IFNA(VLOOKUP($A158,'Post 16'!$A:$V,21,FALSE),0)/4</f>
        <v>0</v>
      </c>
      <c r="AU158" s="309"/>
      <c r="AV158" s="309">
        <f>_xlfn.IFNA((VLOOKUP($A158,HN!$A:$K,9,FALSE)/12),0)+_xlfn.IFNA((VLOOKUP($A158,HN!$A:$K,10,FALSE)/12),0)+_xlfn.IFNA(VLOOKUP(A158,HN!A:V,19,FALSE),0)+_xlfn.IFNA(VLOOKUP(A158,HN!A:V,20,FALSE),0)+_xlfn.IFNA(VLOOKUP(A158,HN!A:V,21,FALSE),0)</f>
        <v>0</v>
      </c>
      <c r="AW158" s="309">
        <f>_xlfn.IFNA((VLOOKUP($A158,HN!$A:$BS,15,FALSE)/12),0)</f>
        <v>13419.988333333335</v>
      </c>
      <c r="AX158" s="308">
        <f t="shared" si="144"/>
        <v>-784.57333333333327</v>
      </c>
      <c r="AY158" s="308">
        <f t="shared" si="145"/>
        <v>-1699.3025</v>
      </c>
      <c r="AZ158" s="309"/>
      <c r="BA158" s="309">
        <f>_xlfn.IFNA(VLOOKUP($A158,'Cash Advances'!$A:$S,10,FALSE),0)</f>
        <v>0</v>
      </c>
      <c r="BB158" s="308">
        <f t="shared" si="134"/>
        <v>195957.48689856869</v>
      </c>
      <c r="BC158" s="330">
        <f t="shared" si="146"/>
        <v>181021.37439856867</v>
      </c>
      <c r="BD158" s="330"/>
      <c r="BE158" s="331"/>
      <c r="BF158" s="331">
        <f>_xlfn.IFNA((VLOOKUP($A158,HN!$A:$K,8,FALSE)/12),0)</f>
        <v>0</v>
      </c>
      <c r="BG158" s="331">
        <f>_xlfn.IFNA((VLOOKUP($A158,HN!$A:$BS,14,FALSE)/12),0)</f>
        <v>4000</v>
      </c>
      <c r="BH158" s="331">
        <f>_xlfn.IFNA(VLOOKUP($A158,'Post 16'!$A:$V,21,FALSE),0)/4</f>
        <v>0</v>
      </c>
      <c r="BI158" s="331"/>
      <c r="BJ158" s="331">
        <f>_xlfn.IFNA((VLOOKUP($A158,HN!$A:$K,9,FALSE)/12),0)+_xlfn.IFNA((VLOOKUP($A158,HN!$A:$K,10,FALSE)/12),0)</f>
        <v>0</v>
      </c>
      <c r="BK158" s="331">
        <f>_xlfn.IFNA((VLOOKUP($A158,HN!$A:$BS,15,FALSE)/12),0)</f>
        <v>13419.988333333335</v>
      </c>
      <c r="BL158" s="330">
        <f t="shared" si="147"/>
        <v>-784.57333333333327</v>
      </c>
      <c r="BM158" s="330">
        <f t="shared" si="148"/>
        <v>-1699.3025</v>
      </c>
      <c r="BN158" s="331"/>
      <c r="BO158" s="331">
        <f>_xlfn.IFNA(VLOOKUP(A158,'Cash Advances'!A:K,11,FALSE),0)</f>
        <v>0</v>
      </c>
      <c r="BP158" s="330">
        <f t="shared" si="135"/>
        <v>195957.48689856869</v>
      </c>
      <c r="BQ158" s="322">
        <f t="shared" si="149"/>
        <v>181021.37439856867</v>
      </c>
      <c r="BR158" s="322"/>
      <c r="BS158" s="323"/>
      <c r="BT158" s="323">
        <f>_xlfn.IFNA((VLOOKUP($A158,HN!$A:$K,8,FALSE)/12),0)</f>
        <v>0</v>
      </c>
      <c r="BU158" s="323">
        <f>_xlfn.IFNA((VLOOKUP($A158,HN!$A:$BS,14,FALSE)/12),0)</f>
        <v>4000</v>
      </c>
      <c r="BV158" s="323">
        <f>(_xlfn.IFNA(VLOOKUP($A158,'Post 16'!$A:$AV,32,FALSE),0)/8)+_xlfn.IFNA(VLOOKUP($A158,'Post 16'!$A:$AR,40,FALSE),0)</f>
        <v>0</v>
      </c>
      <c r="BW158" s="323"/>
      <c r="BX158" s="323">
        <f>_xlfn.IFNA((VLOOKUP($A158,HN!$A:$K,9,FALSE)/12),0)+_xlfn.IFNA((VLOOKUP($A158,HN!$A:$K,10,FALSE)/12),0)</f>
        <v>0</v>
      </c>
      <c r="BY158" s="323">
        <f>_xlfn.IFNA((VLOOKUP($A158,HN!$A:$BS,15,FALSE)/12),0)</f>
        <v>13419.988333333335</v>
      </c>
      <c r="BZ158" s="322">
        <f t="shared" si="150"/>
        <v>-784.57333333333327</v>
      </c>
      <c r="CA158" s="322">
        <f t="shared" si="151"/>
        <v>-1699.3025</v>
      </c>
      <c r="CB158" s="323"/>
      <c r="CC158" s="323"/>
      <c r="CD158" s="322">
        <f t="shared" si="136"/>
        <v>195957.48689856869</v>
      </c>
      <c r="CE158" s="357">
        <f t="shared" si="152"/>
        <v>181021.37439856867</v>
      </c>
      <c r="CF158" s="357">
        <f>(VLOOKUP($A158,EY!$A:$BS,26,FALSE)-(VLOOKUP($A158,EY!A:CR,24,FALSE)*80%))+VLOOKUP($A158,EY!$A:$BS,42,FALSE)+(VLOOKUP($A158,EY!A:CC,74,FALSE)-VLOOKUP($A158,EY!A:CC,72,FALSE))</f>
        <v>0</v>
      </c>
      <c r="CG158" s="358"/>
      <c r="CH158" s="358">
        <f>_xlfn.IFNA((VLOOKUP($A158,HN!$A:$K,8,FALSE)/12),0)</f>
        <v>0</v>
      </c>
      <c r="CI158" s="358">
        <f>_xlfn.IFNA((VLOOKUP($A158,HN!$A:$BS,14,FALSE)/12),0)</f>
        <v>4000</v>
      </c>
      <c r="CJ158" s="358">
        <f>(_xlfn.IFNA(VLOOKUP($A158,'Post 16'!$A:$AV,32,FALSE),0)/8)</f>
        <v>0</v>
      </c>
      <c r="CK158" s="358">
        <f>(VLOOKUP($A158,EY!A:CR,24,FALSE)*80%)+VLOOKUP($A158,EY!A:CC,72,FALSE)</f>
        <v>0</v>
      </c>
      <c r="CL158" s="358">
        <f>_xlfn.IFNA((VLOOKUP($A158,HN!$A:$K,9,FALSE)/12),0)+_xlfn.IFNA((VLOOKUP($A158,HN!$A:$K,10,FALSE)/12),0)</f>
        <v>0</v>
      </c>
      <c r="CM158" s="358">
        <f>_xlfn.IFNA((VLOOKUP($A158,HN!$A:$BS,15,FALSE)/12),0)</f>
        <v>13419.988333333335</v>
      </c>
      <c r="CN158" s="357">
        <f t="shared" si="153"/>
        <v>-784.57333333333327</v>
      </c>
      <c r="CO158" s="357">
        <f t="shared" si="154"/>
        <v>-1699.3025</v>
      </c>
      <c r="CP158" s="358">
        <f>_xlfn.IFNA(VLOOKUP(A158,'LA Deductions'!A:W,23,FALSE),0)</f>
        <v>-9747</v>
      </c>
      <c r="CQ158" s="358">
        <f>_xlfn.IFNA(VLOOKUP($A158,'Cash Advances'!$A:$S,13,FALSE),0)</f>
        <v>0</v>
      </c>
      <c r="CR158" s="358">
        <f>_xlfn.IFNA(VLOOKUP(A158,'LA Deductions'!A:AZ,25,FALSE),0)/9*3</f>
        <v>0</v>
      </c>
      <c r="CS158" s="357">
        <f t="shared" si="173"/>
        <v>186210.48689856869</v>
      </c>
      <c r="CT158" s="337">
        <f t="shared" si="155"/>
        <v>181021.37439856867</v>
      </c>
      <c r="CU158" s="337"/>
      <c r="CV158" s="338">
        <f>_xlfn.IFNA(VLOOKUP(A158,'LA Deductions'!$A$6:$AN$207,34,FALSE),0)</f>
        <v>0</v>
      </c>
      <c r="CW158" s="338">
        <f>_xlfn.IFNA((VLOOKUP($A158,HN!$A:$K,8,FALSE)/12),0)</f>
        <v>0</v>
      </c>
      <c r="CX158" s="338">
        <f>_xlfn.IFNA((VLOOKUP($A158,HN!$A:$BS,14,FALSE)/12),0)</f>
        <v>4000</v>
      </c>
      <c r="CY158" s="338">
        <f>_xlfn.IFNA(VLOOKUP($A158,'Post 16'!$A:$AV,32,FALSE),0)/8</f>
        <v>0</v>
      </c>
      <c r="CZ158" s="338"/>
      <c r="DA158" s="338">
        <f>_xlfn.IFNA((VLOOKUP($A158,HN!$A:$K,9,FALSE)/12),0)+_xlfn.IFNA((VLOOKUP($A158,HN!$A:$K,10,FALSE)/12),0)</f>
        <v>0</v>
      </c>
      <c r="DB158" s="338">
        <f>_xlfn.IFNA((VLOOKUP($A158,HN!$A:$BS,15,FALSE)/12),0)</f>
        <v>13419.988333333335</v>
      </c>
      <c r="DC158" s="337">
        <f t="shared" si="156"/>
        <v>-784.57333333333327</v>
      </c>
      <c r="DD158" s="337">
        <f t="shared" si="157"/>
        <v>-1699.3025</v>
      </c>
      <c r="DE158" s="338"/>
      <c r="DF158" s="338">
        <f>_xlfn.IFNA(VLOOKUP($A158,'Cash Advances'!$A:$S,14,FALSE),0)</f>
        <v>0</v>
      </c>
      <c r="DG158" s="338">
        <f>(_xlfn.IFNA(VLOOKUP(A158,'LA Deductions'!A:AZ,25,FALSE),0)/9)+(_xlfn.IFNA(VLOOKUP(A158,'LA Deductions'!A:AZ,26,FALSE),0))</f>
        <v>0</v>
      </c>
      <c r="DH158" s="337">
        <f t="shared" si="174"/>
        <v>195957.48689856869</v>
      </c>
      <c r="DI158" s="330">
        <f t="shared" si="158"/>
        <v>181021.37439856867</v>
      </c>
      <c r="DJ158" s="330"/>
      <c r="DK158" s="331"/>
      <c r="DL158" s="331">
        <f>_xlfn.IFNA((VLOOKUP($A158,HN!$A:$K,8,FALSE)/12),0)+_xlfn.IFNA((VLOOKUP($A158,HN!$A:$AF,32,FALSE)*8/12),0)</f>
        <v>0</v>
      </c>
      <c r="DM158" s="331">
        <f>_xlfn.IFNA((VLOOKUP($A158,HN!$A:$BS,14,FALSE)/12),0)+_xlfn.IFNA(VLOOKUP($A158,HN!$A:$BS,31,FALSE),0)</f>
        <v>4000</v>
      </c>
      <c r="DN158" s="331">
        <f>_xlfn.IFNA(VLOOKUP($A158,'Post 16'!$A:$AV,32,FALSE),0)/8</f>
        <v>0</v>
      </c>
      <c r="DO158" s="331"/>
      <c r="DP158" s="331">
        <f>_xlfn.IFNA((VLOOKUP($A158,HN!$A:$K,9,FALSE)/12),0)+_xlfn.IFNA((VLOOKUP($A158,HN!$A:$K,10,FALSE)/12),0)+_xlfn.IFNA((VLOOKUP($A158,HN!$A:$BZ,33,FALSE)*8/12),0)</f>
        <v>0</v>
      </c>
      <c r="DQ158" s="331">
        <f>_xlfn.IFNA((VLOOKUP($A158,HN!$A:$BS,15,FALSE)/12),0)</f>
        <v>13419.988333333335</v>
      </c>
      <c r="DR158" s="330">
        <f t="shared" si="159"/>
        <v>-784.57333333333327</v>
      </c>
      <c r="DS158" s="330">
        <f t="shared" si="160"/>
        <v>-1699.3025</v>
      </c>
      <c r="DT158" s="331"/>
      <c r="DU158" s="331"/>
      <c r="DV158" s="331">
        <f>(_xlfn.IFNA(VLOOKUP(A158,'LA Deductions'!A:AZ,25,FALSE),0)/9)+_xlfn.IFNA(VLOOKUP(A158,'LA Deductions'!A:AZ,27,FALSE),0)</f>
        <v>0</v>
      </c>
      <c r="DW158" s="330">
        <f t="shared" si="175"/>
        <v>195957.48689856869</v>
      </c>
      <c r="DX158" s="344">
        <f t="shared" si="161"/>
        <v>181021.37439856867</v>
      </c>
      <c r="DY158" s="344"/>
      <c r="DZ158" s="345"/>
      <c r="EA158" s="345">
        <f>_xlfn.IFNA((VLOOKUP($A158,HN!$A:$K,8,FALSE)/12),0)+_xlfn.IFNA((VLOOKUP($A158,HN!$A:$AF,32,FALSE)*1/12),0)</f>
        <v>0</v>
      </c>
      <c r="EB158" s="345">
        <f>_xlfn.IFNA((VLOOKUP($A158,HN!$A:$BS,14,FALSE)/12),0)</f>
        <v>4000</v>
      </c>
      <c r="EC158" s="345">
        <f>_xlfn.IFNA(VLOOKUP($A158,'Post 16'!$A:$AV,32,FALSE),0)/8</f>
        <v>0</v>
      </c>
      <c r="ED158" s="345"/>
      <c r="EE158" s="345">
        <f>_xlfn.IFNA((VLOOKUP($A158,HN!$A:$K,9,FALSE)/12),0)+_xlfn.IFNA((VLOOKUP($A158,HN!$A:$K,10,FALSE)/12),0)+_xlfn.IFNA((VLOOKUP($A158,HN!$A:$BZ,33,FALSE)/12),0)</f>
        <v>0</v>
      </c>
      <c r="EF158" s="345">
        <f>_xlfn.IFNA((VLOOKUP($A158,HN!$A:$BS,15,FALSE)/12),0)</f>
        <v>13419.988333333335</v>
      </c>
      <c r="EG158" s="344">
        <f t="shared" si="162"/>
        <v>-784.57333333333327</v>
      </c>
      <c r="EH158" s="344">
        <f t="shared" si="163"/>
        <v>-1699.3025</v>
      </c>
      <c r="EI158" s="345"/>
      <c r="EJ158" s="345">
        <f>_xlfn.IFNA(VLOOKUP(A158,'Cash Advances'!A:P,16,FALSE),0)</f>
        <v>0</v>
      </c>
      <c r="EK158" s="345">
        <f>_xlfn.IFNA(VLOOKUP(A158,'LA Deductions'!A:AZ,25,FALSE),0)/9</f>
        <v>0</v>
      </c>
      <c r="EL158" s="344">
        <f t="shared" si="176"/>
        <v>195957.48689856869</v>
      </c>
      <c r="EM158" s="308">
        <f t="shared" si="164"/>
        <v>181021.37439856867</v>
      </c>
      <c r="EN158" s="308">
        <f>((VLOOKUP($A158,EY!$A:$BS,35,FALSE)-(VLOOKUP($A158,EY!$A:$BS,33,FALSE)*80%))+VLOOKUP($A158,EY!$A:$BS,43,FALSE))+(VLOOKUP(A158,EY!A:DF,110,FALSE)-VLOOKUP(A158,EY!A:DD,108,FALSE))+(VLOOKUP(A158,EY!A:CE,83,FALSE)-VLOOKUP(A158,EY!A:CC,81,FALSE))</f>
        <v>0</v>
      </c>
      <c r="EO158" s="309"/>
      <c r="EP158" s="309">
        <f>_xlfn.IFNA((VLOOKUP($A158,HN!$A:$K,8,FALSE)/12),0)+_xlfn.IFNA((VLOOKUP($A158,HN!$A:$AF,32,FALSE)*1/12),0)</f>
        <v>0</v>
      </c>
      <c r="EQ158" s="309">
        <f>_xlfn.IFNA((VLOOKUP($A158,HN!$A:$BS,14,FALSE)/12),0)+_xlfn.IFNA((VLOOKUP($A158,HN!$A:$BS,34,FALSE)/3),0)</f>
        <v>4000</v>
      </c>
      <c r="ER158" s="309">
        <f>_xlfn.IFNA(VLOOKUP($A158,'Post 16'!$A:$AV,32,FALSE),0)/8</f>
        <v>0</v>
      </c>
      <c r="ES158" s="309">
        <f>((VLOOKUP($A158,EY!A:EV,33,FALSE)*80%))+VLOOKUP(A158,EY!A:DD,108,FALSE)+VLOOKUP(A158,EY!A:CC,81,FALSE)</f>
        <v>0</v>
      </c>
      <c r="ET158" s="309">
        <f>_xlfn.IFNA((VLOOKUP($A158,HN!$A:$K,9,FALSE)/12),0)+_xlfn.IFNA((VLOOKUP($A158,HN!$A:$K,10,FALSE)/12),0)+_xlfn.IFNA((VLOOKUP($A158,HN!$A:$BZ,33,FALSE)/12),0)</f>
        <v>0</v>
      </c>
      <c r="EU158" s="309">
        <f>_xlfn.IFNA((VLOOKUP($A158,HN!$A:$BS,15,FALSE)/12),0)</f>
        <v>13419.988333333335</v>
      </c>
      <c r="EV158" s="308">
        <f t="shared" si="165"/>
        <v>-784.57333333333327</v>
      </c>
      <c r="EW158" s="308">
        <f t="shared" si="166"/>
        <v>-1699.3025</v>
      </c>
      <c r="EX158" s="309"/>
      <c r="EY158" s="309">
        <f>_xlfn.IFNA(VLOOKUP($A158,'Cash Advances'!$A:$S,17,FALSE),0)</f>
        <v>0</v>
      </c>
      <c r="EZ158" s="309">
        <f>_xlfn.IFNA(VLOOKUP(A158,'LA Deductions'!A:AZ,25,FALSE),0)/9</f>
        <v>0</v>
      </c>
      <c r="FA158" s="308">
        <f t="shared" si="177"/>
        <v>195957.48689856869</v>
      </c>
      <c r="FB158" s="315">
        <f t="shared" si="167"/>
        <v>181021.37439856867</v>
      </c>
      <c r="FC158" s="315"/>
      <c r="FD158" s="316"/>
      <c r="FE158" s="316">
        <f>_xlfn.IFNA((VLOOKUP($A158,HN!$A:$K,8,FALSE)/12),0)+_xlfn.IFNA((VLOOKUP($A158,HN!$A:$AF,32,FALSE)*1/12),0)</f>
        <v>0</v>
      </c>
      <c r="FF158" s="316">
        <f>_xlfn.IFNA((VLOOKUP($A158,HN!$A:$BS,14,FALSE)/12),0)+_xlfn.IFNA((VLOOKUP($A158,HN!$A:$BS,34,FALSE)/3),0)</f>
        <v>4000</v>
      </c>
      <c r="FG158" s="316">
        <f>_xlfn.IFNA(VLOOKUP($A158,'Post 16'!$A:$AV,32,FALSE),0)/8</f>
        <v>0</v>
      </c>
      <c r="FH158" s="316"/>
      <c r="FI158" s="316">
        <f>_xlfn.IFNA((VLOOKUP($A158,HN!$A:$K,9,FALSE)/12),0)+_xlfn.IFNA((VLOOKUP($A158,HN!$A:$K,10,FALSE)/12),0)+_xlfn.IFNA((VLOOKUP($A158,HN!$A:$BZ,33,FALSE)/12),0)+_xlfn.IFNA((VLOOKUP($A158,HN!$A:$BZ,35,FALSE)/2),0)</f>
        <v>0</v>
      </c>
      <c r="FJ158" s="316">
        <f>_xlfn.IFNA((VLOOKUP($A158,HN!$A:$BS,15,FALSE)/12),0)+_xlfn.IFNA((VLOOKUP($A158,HN!$A:$CZ,36,FALSE)/2),0)</f>
        <v>736.53333333333467</v>
      </c>
      <c r="FK158" s="315">
        <f t="shared" si="168"/>
        <v>-784.57333333333327</v>
      </c>
      <c r="FL158" s="315">
        <f t="shared" si="169"/>
        <v>-1699.3025</v>
      </c>
      <c r="FM158" s="316"/>
      <c r="FN158" s="316">
        <f>_xlfn.IFNA(VLOOKUP($A158,'Cash Advances'!$A:$S,18,FALSE),0)</f>
        <v>0</v>
      </c>
      <c r="FO158" s="316">
        <f>_xlfn.IFNA(VLOOKUP(A158,'LA Deductions'!A:AZ,25,FALSE),0)/9</f>
        <v>0</v>
      </c>
      <c r="FP158" s="315">
        <f t="shared" si="178"/>
        <v>183274.03189856868</v>
      </c>
      <c r="FQ158" s="322">
        <f t="shared" si="170"/>
        <v>181021.37439856867</v>
      </c>
      <c r="FR158" s="322"/>
      <c r="FS158" s="323"/>
      <c r="FT158" s="323">
        <f>_xlfn.IFNA((VLOOKUP($A158,HN!$A:$K,8,FALSE)/12),0)+_xlfn.IFNA((VLOOKUP($A158,HN!$A:$AF,32,FALSE)*1/12),0)</f>
        <v>0</v>
      </c>
      <c r="FU158" s="323">
        <f>_xlfn.IFNA((VLOOKUP($A158,HN!$A:$BS,14,FALSE)/12),0)+_xlfn.IFNA((VLOOKUP($A158,HN!$A:$BS,34,FALSE)/3),0)</f>
        <v>4000</v>
      </c>
      <c r="FV158" s="323">
        <f>_xlfn.IFNA(VLOOKUP($A158,'Post 16'!$A:$AV,32,FALSE),0)/8</f>
        <v>0</v>
      </c>
      <c r="FW158" s="323"/>
      <c r="FX158" s="323">
        <f>_xlfn.IFNA((VLOOKUP($A158,HN!$A:$K,9,FALSE)/12),0)+_xlfn.IFNA((VLOOKUP($A158,HN!$A:$K,10,FALSE)/12),0)+_xlfn.IFNA((VLOOKUP($A158,HN!$A:$BZ,33,FALSE)/12),0)+_xlfn.IFNA((VLOOKUP($A158,HN!$A:$BZ,35,FALSE)/2),0)</f>
        <v>0</v>
      </c>
      <c r="FY158" s="323">
        <f>_xlfn.IFNA((VLOOKUP($A158,HN!$A:$BS,15,FALSE)/12),0)+_xlfn.IFNA((VLOOKUP($A158,HN!$A:$CZ,36,FALSE)/2),0)</f>
        <v>736.53333333333467</v>
      </c>
      <c r="FZ158" s="322">
        <f t="shared" si="171"/>
        <v>-784.57333333333327</v>
      </c>
      <c r="GA158" s="322">
        <f t="shared" si="172"/>
        <v>-1699.3025</v>
      </c>
      <c r="GB158" s="323"/>
      <c r="GC158" s="323"/>
      <c r="GD158" s="323">
        <f>_xlfn.IFNA(VLOOKUP(A158,'LA Deductions'!A:AZ,25,FALSE),0)/9</f>
        <v>0</v>
      </c>
      <c r="GE158" s="322">
        <f t="shared" si="179"/>
        <v>183274.03189856868</v>
      </c>
      <c r="GG158" s="146">
        <f t="shared" si="184"/>
        <v>2220256.4927828242</v>
      </c>
      <c r="GH158" s="146">
        <f t="shared" si="184"/>
        <v>0</v>
      </c>
      <c r="GI158" s="146">
        <f t="shared" si="184"/>
        <v>135672.95000000004</v>
      </c>
      <c r="GJ158" s="146">
        <f t="shared" si="184"/>
        <v>-9414.880000000001</v>
      </c>
      <c r="GK158" s="146">
        <f t="shared" si="184"/>
        <v>-20391.630000000005</v>
      </c>
      <c r="GL158" s="146">
        <f t="shared" si="184"/>
        <v>-9747</v>
      </c>
      <c r="GN158" s="146">
        <f t="shared" si="185"/>
        <v>2220256.4927828242</v>
      </c>
      <c r="GO158" s="146">
        <f t="shared" si="185"/>
        <v>0</v>
      </c>
      <c r="GP158" s="146">
        <f t="shared" si="185"/>
        <v>135672.95000000004</v>
      </c>
      <c r="GQ158" s="146">
        <f t="shared" si="185"/>
        <v>-9414.880000000001</v>
      </c>
      <c r="GR158" s="146">
        <f t="shared" si="185"/>
        <v>-20391.630000000005</v>
      </c>
      <c r="GS158" s="146">
        <f t="shared" si="185"/>
        <v>-9747</v>
      </c>
      <c r="GU158" s="146"/>
      <c r="GV158" s="57"/>
    </row>
    <row r="159" spans="1:204">
      <c r="A159" s="185">
        <v>2412</v>
      </c>
      <c r="B159" s="185">
        <v>103349</v>
      </c>
      <c r="C159" s="185" t="s">
        <v>346</v>
      </c>
      <c r="D159" s="2" t="s">
        <v>347</v>
      </c>
      <c r="E159" s="191" t="s">
        <v>32</v>
      </c>
      <c r="F159" s="191" t="s">
        <v>912</v>
      </c>
      <c r="H159" s="279">
        <f>_xlfn.IFNA(VLOOKUP($A159,ISB!$A$4:$BY$454,67,FALSE),0)</f>
        <v>2152163.3643996087</v>
      </c>
      <c r="I159" s="279">
        <f>_xlfn.IFNA(VLOOKUP($A159,ISB!$A$4:$BY$454,72,FALSE),0)</f>
        <v>-10692.8</v>
      </c>
      <c r="J159" s="279">
        <f>-_xlfn.IFNA(VLOOKUP($A159,ISB!$A$4:$BY$454,76,FALSE),0)</f>
        <v>-32064.81</v>
      </c>
      <c r="K159" s="279">
        <f>_xlfn.IFNA(VLOOKUP($A159,ISB!$A$4:$BY$454,77,FALSE),0)</f>
        <v>2109405.7543996088</v>
      </c>
      <c r="M159" s="301">
        <f t="shared" si="137"/>
        <v>179346.94703330073</v>
      </c>
      <c r="N159" s="301">
        <f>VLOOKUP($A159,EY!$A:$H,8,FALSE)+(VLOOKUP($A159,EY!$A:$BS,17,FALSE)-S159)+VLOOKUP($A159,EY!$A:$BS,41,FALSE)</f>
        <v>0</v>
      </c>
      <c r="O159" s="302"/>
      <c r="P159" s="302">
        <f>_xlfn.IFNA((VLOOKUP($A159,HN!$A:$K,8,FALSE)/12),0)</f>
        <v>0</v>
      </c>
      <c r="Q159" s="302">
        <f>_xlfn.IFNA((VLOOKUP($A159,HN!$A:$BS,14,FALSE)/12),0)</f>
        <v>0</v>
      </c>
      <c r="R159" s="302">
        <f>_xlfn.IFNA(VLOOKUP($A159,'Post 16'!$A:$V,21,FALSE),0)/4</f>
        <v>0</v>
      </c>
      <c r="S159" s="302">
        <f>VLOOKUP($A159,EY!A:Q,15,FALSE)*80%</f>
        <v>0</v>
      </c>
      <c r="T159" s="302">
        <f>_xlfn.IFNA((VLOOKUP($A159,HN!$A:$K,9,FALSE)/12),0)+_xlfn.IFNA((VLOOKUP($A159,HN!$A:$K,10,FALSE)/12),0)</f>
        <v>0</v>
      </c>
      <c r="U159" s="302">
        <f>_xlfn.IFNA((VLOOKUP($A159,HN!$A:$BS,15,FALSE)/12),0)</f>
        <v>0</v>
      </c>
      <c r="V159" s="301">
        <f t="shared" si="138"/>
        <v>-891.06666666666661</v>
      </c>
      <c r="W159" s="301">
        <f t="shared" si="139"/>
        <v>-2672.0675000000001</v>
      </c>
      <c r="X159" s="302"/>
      <c r="Y159" s="302">
        <f>_xlfn.IFNA(VLOOKUP($A159,'Cash Advances'!$A:$S,8,FALSE),0)</f>
        <v>0</v>
      </c>
      <c r="Z159" s="301">
        <f t="shared" si="132"/>
        <v>175783.81286663405</v>
      </c>
      <c r="AA159" s="315">
        <f t="shared" si="140"/>
        <v>179346.94703330073</v>
      </c>
      <c r="AB159" s="315"/>
      <c r="AC159" s="316"/>
      <c r="AD159" s="316">
        <f>_xlfn.IFNA((VLOOKUP($A159,HN!$A:$K,8,FALSE)/12),0)</f>
        <v>0</v>
      </c>
      <c r="AE159" s="316">
        <f>_xlfn.IFNA((VLOOKUP($A159,HN!$A:$BS,14,FALSE)/12),0)</f>
        <v>0</v>
      </c>
      <c r="AF159" s="316">
        <f>_xlfn.IFNA(VLOOKUP($A159,'Post 16'!$A:$V,21,FALSE),0)/4</f>
        <v>0</v>
      </c>
      <c r="AG159" s="316"/>
      <c r="AH159" s="316">
        <f>_xlfn.IFNA((VLOOKUP($A159,HN!$A:$K,9,FALSE)/12),0)+_xlfn.IFNA((VLOOKUP($A159,HN!$A:$K,10,FALSE)/12),0)</f>
        <v>0</v>
      </c>
      <c r="AI159" s="316">
        <f>_xlfn.IFNA((VLOOKUP($A159,HN!$A:$BS,15,FALSE)/12),0)</f>
        <v>0</v>
      </c>
      <c r="AJ159" s="315">
        <f t="shared" si="141"/>
        <v>-891.06666666666661</v>
      </c>
      <c r="AK159" s="315">
        <f t="shared" si="142"/>
        <v>-2672.0675000000001</v>
      </c>
      <c r="AL159" s="316"/>
      <c r="AM159" s="316">
        <f>_xlfn.IFNA(VLOOKUP($A159,'Cash Advances'!$A:$S,9,FALSE),0)</f>
        <v>0</v>
      </c>
      <c r="AN159" s="315">
        <f t="shared" si="133"/>
        <v>175783.81286663405</v>
      </c>
      <c r="AO159" s="308">
        <f t="shared" si="143"/>
        <v>179346.94703330073</v>
      </c>
      <c r="AP159" s="308"/>
      <c r="AQ159" s="309"/>
      <c r="AR159" s="309">
        <f>_xlfn.IFNA((VLOOKUP($A159,HN!$A:$K,8,FALSE)/12),0)</f>
        <v>0</v>
      </c>
      <c r="AS159" s="309">
        <f>_xlfn.IFNA((VLOOKUP($A159,HN!$A:$BS,14,FALSE)/12),0)</f>
        <v>0</v>
      </c>
      <c r="AT159" s="309">
        <f>_xlfn.IFNA(VLOOKUP($A159,'Post 16'!$A:$V,21,FALSE),0)/4</f>
        <v>0</v>
      </c>
      <c r="AU159" s="309"/>
      <c r="AV159" s="309">
        <f>_xlfn.IFNA((VLOOKUP($A159,HN!$A:$K,9,FALSE)/12),0)+_xlfn.IFNA((VLOOKUP($A159,HN!$A:$K,10,FALSE)/12),0)+_xlfn.IFNA(VLOOKUP(A159,HN!A:V,19,FALSE),0)+_xlfn.IFNA(VLOOKUP(A159,HN!A:V,20,FALSE),0)+_xlfn.IFNA(VLOOKUP(A159,HN!A:V,21,FALSE),0)</f>
        <v>0</v>
      </c>
      <c r="AW159" s="309">
        <f>_xlfn.IFNA((VLOOKUP($A159,HN!$A:$BS,15,FALSE)/12),0)</f>
        <v>0</v>
      </c>
      <c r="AX159" s="308">
        <f t="shared" si="144"/>
        <v>-891.06666666666661</v>
      </c>
      <c r="AY159" s="308">
        <f t="shared" si="145"/>
        <v>-2672.0675000000001</v>
      </c>
      <c r="AZ159" s="309"/>
      <c r="BA159" s="309">
        <f>_xlfn.IFNA(VLOOKUP($A159,'Cash Advances'!$A:$S,10,FALSE),0)</f>
        <v>0</v>
      </c>
      <c r="BB159" s="308">
        <f t="shared" si="134"/>
        <v>175783.81286663405</v>
      </c>
      <c r="BC159" s="330">
        <f t="shared" si="146"/>
        <v>179346.94703330073</v>
      </c>
      <c r="BD159" s="330"/>
      <c r="BE159" s="331"/>
      <c r="BF159" s="331">
        <f>_xlfn.IFNA((VLOOKUP($A159,HN!$A:$K,8,FALSE)/12),0)</f>
        <v>0</v>
      </c>
      <c r="BG159" s="331">
        <f>_xlfn.IFNA((VLOOKUP($A159,HN!$A:$BS,14,FALSE)/12),0)</f>
        <v>0</v>
      </c>
      <c r="BH159" s="331">
        <f>_xlfn.IFNA(VLOOKUP($A159,'Post 16'!$A:$V,21,FALSE),0)/4</f>
        <v>0</v>
      </c>
      <c r="BI159" s="331"/>
      <c r="BJ159" s="331">
        <f>_xlfn.IFNA((VLOOKUP($A159,HN!$A:$K,9,FALSE)/12),0)+_xlfn.IFNA((VLOOKUP($A159,HN!$A:$K,10,FALSE)/12),0)</f>
        <v>0</v>
      </c>
      <c r="BK159" s="331">
        <f>_xlfn.IFNA((VLOOKUP($A159,HN!$A:$BS,15,FALSE)/12),0)</f>
        <v>0</v>
      </c>
      <c r="BL159" s="330">
        <f t="shared" si="147"/>
        <v>-891.06666666666661</v>
      </c>
      <c r="BM159" s="330">
        <f t="shared" si="148"/>
        <v>-2672.0675000000001</v>
      </c>
      <c r="BN159" s="331"/>
      <c r="BO159" s="331">
        <f>_xlfn.IFNA(VLOOKUP(A159,'Cash Advances'!A:K,11,FALSE),0)</f>
        <v>0</v>
      </c>
      <c r="BP159" s="330">
        <f t="shared" si="135"/>
        <v>175783.81286663405</v>
      </c>
      <c r="BQ159" s="322">
        <f t="shared" si="149"/>
        <v>179346.94703330073</v>
      </c>
      <c r="BR159" s="322"/>
      <c r="BS159" s="323"/>
      <c r="BT159" s="323">
        <f>_xlfn.IFNA((VLOOKUP($A159,HN!$A:$K,8,FALSE)/12),0)</f>
        <v>0</v>
      </c>
      <c r="BU159" s="323">
        <f>_xlfn.IFNA((VLOOKUP($A159,HN!$A:$BS,14,FALSE)/12),0)</f>
        <v>0</v>
      </c>
      <c r="BV159" s="323">
        <f>(_xlfn.IFNA(VLOOKUP($A159,'Post 16'!$A:$AV,32,FALSE),0)/8)+_xlfn.IFNA(VLOOKUP($A159,'Post 16'!$A:$AR,40,FALSE),0)</f>
        <v>0</v>
      </c>
      <c r="BW159" s="323"/>
      <c r="BX159" s="323">
        <f>_xlfn.IFNA((VLOOKUP($A159,HN!$A:$K,9,FALSE)/12),0)+_xlfn.IFNA((VLOOKUP($A159,HN!$A:$K,10,FALSE)/12),0)</f>
        <v>0</v>
      </c>
      <c r="BY159" s="323">
        <f>_xlfn.IFNA((VLOOKUP($A159,HN!$A:$BS,15,FALSE)/12),0)</f>
        <v>0</v>
      </c>
      <c r="BZ159" s="322">
        <f t="shared" si="150"/>
        <v>-891.06666666666661</v>
      </c>
      <c r="CA159" s="322">
        <f t="shared" si="151"/>
        <v>-2672.0675000000001</v>
      </c>
      <c r="CB159" s="323"/>
      <c r="CC159" s="323"/>
      <c r="CD159" s="322">
        <f t="shared" si="136"/>
        <v>175783.81286663405</v>
      </c>
      <c r="CE159" s="357">
        <f t="shared" si="152"/>
        <v>179346.94703330073</v>
      </c>
      <c r="CF159" s="357">
        <f>(VLOOKUP($A159,EY!$A:$BS,26,FALSE)-(VLOOKUP($A159,EY!A:CR,24,FALSE)*80%))+VLOOKUP($A159,EY!$A:$BS,42,FALSE)+(VLOOKUP($A159,EY!A:CC,74,FALSE)-VLOOKUP($A159,EY!A:CC,72,FALSE))</f>
        <v>0</v>
      </c>
      <c r="CG159" s="358"/>
      <c r="CH159" s="358">
        <f>_xlfn.IFNA((VLOOKUP($A159,HN!$A:$K,8,FALSE)/12),0)</f>
        <v>0</v>
      </c>
      <c r="CI159" s="358">
        <f>_xlfn.IFNA((VLOOKUP($A159,HN!$A:$BS,14,FALSE)/12),0)</f>
        <v>0</v>
      </c>
      <c r="CJ159" s="358">
        <f>(_xlfn.IFNA(VLOOKUP($A159,'Post 16'!$A:$AV,32,FALSE),0)/8)</f>
        <v>0</v>
      </c>
      <c r="CK159" s="358">
        <f>(VLOOKUP($A159,EY!A:CR,24,FALSE)*80%)+VLOOKUP($A159,EY!A:CC,72,FALSE)</f>
        <v>0</v>
      </c>
      <c r="CL159" s="358">
        <f>_xlfn.IFNA((VLOOKUP($A159,HN!$A:$K,9,FALSE)/12),0)+_xlfn.IFNA((VLOOKUP($A159,HN!$A:$K,10,FALSE)/12),0)</f>
        <v>0</v>
      </c>
      <c r="CM159" s="358">
        <f>_xlfn.IFNA((VLOOKUP($A159,HN!$A:$BS,15,FALSE)/12),0)</f>
        <v>0</v>
      </c>
      <c r="CN159" s="357">
        <f t="shared" si="153"/>
        <v>-891.06666666666661</v>
      </c>
      <c r="CO159" s="357">
        <f t="shared" si="154"/>
        <v>-2672.0675000000001</v>
      </c>
      <c r="CP159" s="358">
        <f>_xlfn.IFNA(VLOOKUP(A159,'LA Deductions'!A:W,23,FALSE),0)</f>
        <v>-9471</v>
      </c>
      <c r="CQ159" s="358">
        <f>_xlfn.IFNA(VLOOKUP($A159,'Cash Advances'!$A:$S,13,FALSE),0)</f>
        <v>0</v>
      </c>
      <c r="CR159" s="358">
        <f>_xlfn.IFNA(VLOOKUP(A159,'LA Deductions'!A:AZ,25,FALSE),0)/9*3</f>
        <v>0</v>
      </c>
      <c r="CS159" s="357">
        <f t="shared" si="173"/>
        <v>166312.81286663405</v>
      </c>
      <c r="CT159" s="337">
        <f t="shared" si="155"/>
        <v>179346.94703330073</v>
      </c>
      <c r="CU159" s="337"/>
      <c r="CV159" s="338">
        <f>_xlfn.IFNA(VLOOKUP(A159,'LA Deductions'!$A$6:$AN$207,34,FALSE),0)</f>
        <v>0</v>
      </c>
      <c r="CW159" s="338">
        <f>_xlfn.IFNA((VLOOKUP($A159,HN!$A:$K,8,FALSE)/12),0)</f>
        <v>0</v>
      </c>
      <c r="CX159" s="338">
        <f>_xlfn.IFNA((VLOOKUP($A159,HN!$A:$BS,14,FALSE)/12),0)</f>
        <v>0</v>
      </c>
      <c r="CY159" s="338">
        <f>_xlfn.IFNA(VLOOKUP($A159,'Post 16'!$A:$AV,32,FALSE),0)/8</f>
        <v>0</v>
      </c>
      <c r="CZ159" s="338"/>
      <c r="DA159" s="338">
        <f>_xlfn.IFNA((VLOOKUP($A159,HN!$A:$K,9,FALSE)/12),0)+_xlfn.IFNA((VLOOKUP($A159,HN!$A:$K,10,FALSE)/12),0)</f>
        <v>0</v>
      </c>
      <c r="DB159" s="338">
        <f>_xlfn.IFNA((VLOOKUP($A159,HN!$A:$BS,15,FALSE)/12),0)</f>
        <v>0</v>
      </c>
      <c r="DC159" s="337">
        <f t="shared" si="156"/>
        <v>-891.06666666666661</v>
      </c>
      <c r="DD159" s="337">
        <f t="shared" si="157"/>
        <v>-2672.0675000000001</v>
      </c>
      <c r="DE159" s="338"/>
      <c r="DF159" s="338">
        <f>_xlfn.IFNA(VLOOKUP($A159,'Cash Advances'!$A:$S,14,FALSE),0)</f>
        <v>0</v>
      </c>
      <c r="DG159" s="338">
        <f>(_xlfn.IFNA(VLOOKUP(A159,'LA Deductions'!A:AZ,25,FALSE),0)/9)+(_xlfn.IFNA(VLOOKUP(A159,'LA Deductions'!A:AZ,26,FALSE),0))</f>
        <v>0</v>
      </c>
      <c r="DH159" s="337">
        <f t="shared" si="174"/>
        <v>175783.81286663405</v>
      </c>
      <c r="DI159" s="330">
        <f t="shared" si="158"/>
        <v>179346.94703330073</v>
      </c>
      <c r="DJ159" s="330"/>
      <c r="DK159" s="331"/>
      <c r="DL159" s="331">
        <f>_xlfn.IFNA((VLOOKUP($A159,HN!$A:$K,8,FALSE)/12),0)+_xlfn.IFNA((VLOOKUP($A159,HN!$A:$AF,32,FALSE)*8/12),0)</f>
        <v>0</v>
      </c>
      <c r="DM159" s="331">
        <f>_xlfn.IFNA((VLOOKUP($A159,HN!$A:$BS,14,FALSE)/12),0)+_xlfn.IFNA(VLOOKUP($A159,HN!$A:$BS,31,FALSE),0)</f>
        <v>0</v>
      </c>
      <c r="DN159" s="331">
        <f>_xlfn.IFNA(VLOOKUP($A159,'Post 16'!$A:$AV,32,FALSE),0)/8</f>
        <v>0</v>
      </c>
      <c r="DO159" s="331"/>
      <c r="DP159" s="331">
        <f>_xlfn.IFNA((VLOOKUP($A159,HN!$A:$K,9,FALSE)/12),0)+_xlfn.IFNA((VLOOKUP($A159,HN!$A:$K,10,FALSE)/12),0)+_xlfn.IFNA((VLOOKUP($A159,HN!$A:$BZ,33,FALSE)*8/12),0)</f>
        <v>0</v>
      </c>
      <c r="DQ159" s="331">
        <f>_xlfn.IFNA((VLOOKUP($A159,HN!$A:$BS,15,FALSE)/12),0)</f>
        <v>0</v>
      </c>
      <c r="DR159" s="330">
        <f t="shared" si="159"/>
        <v>-891.06666666666661</v>
      </c>
      <c r="DS159" s="330">
        <f t="shared" si="160"/>
        <v>-2672.0675000000001</v>
      </c>
      <c r="DT159" s="331"/>
      <c r="DU159" s="331"/>
      <c r="DV159" s="331">
        <f>(_xlfn.IFNA(VLOOKUP(A159,'LA Deductions'!A:AZ,25,FALSE),0)/9)+_xlfn.IFNA(VLOOKUP(A159,'LA Deductions'!A:AZ,27,FALSE),0)</f>
        <v>0</v>
      </c>
      <c r="DW159" s="330">
        <f t="shared" si="175"/>
        <v>175783.81286663405</v>
      </c>
      <c r="DX159" s="344">
        <f t="shared" si="161"/>
        <v>179346.94703330073</v>
      </c>
      <c r="DY159" s="344"/>
      <c r="DZ159" s="345"/>
      <c r="EA159" s="345">
        <f>_xlfn.IFNA((VLOOKUP($A159,HN!$A:$K,8,FALSE)/12),0)+_xlfn.IFNA((VLOOKUP($A159,HN!$A:$AF,32,FALSE)*1/12),0)</f>
        <v>0</v>
      </c>
      <c r="EB159" s="345">
        <f>_xlfn.IFNA((VLOOKUP($A159,HN!$A:$BS,14,FALSE)/12),0)</f>
        <v>0</v>
      </c>
      <c r="EC159" s="345">
        <f>_xlfn.IFNA(VLOOKUP($A159,'Post 16'!$A:$AV,32,FALSE),0)/8</f>
        <v>0</v>
      </c>
      <c r="ED159" s="345"/>
      <c r="EE159" s="345">
        <f>_xlfn.IFNA((VLOOKUP($A159,HN!$A:$K,9,FALSE)/12),0)+_xlfn.IFNA((VLOOKUP($A159,HN!$A:$K,10,FALSE)/12),0)+_xlfn.IFNA((VLOOKUP($A159,HN!$A:$BZ,33,FALSE)/12),0)</f>
        <v>0</v>
      </c>
      <c r="EF159" s="345">
        <f>_xlfn.IFNA((VLOOKUP($A159,HN!$A:$BS,15,FALSE)/12),0)</f>
        <v>0</v>
      </c>
      <c r="EG159" s="344">
        <f t="shared" si="162"/>
        <v>-891.06666666666661</v>
      </c>
      <c r="EH159" s="344">
        <f t="shared" si="163"/>
        <v>-2672.0675000000001</v>
      </c>
      <c r="EI159" s="345"/>
      <c r="EJ159" s="345">
        <f>_xlfn.IFNA(VLOOKUP(A159,'Cash Advances'!A:P,16,FALSE),0)</f>
        <v>0</v>
      </c>
      <c r="EK159" s="345">
        <f>_xlfn.IFNA(VLOOKUP(A159,'LA Deductions'!A:AZ,25,FALSE),0)/9</f>
        <v>0</v>
      </c>
      <c r="EL159" s="344">
        <f t="shared" si="176"/>
        <v>175783.81286663405</v>
      </c>
      <c r="EM159" s="308">
        <f t="shared" si="164"/>
        <v>179346.94703330073</v>
      </c>
      <c r="EN159" s="308">
        <f>((VLOOKUP($A159,EY!$A:$BS,35,FALSE)-(VLOOKUP($A159,EY!$A:$BS,33,FALSE)*80%))+VLOOKUP($A159,EY!$A:$BS,43,FALSE))+(VLOOKUP(A159,EY!A:DF,110,FALSE)-VLOOKUP(A159,EY!A:DD,108,FALSE))+(VLOOKUP(A159,EY!A:CE,83,FALSE)-VLOOKUP(A159,EY!A:CC,81,FALSE))</f>
        <v>0</v>
      </c>
      <c r="EO159" s="309"/>
      <c r="EP159" s="309">
        <f>_xlfn.IFNA((VLOOKUP($A159,HN!$A:$K,8,FALSE)/12),0)+_xlfn.IFNA((VLOOKUP($A159,HN!$A:$AF,32,FALSE)*1/12),0)</f>
        <v>0</v>
      </c>
      <c r="EQ159" s="309">
        <f>_xlfn.IFNA((VLOOKUP($A159,HN!$A:$BS,14,FALSE)/12),0)+_xlfn.IFNA((VLOOKUP($A159,HN!$A:$BS,34,FALSE)/3),0)</f>
        <v>0</v>
      </c>
      <c r="ER159" s="309">
        <f>_xlfn.IFNA(VLOOKUP($A159,'Post 16'!$A:$AV,32,FALSE),0)/8</f>
        <v>0</v>
      </c>
      <c r="ES159" s="309">
        <f>((VLOOKUP($A159,EY!A:EV,33,FALSE)*80%))+VLOOKUP(A159,EY!A:DD,108,FALSE)+VLOOKUP(A159,EY!A:CC,81,FALSE)</f>
        <v>0</v>
      </c>
      <c r="ET159" s="309">
        <f>_xlfn.IFNA((VLOOKUP($A159,HN!$A:$K,9,FALSE)/12),0)+_xlfn.IFNA((VLOOKUP($A159,HN!$A:$K,10,FALSE)/12),0)+_xlfn.IFNA((VLOOKUP($A159,HN!$A:$BZ,33,FALSE)/12),0)</f>
        <v>0</v>
      </c>
      <c r="EU159" s="309">
        <f>_xlfn.IFNA((VLOOKUP($A159,HN!$A:$BS,15,FALSE)/12),0)</f>
        <v>0</v>
      </c>
      <c r="EV159" s="308">
        <f t="shared" si="165"/>
        <v>-891.06666666666661</v>
      </c>
      <c r="EW159" s="308">
        <f t="shared" si="166"/>
        <v>-2672.0675000000001</v>
      </c>
      <c r="EX159" s="309"/>
      <c r="EY159" s="309">
        <f>_xlfn.IFNA(VLOOKUP($A159,'Cash Advances'!$A:$S,17,FALSE),0)</f>
        <v>0</v>
      </c>
      <c r="EZ159" s="309">
        <f>_xlfn.IFNA(VLOOKUP(A159,'LA Deductions'!A:AZ,25,FALSE),0)/9</f>
        <v>0</v>
      </c>
      <c r="FA159" s="308">
        <f t="shared" si="177"/>
        <v>175783.81286663405</v>
      </c>
      <c r="FB159" s="315">
        <f t="shared" si="167"/>
        <v>179346.94703330073</v>
      </c>
      <c r="FC159" s="315"/>
      <c r="FD159" s="316"/>
      <c r="FE159" s="316">
        <f>_xlfn.IFNA((VLOOKUP($A159,HN!$A:$K,8,FALSE)/12),0)+_xlfn.IFNA((VLOOKUP($A159,HN!$A:$AF,32,FALSE)*1/12),0)</f>
        <v>0</v>
      </c>
      <c r="FF159" s="316">
        <f>_xlfn.IFNA((VLOOKUP($A159,HN!$A:$BS,14,FALSE)/12),0)+_xlfn.IFNA((VLOOKUP($A159,HN!$A:$BS,34,FALSE)/3),0)</f>
        <v>0</v>
      </c>
      <c r="FG159" s="316">
        <f>_xlfn.IFNA(VLOOKUP($A159,'Post 16'!$A:$AV,32,FALSE),0)/8</f>
        <v>0</v>
      </c>
      <c r="FH159" s="316"/>
      <c r="FI159" s="316">
        <f>_xlfn.IFNA((VLOOKUP($A159,HN!$A:$K,9,FALSE)/12),0)+_xlfn.IFNA((VLOOKUP($A159,HN!$A:$K,10,FALSE)/12),0)+_xlfn.IFNA((VLOOKUP($A159,HN!$A:$BZ,33,FALSE)/12),0)+_xlfn.IFNA((VLOOKUP($A159,HN!$A:$BZ,35,FALSE)/2),0)</f>
        <v>0</v>
      </c>
      <c r="FJ159" s="316">
        <f>_xlfn.IFNA((VLOOKUP($A159,HN!$A:$BS,15,FALSE)/12),0)+_xlfn.IFNA((VLOOKUP($A159,HN!$A:$CZ,36,FALSE)/2),0)</f>
        <v>0</v>
      </c>
      <c r="FK159" s="315">
        <f t="shared" si="168"/>
        <v>-891.06666666666661</v>
      </c>
      <c r="FL159" s="315">
        <f t="shared" si="169"/>
        <v>-2672.0675000000001</v>
      </c>
      <c r="FM159" s="316"/>
      <c r="FN159" s="316">
        <f>_xlfn.IFNA(VLOOKUP($A159,'Cash Advances'!$A:$S,18,FALSE),0)</f>
        <v>0</v>
      </c>
      <c r="FO159" s="316">
        <f>_xlfn.IFNA(VLOOKUP(A159,'LA Deductions'!A:AZ,25,FALSE),0)/9</f>
        <v>0</v>
      </c>
      <c r="FP159" s="315">
        <f t="shared" si="178"/>
        <v>175783.81286663405</v>
      </c>
      <c r="FQ159" s="322">
        <f t="shared" si="170"/>
        <v>179346.94703330073</v>
      </c>
      <c r="FR159" s="322"/>
      <c r="FS159" s="323"/>
      <c r="FT159" s="323">
        <f>_xlfn.IFNA((VLOOKUP($A159,HN!$A:$K,8,FALSE)/12),0)+_xlfn.IFNA((VLOOKUP($A159,HN!$A:$AF,32,FALSE)*1/12),0)</f>
        <v>0</v>
      </c>
      <c r="FU159" s="323">
        <f>_xlfn.IFNA((VLOOKUP($A159,HN!$A:$BS,14,FALSE)/12),0)+_xlfn.IFNA((VLOOKUP($A159,HN!$A:$BS,34,FALSE)/3),0)</f>
        <v>0</v>
      </c>
      <c r="FV159" s="323">
        <f>_xlfn.IFNA(VLOOKUP($A159,'Post 16'!$A:$AV,32,FALSE),0)/8</f>
        <v>0</v>
      </c>
      <c r="FW159" s="323"/>
      <c r="FX159" s="323">
        <f>_xlfn.IFNA((VLOOKUP($A159,HN!$A:$K,9,FALSE)/12),0)+_xlfn.IFNA((VLOOKUP($A159,HN!$A:$K,10,FALSE)/12),0)+_xlfn.IFNA((VLOOKUP($A159,HN!$A:$BZ,33,FALSE)/12),0)+_xlfn.IFNA((VLOOKUP($A159,HN!$A:$BZ,35,FALSE)/2),0)</f>
        <v>0</v>
      </c>
      <c r="FY159" s="323">
        <f>_xlfn.IFNA((VLOOKUP($A159,HN!$A:$BS,15,FALSE)/12),0)+_xlfn.IFNA((VLOOKUP($A159,HN!$A:$CZ,36,FALSE)/2),0)</f>
        <v>0</v>
      </c>
      <c r="FZ159" s="322">
        <f t="shared" si="171"/>
        <v>-891.06666666666661</v>
      </c>
      <c r="GA159" s="322">
        <f t="shared" si="172"/>
        <v>-2672.0675000000001</v>
      </c>
      <c r="GB159" s="323"/>
      <c r="GC159" s="323"/>
      <c r="GD159" s="323">
        <f>_xlfn.IFNA(VLOOKUP(A159,'LA Deductions'!A:AZ,25,FALSE),0)/9</f>
        <v>0</v>
      </c>
      <c r="GE159" s="322">
        <f t="shared" si="179"/>
        <v>175783.81286663405</v>
      </c>
      <c r="GG159" s="146">
        <f t="shared" si="184"/>
        <v>2152163.3643996087</v>
      </c>
      <c r="GH159" s="146">
        <f t="shared" si="184"/>
        <v>0</v>
      </c>
      <c r="GI159" s="146">
        <f t="shared" si="184"/>
        <v>0</v>
      </c>
      <c r="GJ159" s="146">
        <f t="shared" si="184"/>
        <v>-10692.8</v>
      </c>
      <c r="GK159" s="146">
        <f t="shared" si="184"/>
        <v>-32064.810000000009</v>
      </c>
      <c r="GL159" s="146">
        <f t="shared" si="184"/>
        <v>-9471</v>
      </c>
      <c r="GN159" s="146">
        <f t="shared" si="185"/>
        <v>2152163.3643996087</v>
      </c>
      <c r="GO159" s="146">
        <f t="shared" si="185"/>
        <v>0</v>
      </c>
      <c r="GP159" s="146">
        <f t="shared" si="185"/>
        <v>0</v>
      </c>
      <c r="GQ159" s="146">
        <f t="shared" si="185"/>
        <v>-10692.8</v>
      </c>
      <c r="GR159" s="146">
        <f t="shared" si="185"/>
        <v>-32064.810000000009</v>
      </c>
      <c r="GS159" s="146">
        <f t="shared" si="185"/>
        <v>-9471</v>
      </c>
      <c r="GU159" s="146"/>
      <c r="GV159" s="57"/>
    </row>
    <row r="160" spans="1:204">
      <c r="A160" s="185">
        <v>3421</v>
      </c>
      <c r="B160" s="185">
        <v>133996</v>
      </c>
      <c r="C160" s="185" t="s">
        <v>348</v>
      </c>
      <c r="D160" s="2" t="s">
        <v>349</v>
      </c>
      <c r="E160" s="191" t="s">
        <v>32</v>
      </c>
      <c r="F160" s="191" t="s">
        <v>912</v>
      </c>
      <c r="H160" s="279">
        <f>_xlfn.IFNA(VLOOKUP($A160,ISB!$A$4:$BY$454,67,FALSE),0)</f>
        <v>4426848.4898238108</v>
      </c>
      <c r="I160" s="279">
        <f>_xlfn.IFNA(VLOOKUP($A160,ISB!$A$4:$BY$454,72,FALSE),0)</f>
        <v>-21828.959999999999</v>
      </c>
      <c r="J160" s="279">
        <f>-_xlfn.IFNA(VLOOKUP($A160,ISB!$A$4:$BY$454,76,FALSE),0)</f>
        <v>-32542.02</v>
      </c>
      <c r="K160" s="279">
        <f>_xlfn.IFNA(VLOOKUP($A160,ISB!$A$4:$BY$454,77,FALSE),0)</f>
        <v>4372477.5098238112</v>
      </c>
      <c r="M160" s="301">
        <f t="shared" si="137"/>
        <v>368904.04081865092</v>
      </c>
      <c r="N160" s="301">
        <f>VLOOKUP($A160,EY!$A:$H,8,FALSE)+(VLOOKUP($A160,EY!$A:$BS,17,FALSE)-S160)+VLOOKUP($A160,EY!$A:$BS,41,FALSE)</f>
        <v>0</v>
      </c>
      <c r="O160" s="302"/>
      <c r="P160" s="302">
        <f>_xlfn.IFNA((VLOOKUP($A160,HN!$A:$K,8,FALSE)/12),0)</f>
        <v>0</v>
      </c>
      <c r="Q160" s="302">
        <f>_xlfn.IFNA((VLOOKUP($A160,HN!$A:$BS,14,FALSE)/12),0)</f>
        <v>0</v>
      </c>
      <c r="R160" s="302">
        <f>_xlfn.IFNA(VLOOKUP($A160,'Post 16'!$A:$V,21,FALSE),0)/4</f>
        <v>0</v>
      </c>
      <c r="S160" s="302">
        <f>VLOOKUP($A160,EY!A:Q,15,FALSE)*80%</f>
        <v>0</v>
      </c>
      <c r="T160" s="302">
        <f>_xlfn.IFNA((VLOOKUP($A160,HN!$A:$K,9,FALSE)/12),0)+_xlfn.IFNA((VLOOKUP($A160,HN!$A:$K,10,FALSE)/12),0)</f>
        <v>0</v>
      </c>
      <c r="U160" s="302">
        <f>_xlfn.IFNA((VLOOKUP($A160,HN!$A:$BS,15,FALSE)/12),0)</f>
        <v>0</v>
      </c>
      <c r="V160" s="301">
        <f t="shared" si="138"/>
        <v>-1819.08</v>
      </c>
      <c r="W160" s="301">
        <f t="shared" si="139"/>
        <v>-2711.835</v>
      </c>
      <c r="X160" s="302"/>
      <c r="Y160" s="302">
        <f>_xlfn.IFNA(VLOOKUP($A160,'Cash Advances'!$A:$S,8,FALSE),0)</f>
        <v>0</v>
      </c>
      <c r="Z160" s="301">
        <f t="shared" si="132"/>
        <v>364373.12581865088</v>
      </c>
      <c r="AA160" s="315">
        <f t="shared" si="140"/>
        <v>368904.04081865092</v>
      </c>
      <c r="AB160" s="315"/>
      <c r="AC160" s="316"/>
      <c r="AD160" s="316">
        <f>_xlfn.IFNA((VLOOKUP($A160,HN!$A:$K,8,FALSE)/12),0)</f>
        <v>0</v>
      </c>
      <c r="AE160" s="316">
        <f>_xlfn.IFNA((VLOOKUP($A160,HN!$A:$BS,14,FALSE)/12),0)</f>
        <v>0</v>
      </c>
      <c r="AF160" s="316">
        <f>_xlfn.IFNA(VLOOKUP($A160,'Post 16'!$A:$V,21,FALSE),0)/4</f>
        <v>0</v>
      </c>
      <c r="AG160" s="316"/>
      <c r="AH160" s="316">
        <f>_xlfn.IFNA((VLOOKUP($A160,HN!$A:$K,9,FALSE)/12),0)+_xlfn.IFNA((VLOOKUP($A160,HN!$A:$K,10,FALSE)/12),0)</f>
        <v>0</v>
      </c>
      <c r="AI160" s="316">
        <f>_xlfn.IFNA((VLOOKUP($A160,HN!$A:$BS,15,FALSE)/12),0)</f>
        <v>0</v>
      </c>
      <c r="AJ160" s="315">
        <f t="shared" si="141"/>
        <v>-1819.08</v>
      </c>
      <c r="AK160" s="315">
        <f t="shared" si="142"/>
        <v>-2711.835</v>
      </c>
      <c r="AL160" s="316"/>
      <c r="AM160" s="316">
        <f>_xlfn.IFNA(VLOOKUP($A160,'Cash Advances'!$A:$S,9,FALSE),0)</f>
        <v>0</v>
      </c>
      <c r="AN160" s="315">
        <f t="shared" si="133"/>
        <v>364373.12581865088</v>
      </c>
      <c r="AO160" s="308">
        <f t="shared" si="143"/>
        <v>368904.04081865092</v>
      </c>
      <c r="AP160" s="308"/>
      <c r="AQ160" s="309"/>
      <c r="AR160" s="309">
        <f>_xlfn.IFNA((VLOOKUP($A160,HN!$A:$K,8,FALSE)/12),0)</f>
        <v>0</v>
      </c>
      <c r="AS160" s="309">
        <f>_xlfn.IFNA((VLOOKUP($A160,HN!$A:$BS,14,FALSE)/12),0)</f>
        <v>0</v>
      </c>
      <c r="AT160" s="309">
        <f>_xlfn.IFNA(VLOOKUP($A160,'Post 16'!$A:$V,21,FALSE),0)/4</f>
        <v>0</v>
      </c>
      <c r="AU160" s="309"/>
      <c r="AV160" s="309">
        <f>_xlfn.IFNA((VLOOKUP($A160,HN!$A:$K,9,FALSE)/12),0)+_xlfn.IFNA((VLOOKUP($A160,HN!$A:$K,10,FALSE)/12),0)+_xlfn.IFNA(VLOOKUP(A160,HN!A:V,19,FALSE),0)+_xlfn.IFNA(VLOOKUP(A160,HN!A:V,20,FALSE),0)+_xlfn.IFNA(VLOOKUP(A160,HN!A:V,21,FALSE),0)</f>
        <v>0</v>
      </c>
      <c r="AW160" s="309">
        <f>_xlfn.IFNA((VLOOKUP($A160,HN!$A:$BS,15,FALSE)/12),0)</f>
        <v>0</v>
      </c>
      <c r="AX160" s="308">
        <f t="shared" si="144"/>
        <v>-1819.08</v>
      </c>
      <c r="AY160" s="308">
        <f t="shared" si="145"/>
        <v>-2711.835</v>
      </c>
      <c r="AZ160" s="309"/>
      <c r="BA160" s="309">
        <f>_xlfn.IFNA(VLOOKUP($A160,'Cash Advances'!$A:$S,10,FALSE),0)</f>
        <v>0</v>
      </c>
      <c r="BB160" s="308">
        <f t="shared" si="134"/>
        <v>364373.12581865088</v>
      </c>
      <c r="BC160" s="330">
        <f t="shared" si="146"/>
        <v>368904.04081865092</v>
      </c>
      <c r="BD160" s="330"/>
      <c r="BE160" s="331"/>
      <c r="BF160" s="331">
        <f>_xlfn.IFNA((VLOOKUP($A160,HN!$A:$K,8,FALSE)/12),0)</f>
        <v>0</v>
      </c>
      <c r="BG160" s="331">
        <f>_xlfn.IFNA((VLOOKUP($A160,HN!$A:$BS,14,FALSE)/12),0)</f>
        <v>0</v>
      </c>
      <c r="BH160" s="331">
        <f>_xlfn.IFNA(VLOOKUP($A160,'Post 16'!$A:$V,21,FALSE),0)/4</f>
        <v>0</v>
      </c>
      <c r="BI160" s="331"/>
      <c r="BJ160" s="331">
        <f>_xlfn.IFNA((VLOOKUP($A160,HN!$A:$K,9,FALSE)/12),0)+_xlfn.IFNA((VLOOKUP($A160,HN!$A:$K,10,FALSE)/12),0)</f>
        <v>0</v>
      </c>
      <c r="BK160" s="331">
        <f>_xlfn.IFNA((VLOOKUP($A160,HN!$A:$BS,15,FALSE)/12),0)</f>
        <v>0</v>
      </c>
      <c r="BL160" s="330">
        <f t="shared" si="147"/>
        <v>-1819.08</v>
      </c>
      <c r="BM160" s="330">
        <f t="shared" si="148"/>
        <v>-2711.835</v>
      </c>
      <c r="BN160" s="331"/>
      <c r="BO160" s="331">
        <f>_xlfn.IFNA(VLOOKUP(A160,'Cash Advances'!A:K,11,FALSE),0)</f>
        <v>0</v>
      </c>
      <c r="BP160" s="330">
        <f t="shared" si="135"/>
        <v>364373.12581865088</v>
      </c>
      <c r="BQ160" s="322">
        <f t="shared" si="149"/>
        <v>368904.04081865092</v>
      </c>
      <c r="BR160" s="322"/>
      <c r="BS160" s="323"/>
      <c r="BT160" s="323">
        <f>_xlfn.IFNA((VLOOKUP($A160,HN!$A:$K,8,FALSE)/12),0)</f>
        <v>0</v>
      </c>
      <c r="BU160" s="323">
        <f>_xlfn.IFNA((VLOOKUP($A160,HN!$A:$BS,14,FALSE)/12),0)</f>
        <v>0</v>
      </c>
      <c r="BV160" s="323">
        <f>(_xlfn.IFNA(VLOOKUP($A160,'Post 16'!$A:$AV,32,FALSE),0)/8)+_xlfn.IFNA(VLOOKUP($A160,'Post 16'!$A:$AR,40,FALSE),0)</f>
        <v>0</v>
      </c>
      <c r="BW160" s="323"/>
      <c r="BX160" s="323">
        <f>_xlfn.IFNA((VLOOKUP($A160,HN!$A:$K,9,FALSE)/12),0)+_xlfn.IFNA((VLOOKUP($A160,HN!$A:$K,10,FALSE)/12),0)</f>
        <v>0</v>
      </c>
      <c r="BY160" s="323">
        <f>_xlfn.IFNA((VLOOKUP($A160,HN!$A:$BS,15,FALSE)/12),0)</f>
        <v>0</v>
      </c>
      <c r="BZ160" s="322">
        <f t="shared" si="150"/>
        <v>-1819.08</v>
      </c>
      <c r="CA160" s="322">
        <f t="shared" si="151"/>
        <v>-2711.835</v>
      </c>
      <c r="CB160" s="323"/>
      <c r="CC160" s="323"/>
      <c r="CD160" s="322">
        <f t="shared" si="136"/>
        <v>364373.12581865088</v>
      </c>
      <c r="CE160" s="357">
        <f t="shared" si="152"/>
        <v>368904.04081865092</v>
      </c>
      <c r="CF160" s="357">
        <f>(VLOOKUP($A160,EY!$A:$BS,26,FALSE)-(VLOOKUP($A160,EY!A:CR,24,FALSE)*80%))+VLOOKUP($A160,EY!$A:$BS,42,FALSE)+(VLOOKUP($A160,EY!A:CC,74,FALSE)-VLOOKUP($A160,EY!A:CC,72,FALSE))</f>
        <v>0</v>
      </c>
      <c r="CG160" s="358"/>
      <c r="CH160" s="358">
        <f>_xlfn.IFNA((VLOOKUP($A160,HN!$A:$K,8,FALSE)/12),0)</f>
        <v>0</v>
      </c>
      <c r="CI160" s="358">
        <f>_xlfn.IFNA((VLOOKUP($A160,HN!$A:$BS,14,FALSE)/12),0)</f>
        <v>0</v>
      </c>
      <c r="CJ160" s="358">
        <f>(_xlfn.IFNA(VLOOKUP($A160,'Post 16'!$A:$AV,32,FALSE),0)/8)</f>
        <v>0</v>
      </c>
      <c r="CK160" s="358">
        <f>(VLOOKUP($A160,EY!A:CR,24,FALSE)*80%)+VLOOKUP($A160,EY!A:CC,72,FALSE)</f>
        <v>0</v>
      </c>
      <c r="CL160" s="358">
        <f>_xlfn.IFNA((VLOOKUP($A160,HN!$A:$K,9,FALSE)/12),0)+_xlfn.IFNA((VLOOKUP($A160,HN!$A:$K,10,FALSE)/12),0)</f>
        <v>0</v>
      </c>
      <c r="CM160" s="358">
        <f>_xlfn.IFNA((VLOOKUP($A160,HN!$A:$BS,15,FALSE)/12),0)</f>
        <v>0</v>
      </c>
      <c r="CN160" s="357">
        <f t="shared" si="153"/>
        <v>-1819.08</v>
      </c>
      <c r="CO160" s="357">
        <f t="shared" si="154"/>
        <v>-2711.835</v>
      </c>
      <c r="CP160" s="358">
        <f>_xlfn.IFNA(VLOOKUP(A160,'LA Deductions'!A:W,23,FALSE),0)</f>
        <v>-24312.75</v>
      </c>
      <c r="CQ160" s="358">
        <f>_xlfn.IFNA(VLOOKUP($A160,'Cash Advances'!$A:$S,13,FALSE),0)</f>
        <v>0</v>
      </c>
      <c r="CR160" s="358">
        <f>_xlfn.IFNA(VLOOKUP(A160,'LA Deductions'!A:AZ,25,FALSE),0)/9*3</f>
        <v>0</v>
      </c>
      <c r="CS160" s="357">
        <f t="shared" si="173"/>
        <v>340060.37581865088</v>
      </c>
      <c r="CT160" s="337">
        <f t="shared" si="155"/>
        <v>368904.04081865092</v>
      </c>
      <c r="CU160" s="337"/>
      <c r="CV160" s="338">
        <f>_xlfn.IFNA(VLOOKUP(A160,'LA Deductions'!$A$6:$AN$207,34,FALSE),0)</f>
        <v>0</v>
      </c>
      <c r="CW160" s="338">
        <f>_xlfn.IFNA((VLOOKUP($A160,HN!$A:$K,8,FALSE)/12),0)</f>
        <v>0</v>
      </c>
      <c r="CX160" s="338">
        <f>_xlfn.IFNA((VLOOKUP($A160,HN!$A:$BS,14,FALSE)/12),0)</f>
        <v>0</v>
      </c>
      <c r="CY160" s="338">
        <f>_xlfn.IFNA(VLOOKUP($A160,'Post 16'!$A:$AV,32,FALSE),0)/8</f>
        <v>0</v>
      </c>
      <c r="CZ160" s="338"/>
      <c r="DA160" s="338">
        <f>_xlfn.IFNA((VLOOKUP($A160,HN!$A:$K,9,FALSE)/12),0)+_xlfn.IFNA((VLOOKUP($A160,HN!$A:$K,10,FALSE)/12),0)</f>
        <v>0</v>
      </c>
      <c r="DB160" s="338">
        <f>_xlfn.IFNA((VLOOKUP($A160,HN!$A:$BS,15,FALSE)/12),0)</f>
        <v>0</v>
      </c>
      <c r="DC160" s="337">
        <f t="shared" si="156"/>
        <v>-1819.08</v>
      </c>
      <c r="DD160" s="337">
        <f t="shared" si="157"/>
        <v>-2711.835</v>
      </c>
      <c r="DE160" s="338"/>
      <c r="DF160" s="338">
        <f>_xlfn.IFNA(VLOOKUP($A160,'Cash Advances'!$A:$S,14,FALSE),0)</f>
        <v>0</v>
      </c>
      <c r="DG160" s="338">
        <f>(_xlfn.IFNA(VLOOKUP(A160,'LA Deductions'!A:AZ,25,FALSE),0)/9)+(_xlfn.IFNA(VLOOKUP(A160,'LA Deductions'!A:AZ,26,FALSE),0))</f>
        <v>0</v>
      </c>
      <c r="DH160" s="337">
        <f t="shared" si="174"/>
        <v>364373.12581865088</v>
      </c>
      <c r="DI160" s="330">
        <f t="shared" si="158"/>
        <v>368904.04081865092</v>
      </c>
      <c r="DJ160" s="330"/>
      <c r="DK160" s="331"/>
      <c r="DL160" s="331">
        <f>_xlfn.IFNA((VLOOKUP($A160,HN!$A:$K,8,FALSE)/12),0)+_xlfn.IFNA((VLOOKUP($A160,HN!$A:$AF,32,FALSE)*8/12),0)</f>
        <v>0</v>
      </c>
      <c r="DM160" s="331">
        <f>_xlfn.IFNA((VLOOKUP($A160,HN!$A:$BS,14,FALSE)/12),0)+_xlfn.IFNA(VLOOKUP($A160,HN!$A:$BS,31,FALSE),0)</f>
        <v>0</v>
      </c>
      <c r="DN160" s="331">
        <f>_xlfn.IFNA(VLOOKUP($A160,'Post 16'!$A:$AV,32,FALSE),0)/8</f>
        <v>0</v>
      </c>
      <c r="DO160" s="331"/>
      <c r="DP160" s="331">
        <f>_xlfn.IFNA((VLOOKUP($A160,HN!$A:$K,9,FALSE)/12),0)+_xlfn.IFNA((VLOOKUP($A160,HN!$A:$K,10,FALSE)/12),0)+_xlfn.IFNA((VLOOKUP($A160,HN!$A:$BZ,33,FALSE)*8/12),0)</f>
        <v>0</v>
      </c>
      <c r="DQ160" s="331">
        <f>_xlfn.IFNA((VLOOKUP($A160,HN!$A:$BS,15,FALSE)/12),0)</f>
        <v>0</v>
      </c>
      <c r="DR160" s="330">
        <f t="shared" si="159"/>
        <v>-1819.08</v>
      </c>
      <c r="DS160" s="330">
        <f t="shared" si="160"/>
        <v>-2711.835</v>
      </c>
      <c r="DT160" s="331"/>
      <c r="DU160" s="331"/>
      <c r="DV160" s="331">
        <f>(_xlfn.IFNA(VLOOKUP(A160,'LA Deductions'!A:AZ,25,FALSE),0)/9)+_xlfn.IFNA(VLOOKUP(A160,'LA Deductions'!A:AZ,27,FALSE),0)</f>
        <v>0</v>
      </c>
      <c r="DW160" s="330">
        <f t="shared" si="175"/>
        <v>364373.12581865088</v>
      </c>
      <c r="DX160" s="344">
        <f t="shared" si="161"/>
        <v>368904.04081865092</v>
      </c>
      <c r="DY160" s="344"/>
      <c r="DZ160" s="345"/>
      <c r="EA160" s="345">
        <f>_xlfn.IFNA((VLOOKUP($A160,HN!$A:$K,8,FALSE)/12),0)+_xlfn.IFNA((VLOOKUP($A160,HN!$A:$AF,32,FALSE)*1/12),0)</f>
        <v>0</v>
      </c>
      <c r="EB160" s="345">
        <f>_xlfn.IFNA((VLOOKUP($A160,HN!$A:$BS,14,FALSE)/12),0)</f>
        <v>0</v>
      </c>
      <c r="EC160" s="345">
        <f>_xlfn.IFNA(VLOOKUP($A160,'Post 16'!$A:$AV,32,FALSE),0)/8</f>
        <v>0</v>
      </c>
      <c r="ED160" s="345"/>
      <c r="EE160" s="345">
        <f>_xlfn.IFNA((VLOOKUP($A160,HN!$A:$K,9,FALSE)/12),0)+_xlfn.IFNA((VLOOKUP($A160,HN!$A:$K,10,FALSE)/12),0)+_xlfn.IFNA((VLOOKUP($A160,HN!$A:$BZ,33,FALSE)/12),0)</f>
        <v>0</v>
      </c>
      <c r="EF160" s="345">
        <f>_xlfn.IFNA((VLOOKUP($A160,HN!$A:$BS,15,FALSE)/12),0)</f>
        <v>0</v>
      </c>
      <c r="EG160" s="344">
        <f t="shared" si="162"/>
        <v>-1819.08</v>
      </c>
      <c r="EH160" s="344">
        <f t="shared" si="163"/>
        <v>-2711.835</v>
      </c>
      <c r="EI160" s="345"/>
      <c r="EJ160" s="345">
        <f>_xlfn.IFNA(VLOOKUP(A160,'Cash Advances'!A:P,16,FALSE),0)</f>
        <v>0</v>
      </c>
      <c r="EK160" s="345">
        <f>_xlfn.IFNA(VLOOKUP(A160,'LA Deductions'!A:AZ,25,FALSE),0)/9</f>
        <v>0</v>
      </c>
      <c r="EL160" s="344">
        <f t="shared" si="176"/>
        <v>364373.12581865088</v>
      </c>
      <c r="EM160" s="308">
        <f t="shared" si="164"/>
        <v>368904.04081865092</v>
      </c>
      <c r="EN160" s="308">
        <f>((VLOOKUP($A160,EY!$A:$BS,35,FALSE)-(VLOOKUP($A160,EY!$A:$BS,33,FALSE)*80%))+VLOOKUP($A160,EY!$A:$BS,43,FALSE))+(VLOOKUP(A160,EY!A:DF,110,FALSE)-VLOOKUP(A160,EY!A:DD,108,FALSE))+(VLOOKUP(A160,EY!A:CE,83,FALSE)-VLOOKUP(A160,EY!A:CC,81,FALSE))</f>
        <v>0</v>
      </c>
      <c r="EO160" s="309"/>
      <c r="EP160" s="309">
        <f>_xlfn.IFNA((VLOOKUP($A160,HN!$A:$K,8,FALSE)/12),0)+_xlfn.IFNA((VLOOKUP($A160,HN!$A:$AF,32,FALSE)*1/12),0)</f>
        <v>0</v>
      </c>
      <c r="EQ160" s="309">
        <f>_xlfn.IFNA((VLOOKUP($A160,HN!$A:$BS,14,FALSE)/12),0)+_xlfn.IFNA((VLOOKUP($A160,HN!$A:$BS,34,FALSE)/3),0)</f>
        <v>0</v>
      </c>
      <c r="ER160" s="309">
        <f>_xlfn.IFNA(VLOOKUP($A160,'Post 16'!$A:$AV,32,FALSE),0)/8</f>
        <v>0</v>
      </c>
      <c r="ES160" s="309">
        <f>((VLOOKUP($A160,EY!A:EV,33,FALSE)*80%))+VLOOKUP(A160,EY!A:DD,108,FALSE)+VLOOKUP(A160,EY!A:CC,81,FALSE)</f>
        <v>0</v>
      </c>
      <c r="ET160" s="309">
        <f>_xlfn.IFNA((VLOOKUP($A160,HN!$A:$K,9,FALSE)/12),0)+_xlfn.IFNA((VLOOKUP($A160,HN!$A:$K,10,FALSE)/12),0)+_xlfn.IFNA((VLOOKUP($A160,HN!$A:$BZ,33,FALSE)/12),0)</f>
        <v>0</v>
      </c>
      <c r="EU160" s="309">
        <f>_xlfn.IFNA((VLOOKUP($A160,HN!$A:$BS,15,FALSE)/12),0)</f>
        <v>0</v>
      </c>
      <c r="EV160" s="308">
        <f t="shared" si="165"/>
        <v>-1819.08</v>
      </c>
      <c r="EW160" s="308">
        <f t="shared" si="166"/>
        <v>-2711.835</v>
      </c>
      <c r="EX160" s="309"/>
      <c r="EY160" s="309">
        <f>_xlfn.IFNA(VLOOKUP($A160,'Cash Advances'!$A:$S,17,FALSE),0)</f>
        <v>0</v>
      </c>
      <c r="EZ160" s="309">
        <f>_xlfn.IFNA(VLOOKUP(A160,'LA Deductions'!A:AZ,25,FALSE),0)/9</f>
        <v>0</v>
      </c>
      <c r="FA160" s="308">
        <f t="shared" si="177"/>
        <v>364373.12581865088</v>
      </c>
      <c r="FB160" s="315">
        <f t="shared" si="167"/>
        <v>368904.04081865092</v>
      </c>
      <c r="FC160" s="315"/>
      <c r="FD160" s="316"/>
      <c r="FE160" s="316">
        <f>_xlfn.IFNA((VLOOKUP($A160,HN!$A:$K,8,FALSE)/12),0)+_xlfn.IFNA((VLOOKUP($A160,HN!$A:$AF,32,FALSE)*1/12),0)</f>
        <v>0</v>
      </c>
      <c r="FF160" s="316">
        <f>_xlfn.IFNA((VLOOKUP($A160,HN!$A:$BS,14,FALSE)/12),0)+_xlfn.IFNA((VLOOKUP($A160,HN!$A:$BS,34,FALSE)/3),0)</f>
        <v>0</v>
      </c>
      <c r="FG160" s="316">
        <f>_xlfn.IFNA(VLOOKUP($A160,'Post 16'!$A:$AV,32,FALSE),0)/8</f>
        <v>0</v>
      </c>
      <c r="FH160" s="316"/>
      <c r="FI160" s="316">
        <f>_xlfn.IFNA((VLOOKUP($A160,HN!$A:$K,9,FALSE)/12),0)+_xlfn.IFNA((VLOOKUP($A160,HN!$A:$K,10,FALSE)/12),0)+_xlfn.IFNA((VLOOKUP($A160,HN!$A:$BZ,33,FALSE)/12),0)+_xlfn.IFNA((VLOOKUP($A160,HN!$A:$BZ,35,FALSE)/2),0)</f>
        <v>0</v>
      </c>
      <c r="FJ160" s="316">
        <f>_xlfn.IFNA((VLOOKUP($A160,HN!$A:$BS,15,FALSE)/12),0)+_xlfn.IFNA((VLOOKUP($A160,HN!$A:$CZ,36,FALSE)/2),0)</f>
        <v>0</v>
      </c>
      <c r="FK160" s="315">
        <f t="shared" si="168"/>
        <v>-1819.08</v>
      </c>
      <c r="FL160" s="315">
        <f t="shared" si="169"/>
        <v>-2711.835</v>
      </c>
      <c r="FM160" s="316"/>
      <c r="FN160" s="316">
        <f>_xlfn.IFNA(VLOOKUP($A160,'Cash Advances'!$A:$S,18,FALSE),0)</f>
        <v>0</v>
      </c>
      <c r="FO160" s="316">
        <f>_xlfn.IFNA(VLOOKUP(A160,'LA Deductions'!A:AZ,25,FALSE),0)/9</f>
        <v>0</v>
      </c>
      <c r="FP160" s="315">
        <f t="shared" si="178"/>
        <v>364373.12581865088</v>
      </c>
      <c r="FQ160" s="322">
        <f t="shared" si="170"/>
        <v>368904.04081865092</v>
      </c>
      <c r="FR160" s="322"/>
      <c r="FS160" s="323"/>
      <c r="FT160" s="323">
        <f>_xlfn.IFNA((VLOOKUP($A160,HN!$A:$K,8,FALSE)/12),0)+_xlfn.IFNA((VLOOKUP($A160,HN!$A:$AF,32,FALSE)*1/12),0)</f>
        <v>0</v>
      </c>
      <c r="FU160" s="323">
        <f>_xlfn.IFNA((VLOOKUP($A160,HN!$A:$BS,14,FALSE)/12),0)+_xlfn.IFNA((VLOOKUP($A160,HN!$A:$BS,34,FALSE)/3),0)</f>
        <v>0</v>
      </c>
      <c r="FV160" s="323">
        <f>_xlfn.IFNA(VLOOKUP($A160,'Post 16'!$A:$AV,32,FALSE),0)/8</f>
        <v>0</v>
      </c>
      <c r="FW160" s="323"/>
      <c r="FX160" s="323">
        <f>_xlfn.IFNA((VLOOKUP($A160,HN!$A:$K,9,FALSE)/12),0)+_xlfn.IFNA((VLOOKUP($A160,HN!$A:$K,10,FALSE)/12),0)+_xlfn.IFNA((VLOOKUP($A160,HN!$A:$BZ,33,FALSE)/12),0)+_xlfn.IFNA((VLOOKUP($A160,HN!$A:$BZ,35,FALSE)/2),0)</f>
        <v>0</v>
      </c>
      <c r="FY160" s="323">
        <f>_xlfn.IFNA((VLOOKUP($A160,HN!$A:$BS,15,FALSE)/12),0)+_xlfn.IFNA((VLOOKUP($A160,HN!$A:$CZ,36,FALSE)/2),0)</f>
        <v>0</v>
      </c>
      <c r="FZ160" s="322">
        <f t="shared" si="171"/>
        <v>-1819.08</v>
      </c>
      <c r="GA160" s="322">
        <f t="shared" si="172"/>
        <v>-2711.835</v>
      </c>
      <c r="GB160" s="323"/>
      <c r="GC160" s="323"/>
      <c r="GD160" s="323">
        <f>_xlfn.IFNA(VLOOKUP(A160,'LA Deductions'!A:AZ,25,FALSE),0)/9</f>
        <v>0</v>
      </c>
      <c r="GE160" s="322">
        <f t="shared" si="179"/>
        <v>364373.12581865088</v>
      </c>
      <c r="GG160" s="146">
        <f t="shared" si="184"/>
        <v>4426848.4898238098</v>
      </c>
      <c r="GH160" s="146">
        <f t="shared" si="184"/>
        <v>0</v>
      </c>
      <c r="GI160" s="146">
        <f t="shared" si="184"/>
        <v>0</v>
      </c>
      <c r="GJ160" s="146">
        <f t="shared" si="184"/>
        <v>-21828.959999999999</v>
      </c>
      <c r="GK160" s="146">
        <f t="shared" si="184"/>
        <v>-32542.019999999993</v>
      </c>
      <c r="GL160" s="146">
        <f t="shared" si="184"/>
        <v>-24312.75</v>
      </c>
      <c r="GN160" s="146">
        <f t="shared" si="185"/>
        <v>4426848.4898238098</v>
      </c>
      <c r="GO160" s="146">
        <f t="shared" si="185"/>
        <v>0</v>
      </c>
      <c r="GP160" s="146">
        <f t="shared" si="185"/>
        <v>0</v>
      </c>
      <c r="GQ160" s="146">
        <f t="shared" si="185"/>
        <v>-21828.959999999999</v>
      </c>
      <c r="GR160" s="146">
        <f t="shared" si="185"/>
        <v>-32542.019999999993</v>
      </c>
      <c r="GS160" s="146">
        <f t="shared" si="185"/>
        <v>-24312.75</v>
      </c>
      <c r="GU160" s="146"/>
      <c r="GV160" s="57"/>
    </row>
    <row r="161" spans="1:204">
      <c r="A161" s="185">
        <v>2227</v>
      </c>
      <c r="B161" s="185">
        <v>103281</v>
      </c>
      <c r="C161" s="185" t="s">
        <v>350</v>
      </c>
      <c r="D161" s="2" t="s">
        <v>351</v>
      </c>
      <c r="E161" s="191" t="s">
        <v>32</v>
      </c>
      <c r="F161" s="191" t="s">
        <v>912</v>
      </c>
      <c r="H161" s="279">
        <f>_xlfn.IFNA(VLOOKUP($A161,ISB!$A$4:$BY$454,67,FALSE),0)</f>
        <v>2597770.5484425533</v>
      </c>
      <c r="I161" s="279">
        <f>_xlfn.IFNA(VLOOKUP($A161,ISB!$A$4:$BY$454,72,FALSE),0)</f>
        <v>-10588.48</v>
      </c>
      <c r="J161" s="279">
        <f>-_xlfn.IFNA(VLOOKUP($A161,ISB!$A$4:$BY$454,76,FALSE),0)</f>
        <v>-20919.87</v>
      </c>
      <c r="K161" s="279">
        <f>_xlfn.IFNA(VLOOKUP($A161,ISB!$A$4:$BY$454,77,FALSE),0)</f>
        <v>2566262.1984425532</v>
      </c>
      <c r="M161" s="301">
        <f t="shared" si="137"/>
        <v>216480.87903687943</v>
      </c>
      <c r="N161" s="301">
        <f>VLOOKUP($A161,EY!$A:$H,8,FALSE)+(VLOOKUP($A161,EY!$A:$BS,17,FALSE)-S161)+VLOOKUP($A161,EY!$A:$BS,41,FALSE)</f>
        <v>62290.252631578944</v>
      </c>
      <c r="O161" s="302"/>
      <c r="P161" s="302">
        <f>_xlfn.IFNA((VLOOKUP($A161,HN!$A:$K,8,FALSE)/12),0)</f>
        <v>0</v>
      </c>
      <c r="Q161" s="302">
        <f>_xlfn.IFNA((VLOOKUP($A161,HN!$A:$BS,14,FALSE)/12),0)</f>
        <v>0</v>
      </c>
      <c r="R161" s="302">
        <f>_xlfn.IFNA(VLOOKUP($A161,'Post 16'!$A:$V,21,FALSE),0)/4</f>
        <v>0</v>
      </c>
      <c r="S161" s="302">
        <f>VLOOKUP($A161,EY!A:Q,15,FALSE)*80%</f>
        <v>0</v>
      </c>
      <c r="T161" s="302">
        <f>_xlfn.IFNA((VLOOKUP($A161,HN!$A:$K,9,FALSE)/12),0)+_xlfn.IFNA((VLOOKUP($A161,HN!$A:$K,10,FALSE)/12),0)</f>
        <v>0</v>
      </c>
      <c r="U161" s="302">
        <f>_xlfn.IFNA((VLOOKUP($A161,HN!$A:$BS,15,FALSE)/12),0)</f>
        <v>0</v>
      </c>
      <c r="V161" s="301">
        <f t="shared" si="138"/>
        <v>-882.37333333333333</v>
      </c>
      <c r="W161" s="301">
        <f t="shared" si="139"/>
        <v>-1743.3225</v>
      </c>
      <c r="X161" s="302"/>
      <c r="Y161" s="302">
        <f>_xlfn.IFNA(VLOOKUP($A161,'Cash Advances'!$A:$S,8,FALSE),0)</f>
        <v>0</v>
      </c>
      <c r="Z161" s="301">
        <f t="shared" si="132"/>
        <v>276145.43583512498</v>
      </c>
      <c r="AA161" s="315">
        <f t="shared" si="140"/>
        <v>216480.87903687943</v>
      </c>
      <c r="AB161" s="315"/>
      <c r="AC161" s="316"/>
      <c r="AD161" s="316">
        <f>_xlfn.IFNA((VLOOKUP($A161,HN!$A:$K,8,FALSE)/12),0)</f>
        <v>0</v>
      </c>
      <c r="AE161" s="316">
        <f>_xlfn.IFNA((VLOOKUP($A161,HN!$A:$BS,14,FALSE)/12),0)</f>
        <v>0</v>
      </c>
      <c r="AF161" s="316">
        <f>_xlfn.IFNA(VLOOKUP($A161,'Post 16'!$A:$V,21,FALSE),0)/4</f>
        <v>0</v>
      </c>
      <c r="AG161" s="316"/>
      <c r="AH161" s="316">
        <f>_xlfn.IFNA((VLOOKUP($A161,HN!$A:$K,9,FALSE)/12),0)+_xlfn.IFNA((VLOOKUP($A161,HN!$A:$K,10,FALSE)/12),0)</f>
        <v>0</v>
      </c>
      <c r="AI161" s="316">
        <f>_xlfn.IFNA((VLOOKUP($A161,HN!$A:$BS,15,FALSE)/12),0)</f>
        <v>0</v>
      </c>
      <c r="AJ161" s="315">
        <f t="shared" si="141"/>
        <v>-882.37333333333333</v>
      </c>
      <c r="AK161" s="315">
        <f t="shared" si="142"/>
        <v>-1743.3225</v>
      </c>
      <c r="AL161" s="316"/>
      <c r="AM161" s="316">
        <f>_xlfn.IFNA(VLOOKUP($A161,'Cash Advances'!$A:$S,9,FALSE),0)</f>
        <v>0</v>
      </c>
      <c r="AN161" s="315">
        <f t="shared" si="133"/>
        <v>213855.1832035461</v>
      </c>
      <c r="AO161" s="308">
        <f t="shared" si="143"/>
        <v>216480.87903687943</v>
      </c>
      <c r="AP161" s="308"/>
      <c r="AQ161" s="309"/>
      <c r="AR161" s="309">
        <f>_xlfn.IFNA((VLOOKUP($A161,HN!$A:$K,8,FALSE)/12),0)</f>
        <v>0</v>
      </c>
      <c r="AS161" s="309">
        <f>_xlfn.IFNA((VLOOKUP($A161,HN!$A:$BS,14,FALSE)/12),0)</f>
        <v>0</v>
      </c>
      <c r="AT161" s="309">
        <f>_xlfn.IFNA(VLOOKUP($A161,'Post 16'!$A:$V,21,FALSE),0)/4</f>
        <v>0</v>
      </c>
      <c r="AU161" s="309"/>
      <c r="AV161" s="309">
        <f>_xlfn.IFNA((VLOOKUP($A161,HN!$A:$K,9,FALSE)/12),0)+_xlfn.IFNA((VLOOKUP($A161,HN!$A:$K,10,FALSE)/12),0)+_xlfn.IFNA(VLOOKUP(A161,HN!A:V,19,FALSE),0)+_xlfn.IFNA(VLOOKUP(A161,HN!A:V,20,FALSE),0)+_xlfn.IFNA(VLOOKUP(A161,HN!A:V,21,FALSE),0)</f>
        <v>0</v>
      </c>
      <c r="AW161" s="309">
        <f>_xlfn.IFNA((VLOOKUP($A161,HN!$A:$BS,15,FALSE)/12),0)</f>
        <v>0</v>
      </c>
      <c r="AX161" s="308">
        <f t="shared" si="144"/>
        <v>-882.37333333333333</v>
      </c>
      <c r="AY161" s="308">
        <f t="shared" si="145"/>
        <v>-1743.3225</v>
      </c>
      <c r="AZ161" s="309"/>
      <c r="BA161" s="309">
        <f>_xlfn.IFNA(VLOOKUP($A161,'Cash Advances'!$A:$S,10,FALSE),0)</f>
        <v>0</v>
      </c>
      <c r="BB161" s="308">
        <f t="shared" si="134"/>
        <v>213855.1832035461</v>
      </c>
      <c r="BC161" s="330">
        <f t="shared" si="146"/>
        <v>216480.87903687943</v>
      </c>
      <c r="BD161" s="330"/>
      <c r="BE161" s="331"/>
      <c r="BF161" s="331">
        <f>_xlfn.IFNA((VLOOKUP($A161,HN!$A:$K,8,FALSE)/12),0)</f>
        <v>0</v>
      </c>
      <c r="BG161" s="331">
        <f>_xlfn.IFNA((VLOOKUP($A161,HN!$A:$BS,14,FALSE)/12),0)</f>
        <v>0</v>
      </c>
      <c r="BH161" s="331">
        <f>_xlfn.IFNA(VLOOKUP($A161,'Post 16'!$A:$V,21,FALSE),0)/4</f>
        <v>0</v>
      </c>
      <c r="BI161" s="331"/>
      <c r="BJ161" s="331">
        <f>_xlfn.IFNA((VLOOKUP($A161,HN!$A:$K,9,FALSE)/12),0)+_xlfn.IFNA((VLOOKUP($A161,HN!$A:$K,10,FALSE)/12),0)</f>
        <v>0</v>
      </c>
      <c r="BK161" s="331">
        <f>_xlfn.IFNA((VLOOKUP($A161,HN!$A:$BS,15,FALSE)/12),0)</f>
        <v>0</v>
      </c>
      <c r="BL161" s="330">
        <f t="shared" si="147"/>
        <v>-882.37333333333333</v>
      </c>
      <c r="BM161" s="330">
        <f t="shared" si="148"/>
        <v>-1743.3225</v>
      </c>
      <c r="BN161" s="331"/>
      <c r="BO161" s="331">
        <f>_xlfn.IFNA(VLOOKUP(A161,'Cash Advances'!A:K,11,FALSE),0)</f>
        <v>0</v>
      </c>
      <c r="BP161" s="330">
        <f t="shared" si="135"/>
        <v>213855.1832035461</v>
      </c>
      <c r="BQ161" s="322">
        <f t="shared" si="149"/>
        <v>216480.87903687943</v>
      </c>
      <c r="BR161" s="322"/>
      <c r="BS161" s="323"/>
      <c r="BT161" s="323">
        <f>_xlfn.IFNA((VLOOKUP($A161,HN!$A:$K,8,FALSE)/12),0)</f>
        <v>0</v>
      </c>
      <c r="BU161" s="323">
        <f>_xlfn.IFNA((VLOOKUP($A161,HN!$A:$BS,14,FALSE)/12),0)</f>
        <v>0</v>
      </c>
      <c r="BV161" s="323">
        <f>(_xlfn.IFNA(VLOOKUP($A161,'Post 16'!$A:$AV,32,FALSE),0)/8)+_xlfn.IFNA(VLOOKUP($A161,'Post 16'!$A:$AR,40,FALSE),0)</f>
        <v>0</v>
      </c>
      <c r="BW161" s="323"/>
      <c r="BX161" s="323">
        <f>_xlfn.IFNA((VLOOKUP($A161,HN!$A:$K,9,FALSE)/12),0)+_xlfn.IFNA((VLOOKUP($A161,HN!$A:$K,10,FALSE)/12),0)</f>
        <v>0</v>
      </c>
      <c r="BY161" s="323">
        <f>_xlfn.IFNA((VLOOKUP($A161,HN!$A:$BS,15,FALSE)/12),0)</f>
        <v>0</v>
      </c>
      <c r="BZ161" s="322">
        <f t="shared" si="150"/>
        <v>-882.37333333333333</v>
      </c>
      <c r="CA161" s="322">
        <f t="shared" si="151"/>
        <v>-1743.3225</v>
      </c>
      <c r="CB161" s="323"/>
      <c r="CC161" s="323"/>
      <c r="CD161" s="322">
        <f t="shared" si="136"/>
        <v>213855.1832035461</v>
      </c>
      <c r="CE161" s="357">
        <f t="shared" si="152"/>
        <v>216480.87903687943</v>
      </c>
      <c r="CF161" s="357">
        <f>(VLOOKUP($A161,EY!$A:$BS,26,FALSE)-(VLOOKUP($A161,EY!A:CR,24,FALSE)*80%))+VLOOKUP($A161,EY!$A:$BS,42,FALSE)+(VLOOKUP($A161,EY!A:CC,74,FALSE)-VLOOKUP($A161,EY!A:CC,72,FALSE))</f>
        <v>31025.813684210527</v>
      </c>
      <c r="CG161" s="358"/>
      <c r="CH161" s="358">
        <f>_xlfn.IFNA((VLOOKUP($A161,HN!$A:$K,8,FALSE)/12),0)</f>
        <v>0</v>
      </c>
      <c r="CI161" s="358">
        <f>_xlfn.IFNA((VLOOKUP($A161,HN!$A:$BS,14,FALSE)/12),0)</f>
        <v>0</v>
      </c>
      <c r="CJ161" s="358">
        <f>(_xlfn.IFNA(VLOOKUP($A161,'Post 16'!$A:$AV,32,FALSE),0)/8)</f>
        <v>0</v>
      </c>
      <c r="CK161" s="358">
        <f>(VLOOKUP($A161,EY!A:CR,24,FALSE)*80%)+VLOOKUP($A161,EY!A:CC,72,FALSE)</f>
        <v>320.89</v>
      </c>
      <c r="CL161" s="358">
        <f>_xlfn.IFNA((VLOOKUP($A161,HN!$A:$K,9,FALSE)/12),0)+_xlfn.IFNA((VLOOKUP($A161,HN!$A:$K,10,FALSE)/12),0)</f>
        <v>0</v>
      </c>
      <c r="CM161" s="358">
        <f>_xlfn.IFNA((VLOOKUP($A161,HN!$A:$BS,15,FALSE)/12),0)</f>
        <v>0</v>
      </c>
      <c r="CN161" s="357">
        <f t="shared" si="153"/>
        <v>-882.37333333333333</v>
      </c>
      <c r="CO161" s="357">
        <f t="shared" si="154"/>
        <v>-1743.3225</v>
      </c>
      <c r="CP161" s="358">
        <f>_xlfn.IFNA(VLOOKUP(A161,'LA Deductions'!A:W,23,FALSE),0)</f>
        <v>-9471</v>
      </c>
      <c r="CQ161" s="358">
        <f>_xlfn.IFNA(VLOOKUP($A161,'Cash Advances'!$A:$S,13,FALSE),0)</f>
        <v>0</v>
      </c>
      <c r="CR161" s="358">
        <f>_xlfn.IFNA(VLOOKUP(A161,'LA Deductions'!A:AZ,25,FALSE),0)/9*3</f>
        <v>0</v>
      </c>
      <c r="CS161" s="357">
        <f t="shared" si="173"/>
        <v>235730.88688775664</v>
      </c>
      <c r="CT161" s="337">
        <f t="shared" si="155"/>
        <v>216480.87903687943</v>
      </c>
      <c r="CU161" s="337"/>
      <c r="CV161" s="338">
        <f>_xlfn.IFNA(VLOOKUP(A161,'LA Deductions'!$A$6:$AN$207,34,FALSE),0)</f>
        <v>0</v>
      </c>
      <c r="CW161" s="338">
        <f>_xlfn.IFNA((VLOOKUP($A161,HN!$A:$K,8,FALSE)/12),0)</f>
        <v>0</v>
      </c>
      <c r="CX161" s="338">
        <f>_xlfn.IFNA((VLOOKUP($A161,HN!$A:$BS,14,FALSE)/12),0)</f>
        <v>0</v>
      </c>
      <c r="CY161" s="338">
        <f>_xlfn.IFNA(VLOOKUP($A161,'Post 16'!$A:$AV,32,FALSE),0)/8</f>
        <v>0</v>
      </c>
      <c r="CZ161" s="338"/>
      <c r="DA161" s="338">
        <f>_xlfn.IFNA((VLOOKUP($A161,HN!$A:$K,9,FALSE)/12),0)+_xlfn.IFNA((VLOOKUP($A161,HN!$A:$K,10,FALSE)/12),0)</f>
        <v>0</v>
      </c>
      <c r="DB161" s="338">
        <f>_xlfn.IFNA((VLOOKUP($A161,HN!$A:$BS,15,FALSE)/12),0)</f>
        <v>0</v>
      </c>
      <c r="DC161" s="337">
        <f t="shared" si="156"/>
        <v>-882.37333333333333</v>
      </c>
      <c r="DD161" s="337">
        <f t="shared" si="157"/>
        <v>-1743.3225</v>
      </c>
      <c r="DE161" s="338"/>
      <c r="DF161" s="338">
        <f>_xlfn.IFNA(VLOOKUP($A161,'Cash Advances'!$A:$S,14,FALSE),0)</f>
        <v>0</v>
      </c>
      <c r="DG161" s="338">
        <f>(_xlfn.IFNA(VLOOKUP(A161,'LA Deductions'!A:AZ,25,FALSE),0)/9)+(_xlfn.IFNA(VLOOKUP(A161,'LA Deductions'!A:AZ,26,FALSE),0))</f>
        <v>0</v>
      </c>
      <c r="DH161" s="337">
        <f t="shared" si="174"/>
        <v>213855.1832035461</v>
      </c>
      <c r="DI161" s="330">
        <f t="shared" si="158"/>
        <v>216480.87903687943</v>
      </c>
      <c r="DJ161" s="330"/>
      <c r="DK161" s="331"/>
      <c r="DL161" s="331">
        <f>_xlfn.IFNA((VLOOKUP($A161,HN!$A:$K,8,FALSE)/12),0)+_xlfn.IFNA((VLOOKUP($A161,HN!$A:$AF,32,FALSE)*8/12),0)</f>
        <v>0</v>
      </c>
      <c r="DM161" s="331">
        <f>_xlfn.IFNA((VLOOKUP($A161,HN!$A:$BS,14,FALSE)/12),0)+_xlfn.IFNA(VLOOKUP($A161,HN!$A:$BS,31,FALSE),0)</f>
        <v>0</v>
      </c>
      <c r="DN161" s="331">
        <f>_xlfn.IFNA(VLOOKUP($A161,'Post 16'!$A:$AV,32,FALSE),0)/8</f>
        <v>0</v>
      </c>
      <c r="DO161" s="331"/>
      <c r="DP161" s="331">
        <f>_xlfn.IFNA((VLOOKUP($A161,HN!$A:$K,9,FALSE)/12),0)+_xlfn.IFNA((VLOOKUP($A161,HN!$A:$K,10,FALSE)/12),0)+_xlfn.IFNA((VLOOKUP($A161,HN!$A:$BZ,33,FALSE)*8/12),0)</f>
        <v>0</v>
      </c>
      <c r="DQ161" s="331">
        <f>_xlfn.IFNA((VLOOKUP($A161,HN!$A:$BS,15,FALSE)/12),0)</f>
        <v>0</v>
      </c>
      <c r="DR161" s="330">
        <f t="shared" si="159"/>
        <v>-882.37333333333333</v>
      </c>
      <c r="DS161" s="330">
        <f t="shared" si="160"/>
        <v>-1743.3225</v>
      </c>
      <c r="DT161" s="331"/>
      <c r="DU161" s="331"/>
      <c r="DV161" s="331">
        <f>(_xlfn.IFNA(VLOOKUP(A161,'LA Deductions'!A:AZ,25,FALSE),0)/9)+_xlfn.IFNA(VLOOKUP(A161,'LA Deductions'!A:AZ,27,FALSE),0)</f>
        <v>0</v>
      </c>
      <c r="DW161" s="330">
        <f t="shared" si="175"/>
        <v>213855.1832035461</v>
      </c>
      <c r="DX161" s="344">
        <f t="shared" si="161"/>
        <v>216480.87903687943</v>
      </c>
      <c r="DY161" s="344"/>
      <c r="DZ161" s="345"/>
      <c r="EA161" s="345">
        <f>_xlfn.IFNA((VLOOKUP($A161,HN!$A:$K,8,FALSE)/12),0)+_xlfn.IFNA((VLOOKUP($A161,HN!$A:$AF,32,FALSE)*1/12),0)</f>
        <v>0</v>
      </c>
      <c r="EB161" s="345">
        <f>_xlfn.IFNA((VLOOKUP($A161,HN!$A:$BS,14,FALSE)/12),0)</f>
        <v>0</v>
      </c>
      <c r="EC161" s="345">
        <f>_xlfn.IFNA(VLOOKUP($A161,'Post 16'!$A:$AV,32,FALSE),0)/8</f>
        <v>0</v>
      </c>
      <c r="ED161" s="345"/>
      <c r="EE161" s="345">
        <f>_xlfn.IFNA((VLOOKUP($A161,HN!$A:$K,9,FALSE)/12),0)+_xlfn.IFNA((VLOOKUP($A161,HN!$A:$K,10,FALSE)/12),0)+_xlfn.IFNA((VLOOKUP($A161,HN!$A:$BZ,33,FALSE)/12),0)</f>
        <v>0</v>
      </c>
      <c r="EF161" s="345">
        <f>_xlfn.IFNA((VLOOKUP($A161,HN!$A:$BS,15,FALSE)/12),0)</f>
        <v>0</v>
      </c>
      <c r="EG161" s="344">
        <f t="shared" si="162"/>
        <v>-882.37333333333333</v>
      </c>
      <c r="EH161" s="344">
        <f t="shared" si="163"/>
        <v>-1743.3225</v>
      </c>
      <c r="EI161" s="345"/>
      <c r="EJ161" s="345">
        <f>_xlfn.IFNA(VLOOKUP(A161,'Cash Advances'!A:P,16,FALSE),0)</f>
        <v>0</v>
      </c>
      <c r="EK161" s="345">
        <f>_xlfn.IFNA(VLOOKUP(A161,'LA Deductions'!A:AZ,25,FALSE),0)/9</f>
        <v>0</v>
      </c>
      <c r="EL161" s="344">
        <f t="shared" si="176"/>
        <v>213855.1832035461</v>
      </c>
      <c r="EM161" s="308">
        <f t="shared" si="164"/>
        <v>216480.87903687943</v>
      </c>
      <c r="EN161" s="308">
        <f>((VLOOKUP($A161,EY!$A:$BS,35,FALSE)-(VLOOKUP($A161,EY!$A:$BS,33,FALSE)*80%))+VLOOKUP($A161,EY!$A:$BS,43,FALSE))+(VLOOKUP(A161,EY!A:DF,110,FALSE)-VLOOKUP(A161,EY!A:DD,108,FALSE))+(VLOOKUP(A161,EY!A:CE,83,FALSE)-VLOOKUP(A161,EY!A:CC,81,FALSE))</f>
        <v>75905.166814404438</v>
      </c>
      <c r="EO161" s="309"/>
      <c r="EP161" s="309">
        <f>_xlfn.IFNA((VLOOKUP($A161,HN!$A:$K,8,FALSE)/12),0)+_xlfn.IFNA((VLOOKUP($A161,HN!$A:$AF,32,FALSE)*1/12),0)</f>
        <v>0</v>
      </c>
      <c r="EQ161" s="309">
        <f>_xlfn.IFNA((VLOOKUP($A161,HN!$A:$BS,14,FALSE)/12),0)+_xlfn.IFNA((VLOOKUP($A161,HN!$A:$BS,34,FALSE)/3),0)</f>
        <v>0</v>
      </c>
      <c r="ER161" s="309">
        <f>_xlfn.IFNA(VLOOKUP($A161,'Post 16'!$A:$AV,32,FALSE),0)/8</f>
        <v>0</v>
      </c>
      <c r="ES161" s="309">
        <f>((VLOOKUP($A161,EY!A:EV,33,FALSE)*80%))+VLOOKUP(A161,EY!A:DD,108,FALSE)+VLOOKUP(A161,EY!A:CC,81,FALSE)</f>
        <v>1555.1100000000001</v>
      </c>
      <c r="ET161" s="309">
        <f>_xlfn.IFNA((VLOOKUP($A161,HN!$A:$K,9,FALSE)/12),0)+_xlfn.IFNA((VLOOKUP($A161,HN!$A:$K,10,FALSE)/12),0)+_xlfn.IFNA((VLOOKUP($A161,HN!$A:$BZ,33,FALSE)/12),0)</f>
        <v>0</v>
      </c>
      <c r="EU161" s="309">
        <f>_xlfn.IFNA((VLOOKUP($A161,HN!$A:$BS,15,FALSE)/12),0)</f>
        <v>0</v>
      </c>
      <c r="EV161" s="308">
        <f t="shared" si="165"/>
        <v>-882.37333333333333</v>
      </c>
      <c r="EW161" s="308">
        <f t="shared" si="166"/>
        <v>-1743.3225</v>
      </c>
      <c r="EX161" s="309"/>
      <c r="EY161" s="309">
        <f>_xlfn.IFNA(VLOOKUP($A161,'Cash Advances'!$A:$S,17,FALSE),0)</f>
        <v>0</v>
      </c>
      <c r="EZ161" s="309">
        <f>_xlfn.IFNA(VLOOKUP(A161,'LA Deductions'!A:AZ,25,FALSE),0)/9</f>
        <v>0</v>
      </c>
      <c r="FA161" s="308">
        <f t="shared" si="177"/>
        <v>291315.46001795051</v>
      </c>
      <c r="FB161" s="315">
        <f t="shared" si="167"/>
        <v>216480.87903687943</v>
      </c>
      <c r="FC161" s="315"/>
      <c r="FD161" s="316"/>
      <c r="FE161" s="316">
        <f>_xlfn.IFNA((VLOOKUP($A161,HN!$A:$K,8,FALSE)/12),0)+_xlfn.IFNA((VLOOKUP($A161,HN!$A:$AF,32,FALSE)*1/12),0)</f>
        <v>0</v>
      </c>
      <c r="FF161" s="316">
        <f>_xlfn.IFNA((VLOOKUP($A161,HN!$A:$BS,14,FALSE)/12),0)+_xlfn.IFNA((VLOOKUP($A161,HN!$A:$BS,34,FALSE)/3),0)</f>
        <v>0</v>
      </c>
      <c r="FG161" s="316">
        <f>_xlfn.IFNA(VLOOKUP($A161,'Post 16'!$A:$AV,32,FALSE),0)/8</f>
        <v>0</v>
      </c>
      <c r="FH161" s="316"/>
      <c r="FI161" s="316">
        <f>_xlfn.IFNA((VLOOKUP($A161,HN!$A:$K,9,FALSE)/12),0)+_xlfn.IFNA((VLOOKUP($A161,HN!$A:$K,10,FALSE)/12),0)+_xlfn.IFNA((VLOOKUP($A161,HN!$A:$BZ,33,FALSE)/12),0)+_xlfn.IFNA((VLOOKUP($A161,HN!$A:$BZ,35,FALSE)/2),0)</f>
        <v>0</v>
      </c>
      <c r="FJ161" s="316">
        <f>_xlfn.IFNA((VLOOKUP($A161,HN!$A:$BS,15,FALSE)/12),0)+_xlfn.IFNA((VLOOKUP($A161,HN!$A:$CZ,36,FALSE)/2),0)</f>
        <v>0</v>
      </c>
      <c r="FK161" s="315">
        <f t="shared" si="168"/>
        <v>-882.37333333333333</v>
      </c>
      <c r="FL161" s="315">
        <f t="shared" si="169"/>
        <v>-1743.3225</v>
      </c>
      <c r="FM161" s="316"/>
      <c r="FN161" s="316">
        <f>_xlfn.IFNA(VLOOKUP($A161,'Cash Advances'!$A:$S,18,FALSE),0)</f>
        <v>0</v>
      </c>
      <c r="FO161" s="316">
        <f>_xlfn.IFNA(VLOOKUP(A161,'LA Deductions'!A:AZ,25,FALSE),0)/9</f>
        <v>0</v>
      </c>
      <c r="FP161" s="315">
        <f t="shared" si="178"/>
        <v>213855.1832035461</v>
      </c>
      <c r="FQ161" s="322">
        <f t="shared" si="170"/>
        <v>216480.87903687943</v>
      </c>
      <c r="FR161" s="322"/>
      <c r="FS161" s="323"/>
      <c r="FT161" s="323">
        <f>_xlfn.IFNA((VLOOKUP($A161,HN!$A:$K,8,FALSE)/12),0)+_xlfn.IFNA((VLOOKUP($A161,HN!$A:$AF,32,FALSE)*1/12),0)</f>
        <v>0</v>
      </c>
      <c r="FU161" s="323">
        <f>_xlfn.IFNA((VLOOKUP($A161,HN!$A:$BS,14,FALSE)/12),0)+_xlfn.IFNA((VLOOKUP($A161,HN!$A:$BS,34,FALSE)/3),0)</f>
        <v>0</v>
      </c>
      <c r="FV161" s="323">
        <f>_xlfn.IFNA(VLOOKUP($A161,'Post 16'!$A:$AV,32,FALSE),0)/8</f>
        <v>0</v>
      </c>
      <c r="FW161" s="323"/>
      <c r="FX161" s="323">
        <f>_xlfn.IFNA((VLOOKUP($A161,HN!$A:$K,9,FALSE)/12),0)+_xlfn.IFNA((VLOOKUP($A161,HN!$A:$K,10,FALSE)/12),0)+_xlfn.IFNA((VLOOKUP($A161,HN!$A:$BZ,33,FALSE)/12),0)+_xlfn.IFNA((VLOOKUP($A161,HN!$A:$BZ,35,FALSE)/2),0)</f>
        <v>0</v>
      </c>
      <c r="FY161" s="323">
        <f>_xlfn.IFNA((VLOOKUP($A161,HN!$A:$BS,15,FALSE)/12),0)+_xlfn.IFNA((VLOOKUP($A161,HN!$A:$CZ,36,FALSE)/2),0)</f>
        <v>0</v>
      </c>
      <c r="FZ161" s="322">
        <f t="shared" si="171"/>
        <v>-882.37333333333333</v>
      </c>
      <c r="GA161" s="322">
        <f t="shared" si="172"/>
        <v>-1743.3225</v>
      </c>
      <c r="GB161" s="323"/>
      <c r="GC161" s="323"/>
      <c r="GD161" s="323">
        <f>_xlfn.IFNA(VLOOKUP(A161,'LA Deductions'!A:AZ,25,FALSE),0)/9</f>
        <v>0</v>
      </c>
      <c r="GE161" s="322">
        <f t="shared" si="179"/>
        <v>213855.1832035461</v>
      </c>
      <c r="GG161" s="146">
        <f t="shared" si="184"/>
        <v>2766991.7815727475</v>
      </c>
      <c r="GH161" s="146">
        <f t="shared" si="184"/>
        <v>0</v>
      </c>
      <c r="GI161" s="146">
        <f t="shared" si="184"/>
        <v>1876</v>
      </c>
      <c r="GJ161" s="146">
        <f t="shared" si="184"/>
        <v>-10588.479999999998</v>
      </c>
      <c r="GK161" s="146">
        <f t="shared" si="184"/>
        <v>-20919.869999999995</v>
      </c>
      <c r="GL161" s="146">
        <f t="shared" si="184"/>
        <v>-9471</v>
      </c>
      <c r="GN161" s="146">
        <f t="shared" si="185"/>
        <v>2766991.7815727475</v>
      </c>
      <c r="GO161" s="146">
        <f t="shared" si="185"/>
        <v>0</v>
      </c>
      <c r="GP161" s="146">
        <f t="shared" si="185"/>
        <v>1876</v>
      </c>
      <c r="GQ161" s="146">
        <f t="shared" si="185"/>
        <v>-10588.479999999998</v>
      </c>
      <c r="GR161" s="146">
        <f t="shared" si="185"/>
        <v>-20919.869999999995</v>
      </c>
      <c r="GS161" s="146">
        <f t="shared" si="185"/>
        <v>-9471</v>
      </c>
      <c r="GU161" s="146"/>
      <c r="GV161" s="57"/>
    </row>
    <row r="162" spans="1:204">
      <c r="A162" s="185">
        <v>2231</v>
      </c>
      <c r="B162" s="185">
        <v>103284</v>
      </c>
      <c r="C162" s="185" t="s">
        <v>352</v>
      </c>
      <c r="D162" s="2" t="s">
        <v>353</v>
      </c>
      <c r="E162" s="191" t="s">
        <v>32</v>
      </c>
      <c r="F162" s="191" t="s">
        <v>912</v>
      </c>
      <c r="H162" s="279">
        <f>_xlfn.IFNA(VLOOKUP($A162,ISB!$A$4:$BY$454,67,FALSE),0)</f>
        <v>2472611.0307589541</v>
      </c>
      <c r="I162" s="279">
        <f>_xlfn.IFNA(VLOOKUP($A162,ISB!$A$4:$BY$454,72,FALSE),0)</f>
        <v>-11188.32</v>
      </c>
      <c r="J162" s="279">
        <f>-_xlfn.IFNA(VLOOKUP($A162,ISB!$A$4:$BY$454,76,FALSE),0)</f>
        <v>-25697.86</v>
      </c>
      <c r="K162" s="279">
        <f>_xlfn.IFNA(VLOOKUP($A162,ISB!$A$4:$BY$454,77,FALSE),0)</f>
        <v>2435724.8507589544</v>
      </c>
      <c r="M162" s="301">
        <f t="shared" si="137"/>
        <v>206050.91922991283</v>
      </c>
      <c r="N162" s="301">
        <f>VLOOKUP($A162,EY!$A:$H,8,FALSE)+(VLOOKUP($A162,EY!$A:$BS,17,FALSE)-S162)+VLOOKUP($A162,EY!$A:$BS,41,FALSE)</f>
        <v>43318.080000000002</v>
      </c>
      <c r="O162" s="302"/>
      <c r="P162" s="302">
        <f>_xlfn.IFNA((VLOOKUP($A162,HN!$A:$K,8,FALSE)/12),0)</f>
        <v>0</v>
      </c>
      <c r="Q162" s="302">
        <f>_xlfn.IFNA((VLOOKUP($A162,HN!$A:$BS,14,FALSE)/12),0)</f>
        <v>0</v>
      </c>
      <c r="R162" s="302">
        <f>_xlfn.IFNA(VLOOKUP($A162,'Post 16'!$A:$V,21,FALSE),0)/4</f>
        <v>0</v>
      </c>
      <c r="S162" s="302">
        <f>VLOOKUP($A162,EY!A:Q,15,FALSE)*80%</f>
        <v>0</v>
      </c>
      <c r="T162" s="302">
        <f>_xlfn.IFNA((VLOOKUP($A162,HN!$A:$K,9,FALSE)/12),0)+_xlfn.IFNA((VLOOKUP($A162,HN!$A:$K,10,FALSE)/12),0)</f>
        <v>0</v>
      </c>
      <c r="U162" s="302">
        <f>_xlfn.IFNA((VLOOKUP($A162,HN!$A:$BS,15,FALSE)/12),0)</f>
        <v>0</v>
      </c>
      <c r="V162" s="301">
        <f t="shared" si="138"/>
        <v>-932.36</v>
      </c>
      <c r="W162" s="301">
        <f t="shared" si="139"/>
        <v>-2141.4883333333332</v>
      </c>
      <c r="X162" s="302"/>
      <c r="Y162" s="302">
        <f>_xlfn.IFNA(VLOOKUP($A162,'Cash Advances'!$A:$S,8,FALSE),0)</f>
        <v>0</v>
      </c>
      <c r="Z162" s="301">
        <f t="shared" ref="Z162:Z193" si="186">SUM(M162:Y162)</f>
        <v>246295.15089657949</v>
      </c>
      <c r="AA162" s="315">
        <f t="shared" si="140"/>
        <v>206050.91922991283</v>
      </c>
      <c r="AB162" s="315"/>
      <c r="AC162" s="316"/>
      <c r="AD162" s="316">
        <f>_xlfn.IFNA((VLOOKUP($A162,HN!$A:$K,8,FALSE)/12),0)</f>
        <v>0</v>
      </c>
      <c r="AE162" s="316">
        <f>_xlfn.IFNA((VLOOKUP($A162,HN!$A:$BS,14,FALSE)/12),0)</f>
        <v>0</v>
      </c>
      <c r="AF162" s="316">
        <f>_xlfn.IFNA(VLOOKUP($A162,'Post 16'!$A:$V,21,FALSE),0)/4</f>
        <v>0</v>
      </c>
      <c r="AG162" s="316"/>
      <c r="AH162" s="316">
        <f>_xlfn.IFNA((VLOOKUP($A162,HN!$A:$K,9,FALSE)/12),0)+_xlfn.IFNA((VLOOKUP($A162,HN!$A:$K,10,FALSE)/12),0)</f>
        <v>0</v>
      </c>
      <c r="AI162" s="316">
        <f>_xlfn.IFNA((VLOOKUP($A162,HN!$A:$BS,15,FALSE)/12),0)</f>
        <v>0</v>
      </c>
      <c r="AJ162" s="315">
        <f t="shared" si="141"/>
        <v>-932.36</v>
      </c>
      <c r="AK162" s="315">
        <f t="shared" si="142"/>
        <v>-2141.4883333333332</v>
      </c>
      <c r="AL162" s="316"/>
      <c r="AM162" s="316">
        <f>_xlfn.IFNA(VLOOKUP($A162,'Cash Advances'!$A:$S,9,FALSE),0)</f>
        <v>0</v>
      </c>
      <c r="AN162" s="315">
        <f t="shared" ref="AN162:AN193" si="187">SUM(AA162:AM162)</f>
        <v>202977.07089657951</v>
      </c>
      <c r="AO162" s="308">
        <f t="shared" si="143"/>
        <v>206050.91922991283</v>
      </c>
      <c r="AP162" s="308"/>
      <c r="AQ162" s="309"/>
      <c r="AR162" s="309">
        <f>_xlfn.IFNA((VLOOKUP($A162,HN!$A:$K,8,FALSE)/12),0)</f>
        <v>0</v>
      </c>
      <c r="AS162" s="309">
        <f>_xlfn.IFNA((VLOOKUP($A162,HN!$A:$BS,14,FALSE)/12),0)</f>
        <v>0</v>
      </c>
      <c r="AT162" s="309">
        <f>_xlfn.IFNA(VLOOKUP($A162,'Post 16'!$A:$V,21,FALSE),0)/4</f>
        <v>0</v>
      </c>
      <c r="AU162" s="309"/>
      <c r="AV162" s="309">
        <f>_xlfn.IFNA((VLOOKUP($A162,HN!$A:$K,9,FALSE)/12),0)+_xlfn.IFNA((VLOOKUP($A162,HN!$A:$K,10,FALSE)/12),0)+_xlfn.IFNA(VLOOKUP(A162,HN!A:V,19,FALSE),0)+_xlfn.IFNA(VLOOKUP(A162,HN!A:V,20,FALSE),0)+_xlfn.IFNA(VLOOKUP(A162,HN!A:V,21,FALSE),0)</f>
        <v>0</v>
      </c>
      <c r="AW162" s="309">
        <f>_xlfn.IFNA((VLOOKUP($A162,HN!$A:$BS,15,FALSE)/12),0)</f>
        <v>0</v>
      </c>
      <c r="AX162" s="308">
        <f t="shared" si="144"/>
        <v>-932.36</v>
      </c>
      <c r="AY162" s="308">
        <f t="shared" si="145"/>
        <v>-2141.4883333333332</v>
      </c>
      <c r="AZ162" s="309"/>
      <c r="BA162" s="309">
        <f>_xlfn.IFNA(VLOOKUP($A162,'Cash Advances'!$A:$S,10,FALSE),0)</f>
        <v>0</v>
      </c>
      <c r="BB162" s="308">
        <f t="shared" ref="BB162:BB193" si="188">SUM(AO162:BA162)</f>
        <v>202977.07089657951</v>
      </c>
      <c r="BC162" s="330">
        <f t="shared" si="146"/>
        <v>206050.91922991283</v>
      </c>
      <c r="BD162" s="330"/>
      <c r="BE162" s="331"/>
      <c r="BF162" s="331">
        <f>_xlfn.IFNA((VLOOKUP($A162,HN!$A:$K,8,FALSE)/12),0)</f>
        <v>0</v>
      </c>
      <c r="BG162" s="331">
        <f>_xlfn.IFNA((VLOOKUP($A162,HN!$A:$BS,14,FALSE)/12),0)</f>
        <v>0</v>
      </c>
      <c r="BH162" s="331">
        <f>_xlfn.IFNA(VLOOKUP($A162,'Post 16'!$A:$V,21,FALSE),0)/4</f>
        <v>0</v>
      </c>
      <c r="BI162" s="331"/>
      <c r="BJ162" s="331">
        <f>_xlfn.IFNA((VLOOKUP($A162,HN!$A:$K,9,FALSE)/12),0)+_xlfn.IFNA((VLOOKUP($A162,HN!$A:$K,10,FALSE)/12),0)</f>
        <v>0</v>
      </c>
      <c r="BK162" s="331">
        <f>_xlfn.IFNA((VLOOKUP($A162,HN!$A:$BS,15,FALSE)/12),0)</f>
        <v>0</v>
      </c>
      <c r="BL162" s="330">
        <f t="shared" si="147"/>
        <v>-932.36</v>
      </c>
      <c r="BM162" s="330">
        <f t="shared" si="148"/>
        <v>-2141.4883333333332</v>
      </c>
      <c r="BN162" s="331"/>
      <c r="BO162" s="331">
        <f>_xlfn.IFNA(VLOOKUP(A162,'Cash Advances'!A:K,11,FALSE),0)</f>
        <v>0</v>
      </c>
      <c r="BP162" s="330">
        <f t="shared" ref="BP162:BP193" si="189">SUM(BC162:BO162)</f>
        <v>202977.07089657951</v>
      </c>
      <c r="BQ162" s="322">
        <f t="shared" si="149"/>
        <v>206050.91922991283</v>
      </c>
      <c r="BR162" s="322"/>
      <c r="BS162" s="323"/>
      <c r="BT162" s="323">
        <f>_xlfn.IFNA((VLOOKUP($A162,HN!$A:$K,8,FALSE)/12),0)</f>
        <v>0</v>
      </c>
      <c r="BU162" s="323">
        <f>_xlfn.IFNA((VLOOKUP($A162,HN!$A:$BS,14,FALSE)/12),0)</f>
        <v>0</v>
      </c>
      <c r="BV162" s="323">
        <f>(_xlfn.IFNA(VLOOKUP($A162,'Post 16'!$A:$AV,32,FALSE),0)/8)+_xlfn.IFNA(VLOOKUP($A162,'Post 16'!$A:$AR,40,FALSE),0)</f>
        <v>0</v>
      </c>
      <c r="BW162" s="323"/>
      <c r="BX162" s="323">
        <f>_xlfn.IFNA((VLOOKUP($A162,HN!$A:$K,9,FALSE)/12),0)+_xlfn.IFNA((VLOOKUP($A162,HN!$A:$K,10,FALSE)/12),0)</f>
        <v>0</v>
      </c>
      <c r="BY162" s="323">
        <f>_xlfn.IFNA((VLOOKUP($A162,HN!$A:$BS,15,FALSE)/12),0)</f>
        <v>0</v>
      </c>
      <c r="BZ162" s="322">
        <f t="shared" si="150"/>
        <v>-932.36</v>
      </c>
      <c r="CA162" s="322">
        <f t="shared" si="151"/>
        <v>-2141.4883333333332</v>
      </c>
      <c r="CB162" s="323"/>
      <c r="CC162" s="323"/>
      <c r="CD162" s="322">
        <f t="shared" ref="CD162:CD193" si="190">SUM(BQ162:CC162)</f>
        <v>202977.07089657951</v>
      </c>
      <c r="CE162" s="357">
        <f t="shared" si="152"/>
        <v>206050.91922991283</v>
      </c>
      <c r="CF162" s="357">
        <f>(VLOOKUP($A162,EY!$A:$BS,26,FALSE)-(VLOOKUP($A162,EY!A:CR,24,FALSE)*80%))+VLOOKUP($A162,EY!$A:$BS,42,FALSE)+(VLOOKUP($A162,EY!A:CC,74,FALSE)-VLOOKUP($A162,EY!A:CC,72,FALSE))</f>
        <v>25250.705999999998</v>
      </c>
      <c r="CG162" s="358"/>
      <c r="CH162" s="358">
        <f>_xlfn.IFNA((VLOOKUP($A162,HN!$A:$K,8,FALSE)/12),0)</f>
        <v>0</v>
      </c>
      <c r="CI162" s="358">
        <f>_xlfn.IFNA((VLOOKUP($A162,HN!$A:$BS,14,FALSE)/12),0)</f>
        <v>0</v>
      </c>
      <c r="CJ162" s="358">
        <f>(_xlfn.IFNA(VLOOKUP($A162,'Post 16'!$A:$AV,32,FALSE),0)/8)</f>
        <v>0</v>
      </c>
      <c r="CK162" s="358">
        <f>(VLOOKUP($A162,EY!A:CR,24,FALSE)*80%)+VLOOKUP($A162,EY!A:CC,72,FALSE)</f>
        <v>0</v>
      </c>
      <c r="CL162" s="358">
        <f>_xlfn.IFNA((VLOOKUP($A162,HN!$A:$K,9,FALSE)/12),0)+_xlfn.IFNA((VLOOKUP($A162,HN!$A:$K,10,FALSE)/12),0)</f>
        <v>0</v>
      </c>
      <c r="CM162" s="358">
        <f>_xlfn.IFNA((VLOOKUP($A162,HN!$A:$BS,15,FALSE)/12),0)</f>
        <v>0</v>
      </c>
      <c r="CN162" s="357">
        <f t="shared" si="153"/>
        <v>-932.36</v>
      </c>
      <c r="CO162" s="357">
        <f t="shared" si="154"/>
        <v>-2141.4883333333332</v>
      </c>
      <c r="CP162" s="358">
        <f>_xlfn.IFNA(VLOOKUP(A162,'LA Deductions'!A:W,23,FALSE),0)</f>
        <v>-9471</v>
      </c>
      <c r="CQ162" s="358">
        <f>_xlfn.IFNA(VLOOKUP($A162,'Cash Advances'!$A:$S,13,FALSE),0)</f>
        <v>0</v>
      </c>
      <c r="CR162" s="358">
        <f>_xlfn.IFNA(VLOOKUP(A162,'LA Deductions'!A:AZ,25,FALSE),0)/9*3</f>
        <v>0</v>
      </c>
      <c r="CS162" s="357">
        <f t="shared" si="173"/>
        <v>218756.77689657951</v>
      </c>
      <c r="CT162" s="337">
        <f t="shared" si="155"/>
        <v>206050.91922991283</v>
      </c>
      <c r="CU162" s="337"/>
      <c r="CV162" s="338">
        <f>_xlfn.IFNA(VLOOKUP(A162,'LA Deductions'!$A$6:$AN$207,34,FALSE),0)</f>
        <v>0</v>
      </c>
      <c r="CW162" s="338">
        <f>_xlfn.IFNA((VLOOKUP($A162,HN!$A:$K,8,FALSE)/12),0)</f>
        <v>0</v>
      </c>
      <c r="CX162" s="338">
        <f>_xlfn.IFNA((VLOOKUP($A162,HN!$A:$BS,14,FALSE)/12),0)</f>
        <v>0</v>
      </c>
      <c r="CY162" s="338">
        <f>_xlfn.IFNA(VLOOKUP($A162,'Post 16'!$A:$AV,32,FALSE),0)/8</f>
        <v>0</v>
      </c>
      <c r="CZ162" s="338"/>
      <c r="DA162" s="338">
        <f>_xlfn.IFNA((VLOOKUP($A162,HN!$A:$K,9,FALSE)/12),0)+_xlfn.IFNA((VLOOKUP($A162,HN!$A:$K,10,FALSE)/12),0)</f>
        <v>0</v>
      </c>
      <c r="DB162" s="338">
        <f>_xlfn.IFNA((VLOOKUP($A162,HN!$A:$BS,15,FALSE)/12),0)</f>
        <v>0</v>
      </c>
      <c r="DC162" s="337">
        <f t="shared" si="156"/>
        <v>-932.36</v>
      </c>
      <c r="DD162" s="337">
        <f t="shared" si="157"/>
        <v>-2141.4883333333332</v>
      </c>
      <c r="DE162" s="338"/>
      <c r="DF162" s="338">
        <f>_xlfn.IFNA(VLOOKUP($A162,'Cash Advances'!$A:$S,14,FALSE),0)</f>
        <v>0</v>
      </c>
      <c r="DG162" s="338">
        <f>(_xlfn.IFNA(VLOOKUP(A162,'LA Deductions'!A:AZ,25,FALSE),0)/9)+(_xlfn.IFNA(VLOOKUP(A162,'LA Deductions'!A:AZ,26,FALSE),0))</f>
        <v>0</v>
      </c>
      <c r="DH162" s="337">
        <f t="shared" si="174"/>
        <v>202977.07089657951</v>
      </c>
      <c r="DI162" s="330">
        <f t="shared" si="158"/>
        <v>206050.91922991283</v>
      </c>
      <c r="DJ162" s="330"/>
      <c r="DK162" s="331"/>
      <c r="DL162" s="331">
        <f>_xlfn.IFNA((VLOOKUP($A162,HN!$A:$K,8,FALSE)/12),0)+_xlfn.IFNA((VLOOKUP($A162,HN!$A:$AF,32,FALSE)*8/12),0)</f>
        <v>0</v>
      </c>
      <c r="DM162" s="331">
        <f>_xlfn.IFNA((VLOOKUP($A162,HN!$A:$BS,14,FALSE)/12),0)+_xlfn.IFNA(VLOOKUP($A162,HN!$A:$BS,31,FALSE),0)</f>
        <v>0</v>
      </c>
      <c r="DN162" s="331">
        <f>_xlfn.IFNA(VLOOKUP($A162,'Post 16'!$A:$AV,32,FALSE),0)/8</f>
        <v>0</v>
      </c>
      <c r="DO162" s="331"/>
      <c r="DP162" s="331">
        <f>_xlfn.IFNA((VLOOKUP($A162,HN!$A:$K,9,FALSE)/12),0)+_xlfn.IFNA((VLOOKUP($A162,HN!$A:$K,10,FALSE)/12),0)+_xlfn.IFNA((VLOOKUP($A162,HN!$A:$BZ,33,FALSE)*8/12),0)</f>
        <v>0</v>
      </c>
      <c r="DQ162" s="331">
        <f>_xlfn.IFNA((VLOOKUP($A162,HN!$A:$BS,15,FALSE)/12),0)</f>
        <v>0</v>
      </c>
      <c r="DR162" s="330">
        <f t="shared" si="159"/>
        <v>-932.36</v>
      </c>
      <c r="DS162" s="330">
        <f t="shared" si="160"/>
        <v>-2141.4883333333332</v>
      </c>
      <c r="DT162" s="331"/>
      <c r="DU162" s="331"/>
      <c r="DV162" s="331">
        <f>(_xlfn.IFNA(VLOOKUP(A162,'LA Deductions'!A:AZ,25,FALSE),0)/9)+_xlfn.IFNA(VLOOKUP(A162,'LA Deductions'!A:AZ,27,FALSE),0)</f>
        <v>0</v>
      </c>
      <c r="DW162" s="330">
        <f t="shared" si="175"/>
        <v>202977.07089657951</v>
      </c>
      <c r="DX162" s="344">
        <f t="shared" si="161"/>
        <v>206050.91922991283</v>
      </c>
      <c r="DY162" s="344"/>
      <c r="DZ162" s="345"/>
      <c r="EA162" s="345">
        <f>_xlfn.IFNA((VLOOKUP($A162,HN!$A:$K,8,FALSE)/12),0)+_xlfn.IFNA((VLOOKUP($A162,HN!$A:$AF,32,FALSE)*1/12),0)</f>
        <v>0</v>
      </c>
      <c r="EB162" s="345">
        <f>_xlfn.IFNA((VLOOKUP($A162,HN!$A:$BS,14,FALSE)/12),0)</f>
        <v>0</v>
      </c>
      <c r="EC162" s="345">
        <f>_xlfn.IFNA(VLOOKUP($A162,'Post 16'!$A:$AV,32,FALSE),0)/8</f>
        <v>0</v>
      </c>
      <c r="ED162" s="345"/>
      <c r="EE162" s="345">
        <f>_xlfn.IFNA((VLOOKUP($A162,HN!$A:$K,9,FALSE)/12),0)+_xlfn.IFNA((VLOOKUP($A162,HN!$A:$K,10,FALSE)/12),0)+_xlfn.IFNA((VLOOKUP($A162,HN!$A:$BZ,33,FALSE)/12),0)</f>
        <v>0</v>
      </c>
      <c r="EF162" s="345">
        <f>_xlfn.IFNA((VLOOKUP($A162,HN!$A:$BS,15,FALSE)/12),0)</f>
        <v>0</v>
      </c>
      <c r="EG162" s="344">
        <f t="shared" si="162"/>
        <v>-932.36</v>
      </c>
      <c r="EH162" s="344">
        <f t="shared" si="163"/>
        <v>-2141.4883333333332</v>
      </c>
      <c r="EI162" s="345"/>
      <c r="EJ162" s="345">
        <f>_xlfn.IFNA(VLOOKUP(A162,'Cash Advances'!A:P,16,FALSE),0)</f>
        <v>0</v>
      </c>
      <c r="EK162" s="345">
        <f>_xlfn.IFNA(VLOOKUP(A162,'LA Deductions'!A:AZ,25,FALSE),0)/9</f>
        <v>0</v>
      </c>
      <c r="EL162" s="344">
        <f t="shared" si="176"/>
        <v>202977.07089657951</v>
      </c>
      <c r="EM162" s="308">
        <f t="shared" si="164"/>
        <v>206050.91922991283</v>
      </c>
      <c r="EN162" s="308">
        <f>((VLOOKUP($A162,EY!$A:$BS,35,FALSE)-(VLOOKUP($A162,EY!$A:$BS,33,FALSE)*80%))+VLOOKUP($A162,EY!$A:$BS,43,FALSE))+(VLOOKUP(A162,EY!A:DF,110,FALSE)-VLOOKUP(A162,EY!A:DD,108,FALSE))+(VLOOKUP(A162,EY!A:CE,83,FALSE)-VLOOKUP(A162,EY!A:CC,81,FALSE))</f>
        <v>34898.812105263161</v>
      </c>
      <c r="EO162" s="309"/>
      <c r="EP162" s="309">
        <f>_xlfn.IFNA((VLOOKUP($A162,HN!$A:$K,8,FALSE)/12),0)+_xlfn.IFNA((VLOOKUP($A162,HN!$A:$AF,32,FALSE)*1/12),0)</f>
        <v>0</v>
      </c>
      <c r="EQ162" s="309">
        <f>_xlfn.IFNA((VLOOKUP($A162,HN!$A:$BS,14,FALSE)/12),0)+_xlfn.IFNA((VLOOKUP($A162,HN!$A:$BS,34,FALSE)/3),0)</f>
        <v>0</v>
      </c>
      <c r="ER162" s="309">
        <f>_xlfn.IFNA(VLOOKUP($A162,'Post 16'!$A:$AV,32,FALSE),0)/8</f>
        <v>0</v>
      </c>
      <c r="ES162" s="309">
        <f>((VLOOKUP($A162,EY!A:EV,33,FALSE)*80%))+VLOOKUP(A162,EY!A:DD,108,FALSE)+VLOOKUP(A162,EY!A:CC,81,FALSE)</f>
        <v>0</v>
      </c>
      <c r="ET162" s="309">
        <f>_xlfn.IFNA((VLOOKUP($A162,HN!$A:$K,9,FALSE)/12),0)+_xlfn.IFNA((VLOOKUP($A162,HN!$A:$K,10,FALSE)/12),0)+_xlfn.IFNA((VLOOKUP($A162,HN!$A:$BZ,33,FALSE)/12),0)</f>
        <v>0</v>
      </c>
      <c r="EU162" s="309">
        <f>_xlfn.IFNA((VLOOKUP($A162,HN!$A:$BS,15,FALSE)/12),0)</f>
        <v>0</v>
      </c>
      <c r="EV162" s="308">
        <f t="shared" si="165"/>
        <v>-932.36</v>
      </c>
      <c r="EW162" s="308">
        <f t="shared" si="166"/>
        <v>-2141.4883333333332</v>
      </c>
      <c r="EX162" s="309"/>
      <c r="EY162" s="309">
        <f>_xlfn.IFNA(VLOOKUP($A162,'Cash Advances'!$A:$S,17,FALSE),0)</f>
        <v>0</v>
      </c>
      <c r="EZ162" s="309">
        <f>_xlfn.IFNA(VLOOKUP(A162,'LA Deductions'!A:AZ,25,FALSE),0)/9</f>
        <v>0</v>
      </c>
      <c r="FA162" s="308">
        <f t="shared" si="177"/>
        <v>237875.88300184265</v>
      </c>
      <c r="FB162" s="315">
        <f t="shared" si="167"/>
        <v>206050.91922991283</v>
      </c>
      <c r="FC162" s="315"/>
      <c r="FD162" s="316"/>
      <c r="FE162" s="316">
        <f>_xlfn.IFNA((VLOOKUP($A162,HN!$A:$K,8,FALSE)/12),0)+_xlfn.IFNA((VLOOKUP($A162,HN!$A:$AF,32,FALSE)*1/12),0)</f>
        <v>0</v>
      </c>
      <c r="FF162" s="316">
        <f>_xlfn.IFNA((VLOOKUP($A162,HN!$A:$BS,14,FALSE)/12),0)+_xlfn.IFNA((VLOOKUP($A162,HN!$A:$BS,34,FALSE)/3),0)</f>
        <v>0</v>
      </c>
      <c r="FG162" s="316">
        <f>_xlfn.IFNA(VLOOKUP($A162,'Post 16'!$A:$AV,32,FALSE),0)/8</f>
        <v>0</v>
      </c>
      <c r="FH162" s="316"/>
      <c r="FI162" s="316">
        <f>_xlfn.IFNA((VLOOKUP($A162,HN!$A:$K,9,FALSE)/12),0)+_xlfn.IFNA((VLOOKUP($A162,HN!$A:$K,10,FALSE)/12),0)+_xlfn.IFNA((VLOOKUP($A162,HN!$A:$BZ,33,FALSE)/12),0)+_xlfn.IFNA((VLOOKUP($A162,HN!$A:$BZ,35,FALSE)/2),0)</f>
        <v>0</v>
      </c>
      <c r="FJ162" s="316">
        <f>_xlfn.IFNA((VLOOKUP($A162,HN!$A:$BS,15,FALSE)/12),0)+_xlfn.IFNA((VLOOKUP($A162,HN!$A:$CZ,36,FALSE)/2),0)</f>
        <v>0</v>
      </c>
      <c r="FK162" s="315">
        <f t="shared" si="168"/>
        <v>-932.36</v>
      </c>
      <c r="FL162" s="315">
        <f t="shared" si="169"/>
        <v>-2141.4883333333332</v>
      </c>
      <c r="FM162" s="316"/>
      <c r="FN162" s="316">
        <f>_xlfn.IFNA(VLOOKUP($A162,'Cash Advances'!$A:$S,18,FALSE),0)</f>
        <v>0</v>
      </c>
      <c r="FO162" s="316">
        <f>_xlfn.IFNA(VLOOKUP(A162,'LA Deductions'!A:AZ,25,FALSE),0)/9</f>
        <v>0</v>
      </c>
      <c r="FP162" s="315">
        <f t="shared" si="178"/>
        <v>202977.07089657951</v>
      </c>
      <c r="FQ162" s="322">
        <f t="shared" si="170"/>
        <v>206050.91922991283</v>
      </c>
      <c r="FR162" s="322"/>
      <c r="FS162" s="323"/>
      <c r="FT162" s="323">
        <f>_xlfn.IFNA((VLOOKUP($A162,HN!$A:$K,8,FALSE)/12),0)+_xlfn.IFNA((VLOOKUP($A162,HN!$A:$AF,32,FALSE)*1/12),0)</f>
        <v>0</v>
      </c>
      <c r="FU162" s="323">
        <f>_xlfn.IFNA((VLOOKUP($A162,HN!$A:$BS,14,FALSE)/12),0)+_xlfn.IFNA((VLOOKUP($A162,HN!$A:$BS,34,FALSE)/3),0)</f>
        <v>0</v>
      </c>
      <c r="FV162" s="323">
        <f>_xlfn.IFNA(VLOOKUP($A162,'Post 16'!$A:$AV,32,FALSE),0)/8</f>
        <v>0</v>
      </c>
      <c r="FW162" s="323"/>
      <c r="FX162" s="323">
        <f>_xlfn.IFNA((VLOOKUP($A162,HN!$A:$K,9,FALSE)/12),0)+_xlfn.IFNA((VLOOKUP($A162,HN!$A:$K,10,FALSE)/12),0)+_xlfn.IFNA((VLOOKUP($A162,HN!$A:$BZ,33,FALSE)/12),0)+_xlfn.IFNA((VLOOKUP($A162,HN!$A:$BZ,35,FALSE)/2),0)</f>
        <v>0</v>
      </c>
      <c r="FY162" s="323">
        <f>_xlfn.IFNA((VLOOKUP($A162,HN!$A:$BS,15,FALSE)/12),0)+_xlfn.IFNA((VLOOKUP($A162,HN!$A:$CZ,36,FALSE)/2),0)</f>
        <v>0</v>
      </c>
      <c r="FZ162" s="322">
        <f t="shared" si="171"/>
        <v>-932.36</v>
      </c>
      <c r="GA162" s="322">
        <f t="shared" si="172"/>
        <v>-2141.4883333333332</v>
      </c>
      <c r="GB162" s="323"/>
      <c r="GC162" s="323"/>
      <c r="GD162" s="323">
        <f>_xlfn.IFNA(VLOOKUP(A162,'LA Deductions'!A:AZ,25,FALSE),0)/9</f>
        <v>0</v>
      </c>
      <c r="GE162" s="322">
        <f t="shared" si="179"/>
        <v>202977.07089657951</v>
      </c>
      <c r="GG162" s="146">
        <f t="shared" si="184"/>
        <v>2576078.6288642175</v>
      </c>
      <c r="GH162" s="146">
        <f t="shared" si="184"/>
        <v>0</v>
      </c>
      <c r="GI162" s="146">
        <f t="shared" si="184"/>
        <v>0</v>
      </c>
      <c r="GJ162" s="146">
        <f t="shared" si="184"/>
        <v>-11188.320000000002</v>
      </c>
      <c r="GK162" s="146">
        <f t="shared" si="184"/>
        <v>-25697.860000000004</v>
      </c>
      <c r="GL162" s="146">
        <f t="shared" si="184"/>
        <v>-9471</v>
      </c>
      <c r="GN162" s="146">
        <f t="shared" si="185"/>
        <v>2576078.6288642175</v>
      </c>
      <c r="GO162" s="146">
        <f t="shared" si="185"/>
        <v>0</v>
      </c>
      <c r="GP162" s="146">
        <f t="shared" si="185"/>
        <v>0</v>
      </c>
      <c r="GQ162" s="146">
        <f t="shared" si="185"/>
        <v>-11188.320000000002</v>
      </c>
      <c r="GR162" s="146">
        <f t="shared" si="185"/>
        <v>-25697.860000000004</v>
      </c>
      <c r="GS162" s="146">
        <f t="shared" si="185"/>
        <v>-9471</v>
      </c>
      <c r="GU162" s="146"/>
      <c r="GV162" s="57"/>
    </row>
    <row r="163" spans="1:204">
      <c r="A163" s="185">
        <v>2014</v>
      </c>
      <c r="B163" s="185">
        <v>103162</v>
      </c>
      <c r="C163" s="185" t="s">
        <v>368</v>
      </c>
      <c r="D163" s="2" t="s">
        <v>369</v>
      </c>
      <c r="E163" s="191" t="s">
        <v>32</v>
      </c>
      <c r="F163" s="191" t="s">
        <v>912</v>
      </c>
      <c r="H163" s="279">
        <f>_xlfn.IFNA(VLOOKUP($A163,ISB!$A$4:$BY$454,67,FALSE),0)</f>
        <v>2345336.590881425</v>
      </c>
      <c r="I163" s="279">
        <f>_xlfn.IFNA(VLOOKUP($A163,ISB!$A$4:$BY$454,72,FALSE),0)</f>
        <v>-10223.359999999999</v>
      </c>
      <c r="J163" s="279">
        <f>-_xlfn.IFNA(VLOOKUP($A163,ISB!$A$4:$BY$454,76,FALSE),0)</f>
        <v>-34184.79</v>
      </c>
      <c r="K163" s="279">
        <f>_xlfn.IFNA(VLOOKUP($A163,ISB!$A$4:$BY$454,77,FALSE),0)</f>
        <v>2300928.440881425</v>
      </c>
      <c r="M163" s="301">
        <f t="shared" ref="M163:M190" si="191">$H163/12</f>
        <v>195444.71590678542</v>
      </c>
      <c r="N163" s="301">
        <f>VLOOKUP($A163,EY!$A:$H,8,FALSE)+(VLOOKUP($A163,EY!$A:$BS,17,FALSE)-S163)+VLOOKUP($A163,EY!$A:$BS,41,FALSE)</f>
        <v>27555.840000000004</v>
      </c>
      <c r="O163" s="302"/>
      <c r="P163" s="302">
        <f>_xlfn.IFNA((VLOOKUP($A163,HN!$A:$K,8,FALSE)/12),0)</f>
        <v>0</v>
      </c>
      <c r="Q163" s="302">
        <f>_xlfn.IFNA((VLOOKUP($A163,HN!$A:$BS,14,FALSE)/12),0)</f>
        <v>0</v>
      </c>
      <c r="R163" s="302">
        <f>_xlfn.IFNA(VLOOKUP($A163,'Post 16'!$A:$V,21,FALSE),0)/4</f>
        <v>0</v>
      </c>
      <c r="S163" s="302">
        <f>VLOOKUP($A163,EY!A:Q,15,FALSE)*80%</f>
        <v>0</v>
      </c>
      <c r="T163" s="302">
        <f>_xlfn.IFNA((VLOOKUP($A163,HN!$A:$K,9,FALSE)/12),0)+_xlfn.IFNA((VLOOKUP($A163,HN!$A:$K,10,FALSE)/12),0)</f>
        <v>0</v>
      </c>
      <c r="U163" s="302">
        <f>_xlfn.IFNA((VLOOKUP($A163,HN!$A:$BS,15,FALSE)/12),0)</f>
        <v>0</v>
      </c>
      <c r="V163" s="301">
        <f t="shared" ref="V163:V190" si="192">$I163/12</f>
        <v>-851.9466666666666</v>
      </c>
      <c r="W163" s="301">
        <f t="shared" ref="W163:W190" si="193">$J163/12</f>
        <v>-2848.7325000000001</v>
      </c>
      <c r="X163" s="302"/>
      <c r="Y163" s="302">
        <f>_xlfn.IFNA(VLOOKUP($A163,'Cash Advances'!$A:$S,8,FALSE),0)</f>
        <v>0</v>
      </c>
      <c r="Z163" s="301">
        <f t="shared" ref="Z163:Z190" si="194">SUM(M163:Y163)</f>
        <v>219299.87674011875</v>
      </c>
      <c r="AA163" s="315">
        <f t="shared" ref="AA163:AA190" si="195">$H163/12</f>
        <v>195444.71590678542</v>
      </c>
      <c r="AB163" s="315"/>
      <c r="AC163" s="316"/>
      <c r="AD163" s="316">
        <f>_xlfn.IFNA((VLOOKUP($A163,HN!$A:$K,8,FALSE)/12),0)</f>
        <v>0</v>
      </c>
      <c r="AE163" s="316">
        <f>_xlfn.IFNA((VLOOKUP($A163,HN!$A:$BS,14,FALSE)/12),0)</f>
        <v>0</v>
      </c>
      <c r="AF163" s="316">
        <f>_xlfn.IFNA(VLOOKUP($A163,'Post 16'!$A:$V,21,FALSE),0)/4</f>
        <v>0</v>
      </c>
      <c r="AG163" s="316"/>
      <c r="AH163" s="316">
        <f>_xlfn.IFNA((VLOOKUP($A163,HN!$A:$K,9,FALSE)/12),0)+_xlfn.IFNA((VLOOKUP($A163,HN!$A:$K,10,FALSE)/12),0)</f>
        <v>0</v>
      </c>
      <c r="AI163" s="316">
        <f>_xlfn.IFNA((VLOOKUP($A163,HN!$A:$BS,15,FALSE)/12),0)</f>
        <v>0</v>
      </c>
      <c r="AJ163" s="315">
        <f t="shared" ref="AJ163:AJ190" si="196">$I163/12</f>
        <v>-851.9466666666666</v>
      </c>
      <c r="AK163" s="315">
        <f t="shared" ref="AK163:AK190" si="197">$J163/12</f>
        <v>-2848.7325000000001</v>
      </c>
      <c r="AL163" s="316"/>
      <c r="AM163" s="316">
        <f>_xlfn.IFNA(VLOOKUP($A163,'Cash Advances'!$A:$S,9,FALSE),0)</f>
        <v>0</v>
      </c>
      <c r="AN163" s="315">
        <f t="shared" ref="AN163:AN190" si="198">SUM(AA163:AM163)</f>
        <v>191744.03674011875</v>
      </c>
      <c r="AO163" s="308">
        <f t="shared" ref="AO163:AO190" si="199">$H163/12</f>
        <v>195444.71590678542</v>
      </c>
      <c r="AP163" s="308"/>
      <c r="AQ163" s="309"/>
      <c r="AR163" s="309">
        <f>_xlfn.IFNA((VLOOKUP($A163,HN!$A:$K,8,FALSE)/12),0)</f>
        <v>0</v>
      </c>
      <c r="AS163" s="309">
        <f>_xlfn.IFNA((VLOOKUP($A163,HN!$A:$BS,14,FALSE)/12),0)</f>
        <v>0</v>
      </c>
      <c r="AT163" s="309">
        <f>_xlfn.IFNA(VLOOKUP($A163,'Post 16'!$A:$V,21,FALSE),0)/4</f>
        <v>0</v>
      </c>
      <c r="AU163" s="309"/>
      <c r="AV163" s="309">
        <f>_xlfn.IFNA((VLOOKUP($A163,HN!$A:$K,9,FALSE)/12),0)+_xlfn.IFNA((VLOOKUP($A163,HN!$A:$K,10,FALSE)/12),0)+_xlfn.IFNA(VLOOKUP(A163,HN!A:V,19,FALSE),0)+_xlfn.IFNA(VLOOKUP(A163,HN!A:V,20,FALSE),0)+_xlfn.IFNA(VLOOKUP(A163,HN!A:V,21,FALSE),0)</f>
        <v>0</v>
      </c>
      <c r="AW163" s="309">
        <f>_xlfn.IFNA((VLOOKUP($A163,HN!$A:$BS,15,FALSE)/12),0)</f>
        <v>0</v>
      </c>
      <c r="AX163" s="308">
        <f t="shared" ref="AX163:AX190" si="200">$I163/12</f>
        <v>-851.9466666666666</v>
      </c>
      <c r="AY163" s="308">
        <f t="shared" ref="AY163:AY190" si="201">$J163/12</f>
        <v>-2848.7325000000001</v>
      </c>
      <c r="AZ163" s="309"/>
      <c r="BA163" s="309">
        <f>_xlfn.IFNA(VLOOKUP($A163,'Cash Advances'!$A:$S,10,FALSE),0)</f>
        <v>0</v>
      </c>
      <c r="BB163" s="308">
        <f t="shared" ref="BB163:BB190" si="202">SUM(AO163:BA163)</f>
        <v>191744.03674011875</v>
      </c>
      <c r="BC163" s="330">
        <f t="shared" ref="BC163:BC190" si="203">$H163/12</f>
        <v>195444.71590678542</v>
      </c>
      <c r="BD163" s="330"/>
      <c r="BE163" s="331"/>
      <c r="BF163" s="331">
        <f>_xlfn.IFNA((VLOOKUP($A163,HN!$A:$K,8,FALSE)/12),0)</f>
        <v>0</v>
      </c>
      <c r="BG163" s="331">
        <f>_xlfn.IFNA((VLOOKUP($A163,HN!$A:$BS,14,FALSE)/12),0)</f>
        <v>0</v>
      </c>
      <c r="BH163" s="331">
        <f>_xlfn.IFNA(VLOOKUP($A163,'Post 16'!$A:$V,21,FALSE),0)/4</f>
        <v>0</v>
      </c>
      <c r="BI163" s="331"/>
      <c r="BJ163" s="331">
        <f>_xlfn.IFNA((VLOOKUP($A163,HN!$A:$K,9,FALSE)/12),0)+_xlfn.IFNA((VLOOKUP($A163,HN!$A:$K,10,FALSE)/12),0)</f>
        <v>0</v>
      </c>
      <c r="BK163" s="331">
        <f>_xlfn.IFNA((VLOOKUP($A163,HN!$A:$BS,15,FALSE)/12),0)</f>
        <v>0</v>
      </c>
      <c r="BL163" s="330">
        <f t="shared" ref="BL163:BL190" si="204">$I163/12</f>
        <v>-851.9466666666666</v>
      </c>
      <c r="BM163" s="330">
        <f t="shared" ref="BM163:BM190" si="205">$J163/12</f>
        <v>-2848.7325000000001</v>
      </c>
      <c r="BN163" s="331"/>
      <c r="BO163" s="331">
        <f>_xlfn.IFNA(VLOOKUP(A163,'Cash Advances'!A:K,11,FALSE),0)</f>
        <v>0</v>
      </c>
      <c r="BP163" s="330">
        <f t="shared" ref="BP163:BP190" si="206">SUM(BC163:BO163)</f>
        <v>191744.03674011875</v>
      </c>
      <c r="BQ163" s="322">
        <f t="shared" ref="BQ163:BQ190" si="207">$H163/12</f>
        <v>195444.71590678542</v>
      </c>
      <c r="BR163" s="322"/>
      <c r="BS163" s="323"/>
      <c r="BT163" s="323">
        <f>_xlfn.IFNA((VLOOKUP($A163,HN!$A:$K,8,FALSE)/12),0)</f>
        <v>0</v>
      </c>
      <c r="BU163" s="323">
        <f>_xlfn.IFNA((VLOOKUP($A163,HN!$A:$BS,14,FALSE)/12),0)</f>
        <v>0</v>
      </c>
      <c r="BV163" s="323">
        <f>(_xlfn.IFNA(VLOOKUP($A163,'Post 16'!$A:$AV,32,FALSE),0)/8)+_xlfn.IFNA(VLOOKUP($A163,'Post 16'!$A:$AR,40,FALSE),0)</f>
        <v>0</v>
      </c>
      <c r="BW163" s="323"/>
      <c r="BX163" s="323">
        <f>_xlfn.IFNA((VLOOKUP($A163,HN!$A:$K,9,FALSE)/12),0)+_xlfn.IFNA((VLOOKUP($A163,HN!$A:$K,10,FALSE)/12),0)</f>
        <v>0</v>
      </c>
      <c r="BY163" s="323">
        <f>_xlfn.IFNA((VLOOKUP($A163,HN!$A:$BS,15,FALSE)/12),0)</f>
        <v>0</v>
      </c>
      <c r="BZ163" s="322">
        <f t="shared" ref="BZ163:BZ190" si="208">$I163/12</f>
        <v>-851.9466666666666</v>
      </c>
      <c r="CA163" s="322">
        <f t="shared" ref="CA163:CA190" si="209">$J163/12</f>
        <v>-2848.7325000000001</v>
      </c>
      <c r="CB163" s="323"/>
      <c r="CC163" s="323"/>
      <c r="CD163" s="322">
        <f t="shared" ref="CD163:CD190" si="210">SUM(BQ163:CC163)</f>
        <v>191744.03674011875</v>
      </c>
      <c r="CE163" s="357">
        <f t="shared" ref="CE163:CE190" si="211">$H163/12</f>
        <v>195444.71590678542</v>
      </c>
      <c r="CF163" s="357">
        <f>(VLOOKUP($A163,EY!$A:$BS,26,FALSE)-(VLOOKUP($A163,EY!A:CR,24,FALSE)*80%))+VLOOKUP($A163,EY!$A:$BS,42,FALSE)+(VLOOKUP($A163,EY!A:CC,74,FALSE)-VLOOKUP($A163,EY!A:CC,72,FALSE))</f>
        <v>49775.18</v>
      </c>
      <c r="CG163" s="358"/>
      <c r="CH163" s="358">
        <f>_xlfn.IFNA((VLOOKUP($A163,HN!$A:$K,8,FALSE)/12),0)</f>
        <v>0</v>
      </c>
      <c r="CI163" s="358">
        <f>_xlfn.IFNA((VLOOKUP($A163,HN!$A:$BS,14,FALSE)/12),0)</f>
        <v>0</v>
      </c>
      <c r="CJ163" s="358">
        <f>(_xlfn.IFNA(VLOOKUP($A163,'Post 16'!$A:$AV,32,FALSE),0)/8)</f>
        <v>0</v>
      </c>
      <c r="CK163" s="358">
        <f>(VLOOKUP($A163,EY!A:CR,24,FALSE)*80%)+VLOOKUP($A163,EY!A:CC,72,FALSE)</f>
        <v>0</v>
      </c>
      <c r="CL163" s="358">
        <f>_xlfn.IFNA((VLOOKUP($A163,HN!$A:$K,9,FALSE)/12),0)+_xlfn.IFNA((VLOOKUP($A163,HN!$A:$K,10,FALSE)/12),0)</f>
        <v>0</v>
      </c>
      <c r="CM163" s="358">
        <f>_xlfn.IFNA((VLOOKUP($A163,HN!$A:$BS,15,FALSE)/12),0)</f>
        <v>0</v>
      </c>
      <c r="CN163" s="357">
        <f t="shared" ref="CN163:CN190" si="212">$I163/12</f>
        <v>-851.9466666666666</v>
      </c>
      <c r="CO163" s="357">
        <f t="shared" ref="CO163:CO190" si="213">$J163/12</f>
        <v>-2848.7325000000001</v>
      </c>
      <c r="CP163" s="358">
        <f>_xlfn.IFNA(VLOOKUP(A163,'LA Deductions'!A:W,23,FALSE),0)</f>
        <v>-11070</v>
      </c>
      <c r="CQ163" s="358">
        <f>_xlfn.IFNA(VLOOKUP($A163,'Cash Advances'!$A:$S,13,FALSE),0)</f>
        <v>0</v>
      </c>
      <c r="CR163" s="358">
        <f>_xlfn.IFNA(VLOOKUP(A163,'LA Deductions'!A:AZ,25,FALSE),0)/9*3</f>
        <v>0</v>
      </c>
      <c r="CS163" s="357">
        <f t="shared" si="173"/>
        <v>230449.21674011875</v>
      </c>
      <c r="CT163" s="337">
        <f t="shared" ref="CT163:CT190" si="214">$H163/12</f>
        <v>195444.71590678542</v>
      </c>
      <c r="CU163" s="337"/>
      <c r="CV163" s="338">
        <f>_xlfn.IFNA(VLOOKUP(A163,'LA Deductions'!$A$6:$AN$207,34,FALSE),0)</f>
        <v>0</v>
      </c>
      <c r="CW163" s="338">
        <f>_xlfn.IFNA((VLOOKUP($A163,HN!$A:$K,8,FALSE)/12),0)</f>
        <v>0</v>
      </c>
      <c r="CX163" s="338">
        <f>_xlfn.IFNA((VLOOKUP($A163,HN!$A:$BS,14,FALSE)/12),0)</f>
        <v>0</v>
      </c>
      <c r="CY163" s="338">
        <f>_xlfn.IFNA(VLOOKUP($A163,'Post 16'!$A:$AV,32,FALSE),0)/8</f>
        <v>0</v>
      </c>
      <c r="CZ163" s="338"/>
      <c r="DA163" s="338">
        <f>_xlfn.IFNA((VLOOKUP($A163,HN!$A:$K,9,FALSE)/12),0)+_xlfn.IFNA((VLOOKUP($A163,HN!$A:$K,10,FALSE)/12),0)</f>
        <v>0</v>
      </c>
      <c r="DB163" s="338">
        <f>_xlfn.IFNA((VLOOKUP($A163,HN!$A:$BS,15,FALSE)/12),0)</f>
        <v>0</v>
      </c>
      <c r="DC163" s="337">
        <f t="shared" ref="DC163:DC190" si="215">$I163/12</f>
        <v>-851.9466666666666</v>
      </c>
      <c r="DD163" s="337">
        <f t="shared" ref="DD163:DD190" si="216">$J163/12</f>
        <v>-2848.7325000000001</v>
      </c>
      <c r="DE163" s="338"/>
      <c r="DF163" s="338">
        <f>_xlfn.IFNA(VLOOKUP($A163,'Cash Advances'!$A:$S,14,FALSE),0)</f>
        <v>0</v>
      </c>
      <c r="DG163" s="338">
        <f>(_xlfn.IFNA(VLOOKUP(A163,'LA Deductions'!A:AZ,25,FALSE),0)/9)+(_xlfn.IFNA(VLOOKUP(A163,'LA Deductions'!A:AZ,26,FALSE),0))</f>
        <v>0</v>
      </c>
      <c r="DH163" s="337">
        <f t="shared" si="174"/>
        <v>191744.03674011875</v>
      </c>
      <c r="DI163" s="330">
        <f t="shared" ref="DI163:DI190" si="217">$H163/12</f>
        <v>195444.71590678542</v>
      </c>
      <c r="DJ163" s="330"/>
      <c r="DK163" s="331"/>
      <c r="DL163" s="331">
        <f>_xlfn.IFNA((VLOOKUP($A163,HN!$A:$K,8,FALSE)/12),0)+_xlfn.IFNA((VLOOKUP($A163,HN!$A:$AF,32,FALSE)*8/12),0)</f>
        <v>0</v>
      </c>
      <c r="DM163" s="331">
        <f>_xlfn.IFNA((VLOOKUP($A163,HN!$A:$BS,14,FALSE)/12),0)+_xlfn.IFNA(VLOOKUP($A163,HN!$A:$BS,31,FALSE),0)</f>
        <v>0</v>
      </c>
      <c r="DN163" s="331">
        <f>_xlfn.IFNA(VLOOKUP($A163,'Post 16'!$A:$AV,32,FALSE),0)/8</f>
        <v>0</v>
      </c>
      <c r="DO163" s="331"/>
      <c r="DP163" s="331">
        <f>_xlfn.IFNA((VLOOKUP($A163,HN!$A:$K,9,FALSE)/12),0)+_xlfn.IFNA((VLOOKUP($A163,HN!$A:$K,10,FALSE)/12),0)+_xlfn.IFNA((VLOOKUP($A163,HN!$A:$BZ,33,FALSE)*8/12),0)</f>
        <v>0</v>
      </c>
      <c r="DQ163" s="331">
        <f>_xlfn.IFNA((VLOOKUP($A163,HN!$A:$BS,15,FALSE)/12),0)</f>
        <v>0</v>
      </c>
      <c r="DR163" s="330">
        <f t="shared" ref="DR163:DR190" si="218">$I163/12</f>
        <v>-851.9466666666666</v>
      </c>
      <c r="DS163" s="330">
        <f t="shared" ref="DS163:DS190" si="219">$J163/12</f>
        <v>-2848.7325000000001</v>
      </c>
      <c r="DT163" s="331"/>
      <c r="DU163" s="331"/>
      <c r="DV163" s="331">
        <f>(_xlfn.IFNA(VLOOKUP(A163,'LA Deductions'!A:AZ,25,FALSE),0)/9)+_xlfn.IFNA(VLOOKUP(A163,'LA Deductions'!A:AZ,27,FALSE),0)</f>
        <v>0</v>
      </c>
      <c r="DW163" s="330">
        <f t="shared" si="175"/>
        <v>191744.03674011875</v>
      </c>
      <c r="DX163" s="344">
        <f t="shared" ref="DX163:DX190" si="220">$H163/12</f>
        <v>195444.71590678542</v>
      </c>
      <c r="DY163" s="344"/>
      <c r="DZ163" s="345"/>
      <c r="EA163" s="345">
        <f>_xlfn.IFNA((VLOOKUP($A163,HN!$A:$K,8,FALSE)/12),0)+_xlfn.IFNA((VLOOKUP($A163,HN!$A:$AF,32,FALSE)*1/12),0)</f>
        <v>0</v>
      </c>
      <c r="EB163" s="345">
        <f>_xlfn.IFNA((VLOOKUP($A163,HN!$A:$BS,14,FALSE)/12),0)</f>
        <v>0</v>
      </c>
      <c r="EC163" s="345">
        <f>_xlfn.IFNA(VLOOKUP($A163,'Post 16'!$A:$AV,32,FALSE),0)/8</f>
        <v>0</v>
      </c>
      <c r="ED163" s="345"/>
      <c r="EE163" s="345">
        <f>_xlfn.IFNA((VLOOKUP($A163,HN!$A:$K,9,FALSE)/12),0)+_xlfn.IFNA((VLOOKUP($A163,HN!$A:$K,10,FALSE)/12),0)+_xlfn.IFNA((VLOOKUP($A163,HN!$A:$BZ,33,FALSE)/12),0)</f>
        <v>0</v>
      </c>
      <c r="EF163" s="345">
        <f>_xlfn.IFNA((VLOOKUP($A163,HN!$A:$BS,15,FALSE)/12),0)</f>
        <v>0</v>
      </c>
      <c r="EG163" s="344">
        <f t="shared" ref="EG163:EG190" si="221">$I163/12</f>
        <v>-851.9466666666666</v>
      </c>
      <c r="EH163" s="344">
        <f t="shared" ref="EH163:EH190" si="222">$J163/12</f>
        <v>-2848.7325000000001</v>
      </c>
      <c r="EI163" s="345"/>
      <c r="EJ163" s="345">
        <f>_xlfn.IFNA(VLOOKUP(A163,'Cash Advances'!A:P,16,FALSE),0)</f>
        <v>0</v>
      </c>
      <c r="EK163" s="345">
        <f>_xlfn.IFNA(VLOOKUP(A163,'LA Deductions'!A:AZ,25,FALSE),0)/9</f>
        <v>0</v>
      </c>
      <c r="EL163" s="344">
        <f t="shared" si="176"/>
        <v>191744.03674011875</v>
      </c>
      <c r="EM163" s="308">
        <f t="shared" ref="EM163:EM190" si="223">$H163/12</f>
        <v>195444.71590678542</v>
      </c>
      <c r="EN163" s="308">
        <f>((VLOOKUP($A163,EY!$A:$BS,35,FALSE)-(VLOOKUP($A163,EY!$A:$BS,33,FALSE)*80%))+VLOOKUP($A163,EY!$A:$BS,43,FALSE))+(VLOOKUP(A163,EY!A:DF,110,FALSE)-VLOOKUP(A163,EY!A:DD,108,FALSE))+(VLOOKUP(A163,EY!A:CE,83,FALSE)-VLOOKUP(A163,EY!A:CC,81,FALSE))</f>
        <v>40558.474736842094</v>
      </c>
      <c r="EO163" s="309"/>
      <c r="EP163" s="309">
        <f>_xlfn.IFNA((VLOOKUP($A163,HN!$A:$K,8,FALSE)/12),0)+_xlfn.IFNA((VLOOKUP($A163,HN!$A:$AF,32,FALSE)*1/12),0)</f>
        <v>0</v>
      </c>
      <c r="EQ163" s="309">
        <f>_xlfn.IFNA((VLOOKUP($A163,HN!$A:$BS,14,FALSE)/12),0)+_xlfn.IFNA((VLOOKUP($A163,HN!$A:$BS,34,FALSE)/3),0)</f>
        <v>0</v>
      </c>
      <c r="ER163" s="309">
        <f>_xlfn.IFNA(VLOOKUP($A163,'Post 16'!$A:$AV,32,FALSE),0)/8</f>
        <v>0</v>
      </c>
      <c r="ES163" s="309">
        <f>((VLOOKUP($A163,EY!A:EV,33,FALSE)*80%))+VLOOKUP(A163,EY!A:DD,108,FALSE)+VLOOKUP(A163,EY!A:CC,81,FALSE)</f>
        <v>0</v>
      </c>
      <c r="ET163" s="309">
        <f>_xlfn.IFNA((VLOOKUP($A163,HN!$A:$K,9,FALSE)/12),0)+_xlfn.IFNA((VLOOKUP($A163,HN!$A:$K,10,FALSE)/12),0)+_xlfn.IFNA((VLOOKUP($A163,HN!$A:$BZ,33,FALSE)/12),0)</f>
        <v>0</v>
      </c>
      <c r="EU163" s="309">
        <f>_xlfn.IFNA((VLOOKUP($A163,HN!$A:$BS,15,FALSE)/12),0)</f>
        <v>0</v>
      </c>
      <c r="EV163" s="308">
        <f t="shared" ref="EV163:EV190" si="224">$I163/12</f>
        <v>-851.9466666666666</v>
      </c>
      <c r="EW163" s="308">
        <f t="shared" ref="EW163:EW190" si="225">$J163/12</f>
        <v>-2848.7325000000001</v>
      </c>
      <c r="EX163" s="309"/>
      <c r="EY163" s="309">
        <f>_xlfn.IFNA(VLOOKUP($A163,'Cash Advances'!$A:$S,17,FALSE),0)</f>
        <v>0</v>
      </c>
      <c r="EZ163" s="309">
        <f>_xlfn.IFNA(VLOOKUP(A163,'LA Deductions'!A:AZ,25,FALSE),0)/9</f>
        <v>0</v>
      </c>
      <c r="FA163" s="308">
        <f t="shared" si="177"/>
        <v>232302.51147696085</v>
      </c>
      <c r="FB163" s="315">
        <f t="shared" ref="FB163:FB190" si="226">$H163/12</f>
        <v>195444.71590678542</v>
      </c>
      <c r="FC163" s="315"/>
      <c r="FD163" s="316"/>
      <c r="FE163" s="316">
        <f>_xlfn.IFNA((VLOOKUP($A163,HN!$A:$K,8,FALSE)/12),0)+_xlfn.IFNA((VLOOKUP($A163,HN!$A:$AF,32,FALSE)*1/12),0)</f>
        <v>0</v>
      </c>
      <c r="FF163" s="316">
        <f>_xlfn.IFNA((VLOOKUP($A163,HN!$A:$BS,14,FALSE)/12),0)+_xlfn.IFNA((VLOOKUP($A163,HN!$A:$BS,34,FALSE)/3),0)</f>
        <v>0</v>
      </c>
      <c r="FG163" s="316">
        <f>_xlfn.IFNA(VLOOKUP($A163,'Post 16'!$A:$AV,32,FALSE),0)/8</f>
        <v>0</v>
      </c>
      <c r="FH163" s="316"/>
      <c r="FI163" s="316">
        <f>_xlfn.IFNA((VLOOKUP($A163,HN!$A:$K,9,FALSE)/12),0)+_xlfn.IFNA((VLOOKUP($A163,HN!$A:$K,10,FALSE)/12),0)+_xlfn.IFNA((VLOOKUP($A163,HN!$A:$BZ,33,FALSE)/12),0)+_xlfn.IFNA((VLOOKUP($A163,HN!$A:$BZ,35,FALSE)/2),0)</f>
        <v>0</v>
      </c>
      <c r="FJ163" s="316">
        <f>_xlfn.IFNA((VLOOKUP($A163,HN!$A:$BS,15,FALSE)/12),0)+_xlfn.IFNA((VLOOKUP($A163,HN!$A:$CZ,36,FALSE)/2),0)</f>
        <v>0</v>
      </c>
      <c r="FK163" s="315">
        <f t="shared" ref="FK163:FK190" si="227">$I163/12</f>
        <v>-851.9466666666666</v>
      </c>
      <c r="FL163" s="315">
        <f t="shared" ref="FL163:FL190" si="228">$J163/12</f>
        <v>-2848.7325000000001</v>
      </c>
      <c r="FM163" s="316"/>
      <c r="FN163" s="316">
        <f>_xlfn.IFNA(VLOOKUP($A163,'Cash Advances'!$A:$S,18,FALSE),0)</f>
        <v>0</v>
      </c>
      <c r="FO163" s="316">
        <f>_xlfn.IFNA(VLOOKUP(A163,'LA Deductions'!A:AZ,25,FALSE),0)/9</f>
        <v>0</v>
      </c>
      <c r="FP163" s="315">
        <f t="shared" si="178"/>
        <v>191744.03674011875</v>
      </c>
      <c r="FQ163" s="322">
        <f t="shared" ref="FQ163:FQ190" si="229">$H163/12</f>
        <v>195444.71590678542</v>
      </c>
      <c r="FR163" s="322"/>
      <c r="FS163" s="323"/>
      <c r="FT163" s="323">
        <f>_xlfn.IFNA((VLOOKUP($A163,HN!$A:$K,8,FALSE)/12),0)+_xlfn.IFNA((VLOOKUP($A163,HN!$A:$AF,32,FALSE)*1/12),0)</f>
        <v>0</v>
      </c>
      <c r="FU163" s="323">
        <f>_xlfn.IFNA((VLOOKUP($A163,HN!$A:$BS,14,FALSE)/12),0)+_xlfn.IFNA((VLOOKUP($A163,HN!$A:$BS,34,FALSE)/3),0)</f>
        <v>0</v>
      </c>
      <c r="FV163" s="323">
        <f>_xlfn.IFNA(VLOOKUP($A163,'Post 16'!$A:$AV,32,FALSE),0)/8</f>
        <v>0</v>
      </c>
      <c r="FW163" s="323"/>
      <c r="FX163" s="323">
        <f>_xlfn.IFNA((VLOOKUP($A163,HN!$A:$K,9,FALSE)/12),0)+_xlfn.IFNA((VLOOKUP($A163,HN!$A:$K,10,FALSE)/12),0)+_xlfn.IFNA((VLOOKUP($A163,HN!$A:$BZ,33,FALSE)/12),0)+_xlfn.IFNA((VLOOKUP($A163,HN!$A:$BZ,35,FALSE)/2),0)</f>
        <v>0</v>
      </c>
      <c r="FY163" s="323">
        <f>_xlfn.IFNA((VLOOKUP($A163,HN!$A:$BS,15,FALSE)/12),0)+_xlfn.IFNA((VLOOKUP($A163,HN!$A:$CZ,36,FALSE)/2),0)</f>
        <v>0</v>
      </c>
      <c r="FZ163" s="322">
        <f t="shared" ref="FZ163:FZ190" si="230">$I163/12</f>
        <v>-851.9466666666666</v>
      </c>
      <c r="GA163" s="322">
        <f t="shared" ref="GA163:GA190" si="231">$J163/12</f>
        <v>-2848.7325000000001</v>
      </c>
      <c r="GB163" s="323"/>
      <c r="GC163" s="323"/>
      <c r="GD163" s="323">
        <f>_xlfn.IFNA(VLOOKUP(A163,'LA Deductions'!A:AZ,25,FALSE),0)/9</f>
        <v>0</v>
      </c>
      <c r="GE163" s="322">
        <f t="shared" si="179"/>
        <v>191744.03674011875</v>
      </c>
      <c r="GG163" s="146">
        <f t="shared" si="184"/>
        <v>2463226.0856182668</v>
      </c>
      <c r="GH163" s="146">
        <f t="shared" si="184"/>
        <v>0</v>
      </c>
      <c r="GI163" s="146">
        <f t="shared" si="184"/>
        <v>0</v>
      </c>
      <c r="GJ163" s="146">
        <f t="shared" si="184"/>
        <v>-10223.359999999999</v>
      </c>
      <c r="GK163" s="146">
        <f t="shared" si="184"/>
        <v>-34184.789999999994</v>
      </c>
      <c r="GL163" s="146">
        <f t="shared" si="184"/>
        <v>-11070</v>
      </c>
      <c r="GN163" s="146">
        <f t="shared" si="185"/>
        <v>2463226.0856182668</v>
      </c>
      <c r="GO163" s="146">
        <f t="shared" si="185"/>
        <v>0</v>
      </c>
      <c r="GP163" s="146">
        <f t="shared" si="185"/>
        <v>0</v>
      </c>
      <c r="GQ163" s="146">
        <f t="shared" si="185"/>
        <v>-10223.359999999999</v>
      </c>
      <c r="GR163" s="146">
        <f t="shared" si="185"/>
        <v>-34184.789999999994</v>
      </c>
      <c r="GS163" s="146">
        <f t="shared" si="185"/>
        <v>-11070</v>
      </c>
      <c r="GU163" s="146"/>
      <c r="GV163" s="57"/>
    </row>
    <row r="164" spans="1:204">
      <c r="A164" s="185">
        <v>2456</v>
      </c>
      <c r="B164" s="185">
        <v>103383</v>
      </c>
      <c r="C164" s="185" t="s">
        <v>372</v>
      </c>
      <c r="D164" s="2" t="s">
        <v>373</v>
      </c>
      <c r="E164" s="191" t="s">
        <v>32</v>
      </c>
      <c r="F164" s="191" t="s">
        <v>912</v>
      </c>
      <c r="H164" s="279">
        <f>_xlfn.IFNA(VLOOKUP($A164,ISB!$A$4:$BY$454,67,FALSE),0)</f>
        <v>1339724.7042200002</v>
      </c>
      <c r="I164" s="279">
        <f>_xlfn.IFNA(VLOOKUP($A164,ISB!$A$4:$BY$454,72,FALSE),0)</f>
        <v>-5242.08</v>
      </c>
      <c r="J164" s="279">
        <f>-_xlfn.IFNA(VLOOKUP($A164,ISB!$A$4:$BY$454,76,FALSE),0)</f>
        <v>-43724.74</v>
      </c>
      <c r="K164" s="279">
        <f>_xlfn.IFNA(VLOOKUP($A164,ISB!$A$4:$BY$454,77,FALSE),0)</f>
        <v>1290757.8842200001</v>
      </c>
      <c r="M164" s="301">
        <f t="shared" si="191"/>
        <v>111643.72535166668</v>
      </c>
      <c r="N164" s="301">
        <f>VLOOKUP($A164,EY!$A:$H,8,FALSE)+(VLOOKUP($A164,EY!$A:$BS,17,FALSE)-S164)+VLOOKUP($A164,EY!$A:$BS,41,FALSE)</f>
        <v>0</v>
      </c>
      <c r="O164" s="302"/>
      <c r="P164" s="302">
        <f>_xlfn.IFNA((VLOOKUP($A164,HN!$A:$K,8,FALSE)/12),0)</f>
        <v>0</v>
      </c>
      <c r="Q164" s="302">
        <f>_xlfn.IFNA((VLOOKUP($A164,HN!$A:$BS,14,FALSE)/12),0)</f>
        <v>0</v>
      </c>
      <c r="R164" s="302">
        <f>_xlfn.IFNA(VLOOKUP($A164,'Post 16'!$A:$V,21,FALSE),0)/4</f>
        <v>0</v>
      </c>
      <c r="S164" s="302">
        <f>VLOOKUP($A164,EY!A:Q,15,FALSE)*80%</f>
        <v>0</v>
      </c>
      <c r="T164" s="302">
        <f>_xlfn.IFNA((VLOOKUP($A164,HN!$A:$K,9,FALSE)/12),0)+_xlfn.IFNA((VLOOKUP($A164,HN!$A:$K,10,FALSE)/12),0)</f>
        <v>0</v>
      </c>
      <c r="U164" s="302">
        <f>_xlfn.IFNA((VLOOKUP($A164,HN!$A:$BS,15,FALSE)/12),0)</f>
        <v>0</v>
      </c>
      <c r="V164" s="301">
        <f t="shared" si="192"/>
        <v>-436.84</v>
      </c>
      <c r="W164" s="301">
        <f t="shared" si="193"/>
        <v>-3643.728333333333</v>
      </c>
      <c r="X164" s="302"/>
      <c r="Y164" s="302">
        <f>_xlfn.IFNA(VLOOKUP($A164,'Cash Advances'!$A:$S,8,FALSE),0)</f>
        <v>0</v>
      </c>
      <c r="Z164" s="301">
        <f t="shared" si="194"/>
        <v>107563.15701833335</v>
      </c>
      <c r="AA164" s="315">
        <f t="shared" si="195"/>
        <v>111643.72535166668</v>
      </c>
      <c r="AB164" s="315"/>
      <c r="AC164" s="316"/>
      <c r="AD164" s="316">
        <f>_xlfn.IFNA((VLOOKUP($A164,HN!$A:$K,8,FALSE)/12),0)</f>
        <v>0</v>
      </c>
      <c r="AE164" s="316">
        <f>_xlfn.IFNA((VLOOKUP($A164,HN!$A:$BS,14,FALSE)/12),0)</f>
        <v>0</v>
      </c>
      <c r="AF164" s="316">
        <f>_xlfn.IFNA(VLOOKUP($A164,'Post 16'!$A:$V,21,FALSE),0)/4</f>
        <v>0</v>
      </c>
      <c r="AG164" s="316"/>
      <c r="AH164" s="316">
        <f>_xlfn.IFNA((VLOOKUP($A164,HN!$A:$K,9,FALSE)/12),0)+_xlfn.IFNA((VLOOKUP($A164,HN!$A:$K,10,FALSE)/12),0)</f>
        <v>0</v>
      </c>
      <c r="AI164" s="316">
        <f>_xlfn.IFNA((VLOOKUP($A164,HN!$A:$BS,15,FALSE)/12),0)</f>
        <v>0</v>
      </c>
      <c r="AJ164" s="315">
        <f t="shared" si="196"/>
        <v>-436.84</v>
      </c>
      <c r="AK164" s="315">
        <f t="shared" si="197"/>
        <v>-3643.728333333333</v>
      </c>
      <c r="AL164" s="316"/>
      <c r="AM164" s="316">
        <f>_xlfn.IFNA(VLOOKUP($A164,'Cash Advances'!$A:$S,9,FALSE),0)</f>
        <v>0</v>
      </c>
      <c r="AN164" s="315">
        <f t="shared" si="198"/>
        <v>107563.15701833335</v>
      </c>
      <c r="AO164" s="308">
        <f t="shared" si="199"/>
        <v>111643.72535166668</v>
      </c>
      <c r="AP164" s="308"/>
      <c r="AQ164" s="309"/>
      <c r="AR164" s="309">
        <f>_xlfn.IFNA((VLOOKUP($A164,HN!$A:$K,8,FALSE)/12),0)</f>
        <v>0</v>
      </c>
      <c r="AS164" s="309">
        <f>_xlfn.IFNA((VLOOKUP($A164,HN!$A:$BS,14,FALSE)/12),0)</f>
        <v>0</v>
      </c>
      <c r="AT164" s="309">
        <f>_xlfn.IFNA(VLOOKUP($A164,'Post 16'!$A:$V,21,FALSE),0)/4</f>
        <v>0</v>
      </c>
      <c r="AU164" s="309"/>
      <c r="AV164" s="309">
        <f>_xlfn.IFNA((VLOOKUP($A164,HN!$A:$K,9,FALSE)/12),0)+_xlfn.IFNA((VLOOKUP($A164,HN!$A:$K,10,FALSE)/12),0)+_xlfn.IFNA(VLOOKUP(A164,HN!A:V,19,FALSE),0)+_xlfn.IFNA(VLOOKUP(A164,HN!A:V,20,FALSE),0)+_xlfn.IFNA(VLOOKUP(A164,HN!A:V,21,FALSE),0)</f>
        <v>0</v>
      </c>
      <c r="AW164" s="309">
        <f>_xlfn.IFNA((VLOOKUP($A164,HN!$A:$BS,15,FALSE)/12),0)</f>
        <v>0</v>
      </c>
      <c r="AX164" s="308">
        <f t="shared" si="200"/>
        <v>-436.84</v>
      </c>
      <c r="AY164" s="308">
        <f t="shared" si="201"/>
        <v>-3643.728333333333</v>
      </c>
      <c r="AZ164" s="309"/>
      <c r="BA164" s="309">
        <f>_xlfn.IFNA(VLOOKUP($A164,'Cash Advances'!$A:$S,10,FALSE),0)</f>
        <v>0</v>
      </c>
      <c r="BB164" s="308">
        <f t="shared" si="202"/>
        <v>107563.15701833335</v>
      </c>
      <c r="BC164" s="330">
        <f t="shared" si="203"/>
        <v>111643.72535166668</v>
      </c>
      <c r="BD164" s="330"/>
      <c r="BE164" s="331"/>
      <c r="BF164" s="331">
        <f>_xlfn.IFNA((VLOOKUP($A164,HN!$A:$K,8,FALSE)/12),0)</f>
        <v>0</v>
      </c>
      <c r="BG164" s="331">
        <f>_xlfn.IFNA((VLOOKUP($A164,HN!$A:$BS,14,FALSE)/12),0)</f>
        <v>0</v>
      </c>
      <c r="BH164" s="331">
        <f>_xlfn.IFNA(VLOOKUP($A164,'Post 16'!$A:$V,21,FALSE),0)/4</f>
        <v>0</v>
      </c>
      <c r="BI164" s="331"/>
      <c r="BJ164" s="331">
        <f>_xlfn.IFNA((VLOOKUP($A164,HN!$A:$K,9,FALSE)/12),0)+_xlfn.IFNA((VLOOKUP($A164,HN!$A:$K,10,FALSE)/12),0)</f>
        <v>0</v>
      </c>
      <c r="BK164" s="331">
        <f>_xlfn.IFNA((VLOOKUP($A164,HN!$A:$BS,15,FALSE)/12),0)</f>
        <v>0</v>
      </c>
      <c r="BL164" s="330">
        <f t="shared" si="204"/>
        <v>-436.84</v>
      </c>
      <c r="BM164" s="330">
        <f t="shared" si="205"/>
        <v>-3643.728333333333</v>
      </c>
      <c r="BN164" s="331"/>
      <c r="BO164" s="331">
        <f>_xlfn.IFNA(VLOOKUP(A164,'Cash Advances'!A:K,11,FALSE),0)</f>
        <v>0</v>
      </c>
      <c r="BP164" s="330">
        <f t="shared" si="206"/>
        <v>107563.15701833335</v>
      </c>
      <c r="BQ164" s="322">
        <f t="shared" si="207"/>
        <v>111643.72535166668</v>
      </c>
      <c r="BR164" s="322"/>
      <c r="BS164" s="323"/>
      <c r="BT164" s="323">
        <f>_xlfn.IFNA((VLOOKUP($A164,HN!$A:$K,8,FALSE)/12),0)</f>
        <v>0</v>
      </c>
      <c r="BU164" s="323">
        <f>_xlfn.IFNA((VLOOKUP($A164,HN!$A:$BS,14,FALSE)/12),0)</f>
        <v>0</v>
      </c>
      <c r="BV164" s="323">
        <f>(_xlfn.IFNA(VLOOKUP($A164,'Post 16'!$A:$AV,32,FALSE),0)/8)+_xlfn.IFNA(VLOOKUP($A164,'Post 16'!$A:$AR,40,FALSE),0)</f>
        <v>0</v>
      </c>
      <c r="BW164" s="323"/>
      <c r="BX164" s="323">
        <f>_xlfn.IFNA((VLOOKUP($A164,HN!$A:$K,9,FALSE)/12),0)+_xlfn.IFNA((VLOOKUP($A164,HN!$A:$K,10,FALSE)/12),0)</f>
        <v>0</v>
      </c>
      <c r="BY164" s="323">
        <f>_xlfn.IFNA((VLOOKUP($A164,HN!$A:$BS,15,FALSE)/12),0)</f>
        <v>0</v>
      </c>
      <c r="BZ164" s="322">
        <f t="shared" si="208"/>
        <v>-436.84</v>
      </c>
      <c r="CA164" s="322">
        <f t="shared" si="209"/>
        <v>-3643.728333333333</v>
      </c>
      <c r="CB164" s="323"/>
      <c r="CC164" s="323"/>
      <c r="CD164" s="322">
        <f t="shared" si="210"/>
        <v>107563.15701833335</v>
      </c>
      <c r="CE164" s="357">
        <f t="shared" si="211"/>
        <v>111643.72535166668</v>
      </c>
      <c r="CF164" s="357">
        <f>(VLOOKUP($A164,EY!$A:$BS,26,FALSE)-(VLOOKUP($A164,EY!A:CR,24,FALSE)*80%))+VLOOKUP($A164,EY!$A:$BS,42,FALSE)+(VLOOKUP($A164,EY!A:CC,74,FALSE)-VLOOKUP($A164,EY!A:CC,72,FALSE))</f>
        <v>0</v>
      </c>
      <c r="CG164" s="358"/>
      <c r="CH164" s="358">
        <f>_xlfn.IFNA((VLOOKUP($A164,HN!$A:$K,8,FALSE)/12),0)</f>
        <v>0</v>
      </c>
      <c r="CI164" s="358">
        <f>_xlfn.IFNA((VLOOKUP($A164,HN!$A:$BS,14,FALSE)/12),0)</f>
        <v>0</v>
      </c>
      <c r="CJ164" s="358">
        <f>(_xlfn.IFNA(VLOOKUP($A164,'Post 16'!$A:$AV,32,FALSE),0)/8)</f>
        <v>0</v>
      </c>
      <c r="CK164" s="358">
        <f>(VLOOKUP($A164,EY!A:CR,24,FALSE)*80%)+VLOOKUP($A164,EY!A:CC,72,FALSE)</f>
        <v>0</v>
      </c>
      <c r="CL164" s="358">
        <f>_xlfn.IFNA((VLOOKUP($A164,HN!$A:$K,9,FALSE)/12),0)+_xlfn.IFNA((VLOOKUP($A164,HN!$A:$K,10,FALSE)/12),0)</f>
        <v>0</v>
      </c>
      <c r="CM164" s="358">
        <f>_xlfn.IFNA((VLOOKUP($A164,HN!$A:$BS,15,FALSE)/12),0)</f>
        <v>0</v>
      </c>
      <c r="CN164" s="357">
        <f t="shared" si="212"/>
        <v>-436.84</v>
      </c>
      <c r="CO164" s="357">
        <f t="shared" si="213"/>
        <v>-3643.728333333333</v>
      </c>
      <c r="CP164" s="358">
        <f>_xlfn.IFNA(VLOOKUP(A164,'LA Deductions'!A:W,23,FALSE),0)</f>
        <v>-5427</v>
      </c>
      <c r="CQ164" s="358">
        <f>_xlfn.IFNA(VLOOKUP($A164,'Cash Advances'!$A:$S,13,FALSE),0)</f>
        <v>0</v>
      </c>
      <c r="CR164" s="358">
        <f>_xlfn.IFNA(VLOOKUP(A164,'LA Deductions'!A:AZ,25,FALSE),0)/9*3</f>
        <v>0</v>
      </c>
      <c r="CS164" s="357">
        <f t="shared" si="173"/>
        <v>102136.15701833335</v>
      </c>
      <c r="CT164" s="337">
        <f t="shared" si="214"/>
        <v>111643.72535166668</v>
      </c>
      <c r="CU164" s="337"/>
      <c r="CV164" s="338">
        <f>_xlfn.IFNA(VLOOKUP(A164,'LA Deductions'!$A$6:$AN$207,34,FALSE),0)</f>
        <v>-4083.5414000000001</v>
      </c>
      <c r="CW164" s="338">
        <f>_xlfn.IFNA((VLOOKUP($A164,HN!$A:$K,8,FALSE)/12),0)</f>
        <v>0</v>
      </c>
      <c r="CX164" s="338">
        <f>_xlfn.IFNA((VLOOKUP($A164,HN!$A:$BS,14,FALSE)/12),0)</f>
        <v>0</v>
      </c>
      <c r="CY164" s="338">
        <f>_xlfn.IFNA(VLOOKUP($A164,'Post 16'!$A:$AV,32,FALSE),0)/8</f>
        <v>0</v>
      </c>
      <c r="CZ164" s="338"/>
      <c r="DA164" s="338">
        <f>_xlfn.IFNA((VLOOKUP($A164,HN!$A:$K,9,FALSE)/12),0)+_xlfn.IFNA((VLOOKUP($A164,HN!$A:$K,10,FALSE)/12),0)</f>
        <v>0</v>
      </c>
      <c r="DB164" s="338">
        <f>_xlfn.IFNA((VLOOKUP($A164,HN!$A:$BS,15,FALSE)/12),0)</f>
        <v>0</v>
      </c>
      <c r="DC164" s="337">
        <f t="shared" si="215"/>
        <v>-436.84</v>
      </c>
      <c r="DD164" s="337">
        <f t="shared" si="216"/>
        <v>-3643.728333333333</v>
      </c>
      <c r="DE164" s="338"/>
      <c r="DF164" s="338">
        <f>_xlfn.IFNA(VLOOKUP($A164,'Cash Advances'!$A:$S,14,FALSE),0)</f>
        <v>0</v>
      </c>
      <c r="DG164" s="338">
        <f>(_xlfn.IFNA(VLOOKUP(A164,'LA Deductions'!A:AZ,25,FALSE),0)/9)+(_xlfn.IFNA(VLOOKUP(A164,'LA Deductions'!A:AZ,26,FALSE),0))</f>
        <v>0</v>
      </c>
      <c r="DH164" s="337">
        <f t="shared" si="174"/>
        <v>103479.61561833335</v>
      </c>
      <c r="DI164" s="330">
        <f t="shared" si="217"/>
        <v>111643.72535166668</v>
      </c>
      <c r="DJ164" s="330"/>
      <c r="DK164" s="331"/>
      <c r="DL164" s="331">
        <f>_xlfn.IFNA((VLOOKUP($A164,HN!$A:$K,8,FALSE)/12),0)+_xlfn.IFNA((VLOOKUP($A164,HN!$A:$AF,32,FALSE)*8/12),0)</f>
        <v>0</v>
      </c>
      <c r="DM164" s="331">
        <f>_xlfn.IFNA((VLOOKUP($A164,HN!$A:$BS,14,FALSE)/12),0)+_xlfn.IFNA(VLOOKUP($A164,HN!$A:$BS,31,FALSE),0)</f>
        <v>0</v>
      </c>
      <c r="DN164" s="331">
        <f>_xlfn.IFNA(VLOOKUP($A164,'Post 16'!$A:$AV,32,FALSE),0)/8</f>
        <v>0</v>
      </c>
      <c r="DO164" s="331"/>
      <c r="DP164" s="331">
        <f>_xlfn.IFNA((VLOOKUP($A164,HN!$A:$K,9,FALSE)/12),0)+_xlfn.IFNA((VLOOKUP($A164,HN!$A:$K,10,FALSE)/12),0)+_xlfn.IFNA((VLOOKUP($A164,HN!$A:$BZ,33,FALSE)*8/12),0)</f>
        <v>0</v>
      </c>
      <c r="DQ164" s="331">
        <f>_xlfn.IFNA((VLOOKUP($A164,HN!$A:$BS,15,FALSE)/12),0)</f>
        <v>0</v>
      </c>
      <c r="DR164" s="330">
        <f t="shared" si="218"/>
        <v>-436.84</v>
      </c>
      <c r="DS164" s="330">
        <f t="shared" si="219"/>
        <v>-3643.728333333333</v>
      </c>
      <c r="DT164" s="331"/>
      <c r="DU164" s="331"/>
      <c r="DV164" s="331">
        <f>(_xlfn.IFNA(VLOOKUP(A164,'LA Deductions'!A:AZ,25,FALSE),0)/9)+_xlfn.IFNA(VLOOKUP(A164,'LA Deductions'!A:AZ,27,FALSE),0)</f>
        <v>0</v>
      </c>
      <c r="DW164" s="330">
        <f t="shared" si="175"/>
        <v>107563.15701833335</v>
      </c>
      <c r="DX164" s="344">
        <f t="shared" si="220"/>
        <v>111643.72535166668</v>
      </c>
      <c r="DY164" s="344"/>
      <c r="DZ164" s="345"/>
      <c r="EA164" s="345">
        <f>_xlfn.IFNA((VLOOKUP($A164,HN!$A:$K,8,FALSE)/12),0)+_xlfn.IFNA((VLOOKUP($A164,HN!$A:$AF,32,FALSE)*1/12),0)</f>
        <v>0</v>
      </c>
      <c r="EB164" s="345">
        <f>_xlfn.IFNA((VLOOKUP($A164,HN!$A:$BS,14,FALSE)/12),0)</f>
        <v>0</v>
      </c>
      <c r="EC164" s="345">
        <f>_xlfn.IFNA(VLOOKUP($A164,'Post 16'!$A:$AV,32,FALSE),0)/8</f>
        <v>0</v>
      </c>
      <c r="ED164" s="345"/>
      <c r="EE164" s="345">
        <f>_xlfn.IFNA((VLOOKUP($A164,HN!$A:$K,9,FALSE)/12),0)+_xlfn.IFNA((VLOOKUP($A164,HN!$A:$K,10,FALSE)/12),0)+_xlfn.IFNA((VLOOKUP($A164,HN!$A:$BZ,33,FALSE)/12),0)</f>
        <v>0</v>
      </c>
      <c r="EF164" s="345">
        <f>_xlfn.IFNA((VLOOKUP($A164,HN!$A:$BS,15,FALSE)/12),0)</f>
        <v>0</v>
      </c>
      <c r="EG164" s="344">
        <f t="shared" si="221"/>
        <v>-436.84</v>
      </c>
      <c r="EH164" s="344">
        <f t="shared" si="222"/>
        <v>-3643.728333333333</v>
      </c>
      <c r="EI164" s="345"/>
      <c r="EJ164" s="345">
        <f>_xlfn.IFNA(VLOOKUP(A164,'Cash Advances'!A:P,16,FALSE),0)</f>
        <v>0</v>
      </c>
      <c r="EK164" s="345">
        <f>_xlfn.IFNA(VLOOKUP(A164,'LA Deductions'!A:AZ,25,FALSE),0)/9</f>
        <v>0</v>
      </c>
      <c r="EL164" s="344">
        <f t="shared" si="176"/>
        <v>107563.15701833335</v>
      </c>
      <c r="EM164" s="308">
        <f t="shared" si="223"/>
        <v>111643.72535166668</v>
      </c>
      <c r="EN164" s="308">
        <f>((VLOOKUP($A164,EY!$A:$BS,35,FALSE)-(VLOOKUP($A164,EY!$A:$BS,33,FALSE)*80%))+VLOOKUP($A164,EY!$A:$BS,43,FALSE))+(VLOOKUP(A164,EY!A:DF,110,FALSE)-VLOOKUP(A164,EY!A:DD,108,FALSE))+(VLOOKUP(A164,EY!A:CE,83,FALSE)-VLOOKUP(A164,EY!A:CC,81,FALSE))</f>
        <v>0</v>
      </c>
      <c r="EO164" s="309"/>
      <c r="EP164" s="309">
        <f>_xlfn.IFNA((VLOOKUP($A164,HN!$A:$K,8,FALSE)/12),0)+_xlfn.IFNA((VLOOKUP($A164,HN!$A:$AF,32,FALSE)*1/12),0)</f>
        <v>0</v>
      </c>
      <c r="EQ164" s="309">
        <f>_xlfn.IFNA((VLOOKUP($A164,HN!$A:$BS,14,FALSE)/12),0)+_xlfn.IFNA((VLOOKUP($A164,HN!$A:$BS,34,FALSE)/3),0)</f>
        <v>0</v>
      </c>
      <c r="ER164" s="309">
        <f>_xlfn.IFNA(VLOOKUP($A164,'Post 16'!$A:$AV,32,FALSE),0)/8</f>
        <v>0</v>
      </c>
      <c r="ES164" s="309">
        <f>((VLOOKUP($A164,EY!A:EV,33,FALSE)*80%))+VLOOKUP(A164,EY!A:DD,108,FALSE)+VLOOKUP(A164,EY!A:CC,81,FALSE)</f>
        <v>0</v>
      </c>
      <c r="ET164" s="309">
        <f>_xlfn.IFNA((VLOOKUP($A164,HN!$A:$K,9,FALSE)/12),0)+_xlfn.IFNA((VLOOKUP($A164,HN!$A:$K,10,FALSE)/12),0)+_xlfn.IFNA((VLOOKUP($A164,HN!$A:$BZ,33,FALSE)/12),0)</f>
        <v>0</v>
      </c>
      <c r="EU164" s="309">
        <f>_xlfn.IFNA((VLOOKUP($A164,HN!$A:$BS,15,FALSE)/12),0)</f>
        <v>0</v>
      </c>
      <c r="EV164" s="308">
        <f t="shared" si="224"/>
        <v>-436.84</v>
      </c>
      <c r="EW164" s="308">
        <f t="shared" si="225"/>
        <v>-3643.728333333333</v>
      </c>
      <c r="EX164" s="309"/>
      <c r="EY164" s="309">
        <f>_xlfn.IFNA(VLOOKUP($A164,'Cash Advances'!$A:$S,17,FALSE),0)</f>
        <v>0</v>
      </c>
      <c r="EZ164" s="309">
        <f>_xlfn.IFNA(VLOOKUP(A164,'LA Deductions'!A:AZ,25,FALSE),0)/9</f>
        <v>0</v>
      </c>
      <c r="FA164" s="308">
        <f t="shared" si="177"/>
        <v>107563.15701833335</v>
      </c>
      <c r="FB164" s="315">
        <f t="shared" si="226"/>
        <v>111643.72535166668</v>
      </c>
      <c r="FC164" s="315"/>
      <c r="FD164" s="316"/>
      <c r="FE164" s="316">
        <f>_xlfn.IFNA((VLOOKUP($A164,HN!$A:$K,8,FALSE)/12),0)+_xlfn.IFNA((VLOOKUP($A164,HN!$A:$AF,32,FALSE)*1/12),0)</f>
        <v>0</v>
      </c>
      <c r="FF164" s="316">
        <f>_xlfn.IFNA((VLOOKUP($A164,HN!$A:$BS,14,FALSE)/12),0)+_xlfn.IFNA((VLOOKUP($A164,HN!$A:$BS,34,FALSE)/3),0)</f>
        <v>0</v>
      </c>
      <c r="FG164" s="316">
        <f>_xlfn.IFNA(VLOOKUP($A164,'Post 16'!$A:$AV,32,FALSE),0)/8</f>
        <v>0</v>
      </c>
      <c r="FH164" s="316"/>
      <c r="FI164" s="316">
        <f>_xlfn.IFNA((VLOOKUP($A164,HN!$A:$K,9,FALSE)/12),0)+_xlfn.IFNA((VLOOKUP($A164,HN!$A:$K,10,FALSE)/12),0)+_xlfn.IFNA((VLOOKUP($A164,HN!$A:$BZ,33,FALSE)/12),0)+_xlfn.IFNA((VLOOKUP($A164,HN!$A:$BZ,35,FALSE)/2),0)</f>
        <v>0</v>
      </c>
      <c r="FJ164" s="316">
        <f>_xlfn.IFNA((VLOOKUP($A164,HN!$A:$BS,15,FALSE)/12),0)+_xlfn.IFNA((VLOOKUP($A164,HN!$A:$CZ,36,FALSE)/2),0)</f>
        <v>0</v>
      </c>
      <c r="FK164" s="315">
        <f t="shared" si="227"/>
        <v>-436.84</v>
      </c>
      <c r="FL164" s="315">
        <f t="shared" si="228"/>
        <v>-3643.728333333333</v>
      </c>
      <c r="FM164" s="316"/>
      <c r="FN164" s="316">
        <f>_xlfn.IFNA(VLOOKUP($A164,'Cash Advances'!$A:$S,18,FALSE),0)</f>
        <v>0</v>
      </c>
      <c r="FO164" s="316">
        <f>_xlfn.IFNA(VLOOKUP(A164,'LA Deductions'!A:AZ,25,FALSE),0)/9</f>
        <v>0</v>
      </c>
      <c r="FP164" s="315">
        <f t="shared" si="178"/>
        <v>107563.15701833335</v>
      </c>
      <c r="FQ164" s="322">
        <f t="shared" si="229"/>
        <v>111643.72535166668</v>
      </c>
      <c r="FR164" s="322"/>
      <c r="FS164" s="323"/>
      <c r="FT164" s="323">
        <f>_xlfn.IFNA((VLOOKUP($A164,HN!$A:$K,8,FALSE)/12),0)+_xlfn.IFNA((VLOOKUP($A164,HN!$A:$AF,32,FALSE)*1/12),0)</f>
        <v>0</v>
      </c>
      <c r="FU164" s="323">
        <f>_xlfn.IFNA((VLOOKUP($A164,HN!$A:$BS,14,FALSE)/12),0)+_xlfn.IFNA((VLOOKUP($A164,HN!$A:$BS,34,FALSE)/3),0)</f>
        <v>0</v>
      </c>
      <c r="FV164" s="323">
        <f>_xlfn.IFNA(VLOOKUP($A164,'Post 16'!$A:$AV,32,FALSE),0)/8</f>
        <v>0</v>
      </c>
      <c r="FW164" s="323"/>
      <c r="FX164" s="323">
        <f>_xlfn.IFNA((VLOOKUP($A164,HN!$A:$K,9,FALSE)/12),0)+_xlfn.IFNA((VLOOKUP($A164,HN!$A:$K,10,FALSE)/12),0)+_xlfn.IFNA((VLOOKUP($A164,HN!$A:$BZ,33,FALSE)/12),0)+_xlfn.IFNA((VLOOKUP($A164,HN!$A:$BZ,35,FALSE)/2),0)</f>
        <v>0</v>
      </c>
      <c r="FY164" s="323">
        <f>_xlfn.IFNA((VLOOKUP($A164,HN!$A:$BS,15,FALSE)/12),0)+_xlfn.IFNA((VLOOKUP($A164,HN!$A:$CZ,36,FALSE)/2),0)</f>
        <v>0</v>
      </c>
      <c r="FZ164" s="322">
        <f t="shared" si="230"/>
        <v>-436.84</v>
      </c>
      <c r="GA164" s="322">
        <f t="shared" si="231"/>
        <v>-3643.728333333333</v>
      </c>
      <c r="GB164" s="323"/>
      <c r="GC164" s="323"/>
      <c r="GD164" s="323">
        <f>_xlfn.IFNA(VLOOKUP(A164,'LA Deductions'!A:AZ,25,FALSE),0)/9</f>
        <v>0</v>
      </c>
      <c r="GE164" s="322">
        <f t="shared" si="179"/>
        <v>107563.15701833335</v>
      </c>
      <c r="GG164" s="146">
        <f t="shared" si="184"/>
        <v>1335641.1628200002</v>
      </c>
      <c r="GH164" s="146">
        <f t="shared" si="184"/>
        <v>0</v>
      </c>
      <c r="GI164" s="146">
        <f t="shared" si="184"/>
        <v>0</v>
      </c>
      <c r="GJ164" s="146">
        <f t="shared" si="184"/>
        <v>-5242.0800000000008</v>
      </c>
      <c r="GK164" s="146">
        <f t="shared" si="184"/>
        <v>-43724.74</v>
      </c>
      <c r="GL164" s="146">
        <f t="shared" si="184"/>
        <v>-5427</v>
      </c>
      <c r="GN164" s="146">
        <f t="shared" si="185"/>
        <v>1335641.1628200002</v>
      </c>
      <c r="GO164" s="146">
        <f t="shared" si="185"/>
        <v>0</v>
      </c>
      <c r="GP164" s="146">
        <f t="shared" si="185"/>
        <v>0</v>
      </c>
      <c r="GQ164" s="146">
        <f t="shared" si="185"/>
        <v>-5242.0800000000008</v>
      </c>
      <c r="GR164" s="146">
        <f t="shared" si="185"/>
        <v>-43724.74</v>
      </c>
      <c r="GS164" s="146">
        <f t="shared" si="185"/>
        <v>-5427</v>
      </c>
      <c r="GU164" s="146"/>
      <c r="GV164" s="57"/>
    </row>
    <row r="165" spans="1:204">
      <c r="A165" s="185">
        <v>2254</v>
      </c>
      <c r="B165" s="185">
        <v>103300</v>
      </c>
      <c r="C165" s="185" t="s">
        <v>374</v>
      </c>
      <c r="D165" s="2" t="s">
        <v>375</v>
      </c>
      <c r="E165" s="191" t="s">
        <v>32</v>
      </c>
      <c r="F165" s="191" t="s">
        <v>912</v>
      </c>
      <c r="H165" s="279">
        <f>_xlfn.IFNA(VLOOKUP($A165,ISB!$A$4:$BY$454,67,FALSE),0)</f>
        <v>3244567.6672809855</v>
      </c>
      <c r="I165" s="279">
        <f>_xlfn.IFNA(VLOOKUP($A165,ISB!$A$4:$BY$454,72,FALSE),0)</f>
        <v>-13613.759999999998</v>
      </c>
      <c r="J165" s="279">
        <f>-_xlfn.IFNA(VLOOKUP($A165,ISB!$A$4:$BY$454,76,FALSE),0)</f>
        <v>-77430.84</v>
      </c>
      <c r="K165" s="279">
        <f>_xlfn.IFNA(VLOOKUP($A165,ISB!$A$4:$BY$454,77,FALSE),0)</f>
        <v>3153523.0672809859</v>
      </c>
      <c r="M165" s="301">
        <f t="shared" si="191"/>
        <v>270380.63894008211</v>
      </c>
      <c r="N165" s="301">
        <f>VLOOKUP($A165,EY!$A:$H,8,FALSE)+(VLOOKUP($A165,EY!$A:$BS,17,FALSE)-S165)+VLOOKUP($A165,EY!$A:$BS,41,FALSE)</f>
        <v>0</v>
      </c>
      <c r="O165" s="302"/>
      <c r="P165" s="302">
        <f>_xlfn.IFNA((VLOOKUP($A165,HN!$A:$K,8,FALSE)/12),0)</f>
        <v>0</v>
      </c>
      <c r="Q165" s="302">
        <f>_xlfn.IFNA((VLOOKUP($A165,HN!$A:$BS,14,FALSE)/12),0)</f>
        <v>7500</v>
      </c>
      <c r="R165" s="302">
        <f>_xlfn.IFNA(VLOOKUP($A165,'Post 16'!$A:$V,21,FALSE),0)/4</f>
        <v>0</v>
      </c>
      <c r="S165" s="302">
        <f>VLOOKUP($A165,EY!A:Q,15,FALSE)*80%</f>
        <v>0</v>
      </c>
      <c r="T165" s="302">
        <f>_xlfn.IFNA((VLOOKUP($A165,HN!$A:$K,9,FALSE)/12),0)+_xlfn.IFNA((VLOOKUP($A165,HN!$A:$K,10,FALSE)/12),0)</f>
        <v>0</v>
      </c>
      <c r="U165" s="302">
        <f>_xlfn.IFNA((VLOOKUP($A165,HN!$A:$BS,15,FALSE)/12),0)</f>
        <v>11666.820833333331</v>
      </c>
      <c r="V165" s="301">
        <f t="shared" si="192"/>
        <v>-1134.4799999999998</v>
      </c>
      <c r="W165" s="301">
        <f t="shared" si="193"/>
        <v>-6452.57</v>
      </c>
      <c r="X165" s="302"/>
      <c r="Y165" s="302">
        <f>_xlfn.IFNA(VLOOKUP($A165,'Cash Advances'!$A:$S,8,FALSE),0)</f>
        <v>0</v>
      </c>
      <c r="Z165" s="301">
        <f t="shared" si="194"/>
        <v>281960.40977341548</v>
      </c>
      <c r="AA165" s="315">
        <f t="shared" si="195"/>
        <v>270380.63894008211</v>
      </c>
      <c r="AB165" s="315"/>
      <c r="AC165" s="316"/>
      <c r="AD165" s="316">
        <f>_xlfn.IFNA((VLOOKUP($A165,HN!$A:$K,8,FALSE)/12),0)</f>
        <v>0</v>
      </c>
      <c r="AE165" s="316">
        <f>_xlfn.IFNA((VLOOKUP($A165,HN!$A:$BS,14,FALSE)/12),0)</f>
        <v>7500</v>
      </c>
      <c r="AF165" s="316">
        <f>_xlfn.IFNA(VLOOKUP($A165,'Post 16'!$A:$V,21,FALSE),0)/4</f>
        <v>0</v>
      </c>
      <c r="AG165" s="316"/>
      <c r="AH165" s="316">
        <f>_xlfn.IFNA((VLOOKUP($A165,HN!$A:$K,9,FALSE)/12),0)+_xlfn.IFNA((VLOOKUP($A165,HN!$A:$K,10,FALSE)/12),0)</f>
        <v>0</v>
      </c>
      <c r="AI165" s="316">
        <f>_xlfn.IFNA((VLOOKUP($A165,HN!$A:$BS,15,FALSE)/12),0)</f>
        <v>11666.820833333331</v>
      </c>
      <c r="AJ165" s="315">
        <f t="shared" si="196"/>
        <v>-1134.4799999999998</v>
      </c>
      <c r="AK165" s="315">
        <f t="shared" si="197"/>
        <v>-6452.57</v>
      </c>
      <c r="AL165" s="316"/>
      <c r="AM165" s="316">
        <f>_xlfn.IFNA(VLOOKUP($A165,'Cash Advances'!$A:$S,9,FALSE),0)</f>
        <v>0</v>
      </c>
      <c r="AN165" s="315">
        <f t="shared" si="198"/>
        <v>281960.40977341548</v>
      </c>
      <c r="AO165" s="308">
        <f t="shared" si="199"/>
        <v>270380.63894008211</v>
      </c>
      <c r="AP165" s="308"/>
      <c r="AQ165" s="309"/>
      <c r="AR165" s="309">
        <f>_xlfn.IFNA((VLOOKUP($A165,HN!$A:$K,8,FALSE)/12),0)</f>
        <v>0</v>
      </c>
      <c r="AS165" s="309">
        <f>_xlfn.IFNA((VLOOKUP($A165,HN!$A:$BS,14,FALSE)/12),0)</f>
        <v>7500</v>
      </c>
      <c r="AT165" s="309">
        <f>_xlfn.IFNA(VLOOKUP($A165,'Post 16'!$A:$V,21,FALSE),0)/4</f>
        <v>0</v>
      </c>
      <c r="AU165" s="309"/>
      <c r="AV165" s="309">
        <f>_xlfn.IFNA((VLOOKUP($A165,HN!$A:$K,9,FALSE)/12),0)+_xlfn.IFNA((VLOOKUP($A165,HN!$A:$K,10,FALSE)/12),0)+_xlfn.IFNA(VLOOKUP(A165,HN!A:V,19,FALSE),0)+_xlfn.IFNA(VLOOKUP(A165,HN!A:V,20,FALSE),0)+_xlfn.IFNA(VLOOKUP(A165,HN!A:V,21,FALSE),0)</f>
        <v>0</v>
      </c>
      <c r="AW165" s="309">
        <f>_xlfn.IFNA((VLOOKUP($A165,HN!$A:$BS,15,FALSE)/12),0)</f>
        <v>11666.820833333331</v>
      </c>
      <c r="AX165" s="308">
        <f t="shared" si="200"/>
        <v>-1134.4799999999998</v>
      </c>
      <c r="AY165" s="308">
        <f t="shared" si="201"/>
        <v>-6452.57</v>
      </c>
      <c r="AZ165" s="309"/>
      <c r="BA165" s="309">
        <f>_xlfn.IFNA(VLOOKUP($A165,'Cash Advances'!$A:$S,10,FALSE),0)</f>
        <v>0</v>
      </c>
      <c r="BB165" s="308">
        <f t="shared" si="202"/>
        <v>281960.40977341548</v>
      </c>
      <c r="BC165" s="330">
        <f t="shared" si="203"/>
        <v>270380.63894008211</v>
      </c>
      <c r="BD165" s="330"/>
      <c r="BE165" s="331"/>
      <c r="BF165" s="331">
        <f>_xlfn.IFNA((VLOOKUP($A165,HN!$A:$K,8,FALSE)/12),0)</f>
        <v>0</v>
      </c>
      <c r="BG165" s="331">
        <f>_xlfn.IFNA((VLOOKUP($A165,HN!$A:$BS,14,FALSE)/12),0)</f>
        <v>7500</v>
      </c>
      <c r="BH165" s="331">
        <f>_xlfn.IFNA(VLOOKUP($A165,'Post 16'!$A:$V,21,FALSE),0)/4</f>
        <v>0</v>
      </c>
      <c r="BI165" s="331"/>
      <c r="BJ165" s="331">
        <f>_xlfn.IFNA((VLOOKUP($A165,HN!$A:$K,9,FALSE)/12),0)+_xlfn.IFNA((VLOOKUP($A165,HN!$A:$K,10,FALSE)/12),0)</f>
        <v>0</v>
      </c>
      <c r="BK165" s="331">
        <f>_xlfn.IFNA((VLOOKUP($A165,HN!$A:$BS,15,FALSE)/12),0)</f>
        <v>11666.820833333331</v>
      </c>
      <c r="BL165" s="330">
        <f t="shared" si="204"/>
        <v>-1134.4799999999998</v>
      </c>
      <c r="BM165" s="330">
        <f t="shared" si="205"/>
        <v>-6452.57</v>
      </c>
      <c r="BN165" s="331"/>
      <c r="BO165" s="331">
        <f>_xlfn.IFNA(VLOOKUP(A165,'Cash Advances'!A:K,11,FALSE),0)</f>
        <v>0</v>
      </c>
      <c r="BP165" s="330">
        <f t="shared" si="206"/>
        <v>281960.40977341548</v>
      </c>
      <c r="BQ165" s="322">
        <f t="shared" si="207"/>
        <v>270380.63894008211</v>
      </c>
      <c r="BR165" s="322"/>
      <c r="BS165" s="323"/>
      <c r="BT165" s="323">
        <f>_xlfn.IFNA((VLOOKUP($A165,HN!$A:$K,8,FALSE)/12),0)</f>
        <v>0</v>
      </c>
      <c r="BU165" s="323">
        <f>_xlfn.IFNA((VLOOKUP($A165,HN!$A:$BS,14,FALSE)/12),0)</f>
        <v>7500</v>
      </c>
      <c r="BV165" s="323">
        <f>(_xlfn.IFNA(VLOOKUP($A165,'Post 16'!$A:$AV,32,FALSE),0)/8)+_xlfn.IFNA(VLOOKUP($A165,'Post 16'!$A:$AR,40,FALSE),0)</f>
        <v>0</v>
      </c>
      <c r="BW165" s="323"/>
      <c r="BX165" s="323">
        <f>_xlfn.IFNA((VLOOKUP($A165,HN!$A:$K,9,FALSE)/12),0)+_xlfn.IFNA((VLOOKUP($A165,HN!$A:$K,10,FALSE)/12),0)</f>
        <v>0</v>
      </c>
      <c r="BY165" s="323">
        <f>_xlfn.IFNA((VLOOKUP($A165,HN!$A:$BS,15,FALSE)/12),0)</f>
        <v>11666.820833333331</v>
      </c>
      <c r="BZ165" s="322">
        <f t="shared" si="208"/>
        <v>-1134.4799999999998</v>
      </c>
      <c r="CA165" s="322">
        <f t="shared" si="209"/>
        <v>-6452.57</v>
      </c>
      <c r="CB165" s="323"/>
      <c r="CC165" s="323"/>
      <c r="CD165" s="322">
        <f t="shared" si="210"/>
        <v>281960.40977341548</v>
      </c>
      <c r="CE165" s="357">
        <f t="shared" si="211"/>
        <v>270380.63894008211</v>
      </c>
      <c r="CF165" s="357">
        <f>(VLOOKUP($A165,EY!$A:$BS,26,FALSE)-(VLOOKUP($A165,EY!A:CR,24,FALSE)*80%))+VLOOKUP($A165,EY!$A:$BS,42,FALSE)+(VLOOKUP($A165,EY!A:CC,74,FALSE)-VLOOKUP($A165,EY!A:CC,72,FALSE))</f>
        <v>0</v>
      </c>
      <c r="CG165" s="358"/>
      <c r="CH165" s="358">
        <f>_xlfn.IFNA((VLOOKUP($A165,HN!$A:$K,8,FALSE)/12),0)</f>
        <v>0</v>
      </c>
      <c r="CI165" s="358">
        <f>_xlfn.IFNA((VLOOKUP($A165,HN!$A:$BS,14,FALSE)/12),0)</f>
        <v>7500</v>
      </c>
      <c r="CJ165" s="358">
        <f>(_xlfn.IFNA(VLOOKUP($A165,'Post 16'!$A:$AV,32,FALSE),0)/8)</f>
        <v>0</v>
      </c>
      <c r="CK165" s="358">
        <f>(VLOOKUP($A165,EY!A:CR,24,FALSE)*80%)+VLOOKUP($A165,EY!A:CC,72,FALSE)</f>
        <v>0</v>
      </c>
      <c r="CL165" s="358">
        <f>_xlfn.IFNA((VLOOKUP($A165,HN!$A:$K,9,FALSE)/12),0)+_xlfn.IFNA((VLOOKUP($A165,HN!$A:$K,10,FALSE)/12),0)</f>
        <v>0</v>
      </c>
      <c r="CM165" s="358">
        <f>_xlfn.IFNA((VLOOKUP($A165,HN!$A:$BS,15,FALSE)/12),0)</f>
        <v>11666.820833333331</v>
      </c>
      <c r="CN165" s="357">
        <f t="shared" si="212"/>
        <v>-1134.4799999999998</v>
      </c>
      <c r="CO165" s="357">
        <f t="shared" si="213"/>
        <v>-6452.57</v>
      </c>
      <c r="CP165" s="358">
        <f>_xlfn.IFNA(VLOOKUP(A165,'LA Deductions'!A:W,23,FALSE),0)</f>
        <v>-12566.4</v>
      </c>
      <c r="CQ165" s="358">
        <f>_xlfn.IFNA(VLOOKUP($A165,'Cash Advances'!$A:$S,13,FALSE),0)</f>
        <v>0</v>
      </c>
      <c r="CR165" s="358">
        <f>_xlfn.IFNA(VLOOKUP(A165,'LA Deductions'!A:AZ,25,FALSE),0)/9*3</f>
        <v>0</v>
      </c>
      <c r="CS165" s="357">
        <f t="shared" si="173"/>
        <v>269394.00977341546</v>
      </c>
      <c r="CT165" s="337">
        <f t="shared" si="214"/>
        <v>270380.63894008211</v>
      </c>
      <c r="CU165" s="337"/>
      <c r="CV165" s="338">
        <f>_xlfn.IFNA(VLOOKUP(A165,'LA Deductions'!$A$6:$AN$207,34,FALSE),0)</f>
        <v>-9804.0828000000001</v>
      </c>
      <c r="CW165" s="338">
        <f>_xlfn.IFNA((VLOOKUP($A165,HN!$A:$K,8,FALSE)/12),0)</f>
        <v>0</v>
      </c>
      <c r="CX165" s="338">
        <f>_xlfn.IFNA((VLOOKUP($A165,HN!$A:$BS,14,FALSE)/12),0)</f>
        <v>7500</v>
      </c>
      <c r="CY165" s="338">
        <f>_xlfn.IFNA(VLOOKUP($A165,'Post 16'!$A:$AV,32,FALSE),0)/8</f>
        <v>0</v>
      </c>
      <c r="CZ165" s="338"/>
      <c r="DA165" s="338">
        <f>_xlfn.IFNA((VLOOKUP($A165,HN!$A:$K,9,FALSE)/12),0)+_xlfn.IFNA((VLOOKUP($A165,HN!$A:$K,10,FALSE)/12),0)</f>
        <v>0</v>
      </c>
      <c r="DB165" s="338">
        <f>_xlfn.IFNA((VLOOKUP($A165,HN!$A:$BS,15,FALSE)/12),0)</f>
        <v>11666.820833333331</v>
      </c>
      <c r="DC165" s="337">
        <f t="shared" si="215"/>
        <v>-1134.4799999999998</v>
      </c>
      <c r="DD165" s="337">
        <f t="shared" si="216"/>
        <v>-6452.57</v>
      </c>
      <c r="DE165" s="338"/>
      <c r="DF165" s="338">
        <f>_xlfn.IFNA(VLOOKUP($A165,'Cash Advances'!$A:$S,14,FALSE),0)</f>
        <v>0</v>
      </c>
      <c r="DG165" s="338">
        <f>(_xlfn.IFNA(VLOOKUP(A165,'LA Deductions'!A:AZ,25,FALSE),0)/9)+(_xlfn.IFNA(VLOOKUP(A165,'LA Deductions'!A:AZ,26,FALSE),0))</f>
        <v>0</v>
      </c>
      <c r="DH165" s="337">
        <f t="shared" si="174"/>
        <v>272156.32697341539</v>
      </c>
      <c r="DI165" s="330">
        <f t="shared" si="217"/>
        <v>270380.63894008211</v>
      </c>
      <c r="DJ165" s="330"/>
      <c r="DK165" s="331"/>
      <c r="DL165" s="331">
        <f>_xlfn.IFNA((VLOOKUP($A165,HN!$A:$K,8,FALSE)/12),0)+_xlfn.IFNA((VLOOKUP($A165,HN!$A:$AF,32,FALSE)*8/12),0)</f>
        <v>0</v>
      </c>
      <c r="DM165" s="331">
        <f>_xlfn.IFNA((VLOOKUP($A165,HN!$A:$BS,14,FALSE)/12),0)+_xlfn.IFNA(VLOOKUP($A165,HN!$A:$BS,31,FALSE),0)</f>
        <v>7500</v>
      </c>
      <c r="DN165" s="331">
        <f>_xlfn.IFNA(VLOOKUP($A165,'Post 16'!$A:$AV,32,FALSE),0)/8</f>
        <v>0</v>
      </c>
      <c r="DO165" s="331"/>
      <c r="DP165" s="331">
        <f>_xlfn.IFNA((VLOOKUP($A165,HN!$A:$K,9,FALSE)/12),0)+_xlfn.IFNA((VLOOKUP($A165,HN!$A:$K,10,FALSE)/12),0)+_xlfn.IFNA((VLOOKUP($A165,HN!$A:$BZ,33,FALSE)*8/12),0)</f>
        <v>0</v>
      </c>
      <c r="DQ165" s="331">
        <f>_xlfn.IFNA((VLOOKUP($A165,HN!$A:$BS,15,FALSE)/12),0)</f>
        <v>11666.820833333331</v>
      </c>
      <c r="DR165" s="330">
        <f t="shared" si="218"/>
        <v>-1134.4799999999998</v>
      </c>
      <c r="DS165" s="330">
        <f t="shared" si="219"/>
        <v>-6452.57</v>
      </c>
      <c r="DT165" s="331"/>
      <c r="DU165" s="331"/>
      <c r="DV165" s="331">
        <f>(_xlfn.IFNA(VLOOKUP(A165,'LA Deductions'!A:AZ,25,FALSE),0)/9)+_xlfn.IFNA(VLOOKUP(A165,'LA Deductions'!A:AZ,27,FALSE),0)</f>
        <v>0</v>
      </c>
      <c r="DW165" s="330">
        <f t="shared" si="175"/>
        <v>281960.40977341548</v>
      </c>
      <c r="DX165" s="344">
        <f t="shared" si="220"/>
        <v>270380.63894008211</v>
      </c>
      <c r="DY165" s="344"/>
      <c r="DZ165" s="345"/>
      <c r="EA165" s="345">
        <f>_xlfn.IFNA((VLOOKUP($A165,HN!$A:$K,8,FALSE)/12),0)+_xlfn.IFNA((VLOOKUP($A165,HN!$A:$AF,32,FALSE)*1/12),0)</f>
        <v>0</v>
      </c>
      <c r="EB165" s="345">
        <f>_xlfn.IFNA((VLOOKUP($A165,HN!$A:$BS,14,FALSE)/12),0)</f>
        <v>7500</v>
      </c>
      <c r="EC165" s="345">
        <f>_xlfn.IFNA(VLOOKUP($A165,'Post 16'!$A:$AV,32,FALSE),0)/8</f>
        <v>0</v>
      </c>
      <c r="ED165" s="345"/>
      <c r="EE165" s="345">
        <f>_xlfn.IFNA((VLOOKUP($A165,HN!$A:$K,9,FALSE)/12),0)+_xlfn.IFNA((VLOOKUP($A165,HN!$A:$K,10,FALSE)/12),0)+_xlfn.IFNA((VLOOKUP($A165,HN!$A:$BZ,33,FALSE)/12),0)</f>
        <v>0</v>
      </c>
      <c r="EF165" s="345">
        <f>_xlfn.IFNA((VLOOKUP($A165,HN!$A:$BS,15,FALSE)/12),0)</f>
        <v>11666.820833333331</v>
      </c>
      <c r="EG165" s="344">
        <f t="shared" si="221"/>
        <v>-1134.4799999999998</v>
      </c>
      <c r="EH165" s="344">
        <f t="shared" si="222"/>
        <v>-6452.57</v>
      </c>
      <c r="EI165" s="345"/>
      <c r="EJ165" s="345">
        <f>_xlfn.IFNA(VLOOKUP(A165,'Cash Advances'!A:P,16,FALSE),0)</f>
        <v>0</v>
      </c>
      <c r="EK165" s="345">
        <f>_xlfn.IFNA(VLOOKUP(A165,'LA Deductions'!A:AZ,25,FALSE),0)/9</f>
        <v>0</v>
      </c>
      <c r="EL165" s="344">
        <f t="shared" si="176"/>
        <v>281960.40977341548</v>
      </c>
      <c r="EM165" s="308">
        <f t="shared" si="223"/>
        <v>270380.63894008211</v>
      </c>
      <c r="EN165" s="308">
        <f>((VLOOKUP($A165,EY!$A:$BS,35,FALSE)-(VLOOKUP($A165,EY!$A:$BS,33,FALSE)*80%))+VLOOKUP($A165,EY!$A:$BS,43,FALSE))+(VLOOKUP(A165,EY!A:DF,110,FALSE)-VLOOKUP(A165,EY!A:DD,108,FALSE))+(VLOOKUP(A165,EY!A:CE,83,FALSE)-VLOOKUP(A165,EY!A:CC,81,FALSE))</f>
        <v>0</v>
      </c>
      <c r="EO165" s="309"/>
      <c r="EP165" s="309">
        <f>_xlfn.IFNA((VLOOKUP($A165,HN!$A:$K,8,FALSE)/12),0)+_xlfn.IFNA((VLOOKUP($A165,HN!$A:$AF,32,FALSE)*1/12),0)</f>
        <v>0</v>
      </c>
      <c r="EQ165" s="309">
        <f>_xlfn.IFNA((VLOOKUP($A165,HN!$A:$BS,14,FALSE)/12),0)+_xlfn.IFNA((VLOOKUP($A165,HN!$A:$BS,34,FALSE)/3),0)</f>
        <v>7500</v>
      </c>
      <c r="ER165" s="309">
        <f>_xlfn.IFNA(VLOOKUP($A165,'Post 16'!$A:$AV,32,FALSE),0)/8</f>
        <v>0</v>
      </c>
      <c r="ES165" s="309">
        <f>((VLOOKUP($A165,EY!A:EV,33,FALSE)*80%))+VLOOKUP(A165,EY!A:DD,108,FALSE)+VLOOKUP(A165,EY!A:CC,81,FALSE)</f>
        <v>0</v>
      </c>
      <c r="ET165" s="309">
        <f>_xlfn.IFNA((VLOOKUP($A165,HN!$A:$K,9,FALSE)/12),0)+_xlfn.IFNA((VLOOKUP($A165,HN!$A:$K,10,FALSE)/12),0)+_xlfn.IFNA((VLOOKUP($A165,HN!$A:$BZ,33,FALSE)/12),0)</f>
        <v>0</v>
      </c>
      <c r="EU165" s="309">
        <f>_xlfn.IFNA((VLOOKUP($A165,HN!$A:$BS,15,FALSE)/12),0)</f>
        <v>11666.820833333331</v>
      </c>
      <c r="EV165" s="308">
        <f t="shared" si="224"/>
        <v>-1134.4799999999998</v>
      </c>
      <c r="EW165" s="308">
        <f t="shared" si="225"/>
        <v>-6452.57</v>
      </c>
      <c r="EX165" s="309"/>
      <c r="EY165" s="309">
        <f>_xlfn.IFNA(VLOOKUP($A165,'Cash Advances'!$A:$S,17,FALSE),0)</f>
        <v>0</v>
      </c>
      <c r="EZ165" s="309">
        <f>_xlfn.IFNA(VLOOKUP(A165,'LA Deductions'!A:AZ,25,FALSE),0)/9</f>
        <v>0</v>
      </c>
      <c r="FA165" s="308">
        <f t="shared" si="177"/>
        <v>281960.40977341548</v>
      </c>
      <c r="FB165" s="315">
        <f t="shared" si="226"/>
        <v>270380.63894008211</v>
      </c>
      <c r="FC165" s="315"/>
      <c r="FD165" s="316"/>
      <c r="FE165" s="316">
        <f>_xlfn.IFNA((VLOOKUP($A165,HN!$A:$K,8,FALSE)/12),0)+_xlfn.IFNA((VLOOKUP($A165,HN!$A:$AF,32,FALSE)*1/12),0)</f>
        <v>0</v>
      </c>
      <c r="FF165" s="316">
        <f>_xlfn.IFNA((VLOOKUP($A165,HN!$A:$BS,14,FALSE)/12),0)+_xlfn.IFNA((VLOOKUP($A165,HN!$A:$BS,34,FALSE)/3),0)</f>
        <v>7500</v>
      </c>
      <c r="FG165" s="316">
        <f>_xlfn.IFNA(VLOOKUP($A165,'Post 16'!$A:$AV,32,FALSE),0)/8</f>
        <v>0</v>
      </c>
      <c r="FH165" s="316"/>
      <c r="FI165" s="316">
        <f>_xlfn.IFNA((VLOOKUP($A165,HN!$A:$K,9,FALSE)/12),0)+_xlfn.IFNA((VLOOKUP($A165,HN!$A:$K,10,FALSE)/12),0)+_xlfn.IFNA((VLOOKUP($A165,HN!$A:$BZ,33,FALSE)/12),0)+_xlfn.IFNA((VLOOKUP($A165,HN!$A:$BZ,35,FALSE)/2),0)</f>
        <v>0</v>
      </c>
      <c r="FJ165" s="316">
        <f>_xlfn.IFNA((VLOOKUP($A165,HN!$A:$BS,15,FALSE)/12),0)+_xlfn.IFNA((VLOOKUP($A165,HN!$A:$CZ,36,FALSE)/2),0)</f>
        <v>2690.0158333333311</v>
      </c>
      <c r="FK165" s="315">
        <f t="shared" si="227"/>
        <v>-1134.4799999999998</v>
      </c>
      <c r="FL165" s="315">
        <f t="shared" si="228"/>
        <v>-6452.57</v>
      </c>
      <c r="FM165" s="316"/>
      <c r="FN165" s="316">
        <f>_xlfn.IFNA(VLOOKUP($A165,'Cash Advances'!$A:$S,18,FALSE),0)</f>
        <v>0</v>
      </c>
      <c r="FO165" s="316">
        <f>_xlfn.IFNA(VLOOKUP(A165,'LA Deductions'!A:AZ,25,FALSE),0)/9</f>
        <v>0</v>
      </c>
      <c r="FP165" s="315">
        <f t="shared" si="178"/>
        <v>272983.60477341543</v>
      </c>
      <c r="FQ165" s="322">
        <f t="shared" si="229"/>
        <v>270380.63894008211</v>
      </c>
      <c r="FR165" s="322"/>
      <c r="FS165" s="323"/>
      <c r="FT165" s="323">
        <f>_xlfn.IFNA((VLOOKUP($A165,HN!$A:$K,8,FALSE)/12),0)+_xlfn.IFNA((VLOOKUP($A165,HN!$A:$AF,32,FALSE)*1/12),0)</f>
        <v>0</v>
      </c>
      <c r="FU165" s="323">
        <f>_xlfn.IFNA((VLOOKUP($A165,HN!$A:$BS,14,FALSE)/12),0)+_xlfn.IFNA((VLOOKUP($A165,HN!$A:$BS,34,FALSE)/3),0)</f>
        <v>7500</v>
      </c>
      <c r="FV165" s="323">
        <f>_xlfn.IFNA(VLOOKUP($A165,'Post 16'!$A:$AV,32,FALSE),0)/8</f>
        <v>0</v>
      </c>
      <c r="FW165" s="323"/>
      <c r="FX165" s="323">
        <f>_xlfn.IFNA((VLOOKUP($A165,HN!$A:$K,9,FALSE)/12),0)+_xlfn.IFNA((VLOOKUP($A165,HN!$A:$K,10,FALSE)/12),0)+_xlfn.IFNA((VLOOKUP($A165,HN!$A:$BZ,33,FALSE)/12),0)+_xlfn.IFNA((VLOOKUP($A165,HN!$A:$BZ,35,FALSE)/2),0)</f>
        <v>0</v>
      </c>
      <c r="FY165" s="323">
        <f>_xlfn.IFNA((VLOOKUP($A165,HN!$A:$BS,15,FALSE)/12),0)+_xlfn.IFNA((VLOOKUP($A165,HN!$A:$CZ,36,FALSE)/2),0)</f>
        <v>2690.0158333333311</v>
      </c>
      <c r="FZ165" s="322">
        <f t="shared" si="230"/>
        <v>-1134.4799999999998</v>
      </c>
      <c r="GA165" s="322">
        <f t="shared" si="231"/>
        <v>-6452.57</v>
      </c>
      <c r="GB165" s="323"/>
      <c r="GC165" s="323"/>
      <c r="GD165" s="323">
        <f>_xlfn.IFNA(VLOOKUP(A165,'LA Deductions'!A:AZ,25,FALSE),0)/9</f>
        <v>0</v>
      </c>
      <c r="GE165" s="322">
        <f t="shared" si="179"/>
        <v>272983.60477341543</v>
      </c>
      <c r="GG165" s="146">
        <f t="shared" ref="GG165:GL174" si="232">SUMIFS($M165:$GE165,$M$7:$GE$7,GG$7)</f>
        <v>3324763.5844809846</v>
      </c>
      <c r="GH165" s="146">
        <f t="shared" si="232"/>
        <v>0</v>
      </c>
      <c r="GI165" s="146">
        <f t="shared" si="232"/>
        <v>122048.23999999999</v>
      </c>
      <c r="GJ165" s="146">
        <f t="shared" si="232"/>
        <v>-13613.759999999997</v>
      </c>
      <c r="GK165" s="146">
        <f t="shared" si="232"/>
        <v>-77430.84</v>
      </c>
      <c r="GL165" s="146">
        <f t="shared" si="232"/>
        <v>-12566.4</v>
      </c>
      <c r="GN165" s="146">
        <f t="shared" ref="GN165:GS174" si="233">SUMIFS($M165:$GE165,$M$7:$GE$7,GN$7,$M$4:$GE$4,$GN$6)</f>
        <v>3324763.5844809846</v>
      </c>
      <c r="GO165" s="146">
        <f t="shared" si="233"/>
        <v>0</v>
      </c>
      <c r="GP165" s="146">
        <f t="shared" si="233"/>
        <v>122048.23999999999</v>
      </c>
      <c r="GQ165" s="146">
        <f t="shared" si="233"/>
        <v>-13613.759999999997</v>
      </c>
      <c r="GR165" s="146">
        <f t="shared" si="233"/>
        <v>-77430.84</v>
      </c>
      <c r="GS165" s="146">
        <f t="shared" si="233"/>
        <v>-12566.4</v>
      </c>
      <c r="GU165" s="146"/>
      <c r="GV165" s="57"/>
    </row>
    <row r="166" spans="1:204">
      <c r="A166" s="185">
        <v>1001</v>
      </c>
      <c r="B166" s="185">
        <v>103120</v>
      </c>
      <c r="C166" s="185" t="s">
        <v>354</v>
      </c>
      <c r="D166" s="2" t="s">
        <v>355</v>
      </c>
      <c r="E166" s="191" t="s">
        <v>29</v>
      </c>
      <c r="F166" s="191" t="s">
        <v>912</v>
      </c>
      <c r="H166" s="279">
        <f>_xlfn.IFNA(VLOOKUP($A166,ISB!$A$4:$BY$454,67,FALSE),0)</f>
        <v>0</v>
      </c>
      <c r="I166" s="279">
        <f>_xlfn.IFNA(VLOOKUP($A166,ISB!$A$4:$BY$454,72,FALSE),0)</f>
        <v>0</v>
      </c>
      <c r="J166" s="279">
        <f>-_xlfn.IFNA(VLOOKUP($A166,ISB!$A$4:$BY$454,76,FALSE),0)</f>
        <v>0</v>
      </c>
      <c r="K166" s="279">
        <f>_xlfn.IFNA(VLOOKUP($A166,ISB!$A$4:$BY$454,77,FALSE),0)</f>
        <v>0</v>
      </c>
      <c r="M166" s="301">
        <f t="shared" si="191"/>
        <v>0</v>
      </c>
      <c r="N166" s="301">
        <f>VLOOKUP($A166,EY!$A:$H,8,FALSE)+(VLOOKUP($A166,EY!$A:$BS,17,FALSE)-S166)+VLOOKUP($A166,EY!$A:$BS,41,FALSE)</f>
        <v>297992.27125457476</v>
      </c>
      <c r="O166" s="302"/>
      <c r="P166" s="302">
        <f>_xlfn.IFNA((VLOOKUP($A166,HN!$A:$K,8,FALSE)/12),0)</f>
        <v>0</v>
      </c>
      <c r="Q166" s="302">
        <f>_xlfn.IFNA((VLOOKUP($A166,HN!$A:$BS,14,FALSE)/12),0)</f>
        <v>0</v>
      </c>
      <c r="R166" s="302">
        <f>_xlfn.IFNA(VLOOKUP($A166,'Post 16'!$A:$V,21,FALSE),0)/4</f>
        <v>0</v>
      </c>
      <c r="S166" s="302">
        <f>VLOOKUP($A166,EY!A:Q,15,FALSE)*80%</f>
        <v>513.43157894736839</v>
      </c>
      <c r="T166" s="302">
        <f>_xlfn.IFNA((VLOOKUP($A166,HN!$A:$K,9,FALSE)/12),0)+_xlfn.IFNA((VLOOKUP($A166,HN!$A:$K,10,FALSE)/12),0)</f>
        <v>0</v>
      </c>
      <c r="U166" s="302">
        <f>_xlfn.IFNA((VLOOKUP($A166,HN!$A:$BS,15,FALSE)/12),0)</f>
        <v>0</v>
      </c>
      <c r="V166" s="301">
        <f t="shared" si="192"/>
        <v>0</v>
      </c>
      <c r="W166" s="301">
        <f t="shared" si="193"/>
        <v>0</v>
      </c>
      <c r="X166" s="302"/>
      <c r="Y166" s="302">
        <f>_xlfn.IFNA(VLOOKUP($A166,'Cash Advances'!$A:$S,8,FALSE),0)</f>
        <v>0</v>
      </c>
      <c r="Z166" s="301">
        <f t="shared" si="194"/>
        <v>298505.70283352211</v>
      </c>
      <c r="AA166" s="315">
        <f t="shared" si="195"/>
        <v>0</v>
      </c>
      <c r="AB166" s="315"/>
      <c r="AC166" s="316"/>
      <c r="AD166" s="316">
        <f>_xlfn.IFNA((VLOOKUP($A166,HN!$A:$K,8,FALSE)/12),0)</f>
        <v>0</v>
      </c>
      <c r="AE166" s="316">
        <f>_xlfn.IFNA((VLOOKUP($A166,HN!$A:$BS,14,FALSE)/12),0)</f>
        <v>0</v>
      </c>
      <c r="AF166" s="316">
        <f>_xlfn.IFNA(VLOOKUP($A166,'Post 16'!$A:$V,21,FALSE),0)/4</f>
        <v>0</v>
      </c>
      <c r="AG166" s="316"/>
      <c r="AH166" s="316">
        <f>_xlfn.IFNA((VLOOKUP($A166,HN!$A:$K,9,FALSE)/12),0)+_xlfn.IFNA((VLOOKUP($A166,HN!$A:$K,10,FALSE)/12),0)</f>
        <v>0</v>
      </c>
      <c r="AI166" s="316">
        <f>_xlfn.IFNA((VLOOKUP($A166,HN!$A:$BS,15,FALSE)/12),0)</f>
        <v>0</v>
      </c>
      <c r="AJ166" s="315">
        <f t="shared" si="196"/>
        <v>0</v>
      </c>
      <c r="AK166" s="315">
        <f t="shared" si="197"/>
        <v>0</v>
      </c>
      <c r="AL166" s="316"/>
      <c r="AM166" s="316">
        <f>_xlfn.IFNA(VLOOKUP($A166,'Cash Advances'!$A:$S,9,FALSE),0)</f>
        <v>0</v>
      </c>
      <c r="AN166" s="315">
        <f t="shared" si="198"/>
        <v>0</v>
      </c>
      <c r="AO166" s="308">
        <f t="shared" si="199"/>
        <v>0</v>
      </c>
      <c r="AP166" s="308"/>
      <c r="AQ166" s="309"/>
      <c r="AR166" s="309">
        <f>_xlfn.IFNA((VLOOKUP($A166,HN!$A:$K,8,FALSE)/12),0)</f>
        <v>0</v>
      </c>
      <c r="AS166" s="309">
        <f>_xlfn.IFNA((VLOOKUP($A166,HN!$A:$BS,14,FALSE)/12),0)</f>
        <v>0</v>
      </c>
      <c r="AT166" s="309">
        <f>_xlfn.IFNA(VLOOKUP($A166,'Post 16'!$A:$V,21,FALSE),0)/4</f>
        <v>0</v>
      </c>
      <c r="AU166" s="309"/>
      <c r="AV166" s="309">
        <f>_xlfn.IFNA((VLOOKUP($A166,HN!$A:$K,9,FALSE)/12),0)+_xlfn.IFNA((VLOOKUP($A166,HN!$A:$K,10,FALSE)/12),0)+_xlfn.IFNA(VLOOKUP(A166,HN!A:V,19,FALSE),0)+_xlfn.IFNA(VLOOKUP(A166,HN!A:V,20,FALSE),0)+_xlfn.IFNA(VLOOKUP(A166,HN!A:V,21,FALSE),0)</f>
        <v>0</v>
      </c>
      <c r="AW166" s="309">
        <f>_xlfn.IFNA((VLOOKUP($A166,HN!$A:$BS,15,FALSE)/12),0)</f>
        <v>0</v>
      </c>
      <c r="AX166" s="308">
        <f t="shared" si="200"/>
        <v>0</v>
      </c>
      <c r="AY166" s="308">
        <f t="shared" si="201"/>
        <v>0</v>
      </c>
      <c r="AZ166" s="309"/>
      <c r="BA166" s="309">
        <f>_xlfn.IFNA(VLOOKUP($A166,'Cash Advances'!$A:$S,10,FALSE),0)</f>
        <v>0</v>
      </c>
      <c r="BB166" s="308">
        <f t="shared" si="202"/>
        <v>0</v>
      </c>
      <c r="BC166" s="330">
        <f t="shared" si="203"/>
        <v>0</v>
      </c>
      <c r="BD166" s="330"/>
      <c r="BE166" s="331"/>
      <c r="BF166" s="331">
        <f>_xlfn.IFNA((VLOOKUP($A166,HN!$A:$K,8,FALSE)/12),0)</f>
        <v>0</v>
      </c>
      <c r="BG166" s="331">
        <f>_xlfn.IFNA((VLOOKUP($A166,HN!$A:$BS,14,FALSE)/12),0)</f>
        <v>0</v>
      </c>
      <c r="BH166" s="331">
        <f>_xlfn.IFNA(VLOOKUP($A166,'Post 16'!$A:$V,21,FALSE),0)/4</f>
        <v>0</v>
      </c>
      <c r="BI166" s="331"/>
      <c r="BJ166" s="331">
        <f>_xlfn.IFNA((VLOOKUP($A166,HN!$A:$K,9,FALSE)/12),0)+_xlfn.IFNA((VLOOKUP($A166,HN!$A:$K,10,FALSE)/12),0)</f>
        <v>0</v>
      </c>
      <c r="BK166" s="331">
        <f>_xlfn.IFNA((VLOOKUP($A166,HN!$A:$BS,15,FALSE)/12),0)</f>
        <v>0</v>
      </c>
      <c r="BL166" s="330">
        <f t="shared" si="204"/>
        <v>0</v>
      </c>
      <c r="BM166" s="330">
        <f t="shared" si="205"/>
        <v>0</v>
      </c>
      <c r="BN166" s="331"/>
      <c r="BO166" s="331">
        <f>_xlfn.IFNA(VLOOKUP(A166,'Cash Advances'!A:K,11,FALSE),0)</f>
        <v>0</v>
      </c>
      <c r="BP166" s="330">
        <f t="shared" si="206"/>
        <v>0</v>
      </c>
      <c r="BQ166" s="322">
        <f t="shared" si="207"/>
        <v>0</v>
      </c>
      <c r="BR166" s="322"/>
      <c r="BS166" s="323"/>
      <c r="BT166" s="323">
        <f>_xlfn.IFNA((VLOOKUP($A166,HN!$A:$K,8,FALSE)/12),0)</f>
        <v>0</v>
      </c>
      <c r="BU166" s="323">
        <f>_xlfn.IFNA((VLOOKUP($A166,HN!$A:$BS,14,FALSE)/12),0)</f>
        <v>0</v>
      </c>
      <c r="BV166" s="323">
        <f>(_xlfn.IFNA(VLOOKUP($A166,'Post 16'!$A:$AV,32,FALSE),0)/8)+_xlfn.IFNA(VLOOKUP($A166,'Post 16'!$A:$AR,40,FALSE),0)</f>
        <v>0</v>
      </c>
      <c r="BW166" s="323"/>
      <c r="BX166" s="323">
        <f>_xlfn.IFNA((VLOOKUP($A166,HN!$A:$K,9,FALSE)/12),0)+_xlfn.IFNA((VLOOKUP($A166,HN!$A:$K,10,FALSE)/12),0)</f>
        <v>0</v>
      </c>
      <c r="BY166" s="323">
        <f>_xlfn.IFNA((VLOOKUP($A166,HN!$A:$BS,15,FALSE)/12),0)</f>
        <v>0</v>
      </c>
      <c r="BZ166" s="322">
        <f t="shared" si="208"/>
        <v>0</v>
      </c>
      <c r="CA166" s="322">
        <f t="shared" si="209"/>
        <v>0</v>
      </c>
      <c r="CB166" s="323"/>
      <c r="CC166" s="323"/>
      <c r="CD166" s="322">
        <f t="shared" si="210"/>
        <v>0</v>
      </c>
      <c r="CE166" s="357">
        <f t="shared" si="211"/>
        <v>0</v>
      </c>
      <c r="CF166" s="357">
        <f>(VLOOKUP($A166,EY!$A:$BS,26,FALSE)-(VLOOKUP($A166,EY!A:CR,24,FALSE)*80%))+VLOOKUP($A166,EY!$A:$BS,42,FALSE)+(VLOOKUP($A166,EY!A:CC,74,FALSE)-VLOOKUP($A166,EY!A:CC,72,FALSE))</f>
        <v>103007.59726219812</v>
      </c>
      <c r="CG166" s="358"/>
      <c r="CH166" s="358">
        <f>_xlfn.IFNA((VLOOKUP($A166,HN!$A:$K,8,FALSE)/12),0)</f>
        <v>0</v>
      </c>
      <c r="CI166" s="358">
        <f>_xlfn.IFNA((VLOOKUP($A166,HN!$A:$BS,14,FALSE)/12),0)</f>
        <v>0</v>
      </c>
      <c r="CJ166" s="358">
        <f>(_xlfn.IFNA(VLOOKUP($A166,'Post 16'!$A:$AV,32,FALSE),0)/8)</f>
        <v>0</v>
      </c>
      <c r="CK166" s="358">
        <f>(VLOOKUP($A166,EY!A:CR,24,FALSE)*80%)+VLOOKUP($A166,EY!A:CC,72,FALSE)</f>
        <v>64.17421052631579</v>
      </c>
      <c r="CL166" s="358">
        <f>_xlfn.IFNA((VLOOKUP($A166,HN!$A:$K,9,FALSE)/12),0)+_xlfn.IFNA((VLOOKUP($A166,HN!$A:$K,10,FALSE)/12),0)</f>
        <v>0</v>
      </c>
      <c r="CM166" s="358">
        <f>_xlfn.IFNA((VLOOKUP($A166,HN!$A:$BS,15,FALSE)/12),0)</f>
        <v>0</v>
      </c>
      <c r="CN166" s="357">
        <f t="shared" si="212"/>
        <v>0</v>
      </c>
      <c r="CO166" s="357">
        <f t="shared" si="213"/>
        <v>0</v>
      </c>
      <c r="CP166" s="358">
        <f>_xlfn.IFNA(VLOOKUP(A166,'LA Deductions'!A:W,23,FALSE),0)</f>
        <v>-3291.75</v>
      </c>
      <c r="CQ166" s="358">
        <f>_xlfn.IFNA(VLOOKUP($A166,'Cash Advances'!$A:$S,13,FALSE),0)</f>
        <v>0</v>
      </c>
      <c r="CR166" s="358">
        <f>_xlfn.IFNA(VLOOKUP(A166,'LA Deductions'!A:AZ,25,FALSE),0)/9*3</f>
        <v>0</v>
      </c>
      <c r="CS166" s="357">
        <f t="shared" si="173"/>
        <v>99780.021472724431</v>
      </c>
      <c r="CT166" s="337">
        <f t="shared" si="214"/>
        <v>0</v>
      </c>
      <c r="CU166" s="337"/>
      <c r="CV166" s="338">
        <f>_xlfn.IFNA(VLOOKUP(A166,'LA Deductions'!$A$6:$AN$207,34,FALSE),0)</f>
        <v>0</v>
      </c>
      <c r="CW166" s="338">
        <f>_xlfn.IFNA((VLOOKUP($A166,HN!$A:$K,8,FALSE)/12),0)</f>
        <v>0</v>
      </c>
      <c r="CX166" s="338">
        <f>_xlfn.IFNA((VLOOKUP($A166,HN!$A:$BS,14,FALSE)/12),0)</f>
        <v>0</v>
      </c>
      <c r="CY166" s="338">
        <f>_xlfn.IFNA(VLOOKUP($A166,'Post 16'!$A:$AV,32,FALSE),0)/8</f>
        <v>0</v>
      </c>
      <c r="CZ166" s="338"/>
      <c r="DA166" s="338">
        <f>_xlfn.IFNA((VLOOKUP($A166,HN!$A:$K,9,FALSE)/12),0)+_xlfn.IFNA((VLOOKUP($A166,HN!$A:$K,10,FALSE)/12),0)</f>
        <v>0</v>
      </c>
      <c r="DB166" s="338">
        <f>_xlfn.IFNA((VLOOKUP($A166,HN!$A:$BS,15,FALSE)/12),0)</f>
        <v>0</v>
      </c>
      <c r="DC166" s="337">
        <f t="shared" si="215"/>
        <v>0</v>
      </c>
      <c r="DD166" s="337">
        <f t="shared" si="216"/>
        <v>0</v>
      </c>
      <c r="DE166" s="338"/>
      <c r="DF166" s="338">
        <f>_xlfn.IFNA(VLOOKUP($A166,'Cash Advances'!$A:$S,14,FALSE),0)</f>
        <v>0</v>
      </c>
      <c r="DG166" s="338">
        <f>(_xlfn.IFNA(VLOOKUP(A166,'LA Deductions'!A:AZ,25,FALSE),0)/9)+(_xlfn.IFNA(VLOOKUP(A166,'LA Deductions'!A:AZ,26,FALSE),0))</f>
        <v>0</v>
      </c>
      <c r="DH166" s="337">
        <f t="shared" si="174"/>
        <v>0</v>
      </c>
      <c r="DI166" s="330">
        <f t="shared" si="217"/>
        <v>0</v>
      </c>
      <c r="DJ166" s="330"/>
      <c r="DK166" s="331"/>
      <c r="DL166" s="331">
        <f>_xlfn.IFNA((VLOOKUP($A166,HN!$A:$K,8,FALSE)/12),0)+_xlfn.IFNA((VLOOKUP($A166,HN!$A:$AF,32,FALSE)*8/12),0)</f>
        <v>0</v>
      </c>
      <c r="DM166" s="331">
        <f>_xlfn.IFNA((VLOOKUP($A166,HN!$A:$BS,14,FALSE)/12),0)+_xlfn.IFNA(VLOOKUP($A166,HN!$A:$BS,31,FALSE),0)</f>
        <v>0</v>
      </c>
      <c r="DN166" s="331">
        <f>_xlfn.IFNA(VLOOKUP($A166,'Post 16'!$A:$AV,32,FALSE),0)/8</f>
        <v>0</v>
      </c>
      <c r="DO166" s="331"/>
      <c r="DP166" s="331">
        <f>_xlfn.IFNA((VLOOKUP($A166,HN!$A:$K,9,FALSE)/12),0)+_xlfn.IFNA((VLOOKUP($A166,HN!$A:$K,10,FALSE)/12),0)+_xlfn.IFNA((VLOOKUP($A166,HN!$A:$BZ,33,FALSE)*8/12),0)</f>
        <v>0</v>
      </c>
      <c r="DQ166" s="331">
        <f>_xlfn.IFNA((VLOOKUP($A166,HN!$A:$BS,15,FALSE)/12),0)</f>
        <v>0</v>
      </c>
      <c r="DR166" s="330">
        <f t="shared" si="218"/>
        <v>0</v>
      </c>
      <c r="DS166" s="330">
        <f t="shared" si="219"/>
        <v>0</v>
      </c>
      <c r="DT166" s="331"/>
      <c r="DU166" s="331"/>
      <c r="DV166" s="331">
        <f>(_xlfn.IFNA(VLOOKUP(A166,'LA Deductions'!A:AZ,25,FALSE),0)/9)+_xlfn.IFNA(VLOOKUP(A166,'LA Deductions'!A:AZ,27,FALSE),0)</f>
        <v>0</v>
      </c>
      <c r="DW166" s="330">
        <f t="shared" si="175"/>
        <v>0</v>
      </c>
      <c r="DX166" s="344">
        <f t="shared" si="220"/>
        <v>0</v>
      </c>
      <c r="DY166" s="344"/>
      <c r="DZ166" s="345"/>
      <c r="EA166" s="345">
        <f>_xlfn.IFNA((VLOOKUP($A166,HN!$A:$K,8,FALSE)/12),0)+_xlfn.IFNA((VLOOKUP($A166,HN!$A:$AF,32,FALSE)*1/12),0)</f>
        <v>0</v>
      </c>
      <c r="EB166" s="345">
        <f>_xlfn.IFNA((VLOOKUP($A166,HN!$A:$BS,14,FALSE)/12),0)</f>
        <v>0</v>
      </c>
      <c r="EC166" s="345">
        <f>_xlfn.IFNA(VLOOKUP($A166,'Post 16'!$A:$AV,32,FALSE),0)/8</f>
        <v>0</v>
      </c>
      <c r="ED166" s="345"/>
      <c r="EE166" s="345">
        <f>_xlfn.IFNA((VLOOKUP($A166,HN!$A:$K,9,FALSE)/12),0)+_xlfn.IFNA((VLOOKUP($A166,HN!$A:$K,10,FALSE)/12),0)+_xlfn.IFNA((VLOOKUP($A166,HN!$A:$BZ,33,FALSE)/12),0)</f>
        <v>0</v>
      </c>
      <c r="EF166" s="345">
        <f>_xlfn.IFNA((VLOOKUP($A166,HN!$A:$BS,15,FALSE)/12),0)</f>
        <v>0</v>
      </c>
      <c r="EG166" s="344">
        <f t="shared" si="221"/>
        <v>0</v>
      </c>
      <c r="EH166" s="344">
        <f t="shared" si="222"/>
        <v>0</v>
      </c>
      <c r="EI166" s="345"/>
      <c r="EJ166" s="345">
        <f>_xlfn.IFNA(VLOOKUP(A166,'Cash Advances'!A:P,16,FALSE),0)</f>
        <v>0</v>
      </c>
      <c r="EK166" s="345">
        <f>_xlfn.IFNA(VLOOKUP(A166,'LA Deductions'!A:AZ,25,FALSE),0)/9</f>
        <v>0</v>
      </c>
      <c r="EL166" s="344">
        <f t="shared" si="176"/>
        <v>0</v>
      </c>
      <c r="EM166" s="308">
        <f t="shared" si="223"/>
        <v>0</v>
      </c>
      <c r="EN166" s="308">
        <f>((VLOOKUP($A166,EY!$A:$BS,35,FALSE)-(VLOOKUP($A166,EY!$A:$BS,33,FALSE)*80%))+VLOOKUP($A166,EY!$A:$BS,43,FALSE))+(VLOOKUP(A166,EY!A:DF,110,FALSE)-VLOOKUP(A166,EY!A:DD,108,FALSE))+(VLOOKUP(A166,EY!A:CE,83,FALSE)-VLOOKUP(A166,EY!A:CC,81,FALSE))</f>
        <v>124943.99263157896</v>
      </c>
      <c r="EO166" s="309"/>
      <c r="EP166" s="309">
        <f>_xlfn.IFNA((VLOOKUP($A166,HN!$A:$K,8,FALSE)/12),0)+_xlfn.IFNA((VLOOKUP($A166,HN!$A:$AF,32,FALSE)*1/12),0)</f>
        <v>0</v>
      </c>
      <c r="EQ166" s="309">
        <f>_xlfn.IFNA((VLOOKUP($A166,HN!$A:$BS,14,FALSE)/12),0)+_xlfn.IFNA((VLOOKUP($A166,HN!$A:$BS,34,FALSE)/3),0)</f>
        <v>0</v>
      </c>
      <c r="ER166" s="309">
        <f>_xlfn.IFNA(VLOOKUP($A166,'Post 16'!$A:$AV,32,FALSE),0)/8</f>
        <v>0</v>
      </c>
      <c r="ES166" s="309">
        <f>((VLOOKUP($A166,EY!A:EV,33,FALSE)*80%))+VLOOKUP(A166,EY!A:DD,108,FALSE)+VLOOKUP(A166,EY!A:CC,81,FALSE)</f>
        <v>584.89060941828257</v>
      </c>
      <c r="ET166" s="309">
        <f>_xlfn.IFNA((VLOOKUP($A166,HN!$A:$K,9,FALSE)/12),0)+_xlfn.IFNA((VLOOKUP($A166,HN!$A:$K,10,FALSE)/12),0)+_xlfn.IFNA((VLOOKUP($A166,HN!$A:$BZ,33,FALSE)/12),0)</f>
        <v>0</v>
      </c>
      <c r="EU166" s="309">
        <f>_xlfn.IFNA((VLOOKUP($A166,HN!$A:$BS,15,FALSE)/12),0)</f>
        <v>0</v>
      </c>
      <c r="EV166" s="308">
        <f t="shared" si="224"/>
        <v>0</v>
      </c>
      <c r="EW166" s="308">
        <f t="shared" si="225"/>
        <v>0</v>
      </c>
      <c r="EX166" s="309"/>
      <c r="EY166" s="309">
        <f>_xlfn.IFNA(VLOOKUP($A166,'Cash Advances'!$A:$S,17,FALSE),0)</f>
        <v>0</v>
      </c>
      <c r="EZ166" s="309">
        <f>_xlfn.IFNA(VLOOKUP(A166,'LA Deductions'!A:AZ,25,FALSE),0)/9</f>
        <v>0</v>
      </c>
      <c r="FA166" s="308">
        <f t="shared" si="177"/>
        <v>125528.88324099725</v>
      </c>
      <c r="FB166" s="315">
        <f t="shared" si="226"/>
        <v>0</v>
      </c>
      <c r="FC166" s="315"/>
      <c r="FD166" s="316"/>
      <c r="FE166" s="316">
        <f>_xlfn.IFNA((VLOOKUP($A166,HN!$A:$K,8,FALSE)/12),0)+_xlfn.IFNA((VLOOKUP($A166,HN!$A:$AF,32,FALSE)*1/12),0)</f>
        <v>0</v>
      </c>
      <c r="FF166" s="316">
        <f>_xlfn.IFNA((VLOOKUP($A166,HN!$A:$BS,14,FALSE)/12),0)+_xlfn.IFNA((VLOOKUP($A166,HN!$A:$BS,34,FALSE)/3),0)</f>
        <v>0</v>
      </c>
      <c r="FG166" s="316">
        <f>_xlfn.IFNA(VLOOKUP($A166,'Post 16'!$A:$AV,32,FALSE),0)/8</f>
        <v>0</v>
      </c>
      <c r="FH166" s="316"/>
      <c r="FI166" s="316">
        <f>_xlfn.IFNA((VLOOKUP($A166,HN!$A:$K,9,FALSE)/12),0)+_xlfn.IFNA((VLOOKUP($A166,HN!$A:$K,10,FALSE)/12),0)+_xlfn.IFNA((VLOOKUP($A166,HN!$A:$BZ,33,FALSE)/12),0)+_xlfn.IFNA((VLOOKUP($A166,HN!$A:$BZ,35,FALSE)/2),0)</f>
        <v>0</v>
      </c>
      <c r="FJ166" s="316">
        <f>_xlfn.IFNA((VLOOKUP($A166,HN!$A:$BS,15,FALSE)/12),0)+_xlfn.IFNA((VLOOKUP($A166,HN!$A:$CZ,36,FALSE)/2),0)</f>
        <v>0</v>
      </c>
      <c r="FK166" s="315">
        <f t="shared" si="227"/>
        <v>0</v>
      </c>
      <c r="FL166" s="315">
        <f t="shared" si="228"/>
        <v>0</v>
      </c>
      <c r="FM166" s="316"/>
      <c r="FN166" s="316">
        <f>_xlfn.IFNA(VLOOKUP($A166,'Cash Advances'!$A:$S,18,FALSE),0)</f>
        <v>0</v>
      </c>
      <c r="FO166" s="316">
        <f>_xlfn.IFNA(VLOOKUP(A166,'LA Deductions'!A:AZ,25,FALSE),0)/9</f>
        <v>0</v>
      </c>
      <c r="FP166" s="315">
        <f t="shared" si="178"/>
        <v>0</v>
      </c>
      <c r="FQ166" s="322">
        <f t="shared" si="229"/>
        <v>0</v>
      </c>
      <c r="FR166" s="322"/>
      <c r="FS166" s="323"/>
      <c r="FT166" s="323">
        <f>_xlfn.IFNA((VLOOKUP($A166,HN!$A:$K,8,FALSE)/12),0)+_xlfn.IFNA((VLOOKUP($A166,HN!$A:$AF,32,FALSE)*1/12),0)</f>
        <v>0</v>
      </c>
      <c r="FU166" s="323">
        <f>_xlfn.IFNA((VLOOKUP($A166,HN!$A:$BS,14,FALSE)/12),0)+_xlfn.IFNA((VLOOKUP($A166,HN!$A:$BS,34,FALSE)/3),0)</f>
        <v>0</v>
      </c>
      <c r="FV166" s="323">
        <f>_xlfn.IFNA(VLOOKUP($A166,'Post 16'!$A:$AV,32,FALSE),0)/8</f>
        <v>0</v>
      </c>
      <c r="FW166" s="323"/>
      <c r="FX166" s="323">
        <f>_xlfn.IFNA((VLOOKUP($A166,HN!$A:$K,9,FALSE)/12),0)+_xlfn.IFNA((VLOOKUP($A166,HN!$A:$K,10,FALSE)/12),0)+_xlfn.IFNA((VLOOKUP($A166,HN!$A:$BZ,33,FALSE)/12),0)+_xlfn.IFNA((VLOOKUP($A166,HN!$A:$BZ,35,FALSE)/2),0)</f>
        <v>0</v>
      </c>
      <c r="FY166" s="323">
        <f>_xlfn.IFNA((VLOOKUP($A166,HN!$A:$BS,15,FALSE)/12),0)+_xlfn.IFNA((VLOOKUP($A166,HN!$A:$CZ,36,FALSE)/2),0)</f>
        <v>0</v>
      </c>
      <c r="FZ166" s="322">
        <f t="shared" si="230"/>
        <v>0</v>
      </c>
      <c r="GA166" s="322">
        <f t="shared" si="231"/>
        <v>0</v>
      </c>
      <c r="GB166" s="323"/>
      <c r="GC166" s="323"/>
      <c r="GD166" s="323">
        <f>_xlfn.IFNA(VLOOKUP(A166,'LA Deductions'!A:AZ,25,FALSE),0)/9</f>
        <v>0</v>
      </c>
      <c r="GE166" s="322">
        <f t="shared" si="179"/>
        <v>0</v>
      </c>
      <c r="GG166" s="146">
        <f t="shared" si="232"/>
        <v>525943.8611483518</v>
      </c>
      <c r="GH166" s="146">
        <f t="shared" si="232"/>
        <v>0</v>
      </c>
      <c r="GI166" s="146">
        <f t="shared" si="232"/>
        <v>1162.4963988919667</v>
      </c>
      <c r="GJ166" s="146">
        <f t="shared" si="232"/>
        <v>0</v>
      </c>
      <c r="GK166" s="146">
        <f t="shared" si="232"/>
        <v>0</v>
      </c>
      <c r="GL166" s="146">
        <f t="shared" si="232"/>
        <v>-3291.75</v>
      </c>
      <c r="GN166" s="146">
        <f t="shared" si="233"/>
        <v>525943.8611483518</v>
      </c>
      <c r="GO166" s="146">
        <f t="shared" si="233"/>
        <v>0</v>
      </c>
      <c r="GP166" s="146">
        <f t="shared" si="233"/>
        <v>1162.4963988919667</v>
      </c>
      <c r="GQ166" s="146">
        <f t="shared" si="233"/>
        <v>0</v>
      </c>
      <c r="GR166" s="146">
        <f t="shared" si="233"/>
        <v>0</v>
      </c>
      <c r="GS166" s="146">
        <f t="shared" si="233"/>
        <v>-3291.75</v>
      </c>
      <c r="GU166" s="146"/>
      <c r="GV166" s="57"/>
    </row>
    <row r="167" spans="1:204">
      <c r="A167" s="185">
        <v>2464</v>
      </c>
      <c r="B167" s="185">
        <v>103390</v>
      </c>
      <c r="C167" s="185" t="s">
        <v>356</v>
      </c>
      <c r="D167" s="2" t="s">
        <v>357</v>
      </c>
      <c r="E167" s="191" t="s">
        <v>32</v>
      </c>
      <c r="F167" s="191" t="s">
        <v>912</v>
      </c>
      <c r="H167" s="279">
        <f>_xlfn.IFNA(VLOOKUP($A167,ISB!$A$4:$BY$454,67,FALSE),0)</f>
        <v>2068569.81</v>
      </c>
      <c r="I167" s="279">
        <f>_xlfn.IFNA(VLOOKUP($A167,ISB!$A$4:$BY$454,72,FALSE),0)</f>
        <v>-10718.88</v>
      </c>
      <c r="J167" s="279">
        <f>-_xlfn.IFNA(VLOOKUP($A167,ISB!$A$4:$BY$454,76,FALSE),0)</f>
        <v>-32064.81</v>
      </c>
      <c r="K167" s="279">
        <f>_xlfn.IFNA(VLOOKUP($A167,ISB!$A$4:$BY$454,77,FALSE),0)</f>
        <v>2025786.12</v>
      </c>
      <c r="M167" s="301">
        <f t="shared" si="191"/>
        <v>172380.8175</v>
      </c>
      <c r="N167" s="301">
        <f>VLOOKUP($A167,EY!$A:$H,8,FALSE)+(VLOOKUP($A167,EY!$A:$BS,17,FALSE)-S167)+VLOOKUP($A167,EY!$A:$BS,41,FALSE)</f>
        <v>0</v>
      </c>
      <c r="O167" s="302"/>
      <c r="P167" s="302">
        <f>_xlfn.IFNA((VLOOKUP($A167,HN!$A:$K,8,FALSE)/12),0)</f>
        <v>0</v>
      </c>
      <c r="Q167" s="302">
        <f>_xlfn.IFNA((VLOOKUP($A167,HN!$A:$BS,14,FALSE)/12),0)</f>
        <v>0</v>
      </c>
      <c r="R167" s="302">
        <f>_xlfn.IFNA(VLOOKUP($A167,'Post 16'!$A:$V,21,FALSE),0)/4</f>
        <v>0</v>
      </c>
      <c r="S167" s="302">
        <f>VLOOKUP($A167,EY!A:Q,15,FALSE)*80%</f>
        <v>0</v>
      </c>
      <c r="T167" s="302">
        <f>_xlfn.IFNA((VLOOKUP($A167,HN!$A:$K,9,FALSE)/12),0)+_xlfn.IFNA((VLOOKUP($A167,HN!$A:$K,10,FALSE)/12),0)</f>
        <v>0</v>
      </c>
      <c r="U167" s="302">
        <f>_xlfn.IFNA((VLOOKUP($A167,HN!$A:$BS,15,FALSE)/12),0)</f>
        <v>0</v>
      </c>
      <c r="V167" s="301">
        <f t="shared" si="192"/>
        <v>-893.2399999999999</v>
      </c>
      <c r="W167" s="301">
        <f t="shared" si="193"/>
        <v>-2672.0675000000001</v>
      </c>
      <c r="X167" s="302"/>
      <c r="Y167" s="302">
        <f>_xlfn.IFNA(VLOOKUP($A167,'Cash Advances'!$A:$S,8,FALSE),0)</f>
        <v>0</v>
      </c>
      <c r="Z167" s="301">
        <f t="shared" si="194"/>
        <v>168815.51</v>
      </c>
      <c r="AA167" s="315">
        <f t="shared" si="195"/>
        <v>172380.8175</v>
      </c>
      <c r="AB167" s="315"/>
      <c r="AC167" s="316"/>
      <c r="AD167" s="316">
        <f>_xlfn.IFNA((VLOOKUP($A167,HN!$A:$K,8,FALSE)/12),0)</f>
        <v>0</v>
      </c>
      <c r="AE167" s="316">
        <f>_xlfn.IFNA((VLOOKUP($A167,HN!$A:$BS,14,FALSE)/12),0)</f>
        <v>0</v>
      </c>
      <c r="AF167" s="316">
        <f>_xlfn.IFNA(VLOOKUP($A167,'Post 16'!$A:$V,21,FALSE),0)/4</f>
        <v>0</v>
      </c>
      <c r="AG167" s="316"/>
      <c r="AH167" s="316">
        <f>_xlfn.IFNA((VLOOKUP($A167,HN!$A:$K,9,FALSE)/12),0)+_xlfn.IFNA((VLOOKUP($A167,HN!$A:$K,10,FALSE)/12),0)</f>
        <v>0</v>
      </c>
      <c r="AI167" s="316">
        <f>_xlfn.IFNA((VLOOKUP($A167,HN!$A:$BS,15,FALSE)/12),0)</f>
        <v>0</v>
      </c>
      <c r="AJ167" s="315">
        <f t="shared" si="196"/>
        <v>-893.2399999999999</v>
      </c>
      <c r="AK167" s="315">
        <f t="shared" si="197"/>
        <v>-2672.0675000000001</v>
      </c>
      <c r="AL167" s="316"/>
      <c r="AM167" s="316">
        <f>_xlfn.IFNA(VLOOKUP($A167,'Cash Advances'!$A:$S,9,FALSE),0)</f>
        <v>0</v>
      </c>
      <c r="AN167" s="315">
        <f t="shared" si="198"/>
        <v>168815.51</v>
      </c>
      <c r="AO167" s="308">
        <f t="shared" si="199"/>
        <v>172380.8175</v>
      </c>
      <c r="AP167" s="308"/>
      <c r="AQ167" s="309"/>
      <c r="AR167" s="309">
        <f>_xlfn.IFNA((VLOOKUP($A167,HN!$A:$K,8,FALSE)/12),0)</f>
        <v>0</v>
      </c>
      <c r="AS167" s="309">
        <f>_xlfn.IFNA((VLOOKUP($A167,HN!$A:$BS,14,FALSE)/12),0)</f>
        <v>0</v>
      </c>
      <c r="AT167" s="309">
        <f>_xlfn.IFNA(VLOOKUP($A167,'Post 16'!$A:$V,21,FALSE),0)/4</f>
        <v>0</v>
      </c>
      <c r="AU167" s="309"/>
      <c r="AV167" s="309">
        <f>_xlfn.IFNA((VLOOKUP($A167,HN!$A:$K,9,FALSE)/12),0)+_xlfn.IFNA((VLOOKUP($A167,HN!$A:$K,10,FALSE)/12),0)+_xlfn.IFNA(VLOOKUP(A167,HN!A:V,19,FALSE),0)+_xlfn.IFNA(VLOOKUP(A167,HN!A:V,20,FALSE),0)+_xlfn.IFNA(VLOOKUP(A167,HN!A:V,21,FALSE),0)</f>
        <v>0</v>
      </c>
      <c r="AW167" s="309">
        <f>_xlfn.IFNA((VLOOKUP($A167,HN!$A:$BS,15,FALSE)/12),0)</f>
        <v>0</v>
      </c>
      <c r="AX167" s="308">
        <f t="shared" si="200"/>
        <v>-893.2399999999999</v>
      </c>
      <c r="AY167" s="308">
        <f t="shared" si="201"/>
        <v>-2672.0675000000001</v>
      </c>
      <c r="AZ167" s="309"/>
      <c r="BA167" s="309">
        <f>_xlfn.IFNA(VLOOKUP($A167,'Cash Advances'!$A:$S,10,FALSE),0)</f>
        <v>0</v>
      </c>
      <c r="BB167" s="308">
        <f t="shared" si="202"/>
        <v>168815.51</v>
      </c>
      <c r="BC167" s="330">
        <f t="shared" si="203"/>
        <v>172380.8175</v>
      </c>
      <c r="BD167" s="330"/>
      <c r="BE167" s="331"/>
      <c r="BF167" s="331">
        <f>_xlfn.IFNA((VLOOKUP($A167,HN!$A:$K,8,FALSE)/12),0)</f>
        <v>0</v>
      </c>
      <c r="BG167" s="331">
        <f>_xlfn.IFNA((VLOOKUP($A167,HN!$A:$BS,14,FALSE)/12),0)</f>
        <v>0</v>
      </c>
      <c r="BH167" s="331">
        <f>_xlfn.IFNA(VLOOKUP($A167,'Post 16'!$A:$V,21,FALSE),0)/4</f>
        <v>0</v>
      </c>
      <c r="BI167" s="331"/>
      <c r="BJ167" s="331">
        <f>_xlfn.IFNA((VLOOKUP($A167,HN!$A:$K,9,FALSE)/12),0)+_xlfn.IFNA((VLOOKUP($A167,HN!$A:$K,10,FALSE)/12),0)</f>
        <v>0</v>
      </c>
      <c r="BK167" s="331">
        <f>_xlfn.IFNA((VLOOKUP($A167,HN!$A:$BS,15,FALSE)/12),0)</f>
        <v>0</v>
      </c>
      <c r="BL167" s="330">
        <f t="shared" si="204"/>
        <v>-893.2399999999999</v>
      </c>
      <c r="BM167" s="330">
        <f t="shared" si="205"/>
        <v>-2672.0675000000001</v>
      </c>
      <c r="BN167" s="331"/>
      <c r="BO167" s="331">
        <f>_xlfn.IFNA(VLOOKUP(A167,'Cash Advances'!A:K,11,FALSE),0)</f>
        <v>0</v>
      </c>
      <c r="BP167" s="330">
        <f t="shared" si="206"/>
        <v>168815.51</v>
      </c>
      <c r="BQ167" s="322">
        <f t="shared" si="207"/>
        <v>172380.8175</v>
      </c>
      <c r="BR167" s="322"/>
      <c r="BS167" s="323"/>
      <c r="BT167" s="323">
        <f>_xlfn.IFNA((VLOOKUP($A167,HN!$A:$K,8,FALSE)/12),0)</f>
        <v>0</v>
      </c>
      <c r="BU167" s="323">
        <f>_xlfn.IFNA((VLOOKUP($A167,HN!$A:$BS,14,FALSE)/12),0)</f>
        <v>0</v>
      </c>
      <c r="BV167" s="323">
        <f>(_xlfn.IFNA(VLOOKUP($A167,'Post 16'!$A:$AV,32,FALSE),0)/8)+_xlfn.IFNA(VLOOKUP($A167,'Post 16'!$A:$AR,40,FALSE),0)</f>
        <v>0</v>
      </c>
      <c r="BW167" s="323"/>
      <c r="BX167" s="323">
        <f>_xlfn.IFNA((VLOOKUP($A167,HN!$A:$K,9,FALSE)/12),0)+_xlfn.IFNA((VLOOKUP($A167,HN!$A:$K,10,FALSE)/12),0)</f>
        <v>0</v>
      </c>
      <c r="BY167" s="323">
        <f>_xlfn.IFNA((VLOOKUP($A167,HN!$A:$BS,15,FALSE)/12),0)</f>
        <v>0</v>
      </c>
      <c r="BZ167" s="322">
        <f t="shared" si="208"/>
        <v>-893.2399999999999</v>
      </c>
      <c r="CA167" s="322">
        <f t="shared" si="209"/>
        <v>-2672.0675000000001</v>
      </c>
      <c r="CB167" s="323"/>
      <c r="CC167" s="323"/>
      <c r="CD167" s="322">
        <f t="shared" si="210"/>
        <v>168815.51</v>
      </c>
      <c r="CE167" s="357">
        <f t="shared" si="211"/>
        <v>172380.8175</v>
      </c>
      <c r="CF167" s="357">
        <f>(VLOOKUP($A167,EY!$A:$BS,26,FALSE)-(VLOOKUP($A167,EY!A:CR,24,FALSE)*80%))+VLOOKUP($A167,EY!$A:$BS,42,FALSE)+(VLOOKUP($A167,EY!A:CC,74,FALSE)-VLOOKUP($A167,EY!A:CC,72,FALSE))</f>
        <v>0</v>
      </c>
      <c r="CG167" s="358"/>
      <c r="CH167" s="358">
        <f>_xlfn.IFNA((VLOOKUP($A167,HN!$A:$K,8,FALSE)/12),0)</f>
        <v>0</v>
      </c>
      <c r="CI167" s="358">
        <f>_xlfn.IFNA((VLOOKUP($A167,HN!$A:$BS,14,FALSE)/12),0)</f>
        <v>0</v>
      </c>
      <c r="CJ167" s="358">
        <f>(_xlfn.IFNA(VLOOKUP($A167,'Post 16'!$A:$AV,32,FALSE),0)/8)</f>
        <v>0</v>
      </c>
      <c r="CK167" s="358">
        <f>(VLOOKUP($A167,EY!A:CR,24,FALSE)*80%)+VLOOKUP($A167,EY!A:CC,72,FALSE)</f>
        <v>0</v>
      </c>
      <c r="CL167" s="358">
        <f>_xlfn.IFNA((VLOOKUP($A167,HN!$A:$K,9,FALSE)/12),0)+_xlfn.IFNA((VLOOKUP($A167,HN!$A:$K,10,FALSE)/12),0)</f>
        <v>0</v>
      </c>
      <c r="CM167" s="358">
        <f>_xlfn.IFNA((VLOOKUP($A167,HN!$A:$BS,15,FALSE)/12),0)</f>
        <v>0</v>
      </c>
      <c r="CN167" s="357">
        <f t="shared" si="212"/>
        <v>-893.2399999999999</v>
      </c>
      <c r="CO167" s="357">
        <f t="shared" si="213"/>
        <v>-2672.0675000000001</v>
      </c>
      <c r="CP167" s="358">
        <f>_xlfn.IFNA(VLOOKUP(A167,'LA Deductions'!A:W,23,FALSE),0)</f>
        <v>-11097</v>
      </c>
      <c r="CQ167" s="358">
        <f>_xlfn.IFNA(VLOOKUP($A167,'Cash Advances'!$A:$S,13,FALSE),0)</f>
        <v>0</v>
      </c>
      <c r="CR167" s="358">
        <f>_xlfn.IFNA(VLOOKUP(A167,'LA Deductions'!A:AZ,25,FALSE),0)/9*3</f>
        <v>0</v>
      </c>
      <c r="CS167" s="357">
        <f t="shared" si="173"/>
        <v>157718.51</v>
      </c>
      <c r="CT167" s="337">
        <f t="shared" si="214"/>
        <v>172380.8175</v>
      </c>
      <c r="CU167" s="337"/>
      <c r="CV167" s="338">
        <f>_xlfn.IFNA(VLOOKUP(A167,'LA Deductions'!$A$6:$AN$207,34,FALSE),0)</f>
        <v>0</v>
      </c>
      <c r="CW167" s="338">
        <f>_xlfn.IFNA((VLOOKUP($A167,HN!$A:$K,8,FALSE)/12),0)</f>
        <v>0</v>
      </c>
      <c r="CX167" s="338">
        <f>_xlfn.IFNA((VLOOKUP($A167,HN!$A:$BS,14,FALSE)/12),0)</f>
        <v>0</v>
      </c>
      <c r="CY167" s="338">
        <f>_xlfn.IFNA(VLOOKUP($A167,'Post 16'!$A:$AV,32,FALSE),0)/8</f>
        <v>0</v>
      </c>
      <c r="CZ167" s="338"/>
      <c r="DA167" s="338">
        <f>_xlfn.IFNA((VLOOKUP($A167,HN!$A:$K,9,FALSE)/12),0)+_xlfn.IFNA((VLOOKUP($A167,HN!$A:$K,10,FALSE)/12),0)</f>
        <v>0</v>
      </c>
      <c r="DB167" s="338">
        <f>_xlfn.IFNA((VLOOKUP($A167,HN!$A:$BS,15,FALSE)/12),0)</f>
        <v>0</v>
      </c>
      <c r="DC167" s="337">
        <f t="shared" si="215"/>
        <v>-893.2399999999999</v>
      </c>
      <c r="DD167" s="337">
        <f t="shared" si="216"/>
        <v>-2672.0675000000001</v>
      </c>
      <c r="DE167" s="338"/>
      <c r="DF167" s="338">
        <f>_xlfn.IFNA(VLOOKUP($A167,'Cash Advances'!$A:$S,14,FALSE),0)</f>
        <v>0</v>
      </c>
      <c r="DG167" s="338">
        <f>(_xlfn.IFNA(VLOOKUP(A167,'LA Deductions'!A:AZ,25,FALSE),0)/9)+(_xlfn.IFNA(VLOOKUP(A167,'LA Deductions'!A:AZ,26,FALSE),0))</f>
        <v>0</v>
      </c>
      <c r="DH167" s="337">
        <f t="shared" si="174"/>
        <v>168815.51</v>
      </c>
      <c r="DI167" s="330">
        <f t="shared" si="217"/>
        <v>172380.8175</v>
      </c>
      <c r="DJ167" s="330"/>
      <c r="DK167" s="331"/>
      <c r="DL167" s="331">
        <f>_xlfn.IFNA((VLOOKUP($A167,HN!$A:$K,8,FALSE)/12),0)+_xlfn.IFNA((VLOOKUP($A167,HN!$A:$AF,32,FALSE)*8/12),0)</f>
        <v>0</v>
      </c>
      <c r="DM167" s="331">
        <f>_xlfn.IFNA((VLOOKUP($A167,HN!$A:$BS,14,FALSE)/12),0)+_xlfn.IFNA(VLOOKUP($A167,HN!$A:$BS,31,FALSE),0)</f>
        <v>0</v>
      </c>
      <c r="DN167" s="331">
        <f>_xlfn.IFNA(VLOOKUP($A167,'Post 16'!$A:$AV,32,FALSE),0)/8</f>
        <v>0</v>
      </c>
      <c r="DO167" s="331"/>
      <c r="DP167" s="331">
        <f>_xlfn.IFNA((VLOOKUP($A167,HN!$A:$K,9,FALSE)/12),0)+_xlfn.IFNA((VLOOKUP($A167,HN!$A:$K,10,FALSE)/12),0)+_xlfn.IFNA((VLOOKUP($A167,HN!$A:$BZ,33,FALSE)*8/12),0)</f>
        <v>0</v>
      </c>
      <c r="DQ167" s="331">
        <f>_xlfn.IFNA((VLOOKUP($A167,HN!$A:$BS,15,FALSE)/12),0)</f>
        <v>0</v>
      </c>
      <c r="DR167" s="330">
        <f t="shared" si="218"/>
        <v>-893.2399999999999</v>
      </c>
      <c r="DS167" s="330">
        <f t="shared" si="219"/>
        <v>-2672.0675000000001</v>
      </c>
      <c r="DT167" s="331"/>
      <c r="DU167" s="331"/>
      <c r="DV167" s="331">
        <f>(_xlfn.IFNA(VLOOKUP(A167,'LA Deductions'!A:AZ,25,FALSE),0)/9)+_xlfn.IFNA(VLOOKUP(A167,'LA Deductions'!A:AZ,27,FALSE),0)</f>
        <v>200000</v>
      </c>
      <c r="DW167" s="330">
        <f t="shared" si="175"/>
        <v>368815.51</v>
      </c>
      <c r="DX167" s="344">
        <f t="shared" si="220"/>
        <v>172380.8175</v>
      </c>
      <c r="DY167" s="344"/>
      <c r="DZ167" s="345"/>
      <c r="EA167" s="345">
        <f>_xlfn.IFNA((VLOOKUP($A167,HN!$A:$K,8,FALSE)/12),0)+_xlfn.IFNA((VLOOKUP($A167,HN!$A:$AF,32,FALSE)*1/12),0)</f>
        <v>0</v>
      </c>
      <c r="EB167" s="345">
        <f>_xlfn.IFNA((VLOOKUP($A167,HN!$A:$BS,14,FALSE)/12),0)</f>
        <v>0</v>
      </c>
      <c r="EC167" s="345">
        <f>_xlfn.IFNA(VLOOKUP($A167,'Post 16'!$A:$AV,32,FALSE),0)/8</f>
        <v>0</v>
      </c>
      <c r="ED167" s="345"/>
      <c r="EE167" s="345">
        <f>_xlfn.IFNA((VLOOKUP($A167,HN!$A:$K,9,FALSE)/12),0)+_xlfn.IFNA((VLOOKUP($A167,HN!$A:$K,10,FALSE)/12),0)+_xlfn.IFNA((VLOOKUP($A167,HN!$A:$BZ,33,FALSE)/12),0)</f>
        <v>0</v>
      </c>
      <c r="EF167" s="345">
        <f>_xlfn.IFNA((VLOOKUP($A167,HN!$A:$BS,15,FALSE)/12),0)</f>
        <v>0</v>
      </c>
      <c r="EG167" s="344">
        <f t="shared" si="221"/>
        <v>-893.2399999999999</v>
      </c>
      <c r="EH167" s="344">
        <f t="shared" si="222"/>
        <v>-2672.0675000000001</v>
      </c>
      <c r="EI167" s="345"/>
      <c r="EJ167" s="345">
        <f>_xlfn.IFNA(VLOOKUP(A167,'Cash Advances'!A:P,16,FALSE),0)</f>
        <v>0</v>
      </c>
      <c r="EK167" s="345">
        <f>_xlfn.IFNA(VLOOKUP(A167,'LA Deductions'!A:AZ,25,FALSE),0)/9</f>
        <v>0</v>
      </c>
      <c r="EL167" s="344">
        <f t="shared" si="176"/>
        <v>168815.51</v>
      </c>
      <c r="EM167" s="308">
        <f t="shared" si="223"/>
        <v>172380.8175</v>
      </c>
      <c r="EN167" s="308">
        <f>((VLOOKUP($A167,EY!$A:$BS,35,FALSE)-(VLOOKUP($A167,EY!$A:$BS,33,FALSE)*80%))+VLOOKUP($A167,EY!$A:$BS,43,FALSE))+(VLOOKUP(A167,EY!A:DF,110,FALSE)-VLOOKUP(A167,EY!A:DD,108,FALSE))+(VLOOKUP(A167,EY!A:CE,83,FALSE)-VLOOKUP(A167,EY!A:CC,81,FALSE))</f>
        <v>0</v>
      </c>
      <c r="EO167" s="309"/>
      <c r="EP167" s="309">
        <f>_xlfn.IFNA((VLOOKUP($A167,HN!$A:$K,8,FALSE)/12),0)+_xlfn.IFNA((VLOOKUP($A167,HN!$A:$AF,32,FALSE)*1/12),0)</f>
        <v>0</v>
      </c>
      <c r="EQ167" s="309">
        <f>_xlfn.IFNA((VLOOKUP($A167,HN!$A:$BS,14,FALSE)/12),0)+_xlfn.IFNA((VLOOKUP($A167,HN!$A:$BS,34,FALSE)/3),0)</f>
        <v>0</v>
      </c>
      <c r="ER167" s="309">
        <f>_xlfn.IFNA(VLOOKUP($A167,'Post 16'!$A:$AV,32,FALSE),0)/8</f>
        <v>0</v>
      </c>
      <c r="ES167" s="309">
        <f>((VLOOKUP($A167,EY!A:EV,33,FALSE)*80%))+VLOOKUP(A167,EY!A:DD,108,FALSE)+VLOOKUP(A167,EY!A:CC,81,FALSE)</f>
        <v>0</v>
      </c>
      <c r="ET167" s="309">
        <f>_xlfn.IFNA((VLOOKUP($A167,HN!$A:$K,9,FALSE)/12),0)+_xlfn.IFNA((VLOOKUP($A167,HN!$A:$K,10,FALSE)/12),0)+_xlfn.IFNA((VLOOKUP($A167,HN!$A:$BZ,33,FALSE)/12),0)</f>
        <v>0</v>
      </c>
      <c r="EU167" s="309">
        <f>_xlfn.IFNA((VLOOKUP($A167,HN!$A:$BS,15,FALSE)/12),0)</f>
        <v>0</v>
      </c>
      <c r="EV167" s="308">
        <f t="shared" si="224"/>
        <v>-893.2399999999999</v>
      </c>
      <c r="EW167" s="308">
        <f t="shared" si="225"/>
        <v>-2672.0675000000001</v>
      </c>
      <c r="EX167" s="309"/>
      <c r="EY167" s="309">
        <f>_xlfn.IFNA(VLOOKUP($A167,'Cash Advances'!$A:$S,17,FALSE),0)</f>
        <v>0</v>
      </c>
      <c r="EZ167" s="309">
        <f>_xlfn.IFNA(VLOOKUP(A167,'LA Deductions'!A:AZ,25,FALSE),0)/9</f>
        <v>0</v>
      </c>
      <c r="FA167" s="308">
        <f t="shared" si="177"/>
        <v>168815.51</v>
      </c>
      <c r="FB167" s="315">
        <f t="shared" si="226"/>
        <v>172380.8175</v>
      </c>
      <c r="FC167" s="315"/>
      <c r="FD167" s="316"/>
      <c r="FE167" s="316">
        <f>_xlfn.IFNA((VLOOKUP($A167,HN!$A:$K,8,FALSE)/12),0)+_xlfn.IFNA((VLOOKUP($A167,HN!$A:$AF,32,FALSE)*1/12),0)</f>
        <v>0</v>
      </c>
      <c r="FF167" s="316">
        <f>_xlfn.IFNA((VLOOKUP($A167,HN!$A:$BS,14,FALSE)/12),0)+_xlfn.IFNA((VLOOKUP($A167,HN!$A:$BS,34,FALSE)/3),0)</f>
        <v>0</v>
      </c>
      <c r="FG167" s="316">
        <f>_xlfn.IFNA(VLOOKUP($A167,'Post 16'!$A:$AV,32,FALSE),0)/8</f>
        <v>0</v>
      </c>
      <c r="FH167" s="316"/>
      <c r="FI167" s="316">
        <f>_xlfn.IFNA((VLOOKUP($A167,HN!$A:$K,9,FALSE)/12),0)+_xlfn.IFNA((VLOOKUP($A167,HN!$A:$K,10,FALSE)/12),0)+_xlfn.IFNA((VLOOKUP($A167,HN!$A:$BZ,33,FALSE)/12),0)+_xlfn.IFNA((VLOOKUP($A167,HN!$A:$BZ,35,FALSE)/2),0)</f>
        <v>0</v>
      </c>
      <c r="FJ167" s="316">
        <f>_xlfn.IFNA((VLOOKUP($A167,HN!$A:$BS,15,FALSE)/12),0)+_xlfn.IFNA((VLOOKUP($A167,HN!$A:$CZ,36,FALSE)/2),0)</f>
        <v>0</v>
      </c>
      <c r="FK167" s="315">
        <f t="shared" si="227"/>
        <v>-893.2399999999999</v>
      </c>
      <c r="FL167" s="315">
        <f t="shared" si="228"/>
        <v>-2672.0675000000001</v>
      </c>
      <c r="FM167" s="316"/>
      <c r="FN167" s="316">
        <f>_xlfn.IFNA(VLOOKUP($A167,'Cash Advances'!$A:$S,18,FALSE),0)</f>
        <v>0</v>
      </c>
      <c r="FO167" s="316">
        <f>_xlfn.IFNA(VLOOKUP(A167,'LA Deductions'!A:AZ,25,FALSE),0)/9</f>
        <v>0</v>
      </c>
      <c r="FP167" s="315">
        <f t="shared" si="178"/>
        <v>168815.51</v>
      </c>
      <c r="FQ167" s="322">
        <f t="shared" si="229"/>
        <v>172380.8175</v>
      </c>
      <c r="FR167" s="322"/>
      <c r="FS167" s="323"/>
      <c r="FT167" s="323">
        <f>_xlfn.IFNA((VLOOKUP($A167,HN!$A:$K,8,FALSE)/12),0)+_xlfn.IFNA((VLOOKUP($A167,HN!$A:$AF,32,FALSE)*1/12),0)</f>
        <v>0</v>
      </c>
      <c r="FU167" s="323">
        <f>_xlfn.IFNA((VLOOKUP($A167,HN!$A:$BS,14,FALSE)/12),0)+_xlfn.IFNA((VLOOKUP($A167,HN!$A:$BS,34,FALSE)/3),0)</f>
        <v>0</v>
      </c>
      <c r="FV167" s="323">
        <f>_xlfn.IFNA(VLOOKUP($A167,'Post 16'!$A:$AV,32,FALSE),0)/8</f>
        <v>0</v>
      </c>
      <c r="FW167" s="323"/>
      <c r="FX167" s="323">
        <f>_xlfn.IFNA((VLOOKUP($A167,HN!$A:$K,9,FALSE)/12),0)+_xlfn.IFNA((VLOOKUP($A167,HN!$A:$K,10,FALSE)/12),0)+_xlfn.IFNA((VLOOKUP($A167,HN!$A:$BZ,33,FALSE)/12),0)+_xlfn.IFNA((VLOOKUP($A167,HN!$A:$BZ,35,FALSE)/2),0)</f>
        <v>0</v>
      </c>
      <c r="FY167" s="323">
        <f>_xlfn.IFNA((VLOOKUP($A167,HN!$A:$BS,15,FALSE)/12),0)+_xlfn.IFNA((VLOOKUP($A167,HN!$A:$CZ,36,FALSE)/2),0)</f>
        <v>0</v>
      </c>
      <c r="FZ167" s="322">
        <f t="shared" si="230"/>
        <v>-893.2399999999999</v>
      </c>
      <c r="GA167" s="322">
        <f t="shared" si="231"/>
        <v>-2672.0675000000001</v>
      </c>
      <c r="GB167" s="323"/>
      <c r="GC167" s="323"/>
      <c r="GD167" s="323">
        <f>_xlfn.IFNA(VLOOKUP(A167,'LA Deductions'!A:AZ,25,FALSE),0)/9</f>
        <v>0</v>
      </c>
      <c r="GE167" s="322">
        <f t="shared" si="179"/>
        <v>168815.51</v>
      </c>
      <c r="GG167" s="146">
        <f t="shared" si="232"/>
        <v>2068569.8099999996</v>
      </c>
      <c r="GH167" s="146">
        <f t="shared" si="232"/>
        <v>0</v>
      </c>
      <c r="GI167" s="146">
        <f t="shared" si="232"/>
        <v>0</v>
      </c>
      <c r="GJ167" s="146">
        <f t="shared" si="232"/>
        <v>-10718.88</v>
      </c>
      <c r="GK167" s="146">
        <f t="shared" si="232"/>
        <v>-32064.810000000009</v>
      </c>
      <c r="GL167" s="146">
        <f t="shared" si="232"/>
        <v>-11097</v>
      </c>
      <c r="GN167" s="146">
        <f t="shared" si="233"/>
        <v>2068569.8099999996</v>
      </c>
      <c r="GO167" s="146">
        <f t="shared" si="233"/>
        <v>0</v>
      </c>
      <c r="GP167" s="146">
        <f t="shared" si="233"/>
        <v>0</v>
      </c>
      <c r="GQ167" s="146">
        <f t="shared" si="233"/>
        <v>-10718.88</v>
      </c>
      <c r="GR167" s="146">
        <f t="shared" si="233"/>
        <v>-32064.810000000009</v>
      </c>
      <c r="GS167" s="146">
        <f t="shared" si="233"/>
        <v>-11097</v>
      </c>
      <c r="GU167" s="146"/>
      <c r="GV167" s="57"/>
    </row>
    <row r="168" spans="1:204">
      <c r="A168" s="185">
        <v>1802</v>
      </c>
      <c r="B168" s="185">
        <v>103150</v>
      </c>
      <c r="C168" s="185" t="s">
        <v>376</v>
      </c>
      <c r="D168" s="2" t="s">
        <v>377</v>
      </c>
      <c r="E168" s="191" t="s">
        <v>29</v>
      </c>
      <c r="F168" s="191" t="s">
        <v>912</v>
      </c>
      <c r="H168" s="279">
        <f>_xlfn.IFNA(VLOOKUP($A168,ISB!$A$4:$BY$454,67,FALSE),0)</f>
        <v>0</v>
      </c>
      <c r="I168" s="279">
        <f>_xlfn.IFNA(VLOOKUP($A168,ISB!$A$4:$BY$454,72,FALSE),0)</f>
        <v>0</v>
      </c>
      <c r="J168" s="279">
        <f>-_xlfn.IFNA(VLOOKUP($A168,ISB!$A$4:$BY$454,76,FALSE),0)</f>
        <v>0</v>
      </c>
      <c r="K168" s="279">
        <f>_xlfn.IFNA(VLOOKUP($A168,ISB!$A$4:$BY$454,77,FALSE),0)</f>
        <v>0</v>
      </c>
      <c r="M168" s="301">
        <f t="shared" si="191"/>
        <v>0</v>
      </c>
      <c r="N168" s="301">
        <f>VLOOKUP($A168,EY!$A:$H,8,FALSE)+(VLOOKUP($A168,EY!$A:$BS,17,FALSE)-S168)+VLOOKUP($A168,EY!$A:$BS,41,FALSE)</f>
        <v>336626.84017442446</v>
      </c>
      <c r="O168" s="302"/>
      <c r="P168" s="302">
        <f>_xlfn.IFNA((VLOOKUP($A168,HN!$A:$K,8,FALSE)/12),0)</f>
        <v>0</v>
      </c>
      <c r="Q168" s="302">
        <f>_xlfn.IFNA((VLOOKUP($A168,HN!$A:$BS,14,FALSE)/12),0)</f>
        <v>0</v>
      </c>
      <c r="R168" s="302">
        <f>_xlfn.IFNA(VLOOKUP($A168,'Post 16'!$A:$V,21,FALSE),0)/4</f>
        <v>0</v>
      </c>
      <c r="S168" s="302">
        <f>VLOOKUP($A168,EY!A:Q,15,FALSE)*80%</f>
        <v>256.7157894736842</v>
      </c>
      <c r="T168" s="302">
        <f>_xlfn.IFNA((VLOOKUP($A168,HN!$A:$K,9,FALSE)/12),0)+_xlfn.IFNA((VLOOKUP($A168,HN!$A:$K,10,FALSE)/12),0)</f>
        <v>0</v>
      </c>
      <c r="U168" s="302">
        <f>_xlfn.IFNA((VLOOKUP($A168,HN!$A:$BS,15,FALSE)/12),0)</f>
        <v>0</v>
      </c>
      <c r="V168" s="301">
        <f t="shared" si="192"/>
        <v>0</v>
      </c>
      <c r="W168" s="301">
        <f t="shared" si="193"/>
        <v>0</v>
      </c>
      <c r="X168" s="302"/>
      <c r="Y168" s="302">
        <f>_xlfn.IFNA(VLOOKUP($A168,'Cash Advances'!$A:$S,8,FALSE),0)</f>
        <v>0</v>
      </c>
      <c r="Z168" s="301">
        <f t="shared" si="194"/>
        <v>336883.55596389814</v>
      </c>
      <c r="AA168" s="315">
        <f t="shared" si="195"/>
        <v>0</v>
      </c>
      <c r="AB168" s="315"/>
      <c r="AC168" s="316"/>
      <c r="AD168" s="316">
        <f>_xlfn.IFNA((VLOOKUP($A168,HN!$A:$K,8,FALSE)/12),0)</f>
        <v>0</v>
      </c>
      <c r="AE168" s="316">
        <f>_xlfn.IFNA((VLOOKUP($A168,HN!$A:$BS,14,FALSE)/12),0)</f>
        <v>0</v>
      </c>
      <c r="AF168" s="316">
        <f>_xlfn.IFNA(VLOOKUP($A168,'Post 16'!$A:$V,21,FALSE),0)/4</f>
        <v>0</v>
      </c>
      <c r="AG168" s="316"/>
      <c r="AH168" s="316">
        <f>_xlfn.IFNA((VLOOKUP($A168,HN!$A:$K,9,FALSE)/12),0)+_xlfn.IFNA((VLOOKUP($A168,HN!$A:$K,10,FALSE)/12),0)</f>
        <v>0</v>
      </c>
      <c r="AI168" s="316">
        <f>_xlfn.IFNA((VLOOKUP($A168,HN!$A:$BS,15,FALSE)/12),0)</f>
        <v>0</v>
      </c>
      <c r="AJ168" s="315">
        <f t="shared" si="196"/>
        <v>0</v>
      </c>
      <c r="AK168" s="315">
        <f t="shared" si="197"/>
        <v>0</v>
      </c>
      <c r="AL168" s="316"/>
      <c r="AM168" s="316">
        <f>_xlfn.IFNA(VLOOKUP($A168,'Cash Advances'!$A:$S,9,FALSE),0)</f>
        <v>0</v>
      </c>
      <c r="AN168" s="315">
        <f t="shared" si="198"/>
        <v>0</v>
      </c>
      <c r="AO168" s="308">
        <f t="shared" si="199"/>
        <v>0</v>
      </c>
      <c r="AP168" s="308"/>
      <c r="AQ168" s="309"/>
      <c r="AR168" s="309">
        <f>_xlfn.IFNA((VLOOKUP($A168,HN!$A:$K,8,FALSE)/12),0)</f>
        <v>0</v>
      </c>
      <c r="AS168" s="309">
        <f>_xlfn.IFNA((VLOOKUP($A168,HN!$A:$BS,14,FALSE)/12),0)</f>
        <v>0</v>
      </c>
      <c r="AT168" s="309">
        <f>_xlfn.IFNA(VLOOKUP($A168,'Post 16'!$A:$V,21,FALSE),0)/4</f>
        <v>0</v>
      </c>
      <c r="AU168" s="309"/>
      <c r="AV168" s="309">
        <f>_xlfn.IFNA((VLOOKUP($A168,HN!$A:$K,9,FALSE)/12),0)+_xlfn.IFNA((VLOOKUP($A168,HN!$A:$K,10,FALSE)/12),0)+_xlfn.IFNA(VLOOKUP(A168,HN!A:V,19,FALSE),0)+_xlfn.IFNA(VLOOKUP(A168,HN!A:V,20,FALSE),0)+_xlfn.IFNA(VLOOKUP(A168,HN!A:V,21,FALSE),0)</f>
        <v>0</v>
      </c>
      <c r="AW168" s="309">
        <f>_xlfn.IFNA((VLOOKUP($A168,HN!$A:$BS,15,FALSE)/12),0)</f>
        <v>0</v>
      </c>
      <c r="AX168" s="308">
        <f t="shared" si="200"/>
        <v>0</v>
      </c>
      <c r="AY168" s="308">
        <f t="shared" si="201"/>
        <v>0</v>
      </c>
      <c r="AZ168" s="309"/>
      <c r="BA168" s="309">
        <f>_xlfn.IFNA(VLOOKUP($A168,'Cash Advances'!$A:$S,10,FALSE),0)</f>
        <v>0</v>
      </c>
      <c r="BB168" s="308">
        <f t="shared" si="202"/>
        <v>0</v>
      </c>
      <c r="BC168" s="330">
        <f t="shared" si="203"/>
        <v>0</v>
      </c>
      <c r="BD168" s="330"/>
      <c r="BE168" s="331"/>
      <c r="BF168" s="331">
        <f>_xlfn.IFNA((VLOOKUP($A168,HN!$A:$K,8,FALSE)/12),0)</f>
        <v>0</v>
      </c>
      <c r="BG168" s="331">
        <f>_xlfn.IFNA((VLOOKUP($A168,HN!$A:$BS,14,FALSE)/12),0)</f>
        <v>0</v>
      </c>
      <c r="BH168" s="331">
        <f>_xlfn.IFNA(VLOOKUP($A168,'Post 16'!$A:$V,21,FALSE),0)/4</f>
        <v>0</v>
      </c>
      <c r="BI168" s="331"/>
      <c r="BJ168" s="331">
        <f>_xlfn.IFNA((VLOOKUP($A168,HN!$A:$K,9,FALSE)/12),0)+_xlfn.IFNA((VLOOKUP($A168,HN!$A:$K,10,FALSE)/12),0)</f>
        <v>0</v>
      </c>
      <c r="BK168" s="331">
        <f>_xlfn.IFNA((VLOOKUP($A168,HN!$A:$BS,15,FALSE)/12),0)</f>
        <v>0</v>
      </c>
      <c r="BL168" s="330">
        <f t="shared" si="204"/>
        <v>0</v>
      </c>
      <c r="BM168" s="330">
        <f t="shared" si="205"/>
        <v>0</v>
      </c>
      <c r="BN168" s="331"/>
      <c r="BO168" s="331">
        <f>_xlfn.IFNA(VLOOKUP(A168,'Cash Advances'!A:K,11,FALSE),0)</f>
        <v>0</v>
      </c>
      <c r="BP168" s="330">
        <f t="shared" si="206"/>
        <v>0</v>
      </c>
      <c r="BQ168" s="322">
        <f t="shared" si="207"/>
        <v>0</v>
      </c>
      <c r="BR168" s="322"/>
      <c r="BS168" s="323"/>
      <c r="BT168" s="323">
        <f>_xlfn.IFNA((VLOOKUP($A168,HN!$A:$K,8,FALSE)/12),0)</f>
        <v>0</v>
      </c>
      <c r="BU168" s="323">
        <f>_xlfn.IFNA((VLOOKUP($A168,HN!$A:$BS,14,FALSE)/12),0)</f>
        <v>0</v>
      </c>
      <c r="BV168" s="323">
        <f>(_xlfn.IFNA(VLOOKUP($A168,'Post 16'!$A:$AV,32,FALSE),0)/8)+_xlfn.IFNA(VLOOKUP($A168,'Post 16'!$A:$AR,40,FALSE),0)</f>
        <v>0</v>
      </c>
      <c r="BW168" s="323"/>
      <c r="BX168" s="323">
        <f>_xlfn.IFNA((VLOOKUP($A168,HN!$A:$K,9,FALSE)/12),0)+_xlfn.IFNA((VLOOKUP($A168,HN!$A:$K,10,FALSE)/12),0)</f>
        <v>0</v>
      </c>
      <c r="BY168" s="323">
        <f>_xlfn.IFNA((VLOOKUP($A168,HN!$A:$BS,15,FALSE)/12),0)</f>
        <v>0</v>
      </c>
      <c r="BZ168" s="322">
        <f t="shared" si="208"/>
        <v>0</v>
      </c>
      <c r="CA168" s="322">
        <f t="shared" si="209"/>
        <v>0</v>
      </c>
      <c r="CB168" s="323"/>
      <c r="CC168" s="323"/>
      <c r="CD168" s="322">
        <f t="shared" si="210"/>
        <v>0</v>
      </c>
      <c r="CE168" s="357">
        <f t="shared" si="211"/>
        <v>0</v>
      </c>
      <c r="CF168" s="357">
        <f>(VLOOKUP($A168,EY!$A:$BS,26,FALSE)-(VLOOKUP($A168,EY!A:CR,24,FALSE)*80%))+VLOOKUP($A168,EY!$A:$BS,42,FALSE)+(VLOOKUP($A168,EY!A:CC,74,FALSE)-VLOOKUP($A168,EY!A:CC,72,FALSE))</f>
        <v>126382.13534406832</v>
      </c>
      <c r="CG168" s="358"/>
      <c r="CH168" s="358">
        <f>_xlfn.IFNA((VLOOKUP($A168,HN!$A:$K,8,FALSE)/12),0)</f>
        <v>0</v>
      </c>
      <c r="CI168" s="358">
        <f>_xlfn.IFNA((VLOOKUP($A168,HN!$A:$BS,14,FALSE)/12),0)</f>
        <v>0</v>
      </c>
      <c r="CJ168" s="358">
        <f>(_xlfn.IFNA(VLOOKUP($A168,'Post 16'!$A:$AV,32,FALSE),0)/8)</f>
        <v>0</v>
      </c>
      <c r="CK168" s="358">
        <f>(VLOOKUP($A168,EY!A:CR,24,FALSE)*80%)+VLOOKUP($A168,EY!A:CC,72,FALSE)</f>
        <v>320.89</v>
      </c>
      <c r="CL168" s="358">
        <f>_xlfn.IFNA((VLOOKUP($A168,HN!$A:$K,9,FALSE)/12),0)+_xlfn.IFNA((VLOOKUP($A168,HN!$A:$K,10,FALSE)/12),0)</f>
        <v>0</v>
      </c>
      <c r="CM168" s="358">
        <f>_xlfn.IFNA((VLOOKUP($A168,HN!$A:$BS,15,FALSE)/12),0)</f>
        <v>0</v>
      </c>
      <c r="CN168" s="357">
        <f t="shared" si="212"/>
        <v>0</v>
      </c>
      <c r="CO168" s="357">
        <f t="shared" si="213"/>
        <v>0</v>
      </c>
      <c r="CP168" s="358">
        <f>_xlfn.IFNA(VLOOKUP(A168,'LA Deductions'!A:W,23,FALSE),0)</f>
        <v>-3291.75</v>
      </c>
      <c r="CQ168" s="358">
        <f>_xlfn.IFNA(VLOOKUP($A168,'Cash Advances'!$A:$S,13,FALSE),0)</f>
        <v>0</v>
      </c>
      <c r="CR168" s="358">
        <f>_xlfn.IFNA(VLOOKUP(A168,'LA Deductions'!A:AZ,25,FALSE),0)/9*3</f>
        <v>0</v>
      </c>
      <c r="CS168" s="357">
        <f t="shared" si="173"/>
        <v>123411.27534406832</v>
      </c>
      <c r="CT168" s="337">
        <f t="shared" si="214"/>
        <v>0</v>
      </c>
      <c r="CU168" s="337"/>
      <c r="CV168" s="338">
        <f>_xlfn.IFNA(VLOOKUP(A168,'LA Deductions'!$A$6:$AN$207,34,FALSE),0)</f>
        <v>0</v>
      </c>
      <c r="CW168" s="338">
        <f>_xlfn.IFNA((VLOOKUP($A168,HN!$A:$K,8,FALSE)/12),0)</f>
        <v>0</v>
      </c>
      <c r="CX168" s="338">
        <f>_xlfn.IFNA((VLOOKUP($A168,HN!$A:$BS,14,FALSE)/12),0)</f>
        <v>0</v>
      </c>
      <c r="CY168" s="338">
        <f>_xlfn.IFNA(VLOOKUP($A168,'Post 16'!$A:$AV,32,FALSE),0)/8</f>
        <v>0</v>
      </c>
      <c r="CZ168" s="338"/>
      <c r="DA168" s="338">
        <f>_xlfn.IFNA((VLOOKUP($A168,HN!$A:$K,9,FALSE)/12),0)+_xlfn.IFNA((VLOOKUP($A168,HN!$A:$K,10,FALSE)/12),0)</f>
        <v>0</v>
      </c>
      <c r="DB168" s="338">
        <f>_xlfn.IFNA((VLOOKUP($A168,HN!$A:$BS,15,FALSE)/12),0)</f>
        <v>0</v>
      </c>
      <c r="DC168" s="337">
        <f t="shared" si="215"/>
        <v>0</v>
      </c>
      <c r="DD168" s="337">
        <f t="shared" si="216"/>
        <v>0</v>
      </c>
      <c r="DE168" s="338"/>
      <c r="DF168" s="338">
        <f>_xlfn.IFNA(VLOOKUP($A168,'Cash Advances'!$A:$S,14,FALSE),0)</f>
        <v>0</v>
      </c>
      <c r="DG168" s="338">
        <f>(_xlfn.IFNA(VLOOKUP(A168,'LA Deductions'!A:AZ,25,FALSE),0)/9)+(_xlfn.IFNA(VLOOKUP(A168,'LA Deductions'!A:AZ,26,FALSE),0))</f>
        <v>0</v>
      </c>
      <c r="DH168" s="337">
        <f t="shared" si="174"/>
        <v>0</v>
      </c>
      <c r="DI168" s="330">
        <f t="shared" si="217"/>
        <v>0</v>
      </c>
      <c r="DJ168" s="330"/>
      <c r="DK168" s="331"/>
      <c r="DL168" s="331">
        <f>_xlfn.IFNA((VLOOKUP($A168,HN!$A:$K,8,FALSE)/12),0)+_xlfn.IFNA((VLOOKUP($A168,HN!$A:$AF,32,FALSE)*8/12),0)</f>
        <v>0</v>
      </c>
      <c r="DM168" s="331">
        <f>_xlfn.IFNA((VLOOKUP($A168,HN!$A:$BS,14,FALSE)/12),0)+_xlfn.IFNA(VLOOKUP($A168,HN!$A:$BS,31,FALSE),0)</f>
        <v>0</v>
      </c>
      <c r="DN168" s="331">
        <f>_xlfn.IFNA(VLOOKUP($A168,'Post 16'!$A:$AV,32,FALSE),0)/8</f>
        <v>0</v>
      </c>
      <c r="DO168" s="331"/>
      <c r="DP168" s="331">
        <f>_xlfn.IFNA((VLOOKUP($A168,HN!$A:$K,9,FALSE)/12),0)+_xlfn.IFNA((VLOOKUP($A168,HN!$A:$K,10,FALSE)/12),0)+_xlfn.IFNA((VLOOKUP($A168,HN!$A:$BZ,33,FALSE)*8/12),0)</f>
        <v>0</v>
      </c>
      <c r="DQ168" s="331">
        <f>_xlfn.IFNA((VLOOKUP($A168,HN!$A:$BS,15,FALSE)/12),0)</f>
        <v>0</v>
      </c>
      <c r="DR168" s="330">
        <f t="shared" si="218"/>
        <v>0</v>
      </c>
      <c r="DS168" s="330">
        <f t="shared" si="219"/>
        <v>0</v>
      </c>
      <c r="DT168" s="331"/>
      <c r="DU168" s="331"/>
      <c r="DV168" s="331">
        <f>(_xlfn.IFNA(VLOOKUP(A168,'LA Deductions'!A:AZ,25,FALSE),0)/9)+_xlfn.IFNA(VLOOKUP(A168,'LA Deductions'!A:AZ,27,FALSE),0)</f>
        <v>0</v>
      </c>
      <c r="DW168" s="330">
        <f t="shared" si="175"/>
        <v>0</v>
      </c>
      <c r="DX168" s="344">
        <f t="shared" si="220"/>
        <v>0</v>
      </c>
      <c r="DY168" s="344"/>
      <c r="DZ168" s="345"/>
      <c r="EA168" s="345">
        <f>_xlfn.IFNA((VLOOKUP($A168,HN!$A:$K,8,FALSE)/12),0)+_xlfn.IFNA((VLOOKUP($A168,HN!$A:$AF,32,FALSE)*1/12),0)</f>
        <v>0</v>
      </c>
      <c r="EB168" s="345">
        <f>_xlfn.IFNA((VLOOKUP($A168,HN!$A:$BS,14,FALSE)/12),0)</f>
        <v>0</v>
      </c>
      <c r="EC168" s="345">
        <f>_xlfn.IFNA(VLOOKUP($A168,'Post 16'!$A:$AV,32,FALSE),0)/8</f>
        <v>0</v>
      </c>
      <c r="ED168" s="345"/>
      <c r="EE168" s="345">
        <f>_xlfn.IFNA((VLOOKUP($A168,HN!$A:$K,9,FALSE)/12),0)+_xlfn.IFNA((VLOOKUP($A168,HN!$A:$K,10,FALSE)/12),0)+_xlfn.IFNA((VLOOKUP($A168,HN!$A:$BZ,33,FALSE)/12),0)</f>
        <v>0</v>
      </c>
      <c r="EF168" s="345">
        <f>_xlfn.IFNA((VLOOKUP($A168,HN!$A:$BS,15,FALSE)/12),0)</f>
        <v>0</v>
      </c>
      <c r="EG168" s="344">
        <f t="shared" si="221"/>
        <v>0</v>
      </c>
      <c r="EH168" s="344">
        <f t="shared" si="222"/>
        <v>0</v>
      </c>
      <c r="EI168" s="345"/>
      <c r="EJ168" s="345">
        <f>_xlfn.IFNA(VLOOKUP(A168,'Cash Advances'!A:P,16,FALSE),0)</f>
        <v>0</v>
      </c>
      <c r="EK168" s="345">
        <f>_xlfn.IFNA(VLOOKUP(A168,'LA Deductions'!A:AZ,25,FALSE),0)/9</f>
        <v>0</v>
      </c>
      <c r="EL168" s="344">
        <f t="shared" si="176"/>
        <v>0</v>
      </c>
      <c r="EM168" s="308">
        <f t="shared" si="223"/>
        <v>0</v>
      </c>
      <c r="EN168" s="308">
        <f>((VLOOKUP($A168,EY!$A:$BS,35,FALSE)-(VLOOKUP($A168,EY!$A:$BS,33,FALSE)*80%))+VLOOKUP($A168,EY!$A:$BS,43,FALSE))+(VLOOKUP(A168,EY!A:DF,110,FALSE)-VLOOKUP(A168,EY!A:DD,108,FALSE))+(VLOOKUP(A168,EY!A:CE,83,FALSE)-VLOOKUP(A168,EY!A:CC,81,FALSE))</f>
        <v>137288.05086980609</v>
      </c>
      <c r="EO168" s="309"/>
      <c r="EP168" s="309">
        <f>_xlfn.IFNA((VLOOKUP($A168,HN!$A:$K,8,FALSE)/12),0)+_xlfn.IFNA((VLOOKUP($A168,HN!$A:$AF,32,FALSE)*1/12),0)</f>
        <v>0</v>
      </c>
      <c r="EQ168" s="309">
        <f>_xlfn.IFNA((VLOOKUP($A168,HN!$A:$BS,14,FALSE)/12),0)+_xlfn.IFNA((VLOOKUP($A168,HN!$A:$BS,34,FALSE)/3),0)</f>
        <v>0</v>
      </c>
      <c r="ER168" s="309">
        <f>_xlfn.IFNA(VLOOKUP($A168,'Post 16'!$A:$AV,32,FALSE),0)/8</f>
        <v>0</v>
      </c>
      <c r="ES168" s="309">
        <f>((VLOOKUP($A168,EY!A:EV,33,FALSE)*80%))+VLOOKUP(A168,EY!A:DD,108,FALSE)+VLOOKUP(A168,EY!A:CC,81,FALSE)</f>
        <v>4262.0584764542937</v>
      </c>
      <c r="ET168" s="309">
        <f>_xlfn.IFNA((VLOOKUP($A168,HN!$A:$K,9,FALSE)/12),0)+_xlfn.IFNA((VLOOKUP($A168,HN!$A:$K,10,FALSE)/12),0)+_xlfn.IFNA((VLOOKUP($A168,HN!$A:$BZ,33,FALSE)/12),0)</f>
        <v>0</v>
      </c>
      <c r="EU168" s="309">
        <f>_xlfn.IFNA((VLOOKUP($A168,HN!$A:$BS,15,FALSE)/12),0)</f>
        <v>0</v>
      </c>
      <c r="EV168" s="308">
        <f t="shared" si="224"/>
        <v>0</v>
      </c>
      <c r="EW168" s="308">
        <f t="shared" si="225"/>
        <v>0</v>
      </c>
      <c r="EX168" s="309"/>
      <c r="EY168" s="309">
        <f>_xlfn.IFNA(VLOOKUP($A168,'Cash Advances'!$A:$S,17,FALSE),0)</f>
        <v>0</v>
      </c>
      <c r="EZ168" s="309">
        <f>_xlfn.IFNA(VLOOKUP(A168,'LA Deductions'!A:AZ,25,FALSE),0)/9</f>
        <v>0</v>
      </c>
      <c r="FA168" s="308">
        <f t="shared" si="177"/>
        <v>141550.10934626037</v>
      </c>
      <c r="FB168" s="315">
        <f t="shared" si="226"/>
        <v>0</v>
      </c>
      <c r="FC168" s="315"/>
      <c r="FD168" s="316"/>
      <c r="FE168" s="316">
        <f>_xlfn.IFNA((VLOOKUP($A168,HN!$A:$K,8,FALSE)/12),0)+_xlfn.IFNA((VLOOKUP($A168,HN!$A:$AF,32,FALSE)*1/12),0)</f>
        <v>0</v>
      </c>
      <c r="FF168" s="316">
        <f>_xlfn.IFNA((VLOOKUP($A168,HN!$A:$BS,14,FALSE)/12),0)+_xlfn.IFNA((VLOOKUP($A168,HN!$A:$BS,34,FALSE)/3),0)</f>
        <v>0</v>
      </c>
      <c r="FG168" s="316">
        <f>_xlfn.IFNA(VLOOKUP($A168,'Post 16'!$A:$AV,32,FALSE),0)/8</f>
        <v>0</v>
      </c>
      <c r="FH168" s="316"/>
      <c r="FI168" s="316">
        <f>_xlfn.IFNA((VLOOKUP($A168,HN!$A:$K,9,FALSE)/12),0)+_xlfn.IFNA((VLOOKUP($A168,HN!$A:$K,10,FALSE)/12),0)+_xlfn.IFNA((VLOOKUP($A168,HN!$A:$BZ,33,FALSE)/12),0)+_xlfn.IFNA((VLOOKUP($A168,HN!$A:$BZ,35,FALSE)/2),0)</f>
        <v>0</v>
      </c>
      <c r="FJ168" s="316">
        <f>_xlfn.IFNA((VLOOKUP($A168,HN!$A:$BS,15,FALSE)/12),0)+_xlfn.IFNA((VLOOKUP($A168,HN!$A:$CZ,36,FALSE)/2),0)</f>
        <v>0</v>
      </c>
      <c r="FK168" s="315">
        <f t="shared" si="227"/>
        <v>0</v>
      </c>
      <c r="FL168" s="315">
        <f t="shared" si="228"/>
        <v>0</v>
      </c>
      <c r="FM168" s="316"/>
      <c r="FN168" s="316">
        <f>_xlfn.IFNA(VLOOKUP($A168,'Cash Advances'!$A:$S,18,FALSE),0)</f>
        <v>0</v>
      </c>
      <c r="FO168" s="316">
        <f>_xlfn.IFNA(VLOOKUP(A168,'LA Deductions'!A:AZ,25,FALSE),0)/9</f>
        <v>0</v>
      </c>
      <c r="FP168" s="315">
        <f t="shared" si="178"/>
        <v>0</v>
      </c>
      <c r="FQ168" s="322">
        <f t="shared" si="229"/>
        <v>0</v>
      </c>
      <c r="FR168" s="322"/>
      <c r="FS168" s="323"/>
      <c r="FT168" s="323">
        <f>_xlfn.IFNA((VLOOKUP($A168,HN!$A:$K,8,FALSE)/12),0)+_xlfn.IFNA((VLOOKUP($A168,HN!$A:$AF,32,FALSE)*1/12),0)</f>
        <v>0</v>
      </c>
      <c r="FU168" s="323">
        <f>_xlfn.IFNA((VLOOKUP($A168,HN!$A:$BS,14,FALSE)/12),0)+_xlfn.IFNA((VLOOKUP($A168,HN!$A:$BS,34,FALSE)/3),0)</f>
        <v>0</v>
      </c>
      <c r="FV168" s="323">
        <f>_xlfn.IFNA(VLOOKUP($A168,'Post 16'!$A:$AV,32,FALSE),0)/8</f>
        <v>0</v>
      </c>
      <c r="FW168" s="323"/>
      <c r="FX168" s="323">
        <f>_xlfn.IFNA((VLOOKUP($A168,HN!$A:$K,9,FALSE)/12),0)+_xlfn.IFNA((VLOOKUP($A168,HN!$A:$K,10,FALSE)/12),0)+_xlfn.IFNA((VLOOKUP($A168,HN!$A:$BZ,33,FALSE)/12),0)+_xlfn.IFNA((VLOOKUP($A168,HN!$A:$BZ,35,FALSE)/2),0)</f>
        <v>0</v>
      </c>
      <c r="FY168" s="323">
        <f>_xlfn.IFNA((VLOOKUP($A168,HN!$A:$BS,15,FALSE)/12),0)+_xlfn.IFNA((VLOOKUP($A168,HN!$A:$CZ,36,FALSE)/2),0)</f>
        <v>0</v>
      </c>
      <c r="FZ168" s="322">
        <f t="shared" si="230"/>
        <v>0</v>
      </c>
      <c r="GA168" s="322">
        <f t="shared" si="231"/>
        <v>0</v>
      </c>
      <c r="GB168" s="323"/>
      <c r="GC168" s="323"/>
      <c r="GD168" s="323">
        <f>_xlfn.IFNA(VLOOKUP(A168,'LA Deductions'!A:AZ,25,FALSE),0)/9</f>
        <v>0</v>
      </c>
      <c r="GE168" s="322">
        <f t="shared" si="179"/>
        <v>0</v>
      </c>
      <c r="GG168" s="146">
        <f t="shared" si="232"/>
        <v>600297.02638829884</v>
      </c>
      <c r="GH168" s="146">
        <f t="shared" si="232"/>
        <v>0</v>
      </c>
      <c r="GI168" s="146">
        <f t="shared" si="232"/>
        <v>4839.6642659279778</v>
      </c>
      <c r="GJ168" s="146">
        <f t="shared" si="232"/>
        <v>0</v>
      </c>
      <c r="GK168" s="146">
        <f t="shared" si="232"/>
        <v>0</v>
      </c>
      <c r="GL168" s="146">
        <f t="shared" si="232"/>
        <v>-3291.75</v>
      </c>
      <c r="GN168" s="146">
        <f t="shared" si="233"/>
        <v>600297.02638829884</v>
      </c>
      <c r="GO168" s="146">
        <f t="shared" si="233"/>
        <v>0</v>
      </c>
      <c r="GP168" s="146">
        <f t="shared" si="233"/>
        <v>4839.6642659279778</v>
      </c>
      <c r="GQ168" s="146">
        <f t="shared" si="233"/>
        <v>0</v>
      </c>
      <c r="GR168" s="146">
        <f t="shared" si="233"/>
        <v>0</v>
      </c>
      <c r="GS168" s="146">
        <f t="shared" si="233"/>
        <v>-3291.75</v>
      </c>
      <c r="GU168" s="146"/>
      <c r="GV168" s="57"/>
    </row>
    <row r="169" spans="1:204">
      <c r="A169" s="185">
        <v>2091</v>
      </c>
      <c r="B169" s="185">
        <v>103208</v>
      </c>
      <c r="C169" s="185" t="s">
        <v>380</v>
      </c>
      <c r="D169" s="2" t="s">
        <v>381</v>
      </c>
      <c r="E169" s="191" t="s">
        <v>32</v>
      </c>
      <c r="F169" s="191" t="s">
        <v>912</v>
      </c>
      <c r="H169" s="279">
        <f>_xlfn.IFNA(VLOOKUP($A169,ISB!$A$4:$BY$454,67,FALSE),0)</f>
        <v>1198680.2245729088</v>
      </c>
      <c r="I169" s="279">
        <f>_xlfn.IFNA(VLOOKUP($A169,ISB!$A$4:$BY$454,72,FALSE),0)</f>
        <v>-4850.88</v>
      </c>
      <c r="J169" s="279">
        <f>-_xlfn.IFNA(VLOOKUP($A169,ISB!$A$4:$BY$454,76,FALSE),0)</f>
        <v>-16916.68</v>
      </c>
      <c r="K169" s="279">
        <f>_xlfn.IFNA(VLOOKUP($A169,ISB!$A$4:$BY$454,77,FALSE),0)</f>
        <v>1176912.664572909</v>
      </c>
      <c r="M169" s="301">
        <f t="shared" si="191"/>
        <v>99890.018714409074</v>
      </c>
      <c r="N169" s="301">
        <f>VLOOKUP($A169,EY!$A:$H,8,FALSE)+(VLOOKUP($A169,EY!$A:$BS,17,FALSE)-S169)+VLOOKUP($A169,EY!$A:$BS,41,FALSE)</f>
        <v>0</v>
      </c>
      <c r="O169" s="302"/>
      <c r="P169" s="302">
        <f>_xlfn.IFNA((VLOOKUP($A169,HN!$A:$K,8,FALSE)/12),0)</f>
        <v>0</v>
      </c>
      <c r="Q169" s="302">
        <f>_xlfn.IFNA((VLOOKUP($A169,HN!$A:$BS,14,FALSE)/12),0)</f>
        <v>0</v>
      </c>
      <c r="R169" s="302">
        <f>_xlfn.IFNA(VLOOKUP($A169,'Post 16'!$A:$V,21,FALSE),0)/4</f>
        <v>0</v>
      </c>
      <c r="S169" s="302">
        <f>VLOOKUP($A169,EY!A:Q,15,FALSE)*80%</f>
        <v>0</v>
      </c>
      <c r="T169" s="302">
        <f>_xlfn.IFNA((VLOOKUP($A169,HN!$A:$K,9,FALSE)/12),0)+_xlfn.IFNA((VLOOKUP($A169,HN!$A:$K,10,FALSE)/12),0)</f>
        <v>0</v>
      </c>
      <c r="U169" s="302">
        <f>_xlfn.IFNA((VLOOKUP($A169,HN!$A:$BS,15,FALSE)/12),0)</f>
        <v>0</v>
      </c>
      <c r="V169" s="301">
        <f t="shared" si="192"/>
        <v>-404.24</v>
      </c>
      <c r="W169" s="301">
        <f t="shared" si="193"/>
        <v>-1409.7233333333334</v>
      </c>
      <c r="X169" s="302"/>
      <c r="Y169" s="302">
        <f>_xlfn.IFNA(VLOOKUP($A169,'Cash Advances'!$A:$S,8,FALSE),0)</f>
        <v>0</v>
      </c>
      <c r="Z169" s="301">
        <f t="shared" si="194"/>
        <v>98076.055381075741</v>
      </c>
      <c r="AA169" s="315">
        <f t="shared" si="195"/>
        <v>99890.018714409074</v>
      </c>
      <c r="AB169" s="315"/>
      <c r="AC169" s="316"/>
      <c r="AD169" s="316">
        <f>_xlfn.IFNA((VLOOKUP($A169,HN!$A:$K,8,FALSE)/12),0)</f>
        <v>0</v>
      </c>
      <c r="AE169" s="316">
        <f>_xlfn.IFNA((VLOOKUP($A169,HN!$A:$BS,14,FALSE)/12),0)</f>
        <v>0</v>
      </c>
      <c r="AF169" s="316">
        <f>_xlfn.IFNA(VLOOKUP($A169,'Post 16'!$A:$V,21,FALSE),0)/4</f>
        <v>0</v>
      </c>
      <c r="AG169" s="316"/>
      <c r="AH169" s="316">
        <f>_xlfn.IFNA((VLOOKUP($A169,HN!$A:$K,9,FALSE)/12),0)+_xlfn.IFNA((VLOOKUP($A169,HN!$A:$K,10,FALSE)/12),0)</f>
        <v>0</v>
      </c>
      <c r="AI169" s="316">
        <f>_xlfn.IFNA((VLOOKUP($A169,HN!$A:$BS,15,FALSE)/12),0)</f>
        <v>0</v>
      </c>
      <c r="AJ169" s="315">
        <f t="shared" si="196"/>
        <v>-404.24</v>
      </c>
      <c r="AK169" s="315">
        <f t="shared" si="197"/>
        <v>-1409.7233333333334</v>
      </c>
      <c r="AL169" s="316"/>
      <c r="AM169" s="316">
        <f>_xlfn.IFNA(VLOOKUP($A169,'Cash Advances'!$A:$S,9,FALSE),0)</f>
        <v>0</v>
      </c>
      <c r="AN169" s="315">
        <f t="shared" si="198"/>
        <v>98076.055381075741</v>
      </c>
      <c r="AO169" s="308">
        <f t="shared" si="199"/>
        <v>99890.018714409074</v>
      </c>
      <c r="AP169" s="308"/>
      <c r="AQ169" s="309"/>
      <c r="AR169" s="309">
        <f>_xlfn.IFNA((VLOOKUP($A169,HN!$A:$K,8,FALSE)/12),0)</f>
        <v>0</v>
      </c>
      <c r="AS169" s="309">
        <f>_xlfn.IFNA((VLOOKUP($A169,HN!$A:$BS,14,FALSE)/12),0)</f>
        <v>0</v>
      </c>
      <c r="AT169" s="309">
        <f>_xlfn.IFNA(VLOOKUP($A169,'Post 16'!$A:$V,21,FALSE),0)/4</f>
        <v>0</v>
      </c>
      <c r="AU169" s="309"/>
      <c r="AV169" s="309">
        <f>_xlfn.IFNA((VLOOKUP($A169,HN!$A:$K,9,FALSE)/12),0)+_xlfn.IFNA((VLOOKUP($A169,HN!$A:$K,10,FALSE)/12),0)+_xlfn.IFNA(VLOOKUP(A169,HN!A:V,19,FALSE),0)+_xlfn.IFNA(VLOOKUP(A169,HN!A:V,20,FALSE),0)+_xlfn.IFNA(VLOOKUP(A169,HN!A:V,21,FALSE),0)</f>
        <v>0</v>
      </c>
      <c r="AW169" s="309">
        <f>_xlfn.IFNA((VLOOKUP($A169,HN!$A:$BS,15,FALSE)/12),0)</f>
        <v>0</v>
      </c>
      <c r="AX169" s="308">
        <f t="shared" si="200"/>
        <v>-404.24</v>
      </c>
      <c r="AY169" s="308">
        <f t="shared" si="201"/>
        <v>-1409.7233333333334</v>
      </c>
      <c r="AZ169" s="309"/>
      <c r="BA169" s="309">
        <f>_xlfn.IFNA(VLOOKUP($A169,'Cash Advances'!$A:$S,10,FALSE),0)</f>
        <v>0</v>
      </c>
      <c r="BB169" s="308">
        <f t="shared" si="202"/>
        <v>98076.055381075741</v>
      </c>
      <c r="BC169" s="330">
        <f t="shared" si="203"/>
        <v>99890.018714409074</v>
      </c>
      <c r="BD169" s="330"/>
      <c r="BE169" s="331"/>
      <c r="BF169" s="331">
        <f>_xlfn.IFNA((VLOOKUP($A169,HN!$A:$K,8,FALSE)/12),0)</f>
        <v>0</v>
      </c>
      <c r="BG169" s="331">
        <f>_xlfn.IFNA((VLOOKUP($A169,HN!$A:$BS,14,FALSE)/12),0)</f>
        <v>0</v>
      </c>
      <c r="BH169" s="331">
        <f>_xlfn.IFNA(VLOOKUP($A169,'Post 16'!$A:$V,21,FALSE),0)/4</f>
        <v>0</v>
      </c>
      <c r="BI169" s="331"/>
      <c r="BJ169" s="331">
        <f>_xlfn.IFNA((VLOOKUP($A169,HN!$A:$K,9,FALSE)/12),0)+_xlfn.IFNA((VLOOKUP($A169,HN!$A:$K,10,FALSE)/12),0)</f>
        <v>0</v>
      </c>
      <c r="BK169" s="331">
        <f>_xlfn.IFNA((VLOOKUP($A169,HN!$A:$BS,15,FALSE)/12),0)</f>
        <v>0</v>
      </c>
      <c r="BL169" s="330">
        <f t="shared" si="204"/>
        <v>-404.24</v>
      </c>
      <c r="BM169" s="330">
        <f t="shared" si="205"/>
        <v>-1409.7233333333334</v>
      </c>
      <c r="BN169" s="331"/>
      <c r="BO169" s="331">
        <f>_xlfn.IFNA(VLOOKUP(A169,'Cash Advances'!A:K,11,FALSE),0)</f>
        <v>0</v>
      </c>
      <c r="BP169" s="330">
        <f t="shared" si="206"/>
        <v>98076.055381075741</v>
      </c>
      <c r="BQ169" s="322">
        <f t="shared" si="207"/>
        <v>99890.018714409074</v>
      </c>
      <c r="BR169" s="322"/>
      <c r="BS169" s="323"/>
      <c r="BT169" s="323">
        <f>_xlfn.IFNA((VLOOKUP($A169,HN!$A:$K,8,FALSE)/12),0)</f>
        <v>0</v>
      </c>
      <c r="BU169" s="323">
        <f>_xlfn.IFNA((VLOOKUP($A169,HN!$A:$BS,14,FALSE)/12),0)</f>
        <v>0</v>
      </c>
      <c r="BV169" s="323">
        <f>(_xlfn.IFNA(VLOOKUP($A169,'Post 16'!$A:$AV,32,FALSE),0)/8)+_xlfn.IFNA(VLOOKUP($A169,'Post 16'!$A:$AR,40,FALSE),0)</f>
        <v>0</v>
      </c>
      <c r="BW169" s="323"/>
      <c r="BX169" s="323">
        <f>_xlfn.IFNA((VLOOKUP($A169,HN!$A:$K,9,FALSE)/12),0)+_xlfn.IFNA((VLOOKUP($A169,HN!$A:$K,10,FALSE)/12),0)</f>
        <v>0</v>
      </c>
      <c r="BY169" s="323">
        <f>_xlfn.IFNA((VLOOKUP($A169,HN!$A:$BS,15,FALSE)/12),0)</f>
        <v>0</v>
      </c>
      <c r="BZ169" s="322">
        <f t="shared" si="208"/>
        <v>-404.24</v>
      </c>
      <c r="CA169" s="322">
        <f t="shared" si="209"/>
        <v>-1409.7233333333334</v>
      </c>
      <c r="CB169" s="323"/>
      <c r="CC169" s="323"/>
      <c r="CD169" s="322">
        <f t="shared" si="210"/>
        <v>98076.055381075741</v>
      </c>
      <c r="CE169" s="357">
        <f t="shared" si="211"/>
        <v>99890.018714409074</v>
      </c>
      <c r="CF169" s="357">
        <f>(VLOOKUP($A169,EY!$A:$BS,26,FALSE)-(VLOOKUP($A169,EY!A:CR,24,FALSE)*80%))+VLOOKUP($A169,EY!$A:$BS,42,FALSE)+(VLOOKUP($A169,EY!A:CC,74,FALSE)-VLOOKUP($A169,EY!A:CC,72,FALSE))</f>
        <v>0</v>
      </c>
      <c r="CG169" s="358"/>
      <c r="CH169" s="358">
        <f>_xlfn.IFNA((VLOOKUP($A169,HN!$A:$K,8,FALSE)/12),0)</f>
        <v>0</v>
      </c>
      <c r="CI169" s="358">
        <f>_xlfn.IFNA((VLOOKUP($A169,HN!$A:$BS,14,FALSE)/12),0)</f>
        <v>0</v>
      </c>
      <c r="CJ169" s="358">
        <f>(_xlfn.IFNA(VLOOKUP($A169,'Post 16'!$A:$AV,32,FALSE),0)/8)</f>
        <v>0</v>
      </c>
      <c r="CK169" s="358">
        <f>(VLOOKUP($A169,EY!A:CR,24,FALSE)*80%)+VLOOKUP($A169,EY!A:CC,72,FALSE)</f>
        <v>0</v>
      </c>
      <c r="CL169" s="358">
        <f>_xlfn.IFNA((VLOOKUP($A169,HN!$A:$K,9,FALSE)/12),0)+_xlfn.IFNA((VLOOKUP($A169,HN!$A:$K,10,FALSE)/12),0)</f>
        <v>0</v>
      </c>
      <c r="CM169" s="358">
        <f>_xlfn.IFNA((VLOOKUP($A169,HN!$A:$BS,15,FALSE)/12),0)</f>
        <v>0</v>
      </c>
      <c r="CN169" s="357">
        <f t="shared" si="212"/>
        <v>-404.24</v>
      </c>
      <c r="CO169" s="357">
        <f t="shared" si="213"/>
        <v>-1409.7233333333334</v>
      </c>
      <c r="CP169" s="358">
        <f>_xlfn.IFNA(VLOOKUP(A169,'LA Deductions'!A:W,23,FALSE),0)</f>
        <v>-5139.75</v>
      </c>
      <c r="CQ169" s="358">
        <f>_xlfn.IFNA(VLOOKUP($A169,'Cash Advances'!$A:$S,13,FALSE),0)</f>
        <v>0</v>
      </c>
      <c r="CR169" s="358">
        <f>_xlfn.IFNA(VLOOKUP(A169,'LA Deductions'!A:AZ,25,FALSE),0)/9*3</f>
        <v>0</v>
      </c>
      <c r="CS169" s="357">
        <f t="shared" si="173"/>
        <v>92936.305381075741</v>
      </c>
      <c r="CT169" s="337">
        <f t="shared" si="214"/>
        <v>99890.018714409074</v>
      </c>
      <c r="CU169" s="337"/>
      <c r="CV169" s="338">
        <f>_xlfn.IFNA(VLOOKUP(A169,'LA Deductions'!$A$6:$AN$207,34,FALSE),0)</f>
        <v>-5090.5414000000001</v>
      </c>
      <c r="CW169" s="338">
        <f>_xlfn.IFNA((VLOOKUP($A169,HN!$A:$K,8,FALSE)/12),0)</f>
        <v>0</v>
      </c>
      <c r="CX169" s="338">
        <f>_xlfn.IFNA((VLOOKUP($A169,HN!$A:$BS,14,FALSE)/12),0)</f>
        <v>0</v>
      </c>
      <c r="CY169" s="338">
        <f>_xlfn.IFNA(VLOOKUP($A169,'Post 16'!$A:$AV,32,FALSE),0)/8</f>
        <v>0</v>
      </c>
      <c r="CZ169" s="338"/>
      <c r="DA169" s="338">
        <f>_xlfn.IFNA((VLOOKUP($A169,HN!$A:$K,9,FALSE)/12),0)+_xlfn.IFNA((VLOOKUP($A169,HN!$A:$K,10,FALSE)/12),0)</f>
        <v>0</v>
      </c>
      <c r="DB169" s="338">
        <f>_xlfn.IFNA((VLOOKUP($A169,HN!$A:$BS,15,FALSE)/12),0)</f>
        <v>0</v>
      </c>
      <c r="DC169" s="337">
        <f t="shared" si="215"/>
        <v>-404.24</v>
      </c>
      <c r="DD169" s="337">
        <f t="shared" si="216"/>
        <v>-1409.7233333333334</v>
      </c>
      <c r="DE169" s="338"/>
      <c r="DF169" s="338">
        <f>_xlfn.IFNA(VLOOKUP($A169,'Cash Advances'!$A:$S,14,FALSE),0)</f>
        <v>0</v>
      </c>
      <c r="DG169" s="338">
        <f>(_xlfn.IFNA(VLOOKUP(A169,'LA Deductions'!A:AZ,25,FALSE),0)/9)+(_xlfn.IFNA(VLOOKUP(A169,'LA Deductions'!A:AZ,26,FALSE),0))</f>
        <v>2010.9</v>
      </c>
      <c r="DH169" s="337">
        <f t="shared" si="174"/>
        <v>94996.413981075733</v>
      </c>
      <c r="DI169" s="330">
        <f t="shared" si="217"/>
        <v>99890.018714409074</v>
      </c>
      <c r="DJ169" s="330"/>
      <c r="DK169" s="331"/>
      <c r="DL169" s="331">
        <f>_xlfn.IFNA((VLOOKUP($A169,HN!$A:$K,8,FALSE)/12),0)+_xlfn.IFNA((VLOOKUP($A169,HN!$A:$AF,32,FALSE)*8/12),0)</f>
        <v>0</v>
      </c>
      <c r="DM169" s="331">
        <f>_xlfn.IFNA((VLOOKUP($A169,HN!$A:$BS,14,FALSE)/12),0)+_xlfn.IFNA(VLOOKUP($A169,HN!$A:$BS,31,FALSE),0)</f>
        <v>0</v>
      </c>
      <c r="DN169" s="331">
        <f>_xlfn.IFNA(VLOOKUP($A169,'Post 16'!$A:$AV,32,FALSE),0)/8</f>
        <v>0</v>
      </c>
      <c r="DO169" s="331"/>
      <c r="DP169" s="331">
        <f>_xlfn.IFNA((VLOOKUP($A169,HN!$A:$K,9,FALSE)/12),0)+_xlfn.IFNA((VLOOKUP($A169,HN!$A:$K,10,FALSE)/12),0)+_xlfn.IFNA((VLOOKUP($A169,HN!$A:$BZ,33,FALSE)*8/12),0)</f>
        <v>0</v>
      </c>
      <c r="DQ169" s="331">
        <f>_xlfn.IFNA((VLOOKUP($A169,HN!$A:$BS,15,FALSE)/12),0)</f>
        <v>0</v>
      </c>
      <c r="DR169" s="330">
        <f t="shared" si="218"/>
        <v>-404.24</v>
      </c>
      <c r="DS169" s="330">
        <f t="shared" si="219"/>
        <v>-1409.7233333333334</v>
      </c>
      <c r="DT169" s="331"/>
      <c r="DU169" s="331"/>
      <c r="DV169" s="331">
        <f>(_xlfn.IFNA(VLOOKUP(A169,'LA Deductions'!A:AZ,25,FALSE),0)/9)+_xlfn.IFNA(VLOOKUP(A169,'LA Deductions'!A:AZ,27,FALSE),0)</f>
        <v>0</v>
      </c>
      <c r="DW169" s="330">
        <f t="shared" si="175"/>
        <v>98076.055381075741</v>
      </c>
      <c r="DX169" s="344">
        <f t="shared" si="220"/>
        <v>99890.018714409074</v>
      </c>
      <c r="DY169" s="344"/>
      <c r="DZ169" s="345"/>
      <c r="EA169" s="345">
        <f>_xlfn.IFNA((VLOOKUP($A169,HN!$A:$K,8,FALSE)/12),0)+_xlfn.IFNA((VLOOKUP($A169,HN!$A:$AF,32,FALSE)*1/12),0)</f>
        <v>0</v>
      </c>
      <c r="EB169" s="345">
        <f>_xlfn.IFNA((VLOOKUP($A169,HN!$A:$BS,14,FALSE)/12),0)</f>
        <v>0</v>
      </c>
      <c r="EC169" s="345">
        <f>_xlfn.IFNA(VLOOKUP($A169,'Post 16'!$A:$AV,32,FALSE),0)/8</f>
        <v>0</v>
      </c>
      <c r="ED169" s="345"/>
      <c r="EE169" s="345">
        <f>_xlfn.IFNA((VLOOKUP($A169,HN!$A:$K,9,FALSE)/12),0)+_xlfn.IFNA((VLOOKUP($A169,HN!$A:$K,10,FALSE)/12),0)+_xlfn.IFNA((VLOOKUP($A169,HN!$A:$BZ,33,FALSE)/12),0)</f>
        <v>0</v>
      </c>
      <c r="EF169" s="345">
        <f>_xlfn.IFNA((VLOOKUP($A169,HN!$A:$BS,15,FALSE)/12),0)</f>
        <v>0</v>
      </c>
      <c r="EG169" s="344">
        <f t="shared" si="221"/>
        <v>-404.24</v>
      </c>
      <c r="EH169" s="344">
        <f t="shared" si="222"/>
        <v>-1409.7233333333334</v>
      </c>
      <c r="EI169" s="345"/>
      <c r="EJ169" s="345">
        <f>_xlfn.IFNA(VLOOKUP(A169,'Cash Advances'!A:P,16,FALSE),0)</f>
        <v>0</v>
      </c>
      <c r="EK169" s="345">
        <f>_xlfn.IFNA(VLOOKUP(A169,'LA Deductions'!A:AZ,25,FALSE),0)/9</f>
        <v>0</v>
      </c>
      <c r="EL169" s="344">
        <f t="shared" si="176"/>
        <v>98076.055381075741</v>
      </c>
      <c r="EM169" s="308">
        <f t="shared" si="223"/>
        <v>99890.018714409074</v>
      </c>
      <c r="EN169" s="308">
        <f>((VLOOKUP($A169,EY!$A:$BS,35,FALSE)-(VLOOKUP($A169,EY!$A:$BS,33,FALSE)*80%))+VLOOKUP($A169,EY!$A:$BS,43,FALSE))+(VLOOKUP(A169,EY!A:DF,110,FALSE)-VLOOKUP(A169,EY!A:DD,108,FALSE))+(VLOOKUP(A169,EY!A:CE,83,FALSE)-VLOOKUP(A169,EY!A:CC,81,FALSE))</f>
        <v>0</v>
      </c>
      <c r="EO169" s="309"/>
      <c r="EP169" s="309">
        <f>_xlfn.IFNA((VLOOKUP($A169,HN!$A:$K,8,FALSE)/12),0)+_xlfn.IFNA((VLOOKUP($A169,HN!$A:$AF,32,FALSE)*1/12),0)</f>
        <v>0</v>
      </c>
      <c r="EQ169" s="309">
        <f>_xlfn.IFNA((VLOOKUP($A169,HN!$A:$BS,14,FALSE)/12),0)+_xlfn.IFNA((VLOOKUP($A169,HN!$A:$BS,34,FALSE)/3),0)</f>
        <v>0</v>
      </c>
      <c r="ER169" s="309">
        <f>_xlfn.IFNA(VLOOKUP($A169,'Post 16'!$A:$AV,32,FALSE),0)/8</f>
        <v>0</v>
      </c>
      <c r="ES169" s="309">
        <f>((VLOOKUP($A169,EY!A:EV,33,FALSE)*80%))+VLOOKUP(A169,EY!A:DD,108,FALSE)+VLOOKUP(A169,EY!A:CC,81,FALSE)</f>
        <v>0</v>
      </c>
      <c r="ET169" s="309">
        <f>_xlfn.IFNA((VLOOKUP($A169,HN!$A:$K,9,FALSE)/12),0)+_xlfn.IFNA((VLOOKUP($A169,HN!$A:$K,10,FALSE)/12),0)+_xlfn.IFNA((VLOOKUP($A169,HN!$A:$BZ,33,FALSE)/12),0)</f>
        <v>0</v>
      </c>
      <c r="EU169" s="309">
        <f>_xlfn.IFNA((VLOOKUP($A169,HN!$A:$BS,15,FALSE)/12),0)</f>
        <v>0</v>
      </c>
      <c r="EV169" s="308">
        <f t="shared" si="224"/>
        <v>-404.24</v>
      </c>
      <c r="EW169" s="308">
        <f t="shared" si="225"/>
        <v>-1409.7233333333334</v>
      </c>
      <c r="EX169" s="309"/>
      <c r="EY169" s="309">
        <f>_xlfn.IFNA(VLOOKUP($A169,'Cash Advances'!$A:$S,17,FALSE),0)</f>
        <v>0</v>
      </c>
      <c r="EZ169" s="309">
        <f>_xlfn.IFNA(VLOOKUP(A169,'LA Deductions'!A:AZ,25,FALSE),0)/9</f>
        <v>0</v>
      </c>
      <c r="FA169" s="308">
        <f t="shared" si="177"/>
        <v>98076.055381075741</v>
      </c>
      <c r="FB169" s="315">
        <f t="shared" si="226"/>
        <v>99890.018714409074</v>
      </c>
      <c r="FC169" s="315"/>
      <c r="FD169" s="316"/>
      <c r="FE169" s="316">
        <f>_xlfn.IFNA((VLOOKUP($A169,HN!$A:$K,8,FALSE)/12),0)+_xlfn.IFNA((VLOOKUP($A169,HN!$A:$AF,32,FALSE)*1/12),0)</f>
        <v>0</v>
      </c>
      <c r="FF169" s="316">
        <f>_xlfn.IFNA((VLOOKUP($A169,HN!$A:$BS,14,FALSE)/12),0)+_xlfn.IFNA((VLOOKUP($A169,HN!$A:$BS,34,FALSE)/3),0)</f>
        <v>0</v>
      </c>
      <c r="FG169" s="316">
        <f>_xlfn.IFNA(VLOOKUP($A169,'Post 16'!$A:$AV,32,FALSE),0)/8</f>
        <v>0</v>
      </c>
      <c r="FH169" s="316"/>
      <c r="FI169" s="316">
        <f>_xlfn.IFNA((VLOOKUP($A169,HN!$A:$K,9,FALSE)/12),0)+_xlfn.IFNA((VLOOKUP($A169,HN!$A:$K,10,FALSE)/12),0)+_xlfn.IFNA((VLOOKUP($A169,HN!$A:$BZ,33,FALSE)/12),0)+_xlfn.IFNA((VLOOKUP($A169,HN!$A:$BZ,35,FALSE)/2),0)</f>
        <v>0</v>
      </c>
      <c r="FJ169" s="316">
        <f>_xlfn.IFNA((VLOOKUP($A169,HN!$A:$BS,15,FALSE)/12),0)+_xlfn.IFNA((VLOOKUP($A169,HN!$A:$CZ,36,FALSE)/2),0)</f>
        <v>0</v>
      </c>
      <c r="FK169" s="315">
        <f t="shared" si="227"/>
        <v>-404.24</v>
      </c>
      <c r="FL169" s="315">
        <f t="shared" si="228"/>
        <v>-1409.7233333333334</v>
      </c>
      <c r="FM169" s="316"/>
      <c r="FN169" s="316">
        <f>_xlfn.IFNA(VLOOKUP($A169,'Cash Advances'!$A:$S,18,FALSE),0)</f>
        <v>0</v>
      </c>
      <c r="FO169" s="316">
        <f>_xlfn.IFNA(VLOOKUP(A169,'LA Deductions'!A:AZ,25,FALSE),0)/9</f>
        <v>0</v>
      </c>
      <c r="FP169" s="315">
        <f t="shared" si="178"/>
        <v>98076.055381075741</v>
      </c>
      <c r="FQ169" s="322">
        <f t="shared" si="229"/>
        <v>99890.018714409074</v>
      </c>
      <c r="FR169" s="322"/>
      <c r="FS169" s="323"/>
      <c r="FT169" s="323">
        <f>_xlfn.IFNA((VLOOKUP($A169,HN!$A:$K,8,FALSE)/12),0)+_xlfn.IFNA((VLOOKUP($A169,HN!$A:$AF,32,FALSE)*1/12),0)</f>
        <v>0</v>
      </c>
      <c r="FU169" s="323">
        <f>_xlfn.IFNA((VLOOKUP($A169,HN!$A:$BS,14,FALSE)/12),0)+_xlfn.IFNA((VLOOKUP($A169,HN!$A:$BS,34,FALSE)/3),0)</f>
        <v>0</v>
      </c>
      <c r="FV169" s="323">
        <f>_xlfn.IFNA(VLOOKUP($A169,'Post 16'!$A:$AV,32,FALSE),0)/8</f>
        <v>0</v>
      </c>
      <c r="FW169" s="323"/>
      <c r="FX169" s="323">
        <f>_xlfn.IFNA((VLOOKUP($A169,HN!$A:$K,9,FALSE)/12),0)+_xlfn.IFNA((VLOOKUP($A169,HN!$A:$K,10,FALSE)/12),0)+_xlfn.IFNA((VLOOKUP($A169,HN!$A:$BZ,33,FALSE)/12),0)+_xlfn.IFNA((VLOOKUP($A169,HN!$A:$BZ,35,FALSE)/2),0)</f>
        <v>0</v>
      </c>
      <c r="FY169" s="323">
        <f>_xlfn.IFNA((VLOOKUP($A169,HN!$A:$BS,15,FALSE)/12),0)+_xlfn.IFNA((VLOOKUP($A169,HN!$A:$CZ,36,FALSE)/2),0)</f>
        <v>0</v>
      </c>
      <c r="FZ169" s="322">
        <f t="shared" si="230"/>
        <v>-404.24</v>
      </c>
      <c r="GA169" s="322">
        <f t="shared" si="231"/>
        <v>-1409.7233333333334</v>
      </c>
      <c r="GB169" s="323"/>
      <c r="GC169" s="323"/>
      <c r="GD169" s="323">
        <f>_xlfn.IFNA(VLOOKUP(A169,'LA Deductions'!A:AZ,25,FALSE),0)/9</f>
        <v>0</v>
      </c>
      <c r="GE169" s="322">
        <f t="shared" si="179"/>
        <v>98076.055381075741</v>
      </c>
      <c r="GG169" s="146">
        <f t="shared" si="232"/>
        <v>1193589.6831729088</v>
      </c>
      <c r="GH169" s="146">
        <f t="shared" si="232"/>
        <v>0</v>
      </c>
      <c r="GI169" s="146">
        <f t="shared" si="232"/>
        <v>0</v>
      </c>
      <c r="GJ169" s="146">
        <f t="shared" si="232"/>
        <v>-4850.8799999999992</v>
      </c>
      <c r="GK169" s="146">
        <f t="shared" si="232"/>
        <v>-16916.68</v>
      </c>
      <c r="GL169" s="146">
        <f t="shared" si="232"/>
        <v>-5139.75</v>
      </c>
      <c r="GN169" s="146">
        <f t="shared" si="233"/>
        <v>1193589.6831729088</v>
      </c>
      <c r="GO169" s="146">
        <f t="shared" si="233"/>
        <v>0</v>
      </c>
      <c r="GP169" s="146">
        <f t="shared" si="233"/>
        <v>0</v>
      </c>
      <c r="GQ169" s="146">
        <f t="shared" si="233"/>
        <v>-4850.8799999999992</v>
      </c>
      <c r="GR169" s="146">
        <f t="shared" si="233"/>
        <v>-16916.68</v>
      </c>
      <c r="GS169" s="146">
        <f t="shared" si="233"/>
        <v>-5139.75</v>
      </c>
      <c r="GU169" s="146"/>
      <c r="GV169" s="57"/>
    </row>
    <row r="170" spans="1:204">
      <c r="A170" s="185">
        <v>2477</v>
      </c>
      <c r="B170" s="185">
        <v>132261</v>
      </c>
      <c r="C170" s="185" t="s">
        <v>382</v>
      </c>
      <c r="D170" s="2" t="s">
        <v>383</v>
      </c>
      <c r="E170" s="191" t="s">
        <v>32</v>
      </c>
      <c r="F170" s="191" t="s">
        <v>912</v>
      </c>
      <c r="H170" s="279">
        <f>_xlfn.IFNA(VLOOKUP($A170,ISB!$A$4:$BY$454,67,FALSE),0)</f>
        <v>4240157.79</v>
      </c>
      <c r="I170" s="279">
        <f>_xlfn.IFNA(VLOOKUP($A170,ISB!$A$4:$BY$454,72,FALSE),0)</f>
        <v>-21724.639999999999</v>
      </c>
      <c r="J170" s="279">
        <f>-_xlfn.IFNA(VLOOKUP($A170,ISB!$A$4:$BY$454,76,FALSE),0)</f>
        <v>-33389.800000000003</v>
      </c>
      <c r="K170" s="279">
        <f>_xlfn.IFNA(VLOOKUP($A170,ISB!$A$4:$BY$454,77,FALSE),0)</f>
        <v>4185043.3500000006</v>
      </c>
      <c r="M170" s="301">
        <f t="shared" si="191"/>
        <v>353346.48249999998</v>
      </c>
      <c r="N170" s="301">
        <f>VLOOKUP($A170,EY!$A:$H,8,FALSE)+(VLOOKUP($A170,EY!$A:$BS,17,FALSE)-S170)+VLOOKUP($A170,EY!$A:$BS,41,FALSE)</f>
        <v>0</v>
      </c>
      <c r="O170" s="302"/>
      <c r="P170" s="302">
        <f>_xlfn.IFNA((VLOOKUP($A170,HN!$A:$K,8,FALSE)/12),0)</f>
        <v>0</v>
      </c>
      <c r="Q170" s="302">
        <f>_xlfn.IFNA((VLOOKUP($A170,HN!$A:$BS,14,FALSE)/12),0)</f>
        <v>0</v>
      </c>
      <c r="R170" s="302">
        <f>_xlfn.IFNA(VLOOKUP($A170,'Post 16'!$A:$V,21,FALSE),0)/4</f>
        <v>0</v>
      </c>
      <c r="S170" s="302">
        <f>VLOOKUP($A170,EY!A:Q,15,FALSE)*80%</f>
        <v>0</v>
      </c>
      <c r="T170" s="302">
        <f>_xlfn.IFNA((VLOOKUP($A170,HN!$A:$K,9,FALSE)/12),0)+_xlfn.IFNA((VLOOKUP($A170,HN!$A:$K,10,FALSE)/12),0)</f>
        <v>0</v>
      </c>
      <c r="U170" s="302">
        <f>_xlfn.IFNA((VLOOKUP($A170,HN!$A:$BS,15,FALSE)/12),0)</f>
        <v>0</v>
      </c>
      <c r="V170" s="301">
        <f t="shared" si="192"/>
        <v>-1810.3866666666665</v>
      </c>
      <c r="W170" s="301">
        <f t="shared" si="193"/>
        <v>-2782.4833333333336</v>
      </c>
      <c r="X170" s="302"/>
      <c r="Y170" s="302">
        <f>_xlfn.IFNA(VLOOKUP($A170,'Cash Advances'!$A:$S,8,FALSE),0)</f>
        <v>0</v>
      </c>
      <c r="Z170" s="301">
        <f t="shared" si="194"/>
        <v>348753.61249999999</v>
      </c>
      <c r="AA170" s="315">
        <f t="shared" si="195"/>
        <v>353346.48249999998</v>
      </c>
      <c r="AB170" s="315"/>
      <c r="AC170" s="316"/>
      <c r="AD170" s="316">
        <f>_xlfn.IFNA((VLOOKUP($A170,HN!$A:$K,8,FALSE)/12),0)</f>
        <v>0</v>
      </c>
      <c r="AE170" s="316">
        <f>_xlfn.IFNA((VLOOKUP($A170,HN!$A:$BS,14,FALSE)/12),0)</f>
        <v>0</v>
      </c>
      <c r="AF170" s="316">
        <f>_xlfn.IFNA(VLOOKUP($A170,'Post 16'!$A:$V,21,FALSE),0)/4</f>
        <v>0</v>
      </c>
      <c r="AG170" s="316"/>
      <c r="AH170" s="316">
        <f>_xlfn.IFNA((VLOOKUP($A170,HN!$A:$K,9,FALSE)/12),0)+_xlfn.IFNA((VLOOKUP($A170,HN!$A:$K,10,FALSE)/12),0)</f>
        <v>0</v>
      </c>
      <c r="AI170" s="316">
        <f>_xlfn.IFNA((VLOOKUP($A170,HN!$A:$BS,15,FALSE)/12),0)</f>
        <v>0</v>
      </c>
      <c r="AJ170" s="315">
        <f t="shared" si="196"/>
        <v>-1810.3866666666665</v>
      </c>
      <c r="AK170" s="315">
        <f t="shared" si="197"/>
        <v>-2782.4833333333336</v>
      </c>
      <c r="AL170" s="316"/>
      <c r="AM170" s="316">
        <f>_xlfn.IFNA(VLOOKUP($A170,'Cash Advances'!$A:$S,9,FALSE),0)</f>
        <v>0</v>
      </c>
      <c r="AN170" s="315">
        <f t="shared" si="198"/>
        <v>348753.61249999999</v>
      </c>
      <c r="AO170" s="308">
        <f t="shared" si="199"/>
        <v>353346.48249999998</v>
      </c>
      <c r="AP170" s="308"/>
      <c r="AQ170" s="309"/>
      <c r="AR170" s="309">
        <f>_xlfn.IFNA((VLOOKUP($A170,HN!$A:$K,8,FALSE)/12),0)</f>
        <v>0</v>
      </c>
      <c r="AS170" s="309">
        <f>_xlfn.IFNA((VLOOKUP($A170,HN!$A:$BS,14,FALSE)/12),0)</f>
        <v>0</v>
      </c>
      <c r="AT170" s="309">
        <f>_xlfn.IFNA(VLOOKUP($A170,'Post 16'!$A:$V,21,FALSE),0)/4</f>
        <v>0</v>
      </c>
      <c r="AU170" s="309"/>
      <c r="AV170" s="309">
        <f>_xlfn.IFNA((VLOOKUP($A170,HN!$A:$K,9,FALSE)/12),0)+_xlfn.IFNA((VLOOKUP($A170,HN!$A:$K,10,FALSE)/12),0)+_xlfn.IFNA(VLOOKUP(A170,HN!A:V,19,FALSE),0)+_xlfn.IFNA(VLOOKUP(A170,HN!A:V,20,FALSE),0)+_xlfn.IFNA(VLOOKUP(A170,HN!A:V,21,FALSE),0)</f>
        <v>0</v>
      </c>
      <c r="AW170" s="309">
        <f>_xlfn.IFNA((VLOOKUP($A170,HN!$A:$BS,15,FALSE)/12),0)</f>
        <v>0</v>
      </c>
      <c r="AX170" s="308">
        <f t="shared" si="200"/>
        <v>-1810.3866666666665</v>
      </c>
      <c r="AY170" s="308">
        <f t="shared" si="201"/>
        <v>-2782.4833333333336</v>
      </c>
      <c r="AZ170" s="309"/>
      <c r="BA170" s="309">
        <f>_xlfn.IFNA(VLOOKUP($A170,'Cash Advances'!$A:$S,10,FALSE),0)</f>
        <v>0</v>
      </c>
      <c r="BB170" s="308">
        <f t="shared" si="202"/>
        <v>348753.61249999999</v>
      </c>
      <c r="BC170" s="330">
        <f t="shared" si="203"/>
        <v>353346.48249999998</v>
      </c>
      <c r="BD170" s="330"/>
      <c r="BE170" s="331"/>
      <c r="BF170" s="331">
        <f>_xlfn.IFNA((VLOOKUP($A170,HN!$A:$K,8,FALSE)/12),0)</f>
        <v>0</v>
      </c>
      <c r="BG170" s="331">
        <f>_xlfn.IFNA((VLOOKUP($A170,HN!$A:$BS,14,FALSE)/12),0)</f>
        <v>0</v>
      </c>
      <c r="BH170" s="331">
        <f>_xlfn.IFNA(VLOOKUP($A170,'Post 16'!$A:$V,21,FALSE),0)/4</f>
        <v>0</v>
      </c>
      <c r="BI170" s="331"/>
      <c r="BJ170" s="331">
        <f>_xlfn.IFNA((VLOOKUP($A170,HN!$A:$K,9,FALSE)/12),0)+_xlfn.IFNA((VLOOKUP($A170,HN!$A:$K,10,FALSE)/12),0)</f>
        <v>0</v>
      </c>
      <c r="BK170" s="331">
        <f>_xlfn.IFNA((VLOOKUP($A170,HN!$A:$BS,15,FALSE)/12),0)</f>
        <v>0</v>
      </c>
      <c r="BL170" s="330">
        <f t="shared" si="204"/>
        <v>-1810.3866666666665</v>
      </c>
      <c r="BM170" s="330">
        <f t="shared" si="205"/>
        <v>-2782.4833333333336</v>
      </c>
      <c r="BN170" s="331"/>
      <c r="BO170" s="331">
        <f>_xlfn.IFNA(VLOOKUP(A170,'Cash Advances'!A:K,11,FALSE),0)</f>
        <v>0</v>
      </c>
      <c r="BP170" s="330">
        <f t="shared" si="206"/>
        <v>348753.61249999999</v>
      </c>
      <c r="BQ170" s="322">
        <f t="shared" si="207"/>
        <v>353346.48249999998</v>
      </c>
      <c r="BR170" s="322"/>
      <c r="BS170" s="323"/>
      <c r="BT170" s="323">
        <f>_xlfn.IFNA((VLOOKUP($A170,HN!$A:$K,8,FALSE)/12),0)</f>
        <v>0</v>
      </c>
      <c r="BU170" s="323">
        <f>_xlfn.IFNA((VLOOKUP($A170,HN!$A:$BS,14,FALSE)/12),0)</f>
        <v>0</v>
      </c>
      <c r="BV170" s="323">
        <f>(_xlfn.IFNA(VLOOKUP($A170,'Post 16'!$A:$AV,32,FALSE),0)/8)+_xlfn.IFNA(VLOOKUP($A170,'Post 16'!$A:$AR,40,FALSE),0)</f>
        <v>0</v>
      </c>
      <c r="BW170" s="323"/>
      <c r="BX170" s="323">
        <f>_xlfn.IFNA((VLOOKUP($A170,HN!$A:$K,9,FALSE)/12),0)+_xlfn.IFNA((VLOOKUP($A170,HN!$A:$K,10,FALSE)/12),0)</f>
        <v>0</v>
      </c>
      <c r="BY170" s="323">
        <f>_xlfn.IFNA((VLOOKUP($A170,HN!$A:$BS,15,FALSE)/12),0)</f>
        <v>0</v>
      </c>
      <c r="BZ170" s="322">
        <f t="shared" si="208"/>
        <v>-1810.3866666666665</v>
      </c>
      <c r="CA170" s="322">
        <f t="shared" si="209"/>
        <v>-2782.4833333333336</v>
      </c>
      <c r="CB170" s="323"/>
      <c r="CC170" s="323"/>
      <c r="CD170" s="322">
        <f t="shared" si="210"/>
        <v>348753.61249999999</v>
      </c>
      <c r="CE170" s="357">
        <f t="shared" si="211"/>
        <v>353346.48249999998</v>
      </c>
      <c r="CF170" s="357">
        <f>(VLOOKUP($A170,EY!$A:$BS,26,FALSE)-(VLOOKUP($A170,EY!A:CR,24,FALSE)*80%))+VLOOKUP($A170,EY!$A:$BS,42,FALSE)+(VLOOKUP($A170,EY!A:CC,74,FALSE)-VLOOKUP($A170,EY!A:CC,72,FALSE))</f>
        <v>0</v>
      </c>
      <c r="CG170" s="358"/>
      <c r="CH170" s="358">
        <f>_xlfn.IFNA((VLOOKUP($A170,HN!$A:$K,8,FALSE)/12),0)</f>
        <v>0</v>
      </c>
      <c r="CI170" s="358">
        <f>_xlfn.IFNA((VLOOKUP($A170,HN!$A:$BS,14,FALSE)/12),0)</f>
        <v>0</v>
      </c>
      <c r="CJ170" s="358">
        <f>(_xlfn.IFNA(VLOOKUP($A170,'Post 16'!$A:$AV,32,FALSE),0)/8)</f>
        <v>0</v>
      </c>
      <c r="CK170" s="358">
        <f>(VLOOKUP($A170,EY!A:CR,24,FALSE)*80%)+VLOOKUP($A170,EY!A:CC,72,FALSE)</f>
        <v>0</v>
      </c>
      <c r="CL170" s="358">
        <f>_xlfn.IFNA((VLOOKUP($A170,HN!$A:$K,9,FALSE)/12),0)+_xlfn.IFNA((VLOOKUP($A170,HN!$A:$K,10,FALSE)/12),0)</f>
        <v>0</v>
      </c>
      <c r="CM170" s="358">
        <f>_xlfn.IFNA((VLOOKUP($A170,HN!$A:$BS,15,FALSE)/12),0)</f>
        <v>0</v>
      </c>
      <c r="CN170" s="357">
        <f t="shared" si="212"/>
        <v>-1810.3866666666665</v>
      </c>
      <c r="CO170" s="357">
        <f t="shared" si="213"/>
        <v>-2782.4833333333336</v>
      </c>
      <c r="CP170" s="358">
        <f>_xlfn.IFNA(VLOOKUP(A170,'LA Deductions'!A:W,23,FALSE),0)</f>
        <v>-24312.75</v>
      </c>
      <c r="CQ170" s="358">
        <f>_xlfn.IFNA(VLOOKUP($A170,'Cash Advances'!$A:$S,13,FALSE),0)</f>
        <v>0</v>
      </c>
      <c r="CR170" s="358">
        <f>_xlfn.IFNA(VLOOKUP(A170,'LA Deductions'!A:AZ,25,FALSE),0)/9*3</f>
        <v>0</v>
      </c>
      <c r="CS170" s="357">
        <f t="shared" si="173"/>
        <v>324440.86249999999</v>
      </c>
      <c r="CT170" s="337">
        <f t="shared" si="214"/>
        <v>353346.48249999998</v>
      </c>
      <c r="CU170" s="337"/>
      <c r="CV170" s="338">
        <f>_xlfn.IFNA(VLOOKUP(A170,'LA Deductions'!$A$6:$AN$207,34,FALSE),0)</f>
        <v>0</v>
      </c>
      <c r="CW170" s="338">
        <f>_xlfn.IFNA((VLOOKUP($A170,HN!$A:$K,8,FALSE)/12),0)</f>
        <v>0</v>
      </c>
      <c r="CX170" s="338">
        <f>_xlfn.IFNA((VLOOKUP($A170,HN!$A:$BS,14,FALSE)/12),0)</f>
        <v>0</v>
      </c>
      <c r="CY170" s="338">
        <f>_xlfn.IFNA(VLOOKUP($A170,'Post 16'!$A:$AV,32,FALSE),0)/8</f>
        <v>0</v>
      </c>
      <c r="CZ170" s="338"/>
      <c r="DA170" s="338">
        <f>_xlfn.IFNA((VLOOKUP($A170,HN!$A:$K,9,FALSE)/12),0)+_xlfn.IFNA((VLOOKUP($A170,HN!$A:$K,10,FALSE)/12),0)</f>
        <v>0</v>
      </c>
      <c r="DB170" s="338">
        <f>_xlfn.IFNA((VLOOKUP($A170,HN!$A:$BS,15,FALSE)/12),0)</f>
        <v>0</v>
      </c>
      <c r="DC170" s="337">
        <f t="shared" si="215"/>
        <v>-1810.3866666666665</v>
      </c>
      <c r="DD170" s="337">
        <f t="shared" si="216"/>
        <v>-2782.4833333333336</v>
      </c>
      <c r="DE170" s="338"/>
      <c r="DF170" s="338">
        <f>_xlfn.IFNA(VLOOKUP($A170,'Cash Advances'!$A:$S,14,FALSE),0)</f>
        <v>0</v>
      </c>
      <c r="DG170" s="338">
        <f>(_xlfn.IFNA(VLOOKUP(A170,'LA Deductions'!A:AZ,25,FALSE),0)/9)+(_xlfn.IFNA(VLOOKUP(A170,'LA Deductions'!A:AZ,26,FALSE),0))</f>
        <v>0</v>
      </c>
      <c r="DH170" s="337">
        <f t="shared" si="174"/>
        <v>348753.61249999999</v>
      </c>
      <c r="DI170" s="330">
        <f t="shared" si="217"/>
        <v>353346.48249999998</v>
      </c>
      <c r="DJ170" s="330"/>
      <c r="DK170" s="331"/>
      <c r="DL170" s="331">
        <f>_xlfn.IFNA((VLOOKUP($A170,HN!$A:$K,8,FALSE)/12),0)+_xlfn.IFNA((VLOOKUP($A170,HN!$A:$AF,32,FALSE)*8/12),0)</f>
        <v>0</v>
      </c>
      <c r="DM170" s="331">
        <f>_xlfn.IFNA((VLOOKUP($A170,HN!$A:$BS,14,FALSE)/12),0)+_xlfn.IFNA(VLOOKUP($A170,HN!$A:$BS,31,FALSE),0)</f>
        <v>0</v>
      </c>
      <c r="DN170" s="331">
        <f>_xlfn.IFNA(VLOOKUP($A170,'Post 16'!$A:$AV,32,FALSE),0)/8</f>
        <v>0</v>
      </c>
      <c r="DO170" s="331"/>
      <c r="DP170" s="331">
        <f>_xlfn.IFNA((VLOOKUP($A170,HN!$A:$K,9,FALSE)/12),0)+_xlfn.IFNA((VLOOKUP($A170,HN!$A:$K,10,FALSE)/12),0)+_xlfn.IFNA((VLOOKUP($A170,HN!$A:$BZ,33,FALSE)*8/12),0)</f>
        <v>0</v>
      </c>
      <c r="DQ170" s="331">
        <f>_xlfn.IFNA((VLOOKUP($A170,HN!$A:$BS,15,FALSE)/12),0)</f>
        <v>0</v>
      </c>
      <c r="DR170" s="330">
        <f t="shared" si="218"/>
        <v>-1810.3866666666665</v>
      </c>
      <c r="DS170" s="330">
        <f t="shared" si="219"/>
        <v>-2782.4833333333336</v>
      </c>
      <c r="DT170" s="331"/>
      <c r="DU170" s="331"/>
      <c r="DV170" s="331">
        <f>(_xlfn.IFNA(VLOOKUP(A170,'LA Deductions'!A:AZ,25,FALSE),0)/9)+_xlfn.IFNA(VLOOKUP(A170,'LA Deductions'!A:AZ,27,FALSE),0)</f>
        <v>0</v>
      </c>
      <c r="DW170" s="330">
        <f t="shared" si="175"/>
        <v>348753.61249999999</v>
      </c>
      <c r="DX170" s="344">
        <f t="shared" si="220"/>
        <v>353346.48249999998</v>
      </c>
      <c r="DY170" s="344"/>
      <c r="DZ170" s="345"/>
      <c r="EA170" s="345">
        <f>_xlfn.IFNA((VLOOKUP($A170,HN!$A:$K,8,FALSE)/12),0)+_xlfn.IFNA((VLOOKUP($A170,HN!$A:$AF,32,FALSE)*1/12),0)</f>
        <v>0</v>
      </c>
      <c r="EB170" s="345">
        <f>_xlfn.IFNA((VLOOKUP($A170,HN!$A:$BS,14,FALSE)/12),0)</f>
        <v>0</v>
      </c>
      <c r="EC170" s="345">
        <f>_xlfn.IFNA(VLOOKUP($A170,'Post 16'!$A:$AV,32,FALSE),0)/8</f>
        <v>0</v>
      </c>
      <c r="ED170" s="345"/>
      <c r="EE170" s="345">
        <f>_xlfn.IFNA((VLOOKUP($A170,HN!$A:$K,9,FALSE)/12),0)+_xlfn.IFNA((VLOOKUP($A170,HN!$A:$K,10,FALSE)/12),0)+_xlfn.IFNA((VLOOKUP($A170,HN!$A:$BZ,33,FALSE)/12),0)</f>
        <v>0</v>
      </c>
      <c r="EF170" s="345">
        <f>_xlfn.IFNA((VLOOKUP($A170,HN!$A:$BS,15,FALSE)/12),0)</f>
        <v>0</v>
      </c>
      <c r="EG170" s="344">
        <f t="shared" si="221"/>
        <v>-1810.3866666666665</v>
      </c>
      <c r="EH170" s="344">
        <f t="shared" si="222"/>
        <v>-2782.4833333333336</v>
      </c>
      <c r="EI170" s="345"/>
      <c r="EJ170" s="345">
        <f>_xlfn.IFNA(VLOOKUP(A170,'Cash Advances'!A:P,16,FALSE),0)</f>
        <v>0</v>
      </c>
      <c r="EK170" s="345">
        <f>_xlfn.IFNA(VLOOKUP(A170,'LA Deductions'!A:AZ,25,FALSE),0)/9</f>
        <v>0</v>
      </c>
      <c r="EL170" s="344">
        <f t="shared" si="176"/>
        <v>348753.61249999999</v>
      </c>
      <c r="EM170" s="308">
        <f t="shared" si="223"/>
        <v>353346.48249999998</v>
      </c>
      <c r="EN170" s="308">
        <f>((VLOOKUP($A170,EY!$A:$BS,35,FALSE)-(VLOOKUP($A170,EY!$A:$BS,33,FALSE)*80%))+VLOOKUP($A170,EY!$A:$BS,43,FALSE))+(VLOOKUP(A170,EY!A:DF,110,FALSE)-VLOOKUP(A170,EY!A:DD,108,FALSE))+(VLOOKUP(A170,EY!A:CE,83,FALSE)-VLOOKUP(A170,EY!A:CC,81,FALSE))</f>
        <v>0</v>
      </c>
      <c r="EO170" s="309"/>
      <c r="EP170" s="309">
        <f>_xlfn.IFNA((VLOOKUP($A170,HN!$A:$K,8,FALSE)/12),0)+_xlfn.IFNA((VLOOKUP($A170,HN!$A:$AF,32,FALSE)*1/12),0)</f>
        <v>0</v>
      </c>
      <c r="EQ170" s="309">
        <f>_xlfn.IFNA((VLOOKUP($A170,HN!$A:$BS,14,FALSE)/12),0)+_xlfn.IFNA((VLOOKUP($A170,HN!$A:$BS,34,FALSE)/3),0)</f>
        <v>0</v>
      </c>
      <c r="ER170" s="309">
        <f>_xlfn.IFNA(VLOOKUP($A170,'Post 16'!$A:$AV,32,FALSE),0)/8</f>
        <v>0</v>
      </c>
      <c r="ES170" s="309">
        <f>((VLOOKUP($A170,EY!A:EV,33,FALSE)*80%))+VLOOKUP(A170,EY!A:DD,108,FALSE)+VLOOKUP(A170,EY!A:CC,81,FALSE)</f>
        <v>0</v>
      </c>
      <c r="ET170" s="309">
        <f>_xlfn.IFNA((VLOOKUP($A170,HN!$A:$K,9,FALSE)/12),0)+_xlfn.IFNA((VLOOKUP($A170,HN!$A:$K,10,FALSE)/12),0)+_xlfn.IFNA((VLOOKUP($A170,HN!$A:$BZ,33,FALSE)/12),0)</f>
        <v>0</v>
      </c>
      <c r="EU170" s="309">
        <f>_xlfn.IFNA((VLOOKUP($A170,HN!$A:$BS,15,FALSE)/12),0)</f>
        <v>0</v>
      </c>
      <c r="EV170" s="308">
        <f t="shared" si="224"/>
        <v>-1810.3866666666665</v>
      </c>
      <c r="EW170" s="308">
        <f t="shared" si="225"/>
        <v>-2782.4833333333336</v>
      </c>
      <c r="EX170" s="309"/>
      <c r="EY170" s="309">
        <f>_xlfn.IFNA(VLOOKUP($A170,'Cash Advances'!$A:$S,17,FALSE),0)</f>
        <v>0</v>
      </c>
      <c r="EZ170" s="309">
        <f>_xlfn.IFNA(VLOOKUP(A170,'LA Deductions'!A:AZ,25,FALSE),0)/9</f>
        <v>0</v>
      </c>
      <c r="FA170" s="308">
        <f t="shared" si="177"/>
        <v>348753.61249999999</v>
      </c>
      <c r="FB170" s="315">
        <f t="shared" si="226"/>
        <v>353346.48249999998</v>
      </c>
      <c r="FC170" s="315"/>
      <c r="FD170" s="316"/>
      <c r="FE170" s="316">
        <f>_xlfn.IFNA((VLOOKUP($A170,HN!$A:$K,8,FALSE)/12),0)+_xlfn.IFNA((VLOOKUP($A170,HN!$A:$AF,32,FALSE)*1/12),0)</f>
        <v>0</v>
      </c>
      <c r="FF170" s="316">
        <f>_xlfn.IFNA((VLOOKUP($A170,HN!$A:$BS,14,FALSE)/12),0)+_xlfn.IFNA((VLOOKUP($A170,HN!$A:$BS,34,FALSE)/3),0)</f>
        <v>0</v>
      </c>
      <c r="FG170" s="316">
        <f>_xlfn.IFNA(VLOOKUP($A170,'Post 16'!$A:$AV,32,FALSE),0)/8</f>
        <v>0</v>
      </c>
      <c r="FH170" s="316"/>
      <c r="FI170" s="316">
        <f>_xlfn.IFNA((VLOOKUP($A170,HN!$A:$K,9,FALSE)/12),0)+_xlfn.IFNA((VLOOKUP($A170,HN!$A:$K,10,FALSE)/12),0)+_xlfn.IFNA((VLOOKUP($A170,HN!$A:$BZ,33,FALSE)/12),0)+_xlfn.IFNA((VLOOKUP($A170,HN!$A:$BZ,35,FALSE)/2),0)</f>
        <v>0</v>
      </c>
      <c r="FJ170" s="316">
        <f>_xlfn.IFNA((VLOOKUP($A170,HN!$A:$BS,15,FALSE)/12),0)+_xlfn.IFNA((VLOOKUP($A170,HN!$A:$CZ,36,FALSE)/2),0)</f>
        <v>0</v>
      </c>
      <c r="FK170" s="315">
        <f t="shared" si="227"/>
        <v>-1810.3866666666665</v>
      </c>
      <c r="FL170" s="315">
        <f t="shared" si="228"/>
        <v>-2782.4833333333336</v>
      </c>
      <c r="FM170" s="316"/>
      <c r="FN170" s="316">
        <f>_xlfn.IFNA(VLOOKUP($A170,'Cash Advances'!$A:$S,18,FALSE),0)</f>
        <v>0</v>
      </c>
      <c r="FO170" s="316">
        <f>_xlfn.IFNA(VLOOKUP(A170,'LA Deductions'!A:AZ,25,FALSE),0)/9</f>
        <v>0</v>
      </c>
      <c r="FP170" s="315">
        <f t="shared" si="178"/>
        <v>348753.61249999999</v>
      </c>
      <c r="FQ170" s="322">
        <f t="shared" si="229"/>
        <v>353346.48249999998</v>
      </c>
      <c r="FR170" s="322"/>
      <c r="FS170" s="323"/>
      <c r="FT170" s="323">
        <f>_xlfn.IFNA((VLOOKUP($A170,HN!$A:$K,8,FALSE)/12),0)+_xlfn.IFNA((VLOOKUP($A170,HN!$A:$AF,32,FALSE)*1/12),0)</f>
        <v>0</v>
      </c>
      <c r="FU170" s="323">
        <f>_xlfn.IFNA((VLOOKUP($A170,HN!$A:$BS,14,FALSE)/12),0)+_xlfn.IFNA((VLOOKUP($A170,HN!$A:$BS,34,FALSE)/3),0)</f>
        <v>0</v>
      </c>
      <c r="FV170" s="323">
        <f>_xlfn.IFNA(VLOOKUP($A170,'Post 16'!$A:$AV,32,FALSE),0)/8</f>
        <v>0</v>
      </c>
      <c r="FW170" s="323"/>
      <c r="FX170" s="323">
        <f>_xlfn.IFNA((VLOOKUP($A170,HN!$A:$K,9,FALSE)/12),0)+_xlfn.IFNA((VLOOKUP($A170,HN!$A:$K,10,FALSE)/12),0)+_xlfn.IFNA((VLOOKUP($A170,HN!$A:$BZ,33,FALSE)/12),0)+_xlfn.IFNA((VLOOKUP($A170,HN!$A:$BZ,35,FALSE)/2),0)</f>
        <v>0</v>
      </c>
      <c r="FY170" s="323">
        <f>_xlfn.IFNA((VLOOKUP($A170,HN!$A:$BS,15,FALSE)/12),0)+_xlfn.IFNA((VLOOKUP($A170,HN!$A:$CZ,36,FALSE)/2),0)</f>
        <v>0</v>
      </c>
      <c r="FZ170" s="322">
        <f t="shared" si="230"/>
        <v>-1810.3866666666665</v>
      </c>
      <c r="GA170" s="322">
        <f t="shared" si="231"/>
        <v>-2782.4833333333336</v>
      </c>
      <c r="GB170" s="323"/>
      <c r="GC170" s="323"/>
      <c r="GD170" s="323">
        <f>_xlfn.IFNA(VLOOKUP(A170,'LA Deductions'!A:AZ,25,FALSE),0)/9</f>
        <v>0</v>
      </c>
      <c r="GE170" s="322">
        <f t="shared" si="179"/>
        <v>348753.61249999999</v>
      </c>
      <c r="GG170" s="146">
        <f t="shared" si="232"/>
        <v>4240157.79</v>
      </c>
      <c r="GH170" s="146">
        <f t="shared" si="232"/>
        <v>0</v>
      </c>
      <c r="GI170" s="146">
        <f t="shared" si="232"/>
        <v>0</v>
      </c>
      <c r="GJ170" s="146">
        <f t="shared" si="232"/>
        <v>-21724.639999999999</v>
      </c>
      <c r="GK170" s="146">
        <f t="shared" si="232"/>
        <v>-33389.800000000003</v>
      </c>
      <c r="GL170" s="146">
        <f t="shared" si="232"/>
        <v>-24312.75</v>
      </c>
      <c r="GN170" s="146">
        <f t="shared" si="233"/>
        <v>4240157.79</v>
      </c>
      <c r="GO170" s="146">
        <f t="shared" si="233"/>
        <v>0</v>
      </c>
      <c r="GP170" s="146">
        <f t="shared" si="233"/>
        <v>0</v>
      </c>
      <c r="GQ170" s="146">
        <f t="shared" si="233"/>
        <v>-21724.639999999999</v>
      </c>
      <c r="GR170" s="146">
        <f t="shared" si="233"/>
        <v>-33389.800000000003</v>
      </c>
      <c r="GS170" s="146">
        <f t="shared" si="233"/>
        <v>-24312.75</v>
      </c>
      <c r="GU170" s="146"/>
      <c r="GV170" s="57"/>
    </row>
    <row r="171" spans="1:204">
      <c r="A171" s="185">
        <v>3436</v>
      </c>
      <c r="B171" s="185">
        <v>136440</v>
      </c>
      <c r="C171" s="185" t="s">
        <v>384</v>
      </c>
      <c r="D171" s="2" t="s">
        <v>385</v>
      </c>
      <c r="E171" s="191" t="s">
        <v>32</v>
      </c>
      <c r="F171" s="191" t="s">
        <v>912</v>
      </c>
      <c r="H171" s="279">
        <f>_xlfn.IFNA(VLOOKUP($A171,ISB!$A$4:$BY$454,67,FALSE),0)</f>
        <v>1093762.8994420455</v>
      </c>
      <c r="I171" s="279">
        <f>_xlfn.IFNA(VLOOKUP($A171,ISB!$A$4:$BY$454,72,FALSE),0)</f>
        <v>-4407.5199999999995</v>
      </c>
      <c r="J171" s="279">
        <f>-_xlfn.IFNA(VLOOKUP($A171,ISB!$A$4:$BY$454,76,FALSE),0)</f>
        <v>-6677.96</v>
      </c>
      <c r="K171" s="279">
        <f>_xlfn.IFNA(VLOOKUP($A171,ISB!$A$4:$BY$454,77,FALSE),0)</f>
        <v>1082677.4194420455</v>
      </c>
      <c r="M171" s="301">
        <f t="shared" si="191"/>
        <v>91146.908286837119</v>
      </c>
      <c r="N171" s="301">
        <f>VLOOKUP($A171,EY!$A:$H,8,FALSE)+(VLOOKUP($A171,EY!$A:$BS,17,FALSE)-S171)+VLOOKUP($A171,EY!$A:$BS,41,FALSE)</f>
        <v>0</v>
      </c>
      <c r="O171" s="302"/>
      <c r="P171" s="302">
        <f>_xlfn.IFNA((VLOOKUP($A171,HN!$A:$K,8,FALSE)/12),0)</f>
        <v>0</v>
      </c>
      <c r="Q171" s="302">
        <f>_xlfn.IFNA((VLOOKUP($A171,HN!$A:$BS,14,FALSE)/12),0)</f>
        <v>0</v>
      </c>
      <c r="R171" s="302">
        <f>_xlfn.IFNA(VLOOKUP($A171,'Post 16'!$A:$V,21,FALSE),0)/4</f>
        <v>0</v>
      </c>
      <c r="S171" s="302">
        <f>VLOOKUP($A171,EY!A:Q,15,FALSE)*80%</f>
        <v>0</v>
      </c>
      <c r="T171" s="302">
        <f>_xlfn.IFNA((VLOOKUP($A171,HN!$A:$K,9,FALSE)/12),0)+_xlfn.IFNA((VLOOKUP($A171,HN!$A:$K,10,FALSE)/12),0)</f>
        <v>0</v>
      </c>
      <c r="U171" s="302">
        <f>_xlfn.IFNA((VLOOKUP($A171,HN!$A:$BS,15,FALSE)/12),0)</f>
        <v>0</v>
      </c>
      <c r="V171" s="301">
        <f t="shared" si="192"/>
        <v>-367.29333333333329</v>
      </c>
      <c r="W171" s="301">
        <f t="shared" si="193"/>
        <v>-556.49666666666667</v>
      </c>
      <c r="X171" s="302"/>
      <c r="Y171" s="302">
        <f>_xlfn.IFNA(VLOOKUP($A171,'Cash Advances'!$A:$S,8,FALSE),0)</f>
        <v>0</v>
      </c>
      <c r="Z171" s="301">
        <f t="shared" si="194"/>
        <v>90223.118286837111</v>
      </c>
      <c r="AA171" s="315">
        <f t="shared" si="195"/>
        <v>91146.908286837119</v>
      </c>
      <c r="AB171" s="315"/>
      <c r="AC171" s="316"/>
      <c r="AD171" s="316">
        <f>_xlfn.IFNA((VLOOKUP($A171,HN!$A:$K,8,FALSE)/12),0)</f>
        <v>0</v>
      </c>
      <c r="AE171" s="316">
        <f>_xlfn.IFNA((VLOOKUP($A171,HN!$A:$BS,14,FALSE)/12),0)</f>
        <v>0</v>
      </c>
      <c r="AF171" s="316">
        <f>_xlfn.IFNA(VLOOKUP($A171,'Post 16'!$A:$V,21,FALSE),0)/4</f>
        <v>0</v>
      </c>
      <c r="AG171" s="316"/>
      <c r="AH171" s="316">
        <f>_xlfn.IFNA((VLOOKUP($A171,HN!$A:$K,9,FALSE)/12),0)+_xlfn.IFNA((VLOOKUP($A171,HN!$A:$K,10,FALSE)/12),0)</f>
        <v>0</v>
      </c>
      <c r="AI171" s="316">
        <f>_xlfn.IFNA((VLOOKUP($A171,HN!$A:$BS,15,FALSE)/12),0)</f>
        <v>0</v>
      </c>
      <c r="AJ171" s="315">
        <f t="shared" si="196"/>
        <v>-367.29333333333329</v>
      </c>
      <c r="AK171" s="315">
        <f t="shared" si="197"/>
        <v>-556.49666666666667</v>
      </c>
      <c r="AL171" s="316"/>
      <c r="AM171" s="316">
        <f>_xlfn.IFNA(VLOOKUP($A171,'Cash Advances'!$A:$S,9,FALSE),0)</f>
        <v>0</v>
      </c>
      <c r="AN171" s="315">
        <f t="shared" si="198"/>
        <v>90223.118286837111</v>
      </c>
      <c r="AO171" s="308">
        <f t="shared" si="199"/>
        <v>91146.908286837119</v>
      </c>
      <c r="AP171" s="308"/>
      <c r="AQ171" s="309"/>
      <c r="AR171" s="309">
        <f>_xlfn.IFNA((VLOOKUP($A171,HN!$A:$K,8,FALSE)/12),0)</f>
        <v>0</v>
      </c>
      <c r="AS171" s="309">
        <f>_xlfn.IFNA((VLOOKUP($A171,HN!$A:$BS,14,FALSE)/12),0)</f>
        <v>0</v>
      </c>
      <c r="AT171" s="309">
        <f>_xlfn.IFNA(VLOOKUP($A171,'Post 16'!$A:$V,21,FALSE),0)/4</f>
        <v>0</v>
      </c>
      <c r="AU171" s="309"/>
      <c r="AV171" s="309">
        <f>_xlfn.IFNA((VLOOKUP($A171,HN!$A:$K,9,FALSE)/12),0)+_xlfn.IFNA((VLOOKUP($A171,HN!$A:$K,10,FALSE)/12),0)+_xlfn.IFNA(VLOOKUP(A171,HN!A:V,19,FALSE),0)+_xlfn.IFNA(VLOOKUP(A171,HN!A:V,20,FALSE),0)+_xlfn.IFNA(VLOOKUP(A171,HN!A:V,21,FALSE),0)</f>
        <v>0</v>
      </c>
      <c r="AW171" s="309">
        <f>_xlfn.IFNA((VLOOKUP($A171,HN!$A:$BS,15,FALSE)/12),0)</f>
        <v>0</v>
      </c>
      <c r="AX171" s="308">
        <f t="shared" si="200"/>
        <v>-367.29333333333329</v>
      </c>
      <c r="AY171" s="308">
        <f t="shared" si="201"/>
        <v>-556.49666666666667</v>
      </c>
      <c r="AZ171" s="309"/>
      <c r="BA171" s="309">
        <f>_xlfn.IFNA(VLOOKUP($A171,'Cash Advances'!$A:$S,10,FALSE),0)</f>
        <v>0</v>
      </c>
      <c r="BB171" s="308">
        <f t="shared" si="202"/>
        <v>90223.118286837111</v>
      </c>
      <c r="BC171" s="330">
        <f t="shared" si="203"/>
        <v>91146.908286837119</v>
      </c>
      <c r="BD171" s="330"/>
      <c r="BE171" s="331"/>
      <c r="BF171" s="331">
        <f>_xlfn.IFNA((VLOOKUP($A171,HN!$A:$K,8,FALSE)/12),0)</f>
        <v>0</v>
      </c>
      <c r="BG171" s="331">
        <f>_xlfn.IFNA((VLOOKUP($A171,HN!$A:$BS,14,FALSE)/12),0)</f>
        <v>0</v>
      </c>
      <c r="BH171" s="331">
        <f>_xlfn.IFNA(VLOOKUP($A171,'Post 16'!$A:$V,21,FALSE),0)/4</f>
        <v>0</v>
      </c>
      <c r="BI171" s="331"/>
      <c r="BJ171" s="331">
        <f>_xlfn.IFNA((VLOOKUP($A171,HN!$A:$K,9,FALSE)/12),0)+_xlfn.IFNA((VLOOKUP($A171,HN!$A:$K,10,FALSE)/12),0)</f>
        <v>0</v>
      </c>
      <c r="BK171" s="331">
        <f>_xlfn.IFNA((VLOOKUP($A171,HN!$A:$BS,15,FALSE)/12),0)</f>
        <v>0</v>
      </c>
      <c r="BL171" s="330">
        <f t="shared" si="204"/>
        <v>-367.29333333333329</v>
      </c>
      <c r="BM171" s="330">
        <f t="shared" si="205"/>
        <v>-556.49666666666667</v>
      </c>
      <c r="BN171" s="331"/>
      <c r="BO171" s="331">
        <f>_xlfn.IFNA(VLOOKUP(A171,'Cash Advances'!A:K,11,FALSE),0)</f>
        <v>0</v>
      </c>
      <c r="BP171" s="330">
        <f t="shared" si="206"/>
        <v>90223.118286837111</v>
      </c>
      <c r="BQ171" s="322">
        <f t="shared" si="207"/>
        <v>91146.908286837119</v>
      </c>
      <c r="BR171" s="322"/>
      <c r="BS171" s="323"/>
      <c r="BT171" s="323">
        <f>_xlfn.IFNA((VLOOKUP($A171,HN!$A:$K,8,FALSE)/12),0)</f>
        <v>0</v>
      </c>
      <c r="BU171" s="323">
        <f>_xlfn.IFNA((VLOOKUP($A171,HN!$A:$BS,14,FALSE)/12),0)</f>
        <v>0</v>
      </c>
      <c r="BV171" s="323">
        <f>(_xlfn.IFNA(VLOOKUP($A171,'Post 16'!$A:$AV,32,FALSE),0)/8)+_xlfn.IFNA(VLOOKUP($A171,'Post 16'!$A:$AR,40,FALSE),0)</f>
        <v>0</v>
      </c>
      <c r="BW171" s="323"/>
      <c r="BX171" s="323">
        <f>_xlfn.IFNA((VLOOKUP($A171,HN!$A:$K,9,FALSE)/12),0)+_xlfn.IFNA((VLOOKUP($A171,HN!$A:$K,10,FALSE)/12),0)</f>
        <v>0</v>
      </c>
      <c r="BY171" s="323">
        <f>_xlfn.IFNA((VLOOKUP($A171,HN!$A:$BS,15,FALSE)/12),0)</f>
        <v>0</v>
      </c>
      <c r="BZ171" s="322">
        <f t="shared" si="208"/>
        <v>-367.29333333333329</v>
      </c>
      <c r="CA171" s="322">
        <f t="shared" si="209"/>
        <v>-556.49666666666667</v>
      </c>
      <c r="CB171" s="323"/>
      <c r="CC171" s="323"/>
      <c r="CD171" s="322">
        <f t="shared" si="210"/>
        <v>90223.118286837111</v>
      </c>
      <c r="CE171" s="357">
        <f t="shared" si="211"/>
        <v>91146.908286837119</v>
      </c>
      <c r="CF171" s="357">
        <f>(VLOOKUP($A171,EY!$A:$BS,26,FALSE)-(VLOOKUP($A171,EY!A:CR,24,FALSE)*80%))+VLOOKUP($A171,EY!$A:$BS,42,FALSE)+(VLOOKUP($A171,EY!A:CC,74,FALSE)-VLOOKUP($A171,EY!A:CC,72,FALSE))</f>
        <v>0</v>
      </c>
      <c r="CG171" s="358"/>
      <c r="CH171" s="358">
        <f>_xlfn.IFNA((VLOOKUP($A171,HN!$A:$K,8,FALSE)/12),0)</f>
        <v>0</v>
      </c>
      <c r="CI171" s="358">
        <f>_xlfn.IFNA((VLOOKUP($A171,HN!$A:$BS,14,FALSE)/12),0)</f>
        <v>0</v>
      </c>
      <c r="CJ171" s="358">
        <f>(_xlfn.IFNA(VLOOKUP($A171,'Post 16'!$A:$AV,32,FALSE),0)/8)</f>
        <v>0</v>
      </c>
      <c r="CK171" s="358">
        <f>(VLOOKUP($A171,EY!A:CR,24,FALSE)*80%)+VLOOKUP($A171,EY!A:CC,72,FALSE)</f>
        <v>0</v>
      </c>
      <c r="CL171" s="358">
        <f>_xlfn.IFNA((VLOOKUP($A171,HN!$A:$K,9,FALSE)/12),0)+_xlfn.IFNA((VLOOKUP($A171,HN!$A:$K,10,FALSE)/12),0)</f>
        <v>0</v>
      </c>
      <c r="CM171" s="358">
        <f>_xlfn.IFNA((VLOOKUP($A171,HN!$A:$BS,15,FALSE)/12),0)</f>
        <v>0</v>
      </c>
      <c r="CN171" s="357">
        <f t="shared" si="212"/>
        <v>-367.29333333333329</v>
      </c>
      <c r="CO171" s="357">
        <f t="shared" si="213"/>
        <v>-556.49666666666667</v>
      </c>
      <c r="CP171" s="358">
        <v>-5139.75</v>
      </c>
      <c r="CQ171" s="358">
        <f>_xlfn.IFNA(VLOOKUP($A171,'Cash Advances'!$A:$S,13,FALSE),0)</f>
        <v>0</v>
      </c>
      <c r="CR171" s="358">
        <f>_xlfn.IFNA(VLOOKUP(A171,'LA Deductions'!A:AZ,25,FALSE),0)/9*3</f>
        <v>0</v>
      </c>
      <c r="CS171" s="357">
        <f t="shared" si="173"/>
        <v>85083.368286837111</v>
      </c>
      <c r="CT171" s="337">
        <f t="shared" si="214"/>
        <v>91146.908286837119</v>
      </c>
      <c r="CU171" s="337"/>
      <c r="CV171" s="338">
        <f>_xlfn.IFNA(VLOOKUP(A171,'LA Deductions'!$A$6:$AN$207,34,FALSE),0)</f>
        <v>0</v>
      </c>
      <c r="CW171" s="338">
        <f>_xlfn.IFNA((VLOOKUP($A171,HN!$A:$K,8,FALSE)/12),0)</f>
        <v>0</v>
      </c>
      <c r="CX171" s="338">
        <f>_xlfn.IFNA((VLOOKUP($A171,HN!$A:$BS,14,FALSE)/12),0)</f>
        <v>0</v>
      </c>
      <c r="CY171" s="338">
        <f>_xlfn.IFNA(VLOOKUP($A171,'Post 16'!$A:$AV,32,FALSE),0)/8</f>
        <v>0</v>
      </c>
      <c r="CZ171" s="338"/>
      <c r="DA171" s="338">
        <f>_xlfn.IFNA((VLOOKUP($A171,HN!$A:$K,9,FALSE)/12),0)+_xlfn.IFNA((VLOOKUP($A171,HN!$A:$K,10,FALSE)/12),0)</f>
        <v>0</v>
      </c>
      <c r="DB171" s="338">
        <f>_xlfn.IFNA((VLOOKUP($A171,HN!$A:$BS,15,FALSE)/12),0)</f>
        <v>0</v>
      </c>
      <c r="DC171" s="337">
        <f t="shared" si="215"/>
        <v>-367.29333333333329</v>
      </c>
      <c r="DD171" s="337">
        <f t="shared" si="216"/>
        <v>-556.49666666666667</v>
      </c>
      <c r="DE171" s="338"/>
      <c r="DF171" s="338">
        <f>_xlfn.IFNA(VLOOKUP($A171,'Cash Advances'!$A:$S,14,FALSE),0)</f>
        <v>0</v>
      </c>
      <c r="DG171" s="338">
        <f>(_xlfn.IFNA(VLOOKUP(A171,'LA Deductions'!A:AZ,25,FALSE),0)/9)+(_xlfn.IFNA(VLOOKUP(A171,'LA Deductions'!A:AZ,26,FALSE),0))</f>
        <v>0</v>
      </c>
      <c r="DH171" s="337">
        <f t="shared" si="174"/>
        <v>90223.118286837111</v>
      </c>
      <c r="DI171" s="330">
        <f t="shared" si="217"/>
        <v>91146.908286837119</v>
      </c>
      <c r="DJ171" s="330"/>
      <c r="DK171" s="331"/>
      <c r="DL171" s="331">
        <f>_xlfn.IFNA((VLOOKUP($A171,HN!$A:$K,8,FALSE)/12),0)+_xlfn.IFNA((VLOOKUP($A171,HN!$A:$AF,32,FALSE)*8/12),0)</f>
        <v>0</v>
      </c>
      <c r="DM171" s="331">
        <f>_xlfn.IFNA((VLOOKUP($A171,HN!$A:$BS,14,FALSE)/12),0)+_xlfn.IFNA(VLOOKUP($A171,HN!$A:$BS,31,FALSE),0)</f>
        <v>0</v>
      </c>
      <c r="DN171" s="331">
        <f>_xlfn.IFNA(VLOOKUP($A171,'Post 16'!$A:$AV,32,FALSE),0)/8</f>
        <v>0</v>
      </c>
      <c r="DO171" s="331"/>
      <c r="DP171" s="331">
        <f>_xlfn.IFNA((VLOOKUP($A171,HN!$A:$K,9,FALSE)/12),0)+_xlfn.IFNA((VLOOKUP($A171,HN!$A:$K,10,FALSE)/12),0)+_xlfn.IFNA((VLOOKUP($A171,HN!$A:$BZ,33,FALSE)*8/12),0)</f>
        <v>0</v>
      </c>
      <c r="DQ171" s="331">
        <f>_xlfn.IFNA((VLOOKUP($A171,HN!$A:$BS,15,FALSE)/12),0)</f>
        <v>0</v>
      </c>
      <c r="DR171" s="330">
        <f t="shared" si="218"/>
        <v>-367.29333333333329</v>
      </c>
      <c r="DS171" s="330">
        <f t="shared" si="219"/>
        <v>-556.49666666666667</v>
      </c>
      <c r="DT171" s="331"/>
      <c r="DU171" s="331"/>
      <c r="DV171" s="331">
        <f>(_xlfn.IFNA(VLOOKUP(A171,'LA Deductions'!A:AZ,25,FALSE),0)/9)+_xlfn.IFNA(VLOOKUP(A171,'LA Deductions'!A:AZ,27,FALSE),0)</f>
        <v>0</v>
      </c>
      <c r="DW171" s="330">
        <f t="shared" si="175"/>
        <v>90223.118286837111</v>
      </c>
      <c r="DX171" s="344">
        <f t="shared" si="220"/>
        <v>91146.908286837119</v>
      </c>
      <c r="DY171" s="344"/>
      <c r="DZ171" s="345"/>
      <c r="EA171" s="345">
        <f>_xlfn.IFNA((VLOOKUP($A171,HN!$A:$K,8,FALSE)/12),0)+_xlfn.IFNA((VLOOKUP($A171,HN!$A:$AF,32,FALSE)*1/12),0)</f>
        <v>0</v>
      </c>
      <c r="EB171" s="345">
        <f>_xlfn.IFNA((VLOOKUP($A171,HN!$A:$BS,14,FALSE)/12),0)</f>
        <v>0</v>
      </c>
      <c r="EC171" s="345">
        <f>_xlfn.IFNA(VLOOKUP($A171,'Post 16'!$A:$AV,32,FALSE),0)/8</f>
        <v>0</v>
      </c>
      <c r="ED171" s="345"/>
      <c r="EE171" s="345">
        <f>_xlfn.IFNA((VLOOKUP($A171,HN!$A:$K,9,FALSE)/12),0)+_xlfn.IFNA((VLOOKUP($A171,HN!$A:$K,10,FALSE)/12),0)+_xlfn.IFNA((VLOOKUP($A171,HN!$A:$BZ,33,FALSE)/12),0)</f>
        <v>0</v>
      </c>
      <c r="EF171" s="345">
        <f>_xlfn.IFNA((VLOOKUP($A171,HN!$A:$BS,15,FALSE)/12),0)</f>
        <v>0</v>
      </c>
      <c r="EG171" s="344">
        <f t="shared" si="221"/>
        <v>-367.29333333333329</v>
      </c>
      <c r="EH171" s="344">
        <f t="shared" si="222"/>
        <v>-556.49666666666667</v>
      </c>
      <c r="EI171" s="345"/>
      <c r="EJ171" s="345">
        <f>_xlfn.IFNA(VLOOKUP(A171,'Cash Advances'!A:P,16,FALSE),0)</f>
        <v>0</v>
      </c>
      <c r="EK171" s="345">
        <f>_xlfn.IFNA(VLOOKUP(A171,'LA Deductions'!A:AZ,25,FALSE),0)/9</f>
        <v>0</v>
      </c>
      <c r="EL171" s="344">
        <f t="shared" si="176"/>
        <v>90223.118286837111</v>
      </c>
      <c r="EM171" s="308">
        <f t="shared" si="223"/>
        <v>91146.908286837119</v>
      </c>
      <c r="EN171" s="308">
        <f>((VLOOKUP($A171,EY!$A:$BS,35,FALSE)-(VLOOKUP($A171,EY!$A:$BS,33,FALSE)*80%))+VLOOKUP($A171,EY!$A:$BS,43,FALSE))+(VLOOKUP(A171,EY!A:DF,110,FALSE)-VLOOKUP(A171,EY!A:DD,108,FALSE))+(VLOOKUP(A171,EY!A:CE,83,FALSE)-VLOOKUP(A171,EY!A:CC,81,FALSE))</f>
        <v>0</v>
      </c>
      <c r="EO171" s="309"/>
      <c r="EP171" s="309">
        <f>_xlfn.IFNA((VLOOKUP($A171,HN!$A:$K,8,FALSE)/12),0)+_xlfn.IFNA((VLOOKUP($A171,HN!$A:$AF,32,FALSE)*1/12),0)</f>
        <v>0</v>
      </c>
      <c r="EQ171" s="309">
        <f>_xlfn.IFNA((VLOOKUP($A171,HN!$A:$BS,14,FALSE)/12),0)+_xlfn.IFNA((VLOOKUP($A171,HN!$A:$BS,34,FALSE)/3),0)</f>
        <v>0</v>
      </c>
      <c r="ER171" s="309">
        <f>_xlfn.IFNA(VLOOKUP($A171,'Post 16'!$A:$AV,32,FALSE),0)/8</f>
        <v>0</v>
      </c>
      <c r="ES171" s="309">
        <f>((VLOOKUP($A171,EY!A:EV,33,FALSE)*80%))+VLOOKUP(A171,EY!A:DD,108,FALSE)+VLOOKUP(A171,EY!A:CC,81,FALSE)</f>
        <v>0</v>
      </c>
      <c r="ET171" s="309">
        <f>_xlfn.IFNA((VLOOKUP($A171,HN!$A:$K,9,FALSE)/12),0)+_xlfn.IFNA((VLOOKUP($A171,HN!$A:$K,10,FALSE)/12),0)+_xlfn.IFNA((VLOOKUP($A171,HN!$A:$BZ,33,FALSE)/12),0)</f>
        <v>0</v>
      </c>
      <c r="EU171" s="309">
        <f>_xlfn.IFNA((VLOOKUP($A171,HN!$A:$BS,15,FALSE)/12),0)</f>
        <v>0</v>
      </c>
      <c r="EV171" s="308">
        <f t="shared" si="224"/>
        <v>-367.29333333333329</v>
      </c>
      <c r="EW171" s="308">
        <f t="shared" si="225"/>
        <v>-556.49666666666667</v>
      </c>
      <c r="EX171" s="309">
        <f>-VLOOKUP(A171,'LA Deductions'!A:Q,17,FALSE)</f>
        <v>1639.37</v>
      </c>
      <c r="EY171" s="309">
        <f>_xlfn.IFNA(VLOOKUP($A171,'Cash Advances'!$A:$S,17,FALSE),0)</f>
        <v>0</v>
      </c>
      <c r="EZ171" s="309">
        <f>_xlfn.IFNA(VLOOKUP(A171,'LA Deductions'!A:AZ,25,FALSE),0)/9</f>
        <v>0</v>
      </c>
      <c r="FA171" s="308">
        <f>SUM(EM171:EZ171)</f>
        <v>91862.488286837106</v>
      </c>
      <c r="FB171" s="315">
        <f t="shared" si="226"/>
        <v>91146.908286837119</v>
      </c>
      <c r="FC171" s="315"/>
      <c r="FD171" s="316"/>
      <c r="FE171" s="316">
        <f>_xlfn.IFNA((VLOOKUP($A171,HN!$A:$K,8,FALSE)/12),0)+_xlfn.IFNA((VLOOKUP($A171,HN!$A:$AF,32,FALSE)*1/12),0)</f>
        <v>0</v>
      </c>
      <c r="FF171" s="316">
        <f>_xlfn.IFNA((VLOOKUP($A171,HN!$A:$BS,14,FALSE)/12),0)+_xlfn.IFNA((VLOOKUP($A171,HN!$A:$BS,34,FALSE)/3),0)</f>
        <v>0</v>
      </c>
      <c r="FG171" s="316">
        <f>_xlfn.IFNA(VLOOKUP($A171,'Post 16'!$A:$AV,32,FALSE),0)/8</f>
        <v>0</v>
      </c>
      <c r="FH171" s="316"/>
      <c r="FI171" s="316">
        <f>_xlfn.IFNA((VLOOKUP($A171,HN!$A:$K,9,FALSE)/12),0)+_xlfn.IFNA((VLOOKUP($A171,HN!$A:$K,10,FALSE)/12),0)+_xlfn.IFNA((VLOOKUP($A171,HN!$A:$BZ,33,FALSE)/12),0)+_xlfn.IFNA((VLOOKUP($A171,HN!$A:$BZ,35,FALSE)/2),0)</f>
        <v>0</v>
      </c>
      <c r="FJ171" s="316">
        <f>_xlfn.IFNA((VLOOKUP($A171,HN!$A:$BS,15,FALSE)/12),0)+_xlfn.IFNA((VLOOKUP($A171,HN!$A:$CZ,36,FALSE)/2),0)</f>
        <v>0</v>
      </c>
      <c r="FK171" s="315">
        <f t="shared" si="227"/>
        <v>-367.29333333333329</v>
      </c>
      <c r="FL171" s="315">
        <f t="shared" si="228"/>
        <v>-556.49666666666667</v>
      </c>
      <c r="FM171" s="316"/>
      <c r="FN171" s="316">
        <f>_xlfn.IFNA(VLOOKUP($A171,'Cash Advances'!$A:$S,18,FALSE),0)</f>
        <v>0</v>
      </c>
      <c r="FO171" s="316">
        <f>_xlfn.IFNA(VLOOKUP(A171,'LA Deductions'!A:AZ,25,FALSE),0)/9</f>
        <v>0</v>
      </c>
      <c r="FP171" s="315">
        <f t="shared" si="178"/>
        <v>90223.118286837111</v>
      </c>
      <c r="FQ171" s="322">
        <f t="shared" si="229"/>
        <v>91146.908286837119</v>
      </c>
      <c r="FR171" s="322"/>
      <c r="FS171" s="323"/>
      <c r="FT171" s="323">
        <f>_xlfn.IFNA((VLOOKUP($A171,HN!$A:$K,8,FALSE)/12),0)+_xlfn.IFNA((VLOOKUP($A171,HN!$A:$AF,32,FALSE)*1/12),0)</f>
        <v>0</v>
      </c>
      <c r="FU171" s="323">
        <f>_xlfn.IFNA((VLOOKUP($A171,HN!$A:$BS,14,FALSE)/12),0)+_xlfn.IFNA((VLOOKUP($A171,HN!$A:$BS,34,FALSE)/3),0)</f>
        <v>0</v>
      </c>
      <c r="FV171" s="323">
        <f>_xlfn.IFNA(VLOOKUP($A171,'Post 16'!$A:$AV,32,FALSE),0)/8</f>
        <v>0</v>
      </c>
      <c r="FW171" s="323"/>
      <c r="FX171" s="323">
        <f>_xlfn.IFNA((VLOOKUP($A171,HN!$A:$K,9,FALSE)/12),0)+_xlfn.IFNA((VLOOKUP($A171,HN!$A:$K,10,FALSE)/12),0)+_xlfn.IFNA((VLOOKUP($A171,HN!$A:$BZ,33,FALSE)/12),0)+_xlfn.IFNA((VLOOKUP($A171,HN!$A:$BZ,35,FALSE)/2),0)</f>
        <v>0</v>
      </c>
      <c r="FY171" s="323">
        <f>_xlfn.IFNA((VLOOKUP($A171,HN!$A:$BS,15,FALSE)/12),0)+_xlfn.IFNA((VLOOKUP($A171,HN!$A:$CZ,36,FALSE)/2),0)</f>
        <v>0</v>
      </c>
      <c r="FZ171" s="322">
        <f t="shared" si="230"/>
        <v>-367.29333333333329</v>
      </c>
      <c r="GA171" s="322">
        <f t="shared" si="231"/>
        <v>-556.49666666666667</v>
      </c>
      <c r="GB171" s="323"/>
      <c r="GC171" s="323"/>
      <c r="GD171" s="323">
        <f>_xlfn.IFNA(VLOOKUP(A171,'LA Deductions'!A:AZ,25,FALSE),0)/9</f>
        <v>0</v>
      </c>
      <c r="GE171" s="322">
        <f t="shared" si="179"/>
        <v>90223.118286837111</v>
      </c>
      <c r="GG171" s="146">
        <f t="shared" si="232"/>
        <v>1093762.8994420457</v>
      </c>
      <c r="GH171" s="146">
        <f t="shared" si="232"/>
        <v>0</v>
      </c>
      <c r="GI171" s="146">
        <f t="shared" si="232"/>
        <v>0</v>
      </c>
      <c r="GJ171" s="146">
        <f t="shared" si="232"/>
        <v>-4407.5199999999986</v>
      </c>
      <c r="GK171" s="146">
        <f t="shared" si="232"/>
        <v>-6677.9600000000019</v>
      </c>
      <c r="GL171" s="146">
        <f t="shared" si="232"/>
        <v>-3500.38</v>
      </c>
      <c r="GN171" s="146">
        <f t="shared" si="233"/>
        <v>1093762.8994420457</v>
      </c>
      <c r="GO171" s="146">
        <f t="shared" si="233"/>
        <v>0</v>
      </c>
      <c r="GP171" s="146">
        <f t="shared" si="233"/>
        <v>0</v>
      </c>
      <c r="GQ171" s="146">
        <f t="shared" si="233"/>
        <v>-4407.5199999999986</v>
      </c>
      <c r="GR171" s="146">
        <f t="shared" si="233"/>
        <v>-6677.9600000000019</v>
      </c>
      <c r="GS171" s="146">
        <f t="shared" si="233"/>
        <v>-3500.38</v>
      </c>
      <c r="GU171" s="146"/>
      <c r="GV171" s="57"/>
    </row>
    <row r="172" spans="1:204">
      <c r="A172" s="185">
        <v>2474</v>
      </c>
      <c r="B172" s="185">
        <v>131672</v>
      </c>
      <c r="C172" s="185" t="s">
        <v>386</v>
      </c>
      <c r="D172" s="2" t="s">
        <v>387</v>
      </c>
      <c r="E172" s="191" t="s">
        <v>32</v>
      </c>
      <c r="F172" s="191" t="s">
        <v>912</v>
      </c>
      <c r="H172" s="279">
        <f>_xlfn.IFNA(VLOOKUP($A172,ISB!$A$4:$BY$454,67,FALSE),0)</f>
        <v>2201448.0705624702</v>
      </c>
      <c r="I172" s="279">
        <f>_xlfn.IFNA(VLOOKUP($A172,ISB!$A$4:$BY$454,72,FALSE),0)</f>
        <v>-10771.039999999999</v>
      </c>
      <c r="J172" s="279">
        <f>-_xlfn.IFNA(VLOOKUP($A172,ISB!$A$4:$BY$454,76,FALSE),0)</f>
        <v>-33857.5</v>
      </c>
      <c r="K172" s="279">
        <f>_xlfn.IFNA(VLOOKUP($A172,ISB!$A$4:$BY$454,77,FALSE),0)</f>
        <v>2156819.5305624702</v>
      </c>
      <c r="M172" s="301">
        <f t="shared" si="191"/>
        <v>183454.00588020586</v>
      </c>
      <c r="N172" s="301">
        <f>VLOOKUP($A172,EY!$A:$H,8,FALSE)+(VLOOKUP($A172,EY!$A:$BS,17,FALSE)-S172)+VLOOKUP($A172,EY!$A:$BS,41,FALSE)</f>
        <v>0</v>
      </c>
      <c r="O172" s="302"/>
      <c r="P172" s="302">
        <f>_xlfn.IFNA((VLOOKUP($A172,HN!$A:$K,8,FALSE)/12),0)</f>
        <v>0</v>
      </c>
      <c r="Q172" s="302">
        <f>_xlfn.IFNA((VLOOKUP($A172,HN!$A:$BS,14,FALSE)/12),0)</f>
        <v>0</v>
      </c>
      <c r="R172" s="302">
        <f>_xlfn.IFNA(VLOOKUP($A172,'Post 16'!$A:$V,21,FALSE),0)/4</f>
        <v>0</v>
      </c>
      <c r="S172" s="302">
        <f>VLOOKUP($A172,EY!A:Q,15,FALSE)*80%</f>
        <v>0</v>
      </c>
      <c r="T172" s="302">
        <f>_xlfn.IFNA((VLOOKUP($A172,HN!$A:$K,9,FALSE)/12),0)+_xlfn.IFNA((VLOOKUP($A172,HN!$A:$K,10,FALSE)/12),0)</f>
        <v>0</v>
      </c>
      <c r="U172" s="302">
        <f>_xlfn.IFNA((VLOOKUP($A172,HN!$A:$BS,15,FALSE)/12),0)</f>
        <v>0</v>
      </c>
      <c r="V172" s="301">
        <f t="shared" si="192"/>
        <v>-897.58666666666659</v>
      </c>
      <c r="W172" s="301">
        <f t="shared" si="193"/>
        <v>-2821.4583333333335</v>
      </c>
      <c r="X172" s="302"/>
      <c r="Y172" s="302">
        <f>_xlfn.IFNA(VLOOKUP($A172,'Cash Advances'!$A:$S,8,FALSE),0)</f>
        <v>0</v>
      </c>
      <c r="Z172" s="301">
        <f t="shared" si="194"/>
        <v>179734.96088020585</v>
      </c>
      <c r="AA172" s="315">
        <f t="shared" si="195"/>
        <v>183454.00588020586</v>
      </c>
      <c r="AB172" s="315"/>
      <c r="AC172" s="316"/>
      <c r="AD172" s="316">
        <f>_xlfn.IFNA((VLOOKUP($A172,HN!$A:$K,8,FALSE)/12),0)</f>
        <v>0</v>
      </c>
      <c r="AE172" s="316">
        <f>_xlfn.IFNA((VLOOKUP($A172,HN!$A:$BS,14,FALSE)/12),0)</f>
        <v>0</v>
      </c>
      <c r="AF172" s="316">
        <f>_xlfn.IFNA(VLOOKUP($A172,'Post 16'!$A:$V,21,FALSE),0)/4</f>
        <v>0</v>
      </c>
      <c r="AG172" s="316"/>
      <c r="AH172" s="316">
        <f>_xlfn.IFNA((VLOOKUP($A172,HN!$A:$K,9,FALSE)/12),0)+_xlfn.IFNA((VLOOKUP($A172,HN!$A:$K,10,FALSE)/12),0)</f>
        <v>0</v>
      </c>
      <c r="AI172" s="316">
        <f>_xlfn.IFNA((VLOOKUP($A172,HN!$A:$BS,15,FALSE)/12),0)</f>
        <v>0</v>
      </c>
      <c r="AJ172" s="315">
        <f t="shared" si="196"/>
        <v>-897.58666666666659</v>
      </c>
      <c r="AK172" s="315">
        <f t="shared" si="197"/>
        <v>-2821.4583333333335</v>
      </c>
      <c r="AL172" s="316"/>
      <c r="AM172" s="316">
        <f>_xlfn.IFNA(VLOOKUP($A172,'Cash Advances'!$A:$S,9,FALSE),0)</f>
        <v>0</v>
      </c>
      <c r="AN172" s="315">
        <f t="shared" si="198"/>
        <v>179734.96088020585</v>
      </c>
      <c r="AO172" s="308">
        <f t="shared" si="199"/>
        <v>183454.00588020586</v>
      </c>
      <c r="AP172" s="308"/>
      <c r="AQ172" s="309"/>
      <c r="AR172" s="309">
        <f>_xlfn.IFNA((VLOOKUP($A172,HN!$A:$K,8,FALSE)/12),0)</f>
        <v>0</v>
      </c>
      <c r="AS172" s="309">
        <f>_xlfn.IFNA((VLOOKUP($A172,HN!$A:$BS,14,FALSE)/12),0)</f>
        <v>0</v>
      </c>
      <c r="AT172" s="309">
        <f>_xlfn.IFNA(VLOOKUP($A172,'Post 16'!$A:$V,21,FALSE),0)/4</f>
        <v>0</v>
      </c>
      <c r="AU172" s="309"/>
      <c r="AV172" s="309">
        <f>_xlfn.IFNA((VLOOKUP($A172,HN!$A:$K,9,FALSE)/12),0)+_xlfn.IFNA((VLOOKUP($A172,HN!$A:$K,10,FALSE)/12),0)+_xlfn.IFNA(VLOOKUP(A172,HN!A:V,19,FALSE),0)+_xlfn.IFNA(VLOOKUP(A172,HN!A:V,20,FALSE),0)+_xlfn.IFNA(VLOOKUP(A172,HN!A:V,21,FALSE),0)</f>
        <v>0</v>
      </c>
      <c r="AW172" s="309">
        <f>_xlfn.IFNA((VLOOKUP($A172,HN!$A:$BS,15,FALSE)/12),0)</f>
        <v>0</v>
      </c>
      <c r="AX172" s="308">
        <f t="shared" si="200"/>
        <v>-897.58666666666659</v>
      </c>
      <c r="AY172" s="308">
        <f t="shared" si="201"/>
        <v>-2821.4583333333335</v>
      </c>
      <c r="AZ172" s="309"/>
      <c r="BA172" s="309">
        <f>_xlfn.IFNA(VLOOKUP($A172,'Cash Advances'!$A:$S,10,FALSE),0)</f>
        <v>0</v>
      </c>
      <c r="BB172" s="308">
        <f t="shared" si="202"/>
        <v>179734.96088020585</v>
      </c>
      <c r="BC172" s="330">
        <f t="shared" si="203"/>
        <v>183454.00588020586</v>
      </c>
      <c r="BD172" s="330"/>
      <c r="BE172" s="331"/>
      <c r="BF172" s="331">
        <f>_xlfn.IFNA((VLOOKUP($A172,HN!$A:$K,8,FALSE)/12),0)</f>
        <v>0</v>
      </c>
      <c r="BG172" s="331">
        <f>_xlfn.IFNA((VLOOKUP($A172,HN!$A:$BS,14,FALSE)/12),0)</f>
        <v>0</v>
      </c>
      <c r="BH172" s="331">
        <f>_xlfn.IFNA(VLOOKUP($A172,'Post 16'!$A:$V,21,FALSE),0)/4</f>
        <v>0</v>
      </c>
      <c r="BI172" s="331"/>
      <c r="BJ172" s="331">
        <f>_xlfn.IFNA((VLOOKUP($A172,HN!$A:$K,9,FALSE)/12),0)+_xlfn.IFNA((VLOOKUP($A172,HN!$A:$K,10,FALSE)/12),0)</f>
        <v>0</v>
      </c>
      <c r="BK172" s="331">
        <f>_xlfn.IFNA((VLOOKUP($A172,HN!$A:$BS,15,FALSE)/12),0)</f>
        <v>0</v>
      </c>
      <c r="BL172" s="330">
        <f t="shared" si="204"/>
        <v>-897.58666666666659</v>
      </c>
      <c r="BM172" s="330">
        <f t="shared" si="205"/>
        <v>-2821.4583333333335</v>
      </c>
      <c r="BN172" s="331"/>
      <c r="BO172" s="331">
        <f>_xlfn.IFNA(VLOOKUP(A172,'Cash Advances'!A:K,11,FALSE),0)</f>
        <v>0</v>
      </c>
      <c r="BP172" s="330">
        <f t="shared" si="206"/>
        <v>179734.96088020585</v>
      </c>
      <c r="BQ172" s="322">
        <f t="shared" si="207"/>
        <v>183454.00588020586</v>
      </c>
      <c r="BR172" s="322"/>
      <c r="BS172" s="323"/>
      <c r="BT172" s="323">
        <f>_xlfn.IFNA((VLOOKUP($A172,HN!$A:$K,8,FALSE)/12),0)</f>
        <v>0</v>
      </c>
      <c r="BU172" s="323">
        <f>_xlfn.IFNA((VLOOKUP($A172,HN!$A:$BS,14,FALSE)/12),0)</f>
        <v>0</v>
      </c>
      <c r="BV172" s="323">
        <f>(_xlfn.IFNA(VLOOKUP($A172,'Post 16'!$A:$AV,32,FALSE),0)/8)+_xlfn.IFNA(VLOOKUP($A172,'Post 16'!$A:$AR,40,FALSE),0)</f>
        <v>0</v>
      </c>
      <c r="BW172" s="323"/>
      <c r="BX172" s="323">
        <f>_xlfn.IFNA((VLOOKUP($A172,HN!$A:$K,9,FALSE)/12),0)+_xlfn.IFNA((VLOOKUP($A172,HN!$A:$K,10,FALSE)/12),0)</f>
        <v>0</v>
      </c>
      <c r="BY172" s="323">
        <f>_xlfn.IFNA((VLOOKUP($A172,HN!$A:$BS,15,FALSE)/12),0)</f>
        <v>0</v>
      </c>
      <c r="BZ172" s="322">
        <f t="shared" si="208"/>
        <v>-897.58666666666659</v>
      </c>
      <c r="CA172" s="322">
        <f t="shared" si="209"/>
        <v>-2821.4583333333335</v>
      </c>
      <c r="CB172" s="323"/>
      <c r="CC172" s="323"/>
      <c r="CD172" s="322">
        <f t="shared" si="210"/>
        <v>179734.96088020585</v>
      </c>
      <c r="CE172" s="357">
        <f t="shared" si="211"/>
        <v>183454.00588020586</v>
      </c>
      <c r="CF172" s="357">
        <f>(VLOOKUP($A172,EY!$A:$BS,26,FALSE)-(VLOOKUP($A172,EY!A:CR,24,FALSE)*80%))+VLOOKUP($A172,EY!$A:$BS,42,FALSE)+(VLOOKUP($A172,EY!A:CC,74,FALSE)-VLOOKUP($A172,EY!A:CC,72,FALSE))</f>
        <v>0</v>
      </c>
      <c r="CG172" s="358"/>
      <c r="CH172" s="358">
        <f>_xlfn.IFNA((VLOOKUP($A172,HN!$A:$K,8,FALSE)/12),0)</f>
        <v>0</v>
      </c>
      <c r="CI172" s="358">
        <f>_xlfn.IFNA((VLOOKUP($A172,HN!$A:$BS,14,FALSE)/12),0)</f>
        <v>0</v>
      </c>
      <c r="CJ172" s="358">
        <f>(_xlfn.IFNA(VLOOKUP($A172,'Post 16'!$A:$AV,32,FALSE),0)/8)</f>
        <v>0</v>
      </c>
      <c r="CK172" s="358">
        <f>(VLOOKUP($A172,EY!A:CR,24,FALSE)*80%)+VLOOKUP($A172,EY!A:CC,72,FALSE)</f>
        <v>0</v>
      </c>
      <c r="CL172" s="358">
        <f>_xlfn.IFNA((VLOOKUP($A172,HN!$A:$K,9,FALSE)/12),0)+_xlfn.IFNA((VLOOKUP($A172,HN!$A:$K,10,FALSE)/12),0)</f>
        <v>0</v>
      </c>
      <c r="CM172" s="358">
        <f>_xlfn.IFNA((VLOOKUP($A172,HN!$A:$BS,15,FALSE)/12),0)</f>
        <v>0</v>
      </c>
      <c r="CN172" s="357">
        <f t="shared" si="212"/>
        <v>-897.58666666666659</v>
      </c>
      <c r="CO172" s="357">
        <f t="shared" si="213"/>
        <v>-2821.4583333333335</v>
      </c>
      <c r="CP172" s="358">
        <f>_xlfn.IFNA(VLOOKUP(A172,'LA Deductions'!A:W,23,FALSE),0)</f>
        <v>-11151</v>
      </c>
      <c r="CQ172" s="358">
        <f>_xlfn.IFNA(VLOOKUP($A172,'Cash Advances'!$A:$S,13,FALSE),0)</f>
        <v>0</v>
      </c>
      <c r="CR172" s="358">
        <f>_xlfn.IFNA(VLOOKUP(A172,'LA Deductions'!A:AZ,25,FALSE),0)/9*3</f>
        <v>0</v>
      </c>
      <c r="CS172" s="357">
        <f t="shared" si="173"/>
        <v>168583.96088020585</v>
      </c>
      <c r="CT172" s="337">
        <f t="shared" si="214"/>
        <v>183454.00588020586</v>
      </c>
      <c r="CU172" s="337"/>
      <c r="CV172" s="338">
        <f>_xlfn.IFNA(VLOOKUP(A172,'LA Deductions'!$A$6:$AN$207,34,FALSE),0)</f>
        <v>0</v>
      </c>
      <c r="CW172" s="338">
        <f>_xlfn.IFNA((VLOOKUP($A172,HN!$A:$K,8,FALSE)/12),0)</f>
        <v>0</v>
      </c>
      <c r="CX172" s="338">
        <f>_xlfn.IFNA((VLOOKUP($A172,HN!$A:$BS,14,FALSE)/12),0)</f>
        <v>0</v>
      </c>
      <c r="CY172" s="338">
        <f>_xlfn.IFNA(VLOOKUP($A172,'Post 16'!$A:$AV,32,FALSE),0)/8</f>
        <v>0</v>
      </c>
      <c r="CZ172" s="338"/>
      <c r="DA172" s="338">
        <f>_xlfn.IFNA((VLOOKUP($A172,HN!$A:$K,9,FALSE)/12),0)+_xlfn.IFNA((VLOOKUP($A172,HN!$A:$K,10,FALSE)/12),0)</f>
        <v>0</v>
      </c>
      <c r="DB172" s="338">
        <f>_xlfn.IFNA((VLOOKUP($A172,HN!$A:$BS,15,FALSE)/12),0)</f>
        <v>0</v>
      </c>
      <c r="DC172" s="337">
        <f t="shared" si="215"/>
        <v>-897.58666666666659</v>
      </c>
      <c r="DD172" s="337">
        <f t="shared" si="216"/>
        <v>-2821.4583333333335</v>
      </c>
      <c r="DE172" s="338"/>
      <c r="DF172" s="338">
        <f>_xlfn.IFNA(VLOOKUP($A172,'Cash Advances'!$A:$S,14,FALSE),0)</f>
        <v>0</v>
      </c>
      <c r="DG172" s="338">
        <f>(_xlfn.IFNA(VLOOKUP(A172,'LA Deductions'!A:AZ,25,FALSE),0)/9)+(_xlfn.IFNA(VLOOKUP(A172,'LA Deductions'!A:AZ,26,FALSE),0))</f>
        <v>0</v>
      </c>
      <c r="DH172" s="337">
        <f t="shared" si="174"/>
        <v>179734.96088020585</v>
      </c>
      <c r="DI172" s="330">
        <f t="shared" si="217"/>
        <v>183454.00588020586</v>
      </c>
      <c r="DJ172" s="330"/>
      <c r="DK172" s="331"/>
      <c r="DL172" s="331">
        <f>_xlfn.IFNA((VLOOKUP($A172,HN!$A:$K,8,FALSE)/12),0)+_xlfn.IFNA((VLOOKUP($A172,HN!$A:$AF,32,FALSE)*8/12),0)</f>
        <v>0</v>
      </c>
      <c r="DM172" s="331">
        <f>_xlfn.IFNA((VLOOKUP($A172,HN!$A:$BS,14,FALSE)/12),0)+_xlfn.IFNA(VLOOKUP($A172,HN!$A:$BS,31,FALSE),0)</f>
        <v>0</v>
      </c>
      <c r="DN172" s="331">
        <f>_xlfn.IFNA(VLOOKUP($A172,'Post 16'!$A:$AV,32,FALSE),0)/8</f>
        <v>0</v>
      </c>
      <c r="DO172" s="331"/>
      <c r="DP172" s="331">
        <f>_xlfn.IFNA((VLOOKUP($A172,HN!$A:$K,9,FALSE)/12),0)+_xlfn.IFNA((VLOOKUP($A172,HN!$A:$K,10,FALSE)/12),0)+_xlfn.IFNA((VLOOKUP($A172,HN!$A:$BZ,33,FALSE)*8/12),0)</f>
        <v>0</v>
      </c>
      <c r="DQ172" s="331">
        <f>_xlfn.IFNA((VLOOKUP($A172,HN!$A:$BS,15,FALSE)/12),0)</f>
        <v>0</v>
      </c>
      <c r="DR172" s="330">
        <f t="shared" si="218"/>
        <v>-897.58666666666659</v>
      </c>
      <c r="DS172" s="330">
        <f t="shared" si="219"/>
        <v>-2821.4583333333335</v>
      </c>
      <c r="DT172" s="331"/>
      <c r="DU172" s="331"/>
      <c r="DV172" s="331">
        <f>(_xlfn.IFNA(VLOOKUP(A172,'LA Deductions'!A:AZ,25,FALSE),0)/9)+_xlfn.IFNA(VLOOKUP(A172,'LA Deductions'!A:AZ,27,FALSE),0)</f>
        <v>0</v>
      </c>
      <c r="DW172" s="330">
        <f t="shared" si="175"/>
        <v>179734.96088020585</v>
      </c>
      <c r="DX172" s="344">
        <f t="shared" si="220"/>
        <v>183454.00588020586</v>
      </c>
      <c r="DY172" s="344"/>
      <c r="DZ172" s="345"/>
      <c r="EA172" s="345">
        <f>_xlfn.IFNA((VLOOKUP($A172,HN!$A:$K,8,FALSE)/12),0)+_xlfn.IFNA((VLOOKUP($A172,HN!$A:$AF,32,FALSE)*1/12),0)</f>
        <v>0</v>
      </c>
      <c r="EB172" s="345">
        <f>_xlfn.IFNA((VLOOKUP($A172,HN!$A:$BS,14,FALSE)/12),0)</f>
        <v>0</v>
      </c>
      <c r="EC172" s="345">
        <f>_xlfn.IFNA(VLOOKUP($A172,'Post 16'!$A:$AV,32,FALSE),0)/8</f>
        <v>0</v>
      </c>
      <c r="ED172" s="345"/>
      <c r="EE172" s="345">
        <f>_xlfn.IFNA((VLOOKUP($A172,HN!$A:$K,9,FALSE)/12),0)+_xlfn.IFNA((VLOOKUP($A172,HN!$A:$K,10,FALSE)/12),0)+_xlfn.IFNA((VLOOKUP($A172,HN!$A:$BZ,33,FALSE)/12),0)</f>
        <v>0</v>
      </c>
      <c r="EF172" s="345">
        <f>_xlfn.IFNA((VLOOKUP($A172,HN!$A:$BS,15,FALSE)/12),0)</f>
        <v>0</v>
      </c>
      <c r="EG172" s="344">
        <f t="shared" si="221"/>
        <v>-897.58666666666659</v>
      </c>
      <c r="EH172" s="344">
        <f t="shared" si="222"/>
        <v>-2821.4583333333335</v>
      </c>
      <c r="EI172" s="345"/>
      <c r="EJ172" s="345">
        <f>_xlfn.IFNA(VLOOKUP(A172,'Cash Advances'!A:P,16,FALSE),0)</f>
        <v>0</v>
      </c>
      <c r="EK172" s="345">
        <f>_xlfn.IFNA(VLOOKUP(A172,'LA Deductions'!A:AZ,25,FALSE),0)/9</f>
        <v>0</v>
      </c>
      <c r="EL172" s="344">
        <f t="shared" si="176"/>
        <v>179734.96088020585</v>
      </c>
      <c r="EM172" s="308">
        <f t="shared" si="223"/>
        <v>183454.00588020586</v>
      </c>
      <c r="EN172" s="308">
        <f>((VLOOKUP($A172,EY!$A:$BS,35,FALSE)-(VLOOKUP($A172,EY!$A:$BS,33,FALSE)*80%))+VLOOKUP($A172,EY!$A:$BS,43,FALSE))+(VLOOKUP(A172,EY!A:DF,110,FALSE)-VLOOKUP(A172,EY!A:DD,108,FALSE))+(VLOOKUP(A172,EY!A:CE,83,FALSE)-VLOOKUP(A172,EY!A:CC,81,FALSE))</f>
        <v>0</v>
      </c>
      <c r="EO172" s="309"/>
      <c r="EP172" s="309">
        <f>_xlfn.IFNA((VLOOKUP($A172,HN!$A:$K,8,FALSE)/12),0)+_xlfn.IFNA((VLOOKUP($A172,HN!$A:$AF,32,FALSE)*1/12),0)</f>
        <v>0</v>
      </c>
      <c r="EQ172" s="309">
        <f>_xlfn.IFNA((VLOOKUP($A172,HN!$A:$BS,14,FALSE)/12),0)+_xlfn.IFNA((VLOOKUP($A172,HN!$A:$BS,34,FALSE)/3),0)</f>
        <v>0</v>
      </c>
      <c r="ER172" s="309">
        <f>_xlfn.IFNA(VLOOKUP($A172,'Post 16'!$A:$AV,32,FALSE),0)/8</f>
        <v>0</v>
      </c>
      <c r="ES172" s="309">
        <f>((VLOOKUP($A172,EY!A:EV,33,FALSE)*80%))+VLOOKUP(A172,EY!A:DD,108,FALSE)+VLOOKUP(A172,EY!A:CC,81,FALSE)</f>
        <v>0</v>
      </c>
      <c r="ET172" s="309">
        <f>_xlfn.IFNA((VLOOKUP($A172,HN!$A:$K,9,FALSE)/12),0)+_xlfn.IFNA((VLOOKUP($A172,HN!$A:$K,10,FALSE)/12),0)+_xlfn.IFNA((VLOOKUP($A172,HN!$A:$BZ,33,FALSE)/12),0)</f>
        <v>0</v>
      </c>
      <c r="EU172" s="309">
        <f>_xlfn.IFNA((VLOOKUP($A172,HN!$A:$BS,15,FALSE)/12),0)</f>
        <v>0</v>
      </c>
      <c r="EV172" s="308">
        <f t="shared" si="224"/>
        <v>-897.58666666666659</v>
      </c>
      <c r="EW172" s="308">
        <f t="shared" si="225"/>
        <v>-2821.4583333333335</v>
      </c>
      <c r="EX172" s="309"/>
      <c r="EY172" s="309">
        <f>_xlfn.IFNA(VLOOKUP($A172,'Cash Advances'!$A:$S,17,FALSE),0)</f>
        <v>0</v>
      </c>
      <c r="EZ172" s="309">
        <f>_xlfn.IFNA(VLOOKUP(A172,'LA Deductions'!A:AZ,25,FALSE),0)/9</f>
        <v>0</v>
      </c>
      <c r="FA172" s="308">
        <f t="shared" si="177"/>
        <v>179734.96088020585</v>
      </c>
      <c r="FB172" s="315">
        <f t="shared" si="226"/>
        <v>183454.00588020586</v>
      </c>
      <c r="FC172" s="315"/>
      <c r="FD172" s="316"/>
      <c r="FE172" s="316">
        <f>_xlfn.IFNA((VLOOKUP($A172,HN!$A:$K,8,FALSE)/12),0)+_xlfn.IFNA((VLOOKUP($A172,HN!$A:$AF,32,FALSE)*1/12),0)</f>
        <v>0</v>
      </c>
      <c r="FF172" s="316">
        <f>_xlfn.IFNA((VLOOKUP($A172,HN!$A:$BS,14,FALSE)/12),0)+_xlfn.IFNA((VLOOKUP($A172,HN!$A:$BS,34,FALSE)/3),0)</f>
        <v>0</v>
      </c>
      <c r="FG172" s="316">
        <f>_xlfn.IFNA(VLOOKUP($A172,'Post 16'!$A:$AV,32,FALSE),0)/8</f>
        <v>0</v>
      </c>
      <c r="FH172" s="316"/>
      <c r="FI172" s="316">
        <f>_xlfn.IFNA((VLOOKUP($A172,HN!$A:$K,9,FALSE)/12),0)+_xlfn.IFNA((VLOOKUP($A172,HN!$A:$K,10,FALSE)/12),0)+_xlfn.IFNA((VLOOKUP($A172,HN!$A:$BZ,33,FALSE)/12),0)+_xlfn.IFNA((VLOOKUP($A172,HN!$A:$BZ,35,FALSE)/2),0)</f>
        <v>0</v>
      </c>
      <c r="FJ172" s="316">
        <f>_xlfn.IFNA((VLOOKUP($A172,HN!$A:$BS,15,FALSE)/12),0)+_xlfn.IFNA((VLOOKUP($A172,HN!$A:$CZ,36,FALSE)/2),0)</f>
        <v>0</v>
      </c>
      <c r="FK172" s="315">
        <f t="shared" si="227"/>
        <v>-897.58666666666659</v>
      </c>
      <c r="FL172" s="315">
        <f t="shared" si="228"/>
        <v>-2821.4583333333335</v>
      </c>
      <c r="FM172" s="316"/>
      <c r="FN172" s="316">
        <f>_xlfn.IFNA(VLOOKUP($A172,'Cash Advances'!$A:$S,18,FALSE),0)</f>
        <v>0</v>
      </c>
      <c r="FO172" s="316">
        <f>_xlfn.IFNA(VLOOKUP(A172,'LA Deductions'!A:AZ,25,FALSE),0)/9</f>
        <v>0</v>
      </c>
      <c r="FP172" s="315">
        <f t="shared" si="178"/>
        <v>179734.96088020585</v>
      </c>
      <c r="FQ172" s="322">
        <f t="shared" si="229"/>
        <v>183454.00588020586</v>
      </c>
      <c r="FR172" s="322"/>
      <c r="FS172" s="323"/>
      <c r="FT172" s="323">
        <f>_xlfn.IFNA((VLOOKUP($A172,HN!$A:$K,8,FALSE)/12),0)+_xlfn.IFNA((VLOOKUP($A172,HN!$A:$AF,32,FALSE)*1/12),0)</f>
        <v>0</v>
      </c>
      <c r="FU172" s="323">
        <f>_xlfn.IFNA((VLOOKUP($A172,HN!$A:$BS,14,FALSE)/12),0)+_xlfn.IFNA((VLOOKUP($A172,HN!$A:$BS,34,FALSE)/3),0)</f>
        <v>0</v>
      </c>
      <c r="FV172" s="323">
        <f>_xlfn.IFNA(VLOOKUP($A172,'Post 16'!$A:$AV,32,FALSE),0)/8</f>
        <v>0</v>
      </c>
      <c r="FW172" s="323"/>
      <c r="FX172" s="323">
        <f>_xlfn.IFNA((VLOOKUP($A172,HN!$A:$K,9,FALSE)/12),0)+_xlfn.IFNA((VLOOKUP($A172,HN!$A:$K,10,FALSE)/12),0)+_xlfn.IFNA((VLOOKUP($A172,HN!$A:$BZ,33,FALSE)/12),0)+_xlfn.IFNA((VLOOKUP($A172,HN!$A:$BZ,35,FALSE)/2),0)</f>
        <v>0</v>
      </c>
      <c r="FY172" s="323">
        <f>_xlfn.IFNA((VLOOKUP($A172,HN!$A:$BS,15,FALSE)/12),0)+_xlfn.IFNA((VLOOKUP($A172,HN!$A:$CZ,36,FALSE)/2),0)</f>
        <v>0</v>
      </c>
      <c r="FZ172" s="322">
        <f t="shared" si="230"/>
        <v>-897.58666666666659</v>
      </c>
      <c r="GA172" s="322">
        <f t="shared" si="231"/>
        <v>-2821.4583333333335</v>
      </c>
      <c r="GB172" s="323"/>
      <c r="GC172" s="323"/>
      <c r="GD172" s="323">
        <f>_xlfn.IFNA(VLOOKUP(A172,'LA Deductions'!A:AZ,25,FALSE),0)/9</f>
        <v>0</v>
      </c>
      <c r="GE172" s="322">
        <f t="shared" si="179"/>
        <v>179734.96088020585</v>
      </c>
      <c r="GG172" s="146">
        <f t="shared" si="232"/>
        <v>2201448.0705624702</v>
      </c>
      <c r="GH172" s="146">
        <f t="shared" si="232"/>
        <v>0</v>
      </c>
      <c r="GI172" s="146">
        <f t="shared" si="232"/>
        <v>0</v>
      </c>
      <c r="GJ172" s="146">
        <f t="shared" si="232"/>
        <v>-10771.039999999995</v>
      </c>
      <c r="GK172" s="146">
        <f t="shared" si="232"/>
        <v>-33857.499999999993</v>
      </c>
      <c r="GL172" s="146">
        <f t="shared" si="232"/>
        <v>-11151</v>
      </c>
      <c r="GN172" s="146">
        <f t="shared" si="233"/>
        <v>2201448.0705624702</v>
      </c>
      <c r="GO172" s="146">
        <f t="shared" si="233"/>
        <v>0</v>
      </c>
      <c r="GP172" s="146">
        <f t="shared" si="233"/>
        <v>0</v>
      </c>
      <c r="GQ172" s="146">
        <f t="shared" si="233"/>
        <v>-10771.039999999995</v>
      </c>
      <c r="GR172" s="146">
        <f t="shared" si="233"/>
        <v>-33857.499999999993</v>
      </c>
      <c r="GS172" s="146">
        <f t="shared" si="233"/>
        <v>-11151</v>
      </c>
      <c r="GU172" s="146"/>
      <c r="GV172" s="57"/>
    </row>
    <row r="173" spans="1:204">
      <c r="A173" s="185">
        <v>3352</v>
      </c>
      <c r="B173" s="185">
        <v>103444</v>
      </c>
      <c r="C173" s="185" t="s">
        <v>388</v>
      </c>
      <c r="D173" s="2" t="s">
        <v>389</v>
      </c>
      <c r="E173" s="191" t="s">
        <v>32</v>
      </c>
      <c r="F173" s="191" t="s">
        <v>912</v>
      </c>
      <c r="H173" s="279">
        <f>_xlfn.IFNA(VLOOKUP($A173,ISB!$A$4:$BY$454,67,FALSE),0)</f>
        <v>921663.57137849461</v>
      </c>
      <c r="I173" s="279">
        <f>_xlfn.IFNA(VLOOKUP($A173,ISB!$A$4:$BY$454,72,FALSE),0)</f>
        <v>-3938.08</v>
      </c>
      <c r="J173" s="279">
        <f>-_xlfn.IFNA(VLOOKUP($A173,ISB!$A$4:$BY$454,76,FALSE),0)</f>
        <v>-7207.96</v>
      </c>
      <c r="K173" s="279">
        <f>_xlfn.IFNA(VLOOKUP($A173,ISB!$A$4:$BY$454,77,FALSE),0)</f>
        <v>910517.53137849469</v>
      </c>
      <c r="M173" s="301">
        <f t="shared" si="191"/>
        <v>76805.297614874551</v>
      </c>
      <c r="N173" s="301">
        <f>VLOOKUP($A173,EY!$A:$H,8,FALSE)+(VLOOKUP($A173,EY!$A:$BS,17,FALSE)-S173)+VLOOKUP($A173,EY!$A:$BS,41,FALSE)</f>
        <v>22023.669473684211</v>
      </c>
      <c r="O173" s="302"/>
      <c r="P173" s="302">
        <f>_xlfn.IFNA((VLOOKUP($A173,HN!$A:$K,8,FALSE)/12),0)</f>
        <v>0</v>
      </c>
      <c r="Q173" s="302">
        <f>_xlfn.IFNA((VLOOKUP($A173,HN!$A:$BS,14,FALSE)/12),0)</f>
        <v>0</v>
      </c>
      <c r="R173" s="302">
        <f>_xlfn.IFNA(VLOOKUP($A173,'Post 16'!$A:$V,21,FALSE),0)/4</f>
        <v>0</v>
      </c>
      <c r="S173" s="302">
        <f>VLOOKUP($A173,EY!A:Q,15,FALSE)*80%</f>
        <v>0</v>
      </c>
      <c r="T173" s="302">
        <f>_xlfn.IFNA((VLOOKUP($A173,HN!$A:$K,9,FALSE)/12),0)+_xlfn.IFNA((VLOOKUP($A173,HN!$A:$K,10,FALSE)/12),0)</f>
        <v>0</v>
      </c>
      <c r="U173" s="302">
        <f>_xlfn.IFNA((VLOOKUP($A173,HN!$A:$BS,15,FALSE)/12),0)</f>
        <v>0</v>
      </c>
      <c r="V173" s="301">
        <f t="shared" si="192"/>
        <v>-328.17333333333335</v>
      </c>
      <c r="W173" s="301">
        <f t="shared" si="193"/>
        <v>-600.6633333333333</v>
      </c>
      <c r="X173" s="302"/>
      <c r="Y173" s="302">
        <f>_xlfn.IFNA(VLOOKUP($A173,'Cash Advances'!$A:$S,8,FALSE),0)</f>
        <v>0</v>
      </c>
      <c r="Z173" s="301">
        <f t="shared" si="194"/>
        <v>97900.1304218921</v>
      </c>
      <c r="AA173" s="315">
        <f t="shared" si="195"/>
        <v>76805.297614874551</v>
      </c>
      <c r="AB173" s="315"/>
      <c r="AC173" s="316"/>
      <c r="AD173" s="316">
        <f>_xlfn.IFNA((VLOOKUP($A173,HN!$A:$K,8,FALSE)/12),0)</f>
        <v>0</v>
      </c>
      <c r="AE173" s="316">
        <f>_xlfn.IFNA((VLOOKUP($A173,HN!$A:$BS,14,FALSE)/12),0)</f>
        <v>0</v>
      </c>
      <c r="AF173" s="316">
        <f>_xlfn.IFNA(VLOOKUP($A173,'Post 16'!$A:$V,21,FALSE),0)/4</f>
        <v>0</v>
      </c>
      <c r="AG173" s="316"/>
      <c r="AH173" s="316">
        <f>_xlfn.IFNA((VLOOKUP($A173,HN!$A:$K,9,FALSE)/12),0)+_xlfn.IFNA((VLOOKUP($A173,HN!$A:$K,10,FALSE)/12),0)</f>
        <v>0</v>
      </c>
      <c r="AI173" s="316">
        <f>_xlfn.IFNA((VLOOKUP($A173,HN!$A:$BS,15,FALSE)/12),0)</f>
        <v>0</v>
      </c>
      <c r="AJ173" s="315">
        <f t="shared" si="196"/>
        <v>-328.17333333333335</v>
      </c>
      <c r="AK173" s="315">
        <f t="shared" si="197"/>
        <v>-600.6633333333333</v>
      </c>
      <c r="AL173" s="316"/>
      <c r="AM173" s="316">
        <f>_xlfn.IFNA(VLOOKUP($A173,'Cash Advances'!$A:$S,9,FALSE),0)</f>
        <v>0</v>
      </c>
      <c r="AN173" s="315">
        <f t="shared" si="198"/>
        <v>75876.460948207881</v>
      </c>
      <c r="AO173" s="308">
        <f t="shared" si="199"/>
        <v>76805.297614874551</v>
      </c>
      <c r="AP173" s="308"/>
      <c r="AQ173" s="309"/>
      <c r="AR173" s="309">
        <f>_xlfn.IFNA((VLOOKUP($A173,HN!$A:$K,8,FALSE)/12),0)</f>
        <v>0</v>
      </c>
      <c r="AS173" s="309">
        <f>_xlfn.IFNA((VLOOKUP($A173,HN!$A:$BS,14,FALSE)/12),0)</f>
        <v>0</v>
      </c>
      <c r="AT173" s="309">
        <f>_xlfn.IFNA(VLOOKUP($A173,'Post 16'!$A:$V,21,FALSE),0)/4</f>
        <v>0</v>
      </c>
      <c r="AU173" s="309"/>
      <c r="AV173" s="309">
        <f>_xlfn.IFNA((VLOOKUP($A173,HN!$A:$K,9,FALSE)/12),0)+_xlfn.IFNA((VLOOKUP($A173,HN!$A:$K,10,FALSE)/12),0)+_xlfn.IFNA(VLOOKUP(A173,HN!A:V,19,FALSE),0)+_xlfn.IFNA(VLOOKUP(A173,HN!A:V,20,FALSE),0)+_xlfn.IFNA(VLOOKUP(A173,HN!A:V,21,FALSE),0)</f>
        <v>0</v>
      </c>
      <c r="AW173" s="309">
        <f>_xlfn.IFNA((VLOOKUP($A173,HN!$A:$BS,15,FALSE)/12),0)</f>
        <v>0</v>
      </c>
      <c r="AX173" s="308">
        <f t="shared" si="200"/>
        <v>-328.17333333333335</v>
      </c>
      <c r="AY173" s="308">
        <f t="shared" si="201"/>
        <v>-600.6633333333333</v>
      </c>
      <c r="AZ173" s="309"/>
      <c r="BA173" s="309">
        <f>_xlfn.IFNA(VLOOKUP($A173,'Cash Advances'!$A:$S,10,FALSE),0)</f>
        <v>0</v>
      </c>
      <c r="BB173" s="308">
        <f t="shared" si="202"/>
        <v>75876.460948207881</v>
      </c>
      <c r="BC173" s="330">
        <f t="shared" si="203"/>
        <v>76805.297614874551</v>
      </c>
      <c r="BD173" s="330"/>
      <c r="BE173" s="331"/>
      <c r="BF173" s="331">
        <f>_xlfn.IFNA((VLOOKUP($A173,HN!$A:$K,8,FALSE)/12),0)</f>
        <v>0</v>
      </c>
      <c r="BG173" s="331">
        <f>_xlfn.IFNA((VLOOKUP($A173,HN!$A:$BS,14,FALSE)/12),0)</f>
        <v>0</v>
      </c>
      <c r="BH173" s="331">
        <f>_xlfn.IFNA(VLOOKUP($A173,'Post 16'!$A:$V,21,FALSE),0)/4</f>
        <v>0</v>
      </c>
      <c r="BI173" s="331"/>
      <c r="BJ173" s="331">
        <f>_xlfn.IFNA((VLOOKUP($A173,HN!$A:$K,9,FALSE)/12),0)+_xlfn.IFNA((VLOOKUP($A173,HN!$A:$K,10,FALSE)/12),0)</f>
        <v>0</v>
      </c>
      <c r="BK173" s="331">
        <f>_xlfn.IFNA((VLOOKUP($A173,HN!$A:$BS,15,FALSE)/12),0)</f>
        <v>0</v>
      </c>
      <c r="BL173" s="330">
        <f t="shared" si="204"/>
        <v>-328.17333333333335</v>
      </c>
      <c r="BM173" s="330">
        <f t="shared" si="205"/>
        <v>-600.6633333333333</v>
      </c>
      <c r="BN173" s="331"/>
      <c r="BO173" s="331">
        <f>_xlfn.IFNA(VLOOKUP(A173,'Cash Advances'!A:K,11,FALSE),0)</f>
        <v>0</v>
      </c>
      <c r="BP173" s="330">
        <f t="shared" si="206"/>
        <v>75876.460948207881</v>
      </c>
      <c r="BQ173" s="322">
        <f t="shared" si="207"/>
        <v>76805.297614874551</v>
      </c>
      <c r="BR173" s="322"/>
      <c r="BS173" s="323"/>
      <c r="BT173" s="323">
        <f>_xlfn.IFNA((VLOOKUP($A173,HN!$A:$K,8,FALSE)/12),0)</f>
        <v>0</v>
      </c>
      <c r="BU173" s="323">
        <f>_xlfn.IFNA((VLOOKUP($A173,HN!$A:$BS,14,FALSE)/12),0)</f>
        <v>0</v>
      </c>
      <c r="BV173" s="323">
        <f>(_xlfn.IFNA(VLOOKUP($A173,'Post 16'!$A:$AV,32,FALSE),0)/8)+_xlfn.IFNA(VLOOKUP($A173,'Post 16'!$A:$AR,40,FALSE),0)</f>
        <v>0</v>
      </c>
      <c r="BW173" s="323"/>
      <c r="BX173" s="323">
        <f>_xlfn.IFNA((VLOOKUP($A173,HN!$A:$K,9,FALSE)/12),0)+_xlfn.IFNA((VLOOKUP($A173,HN!$A:$K,10,FALSE)/12),0)</f>
        <v>0</v>
      </c>
      <c r="BY173" s="323">
        <f>_xlfn.IFNA((VLOOKUP($A173,HN!$A:$BS,15,FALSE)/12),0)</f>
        <v>0</v>
      </c>
      <c r="BZ173" s="322">
        <f t="shared" si="208"/>
        <v>-328.17333333333335</v>
      </c>
      <c r="CA173" s="322">
        <f t="shared" si="209"/>
        <v>-600.6633333333333</v>
      </c>
      <c r="CB173" s="323"/>
      <c r="CC173" s="323"/>
      <c r="CD173" s="322">
        <f t="shared" si="210"/>
        <v>75876.460948207881</v>
      </c>
      <c r="CE173" s="357">
        <f t="shared" si="211"/>
        <v>76805.297614874551</v>
      </c>
      <c r="CF173" s="357">
        <f>(VLOOKUP($A173,EY!$A:$BS,26,FALSE)-(VLOOKUP($A173,EY!A:CR,24,FALSE)*80%))+VLOOKUP($A173,EY!$A:$BS,42,FALSE)+(VLOOKUP($A173,EY!A:CC,74,FALSE)-VLOOKUP($A173,EY!A:CC,72,FALSE))</f>
        <v>-7143.6094736842097</v>
      </c>
      <c r="CG173" s="358"/>
      <c r="CH173" s="358">
        <f>_xlfn.IFNA((VLOOKUP($A173,HN!$A:$K,8,FALSE)/12),0)</f>
        <v>0</v>
      </c>
      <c r="CI173" s="358">
        <f>_xlfn.IFNA((VLOOKUP($A173,HN!$A:$BS,14,FALSE)/12),0)</f>
        <v>0</v>
      </c>
      <c r="CJ173" s="358">
        <f>(_xlfn.IFNA(VLOOKUP($A173,'Post 16'!$A:$AV,32,FALSE),0)/8)</f>
        <v>0</v>
      </c>
      <c r="CK173" s="358">
        <f>(VLOOKUP($A173,EY!A:CR,24,FALSE)*80%)+VLOOKUP($A173,EY!A:CC,72,FALSE)</f>
        <v>0</v>
      </c>
      <c r="CL173" s="358">
        <f>_xlfn.IFNA((VLOOKUP($A173,HN!$A:$K,9,FALSE)/12),0)+_xlfn.IFNA((VLOOKUP($A173,HN!$A:$K,10,FALSE)/12),0)</f>
        <v>0</v>
      </c>
      <c r="CM173" s="358">
        <f>_xlfn.IFNA((VLOOKUP($A173,HN!$A:$BS,15,FALSE)/12),0)</f>
        <v>0</v>
      </c>
      <c r="CN173" s="357">
        <f t="shared" si="212"/>
        <v>-328.17333333333335</v>
      </c>
      <c r="CO173" s="357">
        <f t="shared" si="213"/>
        <v>-600.6633333333333</v>
      </c>
      <c r="CP173" s="358">
        <f>_xlfn.IFNA(VLOOKUP(A173,'LA Deductions'!A:W,23,FALSE),0)</f>
        <v>-5139.75</v>
      </c>
      <c r="CQ173" s="358">
        <f>_xlfn.IFNA(VLOOKUP($A173,'Cash Advances'!$A:$S,13,FALSE),0)</f>
        <v>0</v>
      </c>
      <c r="CR173" s="358">
        <f>_xlfn.IFNA(VLOOKUP(A173,'LA Deductions'!A:AZ,25,FALSE),0)/9*3</f>
        <v>0</v>
      </c>
      <c r="CS173" s="357">
        <f t="shared" si="173"/>
        <v>63593.101474523675</v>
      </c>
      <c r="CT173" s="337">
        <f t="shared" si="214"/>
        <v>76805.297614874551</v>
      </c>
      <c r="CU173" s="337"/>
      <c r="CV173" s="338">
        <f>_xlfn.IFNA(VLOOKUP(A173,'LA Deductions'!$A$6:$AN$207,34,FALSE),0)</f>
        <v>0</v>
      </c>
      <c r="CW173" s="338">
        <f>_xlfn.IFNA((VLOOKUP($A173,HN!$A:$K,8,FALSE)/12),0)</f>
        <v>0</v>
      </c>
      <c r="CX173" s="338">
        <f>_xlfn.IFNA((VLOOKUP($A173,HN!$A:$BS,14,FALSE)/12),0)</f>
        <v>0</v>
      </c>
      <c r="CY173" s="338">
        <f>_xlfn.IFNA(VLOOKUP($A173,'Post 16'!$A:$AV,32,FALSE),0)/8</f>
        <v>0</v>
      </c>
      <c r="CZ173" s="338"/>
      <c r="DA173" s="338">
        <f>_xlfn.IFNA((VLOOKUP($A173,HN!$A:$K,9,FALSE)/12),0)+_xlfn.IFNA((VLOOKUP($A173,HN!$A:$K,10,FALSE)/12),0)</f>
        <v>0</v>
      </c>
      <c r="DB173" s="338">
        <f>_xlfn.IFNA((VLOOKUP($A173,HN!$A:$BS,15,FALSE)/12),0)</f>
        <v>0</v>
      </c>
      <c r="DC173" s="337">
        <f t="shared" si="215"/>
        <v>-328.17333333333335</v>
      </c>
      <c r="DD173" s="337">
        <f t="shared" si="216"/>
        <v>-600.6633333333333</v>
      </c>
      <c r="DE173" s="338"/>
      <c r="DF173" s="338">
        <f>_xlfn.IFNA(VLOOKUP($A173,'Cash Advances'!$A:$S,14,FALSE),0)</f>
        <v>0</v>
      </c>
      <c r="DG173" s="338">
        <f>(_xlfn.IFNA(VLOOKUP(A173,'LA Deductions'!A:AZ,25,FALSE),0)/9)+(_xlfn.IFNA(VLOOKUP(A173,'LA Deductions'!A:AZ,26,FALSE),0))</f>
        <v>0</v>
      </c>
      <c r="DH173" s="337">
        <f t="shared" si="174"/>
        <v>75876.460948207881</v>
      </c>
      <c r="DI173" s="330">
        <f t="shared" si="217"/>
        <v>76805.297614874551</v>
      </c>
      <c r="DJ173" s="330"/>
      <c r="DK173" s="331"/>
      <c r="DL173" s="331">
        <f>_xlfn.IFNA((VLOOKUP($A173,HN!$A:$K,8,FALSE)/12),0)+_xlfn.IFNA((VLOOKUP($A173,HN!$A:$AF,32,FALSE)*8/12),0)</f>
        <v>0</v>
      </c>
      <c r="DM173" s="331">
        <f>_xlfn.IFNA((VLOOKUP($A173,HN!$A:$BS,14,FALSE)/12),0)+_xlfn.IFNA(VLOOKUP($A173,HN!$A:$BS,31,FALSE),0)</f>
        <v>0</v>
      </c>
      <c r="DN173" s="331">
        <f>_xlfn.IFNA(VLOOKUP($A173,'Post 16'!$A:$AV,32,FALSE),0)/8</f>
        <v>0</v>
      </c>
      <c r="DO173" s="331"/>
      <c r="DP173" s="331">
        <f>_xlfn.IFNA((VLOOKUP($A173,HN!$A:$K,9,FALSE)/12),0)+_xlfn.IFNA((VLOOKUP($A173,HN!$A:$K,10,FALSE)/12),0)+_xlfn.IFNA((VLOOKUP($A173,HN!$A:$BZ,33,FALSE)*8/12),0)</f>
        <v>0</v>
      </c>
      <c r="DQ173" s="331">
        <f>_xlfn.IFNA((VLOOKUP($A173,HN!$A:$BS,15,FALSE)/12),0)</f>
        <v>0</v>
      </c>
      <c r="DR173" s="330">
        <f t="shared" si="218"/>
        <v>-328.17333333333335</v>
      </c>
      <c r="DS173" s="330">
        <f t="shared" si="219"/>
        <v>-600.6633333333333</v>
      </c>
      <c r="DT173" s="331"/>
      <c r="DU173" s="331"/>
      <c r="DV173" s="331">
        <f>(_xlfn.IFNA(VLOOKUP(A173,'LA Deductions'!A:AZ,25,FALSE),0)/9)+_xlfn.IFNA(VLOOKUP(A173,'LA Deductions'!A:AZ,27,FALSE),0)</f>
        <v>0</v>
      </c>
      <c r="DW173" s="330">
        <f t="shared" si="175"/>
        <v>75876.460948207881</v>
      </c>
      <c r="DX173" s="344">
        <f t="shared" si="220"/>
        <v>76805.297614874551</v>
      </c>
      <c r="DY173" s="344"/>
      <c r="DZ173" s="345"/>
      <c r="EA173" s="345">
        <f>_xlfn.IFNA((VLOOKUP($A173,HN!$A:$K,8,FALSE)/12),0)+_xlfn.IFNA((VLOOKUP($A173,HN!$A:$AF,32,FALSE)*1/12),0)</f>
        <v>0</v>
      </c>
      <c r="EB173" s="345">
        <f>_xlfn.IFNA((VLOOKUP($A173,HN!$A:$BS,14,FALSE)/12),0)</f>
        <v>0</v>
      </c>
      <c r="EC173" s="345">
        <f>_xlfn.IFNA(VLOOKUP($A173,'Post 16'!$A:$AV,32,FALSE),0)/8</f>
        <v>0</v>
      </c>
      <c r="ED173" s="345"/>
      <c r="EE173" s="345">
        <f>_xlfn.IFNA((VLOOKUP($A173,HN!$A:$K,9,FALSE)/12),0)+_xlfn.IFNA((VLOOKUP($A173,HN!$A:$K,10,FALSE)/12),0)+_xlfn.IFNA((VLOOKUP($A173,HN!$A:$BZ,33,FALSE)/12),0)</f>
        <v>0</v>
      </c>
      <c r="EF173" s="345">
        <f>_xlfn.IFNA((VLOOKUP($A173,HN!$A:$BS,15,FALSE)/12),0)</f>
        <v>0</v>
      </c>
      <c r="EG173" s="344">
        <f t="shared" si="221"/>
        <v>-328.17333333333335</v>
      </c>
      <c r="EH173" s="344">
        <f t="shared" si="222"/>
        <v>-600.6633333333333</v>
      </c>
      <c r="EI173" s="345"/>
      <c r="EJ173" s="345">
        <f>_xlfn.IFNA(VLOOKUP(A173,'Cash Advances'!A:P,16,FALSE),0)</f>
        <v>0</v>
      </c>
      <c r="EK173" s="345">
        <f>_xlfn.IFNA(VLOOKUP(A173,'LA Deductions'!A:AZ,25,FALSE),0)/9</f>
        <v>0</v>
      </c>
      <c r="EL173" s="344">
        <f t="shared" si="176"/>
        <v>75876.460948207881</v>
      </c>
      <c r="EM173" s="308">
        <f t="shared" si="223"/>
        <v>76805.297614874551</v>
      </c>
      <c r="EN173" s="308">
        <f>((VLOOKUP($A173,EY!$A:$BS,35,FALSE)-(VLOOKUP($A173,EY!$A:$BS,33,FALSE)*80%))+VLOOKUP($A173,EY!$A:$BS,43,FALSE))+(VLOOKUP(A173,EY!A:DF,110,FALSE)-VLOOKUP(A173,EY!A:DD,108,FALSE))+(VLOOKUP(A173,EY!A:CE,83,FALSE)-VLOOKUP(A173,EY!A:CC,81,FALSE))</f>
        <v>11031.300997229917</v>
      </c>
      <c r="EO173" s="309"/>
      <c r="EP173" s="309">
        <f>_xlfn.IFNA((VLOOKUP($A173,HN!$A:$K,8,FALSE)/12),0)+_xlfn.IFNA((VLOOKUP($A173,HN!$A:$AF,32,FALSE)*1/12),0)</f>
        <v>0</v>
      </c>
      <c r="EQ173" s="309">
        <f>_xlfn.IFNA((VLOOKUP($A173,HN!$A:$BS,14,FALSE)/12),0)+_xlfn.IFNA((VLOOKUP($A173,HN!$A:$BS,34,FALSE)/3),0)</f>
        <v>0</v>
      </c>
      <c r="ER173" s="309">
        <f>_xlfn.IFNA(VLOOKUP($A173,'Post 16'!$A:$AV,32,FALSE),0)/8</f>
        <v>0</v>
      </c>
      <c r="ES173" s="309">
        <f>((VLOOKUP($A173,EY!A:EV,33,FALSE)*80%))+VLOOKUP(A173,EY!A:DD,108,FALSE)+VLOOKUP(A173,EY!A:CC,81,FALSE)</f>
        <v>0</v>
      </c>
      <c r="ET173" s="309">
        <f>_xlfn.IFNA((VLOOKUP($A173,HN!$A:$K,9,FALSE)/12),0)+_xlfn.IFNA((VLOOKUP($A173,HN!$A:$K,10,FALSE)/12),0)+_xlfn.IFNA((VLOOKUP($A173,HN!$A:$BZ,33,FALSE)/12),0)</f>
        <v>0</v>
      </c>
      <c r="EU173" s="309">
        <f>_xlfn.IFNA((VLOOKUP($A173,HN!$A:$BS,15,FALSE)/12),0)</f>
        <v>0</v>
      </c>
      <c r="EV173" s="308">
        <f t="shared" si="224"/>
        <v>-328.17333333333335</v>
      </c>
      <c r="EW173" s="308">
        <f t="shared" si="225"/>
        <v>-600.6633333333333</v>
      </c>
      <c r="EX173" s="309"/>
      <c r="EY173" s="309">
        <f>_xlfn.IFNA(VLOOKUP($A173,'Cash Advances'!$A:$S,17,FALSE),0)</f>
        <v>0</v>
      </c>
      <c r="EZ173" s="309">
        <f>_xlfn.IFNA(VLOOKUP(A173,'LA Deductions'!A:AZ,25,FALSE),0)/9</f>
        <v>0</v>
      </c>
      <c r="FA173" s="308">
        <f t="shared" si="177"/>
        <v>86907.7619454378</v>
      </c>
      <c r="FB173" s="315">
        <f t="shared" si="226"/>
        <v>76805.297614874551</v>
      </c>
      <c r="FC173" s="315"/>
      <c r="FD173" s="316"/>
      <c r="FE173" s="316">
        <f>_xlfn.IFNA((VLOOKUP($A173,HN!$A:$K,8,FALSE)/12),0)+_xlfn.IFNA((VLOOKUP($A173,HN!$A:$AF,32,FALSE)*1/12),0)</f>
        <v>0</v>
      </c>
      <c r="FF173" s="316">
        <f>_xlfn.IFNA((VLOOKUP($A173,HN!$A:$BS,14,FALSE)/12),0)+_xlfn.IFNA((VLOOKUP($A173,HN!$A:$BS,34,FALSE)/3),0)</f>
        <v>0</v>
      </c>
      <c r="FG173" s="316">
        <f>_xlfn.IFNA(VLOOKUP($A173,'Post 16'!$A:$AV,32,FALSE),0)/8</f>
        <v>0</v>
      </c>
      <c r="FH173" s="316"/>
      <c r="FI173" s="316">
        <f>_xlfn.IFNA((VLOOKUP($A173,HN!$A:$K,9,FALSE)/12),0)+_xlfn.IFNA((VLOOKUP($A173,HN!$A:$K,10,FALSE)/12),0)+_xlfn.IFNA((VLOOKUP($A173,HN!$A:$BZ,33,FALSE)/12),0)+_xlfn.IFNA((VLOOKUP($A173,HN!$A:$BZ,35,FALSE)/2),0)</f>
        <v>0</v>
      </c>
      <c r="FJ173" s="316">
        <f>_xlfn.IFNA((VLOOKUP($A173,HN!$A:$BS,15,FALSE)/12),0)+_xlfn.IFNA((VLOOKUP($A173,HN!$A:$CZ,36,FALSE)/2),0)</f>
        <v>0</v>
      </c>
      <c r="FK173" s="315">
        <f t="shared" si="227"/>
        <v>-328.17333333333335</v>
      </c>
      <c r="FL173" s="315">
        <f t="shared" si="228"/>
        <v>-600.6633333333333</v>
      </c>
      <c r="FM173" s="316"/>
      <c r="FN173" s="316">
        <f>_xlfn.IFNA(VLOOKUP($A173,'Cash Advances'!$A:$S,18,FALSE),0)</f>
        <v>0</v>
      </c>
      <c r="FO173" s="316">
        <f>_xlfn.IFNA(VLOOKUP(A173,'LA Deductions'!A:AZ,25,FALSE),0)/9</f>
        <v>0</v>
      </c>
      <c r="FP173" s="315">
        <f t="shared" si="178"/>
        <v>75876.460948207881</v>
      </c>
      <c r="FQ173" s="322">
        <f t="shared" si="229"/>
        <v>76805.297614874551</v>
      </c>
      <c r="FR173" s="322"/>
      <c r="FS173" s="323"/>
      <c r="FT173" s="323">
        <f>_xlfn.IFNA((VLOOKUP($A173,HN!$A:$K,8,FALSE)/12),0)+_xlfn.IFNA((VLOOKUP($A173,HN!$A:$AF,32,FALSE)*1/12),0)</f>
        <v>0</v>
      </c>
      <c r="FU173" s="323">
        <f>_xlfn.IFNA((VLOOKUP($A173,HN!$A:$BS,14,FALSE)/12),0)+_xlfn.IFNA((VLOOKUP($A173,HN!$A:$BS,34,FALSE)/3),0)</f>
        <v>0</v>
      </c>
      <c r="FV173" s="323">
        <f>_xlfn.IFNA(VLOOKUP($A173,'Post 16'!$A:$AV,32,FALSE),0)/8</f>
        <v>0</v>
      </c>
      <c r="FW173" s="323"/>
      <c r="FX173" s="323">
        <f>_xlfn.IFNA((VLOOKUP($A173,HN!$A:$K,9,FALSE)/12),0)+_xlfn.IFNA((VLOOKUP($A173,HN!$A:$K,10,FALSE)/12),0)+_xlfn.IFNA((VLOOKUP($A173,HN!$A:$BZ,33,FALSE)/12),0)+_xlfn.IFNA((VLOOKUP($A173,HN!$A:$BZ,35,FALSE)/2),0)</f>
        <v>0</v>
      </c>
      <c r="FY173" s="323">
        <f>_xlfn.IFNA((VLOOKUP($A173,HN!$A:$BS,15,FALSE)/12),0)+_xlfn.IFNA((VLOOKUP($A173,HN!$A:$CZ,36,FALSE)/2),0)</f>
        <v>0</v>
      </c>
      <c r="FZ173" s="322">
        <f t="shared" si="230"/>
        <v>-328.17333333333335</v>
      </c>
      <c r="GA173" s="322">
        <f t="shared" si="231"/>
        <v>-600.6633333333333</v>
      </c>
      <c r="GB173" s="323"/>
      <c r="GC173" s="323"/>
      <c r="GD173" s="323">
        <f>_xlfn.IFNA(VLOOKUP(A173,'LA Deductions'!A:AZ,25,FALSE),0)/9</f>
        <v>0</v>
      </c>
      <c r="GE173" s="322">
        <f t="shared" si="179"/>
        <v>75876.460948207881</v>
      </c>
      <c r="GG173" s="146">
        <f t="shared" si="232"/>
        <v>947574.93237572454</v>
      </c>
      <c r="GH173" s="146">
        <f t="shared" si="232"/>
        <v>0</v>
      </c>
      <c r="GI173" s="146">
        <f t="shared" si="232"/>
        <v>0</v>
      </c>
      <c r="GJ173" s="146">
        <f t="shared" si="232"/>
        <v>-3938.0799999999995</v>
      </c>
      <c r="GK173" s="146">
        <f t="shared" si="232"/>
        <v>-7207.9599999999982</v>
      </c>
      <c r="GL173" s="146">
        <f t="shared" si="232"/>
        <v>-5139.75</v>
      </c>
      <c r="GN173" s="146">
        <f t="shared" si="233"/>
        <v>947574.93237572454</v>
      </c>
      <c r="GO173" s="146">
        <f t="shared" si="233"/>
        <v>0</v>
      </c>
      <c r="GP173" s="146">
        <f t="shared" si="233"/>
        <v>0</v>
      </c>
      <c r="GQ173" s="146">
        <f t="shared" si="233"/>
        <v>-3938.0799999999995</v>
      </c>
      <c r="GR173" s="146">
        <f t="shared" si="233"/>
        <v>-7207.9599999999982</v>
      </c>
      <c r="GS173" s="146">
        <f t="shared" si="233"/>
        <v>-5139.75</v>
      </c>
      <c r="GU173" s="146"/>
      <c r="GV173" s="57"/>
    </row>
    <row r="174" spans="1:204">
      <c r="A174" s="185">
        <v>2005</v>
      </c>
      <c r="B174" s="185">
        <v>134098</v>
      </c>
      <c r="C174" s="185" t="s">
        <v>390</v>
      </c>
      <c r="D174" s="2" t="s">
        <v>391</v>
      </c>
      <c r="E174" s="191" t="s">
        <v>32</v>
      </c>
      <c r="F174" s="191" t="s">
        <v>912</v>
      </c>
      <c r="H174" s="279">
        <f>_xlfn.IFNA(VLOOKUP($A174,ISB!$A$4:$BY$454,67,FALSE),0)</f>
        <v>3161174.8</v>
      </c>
      <c r="I174" s="279">
        <f>_xlfn.IFNA(VLOOKUP($A174,ISB!$A$4:$BY$454,72,FALSE),0)</f>
        <v>-16326.079999999998</v>
      </c>
      <c r="J174" s="279">
        <f>-_xlfn.IFNA(VLOOKUP($A174,ISB!$A$4:$BY$454,76,FALSE),0)</f>
        <v>-59344.800000000003</v>
      </c>
      <c r="K174" s="279">
        <f>_xlfn.IFNA(VLOOKUP($A174,ISB!$A$4:$BY$454,77,FALSE),0)</f>
        <v>3085503.92</v>
      </c>
      <c r="M174" s="301">
        <f t="shared" si="191"/>
        <v>263431.23333333334</v>
      </c>
      <c r="N174" s="301">
        <f>VLOOKUP($A174,EY!$A:$H,8,FALSE)+(VLOOKUP($A174,EY!$A:$BS,17,FALSE)-S174)+VLOOKUP($A174,EY!$A:$BS,41,FALSE)</f>
        <v>34271.469221052634</v>
      </c>
      <c r="O174" s="302"/>
      <c r="P174" s="302">
        <f>_xlfn.IFNA((VLOOKUP($A174,HN!$A:$K,8,FALSE)/12),0)</f>
        <v>0</v>
      </c>
      <c r="Q174" s="302">
        <f>_xlfn.IFNA((VLOOKUP($A174,HN!$A:$BS,14,FALSE)/12),0)</f>
        <v>500</v>
      </c>
      <c r="R174" s="302">
        <f>_xlfn.IFNA(VLOOKUP($A174,'Post 16'!$A:$V,21,FALSE),0)/4</f>
        <v>0</v>
      </c>
      <c r="S174" s="302">
        <f>VLOOKUP($A174,EY!A:Q,15,FALSE)*80%</f>
        <v>0</v>
      </c>
      <c r="T174" s="302">
        <f>_xlfn.IFNA((VLOOKUP($A174,HN!$A:$K,9,FALSE)/12),0)+_xlfn.IFNA((VLOOKUP($A174,HN!$A:$K,10,FALSE)/12),0)</f>
        <v>0</v>
      </c>
      <c r="U174" s="302">
        <f>_xlfn.IFNA((VLOOKUP($A174,HN!$A:$BS,15,FALSE)/12),0)</f>
        <v>2606.8325</v>
      </c>
      <c r="V174" s="301">
        <f t="shared" si="192"/>
        <v>-1360.5066666666664</v>
      </c>
      <c r="W174" s="301">
        <f t="shared" si="193"/>
        <v>-4945.4000000000005</v>
      </c>
      <c r="X174" s="302"/>
      <c r="Y174" s="302">
        <f>_xlfn.IFNA(VLOOKUP($A174,'Cash Advances'!$A:$S,8,FALSE),0)</f>
        <v>0</v>
      </c>
      <c r="Z174" s="301">
        <f t="shared" si="194"/>
        <v>294503.62838771933</v>
      </c>
      <c r="AA174" s="315">
        <f t="shared" si="195"/>
        <v>263431.23333333334</v>
      </c>
      <c r="AB174" s="315"/>
      <c r="AC174" s="316"/>
      <c r="AD174" s="316">
        <f>_xlfn.IFNA((VLOOKUP($A174,HN!$A:$K,8,FALSE)/12),0)</f>
        <v>0</v>
      </c>
      <c r="AE174" s="316">
        <f>_xlfn.IFNA((VLOOKUP($A174,HN!$A:$BS,14,FALSE)/12),0)</f>
        <v>500</v>
      </c>
      <c r="AF174" s="316">
        <f>_xlfn.IFNA(VLOOKUP($A174,'Post 16'!$A:$V,21,FALSE),0)/4</f>
        <v>0</v>
      </c>
      <c r="AG174" s="316"/>
      <c r="AH174" s="316">
        <f>_xlfn.IFNA((VLOOKUP($A174,HN!$A:$K,9,FALSE)/12),0)+_xlfn.IFNA((VLOOKUP($A174,HN!$A:$K,10,FALSE)/12),0)</f>
        <v>0</v>
      </c>
      <c r="AI174" s="316">
        <f>_xlfn.IFNA((VLOOKUP($A174,HN!$A:$BS,15,FALSE)/12),0)</f>
        <v>2606.8325</v>
      </c>
      <c r="AJ174" s="315">
        <f t="shared" si="196"/>
        <v>-1360.5066666666664</v>
      </c>
      <c r="AK174" s="315">
        <f t="shared" si="197"/>
        <v>-4945.4000000000005</v>
      </c>
      <c r="AL174" s="316"/>
      <c r="AM174" s="316">
        <f>_xlfn.IFNA(VLOOKUP($A174,'Cash Advances'!$A:$S,9,FALSE),0)</f>
        <v>0</v>
      </c>
      <c r="AN174" s="315">
        <f t="shared" si="198"/>
        <v>260232.15916666671</v>
      </c>
      <c r="AO174" s="308">
        <f t="shared" si="199"/>
        <v>263431.23333333334</v>
      </c>
      <c r="AP174" s="308"/>
      <c r="AQ174" s="309"/>
      <c r="AR174" s="309">
        <f>_xlfn.IFNA((VLOOKUP($A174,HN!$A:$K,8,FALSE)/12),0)</f>
        <v>0</v>
      </c>
      <c r="AS174" s="309">
        <f>_xlfn.IFNA((VLOOKUP($A174,HN!$A:$BS,14,FALSE)/12),0)</f>
        <v>500</v>
      </c>
      <c r="AT174" s="309">
        <f>_xlfn.IFNA(VLOOKUP($A174,'Post 16'!$A:$V,21,FALSE),0)/4</f>
        <v>0</v>
      </c>
      <c r="AU174" s="309"/>
      <c r="AV174" s="309">
        <f>_xlfn.IFNA((VLOOKUP($A174,HN!$A:$K,9,FALSE)/12),0)+_xlfn.IFNA((VLOOKUP($A174,HN!$A:$K,10,FALSE)/12),0)+_xlfn.IFNA(VLOOKUP(A174,HN!A:V,19,FALSE),0)+_xlfn.IFNA(VLOOKUP(A174,HN!A:V,20,FALSE),0)+_xlfn.IFNA(VLOOKUP(A174,HN!A:V,21,FALSE),0)</f>
        <v>0</v>
      </c>
      <c r="AW174" s="309">
        <f>_xlfn.IFNA((VLOOKUP($A174,HN!$A:$BS,15,FALSE)/12),0)</f>
        <v>2606.8325</v>
      </c>
      <c r="AX174" s="308">
        <f t="shared" si="200"/>
        <v>-1360.5066666666664</v>
      </c>
      <c r="AY174" s="308">
        <f t="shared" si="201"/>
        <v>-4945.4000000000005</v>
      </c>
      <c r="AZ174" s="309"/>
      <c r="BA174" s="309">
        <f>_xlfn.IFNA(VLOOKUP($A174,'Cash Advances'!$A:$S,10,FALSE),0)</f>
        <v>0</v>
      </c>
      <c r="BB174" s="308">
        <f t="shared" si="202"/>
        <v>260232.15916666671</v>
      </c>
      <c r="BC174" s="330">
        <f t="shared" si="203"/>
        <v>263431.23333333334</v>
      </c>
      <c r="BD174" s="330"/>
      <c r="BE174" s="331"/>
      <c r="BF174" s="331">
        <f>_xlfn.IFNA((VLOOKUP($A174,HN!$A:$K,8,FALSE)/12),0)</f>
        <v>0</v>
      </c>
      <c r="BG174" s="331">
        <f>_xlfn.IFNA((VLOOKUP($A174,HN!$A:$BS,14,FALSE)/12),0)</f>
        <v>500</v>
      </c>
      <c r="BH174" s="331">
        <f>_xlfn.IFNA(VLOOKUP($A174,'Post 16'!$A:$V,21,FALSE),0)/4</f>
        <v>0</v>
      </c>
      <c r="BI174" s="331"/>
      <c r="BJ174" s="331">
        <f>_xlfn.IFNA((VLOOKUP($A174,HN!$A:$K,9,FALSE)/12),0)+_xlfn.IFNA((VLOOKUP($A174,HN!$A:$K,10,FALSE)/12),0)</f>
        <v>0</v>
      </c>
      <c r="BK174" s="331">
        <f>_xlfn.IFNA((VLOOKUP($A174,HN!$A:$BS,15,FALSE)/12),0)</f>
        <v>2606.8325</v>
      </c>
      <c r="BL174" s="330">
        <f t="shared" si="204"/>
        <v>-1360.5066666666664</v>
      </c>
      <c r="BM174" s="330">
        <f t="shared" si="205"/>
        <v>-4945.4000000000005</v>
      </c>
      <c r="BN174" s="331"/>
      <c r="BO174" s="331">
        <f>_xlfn.IFNA(VLOOKUP(A174,'Cash Advances'!A:K,11,FALSE),0)</f>
        <v>0</v>
      </c>
      <c r="BP174" s="330">
        <f t="shared" si="206"/>
        <v>260232.15916666671</v>
      </c>
      <c r="BQ174" s="322">
        <f t="shared" si="207"/>
        <v>263431.23333333334</v>
      </c>
      <c r="BR174" s="322"/>
      <c r="BS174" s="323"/>
      <c r="BT174" s="323">
        <f>_xlfn.IFNA((VLOOKUP($A174,HN!$A:$K,8,FALSE)/12),0)</f>
        <v>0</v>
      </c>
      <c r="BU174" s="323">
        <f>_xlfn.IFNA((VLOOKUP($A174,HN!$A:$BS,14,FALSE)/12),0)</f>
        <v>500</v>
      </c>
      <c r="BV174" s="323">
        <f>(_xlfn.IFNA(VLOOKUP($A174,'Post 16'!$A:$AV,32,FALSE),0)/8)+_xlfn.IFNA(VLOOKUP($A174,'Post 16'!$A:$AR,40,FALSE),0)</f>
        <v>0</v>
      </c>
      <c r="BW174" s="323"/>
      <c r="BX174" s="323">
        <f>_xlfn.IFNA((VLOOKUP($A174,HN!$A:$K,9,FALSE)/12),0)+_xlfn.IFNA((VLOOKUP($A174,HN!$A:$K,10,FALSE)/12),0)</f>
        <v>0</v>
      </c>
      <c r="BY174" s="323">
        <f>_xlfn.IFNA((VLOOKUP($A174,HN!$A:$BS,15,FALSE)/12),0)</f>
        <v>2606.8325</v>
      </c>
      <c r="BZ174" s="322">
        <f t="shared" si="208"/>
        <v>-1360.5066666666664</v>
      </c>
      <c r="CA174" s="322">
        <f t="shared" si="209"/>
        <v>-4945.4000000000005</v>
      </c>
      <c r="CB174" s="323"/>
      <c r="CC174" s="323"/>
      <c r="CD174" s="322">
        <f t="shared" si="210"/>
        <v>260232.15916666671</v>
      </c>
      <c r="CE174" s="357">
        <f t="shared" si="211"/>
        <v>263431.23333333334</v>
      </c>
      <c r="CF174" s="357">
        <f>(VLOOKUP($A174,EY!$A:$BS,26,FALSE)-(VLOOKUP($A174,EY!A:CR,24,FALSE)*80%))+VLOOKUP($A174,EY!$A:$BS,42,FALSE)+(VLOOKUP($A174,EY!A:CC,74,FALSE)-VLOOKUP($A174,EY!A:CC,72,FALSE))</f>
        <v>52774.856105263148</v>
      </c>
      <c r="CG174" s="358"/>
      <c r="CH174" s="358">
        <f>_xlfn.IFNA((VLOOKUP($A174,HN!$A:$K,8,FALSE)/12),0)</f>
        <v>0</v>
      </c>
      <c r="CI174" s="358">
        <f>_xlfn.IFNA((VLOOKUP($A174,HN!$A:$BS,14,FALSE)/12),0)</f>
        <v>500</v>
      </c>
      <c r="CJ174" s="358">
        <f>(_xlfn.IFNA(VLOOKUP($A174,'Post 16'!$A:$AV,32,FALSE),0)/8)</f>
        <v>0</v>
      </c>
      <c r="CK174" s="358">
        <f>(VLOOKUP($A174,EY!A:CR,24,FALSE)*80%)+VLOOKUP($A174,EY!A:CC,72,FALSE)</f>
        <v>0</v>
      </c>
      <c r="CL174" s="358">
        <f>_xlfn.IFNA((VLOOKUP($A174,HN!$A:$K,9,FALSE)/12),0)+_xlfn.IFNA((VLOOKUP($A174,HN!$A:$K,10,FALSE)/12),0)</f>
        <v>0</v>
      </c>
      <c r="CM174" s="358">
        <f>_xlfn.IFNA((VLOOKUP($A174,HN!$A:$BS,15,FALSE)/12),0)</f>
        <v>2606.8325</v>
      </c>
      <c r="CN174" s="357">
        <f t="shared" si="212"/>
        <v>-1360.5066666666664</v>
      </c>
      <c r="CO174" s="357">
        <f t="shared" si="213"/>
        <v>-4945.4000000000005</v>
      </c>
      <c r="CP174" s="358">
        <f>_xlfn.IFNA(VLOOKUP(A174,'LA Deductions'!A:W,23,FALSE),0)</f>
        <v>-18745.650000000001</v>
      </c>
      <c r="CQ174" s="358">
        <f>_xlfn.IFNA(VLOOKUP($A174,'Cash Advances'!$A:$S,13,FALSE),0)</f>
        <v>0</v>
      </c>
      <c r="CR174" s="358">
        <f>_xlfn.IFNA(VLOOKUP(A174,'LA Deductions'!A:AZ,25,FALSE),0)/9*3</f>
        <v>0</v>
      </c>
      <c r="CS174" s="357">
        <f t="shared" si="173"/>
        <v>294261.36527192983</v>
      </c>
      <c r="CT174" s="337">
        <f t="shared" si="214"/>
        <v>263431.23333333334</v>
      </c>
      <c r="CU174" s="337"/>
      <c r="CV174" s="338">
        <f>_xlfn.IFNA(VLOOKUP(A174,'LA Deductions'!$A$6:$AN$207,34,FALSE),0)</f>
        <v>0</v>
      </c>
      <c r="CW174" s="338">
        <f>_xlfn.IFNA((VLOOKUP($A174,HN!$A:$K,8,FALSE)/12),0)</f>
        <v>0</v>
      </c>
      <c r="CX174" s="338">
        <f>_xlfn.IFNA((VLOOKUP($A174,HN!$A:$BS,14,FALSE)/12),0)</f>
        <v>500</v>
      </c>
      <c r="CY174" s="338">
        <f>_xlfn.IFNA(VLOOKUP($A174,'Post 16'!$A:$AV,32,FALSE),0)/8</f>
        <v>0</v>
      </c>
      <c r="CZ174" s="338"/>
      <c r="DA174" s="338">
        <f>_xlfn.IFNA((VLOOKUP($A174,HN!$A:$K,9,FALSE)/12),0)+_xlfn.IFNA((VLOOKUP($A174,HN!$A:$K,10,FALSE)/12),0)</f>
        <v>0</v>
      </c>
      <c r="DB174" s="338">
        <f>_xlfn.IFNA((VLOOKUP($A174,HN!$A:$BS,15,FALSE)/12),0)</f>
        <v>2606.8325</v>
      </c>
      <c r="DC174" s="337">
        <f t="shared" si="215"/>
        <v>-1360.5066666666664</v>
      </c>
      <c r="DD174" s="337">
        <f t="shared" si="216"/>
        <v>-4945.4000000000005</v>
      </c>
      <c r="DE174" s="338"/>
      <c r="DF174" s="338">
        <f>_xlfn.IFNA(VLOOKUP($A174,'Cash Advances'!$A:$S,14,FALSE),0)</f>
        <v>0</v>
      </c>
      <c r="DG174" s="338">
        <f>(_xlfn.IFNA(VLOOKUP(A174,'LA Deductions'!A:AZ,25,FALSE),0)/9)+(_xlfn.IFNA(VLOOKUP(A174,'LA Deductions'!A:AZ,26,FALSE),0))</f>
        <v>0</v>
      </c>
      <c r="DH174" s="337">
        <f t="shared" si="174"/>
        <v>260232.15916666671</v>
      </c>
      <c r="DI174" s="330">
        <f t="shared" si="217"/>
        <v>263431.23333333334</v>
      </c>
      <c r="DJ174" s="330"/>
      <c r="DK174" s="331"/>
      <c r="DL174" s="331">
        <f>_xlfn.IFNA((VLOOKUP($A174,HN!$A:$K,8,FALSE)/12),0)+_xlfn.IFNA((VLOOKUP($A174,HN!$A:$AF,32,FALSE)*8/12),0)</f>
        <v>0</v>
      </c>
      <c r="DM174" s="331">
        <f>_xlfn.IFNA((VLOOKUP($A174,HN!$A:$BS,14,FALSE)/12),0)+_xlfn.IFNA(VLOOKUP($A174,HN!$A:$BS,31,FALSE),0)</f>
        <v>500</v>
      </c>
      <c r="DN174" s="331">
        <f>_xlfn.IFNA(VLOOKUP($A174,'Post 16'!$A:$AV,32,FALSE),0)/8</f>
        <v>0</v>
      </c>
      <c r="DO174" s="331"/>
      <c r="DP174" s="331">
        <f>_xlfn.IFNA((VLOOKUP($A174,HN!$A:$K,9,FALSE)/12),0)+_xlfn.IFNA((VLOOKUP($A174,HN!$A:$K,10,FALSE)/12),0)+_xlfn.IFNA((VLOOKUP($A174,HN!$A:$BZ,33,FALSE)*8/12),0)</f>
        <v>0</v>
      </c>
      <c r="DQ174" s="331">
        <f>_xlfn.IFNA((VLOOKUP($A174,HN!$A:$BS,15,FALSE)/12),0)</f>
        <v>2606.8325</v>
      </c>
      <c r="DR174" s="330">
        <f t="shared" si="218"/>
        <v>-1360.5066666666664</v>
      </c>
      <c r="DS174" s="330">
        <f t="shared" si="219"/>
        <v>-4945.4000000000005</v>
      </c>
      <c r="DT174" s="331"/>
      <c r="DU174" s="331"/>
      <c r="DV174" s="331">
        <f>(_xlfn.IFNA(VLOOKUP(A174,'LA Deductions'!A:AZ,25,FALSE),0)/9)+_xlfn.IFNA(VLOOKUP(A174,'LA Deductions'!A:AZ,27,FALSE),0)</f>
        <v>0</v>
      </c>
      <c r="DW174" s="330">
        <f t="shared" si="175"/>
        <v>260232.15916666671</v>
      </c>
      <c r="DX174" s="344">
        <f t="shared" si="220"/>
        <v>263431.23333333334</v>
      </c>
      <c r="DY174" s="344"/>
      <c r="DZ174" s="345"/>
      <c r="EA174" s="345">
        <f>_xlfn.IFNA((VLOOKUP($A174,HN!$A:$K,8,FALSE)/12),0)+_xlfn.IFNA((VLOOKUP($A174,HN!$A:$AF,32,FALSE)*1/12),0)</f>
        <v>0</v>
      </c>
      <c r="EB174" s="345">
        <f>_xlfn.IFNA((VLOOKUP($A174,HN!$A:$BS,14,FALSE)/12),0)</f>
        <v>500</v>
      </c>
      <c r="EC174" s="345">
        <f>_xlfn.IFNA(VLOOKUP($A174,'Post 16'!$A:$AV,32,FALSE),0)/8</f>
        <v>0</v>
      </c>
      <c r="ED174" s="345"/>
      <c r="EE174" s="345">
        <f>_xlfn.IFNA((VLOOKUP($A174,HN!$A:$K,9,FALSE)/12),0)+_xlfn.IFNA((VLOOKUP($A174,HN!$A:$K,10,FALSE)/12),0)+_xlfn.IFNA((VLOOKUP($A174,HN!$A:$BZ,33,FALSE)/12),0)</f>
        <v>0</v>
      </c>
      <c r="EF174" s="345">
        <f>_xlfn.IFNA((VLOOKUP($A174,HN!$A:$BS,15,FALSE)/12),0)</f>
        <v>2606.8325</v>
      </c>
      <c r="EG174" s="344">
        <f t="shared" si="221"/>
        <v>-1360.5066666666664</v>
      </c>
      <c r="EH174" s="344">
        <f t="shared" si="222"/>
        <v>-4945.4000000000005</v>
      </c>
      <c r="EI174" s="345"/>
      <c r="EJ174" s="345">
        <f>_xlfn.IFNA(VLOOKUP(A174,'Cash Advances'!A:P,16,FALSE),0)</f>
        <v>0</v>
      </c>
      <c r="EK174" s="345">
        <f>_xlfn.IFNA(VLOOKUP(A174,'LA Deductions'!A:AZ,25,FALSE),0)/9</f>
        <v>0</v>
      </c>
      <c r="EL174" s="344">
        <f t="shared" si="176"/>
        <v>260232.15916666671</v>
      </c>
      <c r="EM174" s="308">
        <f t="shared" si="223"/>
        <v>263431.23333333334</v>
      </c>
      <c r="EN174" s="308">
        <f>((VLOOKUP($A174,EY!$A:$BS,35,FALSE)-(VLOOKUP($A174,EY!$A:$BS,33,FALSE)*80%))+VLOOKUP($A174,EY!$A:$BS,43,FALSE))+(VLOOKUP(A174,EY!A:DF,110,FALSE)-VLOOKUP(A174,EY!A:DD,108,FALSE))+(VLOOKUP(A174,EY!A:CE,83,FALSE)-VLOOKUP(A174,EY!A:CC,81,FALSE))</f>
        <v>18780.902154016621</v>
      </c>
      <c r="EO174" s="309"/>
      <c r="EP174" s="309">
        <f>_xlfn.IFNA((VLOOKUP($A174,HN!$A:$K,8,FALSE)/12),0)+_xlfn.IFNA((VLOOKUP($A174,HN!$A:$AF,32,FALSE)*1/12),0)</f>
        <v>0</v>
      </c>
      <c r="EQ174" s="309">
        <f>_xlfn.IFNA((VLOOKUP($A174,HN!$A:$BS,14,FALSE)/12),0)+_xlfn.IFNA((VLOOKUP($A174,HN!$A:$BS,34,FALSE)/3),0)</f>
        <v>500</v>
      </c>
      <c r="ER174" s="309">
        <f>_xlfn.IFNA(VLOOKUP($A174,'Post 16'!$A:$AV,32,FALSE),0)/8</f>
        <v>0</v>
      </c>
      <c r="ES174" s="309">
        <f>((VLOOKUP($A174,EY!A:EV,33,FALSE)*80%))+VLOOKUP(A174,EY!A:DD,108,FALSE)+VLOOKUP(A174,EY!A:CC,81,FALSE)</f>
        <v>0</v>
      </c>
      <c r="ET174" s="309">
        <f>_xlfn.IFNA((VLOOKUP($A174,HN!$A:$K,9,FALSE)/12),0)+_xlfn.IFNA((VLOOKUP($A174,HN!$A:$K,10,FALSE)/12),0)+_xlfn.IFNA((VLOOKUP($A174,HN!$A:$BZ,33,FALSE)/12),0)</f>
        <v>0</v>
      </c>
      <c r="EU174" s="309">
        <f>_xlfn.IFNA((VLOOKUP($A174,HN!$A:$BS,15,FALSE)/12),0)</f>
        <v>2606.8325</v>
      </c>
      <c r="EV174" s="308">
        <f t="shared" si="224"/>
        <v>-1360.5066666666664</v>
      </c>
      <c r="EW174" s="308">
        <f t="shared" si="225"/>
        <v>-4945.4000000000005</v>
      </c>
      <c r="EX174" s="309"/>
      <c r="EY174" s="309">
        <f>_xlfn.IFNA(VLOOKUP($A174,'Cash Advances'!$A:$S,17,FALSE),0)</f>
        <v>0</v>
      </c>
      <c r="EZ174" s="309">
        <f>_xlfn.IFNA(VLOOKUP(A174,'LA Deductions'!A:AZ,25,FALSE),0)/9</f>
        <v>0</v>
      </c>
      <c r="FA174" s="308">
        <f t="shared" si="177"/>
        <v>279013.06132068328</v>
      </c>
      <c r="FB174" s="315">
        <f t="shared" si="226"/>
        <v>263431.23333333334</v>
      </c>
      <c r="FC174" s="315"/>
      <c r="FD174" s="316"/>
      <c r="FE174" s="316">
        <f>_xlfn.IFNA((VLOOKUP($A174,HN!$A:$K,8,FALSE)/12),0)+_xlfn.IFNA((VLOOKUP($A174,HN!$A:$AF,32,FALSE)*1/12),0)</f>
        <v>0</v>
      </c>
      <c r="FF174" s="316">
        <f>_xlfn.IFNA((VLOOKUP($A174,HN!$A:$BS,14,FALSE)/12),0)+_xlfn.IFNA((VLOOKUP($A174,HN!$A:$BS,34,FALSE)/3),0)</f>
        <v>500</v>
      </c>
      <c r="FG174" s="316">
        <f>_xlfn.IFNA(VLOOKUP($A174,'Post 16'!$A:$AV,32,FALSE),0)/8</f>
        <v>0</v>
      </c>
      <c r="FH174" s="316"/>
      <c r="FI174" s="316">
        <f>_xlfn.IFNA((VLOOKUP($A174,HN!$A:$K,9,FALSE)/12),0)+_xlfn.IFNA((VLOOKUP($A174,HN!$A:$K,10,FALSE)/12),0)+_xlfn.IFNA((VLOOKUP($A174,HN!$A:$BZ,33,FALSE)/12),0)+_xlfn.IFNA((VLOOKUP($A174,HN!$A:$BZ,35,FALSE)/2),0)</f>
        <v>0</v>
      </c>
      <c r="FJ174" s="316">
        <f>_xlfn.IFNA((VLOOKUP($A174,HN!$A:$BS,15,FALSE)/12),0)+_xlfn.IFNA((VLOOKUP($A174,HN!$A:$CZ,36,FALSE)/2),0)</f>
        <v>-2066.8825000000002</v>
      </c>
      <c r="FK174" s="315">
        <f t="shared" si="227"/>
        <v>-1360.5066666666664</v>
      </c>
      <c r="FL174" s="315">
        <f t="shared" si="228"/>
        <v>-4945.4000000000005</v>
      </c>
      <c r="FM174" s="316"/>
      <c r="FN174" s="316">
        <f>_xlfn.IFNA(VLOOKUP($A174,'Cash Advances'!$A:$S,18,FALSE),0)</f>
        <v>0</v>
      </c>
      <c r="FO174" s="316">
        <f>_xlfn.IFNA(VLOOKUP(A174,'LA Deductions'!A:AZ,25,FALSE),0)/9</f>
        <v>0</v>
      </c>
      <c r="FP174" s="315">
        <f t="shared" si="178"/>
        <v>255558.44416666668</v>
      </c>
      <c r="FQ174" s="322">
        <f t="shared" si="229"/>
        <v>263431.23333333334</v>
      </c>
      <c r="FR174" s="322"/>
      <c r="FS174" s="323"/>
      <c r="FT174" s="323">
        <f>_xlfn.IFNA((VLOOKUP($A174,HN!$A:$K,8,FALSE)/12),0)+_xlfn.IFNA((VLOOKUP($A174,HN!$A:$AF,32,FALSE)*1/12),0)</f>
        <v>0</v>
      </c>
      <c r="FU174" s="323">
        <f>_xlfn.IFNA((VLOOKUP($A174,HN!$A:$BS,14,FALSE)/12),0)+_xlfn.IFNA((VLOOKUP($A174,HN!$A:$BS,34,FALSE)/3),0)</f>
        <v>500</v>
      </c>
      <c r="FV174" s="323">
        <f>_xlfn.IFNA(VLOOKUP($A174,'Post 16'!$A:$AV,32,FALSE),0)/8</f>
        <v>0</v>
      </c>
      <c r="FW174" s="323"/>
      <c r="FX174" s="323">
        <f>_xlfn.IFNA((VLOOKUP($A174,HN!$A:$K,9,FALSE)/12),0)+_xlfn.IFNA((VLOOKUP($A174,HN!$A:$K,10,FALSE)/12),0)+_xlfn.IFNA((VLOOKUP($A174,HN!$A:$BZ,33,FALSE)/12),0)+_xlfn.IFNA((VLOOKUP($A174,HN!$A:$BZ,35,FALSE)/2),0)</f>
        <v>0</v>
      </c>
      <c r="FY174" s="323">
        <f>_xlfn.IFNA((VLOOKUP($A174,HN!$A:$BS,15,FALSE)/12),0)+_xlfn.IFNA((VLOOKUP($A174,HN!$A:$CZ,36,FALSE)/2),0)</f>
        <v>-2066.8825000000002</v>
      </c>
      <c r="FZ174" s="322">
        <f t="shared" si="230"/>
        <v>-1360.5066666666664</v>
      </c>
      <c r="GA174" s="322">
        <f t="shared" si="231"/>
        <v>-4945.4000000000005</v>
      </c>
      <c r="GB174" s="323"/>
      <c r="GC174" s="323"/>
      <c r="GD174" s="323">
        <f>_xlfn.IFNA(VLOOKUP(A174,'LA Deductions'!A:AZ,25,FALSE),0)/9</f>
        <v>0</v>
      </c>
      <c r="GE174" s="322">
        <f t="shared" si="179"/>
        <v>255558.44416666668</v>
      </c>
      <c r="GG174" s="146">
        <f t="shared" si="232"/>
        <v>3273002.0274803331</v>
      </c>
      <c r="GH174" s="146">
        <f t="shared" si="232"/>
        <v>0</v>
      </c>
      <c r="GI174" s="146">
        <f t="shared" si="232"/>
        <v>21934.560000000001</v>
      </c>
      <c r="GJ174" s="146">
        <f t="shared" si="232"/>
        <v>-16326.079999999996</v>
      </c>
      <c r="GK174" s="146">
        <f t="shared" si="232"/>
        <v>-59344.80000000001</v>
      </c>
      <c r="GL174" s="146">
        <f t="shared" si="232"/>
        <v>-18745.650000000001</v>
      </c>
      <c r="GN174" s="146">
        <f t="shared" si="233"/>
        <v>3273002.0274803331</v>
      </c>
      <c r="GO174" s="146">
        <f t="shared" si="233"/>
        <v>0</v>
      </c>
      <c r="GP174" s="146">
        <f t="shared" si="233"/>
        <v>21934.560000000001</v>
      </c>
      <c r="GQ174" s="146">
        <f t="shared" si="233"/>
        <v>-16326.079999999996</v>
      </c>
      <c r="GR174" s="146">
        <f t="shared" si="233"/>
        <v>-59344.80000000001</v>
      </c>
      <c r="GS174" s="146">
        <f t="shared" si="233"/>
        <v>-18745.650000000001</v>
      </c>
      <c r="GU174" s="146"/>
      <c r="GV174" s="57"/>
    </row>
    <row r="175" spans="1:204">
      <c r="A175" s="185">
        <v>2189</v>
      </c>
      <c r="B175" s="185">
        <v>103265</v>
      </c>
      <c r="C175" s="185" t="s">
        <v>358</v>
      </c>
      <c r="D175" s="2" t="s">
        <v>359</v>
      </c>
      <c r="E175" s="191" t="s">
        <v>32</v>
      </c>
      <c r="F175" s="191" t="s">
        <v>912</v>
      </c>
      <c r="H175" s="279">
        <f>_xlfn.IFNA(VLOOKUP($A175,ISB!$A$4:$BY$454,67,FALSE),0)</f>
        <v>1463753.4769655175</v>
      </c>
      <c r="I175" s="279">
        <f>_xlfn.IFNA(VLOOKUP($A175,ISB!$A$4:$BY$454,72,FALSE),0)</f>
        <v>-5737.5999999999995</v>
      </c>
      <c r="J175" s="279">
        <f>-_xlfn.IFNA(VLOOKUP($A175,ISB!$A$4:$BY$454,76,FALSE),0)</f>
        <v>-31534.81</v>
      </c>
      <c r="K175" s="279">
        <f>_xlfn.IFNA(VLOOKUP($A175,ISB!$A$4:$BY$454,77,FALSE),0)</f>
        <v>1426481.0669655174</v>
      </c>
      <c r="M175" s="301">
        <f t="shared" si="191"/>
        <v>121979.45641379313</v>
      </c>
      <c r="N175" s="301">
        <f>VLOOKUP($A175,EY!$A:$H,8,FALSE)+(VLOOKUP($A175,EY!$A:$BS,17,FALSE)-S175)+VLOOKUP($A175,EY!$A:$BS,41,FALSE)</f>
        <v>19758.960000000003</v>
      </c>
      <c r="O175" s="302"/>
      <c r="P175" s="302">
        <f>_xlfn.IFNA((VLOOKUP($A175,HN!$A:$K,8,FALSE)/12),0)</f>
        <v>0</v>
      </c>
      <c r="Q175" s="302">
        <f>_xlfn.IFNA((VLOOKUP($A175,HN!$A:$BS,14,FALSE)/12),0)</f>
        <v>0</v>
      </c>
      <c r="R175" s="302">
        <f>_xlfn.IFNA(VLOOKUP($A175,'Post 16'!$A:$V,21,FALSE),0)/4</f>
        <v>0</v>
      </c>
      <c r="S175" s="302">
        <f>VLOOKUP($A175,EY!A:Q,15,FALSE)*80%</f>
        <v>0</v>
      </c>
      <c r="T175" s="302">
        <f>_xlfn.IFNA((VLOOKUP($A175,HN!$A:$K,9,FALSE)/12),0)+_xlfn.IFNA((VLOOKUP($A175,HN!$A:$K,10,FALSE)/12),0)</f>
        <v>0</v>
      </c>
      <c r="U175" s="302">
        <f>_xlfn.IFNA((VLOOKUP($A175,HN!$A:$BS,15,FALSE)/12),0)</f>
        <v>0</v>
      </c>
      <c r="V175" s="301">
        <f t="shared" si="192"/>
        <v>-478.13333333333327</v>
      </c>
      <c r="W175" s="301">
        <f t="shared" si="193"/>
        <v>-2627.9008333333336</v>
      </c>
      <c r="X175" s="302"/>
      <c r="Y175" s="302">
        <f>_xlfn.IFNA(VLOOKUP($A175,'Cash Advances'!$A:$S,8,FALSE),0)</f>
        <v>0</v>
      </c>
      <c r="Z175" s="301">
        <f t="shared" si="194"/>
        <v>138632.38224712646</v>
      </c>
      <c r="AA175" s="315">
        <f t="shared" si="195"/>
        <v>121979.45641379313</v>
      </c>
      <c r="AB175" s="315"/>
      <c r="AC175" s="316"/>
      <c r="AD175" s="316">
        <f>_xlfn.IFNA((VLOOKUP($A175,HN!$A:$K,8,FALSE)/12),0)</f>
        <v>0</v>
      </c>
      <c r="AE175" s="316">
        <f>_xlfn.IFNA((VLOOKUP($A175,HN!$A:$BS,14,FALSE)/12),0)</f>
        <v>0</v>
      </c>
      <c r="AF175" s="316">
        <f>_xlfn.IFNA(VLOOKUP($A175,'Post 16'!$A:$V,21,FALSE),0)/4</f>
        <v>0</v>
      </c>
      <c r="AG175" s="316"/>
      <c r="AH175" s="316">
        <f>_xlfn.IFNA((VLOOKUP($A175,HN!$A:$K,9,FALSE)/12),0)+_xlfn.IFNA((VLOOKUP($A175,HN!$A:$K,10,FALSE)/12),0)</f>
        <v>0</v>
      </c>
      <c r="AI175" s="316">
        <f>_xlfn.IFNA((VLOOKUP($A175,HN!$A:$BS,15,FALSE)/12),0)</f>
        <v>0</v>
      </c>
      <c r="AJ175" s="315">
        <f t="shared" si="196"/>
        <v>-478.13333333333327</v>
      </c>
      <c r="AK175" s="315">
        <f t="shared" si="197"/>
        <v>-2627.9008333333336</v>
      </c>
      <c r="AL175" s="316"/>
      <c r="AM175" s="316">
        <f>_xlfn.IFNA(VLOOKUP($A175,'Cash Advances'!$A:$S,9,FALSE),0)</f>
        <v>0</v>
      </c>
      <c r="AN175" s="315">
        <f t="shared" si="198"/>
        <v>118873.42224712647</v>
      </c>
      <c r="AO175" s="308">
        <f t="shared" si="199"/>
        <v>121979.45641379313</v>
      </c>
      <c r="AP175" s="308"/>
      <c r="AQ175" s="309"/>
      <c r="AR175" s="309">
        <f>_xlfn.IFNA((VLOOKUP($A175,HN!$A:$K,8,FALSE)/12),0)</f>
        <v>0</v>
      </c>
      <c r="AS175" s="309">
        <f>_xlfn.IFNA((VLOOKUP($A175,HN!$A:$BS,14,FALSE)/12),0)</f>
        <v>0</v>
      </c>
      <c r="AT175" s="309">
        <f>_xlfn.IFNA(VLOOKUP($A175,'Post 16'!$A:$V,21,FALSE),0)/4</f>
        <v>0</v>
      </c>
      <c r="AU175" s="309"/>
      <c r="AV175" s="309">
        <f>_xlfn.IFNA((VLOOKUP($A175,HN!$A:$K,9,FALSE)/12),0)+_xlfn.IFNA((VLOOKUP($A175,HN!$A:$K,10,FALSE)/12),0)+_xlfn.IFNA(VLOOKUP(A175,HN!A:V,19,FALSE),0)+_xlfn.IFNA(VLOOKUP(A175,HN!A:V,20,FALSE),0)+_xlfn.IFNA(VLOOKUP(A175,HN!A:V,21,FALSE),0)</f>
        <v>0</v>
      </c>
      <c r="AW175" s="309">
        <f>_xlfn.IFNA((VLOOKUP($A175,HN!$A:$BS,15,FALSE)/12),0)</f>
        <v>0</v>
      </c>
      <c r="AX175" s="308">
        <f t="shared" si="200"/>
        <v>-478.13333333333327</v>
      </c>
      <c r="AY175" s="308">
        <f t="shared" si="201"/>
        <v>-2627.9008333333336</v>
      </c>
      <c r="AZ175" s="309"/>
      <c r="BA175" s="309">
        <f>_xlfn.IFNA(VLOOKUP($A175,'Cash Advances'!$A:$S,10,FALSE),0)</f>
        <v>0</v>
      </c>
      <c r="BB175" s="308">
        <f t="shared" si="202"/>
        <v>118873.42224712647</v>
      </c>
      <c r="BC175" s="330">
        <f t="shared" si="203"/>
        <v>121979.45641379313</v>
      </c>
      <c r="BD175" s="330"/>
      <c r="BE175" s="331"/>
      <c r="BF175" s="331">
        <f>_xlfn.IFNA((VLOOKUP($A175,HN!$A:$K,8,FALSE)/12),0)</f>
        <v>0</v>
      </c>
      <c r="BG175" s="331">
        <f>_xlfn.IFNA((VLOOKUP($A175,HN!$A:$BS,14,FALSE)/12),0)</f>
        <v>0</v>
      </c>
      <c r="BH175" s="331">
        <f>_xlfn.IFNA(VLOOKUP($A175,'Post 16'!$A:$V,21,FALSE),0)/4</f>
        <v>0</v>
      </c>
      <c r="BI175" s="331"/>
      <c r="BJ175" s="331">
        <f>_xlfn.IFNA((VLOOKUP($A175,HN!$A:$K,9,FALSE)/12),0)+_xlfn.IFNA((VLOOKUP($A175,HN!$A:$K,10,FALSE)/12),0)</f>
        <v>0</v>
      </c>
      <c r="BK175" s="331">
        <f>_xlfn.IFNA((VLOOKUP($A175,HN!$A:$BS,15,FALSE)/12),0)</f>
        <v>0</v>
      </c>
      <c r="BL175" s="330">
        <f t="shared" si="204"/>
        <v>-478.13333333333327</v>
      </c>
      <c r="BM175" s="330">
        <f t="shared" si="205"/>
        <v>-2627.9008333333336</v>
      </c>
      <c r="BN175" s="331"/>
      <c r="BO175" s="331">
        <f>_xlfn.IFNA(VLOOKUP(A175,'Cash Advances'!A:K,11,FALSE),0)</f>
        <v>0</v>
      </c>
      <c r="BP175" s="330">
        <f t="shared" si="206"/>
        <v>118873.42224712647</v>
      </c>
      <c r="BQ175" s="322">
        <f t="shared" si="207"/>
        <v>121979.45641379313</v>
      </c>
      <c r="BR175" s="322"/>
      <c r="BS175" s="323"/>
      <c r="BT175" s="323">
        <f>_xlfn.IFNA((VLOOKUP($A175,HN!$A:$K,8,FALSE)/12),0)</f>
        <v>0</v>
      </c>
      <c r="BU175" s="323">
        <f>_xlfn.IFNA((VLOOKUP($A175,HN!$A:$BS,14,FALSE)/12),0)</f>
        <v>0</v>
      </c>
      <c r="BV175" s="323">
        <f>(_xlfn.IFNA(VLOOKUP($A175,'Post 16'!$A:$AV,32,FALSE),0)/8)+_xlfn.IFNA(VLOOKUP($A175,'Post 16'!$A:$AR,40,FALSE),0)</f>
        <v>0</v>
      </c>
      <c r="BW175" s="323"/>
      <c r="BX175" s="323">
        <f>_xlfn.IFNA((VLOOKUP($A175,HN!$A:$K,9,FALSE)/12),0)+_xlfn.IFNA((VLOOKUP($A175,HN!$A:$K,10,FALSE)/12),0)</f>
        <v>0</v>
      </c>
      <c r="BY175" s="323">
        <f>_xlfn.IFNA((VLOOKUP($A175,HN!$A:$BS,15,FALSE)/12),0)</f>
        <v>0</v>
      </c>
      <c r="BZ175" s="322">
        <f t="shared" si="208"/>
        <v>-478.13333333333327</v>
      </c>
      <c r="CA175" s="322">
        <f t="shared" si="209"/>
        <v>-2627.9008333333336</v>
      </c>
      <c r="CB175" s="323"/>
      <c r="CC175" s="323"/>
      <c r="CD175" s="322">
        <f t="shared" si="210"/>
        <v>118873.42224712647</v>
      </c>
      <c r="CE175" s="357">
        <f t="shared" si="211"/>
        <v>121979.45641379313</v>
      </c>
      <c r="CF175" s="357">
        <f>(VLOOKUP($A175,EY!$A:$BS,26,FALSE)-(VLOOKUP($A175,EY!A:CR,24,FALSE)*80%))+VLOOKUP($A175,EY!$A:$BS,42,FALSE)+(VLOOKUP($A175,EY!A:CC,74,FALSE)-VLOOKUP($A175,EY!A:CC,72,FALSE))</f>
        <v>35260.66631578948</v>
      </c>
      <c r="CG175" s="358"/>
      <c r="CH175" s="358">
        <f>_xlfn.IFNA((VLOOKUP($A175,HN!$A:$K,8,FALSE)/12),0)</f>
        <v>0</v>
      </c>
      <c r="CI175" s="358">
        <f>_xlfn.IFNA((VLOOKUP($A175,HN!$A:$BS,14,FALSE)/12),0)</f>
        <v>0</v>
      </c>
      <c r="CJ175" s="358">
        <f>(_xlfn.IFNA(VLOOKUP($A175,'Post 16'!$A:$AV,32,FALSE),0)/8)</f>
        <v>0</v>
      </c>
      <c r="CK175" s="358">
        <f>(VLOOKUP($A175,EY!A:CR,24,FALSE)*80%)+VLOOKUP($A175,EY!A:CC,72,FALSE)</f>
        <v>0</v>
      </c>
      <c r="CL175" s="358">
        <f>_xlfn.IFNA((VLOOKUP($A175,HN!$A:$K,9,FALSE)/12),0)+_xlfn.IFNA((VLOOKUP($A175,HN!$A:$K,10,FALSE)/12),0)</f>
        <v>0</v>
      </c>
      <c r="CM175" s="358">
        <f>_xlfn.IFNA((VLOOKUP($A175,HN!$A:$BS,15,FALSE)/12),0)</f>
        <v>0</v>
      </c>
      <c r="CN175" s="357">
        <f t="shared" si="212"/>
        <v>-478.13333333333327</v>
      </c>
      <c r="CO175" s="357">
        <f t="shared" si="213"/>
        <v>-2627.9008333333336</v>
      </c>
      <c r="CP175" s="358">
        <f>_xlfn.IFNA(VLOOKUP(A175,'LA Deductions'!A:W,23,FALSE),0)</f>
        <v>-5139.75</v>
      </c>
      <c r="CQ175" s="358">
        <f>_xlfn.IFNA(VLOOKUP($A175,'Cash Advances'!$A:$S,13,FALSE),0)</f>
        <v>0</v>
      </c>
      <c r="CR175" s="358">
        <f>_xlfn.IFNA(VLOOKUP(A175,'LA Deductions'!A:AZ,25,FALSE),0)/9*3</f>
        <v>0</v>
      </c>
      <c r="CS175" s="357">
        <f t="shared" si="173"/>
        <v>148994.33856291592</v>
      </c>
      <c r="CT175" s="337">
        <f t="shared" si="214"/>
        <v>121979.45641379313</v>
      </c>
      <c r="CU175" s="337"/>
      <c r="CV175" s="338">
        <f>_xlfn.IFNA(VLOOKUP(A175,'LA Deductions'!$A$6:$AN$207,34,FALSE),0)</f>
        <v>0</v>
      </c>
      <c r="CW175" s="338">
        <f>_xlfn.IFNA((VLOOKUP($A175,HN!$A:$K,8,FALSE)/12),0)</f>
        <v>0</v>
      </c>
      <c r="CX175" s="338">
        <f>_xlfn.IFNA((VLOOKUP($A175,HN!$A:$BS,14,FALSE)/12),0)</f>
        <v>0</v>
      </c>
      <c r="CY175" s="338">
        <f>_xlfn.IFNA(VLOOKUP($A175,'Post 16'!$A:$AV,32,FALSE),0)/8</f>
        <v>0</v>
      </c>
      <c r="CZ175" s="338"/>
      <c r="DA175" s="338">
        <f>_xlfn.IFNA((VLOOKUP($A175,HN!$A:$K,9,FALSE)/12),0)+_xlfn.IFNA((VLOOKUP($A175,HN!$A:$K,10,FALSE)/12),0)</f>
        <v>0</v>
      </c>
      <c r="DB175" s="338">
        <f>_xlfn.IFNA((VLOOKUP($A175,HN!$A:$BS,15,FALSE)/12),0)</f>
        <v>0</v>
      </c>
      <c r="DC175" s="337">
        <f t="shared" si="215"/>
        <v>-478.13333333333327</v>
      </c>
      <c r="DD175" s="337">
        <f t="shared" si="216"/>
        <v>-2627.9008333333336</v>
      </c>
      <c r="DE175" s="338"/>
      <c r="DF175" s="338">
        <f>_xlfn.IFNA(VLOOKUP($A175,'Cash Advances'!$A:$S,14,FALSE),0)</f>
        <v>0</v>
      </c>
      <c r="DG175" s="338">
        <f>(_xlfn.IFNA(VLOOKUP(A175,'LA Deductions'!A:AZ,25,FALSE),0)/9)+(_xlfn.IFNA(VLOOKUP(A175,'LA Deductions'!A:AZ,26,FALSE),0))</f>
        <v>0</v>
      </c>
      <c r="DH175" s="337">
        <f t="shared" si="174"/>
        <v>118873.42224712647</v>
      </c>
      <c r="DI175" s="330">
        <f t="shared" si="217"/>
        <v>121979.45641379313</v>
      </c>
      <c r="DJ175" s="330"/>
      <c r="DK175" s="331"/>
      <c r="DL175" s="331">
        <f>_xlfn.IFNA((VLOOKUP($A175,HN!$A:$K,8,FALSE)/12),0)+_xlfn.IFNA((VLOOKUP($A175,HN!$A:$AF,32,FALSE)*8/12),0)</f>
        <v>0</v>
      </c>
      <c r="DM175" s="331">
        <f>_xlfn.IFNA((VLOOKUP($A175,HN!$A:$BS,14,FALSE)/12),0)+_xlfn.IFNA(VLOOKUP($A175,HN!$A:$BS,31,FALSE),0)</f>
        <v>0</v>
      </c>
      <c r="DN175" s="331">
        <f>_xlfn.IFNA(VLOOKUP($A175,'Post 16'!$A:$AV,32,FALSE),0)/8</f>
        <v>0</v>
      </c>
      <c r="DO175" s="331"/>
      <c r="DP175" s="331">
        <f>_xlfn.IFNA((VLOOKUP($A175,HN!$A:$K,9,FALSE)/12),0)+_xlfn.IFNA((VLOOKUP($A175,HN!$A:$K,10,FALSE)/12),0)+_xlfn.IFNA((VLOOKUP($A175,HN!$A:$BZ,33,FALSE)*8/12),0)</f>
        <v>0</v>
      </c>
      <c r="DQ175" s="331">
        <f>_xlfn.IFNA((VLOOKUP($A175,HN!$A:$BS,15,FALSE)/12),0)</f>
        <v>0</v>
      </c>
      <c r="DR175" s="330">
        <f t="shared" si="218"/>
        <v>-478.13333333333327</v>
      </c>
      <c r="DS175" s="330">
        <f t="shared" si="219"/>
        <v>-2627.9008333333336</v>
      </c>
      <c r="DT175" s="331"/>
      <c r="DU175" s="331"/>
      <c r="DV175" s="331">
        <f>(_xlfn.IFNA(VLOOKUP(A175,'LA Deductions'!A:AZ,25,FALSE),0)/9)+_xlfn.IFNA(VLOOKUP(A175,'LA Deductions'!A:AZ,27,FALSE),0)</f>
        <v>0</v>
      </c>
      <c r="DW175" s="330">
        <f t="shared" si="175"/>
        <v>118873.42224712647</v>
      </c>
      <c r="DX175" s="344">
        <f t="shared" si="220"/>
        <v>121979.45641379313</v>
      </c>
      <c r="DY175" s="344"/>
      <c r="DZ175" s="345"/>
      <c r="EA175" s="345">
        <f>_xlfn.IFNA((VLOOKUP($A175,HN!$A:$K,8,FALSE)/12),0)+_xlfn.IFNA((VLOOKUP($A175,HN!$A:$AF,32,FALSE)*1/12),0)</f>
        <v>0</v>
      </c>
      <c r="EB175" s="345">
        <f>_xlfn.IFNA((VLOOKUP($A175,HN!$A:$BS,14,FALSE)/12),0)</f>
        <v>0</v>
      </c>
      <c r="EC175" s="345">
        <f>_xlfn.IFNA(VLOOKUP($A175,'Post 16'!$A:$AV,32,FALSE),0)/8</f>
        <v>0</v>
      </c>
      <c r="ED175" s="345"/>
      <c r="EE175" s="345">
        <f>_xlfn.IFNA((VLOOKUP($A175,HN!$A:$K,9,FALSE)/12),0)+_xlfn.IFNA((VLOOKUP($A175,HN!$A:$K,10,FALSE)/12),0)+_xlfn.IFNA((VLOOKUP($A175,HN!$A:$BZ,33,FALSE)/12),0)</f>
        <v>0</v>
      </c>
      <c r="EF175" s="345">
        <f>_xlfn.IFNA((VLOOKUP($A175,HN!$A:$BS,15,FALSE)/12),0)</f>
        <v>0</v>
      </c>
      <c r="EG175" s="344">
        <f t="shared" si="221"/>
        <v>-478.13333333333327</v>
      </c>
      <c r="EH175" s="344">
        <f t="shared" si="222"/>
        <v>-2627.9008333333336</v>
      </c>
      <c r="EI175" s="345"/>
      <c r="EJ175" s="345">
        <f>_xlfn.IFNA(VLOOKUP(A175,'Cash Advances'!A:P,16,FALSE),0)</f>
        <v>0</v>
      </c>
      <c r="EK175" s="345">
        <f>_xlfn.IFNA(VLOOKUP(A175,'LA Deductions'!A:AZ,25,FALSE),0)/9</f>
        <v>0</v>
      </c>
      <c r="EL175" s="344">
        <f t="shared" si="176"/>
        <v>118873.42224712647</v>
      </c>
      <c r="EM175" s="308">
        <f t="shared" si="223"/>
        <v>121979.45641379313</v>
      </c>
      <c r="EN175" s="308">
        <f>((VLOOKUP($A175,EY!$A:$BS,35,FALSE)-(VLOOKUP($A175,EY!$A:$BS,33,FALSE)*80%))+VLOOKUP($A175,EY!$A:$BS,43,FALSE))+(VLOOKUP(A175,EY!A:DF,110,FALSE)-VLOOKUP(A175,EY!A:DD,108,FALSE))+(VLOOKUP(A175,EY!A:CE,83,FALSE)-VLOOKUP(A175,EY!A:CC,81,FALSE))</f>
        <v>19088.094736842104</v>
      </c>
      <c r="EO175" s="309"/>
      <c r="EP175" s="309">
        <f>_xlfn.IFNA((VLOOKUP($A175,HN!$A:$K,8,FALSE)/12),0)+_xlfn.IFNA((VLOOKUP($A175,HN!$A:$AF,32,FALSE)*1/12),0)</f>
        <v>0</v>
      </c>
      <c r="EQ175" s="309">
        <f>_xlfn.IFNA((VLOOKUP($A175,HN!$A:$BS,14,FALSE)/12),0)+_xlfn.IFNA((VLOOKUP($A175,HN!$A:$BS,34,FALSE)/3),0)</f>
        <v>0</v>
      </c>
      <c r="ER175" s="309">
        <f>_xlfn.IFNA(VLOOKUP($A175,'Post 16'!$A:$AV,32,FALSE),0)/8</f>
        <v>0</v>
      </c>
      <c r="ES175" s="309">
        <f>((VLOOKUP($A175,EY!A:EV,33,FALSE)*80%))+VLOOKUP(A175,EY!A:DD,108,FALSE)+VLOOKUP(A175,EY!A:CC,81,FALSE)</f>
        <v>0</v>
      </c>
      <c r="ET175" s="309">
        <f>_xlfn.IFNA((VLOOKUP($A175,HN!$A:$K,9,FALSE)/12),0)+_xlfn.IFNA((VLOOKUP($A175,HN!$A:$K,10,FALSE)/12),0)+_xlfn.IFNA((VLOOKUP($A175,HN!$A:$BZ,33,FALSE)/12),0)</f>
        <v>0</v>
      </c>
      <c r="EU175" s="309">
        <f>_xlfn.IFNA((VLOOKUP($A175,HN!$A:$BS,15,FALSE)/12),0)</f>
        <v>0</v>
      </c>
      <c r="EV175" s="308">
        <f t="shared" si="224"/>
        <v>-478.13333333333327</v>
      </c>
      <c r="EW175" s="308">
        <f t="shared" si="225"/>
        <v>-2627.9008333333336</v>
      </c>
      <c r="EX175" s="309"/>
      <c r="EY175" s="309">
        <f>_xlfn.IFNA(VLOOKUP($A175,'Cash Advances'!$A:$S,17,FALSE),0)</f>
        <v>0</v>
      </c>
      <c r="EZ175" s="309">
        <f>_xlfn.IFNA(VLOOKUP(A175,'LA Deductions'!A:AZ,25,FALSE),0)/9</f>
        <v>0</v>
      </c>
      <c r="FA175" s="308">
        <f t="shared" si="177"/>
        <v>137961.51698396855</v>
      </c>
      <c r="FB175" s="315">
        <f t="shared" si="226"/>
        <v>121979.45641379313</v>
      </c>
      <c r="FC175" s="315"/>
      <c r="FD175" s="316"/>
      <c r="FE175" s="316">
        <f>_xlfn.IFNA((VLOOKUP($A175,HN!$A:$K,8,FALSE)/12),0)+_xlfn.IFNA((VLOOKUP($A175,HN!$A:$AF,32,FALSE)*1/12),0)</f>
        <v>0</v>
      </c>
      <c r="FF175" s="316">
        <f>_xlfn.IFNA((VLOOKUP($A175,HN!$A:$BS,14,FALSE)/12),0)+_xlfn.IFNA((VLOOKUP($A175,HN!$A:$BS,34,FALSE)/3),0)</f>
        <v>0</v>
      </c>
      <c r="FG175" s="316">
        <f>_xlfn.IFNA(VLOOKUP($A175,'Post 16'!$A:$AV,32,FALSE),0)/8</f>
        <v>0</v>
      </c>
      <c r="FH175" s="316"/>
      <c r="FI175" s="316">
        <f>_xlfn.IFNA((VLOOKUP($A175,HN!$A:$K,9,FALSE)/12),0)+_xlfn.IFNA((VLOOKUP($A175,HN!$A:$K,10,FALSE)/12),0)+_xlfn.IFNA((VLOOKUP($A175,HN!$A:$BZ,33,FALSE)/12),0)+_xlfn.IFNA((VLOOKUP($A175,HN!$A:$BZ,35,FALSE)/2),0)</f>
        <v>0</v>
      </c>
      <c r="FJ175" s="316">
        <f>_xlfn.IFNA((VLOOKUP($A175,HN!$A:$BS,15,FALSE)/12),0)+_xlfn.IFNA((VLOOKUP($A175,HN!$A:$CZ,36,FALSE)/2),0)</f>
        <v>0</v>
      </c>
      <c r="FK175" s="315">
        <f t="shared" si="227"/>
        <v>-478.13333333333327</v>
      </c>
      <c r="FL175" s="315">
        <f t="shared" si="228"/>
        <v>-2627.9008333333336</v>
      </c>
      <c r="FM175" s="316"/>
      <c r="FN175" s="316">
        <f>_xlfn.IFNA(VLOOKUP($A175,'Cash Advances'!$A:$S,18,FALSE),0)</f>
        <v>0</v>
      </c>
      <c r="FO175" s="316">
        <f>_xlfn.IFNA(VLOOKUP(A175,'LA Deductions'!A:AZ,25,FALSE),0)/9</f>
        <v>0</v>
      </c>
      <c r="FP175" s="315">
        <f t="shared" si="178"/>
        <v>118873.42224712647</v>
      </c>
      <c r="FQ175" s="322">
        <f t="shared" si="229"/>
        <v>121979.45641379313</v>
      </c>
      <c r="FR175" s="322"/>
      <c r="FS175" s="323"/>
      <c r="FT175" s="323">
        <f>_xlfn.IFNA((VLOOKUP($A175,HN!$A:$K,8,FALSE)/12),0)+_xlfn.IFNA((VLOOKUP($A175,HN!$A:$AF,32,FALSE)*1/12),0)</f>
        <v>0</v>
      </c>
      <c r="FU175" s="323">
        <f>_xlfn.IFNA((VLOOKUP($A175,HN!$A:$BS,14,FALSE)/12),0)+_xlfn.IFNA((VLOOKUP($A175,HN!$A:$BS,34,FALSE)/3),0)</f>
        <v>0</v>
      </c>
      <c r="FV175" s="323">
        <f>_xlfn.IFNA(VLOOKUP($A175,'Post 16'!$A:$AV,32,FALSE),0)/8</f>
        <v>0</v>
      </c>
      <c r="FW175" s="323"/>
      <c r="FX175" s="323">
        <f>_xlfn.IFNA((VLOOKUP($A175,HN!$A:$K,9,FALSE)/12),0)+_xlfn.IFNA((VLOOKUP($A175,HN!$A:$K,10,FALSE)/12),0)+_xlfn.IFNA((VLOOKUP($A175,HN!$A:$BZ,33,FALSE)/12),0)+_xlfn.IFNA((VLOOKUP($A175,HN!$A:$BZ,35,FALSE)/2),0)</f>
        <v>0</v>
      </c>
      <c r="FY175" s="323">
        <f>_xlfn.IFNA((VLOOKUP($A175,HN!$A:$BS,15,FALSE)/12),0)+_xlfn.IFNA((VLOOKUP($A175,HN!$A:$CZ,36,FALSE)/2),0)</f>
        <v>0</v>
      </c>
      <c r="FZ175" s="322">
        <f t="shared" si="230"/>
        <v>-478.13333333333327</v>
      </c>
      <c r="GA175" s="322">
        <f t="shared" si="231"/>
        <v>-2627.9008333333336</v>
      </c>
      <c r="GB175" s="323"/>
      <c r="GC175" s="323"/>
      <c r="GD175" s="323">
        <f>_xlfn.IFNA(VLOOKUP(A175,'LA Deductions'!A:AZ,25,FALSE),0)/9</f>
        <v>0</v>
      </c>
      <c r="GE175" s="322">
        <f t="shared" si="179"/>
        <v>118873.42224712647</v>
      </c>
      <c r="GG175" s="146">
        <f t="shared" ref="GG175:GL183" si="234">SUMIFS($M175:$GE175,$M$7:$GE$7,GG$7)</f>
        <v>1537861.1980181492</v>
      </c>
      <c r="GH175" s="146">
        <f t="shared" si="234"/>
        <v>0</v>
      </c>
      <c r="GI175" s="146">
        <f t="shared" si="234"/>
        <v>0</v>
      </c>
      <c r="GJ175" s="146">
        <f t="shared" si="234"/>
        <v>-5737.5999999999995</v>
      </c>
      <c r="GK175" s="146">
        <f t="shared" si="234"/>
        <v>-31534.81</v>
      </c>
      <c r="GL175" s="146">
        <f t="shared" si="234"/>
        <v>-5139.75</v>
      </c>
      <c r="GN175" s="146">
        <f t="shared" ref="GN175:GS183" si="235">SUMIFS($M175:$GE175,$M$7:$GE$7,GN$7,$M$4:$GE$4,$GN$6)</f>
        <v>1537861.1980181492</v>
      </c>
      <c r="GO175" s="146">
        <f t="shared" si="235"/>
        <v>0</v>
      </c>
      <c r="GP175" s="146">
        <f t="shared" si="235"/>
        <v>0</v>
      </c>
      <c r="GQ175" s="146">
        <f t="shared" si="235"/>
        <v>-5737.5999999999995</v>
      </c>
      <c r="GR175" s="146">
        <f t="shared" si="235"/>
        <v>-31534.81</v>
      </c>
      <c r="GS175" s="146">
        <f t="shared" si="235"/>
        <v>-5139.75</v>
      </c>
      <c r="GU175" s="146"/>
      <c r="GV175" s="57"/>
    </row>
    <row r="176" spans="1:204">
      <c r="A176" s="185">
        <v>7060</v>
      </c>
      <c r="B176" s="185">
        <v>103630</v>
      </c>
      <c r="C176" s="185" t="s">
        <v>360</v>
      </c>
      <c r="D176" s="2" t="s">
        <v>361</v>
      </c>
      <c r="E176" s="191" t="s">
        <v>47</v>
      </c>
      <c r="F176" s="191" t="s">
        <v>912</v>
      </c>
      <c r="H176" s="279">
        <f>_xlfn.IFNA(VLOOKUP($A176,ISB!$A$4:$BY$454,67,FALSE),0)</f>
        <v>0</v>
      </c>
      <c r="I176" s="279">
        <f>_xlfn.IFNA(VLOOKUP($A176,ISB!$A$4:$BY$454,72,FALSE),0)</f>
        <v>0</v>
      </c>
      <c r="J176" s="279">
        <f>-_xlfn.IFNA(VLOOKUP($A176,ISB!$A$4:$BY$454,76,FALSE),0)</f>
        <v>0</v>
      </c>
      <c r="K176" s="279">
        <f>_xlfn.IFNA(VLOOKUP($A176,ISB!$A$4:$BY$454,77,FALSE),0)</f>
        <v>0</v>
      </c>
      <c r="M176" s="301">
        <f t="shared" si="191"/>
        <v>0</v>
      </c>
      <c r="N176" s="301">
        <f>VLOOKUP($A176,EY!$A:$H,8,FALSE)+(VLOOKUP($A176,EY!$A:$BS,17,FALSE)-S176)+VLOOKUP($A176,EY!$A:$BS,41,FALSE)</f>
        <v>0</v>
      </c>
      <c r="O176" s="302"/>
      <c r="P176" s="302">
        <f>_xlfn.IFNA((VLOOKUP($A176,HN!$A:$K,8,FALSE)/12),0)</f>
        <v>115156.25</v>
      </c>
      <c r="Q176" s="302">
        <f>_xlfn.IFNA((VLOOKUP($A176,HN!$A:$BS,14,FALSE)/12),0)</f>
        <v>0</v>
      </c>
      <c r="R176" s="302">
        <f>_xlfn.IFNA(VLOOKUP($A176,'Post 16'!$A:$V,21,FALSE),0)/4</f>
        <v>0</v>
      </c>
      <c r="S176" s="302">
        <f>VLOOKUP($A176,EY!A:Q,15,FALSE)*80%</f>
        <v>0</v>
      </c>
      <c r="T176" s="302">
        <f>_xlfn.IFNA((VLOOKUP($A176,HN!$A:$K,9,FALSE)/12),0)+_xlfn.IFNA((VLOOKUP($A176,HN!$A:$K,10,FALSE)/12),0)</f>
        <v>118361.55584610171</v>
      </c>
      <c r="U176" s="302">
        <f>_xlfn.IFNA((VLOOKUP($A176,HN!$A:$BS,15,FALSE)/12),0)</f>
        <v>0</v>
      </c>
      <c r="V176" s="301">
        <f t="shared" si="192"/>
        <v>0</v>
      </c>
      <c r="W176" s="301">
        <f t="shared" si="193"/>
        <v>0</v>
      </c>
      <c r="X176" s="302"/>
      <c r="Y176" s="302">
        <f>_xlfn.IFNA(VLOOKUP($A176,'Cash Advances'!$A:$S,8,FALSE),0)</f>
        <v>0</v>
      </c>
      <c r="Z176" s="301">
        <f t="shared" si="194"/>
        <v>233517.80584610172</v>
      </c>
      <c r="AA176" s="315">
        <f t="shared" si="195"/>
        <v>0</v>
      </c>
      <c r="AB176" s="315"/>
      <c r="AC176" s="316"/>
      <c r="AD176" s="316">
        <f>_xlfn.IFNA((VLOOKUP($A176,HN!$A:$K,8,FALSE)/12),0)</f>
        <v>115156.25</v>
      </c>
      <c r="AE176" s="316">
        <f>_xlfn.IFNA((VLOOKUP($A176,HN!$A:$BS,14,FALSE)/12),0)</f>
        <v>0</v>
      </c>
      <c r="AF176" s="316">
        <f>_xlfn.IFNA(VLOOKUP($A176,'Post 16'!$A:$V,21,FALSE),0)/4</f>
        <v>0</v>
      </c>
      <c r="AG176" s="316"/>
      <c r="AH176" s="316">
        <f>_xlfn.IFNA((VLOOKUP($A176,HN!$A:$K,9,FALSE)/12),0)+_xlfn.IFNA((VLOOKUP($A176,HN!$A:$K,10,FALSE)/12),0)</f>
        <v>118361.55584610171</v>
      </c>
      <c r="AI176" s="316">
        <f>_xlfn.IFNA((VLOOKUP($A176,HN!$A:$BS,15,FALSE)/12),0)</f>
        <v>0</v>
      </c>
      <c r="AJ176" s="315">
        <f t="shared" si="196"/>
        <v>0</v>
      </c>
      <c r="AK176" s="315">
        <f t="shared" si="197"/>
        <v>0</v>
      </c>
      <c r="AL176" s="316"/>
      <c r="AM176" s="316">
        <f>_xlfn.IFNA(VLOOKUP($A176,'Cash Advances'!$A:$S,9,FALSE),0)</f>
        <v>0</v>
      </c>
      <c r="AN176" s="315">
        <f t="shared" si="198"/>
        <v>233517.80584610172</v>
      </c>
      <c r="AO176" s="308">
        <f t="shared" si="199"/>
        <v>0</v>
      </c>
      <c r="AP176" s="308"/>
      <c r="AQ176" s="309"/>
      <c r="AR176" s="309">
        <f>_xlfn.IFNA((VLOOKUP($A176,HN!$A:$K,8,FALSE)/12),0)</f>
        <v>115156.25</v>
      </c>
      <c r="AS176" s="309">
        <f>_xlfn.IFNA((VLOOKUP($A176,HN!$A:$BS,14,FALSE)/12),0)</f>
        <v>0</v>
      </c>
      <c r="AT176" s="309">
        <f>_xlfn.IFNA(VLOOKUP($A176,'Post 16'!$A:$V,21,FALSE),0)/4</f>
        <v>0</v>
      </c>
      <c r="AU176" s="309"/>
      <c r="AV176" s="309">
        <f>_xlfn.IFNA((VLOOKUP($A176,HN!$A:$K,9,FALSE)/12),0)+_xlfn.IFNA((VLOOKUP($A176,HN!$A:$K,10,FALSE)/12),0)+_xlfn.IFNA(VLOOKUP(A176,HN!A:V,19,FALSE),0)+_xlfn.IFNA(VLOOKUP(A176,HN!A:V,20,FALSE),0)+_xlfn.IFNA(VLOOKUP(A176,HN!A:V,21,FALSE),0)</f>
        <v>341705.09430764033</v>
      </c>
      <c r="AW176" s="309">
        <f>_xlfn.IFNA((VLOOKUP($A176,HN!$A:$BS,15,FALSE)/12),0)</f>
        <v>0</v>
      </c>
      <c r="AX176" s="308">
        <f t="shared" si="200"/>
        <v>0</v>
      </c>
      <c r="AY176" s="308">
        <f t="shared" si="201"/>
        <v>0</v>
      </c>
      <c r="AZ176" s="309"/>
      <c r="BA176" s="309">
        <f>_xlfn.IFNA(VLOOKUP($A176,'Cash Advances'!$A:$S,10,FALSE),0)</f>
        <v>0</v>
      </c>
      <c r="BB176" s="308">
        <f t="shared" si="202"/>
        <v>456861.34430764033</v>
      </c>
      <c r="BC176" s="330">
        <f t="shared" si="203"/>
        <v>0</v>
      </c>
      <c r="BD176" s="330"/>
      <c r="BE176" s="331"/>
      <c r="BF176" s="331">
        <f>_xlfn.IFNA((VLOOKUP($A176,HN!$A:$K,8,FALSE)/12),0)</f>
        <v>115156.25</v>
      </c>
      <c r="BG176" s="331">
        <f>_xlfn.IFNA((VLOOKUP($A176,HN!$A:$BS,14,FALSE)/12),0)</f>
        <v>0</v>
      </c>
      <c r="BH176" s="331">
        <f>_xlfn.IFNA(VLOOKUP($A176,'Post 16'!$A:$V,21,FALSE),0)/4</f>
        <v>0</v>
      </c>
      <c r="BI176" s="331"/>
      <c r="BJ176" s="331">
        <f>_xlfn.IFNA((VLOOKUP($A176,HN!$A:$K,9,FALSE)/12),0)+_xlfn.IFNA((VLOOKUP($A176,HN!$A:$K,10,FALSE)/12),0)</f>
        <v>118361.55584610171</v>
      </c>
      <c r="BK176" s="331">
        <f>_xlfn.IFNA((VLOOKUP($A176,HN!$A:$BS,15,FALSE)/12),0)</f>
        <v>0</v>
      </c>
      <c r="BL176" s="330">
        <f t="shared" si="204"/>
        <v>0</v>
      </c>
      <c r="BM176" s="330">
        <f t="shared" si="205"/>
        <v>0</v>
      </c>
      <c r="BN176" s="331"/>
      <c r="BO176" s="331">
        <f>_xlfn.IFNA(VLOOKUP(A176,'Cash Advances'!A:K,11,FALSE),0)</f>
        <v>0</v>
      </c>
      <c r="BP176" s="330">
        <f t="shared" si="206"/>
        <v>233517.80584610172</v>
      </c>
      <c r="BQ176" s="322">
        <f t="shared" si="207"/>
        <v>0</v>
      </c>
      <c r="BR176" s="322"/>
      <c r="BS176" s="323"/>
      <c r="BT176" s="323">
        <f>_xlfn.IFNA((VLOOKUP($A176,HN!$A:$K,8,FALSE)/12),0)</f>
        <v>115156.25</v>
      </c>
      <c r="BU176" s="323">
        <f>_xlfn.IFNA((VLOOKUP($A176,HN!$A:$BS,14,FALSE)/12),0)</f>
        <v>0</v>
      </c>
      <c r="BV176" s="323">
        <f>(_xlfn.IFNA(VLOOKUP($A176,'Post 16'!$A:$AV,32,FALSE),0)/8)+_xlfn.IFNA(VLOOKUP($A176,'Post 16'!$A:$AR,40,FALSE),0)</f>
        <v>0</v>
      </c>
      <c r="BW176" s="323"/>
      <c r="BX176" s="323">
        <f>_xlfn.IFNA((VLOOKUP($A176,HN!$A:$K,9,FALSE)/12),0)+_xlfn.IFNA((VLOOKUP($A176,HN!$A:$K,10,FALSE)/12),0)</f>
        <v>118361.55584610171</v>
      </c>
      <c r="BY176" s="323">
        <f>_xlfn.IFNA((VLOOKUP($A176,HN!$A:$BS,15,FALSE)/12),0)</f>
        <v>0</v>
      </c>
      <c r="BZ176" s="322">
        <f t="shared" si="208"/>
        <v>0</v>
      </c>
      <c r="CA176" s="322">
        <f t="shared" si="209"/>
        <v>0</v>
      </c>
      <c r="CB176" s="323"/>
      <c r="CC176" s="323"/>
      <c r="CD176" s="322">
        <f t="shared" si="210"/>
        <v>233517.80584610172</v>
      </c>
      <c r="CE176" s="357">
        <f t="shared" si="211"/>
        <v>0</v>
      </c>
      <c r="CF176" s="357">
        <f>(VLOOKUP($A176,EY!$A:$BS,26,FALSE)-(VLOOKUP($A176,EY!A:CR,24,FALSE)*80%))+VLOOKUP($A176,EY!$A:$BS,42,FALSE)+(VLOOKUP($A176,EY!A:CC,74,FALSE)-VLOOKUP($A176,EY!A:CC,72,FALSE))</f>
        <v>0</v>
      </c>
      <c r="CG176" s="358"/>
      <c r="CH176" s="358">
        <f>_xlfn.IFNA((VLOOKUP($A176,HN!$A:$K,8,FALSE)/12),0)</f>
        <v>115156.25</v>
      </c>
      <c r="CI176" s="358">
        <f>_xlfn.IFNA((VLOOKUP($A176,HN!$A:$BS,14,FALSE)/12),0)</f>
        <v>0</v>
      </c>
      <c r="CJ176" s="358">
        <f>(_xlfn.IFNA(VLOOKUP($A176,'Post 16'!$A:$AV,32,FALSE),0)/8)</f>
        <v>0</v>
      </c>
      <c r="CK176" s="358">
        <f>(VLOOKUP($A176,EY!A:CR,24,FALSE)*80%)+VLOOKUP($A176,EY!A:CC,72,FALSE)</f>
        <v>0</v>
      </c>
      <c r="CL176" s="358">
        <f>_xlfn.IFNA((VLOOKUP($A176,HN!$A:$K,9,FALSE)/12),0)+_xlfn.IFNA((VLOOKUP($A176,HN!$A:$K,10,FALSE)/12),0)</f>
        <v>118361.55584610171</v>
      </c>
      <c r="CM176" s="358">
        <f>_xlfn.IFNA((VLOOKUP($A176,HN!$A:$BS,15,FALSE)/12),0)</f>
        <v>0</v>
      </c>
      <c r="CN176" s="357">
        <f t="shared" si="212"/>
        <v>0</v>
      </c>
      <c r="CO176" s="357">
        <f t="shared" si="213"/>
        <v>0</v>
      </c>
      <c r="CP176" s="358">
        <f>_xlfn.IFNA(VLOOKUP(A176,'LA Deductions'!A:W,23,FALSE),0)</f>
        <v>-3375</v>
      </c>
      <c r="CQ176" s="358">
        <f>_xlfn.IFNA(VLOOKUP($A176,'Cash Advances'!$A:$S,13,FALSE),0)</f>
        <v>0</v>
      </c>
      <c r="CR176" s="358">
        <f>_xlfn.IFNA(VLOOKUP(A176,'LA Deductions'!A:AZ,25,FALSE),0)/9*3</f>
        <v>0</v>
      </c>
      <c r="CS176" s="357">
        <f t="shared" si="173"/>
        <v>230142.80584610172</v>
      </c>
      <c r="CT176" s="337">
        <f t="shared" si="214"/>
        <v>0</v>
      </c>
      <c r="CU176" s="337"/>
      <c r="CV176" s="338">
        <f>_xlfn.IFNA(VLOOKUP(A176,'LA Deductions'!$A$6:$AN$207,34,FALSE),0)</f>
        <v>0</v>
      </c>
      <c r="CW176" s="338">
        <f>_xlfn.IFNA((VLOOKUP($A176,HN!$A:$K,8,FALSE)/12),0)</f>
        <v>115156.25</v>
      </c>
      <c r="CX176" s="338">
        <f>_xlfn.IFNA((VLOOKUP($A176,HN!$A:$BS,14,FALSE)/12),0)</f>
        <v>0</v>
      </c>
      <c r="CY176" s="338">
        <f>_xlfn.IFNA(VLOOKUP($A176,'Post 16'!$A:$AV,32,FALSE),0)/8</f>
        <v>0</v>
      </c>
      <c r="CZ176" s="338"/>
      <c r="DA176" s="338">
        <f>_xlfn.IFNA((VLOOKUP($A176,HN!$A:$K,9,FALSE)/12),0)+_xlfn.IFNA((VLOOKUP($A176,HN!$A:$K,10,FALSE)/12),0)</f>
        <v>118361.55584610171</v>
      </c>
      <c r="DB176" s="338">
        <f>_xlfn.IFNA((VLOOKUP($A176,HN!$A:$BS,15,FALSE)/12),0)</f>
        <v>0</v>
      </c>
      <c r="DC176" s="337">
        <f t="shared" si="215"/>
        <v>0</v>
      </c>
      <c r="DD176" s="337">
        <f t="shared" si="216"/>
        <v>0</v>
      </c>
      <c r="DE176" s="338"/>
      <c r="DF176" s="338">
        <f>_xlfn.IFNA(VLOOKUP($A176,'Cash Advances'!$A:$S,14,FALSE),0)</f>
        <v>0</v>
      </c>
      <c r="DG176" s="338">
        <f>(_xlfn.IFNA(VLOOKUP(A176,'LA Deductions'!A:AZ,25,FALSE),0)/9)+(_xlfn.IFNA(VLOOKUP(A176,'LA Deductions'!A:AZ,26,FALSE),0))</f>
        <v>0</v>
      </c>
      <c r="DH176" s="337">
        <f t="shared" si="174"/>
        <v>233517.80584610172</v>
      </c>
      <c r="DI176" s="330">
        <f t="shared" si="217"/>
        <v>0</v>
      </c>
      <c r="DJ176" s="330"/>
      <c r="DK176" s="331"/>
      <c r="DL176" s="331">
        <f>_xlfn.IFNA((VLOOKUP($A176,HN!$A:$K,8,FALSE)/12),0)+_xlfn.IFNA((VLOOKUP($A176,HN!$A:$AF,32,FALSE)*8/12),0)</f>
        <v>115156.25</v>
      </c>
      <c r="DM176" s="331">
        <f>_xlfn.IFNA((VLOOKUP($A176,HN!$A:$BS,14,FALSE)/12),0)+_xlfn.IFNA(VLOOKUP($A176,HN!$A:$BS,31,FALSE),0)</f>
        <v>0</v>
      </c>
      <c r="DN176" s="331">
        <f>_xlfn.IFNA(VLOOKUP($A176,'Post 16'!$A:$AV,32,FALSE),0)/8</f>
        <v>0</v>
      </c>
      <c r="DO176" s="331"/>
      <c r="DP176" s="331">
        <f>_xlfn.IFNA((VLOOKUP($A176,HN!$A:$K,9,FALSE)/12),0)+_xlfn.IFNA((VLOOKUP($A176,HN!$A:$K,10,FALSE)/12),0)+_xlfn.IFNA((VLOOKUP($A176,HN!$A:$BZ,33,FALSE)*8/12),0)</f>
        <v>269809.00208564888</v>
      </c>
      <c r="DQ176" s="331">
        <f>_xlfn.IFNA((VLOOKUP($A176,HN!$A:$BS,15,FALSE)/12),0)</f>
        <v>0</v>
      </c>
      <c r="DR176" s="330">
        <f t="shared" si="218"/>
        <v>0</v>
      </c>
      <c r="DS176" s="330">
        <f t="shared" si="219"/>
        <v>0</v>
      </c>
      <c r="DT176" s="331"/>
      <c r="DU176" s="331"/>
      <c r="DV176" s="331">
        <f>(_xlfn.IFNA(VLOOKUP(A176,'LA Deductions'!A:AZ,25,FALSE),0)/9)+_xlfn.IFNA(VLOOKUP(A176,'LA Deductions'!A:AZ,27,FALSE),0)</f>
        <v>0</v>
      </c>
      <c r="DW176" s="330">
        <f t="shared" si="175"/>
        <v>384965.25208564888</v>
      </c>
      <c r="DX176" s="344">
        <f t="shared" si="220"/>
        <v>0</v>
      </c>
      <c r="DY176" s="344"/>
      <c r="DZ176" s="345"/>
      <c r="EA176" s="345">
        <f>_xlfn.IFNA((VLOOKUP($A176,HN!$A:$K,8,FALSE)/12),0)+_xlfn.IFNA((VLOOKUP($A176,HN!$A:$AF,32,FALSE)*1/12),0)</f>
        <v>115156.25</v>
      </c>
      <c r="EB176" s="345">
        <f>_xlfn.IFNA((VLOOKUP($A176,HN!$A:$BS,14,FALSE)/12),0)</f>
        <v>0</v>
      </c>
      <c r="EC176" s="345">
        <f>_xlfn.IFNA(VLOOKUP($A176,'Post 16'!$A:$AV,32,FALSE),0)/8</f>
        <v>0</v>
      </c>
      <c r="ED176" s="345"/>
      <c r="EE176" s="345">
        <f>_xlfn.IFNA((VLOOKUP($A176,HN!$A:$K,9,FALSE)/12),0)+_xlfn.IFNA((VLOOKUP($A176,HN!$A:$K,10,FALSE)/12),0)+_xlfn.IFNA((VLOOKUP($A176,HN!$A:$BZ,33,FALSE)/12),0)</f>
        <v>137292.48662604511</v>
      </c>
      <c r="EF176" s="345">
        <f>_xlfn.IFNA((VLOOKUP($A176,HN!$A:$BS,15,FALSE)/12),0)</f>
        <v>0</v>
      </c>
      <c r="EG176" s="344">
        <f t="shared" si="221"/>
        <v>0</v>
      </c>
      <c r="EH176" s="344">
        <f t="shared" si="222"/>
        <v>0</v>
      </c>
      <c r="EI176" s="345"/>
      <c r="EJ176" s="345">
        <f>_xlfn.IFNA(VLOOKUP(A176,'Cash Advances'!A:P,16,FALSE),0)</f>
        <v>0</v>
      </c>
      <c r="EK176" s="345">
        <f>_xlfn.IFNA(VLOOKUP(A176,'LA Deductions'!A:AZ,25,FALSE),0)/9</f>
        <v>0</v>
      </c>
      <c r="EL176" s="344">
        <f t="shared" si="176"/>
        <v>252448.73662604511</v>
      </c>
      <c r="EM176" s="308">
        <f t="shared" si="223"/>
        <v>0</v>
      </c>
      <c r="EN176" s="308">
        <f>((VLOOKUP($A176,EY!$A:$BS,35,FALSE)-(VLOOKUP($A176,EY!$A:$BS,33,FALSE)*80%))+VLOOKUP($A176,EY!$A:$BS,43,FALSE))+(VLOOKUP(A176,EY!A:DF,110,FALSE)-VLOOKUP(A176,EY!A:DD,108,FALSE))+(VLOOKUP(A176,EY!A:CE,83,FALSE)-VLOOKUP(A176,EY!A:CC,81,FALSE))</f>
        <v>0</v>
      </c>
      <c r="EO176" s="309"/>
      <c r="EP176" s="309">
        <f>_xlfn.IFNA((VLOOKUP($A176,HN!$A:$K,8,FALSE)/12),0)+_xlfn.IFNA((VLOOKUP($A176,HN!$A:$AF,32,FALSE)*1/12),0)</f>
        <v>115156.25</v>
      </c>
      <c r="EQ176" s="309">
        <f>_xlfn.IFNA((VLOOKUP($A176,HN!$A:$BS,14,FALSE)/12),0)+_xlfn.IFNA((VLOOKUP($A176,HN!$A:$BS,34,FALSE)/3),0)</f>
        <v>0</v>
      </c>
      <c r="ER176" s="309">
        <f>_xlfn.IFNA(VLOOKUP($A176,'Post 16'!$A:$AV,32,FALSE),0)/8</f>
        <v>0</v>
      </c>
      <c r="ES176" s="309">
        <f>((VLOOKUP($A176,EY!A:EV,33,FALSE)*80%))+VLOOKUP(A176,EY!A:DD,108,FALSE)+VLOOKUP(A176,EY!A:CC,81,FALSE)</f>
        <v>0</v>
      </c>
      <c r="ET176" s="309">
        <f>_xlfn.IFNA((VLOOKUP($A176,HN!$A:$K,9,FALSE)/12),0)+_xlfn.IFNA((VLOOKUP($A176,HN!$A:$K,10,FALSE)/12),0)+_xlfn.IFNA((VLOOKUP($A176,HN!$A:$BZ,33,FALSE)/12),0)</f>
        <v>137292.48662604511</v>
      </c>
      <c r="EU176" s="309">
        <f>_xlfn.IFNA((VLOOKUP($A176,HN!$A:$BS,15,FALSE)/12),0)</f>
        <v>0</v>
      </c>
      <c r="EV176" s="308">
        <f t="shared" si="224"/>
        <v>0</v>
      </c>
      <c r="EW176" s="308">
        <f t="shared" si="225"/>
        <v>0</v>
      </c>
      <c r="EX176" s="309"/>
      <c r="EY176" s="309">
        <f>_xlfn.IFNA(VLOOKUP($A176,'Cash Advances'!$A:$S,17,FALSE),0)</f>
        <v>0</v>
      </c>
      <c r="EZ176" s="309">
        <f>_xlfn.IFNA(VLOOKUP(A176,'LA Deductions'!A:AZ,25,FALSE),0)/9</f>
        <v>0</v>
      </c>
      <c r="FA176" s="308">
        <f t="shared" si="177"/>
        <v>252448.73662604511</v>
      </c>
      <c r="FB176" s="315">
        <f t="shared" si="226"/>
        <v>0</v>
      </c>
      <c r="FC176" s="315"/>
      <c r="FD176" s="316"/>
      <c r="FE176" s="316">
        <f>_xlfn.IFNA((VLOOKUP($A176,HN!$A:$K,8,FALSE)/12),0)+_xlfn.IFNA((VLOOKUP($A176,HN!$A:$AF,32,FALSE)*1/12),0)</f>
        <v>115156.25</v>
      </c>
      <c r="FF176" s="316">
        <f>_xlfn.IFNA((VLOOKUP($A176,HN!$A:$BS,14,FALSE)/12),0)+_xlfn.IFNA((VLOOKUP($A176,HN!$A:$BS,34,FALSE)/3),0)</f>
        <v>0</v>
      </c>
      <c r="FG176" s="316">
        <f>_xlfn.IFNA(VLOOKUP($A176,'Post 16'!$A:$AV,32,FALSE),0)/8</f>
        <v>0</v>
      </c>
      <c r="FH176" s="316"/>
      <c r="FI176" s="316">
        <f>_xlfn.IFNA((VLOOKUP($A176,HN!$A:$K,9,FALSE)/12),0)+_xlfn.IFNA((VLOOKUP($A176,HN!$A:$K,10,FALSE)/12),0)+_xlfn.IFNA((VLOOKUP($A176,HN!$A:$BZ,33,FALSE)/12),0)+_xlfn.IFNA((VLOOKUP($A176,HN!$A:$BZ,35,FALSE)/2),0)</f>
        <v>138852.09162604512</v>
      </c>
      <c r="FJ176" s="316">
        <f>_xlfn.IFNA((VLOOKUP($A176,HN!$A:$BS,15,FALSE)/12),0)+_xlfn.IFNA((VLOOKUP($A176,HN!$A:$CZ,36,FALSE)/2),0)</f>
        <v>0</v>
      </c>
      <c r="FK176" s="315">
        <f t="shared" si="227"/>
        <v>0</v>
      </c>
      <c r="FL176" s="315">
        <f t="shared" si="228"/>
        <v>0</v>
      </c>
      <c r="FM176" s="316"/>
      <c r="FN176" s="316">
        <f>_xlfn.IFNA(VLOOKUP($A176,'Cash Advances'!$A:$S,18,FALSE),0)</f>
        <v>0</v>
      </c>
      <c r="FO176" s="316">
        <f>_xlfn.IFNA(VLOOKUP(A176,'LA Deductions'!A:AZ,25,FALSE),0)/9</f>
        <v>0</v>
      </c>
      <c r="FP176" s="315">
        <f t="shared" si="178"/>
        <v>254008.34162604512</v>
      </c>
      <c r="FQ176" s="322">
        <f t="shared" si="229"/>
        <v>0</v>
      </c>
      <c r="FR176" s="322"/>
      <c r="FS176" s="323"/>
      <c r="FT176" s="323">
        <f>_xlfn.IFNA((VLOOKUP($A176,HN!$A:$K,8,FALSE)/12),0)+_xlfn.IFNA((VLOOKUP($A176,HN!$A:$AF,32,FALSE)*1/12),0)</f>
        <v>115156.25</v>
      </c>
      <c r="FU176" s="323">
        <f>_xlfn.IFNA((VLOOKUP($A176,HN!$A:$BS,14,FALSE)/12),0)+_xlfn.IFNA((VLOOKUP($A176,HN!$A:$BS,34,FALSE)/3),0)</f>
        <v>0</v>
      </c>
      <c r="FV176" s="323">
        <f>_xlfn.IFNA(VLOOKUP($A176,'Post 16'!$A:$AV,32,FALSE),0)/8</f>
        <v>0</v>
      </c>
      <c r="FW176" s="323"/>
      <c r="FX176" s="323">
        <f>_xlfn.IFNA((VLOOKUP($A176,HN!$A:$K,9,FALSE)/12),0)+_xlfn.IFNA((VLOOKUP($A176,HN!$A:$K,10,FALSE)/12),0)+_xlfn.IFNA((VLOOKUP($A176,HN!$A:$BZ,33,FALSE)/12),0)+_xlfn.IFNA((VLOOKUP($A176,HN!$A:$BZ,35,FALSE)/2),0)</f>
        <v>138852.09162604512</v>
      </c>
      <c r="FY176" s="323">
        <f>_xlfn.IFNA((VLOOKUP($A176,HN!$A:$BS,15,FALSE)/12),0)+_xlfn.IFNA((VLOOKUP($A176,HN!$A:$CZ,36,FALSE)/2),0)</f>
        <v>0</v>
      </c>
      <c r="FZ176" s="322">
        <f t="shared" si="230"/>
        <v>0</v>
      </c>
      <c r="GA176" s="322">
        <f t="shared" si="231"/>
        <v>0</v>
      </c>
      <c r="GB176" s="323"/>
      <c r="GC176" s="323"/>
      <c r="GD176" s="323">
        <f>_xlfn.IFNA(VLOOKUP(A176,'LA Deductions'!A:AZ,25,FALSE),0)/9</f>
        <v>0</v>
      </c>
      <c r="GE176" s="322">
        <f t="shared" si="179"/>
        <v>254008.34162604512</v>
      </c>
      <c r="GG176" s="146">
        <f t="shared" si="234"/>
        <v>1381875</v>
      </c>
      <c r="GH176" s="146">
        <f t="shared" si="234"/>
        <v>0</v>
      </c>
      <c r="GI176" s="146">
        <f t="shared" si="234"/>
        <v>1873972.5879740799</v>
      </c>
      <c r="GJ176" s="146">
        <f t="shared" si="234"/>
        <v>0</v>
      </c>
      <c r="GK176" s="146">
        <f t="shared" si="234"/>
        <v>0</v>
      </c>
      <c r="GL176" s="146">
        <f t="shared" si="234"/>
        <v>-3375</v>
      </c>
      <c r="GN176" s="146">
        <f t="shared" si="235"/>
        <v>1381875</v>
      </c>
      <c r="GO176" s="146">
        <f t="shared" si="235"/>
        <v>0</v>
      </c>
      <c r="GP176" s="146">
        <f t="shared" si="235"/>
        <v>1873972.5879740799</v>
      </c>
      <c r="GQ176" s="146">
        <f t="shared" si="235"/>
        <v>0</v>
      </c>
      <c r="GR176" s="146">
        <f t="shared" si="235"/>
        <v>0</v>
      </c>
      <c r="GS176" s="146">
        <f t="shared" si="235"/>
        <v>-3375</v>
      </c>
      <c r="GU176" s="146"/>
      <c r="GV176" s="57"/>
    </row>
    <row r="177" spans="1:204">
      <c r="A177" s="185">
        <v>1024</v>
      </c>
      <c r="B177" s="185">
        <v>103137</v>
      </c>
      <c r="C177" s="185" t="s">
        <v>392</v>
      </c>
      <c r="D177" s="2" t="s">
        <v>393</v>
      </c>
      <c r="E177" s="191" t="s">
        <v>29</v>
      </c>
      <c r="F177" s="191" t="s">
        <v>912</v>
      </c>
      <c r="H177" s="279">
        <f>_xlfn.IFNA(VLOOKUP($A177,ISB!$A$4:$BY$454,67,FALSE),0)</f>
        <v>0</v>
      </c>
      <c r="I177" s="279">
        <f>_xlfn.IFNA(VLOOKUP($A177,ISB!$A$4:$BY$454,72,FALSE),0)</f>
        <v>0</v>
      </c>
      <c r="J177" s="279">
        <f>-_xlfn.IFNA(VLOOKUP($A177,ISB!$A$4:$BY$454,76,FALSE),0)</f>
        <v>0</v>
      </c>
      <c r="K177" s="279">
        <f>_xlfn.IFNA(VLOOKUP($A177,ISB!$A$4:$BY$454,77,FALSE),0)</f>
        <v>0</v>
      </c>
      <c r="M177" s="301">
        <f t="shared" si="191"/>
        <v>0</v>
      </c>
      <c r="N177" s="301">
        <f>VLOOKUP($A177,EY!$A:$H,8,FALSE)+(VLOOKUP($A177,EY!$A:$BS,17,FALSE)-S177)+VLOOKUP($A177,EY!$A:$BS,41,FALSE)</f>
        <v>321652.89942308405</v>
      </c>
      <c r="O177" s="302"/>
      <c r="P177" s="302">
        <f>_xlfn.IFNA((VLOOKUP($A177,HN!$A:$K,8,FALSE)/12),0)</f>
        <v>0</v>
      </c>
      <c r="Q177" s="302">
        <f>_xlfn.IFNA((VLOOKUP($A177,HN!$A:$BS,14,FALSE)/12),0)</f>
        <v>0</v>
      </c>
      <c r="R177" s="302">
        <f>_xlfn.IFNA(VLOOKUP($A177,'Post 16'!$A:$V,21,FALSE),0)/4</f>
        <v>0</v>
      </c>
      <c r="S177" s="302">
        <f>VLOOKUP($A177,EY!A:Q,15,FALSE)*80%</f>
        <v>0</v>
      </c>
      <c r="T177" s="302">
        <f>_xlfn.IFNA((VLOOKUP($A177,HN!$A:$K,9,FALSE)/12),0)+_xlfn.IFNA((VLOOKUP($A177,HN!$A:$K,10,FALSE)/12),0)</f>
        <v>0</v>
      </c>
      <c r="U177" s="302">
        <f>_xlfn.IFNA((VLOOKUP($A177,HN!$A:$BS,15,FALSE)/12),0)</f>
        <v>0</v>
      </c>
      <c r="V177" s="301">
        <f t="shared" si="192"/>
        <v>0</v>
      </c>
      <c r="W177" s="301">
        <f t="shared" si="193"/>
        <v>0</v>
      </c>
      <c r="X177" s="302"/>
      <c r="Y177" s="302">
        <f>_xlfn.IFNA(VLOOKUP($A177,'Cash Advances'!$A:$S,8,FALSE),0)</f>
        <v>0</v>
      </c>
      <c r="Z177" s="301">
        <f t="shared" si="194"/>
        <v>321652.89942308405</v>
      </c>
      <c r="AA177" s="315">
        <f t="shared" si="195"/>
        <v>0</v>
      </c>
      <c r="AB177" s="315"/>
      <c r="AC177" s="316"/>
      <c r="AD177" s="316">
        <f>_xlfn.IFNA((VLOOKUP($A177,HN!$A:$K,8,FALSE)/12),0)</f>
        <v>0</v>
      </c>
      <c r="AE177" s="316">
        <f>_xlfn.IFNA((VLOOKUP($A177,HN!$A:$BS,14,FALSE)/12),0)</f>
        <v>0</v>
      </c>
      <c r="AF177" s="316">
        <f>_xlfn.IFNA(VLOOKUP($A177,'Post 16'!$A:$V,21,FALSE),0)/4</f>
        <v>0</v>
      </c>
      <c r="AG177" s="316"/>
      <c r="AH177" s="316">
        <f>_xlfn.IFNA((VLOOKUP($A177,HN!$A:$K,9,FALSE)/12),0)+_xlfn.IFNA((VLOOKUP($A177,HN!$A:$K,10,FALSE)/12),0)</f>
        <v>0</v>
      </c>
      <c r="AI177" s="316">
        <f>_xlfn.IFNA((VLOOKUP($A177,HN!$A:$BS,15,FALSE)/12),0)</f>
        <v>0</v>
      </c>
      <c r="AJ177" s="315">
        <f t="shared" si="196"/>
        <v>0</v>
      </c>
      <c r="AK177" s="315">
        <f t="shared" si="197"/>
        <v>0</v>
      </c>
      <c r="AL177" s="316"/>
      <c r="AM177" s="316">
        <f>_xlfn.IFNA(VLOOKUP($A177,'Cash Advances'!$A:$S,9,FALSE),0)</f>
        <v>219979.31</v>
      </c>
      <c r="AN177" s="315">
        <f t="shared" si="198"/>
        <v>219979.31</v>
      </c>
      <c r="AO177" s="308">
        <f t="shared" si="199"/>
        <v>0</v>
      </c>
      <c r="AP177" s="308"/>
      <c r="AQ177" s="309"/>
      <c r="AR177" s="309">
        <f>_xlfn.IFNA((VLOOKUP($A177,HN!$A:$K,8,FALSE)/12),0)</f>
        <v>0</v>
      </c>
      <c r="AS177" s="309">
        <f>_xlfn.IFNA((VLOOKUP($A177,HN!$A:$BS,14,FALSE)/12),0)</f>
        <v>0</v>
      </c>
      <c r="AT177" s="309">
        <f>_xlfn.IFNA(VLOOKUP($A177,'Post 16'!$A:$V,21,FALSE),0)/4</f>
        <v>0</v>
      </c>
      <c r="AU177" s="309"/>
      <c r="AV177" s="309">
        <f>_xlfn.IFNA((VLOOKUP($A177,HN!$A:$K,9,FALSE)/12),0)+_xlfn.IFNA((VLOOKUP($A177,HN!$A:$K,10,FALSE)/12),0)+_xlfn.IFNA(VLOOKUP(A177,HN!A:V,19,FALSE),0)+_xlfn.IFNA(VLOOKUP(A177,HN!A:V,20,FALSE),0)+_xlfn.IFNA(VLOOKUP(A177,HN!A:V,21,FALSE),0)</f>
        <v>0</v>
      </c>
      <c r="AW177" s="309">
        <f>_xlfn.IFNA((VLOOKUP($A177,HN!$A:$BS,15,FALSE)/12),0)</f>
        <v>0</v>
      </c>
      <c r="AX177" s="308">
        <f t="shared" si="200"/>
        <v>0</v>
      </c>
      <c r="AY177" s="308">
        <f t="shared" si="201"/>
        <v>0</v>
      </c>
      <c r="AZ177" s="309"/>
      <c r="BA177" s="309">
        <f>_xlfn.IFNA(VLOOKUP($A177,'Cash Advances'!$A:$S,10,FALSE),0)</f>
        <v>86867</v>
      </c>
      <c r="BB177" s="308">
        <f t="shared" si="202"/>
        <v>86867</v>
      </c>
      <c r="BC177" s="330">
        <f t="shared" si="203"/>
        <v>0</v>
      </c>
      <c r="BD177" s="330"/>
      <c r="BE177" s="331"/>
      <c r="BF177" s="331">
        <f>_xlfn.IFNA((VLOOKUP($A177,HN!$A:$K,8,FALSE)/12),0)</f>
        <v>0</v>
      </c>
      <c r="BG177" s="331">
        <f>_xlfn.IFNA((VLOOKUP($A177,HN!$A:$BS,14,FALSE)/12),0)</f>
        <v>0</v>
      </c>
      <c r="BH177" s="331">
        <f>_xlfn.IFNA(VLOOKUP($A177,'Post 16'!$A:$V,21,FALSE),0)/4</f>
        <v>0</v>
      </c>
      <c r="BI177" s="331"/>
      <c r="BJ177" s="331">
        <f>_xlfn.IFNA((VLOOKUP($A177,HN!$A:$K,9,FALSE)/12),0)+_xlfn.IFNA((VLOOKUP($A177,HN!$A:$K,10,FALSE)/12),0)</f>
        <v>0</v>
      </c>
      <c r="BK177" s="331">
        <f>_xlfn.IFNA((VLOOKUP($A177,HN!$A:$BS,15,FALSE)/12),0)</f>
        <v>0</v>
      </c>
      <c r="BL177" s="330">
        <f t="shared" si="204"/>
        <v>0</v>
      </c>
      <c r="BM177" s="330">
        <f t="shared" si="205"/>
        <v>0</v>
      </c>
      <c r="BN177" s="331"/>
      <c r="BO177" s="331">
        <f>_xlfn.IFNA(VLOOKUP(A177,'Cash Advances'!A:K,11,FALSE),0)</f>
        <v>0</v>
      </c>
      <c r="BP177" s="330">
        <f t="shared" si="206"/>
        <v>0</v>
      </c>
      <c r="BQ177" s="322">
        <f t="shared" si="207"/>
        <v>0</v>
      </c>
      <c r="BR177" s="322"/>
      <c r="BS177" s="323"/>
      <c r="BT177" s="323">
        <f>_xlfn.IFNA((VLOOKUP($A177,HN!$A:$K,8,FALSE)/12),0)</f>
        <v>0</v>
      </c>
      <c r="BU177" s="323">
        <f>_xlfn.IFNA((VLOOKUP($A177,HN!$A:$BS,14,FALSE)/12),0)</f>
        <v>0</v>
      </c>
      <c r="BV177" s="323">
        <f>(_xlfn.IFNA(VLOOKUP($A177,'Post 16'!$A:$AV,32,FALSE),0)/8)+_xlfn.IFNA(VLOOKUP($A177,'Post 16'!$A:$AR,40,FALSE),0)</f>
        <v>0</v>
      </c>
      <c r="BW177" s="323"/>
      <c r="BX177" s="323">
        <f>_xlfn.IFNA((VLOOKUP($A177,HN!$A:$K,9,FALSE)/12),0)+_xlfn.IFNA((VLOOKUP($A177,HN!$A:$K,10,FALSE)/12),0)</f>
        <v>0</v>
      </c>
      <c r="BY177" s="323">
        <f>_xlfn.IFNA((VLOOKUP($A177,HN!$A:$BS,15,FALSE)/12),0)</f>
        <v>0</v>
      </c>
      <c r="BZ177" s="322">
        <f t="shared" si="208"/>
        <v>0</v>
      </c>
      <c r="CA177" s="322">
        <f t="shared" si="209"/>
        <v>0</v>
      </c>
      <c r="CB177" s="323"/>
      <c r="CC177" s="323"/>
      <c r="CD177" s="322">
        <f t="shared" si="210"/>
        <v>0</v>
      </c>
      <c r="CE177" s="357">
        <f t="shared" si="211"/>
        <v>0</v>
      </c>
      <c r="CF177" s="357">
        <f>(VLOOKUP($A177,EY!$A:$BS,26,FALSE)-(VLOOKUP($A177,EY!A:CR,24,FALSE)*80%))+VLOOKUP($A177,EY!$A:$BS,42,FALSE)+(VLOOKUP($A177,EY!A:CC,74,FALSE)-VLOOKUP($A177,EY!A:CC,72,FALSE))</f>
        <v>137696.79281126655</v>
      </c>
      <c r="CG177" s="358"/>
      <c r="CH177" s="358">
        <f>_xlfn.IFNA((VLOOKUP($A177,HN!$A:$K,8,FALSE)/12),0)</f>
        <v>0</v>
      </c>
      <c r="CI177" s="358">
        <f>_xlfn.IFNA((VLOOKUP($A177,HN!$A:$BS,14,FALSE)/12),0)</f>
        <v>0</v>
      </c>
      <c r="CJ177" s="358">
        <f>(_xlfn.IFNA(VLOOKUP($A177,'Post 16'!$A:$AV,32,FALSE),0)/8)</f>
        <v>0</v>
      </c>
      <c r="CK177" s="358">
        <f>(VLOOKUP($A177,EY!A:CR,24,FALSE)*80%)+VLOOKUP($A177,EY!A:CC,72,FALSE)</f>
        <v>320.89</v>
      </c>
      <c r="CL177" s="358">
        <f>_xlfn.IFNA((VLOOKUP($A177,HN!$A:$K,9,FALSE)/12),0)+_xlfn.IFNA((VLOOKUP($A177,HN!$A:$K,10,FALSE)/12),0)</f>
        <v>0</v>
      </c>
      <c r="CM177" s="358">
        <f>_xlfn.IFNA((VLOOKUP($A177,HN!$A:$BS,15,FALSE)/12),0)</f>
        <v>0</v>
      </c>
      <c r="CN177" s="357">
        <f t="shared" si="212"/>
        <v>0</v>
      </c>
      <c r="CO177" s="357">
        <f t="shared" si="213"/>
        <v>0</v>
      </c>
      <c r="CP177" s="358">
        <f>_xlfn.IFNA(VLOOKUP(A177,'LA Deductions'!A:W,23,FALSE),0)</f>
        <v>-3291.75</v>
      </c>
      <c r="CQ177" s="358">
        <f>_xlfn.IFNA(VLOOKUP($A177,'Cash Advances'!$A:$S,13,FALSE),0)</f>
        <v>0</v>
      </c>
      <c r="CR177" s="358">
        <f>_xlfn.IFNA(VLOOKUP(A177,'LA Deductions'!A:AZ,25,FALSE),0)/9*3</f>
        <v>9452.4000000000015</v>
      </c>
      <c r="CS177" s="357">
        <f t="shared" si="173"/>
        <v>144178.33281126656</v>
      </c>
      <c r="CT177" s="337">
        <f t="shared" si="214"/>
        <v>0</v>
      </c>
      <c r="CU177" s="337"/>
      <c r="CV177" s="338">
        <f>_xlfn.IFNA(VLOOKUP(A177,'LA Deductions'!$A$6:$AN$207,34,FALSE),0)</f>
        <v>0</v>
      </c>
      <c r="CW177" s="338">
        <f>_xlfn.IFNA((VLOOKUP($A177,HN!$A:$K,8,FALSE)/12),0)</f>
        <v>0</v>
      </c>
      <c r="CX177" s="338">
        <f>_xlfn.IFNA((VLOOKUP($A177,HN!$A:$BS,14,FALSE)/12),0)</f>
        <v>0</v>
      </c>
      <c r="CY177" s="338">
        <f>_xlfn.IFNA(VLOOKUP($A177,'Post 16'!$A:$AV,32,FALSE),0)/8</f>
        <v>0</v>
      </c>
      <c r="CZ177" s="338"/>
      <c r="DA177" s="338">
        <f>_xlfn.IFNA((VLOOKUP($A177,HN!$A:$K,9,FALSE)/12),0)+_xlfn.IFNA((VLOOKUP($A177,HN!$A:$K,10,FALSE)/12),0)</f>
        <v>0</v>
      </c>
      <c r="DB177" s="338">
        <f>_xlfn.IFNA((VLOOKUP($A177,HN!$A:$BS,15,FALSE)/12),0)</f>
        <v>0</v>
      </c>
      <c r="DC177" s="337">
        <f t="shared" si="215"/>
        <v>0</v>
      </c>
      <c r="DD177" s="337">
        <f t="shared" si="216"/>
        <v>0</v>
      </c>
      <c r="DE177" s="338"/>
      <c r="DF177" s="338">
        <f>_xlfn.IFNA(VLOOKUP($A177,'Cash Advances'!$A:$S,14,FALSE),0)</f>
        <v>0</v>
      </c>
      <c r="DG177" s="338">
        <f>(_xlfn.IFNA(VLOOKUP(A177,'LA Deductions'!A:AZ,25,FALSE),0)/9)+(_xlfn.IFNA(VLOOKUP(A177,'LA Deductions'!A:AZ,26,FALSE),0))</f>
        <v>3150.8</v>
      </c>
      <c r="DH177" s="337">
        <f t="shared" si="174"/>
        <v>3150.8</v>
      </c>
      <c r="DI177" s="330">
        <f t="shared" si="217"/>
        <v>0</v>
      </c>
      <c r="DJ177" s="330"/>
      <c r="DK177" s="331"/>
      <c r="DL177" s="331">
        <f>_xlfn.IFNA((VLOOKUP($A177,HN!$A:$K,8,FALSE)/12),0)+_xlfn.IFNA((VLOOKUP($A177,HN!$A:$AF,32,FALSE)*8/12),0)</f>
        <v>0</v>
      </c>
      <c r="DM177" s="331">
        <f>_xlfn.IFNA((VLOOKUP($A177,HN!$A:$BS,14,FALSE)/12),0)+_xlfn.IFNA(VLOOKUP($A177,HN!$A:$BS,31,FALSE),0)</f>
        <v>0</v>
      </c>
      <c r="DN177" s="331">
        <f>_xlfn.IFNA(VLOOKUP($A177,'Post 16'!$A:$AV,32,FALSE),0)/8</f>
        <v>0</v>
      </c>
      <c r="DO177" s="331"/>
      <c r="DP177" s="331">
        <f>_xlfn.IFNA((VLOOKUP($A177,HN!$A:$K,9,FALSE)/12),0)+_xlfn.IFNA((VLOOKUP($A177,HN!$A:$K,10,FALSE)/12),0)+_xlfn.IFNA((VLOOKUP($A177,HN!$A:$BZ,33,FALSE)*8/12),0)</f>
        <v>0</v>
      </c>
      <c r="DQ177" s="331">
        <f>_xlfn.IFNA((VLOOKUP($A177,HN!$A:$BS,15,FALSE)/12),0)</f>
        <v>0</v>
      </c>
      <c r="DR177" s="330">
        <f t="shared" si="218"/>
        <v>0</v>
      </c>
      <c r="DS177" s="330">
        <f t="shared" si="219"/>
        <v>0</v>
      </c>
      <c r="DT177" s="331"/>
      <c r="DU177" s="331"/>
      <c r="DV177" s="331">
        <f>(_xlfn.IFNA(VLOOKUP(A177,'LA Deductions'!A:AZ,25,FALSE),0)/9)+_xlfn.IFNA(VLOOKUP(A177,'LA Deductions'!A:AZ,27,FALSE),0)</f>
        <v>3150.8</v>
      </c>
      <c r="DW177" s="330">
        <f t="shared" si="175"/>
        <v>3150.8</v>
      </c>
      <c r="DX177" s="344">
        <f t="shared" si="220"/>
        <v>0</v>
      </c>
      <c r="DY177" s="344"/>
      <c r="DZ177" s="345"/>
      <c r="EA177" s="345">
        <f>_xlfn.IFNA((VLOOKUP($A177,HN!$A:$K,8,FALSE)/12),0)+_xlfn.IFNA((VLOOKUP($A177,HN!$A:$AF,32,FALSE)*1/12),0)</f>
        <v>0</v>
      </c>
      <c r="EB177" s="345">
        <f>_xlfn.IFNA((VLOOKUP($A177,HN!$A:$BS,14,FALSE)/12),0)</f>
        <v>0</v>
      </c>
      <c r="EC177" s="345">
        <f>_xlfn.IFNA(VLOOKUP($A177,'Post 16'!$A:$AV,32,FALSE),0)/8</f>
        <v>0</v>
      </c>
      <c r="ED177" s="345"/>
      <c r="EE177" s="345">
        <f>_xlfn.IFNA((VLOOKUP($A177,HN!$A:$K,9,FALSE)/12),0)+_xlfn.IFNA((VLOOKUP($A177,HN!$A:$K,10,FALSE)/12),0)+_xlfn.IFNA((VLOOKUP($A177,HN!$A:$BZ,33,FALSE)/12),0)</f>
        <v>0</v>
      </c>
      <c r="EF177" s="345">
        <f>_xlfn.IFNA((VLOOKUP($A177,HN!$A:$BS,15,FALSE)/12),0)</f>
        <v>0</v>
      </c>
      <c r="EG177" s="344">
        <f t="shared" si="221"/>
        <v>0</v>
      </c>
      <c r="EH177" s="344">
        <f t="shared" si="222"/>
        <v>0</v>
      </c>
      <c r="EI177" s="345"/>
      <c r="EJ177" s="345">
        <f>_xlfn.IFNA(VLOOKUP(A177,'Cash Advances'!A:P,16,FALSE),0)</f>
        <v>0</v>
      </c>
      <c r="EK177" s="345">
        <f>_xlfn.IFNA(VLOOKUP(A177,'LA Deductions'!A:AZ,25,FALSE),0)/9</f>
        <v>3150.8</v>
      </c>
      <c r="EL177" s="344">
        <f t="shared" si="176"/>
        <v>3150.8</v>
      </c>
      <c r="EM177" s="308">
        <f t="shared" si="223"/>
        <v>0</v>
      </c>
      <c r="EN177" s="308">
        <f>((VLOOKUP($A177,EY!$A:$BS,35,FALSE)-(VLOOKUP($A177,EY!$A:$BS,33,FALSE)*80%))+VLOOKUP($A177,EY!$A:$BS,43,FALSE))+(VLOOKUP(A177,EY!A:DF,110,FALSE)-VLOOKUP(A177,EY!A:DD,108,FALSE))+(VLOOKUP(A177,EY!A:CE,83,FALSE)-VLOOKUP(A177,EY!A:CC,81,FALSE))</f>
        <v>130589.53623268698</v>
      </c>
      <c r="EO177" s="309"/>
      <c r="EP177" s="309">
        <f>_xlfn.IFNA((VLOOKUP($A177,HN!$A:$K,8,FALSE)/12),0)+_xlfn.IFNA((VLOOKUP($A177,HN!$A:$AF,32,FALSE)*1/12),0)</f>
        <v>0</v>
      </c>
      <c r="EQ177" s="309">
        <f>_xlfn.IFNA((VLOOKUP($A177,HN!$A:$BS,14,FALSE)/12),0)+_xlfn.IFNA((VLOOKUP($A177,HN!$A:$BS,34,FALSE)/3),0)</f>
        <v>0</v>
      </c>
      <c r="ER177" s="309">
        <f>_xlfn.IFNA(VLOOKUP($A177,'Post 16'!$A:$AV,32,FALSE),0)/8</f>
        <v>0</v>
      </c>
      <c r="ES177" s="309">
        <f>((VLOOKUP($A177,EY!A:EV,33,FALSE)*80%))+VLOOKUP(A177,EY!A:DD,108,FALSE)+VLOOKUP(A177,EY!A:CC,81,FALSE)</f>
        <v>617.11</v>
      </c>
      <c r="ET177" s="309">
        <f>_xlfn.IFNA((VLOOKUP($A177,HN!$A:$K,9,FALSE)/12),0)+_xlfn.IFNA((VLOOKUP($A177,HN!$A:$K,10,FALSE)/12),0)+_xlfn.IFNA((VLOOKUP($A177,HN!$A:$BZ,33,FALSE)/12),0)</f>
        <v>0</v>
      </c>
      <c r="EU177" s="309">
        <f>_xlfn.IFNA((VLOOKUP($A177,HN!$A:$BS,15,FALSE)/12),0)</f>
        <v>0</v>
      </c>
      <c r="EV177" s="308">
        <f t="shared" si="224"/>
        <v>0</v>
      </c>
      <c r="EW177" s="308">
        <f t="shared" si="225"/>
        <v>0</v>
      </c>
      <c r="EX177" s="309"/>
      <c r="EY177" s="309">
        <f>_xlfn.IFNA(VLOOKUP($A177,'Cash Advances'!$A:$S,17,FALSE),0)</f>
        <v>0</v>
      </c>
      <c r="EZ177" s="309">
        <f>_xlfn.IFNA(VLOOKUP(A177,'LA Deductions'!A:AZ,25,FALSE),0)/9</f>
        <v>3150.8</v>
      </c>
      <c r="FA177" s="308">
        <f>SUM(EM177:EZ177)</f>
        <v>134357.44623268695</v>
      </c>
      <c r="FB177" s="315">
        <f t="shared" si="226"/>
        <v>0</v>
      </c>
      <c r="FC177" s="315"/>
      <c r="FD177" s="316"/>
      <c r="FE177" s="316">
        <f>_xlfn.IFNA((VLOOKUP($A177,HN!$A:$K,8,FALSE)/12),0)+_xlfn.IFNA((VLOOKUP($A177,HN!$A:$AF,32,FALSE)*1/12),0)</f>
        <v>0</v>
      </c>
      <c r="FF177" s="316">
        <f>_xlfn.IFNA((VLOOKUP($A177,HN!$A:$BS,14,FALSE)/12),0)+_xlfn.IFNA((VLOOKUP($A177,HN!$A:$BS,34,FALSE)/3),0)</f>
        <v>0</v>
      </c>
      <c r="FG177" s="316">
        <f>_xlfn.IFNA(VLOOKUP($A177,'Post 16'!$A:$AV,32,FALSE),0)/8</f>
        <v>0</v>
      </c>
      <c r="FH177" s="316"/>
      <c r="FI177" s="316">
        <f>_xlfn.IFNA((VLOOKUP($A177,HN!$A:$K,9,FALSE)/12),0)+_xlfn.IFNA((VLOOKUP($A177,HN!$A:$K,10,FALSE)/12),0)+_xlfn.IFNA((VLOOKUP($A177,HN!$A:$BZ,33,FALSE)/12),0)+_xlfn.IFNA((VLOOKUP($A177,HN!$A:$BZ,35,FALSE)/2),0)</f>
        <v>0</v>
      </c>
      <c r="FJ177" s="316">
        <f>_xlfn.IFNA((VLOOKUP($A177,HN!$A:$BS,15,FALSE)/12),0)+_xlfn.IFNA((VLOOKUP($A177,HN!$A:$CZ,36,FALSE)/2),0)</f>
        <v>0</v>
      </c>
      <c r="FK177" s="315">
        <f t="shared" si="227"/>
        <v>0</v>
      </c>
      <c r="FL177" s="315">
        <f t="shared" si="228"/>
        <v>0</v>
      </c>
      <c r="FM177" s="316"/>
      <c r="FN177" s="316">
        <f>_xlfn.IFNA(VLOOKUP($A177,'Cash Advances'!$A:$S,18,FALSE),0)</f>
        <v>0</v>
      </c>
      <c r="FO177" s="316">
        <f>_xlfn.IFNA(VLOOKUP(A177,'LA Deductions'!A:AZ,25,FALSE),0)/9</f>
        <v>3150.8</v>
      </c>
      <c r="FP177" s="315">
        <f t="shared" si="178"/>
        <v>3150.8</v>
      </c>
      <c r="FQ177" s="322">
        <f t="shared" si="229"/>
        <v>0</v>
      </c>
      <c r="FR177" s="322"/>
      <c r="FS177" s="323"/>
      <c r="FT177" s="323">
        <f>_xlfn.IFNA((VLOOKUP($A177,HN!$A:$K,8,FALSE)/12),0)+_xlfn.IFNA((VLOOKUP($A177,HN!$A:$AF,32,FALSE)*1/12),0)</f>
        <v>0</v>
      </c>
      <c r="FU177" s="323">
        <f>_xlfn.IFNA((VLOOKUP($A177,HN!$A:$BS,14,FALSE)/12),0)+_xlfn.IFNA((VLOOKUP($A177,HN!$A:$BS,34,FALSE)/3),0)</f>
        <v>0</v>
      </c>
      <c r="FV177" s="323">
        <f>_xlfn.IFNA(VLOOKUP($A177,'Post 16'!$A:$AV,32,FALSE),0)/8</f>
        <v>0</v>
      </c>
      <c r="FW177" s="323"/>
      <c r="FX177" s="323">
        <f>_xlfn.IFNA((VLOOKUP($A177,HN!$A:$K,9,FALSE)/12),0)+_xlfn.IFNA((VLOOKUP($A177,HN!$A:$K,10,FALSE)/12),0)+_xlfn.IFNA((VLOOKUP($A177,HN!$A:$BZ,33,FALSE)/12),0)+_xlfn.IFNA((VLOOKUP($A177,HN!$A:$BZ,35,FALSE)/2),0)</f>
        <v>0</v>
      </c>
      <c r="FY177" s="323">
        <f>_xlfn.IFNA((VLOOKUP($A177,HN!$A:$BS,15,FALSE)/12),0)+_xlfn.IFNA((VLOOKUP($A177,HN!$A:$CZ,36,FALSE)/2),0)</f>
        <v>0</v>
      </c>
      <c r="FZ177" s="322">
        <f t="shared" si="230"/>
        <v>0</v>
      </c>
      <c r="GA177" s="322">
        <f t="shared" si="231"/>
        <v>0</v>
      </c>
      <c r="GB177" s="323"/>
      <c r="GC177" s="323"/>
      <c r="GD177" s="323">
        <f>_xlfn.IFNA(VLOOKUP(A177,'LA Deductions'!A:AZ,25,FALSE),0)/9</f>
        <v>3150.8</v>
      </c>
      <c r="GE177" s="322">
        <f t="shared" si="179"/>
        <v>3150.8</v>
      </c>
      <c r="GG177" s="146">
        <f t="shared" si="234"/>
        <v>589939.22846703755</v>
      </c>
      <c r="GH177" s="146">
        <f t="shared" si="234"/>
        <v>0</v>
      </c>
      <c r="GI177" s="146">
        <f t="shared" si="234"/>
        <v>938</v>
      </c>
      <c r="GJ177" s="146">
        <f t="shared" si="234"/>
        <v>0</v>
      </c>
      <c r="GK177" s="146">
        <f t="shared" si="234"/>
        <v>0</v>
      </c>
      <c r="GL177" s="146">
        <f t="shared" si="234"/>
        <v>-3291.75</v>
      </c>
      <c r="GN177" s="146">
        <f t="shared" si="235"/>
        <v>589939.22846703755</v>
      </c>
      <c r="GO177" s="146">
        <f t="shared" si="235"/>
        <v>0</v>
      </c>
      <c r="GP177" s="146">
        <f t="shared" si="235"/>
        <v>938</v>
      </c>
      <c r="GQ177" s="146">
        <f t="shared" si="235"/>
        <v>0</v>
      </c>
      <c r="GR177" s="146">
        <f t="shared" si="235"/>
        <v>0</v>
      </c>
      <c r="GS177" s="146">
        <f t="shared" si="235"/>
        <v>-3291.75</v>
      </c>
      <c r="GU177" s="146"/>
      <c r="GV177" s="57"/>
    </row>
    <row r="178" spans="1:204">
      <c r="A178" s="185">
        <v>2004</v>
      </c>
      <c r="B178" s="185">
        <v>134094</v>
      </c>
      <c r="C178" s="185" t="s">
        <v>394</v>
      </c>
      <c r="D178" s="2" t="s">
        <v>395</v>
      </c>
      <c r="E178" s="191" t="s">
        <v>32</v>
      </c>
      <c r="F178" s="191" t="s">
        <v>912</v>
      </c>
      <c r="H178" s="279">
        <f>_xlfn.IFNA(VLOOKUP($A178,ISB!$A$4:$BY$454,67,FALSE),0)</f>
        <v>1745272.4101458332</v>
      </c>
      <c r="I178" s="279">
        <f>_xlfn.IFNA(VLOOKUP($A178,ISB!$A$4:$BY$454,72,FALSE),0)</f>
        <v>-7797.9199999999992</v>
      </c>
      <c r="J178" s="279">
        <f>-_xlfn.IFNA(VLOOKUP($A178,ISB!$A$4:$BY$454,76,FALSE),0)</f>
        <v>-23631.7</v>
      </c>
      <c r="K178" s="279">
        <f>_xlfn.IFNA(VLOOKUP($A178,ISB!$A$4:$BY$454,77,FALSE),0)</f>
        <v>1713842.7901458333</v>
      </c>
      <c r="M178" s="301">
        <f t="shared" si="191"/>
        <v>145439.36751215276</v>
      </c>
      <c r="N178" s="301">
        <f>VLOOKUP($A178,EY!$A:$H,8,FALSE)+(VLOOKUP($A178,EY!$A:$BS,17,FALSE)-S178)+VLOOKUP($A178,EY!$A:$BS,41,FALSE)</f>
        <v>14169.480000000001</v>
      </c>
      <c r="O178" s="302"/>
      <c r="P178" s="302">
        <f>_xlfn.IFNA((VLOOKUP($A178,HN!$A:$K,8,FALSE)/12),0)</f>
        <v>0</v>
      </c>
      <c r="Q178" s="302">
        <f>_xlfn.IFNA((VLOOKUP($A178,HN!$A:$BS,14,FALSE)/12),0)</f>
        <v>0</v>
      </c>
      <c r="R178" s="302">
        <f>_xlfn.IFNA(VLOOKUP($A178,'Post 16'!$A:$V,21,FALSE),0)/4</f>
        <v>0</v>
      </c>
      <c r="S178" s="302">
        <f>VLOOKUP($A178,EY!A:Q,15,FALSE)*80%</f>
        <v>0</v>
      </c>
      <c r="T178" s="302">
        <f>_xlfn.IFNA((VLOOKUP($A178,HN!$A:$K,9,FALSE)/12),0)+_xlfn.IFNA((VLOOKUP($A178,HN!$A:$K,10,FALSE)/12),0)</f>
        <v>0</v>
      </c>
      <c r="U178" s="302">
        <f>_xlfn.IFNA((VLOOKUP($A178,HN!$A:$BS,15,FALSE)/12),0)</f>
        <v>0</v>
      </c>
      <c r="V178" s="301">
        <f t="shared" si="192"/>
        <v>-649.8266666666666</v>
      </c>
      <c r="W178" s="301">
        <f t="shared" si="193"/>
        <v>-1969.3083333333334</v>
      </c>
      <c r="X178" s="302"/>
      <c r="Y178" s="302">
        <f>_xlfn.IFNA(VLOOKUP($A178,'Cash Advances'!$A:$S,8,FALSE),0)</f>
        <v>0</v>
      </c>
      <c r="Z178" s="301">
        <f t="shared" si="194"/>
        <v>156989.71251215279</v>
      </c>
      <c r="AA178" s="315">
        <f t="shared" si="195"/>
        <v>145439.36751215276</v>
      </c>
      <c r="AB178" s="315"/>
      <c r="AC178" s="316"/>
      <c r="AD178" s="316">
        <f>_xlfn.IFNA((VLOOKUP($A178,HN!$A:$K,8,FALSE)/12),0)</f>
        <v>0</v>
      </c>
      <c r="AE178" s="316">
        <f>_xlfn.IFNA((VLOOKUP($A178,HN!$A:$BS,14,FALSE)/12),0)</f>
        <v>0</v>
      </c>
      <c r="AF178" s="316">
        <f>_xlfn.IFNA(VLOOKUP($A178,'Post 16'!$A:$V,21,FALSE),0)/4</f>
        <v>0</v>
      </c>
      <c r="AG178" s="316"/>
      <c r="AH178" s="316">
        <f>_xlfn.IFNA((VLOOKUP($A178,HN!$A:$K,9,FALSE)/12),0)+_xlfn.IFNA((VLOOKUP($A178,HN!$A:$K,10,FALSE)/12),0)</f>
        <v>0</v>
      </c>
      <c r="AI178" s="316">
        <f>_xlfn.IFNA((VLOOKUP($A178,HN!$A:$BS,15,FALSE)/12),0)</f>
        <v>0</v>
      </c>
      <c r="AJ178" s="315">
        <f t="shared" si="196"/>
        <v>-649.8266666666666</v>
      </c>
      <c r="AK178" s="315">
        <f t="shared" si="197"/>
        <v>-1969.3083333333334</v>
      </c>
      <c r="AL178" s="316"/>
      <c r="AM178" s="316">
        <f>_xlfn.IFNA(VLOOKUP($A178,'Cash Advances'!$A:$S,9,FALSE),0)</f>
        <v>0</v>
      </c>
      <c r="AN178" s="315">
        <f t="shared" si="198"/>
        <v>142820.23251215278</v>
      </c>
      <c r="AO178" s="308">
        <f t="shared" si="199"/>
        <v>145439.36751215276</v>
      </c>
      <c r="AP178" s="308"/>
      <c r="AQ178" s="309"/>
      <c r="AR178" s="309">
        <f>_xlfn.IFNA((VLOOKUP($A178,HN!$A:$K,8,FALSE)/12),0)</f>
        <v>0</v>
      </c>
      <c r="AS178" s="309">
        <f>_xlfn.IFNA((VLOOKUP($A178,HN!$A:$BS,14,FALSE)/12),0)</f>
        <v>0</v>
      </c>
      <c r="AT178" s="309">
        <f>_xlfn.IFNA(VLOOKUP($A178,'Post 16'!$A:$V,21,FALSE),0)/4</f>
        <v>0</v>
      </c>
      <c r="AU178" s="309"/>
      <c r="AV178" s="309">
        <f>_xlfn.IFNA((VLOOKUP($A178,HN!$A:$K,9,FALSE)/12),0)+_xlfn.IFNA((VLOOKUP($A178,HN!$A:$K,10,FALSE)/12),0)+_xlfn.IFNA(VLOOKUP(A178,HN!A:V,19,FALSE),0)+_xlfn.IFNA(VLOOKUP(A178,HN!A:V,20,FALSE),0)+_xlfn.IFNA(VLOOKUP(A178,HN!A:V,21,FALSE),0)</f>
        <v>0</v>
      </c>
      <c r="AW178" s="309">
        <f>_xlfn.IFNA((VLOOKUP($A178,HN!$A:$BS,15,FALSE)/12),0)</f>
        <v>0</v>
      </c>
      <c r="AX178" s="308">
        <f t="shared" si="200"/>
        <v>-649.8266666666666</v>
      </c>
      <c r="AY178" s="308">
        <f t="shared" si="201"/>
        <v>-1969.3083333333334</v>
      </c>
      <c r="AZ178" s="309"/>
      <c r="BA178" s="309">
        <f>_xlfn.IFNA(VLOOKUP($A178,'Cash Advances'!$A:$S,10,FALSE),0)</f>
        <v>0</v>
      </c>
      <c r="BB178" s="308">
        <f t="shared" si="202"/>
        <v>142820.23251215278</v>
      </c>
      <c r="BC178" s="330">
        <f t="shared" si="203"/>
        <v>145439.36751215276</v>
      </c>
      <c r="BD178" s="330"/>
      <c r="BE178" s="331"/>
      <c r="BF178" s="331">
        <f>_xlfn.IFNA((VLOOKUP($A178,HN!$A:$K,8,FALSE)/12),0)</f>
        <v>0</v>
      </c>
      <c r="BG178" s="331">
        <f>_xlfn.IFNA((VLOOKUP($A178,HN!$A:$BS,14,FALSE)/12),0)</f>
        <v>0</v>
      </c>
      <c r="BH178" s="331">
        <f>_xlfn.IFNA(VLOOKUP($A178,'Post 16'!$A:$V,21,FALSE),0)/4</f>
        <v>0</v>
      </c>
      <c r="BI178" s="331"/>
      <c r="BJ178" s="331">
        <f>_xlfn.IFNA((VLOOKUP($A178,HN!$A:$K,9,FALSE)/12),0)+_xlfn.IFNA((VLOOKUP($A178,HN!$A:$K,10,FALSE)/12),0)</f>
        <v>0</v>
      </c>
      <c r="BK178" s="331">
        <f>_xlfn.IFNA((VLOOKUP($A178,HN!$A:$BS,15,FALSE)/12),0)</f>
        <v>0</v>
      </c>
      <c r="BL178" s="330">
        <f t="shared" si="204"/>
        <v>-649.8266666666666</v>
      </c>
      <c r="BM178" s="330">
        <f t="shared" si="205"/>
        <v>-1969.3083333333334</v>
      </c>
      <c r="BN178" s="331"/>
      <c r="BO178" s="331">
        <f>_xlfn.IFNA(VLOOKUP(A178,'Cash Advances'!A:K,11,FALSE),0)</f>
        <v>0</v>
      </c>
      <c r="BP178" s="330">
        <f t="shared" si="206"/>
        <v>142820.23251215278</v>
      </c>
      <c r="BQ178" s="322">
        <f t="shared" si="207"/>
        <v>145439.36751215276</v>
      </c>
      <c r="BR178" s="322"/>
      <c r="BS178" s="323"/>
      <c r="BT178" s="323">
        <f>_xlfn.IFNA((VLOOKUP($A178,HN!$A:$K,8,FALSE)/12),0)</f>
        <v>0</v>
      </c>
      <c r="BU178" s="323">
        <f>_xlfn.IFNA((VLOOKUP($A178,HN!$A:$BS,14,FALSE)/12),0)</f>
        <v>0</v>
      </c>
      <c r="BV178" s="323">
        <f>(_xlfn.IFNA(VLOOKUP($A178,'Post 16'!$A:$AV,32,FALSE),0)/8)+_xlfn.IFNA(VLOOKUP($A178,'Post 16'!$A:$AR,40,FALSE),0)</f>
        <v>0</v>
      </c>
      <c r="BW178" s="323"/>
      <c r="BX178" s="323">
        <f>_xlfn.IFNA((VLOOKUP($A178,HN!$A:$K,9,FALSE)/12),0)+_xlfn.IFNA((VLOOKUP($A178,HN!$A:$K,10,FALSE)/12),0)</f>
        <v>0</v>
      </c>
      <c r="BY178" s="323">
        <f>_xlfn.IFNA((VLOOKUP($A178,HN!$A:$BS,15,FALSE)/12),0)</f>
        <v>0</v>
      </c>
      <c r="BZ178" s="322">
        <f t="shared" si="208"/>
        <v>-649.8266666666666</v>
      </c>
      <c r="CA178" s="322">
        <f t="shared" si="209"/>
        <v>-1969.3083333333334</v>
      </c>
      <c r="CB178" s="323"/>
      <c r="CC178" s="323"/>
      <c r="CD178" s="322">
        <f t="shared" si="210"/>
        <v>142820.23251215278</v>
      </c>
      <c r="CE178" s="357">
        <f t="shared" si="211"/>
        <v>145439.36751215276</v>
      </c>
      <c r="CF178" s="357">
        <f>(VLOOKUP($A178,EY!$A:$BS,26,FALSE)-(VLOOKUP($A178,EY!A:CR,24,FALSE)*80%))+VLOOKUP($A178,EY!$A:$BS,42,FALSE)+(VLOOKUP($A178,EY!A:CC,74,FALSE)-VLOOKUP($A178,EY!A:CC,72,FALSE))</f>
        <v>19675.5</v>
      </c>
      <c r="CG178" s="358"/>
      <c r="CH178" s="358">
        <f>_xlfn.IFNA((VLOOKUP($A178,HN!$A:$K,8,FALSE)/12),0)</f>
        <v>0</v>
      </c>
      <c r="CI178" s="358">
        <f>_xlfn.IFNA((VLOOKUP($A178,HN!$A:$BS,14,FALSE)/12),0)</f>
        <v>0</v>
      </c>
      <c r="CJ178" s="358">
        <f>(_xlfn.IFNA(VLOOKUP($A178,'Post 16'!$A:$AV,32,FALSE),0)/8)</f>
        <v>0</v>
      </c>
      <c r="CK178" s="358">
        <f>(VLOOKUP($A178,EY!A:CR,24,FALSE)*80%)+VLOOKUP($A178,EY!A:CC,72,FALSE)</f>
        <v>0</v>
      </c>
      <c r="CL178" s="358">
        <f>_xlfn.IFNA((VLOOKUP($A178,HN!$A:$K,9,FALSE)/12),0)+_xlfn.IFNA((VLOOKUP($A178,HN!$A:$K,10,FALSE)/12),0)</f>
        <v>0</v>
      </c>
      <c r="CM178" s="358">
        <f>_xlfn.IFNA((VLOOKUP($A178,HN!$A:$BS,15,FALSE)/12),0)</f>
        <v>0</v>
      </c>
      <c r="CN178" s="357">
        <f t="shared" si="212"/>
        <v>-649.8266666666666</v>
      </c>
      <c r="CO178" s="357">
        <f t="shared" si="213"/>
        <v>-1969.3083333333334</v>
      </c>
      <c r="CP178" s="358">
        <f>_xlfn.IFNA(VLOOKUP(A178,'LA Deductions'!A:W,23,FALSE),0)</f>
        <v>-5139.75</v>
      </c>
      <c r="CQ178" s="358">
        <f>_xlfn.IFNA(VLOOKUP($A178,'Cash Advances'!$A:$S,13,FALSE),0)</f>
        <v>0</v>
      </c>
      <c r="CR178" s="358">
        <f>_xlfn.IFNA(VLOOKUP(A178,'LA Deductions'!A:AZ,25,FALSE),0)/9*3</f>
        <v>0</v>
      </c>
      <c r="CS178" s="357">
        <f t="shared" si="173"/>
        <v>157355.98251215278</v>
      </c>
      <c r="CT178" s="337">
        <f t="shared" si="214"/>
        <v>145439.36751215276</v>
      </c>
      <c r="CU178" s="337"/>
      <c r="CV178" s="338">
        <f>_xlfn.IFNA(VLOOKUP(A178,'LA Deductions'!$A$6:$AN$207,34,FALSE),0)</f>
        <v>0</v>
      </c>
      <c r="CW178" s="338">
        <f>_xlfn.IFNA((VLOOKUP($A178,HN!$A:$K,8,FALSE)/12),0)</f>
        <v>0</v>
      </c>
      <c r="CX178" s="338">
        <f>_xlfn.IFNA((VLOOKUP($A178,HN!$A:$BS,14,FALSE)/12),0)</f>
        <v>0</v>
      </c>
      <c r="CY178" s="338">
        <f>_xlfn.IFNA(VLOOKUP($A178,'Post 16'!$A:$AV,32,FALSE),0)/8</f>
        <v>0</v>
      </c>
      <c r="CZ178" s="338"/>
      <c r="DA178" s="338">
        <f>_xlfn.IFNA((VLOOKUP($A178,HN!$A:$K,9,FALSE)/12),0)+_xlfn.IFNA((VLOOKUP($A178,HN!$A:$K,10,FALSE)/12),0)</f>
        <v>0</v>
      </c>
      <c r="DB178" s="338">
        <f>_xlfn.IFNA((VLOOKUP($A178,HN!$A:$BS,15,FALSE)/12),0)</f>
        <v>0</v>
      </c>
      <c r="DC178" s="337">
        <f t="shared" si="215"/>
        <v>-649.8266666666666</v>
      </c>
      <c r="DD178" s="337">
        <f t="shared" si="216"/>
        <v>-1969.3083333333334</v>
      </c>
      <c r="DE178" s="338"/>
      <c r="DF178" s="338">
        <f>_xlfn.IFNA(VLOOKUP($A178,'Cash Advances'!$A:$S,14,FALSE),0)</f>
        <v>0</v>
      </c>
      <c r="DG178" s="338">
        <f>(_xlfn.IFNA(VLOOKUP(A178,'LA Deductions'!A:AZ,25,FALSE),0)/9)+(_xlfn.IFNA(VLOOKUP(A178,'LA Deductions'!A:AZ,26,FALSE),0))</f>
        <v>0</v>
      </c>
      <c r="DH178" s="337">
        <f t="shared" si="174"/>
        <v>142820.23251215278</v>
      </c>
      <c r="DI178" s="330">
        <f t="shared" si="217"/>
        <v>145439.36751215276</v>
      </c>
      <c r="DJ178" s="330"/>
      <c r="DK178" s="331"/>
      <c r="DL178" s="331">
        <f>_xlfn.IFNA((VLOOKUP($A178,HN!$A:$K,8,FALSE)/12),0)+_xlfn.IFNA((VLOOKUP($A178,HN!$A:$AF,32,FALSE)*8/12),0)</f>
        <v>0</v>
      </c>
      <c r="DM178" s="331">
        <f>_xlfn.IFNA((VLOOKUP($A178,HN!$A:$BS,14,FALSE)/12),0)+_xlfn.IFNA(VLOOKUP($A178,HN!$A:$BS,31,FALSE),0)</f>
        <v>0</v>
      </c>
      <c r="DN178" s="331">
        <f>_xlfn.IFNA(VLOOKUP($A178,'Post 16'!$A:$AV,32,FALSE),0)/8</f>
        <v>0</v>
      </c>
      <c r="DO178" s="331"/>
      <c r="DP178" s="331">
        <f>_xlfn.IFNA((VLOOKUP($A178,HN!$A:$K,9,FALSE)/12),0)+_xlfn.IFNA((VLOOKUP($A178,HN!$A:$K,10,FALSE)/12),0)+_xlfn.IFNA((VLOOKUP($A178,HN!$A:$BZ,33,FALSE)*8/12),0)</f>
        <v>0</v>
      </c>
      <c r="DQ178" s="331">
        <f>_xlfn.IFNA((VLOOKUP($A178,HN!$A:$BS,15,FALSE)/12),0)</f>
        <v>0</v>
      </c>
      <c r="DR178" s="330">
        <f t="shared" si="218"/>
        <v>-649.8266666666666</v>
      </c>
      <c r="DS178" s="330">
        <f t="shared" si="219"/>
        <v>-1969.3083333333334</v>
      </c>
      <c r="DT178" s="331"/>
      <c r="DU178" s="331"/>
      <c r="DV178" s="331">
        <f>(_xlfn.IFNA(VLOOKUP(A178,'LA Deductions'!A:AZ,25,FALSE),0)/9)+_xlfn.IFNA(VLOOKUP(A178,'LA Deductions'!A:AZ,27,FALSE),0)</f>
        <v>0</v>
      </c>
      <c r="DW178" s="330">
        <f t="shared" si="175"/>
        <v>142820.23251215278</v>
      </c>
      <c r="DX178" s="344">
        <f t="shared" si="220"/>
        <v>145439.36751215276</v>
      </c>
      <c r="DY178" s="344"/>
      <c r="DZ178" s="345"/>
      <c r="EA178" s="345">
        <f>_xlfn.IFNA((VLOOKUP($A178,HN!$A:$K,8,FALSE)/12),0)+_xlfn.IFNA((VLOOKUP($A178,HN!$A:$AF,32,FALSE)*1/12),0)</f>
        <v>0</v>
      </c>
      <c r="EB178" s="345">
        <f>_xlfn.IFNA((VLOOKUP($A178,HN!$A:$BS,14,FALSE)/12),0)</f>
        <v>0</v>
      </c>
      <c r="EC178" s="345">
        <f>_xlfn.IFNA(VLOOKUP($A178,'Post 16'!$A:$AV,32,FALSE),0)/8</f>
        <v>0</v>
      </c>
      <c r="ED178" s="345"/>
      <c r="EE178" s="345">
        <f>_xlfn.IFNA((VLOOKUP($A178,HN!$A:$K,9,FALSE)/12),0)+_xlfn.IFNA((VLOOKUP($A178,HN!$A:$K,10,FALSE)/12),0)+_xlfn.IFNA((VLOOKUP($A178,HN!$A:$BZ,33,FALSE)/12),0)</f>
        <v>0</v>
      </c>
      <c r="EF178" s="345">
        <f>_xlfn.IFNA((VLOOKUP($A178,HN!$A:$BS,15,FALSE)/12),0)</f>
        <v>0</v>
      </c>
      <c r="EG178" s="344">
        <f t="shared" si="221"/>
        <v>-649.8266666666666</v>
      </c>
      <c r="EH178" s="344">
        <f t="shared" si="222"/>
        <v>-1969.3083333333334</v>
      </c>
      <c r="EI178" s="345"/>
      <c r="EJ178" s="345">
        <f>_xlfn.IFNA(VLOOKUP(A178,'Cash Advances'!A:P,16,FALSE),0)</f>
        <v>0</v>
      </c>
      <c r="EK178" s="345">
        <f>_xlfn.IFNA(VLOOKUP(A178,'LA Deductions'!A:AZ,25,FALSE),0)/9</f>
        <v>0</v>
      </c>
      <c r="EL178" s="344">
        <f t="shared" si="176"/>
        <v>142820.23251215278</v>
      </c>
      <c r="EM178" s="308">
        <f t="shared" si="223"/>
        <v>145439.36751215276</v>
      </c>
      <c r="EN178" s="308">
        <f>((VLOOKUP($A178,EY!$A:$BS,35,FALSE)-(VLOOKUP($A178,EY!$A:$BS,33,FALSE)*80%))+VLOOKUP($A178,EY!$A:$BS,43,FALSE))+(VLOOKUP(A178,EY!A:DF,110,FALSE)-VLOOKUP(A178,EY!A:DD,108,FALSE))+(VLOOKUP(A178,EY!A:CE,83,FALSE)-VLOOKUP(A178,EY!A:CC,81,FALSE))</f>
        <v>-2028.3031578947375</v>
      </c>
      <c r="EO178" s="309"/>
      <c r="EP178" s="309">
        <f>_xlfn.IFNA((VLOOKUP($A178,HN!$A:$K,8,FALSE)/12),0)+_xlfn.IFNA((VLOOKUP($A178,HN!$A:$AF,32,FALSE)*1/12),0)</f>
        <v>0</v>
      </c>
      <c r="EQ178" s="309">
        <f>_xlfn.IFNA((VLOOKUP($A178,HN!$A:$BS,14,FALSE)/12),0)+_xlfn.IFNA((VLOOKUP($A178,HN!$A:$BS,34,FALSE)/3),0)</f>
        <v>0</v>
      </c>
      <c r="ER178" s="309">
        <f>_xlfn.IFNA(VLOOKUP($A178,'Post 16'!$A:$AV,32,FALSE),0)/8</f>
        <v>0</v>
      </c>
      <c r="ES178" s="309">
        <f>((VLOOKUP($A178,EY!A:EV,33,FALSE)*80%))+VLOOKUP(A178,EY!A:DD,108,FALSE)+VLOOKUP(A178,EY!A:CC,81,FALSE)</f>
        <v>0</v>
      </c>
      <c r="ET178" s="309">
        <f>_xlfn.IFNA((VLOOKUP($A178,HN!$A:$K,9,FALSE)/12),0)+_xlfn.IFNA((VLOOKUP($A178,HN!$A:$K,10,FALSE)/12),0)+_xlfn.IFNA((VLOOKUP($A178,HN!$A:$BZ,33,FALSE)/12),0)</f>
        <v>0</v>
      </c>
      <c r="EU178" s="309">
        <f>_xlfn.IFNA((VLOOKUP($A178,HN!$A:$BS,15,FALSE)/12),0)</f>
        <v>0</v>
      </c>
      <c r="EV178" s="308">
        <f t="shared" si="224"/>
        <v>-649.8266666666666</v>
      </c>
      <c r="EW178" s="308">
        <f t="shared" si="225"/>
        <v>-1969.3083333333334</v>
      </c>
      <c r="EX178" s="309"/>
      <c r="EY178" s="309">
        <f>_xlfn.IFNA(VLOOKUP($A178,'Cash Advances'!$A:$S,17,FALSE),0)</f>
        <v>0</v>
      </c>
      <c r="EZ178" s="309">
        <f>_xlfn.IFNA(VLOOKUP(A178,'LA Deductions'!A:AZ,25,FALSE),0)/9</f>
        <v>0</v>
      </c>
      <c r="FA178" s="308">
        <f t="shared" si="177"/>
        <v>140791.92935425806</v>
      </c>
      <c r="FB178" s="315">
        <f t="shared" si="226"/>
        <v>145439.36751215276</v>
      </c>
      <c r="FC178" s="315"/>
      <c r="FD178" s="316"/>
      <c r="FE178" s="316">
        <f>_xlfn.IFNA((VLOOKUP($A178,HN!$A:$K,8,FALSE)/12),0)+_xlfn.IFNA((VLOOKUP($A178,HN!$A:$AF,32,FALSE)*1/12),0)</f>
        <v>0</v>
      </c>
      <c r="FF178" s="316">
        <f>_xlfn.IFNA((VLOOKUP($A178,HN!$A:$BS,14,FALSE)/12),0)+_xlfn.IFNA((VLOOKUP($A178,HN!$A:$BS,34,FALSE)/3),0)</f>
        <v>0</v>
      </c>
      <c r="FG178" s="316">
        <f>_xlfn.IFNA(VLOOKUP($A178,'Post 16'!$A:$AV,32,FALSE),0)/8</f>
        <v>0</v>
      </c>
      <c r="FH178" s="316"/>
      <c r="FI178" s="316">
        <f>_xlfn.IFNA((VLOOKUP($A178,HN!$A:$K,9,FALSE)/12),0)+_xlfn.IFNA((VLOOKUP($A178,HN!$A:$K,10,FALSE)/12),0)+_xlfn.IFNA((VLOOKUP($A178,HN!$A:$BZ,33,FALSE)/12),0)+_xlfn.IFNA((VLOOKUP($A178,HN!$A:$BZ,35,FALSE)/2),0)</f>
        <v>0</v>
      </c>
      <c r="FJ178" s="316">
        <f>_xlfn.IFNA((VLOOKUP($A178,HN!$A:$BS,15,FALSE)/12),0)+_xlfn.IFNA((VLOOKUP($A178,HN!$A:$CZ,36,FALSE)/2),0)</f>
        <v>0</v>
      </c>
      <c r="FK178" s="315">
        <f t="shared" si="227"/>
        <v>-649.8266666666666</v>
      </c>
      <c r="FL178" s="315">
        <f t="shared" si="228"/>
        <v>-1969.3083333333334</v>
      </c>
      <c r="FM178" s="316"/>
      <c r="FN178" s="316">
        <f>_xlfn.IFNA(VLOOKUP($A178,'Cash Advances'!$A:$S,18,FALSE),0)</f>
        <v>0</v>
      </c>
      <c r="FO178" s="316">
        <f>_xlfn.IFNA(VLOOKUP(A178,'LA Deductions'!A:AZ,25,FALSE),0)/9</f>
        <v>0</v>
      </c>
      <c r="FP178" s="315">
        <f t="shared" si="178"/>
        <v>142820.23251215278</v>
      </c>
      <c r="FQ178" s="322">
        <f t="shared" si="229"/>
        <v>145439.36751215276</v>
      </c>
      <c r="FR178" s="322"/>
      <c r="FS178" s="323"/>
      <c r="FT178" s="323">
        <f>_xlfn.IFNA((VLOOKUP($A178,HN!$A:$K,8,FALSE)/12),0)+_xlfn.IFNA((VLOOKUP($A178,HN!$A:$AF,32,FALSE)*1/12),0)</f>
        <v>0</v>
      </c>
      <c r="FU178" s="323">
        <f>_xlfn.IFNA((VLOOKUP($A178,HN!$A:$BS,14,FALSE)/12),0)+_xlfn.IFNA((VLOOKUP($A178,HN!$A:$BS,34,FALSE)/3),0)</f>
        <v>0</v>
      </c>
      <c r="FV178" s="323">
        <f>_xlfn.IFNA(VLOOKUP($A178,'Post 16'!$A:$AV,32,FALSE),0)/8</f>
        <v>0</v>
      </c>
      <c r="FW178" s="323"/>
      <c r="FX178" s="323">
        <f>_xlfn.IFNA((VLOOKUP($A178,HN!$A:$K,9,FALSE)/12),0)+_xlfn.IFNA((VLOOKUP($A178,HN!$A:$K,10,FALSE)/12),0)+_xlfn.IFNA((VLOOKUP($A178,HN!$A:$BZ,33,FALSE)/12),0)+_xlfn.IFNA((VLOOKUP($A178,HN!$A:$BZ,35,FALSE)/2),0)</f>
        <v>0</v>
      </c>
      <c r="FY178" s="323">
        <f>_xlfn.IFNA((VLOOKUP($A178,HN!$A:$BS,15,FALSE)/12),0)+_xlfn.IFNA((VLOOKUP($A178,HN!$A:$CZ,36,FALSE)/2),0)</f>
        <v>0</v>
      </c>
      <c r="FZ178" s="322">
        <f t="shared" si="230"/>
        <v>-649.8266666666666</v>
      </c>
      <c r="GA178" s="322">
        <f t="shared" si="231"/>
        <v>-1969.3083333333334</v>
      </c>
      <c r="GB178" s="323"/>
      <c r="GC178" s="323"/>
      <c r="GD178" s="323">
        <f>_xlfn.IFNA(VLOOKUP(A178,'LA Deductions'!A:AZ,25,FALSE),0)/9</f>
        <v>0</v>
      </c>
      <c r="GE178" s="322">
        <f t="shared" si="179"/>
        <v>142820.23251215278</v>
      </c>
      <c r="GG178" s="146">
        <f t="shared" si="234"/>
        <v>1777089.0869879385</v>
      </c>
      <c r="GH178" s="146">
        <f t="shared" si="234"/>
        <v>0</v>
      </c>
      <c r="GI178" s="146">
        <f t="shared" si="234"/>
        <v>0</v>
      </c>
      <c r="GJ178" s="146">
        <f t="shared" si="234"/>
        <v>-7797.920000000001</v>
      </c>
      <c r="GK178" s="146">
        <f t="shared" si="234"/>
        <v>-23631.700000000008</v>
      </c>
      <c r="GL178" s="146">
        <f t="shared" si="234"/>
        <v>-5139.75</v>
      </c>
      <c r="GN178" s="146">
        <f t="shared" si="235"/>
        <v>1777089.0869879385</v>
      </c>
      <c r="GO178" s="146">
        <f t="shared" si="235"/>
        <v>0</v>
      </c>
      <c r="GP178" s="146">
        <f t="shared" si="235"/>
        <v>0</v>
      </c>
      <c r="GQ178" s="146">
        <f t="shared" si="235"/>
        <v>-7797.920000000001</v>
      </c>
      <c r="GR178" s="146">
        <f t="shared" si="235"/>
        <v>-23631.700000000008</v>
      </c>
      <c r="GS178" s="146">
        <f t="shared" si="235"/>
        <v>-5139.75</v>
      </c>
      <c r="GU178" s="146"/>
      <c r="GV178" s="57"/>
    </row>
    <row r="179" spans="1:204">
      <c r="A179" s="185">
        <v>1028</v>
      </c>
      <c r="B179" s="185">
        <v>103141</v>
      </c>
      <c r="C179" s="185" t="s">
        <v>398</v>
      </c>
      <c r="D179" s="2" t="s">
        <v>399</v>
      </c>
      <c r="E179" s="191" t="s">
        <v>29</v>
      </c>
      <c r="F179" s="191" t="s">
        <v>912</v>
      </c>
      <c r="H179" s="279">
        <f>_xlfn.IFNA(VLOOKUP($A179,ISB!$A$4:$BY$454,67,FALSE),0)</f>
        <v>0</v>
      </c>
      <c r="I179" s="279">
        <f>_xlfn.IFNA(VLOOKUP($A179,ISB!$A$4:$BY$454,72,FALSE),0)</f>
        <v>0</v>
      </c>
      <c r="J179" s="279">
        <f>-_xlfn.IFNA(VLOOKUP($A179,ISB!$A$4:$BY$454,76,FALSE),0)</f>
        <v>0</v>
      </c>
      <c r="K179" s="279">
        <f>_xlfn.IFNA(VLOOKUP($A179,ISB!$A$4:$BY$454,77,FALSE),0)</f>
        <v>0</v>
      </c>
      <c r="M179" s="301">
        <f t="shared" si="191"/>
        <v>0</v>
      </c>
      <c r="N179" s="301">
        <f>VLOOKUP($A179,EY!$A:$H,8,FALSE)+(VLOOKUP($A179,EY!$A:$BS,17,FALSE)-S179)+VLOOKUP($A179,EY!$A:$BS,41,FALSE)</f>
        <v>315804.1027534639</v>
      </c>
      <c r="O179" s="302"/>
      <c r="P179" s="302">
        <f>_xlfn.IFNA((VLOOKUP($A179,HN!$A:$K,8,FALSE)/12),0)</f>
        <v>0</v>
      </c>
      <c r="Q179" s="302">
        <f>_xlfn.IFNA((VLOOKUP($A179,HN!$A:$BS,14,FALSE)/12),0)</f>
        <v>0</v>
      </c>
      <c r="R179" s="302">
        <f>_xlfn.IFNA(VLOOKUP($A179,'Post 16'!$A:$V,21,FALSE),0)/4</f>
        <v>0</v>
      </c>
      <c r="S179" s="302">
        <f>VLOOKUP($A179,EY!A:Q,15,FALSE)*80%</f>
        <v>1026.8631578947368</v>
      </c>
      <c r="T179" s="302">
        <f>_xlfn.IFNA((VLOOKUP($A179,HN!$A:$K,9,FALSE)/12),0)+_xlfn.IFNA((VLOOKUP($A179,HN!$A:$K,10,FALSE)/12),0)</f>
        <v>0</v>
      </c>
      <c r="U179" s="302">
        <f>_xlfn.IFNA((VLOOKUP($A179,HN!$A:$BS,15,FALSE)/12),0)</f>
        <v>0</v>
      </c>
      <c r="V179" s="301">
        <f t="shared" si="192"/>
        <v>0</v>
      </c>
      <c r="W179" s="301">
        <f t="shared" si="193"/>
        <v>0</v>
      </c>
      <c r="X179" s="302"/>
      <c r="Y179" s="302">
        <f>_xlfn.IFNA(VLOOKUP($A179,'Cash Advances'!$A:$S,8,FALSE),0)</f>
        <v>0</v>
      </c>
      <c r="Z179" s="301">
        <f t="shared" si="194"/>
        <v>316830.96591135865</v>
      </c>
      <c r="AA179" s="315">
        <f t="shared" si="195"/>
        <v>0</v>
      </c>
      <c r="AB179" s="315"/>
      <c r="AC179" s="316"/>
      <c r="AD179" s="316">
        <f>_xlfn.IFNA((VLOOKUP($A179,HN!$A:$K,8,FALSE)/12),0)</f>
        <v>0</v>
      </c>
      <c r="AE179" s="316">
        <f>_xlfn.IFNA((VLOOKUP($A179,HN!$A:$BS,14,FALSE)/12),0)</f>
        <v>0</v>
      </c>
      <c r="AF179" s="316">
        <f>_xlfn.IFNA(VLOOKUP($A179,'Post 16'!$A:$V,21,FALSE),0)/4</f>
        <v>0</v>
      </c>
      <c r="AG179" s="316"/>
      <c r="AH179" s="316">
        <f>_xlfn.IFNA((VLOOKUP($A179,HN!$A:$K,9,FALSE)/12),0)+_xlfn.IFNA((VLOOKUP($A179,HN!$A:$K,10,FALSE)/12),0)</f>
        <v>0</v>
      </c>
      <c r="AI179" s="316">
        <f>_xlfn.IFNA((VLOOKUP($A179,HN!$A:$BS,15,FALSE)/12),0)</f>
        <v>0</v>
      </c>
      <c r="AJ179" s="315">
        <f t="shared" si="196"/>
        <v>0</v>
      </c>
      <c r="AK179" s="315">
        <f t="shared" si="197"/>
        <v>0</v>
      </c>
      <c r="AL179" s="316"/>
      <c r="AM179" s="316">
        <f>_xlfn.IFNA(VLOOKUP($A179,'Cash Advances'!$A:$S,9,FALSE),0)</f>
        <v>0</v>
      </c>
      <c r="AN179" s="315">
        <f t="shared" si="198"/>
        <v>0</v>
      </c>
      <c r="AO179" s="308">
        <f t="shared" si="199"/>
        <v>0</v>
      </c>
      <c r="AP179" s="308"/>
      <c r="AQ179" s="309"/>
      <c r="AR179" s="309">
        <f>_xlfn.IFNA((VLOOKUP($A179,HN!$A:$K,8,FALSE)/12),0)</f>
        <v>0</v>
      </c>
      <c r="AS179" s="309">
        <f>_xlfn.IFNA((VLOOKUP($A179,HN!$A:$BS,14,FALSE)/12),0)</f>
        <v>0</v>
      </c>
      <c r="AT179" s="309">
        <f>_xlfn.IFNA(VLOOKUP($A179,'Post 16'!$A:$V,21,FALSE),0)/4</f>
        <v>0</v>
      </c>
      <c r="AU179" s="309"/>
      <c r="AV179" s="309">
        <f>_xlfn.IFNA((VLOOKUP($A179,HN!$A:$K,9,FALSE)/12),0)+_xlfn.IFNA((VLOOKUP($A179,HN!$A:$K,10,FALSE)/12),0)+_xlfn.IFNA(VLOOKUP(A179,HN!A:V,19,FALSE),0)+_xlfn.IFNA(VLOOKUP(A179,HN!A:V,20,FALSE),0)+_xlfn.IFNA(VLOOKUP(A179,HN!A:V,21,FALSE),0)</f>
        <v>0</v>
      </c>
      <c r="AW179" s="309">
        <f>_xlfn.IFNA((VLOOKUP($A179,HN!$A:$BS,15,FALSE)/12),0)</f>
        <v>0</v>
      </c>
      <c r="AX179" s="308">
        <f t="shared" si="200"/>
        <v>0</v>
      </c>
      <c r="AY179" s="308">
        <f t="shared" si="201"/>
        <v>0</v>
      </c>
      <c r="AZ179" s="309"/>
      <c r="BA179" s="309">
        <f>_xlfn.IFNA(VLOOKUP($A179,'Cash Advances'!$A:$S,10,FALSE),0)</f>
        <v>107490.81</v>
      </c>
      <c r="BB179" s="308">
        <f t="shared" si="202"/>
        <v>107490.81</v>
      </c>
      <c r="BC179" s="330">
        <f t="shared" si="203"/>
        <v>0</v>
      </c>
      <c r="BD179" s="330"/>
      <c r="BE179" s="331"/>
      <c r="BF179" s="331">
        <f>_xlfn.IFNA((VLOOKUP($A179,HN!$A:$K,8,FALSE)/12),0)</f>
        <v>0</v>
      </c>
      <c r="BG179" s="331">
        <f>_xlfn.IFNA((VLOOKUP($A179,HN!$A:$BS,14,FALSE)/12),0)</f>
        <v>0</v>
      </c>
      <c r="BH179" s="331">
        <f>_xlfn.IFNA(VLOOKUP($A179,'Post 16'!$A:$V,21,FALSE),0)/4</f>
        <v>0</v>
      </c>
      <c r="BI179" s="331"/>
      <c r="BJ179" s="331">
        <f>_xlfn.IFNA((VLOOKUP($A179,HN!$A:$K,9,FALSE)/12),0)+_xlfn.IFNA((VLOOKUP($A179,HN!$A:$K,10,FALSE)/12),0)</f>
        <v>0</v>
      </c>
      <c r="BK179" s="331">
        <f>_xlfn.IFNA((VLOOKUP($A179,HN!$A:$BS,15,FALSE)/12),0)</f>
        <v>0</v>
      </c>
      <c r="BL179" s="330">
        <f t="shared" si="204"/>
        <v>0</v>
      </c>
      <c r="BM179" s="330">
        <f t="shared" si="205"/>
        <v>0</v>
      </c>
      <c r="BN179" s="331"/>
      <c r="BO179" s="331">
        <f>_xlfn.IFNA(VLOOKUP(A179,'Cash Advances'!A:K,11,FALSE),0)</f>
        <v>0</v>
      </c>
      <c r="BP179" s="330">
        <f t="shared" si="206"/>
        <v>0</v>
      </c>
      <c r="BQ179" s="322">
        <f t="shared" si="207"/>
        <v>0</v>
      </c>
      <c r="BR179" s="322"/>
      <c r="BS179" s="323"/>
      <c r="BT179" s="323">
        <f>_xlfn.IFNA((VLOOKUP($A179,HN!$A:$K,8,FALSE)/12),0)</f>
        <v>0</v>
      </c>
      <c r="BU179" s="323">
        <f>_xlfn.IFNA((VLOOKUP($A179,HN!$A:$BS,14,FALSE)/12),0)</f>
        <v>0</v>
      </c>
      <c r="BV179" s="323">
        <f>(_xlfn.IFNA(VLOOKUP($A179,'Post 16'!$A:$AV,32,FALSE),0)/8)+_xlfn.IFNA(VLOOKUP($A179,'Post 16'!$A:$AR,40,FALSE),0)</f>
        <v>0</v>
      </c>
      <c r="BW179" s="323"/>
      <c r="BX179" s="323">
        <f>_xlfn.IFNA((VLOOKUP($A179,HN!$A:$K,9,FALSE)/12),0)+_xlfn.IFNA((VLOOKUP($A179,HN!$A:$K,10,FALSE)/12),0)</f>
        <v>0</v>
      </c>
      <c r="BY179" s="323">
        <f>_xlfn.IFNA((VLOOKUP($A179,HN!$A:$BS,15,FALSE)/12),0)</f>
        <v>0</v>
      </c>
      <c r="BZ179" s="322">
        <f t="shared" si="208"/>
        <v>0</v>
      </c>
      <c r="CA179" s="322">
        <f t="shared" si="209"/>
        <v>0</v>
      </c>
      <c r="CB179" s="323"/>
      <c r="CC179" s="323"/>
      <c r="CD179" s="322">
        <f t="shared" si="210"/>
        <v>0</v>
      </c>
      <c r="CE179" s="357">
        <f t="shared" si="211"/>
        <v>0</v>
      </c>
      <c r="CF179" s="357">
        <f>(VLOOKUP($A179,EY!$A:$BS,26,FALSE)-(VLOOKUP($A179,EY!A:CR,24,FALSE)*80%))+VLOOKUP($A179,EY!$A:$BS,42,FALSE)+(VLOOKUP($A179,EY!A:CC,74,FALSE)-VLOOKUP($A179,EY!A:CC,72,FALSE))</f>
        <v>132275.86085505734</v>
      </c>
      <c r="CG179" s="358"/>
      <c r="CH179" s="358">
        <f>_xlfn.IFNA((VLOOKUP($A179,HN!$A:$K,8,FALSE)/12),0)</f>
        <v>0</v>
      </c>
      <c r="CI179" s="358">
        <f>_xlfn.IFNA((VLOOKUP($A179,HN!$A:$BS,14,FALSE)/12),0)</f>
        <v>0</v>
      </c>
      <c r="CJ179" s="358">
        <f>(_xlfn.IFNA(VLOOKUP($A179,'Post 16'!$A:$AV,32,FALSE),0)/8)</f>
        <v>0</v>
      </c>
      <c r="CK179" s="358">
        <f>(VLOOKUP($A179,EY!A:CR,24,FALSE)*80%)+VLOOKUP($A179,EY!A:CC,72,FALSE)</f>
        <v>2182.0557894736839</v>
      </c>
      <c r="CL179" s="358">
        <f>_xlfn.IFNA((VLOOKUP($A179,HN!$A:$K,9,FALSE)/12),0)+_xlfn.IFNA((VLOOKUP($A179,HN!$A:$K,10,FALSE)/12),0)</f>
        <v>0</v>
      </c>
      <c r="CM179" s="358">
        <f>_xlfn.IFNA((VLOOKUP($A179,HN!$A:$BS,15,FALSE)/12),0)</f>
        <v>0</v>
      </c>
      <c r="CN179" s="357">
        <f t="shared" si="212"/>
        <v>0</v>
      </c>
      <c r="CO179" s="357">
        <f t="shared" si="213"/>
        <v>0</v>
      </c>
      <c r="CP179" s="358">
        <f>_xlfn.IFNA(VLOOKUP(A179,'LA Deductions'!A:W,23,FALSE),0)</f>
        <v>-3291.75</v>
      </c>
      <c r="CQ179" s="358">
        <f>_xlfn.IFNA(VLOOKUP($A179,'Cash Advances'!$A:$S,13,FALSE),0)</f>
        <v>0</v>
      </c>
      <c r="CR179" s="358">
        <f>_xlfn.IFNA(VLOOKUP(A179,'LA Deductions'!A:AZ,25,FALSE),0)/9*3</f>
        <v>0</v>
      </c>
      <c r="CS179" s="357">
        <f t="shared" si="173"/>
        <v>131166.16664453101</v>
      </c>
      <c r="CT179" s="337">
        <f t="shared" si="214"/>
        <v>0</v>
      </c>
      <c r="CU179" s="337"/>
      <c r="CV179" s="338">
        <f>_xlfn.IFNA(VLOOKUP(A179,'LA Deductions'!$A$6:$AN$207,34,FALSE),0)</f>
        <v>0</v>
      </c>
      <c r="CW179" s="338">
        <f>_xlfn.IFNA((VLOOKUP($A179,HN!$A:$K,8,FALSE)/12),0)</f>
        <v>0</v>
      </c>
      <c r="CX179" s="338">
        <f>_xlfn.IFNA((VLOOKUP($A179,HN!$A:$BS,14,FALSE)/12),0)</f>
        <v>0</v>
      </c>
      <c r="CY179" s="338">
        <f>_xlfn.IFNA(VLOOKUP($A179,'Post 16'!$A:$AV,32,FALSE),0)/8</f>
        <v>0</v>
      </c>
      <c r="CZ179" s="338"/>
      <c r="DA179" s="338">
        <f>_xlfn.IFNA((VLOOKUP($A179,HN!$A:$K,9,FALSE)/12),0)+_xlfn.IFNA((VLOOKUP($A179,HN!$A:$K,10,FALSE)/12),0)</f>
        <v>0</v>
      </c>
      <c r="DB179" s="338">
        <f>_xlfn.IFNA((VLOOKUP($A179,HN!$A:$BS,15,FALSE)/12),0)</f>
        <v>0</v>
      </c>
      <c r="DC179" s="337">
        <f t="shared" si="215"/>
        <v>0</v>
      </c>
      <c r="DD179" s="337">
        <f t="shared" si="216"/>
        <v>0</v>
      </c>
      <c r="DE179" s="338"/>
      <c r="DF179" s="338">
        <f>_xlfn.IFNA(VLOOKUP($A179,'Cash Advances'!$A:$S,14,FALSE),0)</f>
        <v>0</v>
      </c>
      <c r="DG179" s="338">
        <f>(_xlfn.IFNA(VLOOKUP(A179,'LA Deductions'!A:AZ,25,FALSE),0)/9)+(_xlfn.IFNA(VLOOKUP(A179,'LA Deductions'!A:AZ,26,FALSE),0))</f>
        <v>0</v>
      </c>
      <c r="DH179" s="337">
        <f t="shared" si="174"/>
        <v>0</v>
      </c>
      <c r="DI179" s="330">
        <f t="shared" si="217"/>
        <v>0</v>
      </c>
      <c r="DJ179" s="330"/>
      <c r="DK179" s="331"/>
      <c r="DL179" s="331">
        <f>_xlfn.IFNA((VLOOKUP($A179,HN!$A:$K,8,FALSE)/12),0)+_xlfn.IFNA((VLOOKUP($A179,HN!$A:$AF,32,FALSE)*8/12),0)</f>
        <v>0</v>
      </c>
      <c r="DM179" s="331">
        <f>_xlfn.IFNA((VLOOKUP($A179,HN!$A:$BS,14,FALSE)/12),0)+_xlfn.IFNA(VLOOKUP($A179,HN!$A:$BS,31,FALSE),0)</f>
        <v>0</v>
      </c>
      <c r="DN179" s="331">
        <f>_xlfn.IFNA(VLOOKUP($A179,'Post 16'!$A:$AV,32,FALSE),0)/8</f>
        <v>0</v>
      </c>
      <c r="DO179" s="331"/>
      <c r="DP179" s="331">
        <f>_xlfn.IFNA((VLOOKUP($A179,HN!$A:$K,9,FALSE)/12),0)+_xlfn.IFNA((VLOOKUP($A179,HN!$A:$K,10,FALSE)/12),0)+_xlfn.IFNA((VLOOKUP($A179,HN!$A:$BZ,33,FALSE)*8/12),0)</f>
        <v>0</v>
      </c>
      <c r="DQ179" s="331">
        <f>_xlfn.IFNA((VLOOKUP($A179,HN!$A:$BS,15,FALSE)/12),0)</f>
        <v>0</v>
      </c>
      <c r="DR179" s="330">
        <f t="shared" si="218"/>
        <v>0</v>
      </c>
      <c r="DS179" s="330">
        <f t="shared" si="219"/>
        <v>0</v>
      </c>
      <c r="DT179" s="331"/>
      <c r="DU179" s="331"/>
      <c r="DV179" s="331">
        <f>(_xlfn.IFNA(VLOOKUP(A179,'LA Deductions'!A:AZ,25,FALSE),0)/9)+_xlfn.IFNA(VLOOKUP(A179,'LA Deductions'!A:AZ,27,FALSE),0)</f>
        <v>0</v>
      </c>
      <c r="DW179" s="330">
        <f t="shared" si="175"/>
        <v>0</v>
      </c>
      <c r="DX179" s="344">
        <f t="shared" si="220"/>
        <v>0</v>
      </c>
      <c r="DY179" s="344"/>
      <c r="DZ179" s="345"/>
      <c r="EA179" s="345">
        <f>_xlfn.IFNA((VLOOKUP($A179,HN!$A:$K,8,FALSE)/12),0)+_xlfn.IFNA((VLOOKUP($A179,HN!$A:$AF,32,FALSE)*1/12),0)</f>
        <v>0</v>
      </c>
      <c r="EB179" s="345">
        <f>_xlfn.IFNA((VLOOKUP($A179,HN!$A:$BS,14,FALSE)/12),0)</f>
        <v>0</v>
      </c>
      <c r="EC179" s="345">
        <f>_xlfn.IFNA(VLOOKUP($A179,'Post 16'!$A:$AV,32,FALSE),0)/8</f>
        <v>0</v>
      </c>
      <c r="ED179" s="345"/>
      <c r="EE179" s="345">
        <f>_xlfn.IFNA((VLOOKUP($A179,HN!$A:$K,9,FALSE)/12),0)+_xlfn.IFNA((VLOOKUP($A179,HN!$A:$K,10,FALSE)/12),0)+_xlfn.IFNA((VLOOKUP($A179,HN!$A:$BZ,33,FALSE)/12),0)</f>
        <v>0</v>
      </c>
      <c r="EF179" s="345">
        <f>_xlfn.IFNA((VLOOKUP($A179,HN!$A:$BS,15,FALSE)/12),0)</f>
        <v>0</v>
      </c>
      <c r="EG179" s="344">
        <f t="shared" si="221"/>
        <v>0</v>
      </c>
      <c r="EH179" s="344">
        <f t="shared" si="222"/>
        <v>0</v>
      </c>
      <c r="EI179" s="345"/>
      <c r="EJ179" s="345">
        <f>_xlfn.IFNA(VLOOKUP(A179,'Cash Advances'!A:P,16,FALSE),0)</f>
        <v>0</v>
      </c>
      <c r="EK179" s="345">
        <f>_xlfn.IFNA(VLOOKUP(A179,'LA Deductions'!A:AZ,25,FALSE),0)/9</f>
        <v>0</v>
      </c>
      <c r="EL179" s="344">
        <f t="shared" si="176"/>
        <v>0</v>
      </c>
      <c r="EM179" s="308">
        <f t="shared" si="223"/>
        <v>0</v>
      </c>
      <c r="EN179" s="308">
        <f>((VLOOKUP($A179,EY!$A:$BS,35,FALSE)-(VLOOKUP($A179,EY!$A:$BS,33,FALSE)*80%))+VLOOKUP($A179,EY!$A:$BS,43,FALSE))+(VLOOKUP(A179,EY!A:DF,110,FALSE)-VLOOKUP(A179,EY!A:DD,108,FALSE))+(VLOOKUP(A179,EY!A:CE,83,FALSE)-VLOOKUP(A179,EY!A:CC,81,FALSE))</f>
        <v>164389.65022160666</v>
      </c>
      <c r="EO179" s="309"/>
      <c r="EP179" s="309">
        <f>_xlfn.IFNA((VLOOKUP($A179,HN!$A:$K,8,FALSE)/12),0)+_xlfn.IFNA((VLOOKUP($A179,HN!$A:$AF,32,FALSE)*1/12),0)</f>
        <v>0</v>
      </c>
      <c r="EQ179" s="309">
        <f>_xlfn.IFNA((VLOOKUP($A179,HN!$A:$BS,14,FALSE)/12),0)+_xlfn.IFNA((VLOOKUP($A179,HN!$A:$BS,34,FALSE)/3),0)</f>
        <v>0</v>
      </c>
      <c r="ER179" s="309">
        <f>_xlfn.IFNA(VLOOKUP($A179,'Post 16'!$A:$AV,32,FALSE),0)/8</f>
        <v>0</v>
      </c>
      <c r="ES179" s="309">
        <f>((VLOOKUP($A179,EY!A:EV,33,FALSE)*80%))+VLOOKUP(A179,EY!A:DD,108,FALSE)+VLOOKUP(A179,EY!A:CC,81,FALSE)</f>
        <v>4030.5702493074791</v>
      </c>
      <c r="ET179" s="309">
        <f>_xlfn.IFNA((VLOOKUP($A179,HN!$A:$K,9,FALSE)/12),0)+_xlfn.IFNA((VLOOKUP($A179,HN!$A:$K,10,FALSE)/12),0)+_xlfn.IFNA((VLOOKUP($A179,HN!$A:$BZ,33,FALSE)/12),0)</f>
        <v>0</v>
      </c>
      <c r="EU179" s="309">
        <f>_xlfn.IFNA((VLOOKUP($A179,HN!$A:$BS,15,FALSE)/12),0)</f>
        <v>0</v>
      </c>
      <c r="EV179" s="308">
        <f t="shared" si="224"/>
        <v>0</v>
      </c>
      <c r="EW179" s="308">
        <f t="shared" si="225"/>
        <v>0</v>
      </c>
      <c r="EX179" s="309"/>
      <c r="EY179" s="309">
        <f>_xlfn.IFNA(VLOOKUP($A179,'Cash Advances'!$A:$S,17,FALSE),0)</f>
        <v>0</v>
      </c>
      <c r="EZ179" s="309">
        <f>_xlfn.IFNA(VLOOKUP(A179,'LA Deductions'!A:AZ,25,FALSE),0)/9</f>
        <v>0</v>
      </c>
      <c r="FA179" s="308">
        <f t="shared" si="177"/>
        <v>168420.22047091415</v>
      </c>
      <c r="FB179" s="315">
        <f t="shared" si="226"/>
        <v>0</v>
      </c>
      <c r="FC179" s="315"/>
      <c r="FD179" s="316"/>
      <c r="FE179" s="316">
        <f>_xlfn.IFNA((VLOOKUP($A179,HN!$A:$K,8,FALSE)/12),0)+_xlfn.IFNA((VLOOKUP($A179,HN!$A:$AF,32,FALSE)*1/12),0)</f>
        <v>0</v>
      </c>
      <c r="FF179" s="316">
        <f>_xlfn.IFNA((VLOOKUP($A179,HN!$A:$BS,14,FALSE)/12),0)+_xlfn.IFNA((VLOOKUP($A179,HN!$A:$BS,34,FALSE)/3),0)</f>
        <v>0</v>
      </c>
      <c r="FG179" s="316">
        <f>_xlfn.IFNA(VLOOKUP($A179,'Post 16'!$A:$AV,32,FALSE),0)/8</f>
        <v>0</v>
      </c>
      <c r="FH179" s="316"/>
      <c r="FI179" s="316">
        <f>_xlfn.IFNA((VLOOKUP($A179,HN!$A:$K,9,FALSE)/12),0)+_xlfn.IFNA((VLOOKUP($A179,HN!$A:$K,10,FALSE)/12),0)+_xlfn.IFNA((VLOOKUP($A179,HN!$A:$BZ,33,FALSE)/12),0)+_xlfn.IFNA((VLOOKUP($A179,HN!$A:$BZ,35,FALSE)/2),0)</f>
        <v>0</v>
      </c>
      <c r="FJ179" s="316">
        <f>_xlfn.IFNA((VLOOKUP($A179,HN!$A:$BS,15,FALSE)/12),0)+_xlfn.IFNA((VLOOKUP($A179,HN!$A:$CZ,36,FALSE)/2),0)</f>
        <v>0</v>
      </c>
      <c r="FK179" s="315">
        <f t="shared" si="227"/>
        <v>0</v>
      </c>
      <c r="FL179" s="315">
        <f t="shared" si="228"/>
        <v>0</v>
      </c>
      <c r="FM179" s="316"/>
      <c r="FN179" s="316">
        <f>_xlfn.IFNA(VLOOKUP($A179,'Cash Advances'!$A:$S,18,FALSE),0)</f>
        <v>0</v>
      </c>
      <c r="FO179" s="316">
        <f>_xlfn.IFNA(VLOOKUP(A179,'LA Deductions'!A:AZ,25,FALSE),0)/9</f>
        <v>0</v>
      </c>
      <c r="FP179" s="315">
        <f t="shared" si="178"/>
        <v>0</v>
      </c>
      <c r="FQ179" s="322">
        <f t="shared" si="229"/>
        <v>0</v>
      </c>
      <c r="FR179" s="322"/>
      <c r="FS179" s="323"/>
      <c r="FT179" s="323">
        <f>_xlfn.IFNA((VLOOKUP($A179,HN!$A:$K,8,FALSE)/12),0)+_xlfn.IFNA((VLOOKUP($A179,HN!$A:$AF,32,FALSE)*1/12),0)</f>
        <v>0</v>
      </c>
      <c r="FU179" s="323">
        <f>_xlfn.IFNA((VLOOKUP($A179,HN!$A:$BS,14,FALSE)/12),0)+_xlfn.IFNA((VLOOKUP($A179,HN!$A:$BS,34,FALSE)/3),0)</f>
        <v>0</v>
      </c>
      <c r="FV179" s="323">
        <f>_xlfn.IFNA(VLOOKUP($A179,'Post 16'!$A:$AV,32,FALSE),0)/8</f>
        <v>0</v>
      </c>
      <c r="FW179" s="323"/>
      <c r="FX179" s="323">
        <f>_xlfn.IFNA((VLOOKUP($A179,HN!$A:$K,9,FALSE)/12),0)+_xlfn.IFNA((VLOOKUP($A179,HN!$A:$K,10,FALSE)/12),0)+_xlfn.IFNA((VLOOKUP($A179,HN!$A:$BZ,33,FALSE)/12),0)+_xlfn.IFNA((VLOOKUP($A179,HN!$A:$BZ,35,FALSE)/2),0)</f>
        <v>0</v>
      </c>
      <c r="FY179" s="323">
        <f>_xlfn.IFNA((VLOOKUP($A179,HN!$A:$BS,15,FALSE)/12),0)+_xlfn.IFNA((VLOOKUP($A179,HN!$A:$CZ,36,FALSE)/2),0)</f>
        <v>0</v>
      </c>
      <c r="FZ179" s="322">
        <f t="shared" si="230"/>
        <v>0</v>
      </c>
      <c r="GA179" s="322">
        <f t="shared" si="231"/>
        <v>0</v>
      </c>
      <c r="GB179" s="323"/>
      <c r="GC179" s="323"/>
      <c r="GD179" s="323">
        <f>_xlfn.IFNA(VLOOKUP(A179,'LA Deductions'!A:AZ,25,FALSE),0)/9</f>
        <v>0</v>
      </c>
      <c r="GE179" s="322">
        <f t="shared" si="179"/>
        <v>0</v>
      </c>
      <c r="GG179" s="146">
        <f t="shared" si="234"/>
        <v>612469.61383012799</v>
      </c>
      <c r="GH179" s="146">
        <f t="shared" si="234"/>
        <v>0</v>
      </c>
      <c r="GI179" s="146">
        <f t="shared" si="234"/>
        <v>7239.4891966759005</v>
      </c>
      <c r="GJ179" s="146">
        <f t="shared" si="234"/>
        <v>0</v>
      </c>
      <c r="GK179" s="146">
        <f t="shared" si="234"/>
        <v>0</v>
      </c>
      <c r="GL179" s="146">
        <f t="shared" si="234"/>
        <v>-3291.75</v>
      </c>
      <c r="GN179" s="146">
        <f t="shared" si="235"/>
        <v>612469.61383012799</v>
      </c>
      <c r="GO179" s="146">
        <f t="shared" si="235"/>
        <v>0</v>
      </c>
      <c r="GP179" s="146">
        <f t="shared" si="235"/>
        <v>7239.4891966759005</v>
      </c>
      <c r="GQ179" s="146">
        <f t="shared" si="235"/>
        <v>0</v>
      </c>
      <c r="GR179" s="146">
        <f t="shared" si="235"/>
        <v>0</v>
      </c>
      <c r="GS179" s="146">
        <f t="shared" si="235"/>
        <v>-3291.75</v>
      </c>
      <c r="GU179" s="146"/>
      <c r="GV179" s="57"/>
    </row>
    <row r="180" spans="1:204">
      <c r="A180" s="185">
        <v>2150</v>
      </c>
      <c r="B180" s="185">
        <v>103241</v>
      </c>
      <c r="C180" s="185" t="s">
        <v>400</v>
      </c>
      <c r="D180" s="2" t="s">
        <v>401</v>
      </c>
      <c r="E180" s="191" t="s">
        <v>32</v>
      </c>
      <c r="F180" s="191" t="s">
        <v>912</v>
      </c>
      <c r="H180" s="279">
        <f>_xlfn.IFNA(VLOOKUP($A180,ISB!$A$4:$BY$454,67,FALSE),0)</f>
        <v>1579128.3450764706</v>
      </c>
      <c r="I180" s="279">
        <f>_xlfn.IFNA(VLOOKUP($A180,ISB!$A$4:$BY$454,72,FALSE),0)</f>
        <v>-6728.6399999999994</v>
      </c>
      <c r="J180" s="279">
        <f>-_xlfn.IFNA(VLOOKUP($A180,ISB!$A$4:$BY$454,76,FALSE),0)</f>
        <v>-35244.79</v>
      </c>
      <c r="K180" s="279">
        <f>_xlfn.IFNA(VLOOKUP($A180,ISB!$A$4:$BY$454,77,FALSE),0)</f>
        <v>1537154.9150764707</v>
      </c>
      <c r="M180" s="301">
        <f t="shared" si="191"/>
        <v>131594.02875637254</v>
      </c>
      <c r="N180" s="301">
        <f>VLOOKUP($A180,EY!$A:$H,8,FALSE)+(VLOOKUP($A180,EY!$A:$BS,17,FALSE)-S180)+VLOOKUP($A180,EY!$A:$BS,41,FALSE)</f>
        <v>22726.080000000002</v>
      </c>
      <c r="O180" s="302"/>
      <c r="P180" s="302">
        <f>_xlfn.IFNA((VLOOKUP($A180,HN!$A:$K,8,FALSE)/12),0)</f>
        <v>0</v>
      </c>
      <c r="Q180" s="302">
        <f>_xlfn.IFNA((VLOOKUP($A180,HN!$A:$BS,14,FALSE)/12),0)</f>
        <v>0</v>
      </c>
      <c r="R180" s="302">
        <f>_xlfn.IFNA(VLOOKUP($A180,'Post 16'!$A:$V,21,FALSE),0)/4</f>
        <v>0</v>
      </c>
      <c r="S180" s="302">
        <f>VLOOKUP($A180,EY!A:Q,15,FALSE)*80%</f>
        <v>0</v>
      </c>
      <c r="T180" s="302">
        <f>_xlfn.IFNA((VLOOKUP($A180,HN!$A:$K,9,FALSE)/12),0)+_xlfn.IFNA((VLOOKUP($A180,HN!$A:$K,10,FALSE)/12),0)</f>
        <v>0</v>
      </c>
      <c r="U180" s="302">
        <f>_xlfn.IFNA((VLOOKUP($A180,HN!$A:$BS,15,FALSE)/12),0)</f>
        <v>0</v>
      </c>
      <c r="V180" s="301">
        <f t="shared" si="192"/>
        <v>-560.71999999999991</v>
      </c>
      <c r="W180" s="301">
        <f t="shared" si="193"/>
        <v>-2937.0658333333336</v>
      </c>
      <c r="X180" s="302"/>
      <c r="Y180" s="302">
        <f>_xlfn.IFNA(VLOOKUP($A180,'Cash Advances'!$A:$S,8,FALSE),0)</f>
        <v>0</v>
      </c>
      <c r="Z180" s="301">
        <f t="shared" si="194"/>
        <v>150822.3229230392</v>
      </c>
      <c r="AA180" s="315">
        <f t="shared" si="195"/>
        <v>131594.02875637254</v>
      </c>
      <c r="AB180" s="315"/>
      <c r="AC180" s="316"/>
      <c r="AD180" s="316">
        <f>_xlfn.IFNA((VLOOKUP($A180,HN!$A:$K,8,FALSE)/12),0)</f>
        <v>0</v>
      </c>
      <c r="AE180" s="316">
        <f>_xlfn.IFNA((VLOOKUP($A180,HN!$A:$BS,14,FALSE)/12),0)</f>
        <v>0</v>
      </c>
      <c r="AF180" s="316">
        <f>_xlfn.IFNA(VLOOKUP($A180,'Post 16'!$A:$V,21,FALSE),0)/4</f>
        <v>0</v>
      </c>
      <c r="AG180" s="316"/>
      <c r="AH180" s="316">
        <f>_xlfn.IFNA((VLOOKUP($A180,HN!$A:$K,9,FALSE)/12),0)+_xlfn.IFNA((VLOOKUP($A180,HN!$A:$K,10,FALSE)/12),0)</f>
        <v>0</v>
      </c>
      <c r="AI180" s="316">
        <f>_xlfn.IFNA((VLOOKUP($A180,HN!$A:$BS,15,FALSE)/12),0)</f>
        <v>0</v>
      </c>
      <c r="AJ180" s="315">
        <f t="shared" si="196"/>
        <v>-560.71999999999991</v>
      </c>
      <c r="AK180" s="315">
        <f t="shared" si="197"/>
        <v>-2937.0658333333336</v>
      </c>
      <c r="AL180" s="316"/>
      <c r="AM180" s="316">
        <f>_xlfn.IFNA(VLOOKUP($A180,'Cash Advances'!$A:$S,9,FALSE),0)</f>
        <v>0</v>
      </c>
      <c r="AN180" s="315">
        <f t="shared" si="198"/>
        <v>128096.24292303922</v>
      </c>
      <c r="AO180" s="308">
        <f t="shared" si="199"/>
        <v>131594.02875637254</v>
      </c>
      <c r="AP180" s="308"/>
      <c r="AQ180" s="309"/>
      <c r="AR180" s="309">
        <f>_xlfn.IFNA((VLOOKUP($A180,HN!$A:$K,8,FALSE)/12),0)</f>
        <v>0</v>
      </c>
      <c r="AS180" s="309">
        <f>_xlfn.IFNA((VLOOKUP($A180,HN!$A:$BS,14,FALSE)/12),0)</f>
        <v>0</v>
      </c>
      <c r="AT180" s="309">
        <f>_xlfn.IFNA(VLOOKUP($A180,'Post 16'!$A:$V,21,FALSE),0)/4</f>
        <v>0</v>
      </c>
      <c r="AU180" s="309"/>
      <c r="AV180" s="309">
        <f>_xlfn.IFNA((VLOOKUP($A180,HN!$A:$K,9,FALSE)/12),0)+_xlfn.IFNA((VLOOKUP($A180,HN!$A:$K,10,FALSE)/12),0)+_xlfn.IFNA(VLOOKUP(A180,HN!A:V,19,FALSE),0)+_xlfn.IFNA(VLOOKUP(A180,HN!A:V,20,FALSE),0)+_xlfn.IFNA(VLOOKUP(A180,HN!A:V,21,FALSE),0)</f>
        <v>0</v>
      </c>
      <c r="AW180" s="309">
        <f>_xlfn.IFNA((VLOOKUP($A180,HN!$A:$BS,15,FALSE)/12),0)</f>
        <v>0</v>
      </c>
      <c r="AX180" s="308">
        <f t="shared" si="200"/>
        <v>-560.71999999999991</v>
      </c>
      <c r="AY180" s="308">
        <f t="shared" si="201"/>
        <v>-2937.0658333333336</v>
      </c>
      <c r="AZ180" s="309"/>
      <c r="BA180" s="309">
        <f>_xlfn.IFNA(VLOOKUP($A180,'Cash Advances'!$A:$S,10,FALSE),0)</f>
        <v>0</v>
      </c>
      <c r="BB180" s="308">
        <f t="shared" si="202"/>
        <v>128096.24292303922</v>
      </c>
      <c r="BC180" s="330">
        <f t="shared" si="203"/>
        <v>131594.02875637254</v>
      </c>
      <c r="BD180" s="330"/>
      <c r="BE180" s="331"/>
      <c r="BF180" s="331">
        <f>_xlfn.IFNA((VLOOKUP($A180,HN!$A:$K,8,FALSE)/12),0)</f>
        <v>0</v>
      </c>
      <c r="BG180" s="331">
        <f>_xlfn.IFNA((VLOOKUP($A180,HN!$A:$BS,14,FALSE)/12),0)</f>
        <v>0</v>
      </c>
      <c r="BH180" s="331">
        <f>_xlfn.IFNA(VLOOKUP($A180,'Post 16'!$A:$V,21,FALSE),0)/4</f>
        <v>0</v>
      </c>
      <c r="BI180" s="331"/>
      <c r="BJ180" s="331">
        <f>_xlfn.IFNA((VLOOKUP($A180,HN!$A:$K,9,FALSE)/12),0)+_xlfn.IFNA((VLOOKUP($A180,HN!$A:$K,10,FALSE)/12),0)</f>
        <v>0</v>
      </c>
      <c r="BK180" s="331">
        <f>_xlfn.IFNA((VLOOKUP($A180,HN!$A:$BS,15,FALSE)/12),0)</f>
        <v>0</v>
      </c>
      <c r="BL180" s="330">
        <f t="shared" si="204"/>
        <v>-560.71999999999991</v>
      </c>
      <c r="BM180" s="330">
        <f t="shared" si="205"/>
        <v>-2937.0658333333336</v>
      </c>
      <c r="BN180" s="331"/>
      <c r="BO180" s="331">
        <f>_xlfn.IFNA(VLOOKUP(A180,'Cash Advances'!A:K,11,FALSE),0)</f>
        <v>0</v>
      </c>
      <c r="BP180" s="330">
        <f t="shared" si="206"/>
        <v>128096.24292303922</v>
      </c>
      <c r="BQ180" s="322">
        <f t="shared" si="207"/>
        <v>131594.02875637254</v>
      </c>
      <c r="BR180" s="322"/>
      <c r="BS180" s="323"/>
      <c r="BT180" s="323">
        <f>_xlfn.IFNA((VLOOKUP($A180,HN!$A:$K,8,FALSE)/12),0)</f>
        <v>0</v>
      </c>
      <c r="BU180" s="323">
        <f>_xlfn.IFNA((VLOOKUP($A180,HN!$A:$BS,14,FALSE)/12),0)</f>
        <v>0</v>
      </c>
      <c r="BV180" s="323">
        <f>(_xlfn.IFNA(VLOOKUP($A180,'Post 16'!$A:$AV,32,FALSE),0)/8)+_xlfn.IFNA(VLOOKUP($A180,'Post 16'!$A:$AR,40,FALSE),0)</f>
        <v>0</v>
      </c>
      <c r="BW180" s="323"/>
      <c r="BX180" s="323">
        <f>_xlfn.IFNA((VLOOKUP($A180,HN!$A:$K,9,FALSE)/12),0)+_xlfn.IFNA((VLOOKUP($A180,HN!$A:$K,10,FALSE)/12),0)</f>
        <v>0</v>
      </c>
      <c r="BY180" s="323">
        <f>_xlfn.IFNA((VLOOKUP($A180,HN!$A:$BS,15,FALSE)/12),0)</f>
        <v>0</v>
      </c>
      <c r="BZ180" s="322">
        <f t="shared" si="208"/>
        <v>-560.71999999999991</v>
      </c>
      <c r="CA180" s="322">
        <f t="shared" si="209"/>
        <v>-2937.0658333333336</v>
      </c>
      <c r="CB180" s="323"/>
      <c r="CC180" s="323"/>
      <c r="CD180" s="322">
        <f t="shared" si="210"/>
        <v>128096.24292303922</v>
      </c>
      <c r="CE180" s="357">
        <f t="shared" si="211"/>
        <v>131594.02875637254</v>
      </c>
      <c r="CF180" s="357">
        <f>(VLOOKUP($A180,EY!$A:$BS,26,FALSE)-(VLOOKUP($A180,EY!A:CR,24,FALSE)*80%))+VLOOKUP($A180,EY!$A:$BS,42,FALSE)+(VLOOKUP($A180,EY!A:CC,74,FALSE)-VLOOKUP($A180,EY!A:CC,72,FALSE))</f>
        <v>2103.1331578947375</v>
      </c>
      <c r="CG180" s="358"/>
      <c r="CH180" s="358">
        <f>_xlfn.IFNA((VLOOKUP($A180,HN!$A:$K,8,FALSE)/12),0)</f>
        <v>0</v>
      </c>
      <c r="CI180" s="358">
        <f>_xlfn.IFNA((VLOOKUP($A180,HN!$A:$BS,14,FALSE)/12),0)</f>
        <v>0</v>
      </c>
      <c r="CJ180" s="358">
        <f>(_xlfn.IFNA(VLOOKUP($A180,'Post 16'!$A:$AV,32,FALSE),0)/8)</f>
        <v>0</v>
      </c>
      <c r="CK180" s="358">
        <f>(VLOOKUP($A180,EY!A:CR,24,FALSE)*80%)+VLOOKUP($A180,EY!A:CC,72,FALSE)</f>
        <v>0</v>
      </c>
      <c r="CL180" s="358">
        <f>_xlfn.IFNA((VLOOKUP($A180,HN!$A:$K,9,FALSE)/12),0)+_xlfn.IFNA((VLOOKUP($A180,HN!$A:$K,10,FALSE)/12),0)</f>
        <v>0</v>
      </c>
      <c r="CM180" s="358">
        <f>_xlfn.IFNA((VLOOKUP($A180,HN!$A:$BS,15,FALSE)/12),0)</f>
        <v>0</v>
      </c>
      <c r="CN180" s="357">
        <f t="shared" si="212"/>
        <v>-560.71999999999991</v>
      </c>
      <c r="CO180" s="357">
        <f t="shared" si="213"/>
        <v>-2937.0658333333336</v>
      </c>
      <c r="CP180" s="358">
        <f>_xlfn.IFNA(VLOOKUP(A180,'LA Deductions'!A:W,23,FALSE),0)</f>
        <v>-5139.75</v>
      </c>
      <c r="CQ180" s="358">
        <f>_xlfn.IFNA(VLOOKUP($A180,'Cash Advances'!$A:$S,13,FALSE),0)</f>
        <v>0</v>
      </c>
      <c r="CR180" s="358">
        <f>_xlfn.IFNA(VLOOKUP(A180,'LA Deductions'!A:AZ,25,FALSE),0)/9*3</f>
        <v>0</v>
      </c>
      <c r="CS180" s="357">
        <f t="shared" si="173"/>
        <v>125059.62608093396</v>
      </c>
      <c r="CT180" s="337">
        <f t="shared" si="214"/>
        <v>131594.02875637254</v>
      </c>
      <c r="CU180" s="337"/>
      <c r="CV180" s="338">
        <f>_xlfn.IFNA(VLOOKUP(A180,'LA Deductions'!$A$6:$AN$207,34,FALSE),0)</f>
        <v>0</v>
      </c>
      <c r="CW180" s="338">
        <f>_xlfn.IFNA((VLOOKUP($A180,HN!$A:$K,8,FALSE)/12),0)</f>
        <v>0</v>
      </c>
      <c r="CX180" s="338">
        <f>_xlfn.IFNA((VLOOKUP($A180,HN!$A:$BS,14,FALSE)/12),0)</f>
        <v>0</v>
      </c>
      <c r="CY180" s="338">
        <f>_xlfn.IFNA(VLOOKUP($A180,'Post 16'!$A:$AV,32,FALSE),0)/8</f>
        <v>0</v>
      </c>
      <c r="CZ180" s="338"/>
      <c r="DA180" s="338">
        <f>_xlfn.IFNA((VLOOKUP($A180,HN!$A:$K,9,FALSE)/12),0)+_xlfn.IFNA((VLOOKUP($A180,HN!$A:$K,10,FALSE)/12),0)</f>
        <v>0</v>
      </c>
      <c r="DB180" s="338">
        <f>_xlfn.IFNA((VLOOKUP($A180,HN!$A:$BS,15,FALSE)/12),0)</f>
        <v>0</v>
      </c>
      <c r="DC180" s="337">
        <f t="shared" si="215"/>
        <v>-560.71999999999991</v>
      </c>
      <c r="DD180" s="337">
        <f t="shared" si="216"/>
        <v>-2937.0658333333336</v>
      </c>
      <c r="DE180" s="338"/>
      <c r="DF180" s="338">
        <f>_xlfn.IFNA(VLOOKUP($A180,'Cash Advances'!$A:$S,14,FALSE),0)</f>
        <v>0</v>
      </c>
      <c r="DG180" s="338">
        <f>(_xlfn.IFNA(VLOOKUP(A180,'LA Deductions'!A:AZ,25,FALSE),0)/9)+(_xlfn.IFNA(VLOOKUP(A180,'LA Deductions'!A:AZ,26,FALSE),0))</f>
        <v>0</v>
      </c>
      <c r="DH180" s="337">
        <f t="shared" si="174"/>
        <v>128096.24292303922</v>
      </c>
      <c r="DI180" s="330">
        <f t="shared" si="217"/>
        <v>131594.02875637254</v>
      </c>
      <c r="DJ180" s="330"/>
      <c r="DK180" s="331"/>
      <c r="DL180" s="331">
        <f>_xlfn.IFNA((VLOOKUP($A180,HN!$A:$K,8,FALSE)/12),0)+_xlfn.IFNA((VLOOKUP($A180,HN!$A:$AF,32,FALSE)*8/12),0)</f>
        <v>0</v>
      </c>
      <c r="DM180" s="331">
        <f>_xlfn.IFNA((VLOOKUP($A180,HN!$A:$BS,14,FALSE)/12),0)+_xlfn.IFNA(VLOOKUP($A180,HN!$A:$BS,31,FALSE),0)</f>
        <v>0</v>
      </c>
      <c r="DN180" s="331">
        <f>_xlfn.IFNA(VLOOKUP($A180,'Post 16'!$A:$AV,32,FALSE),0)/8</f>
        <v>0</v>
      </c>
      <c r="DO180" s="331"/>
      <c r="DP180" s="331">
        <f>_xlfn.IFNA((VLOOKUP($A180,HN!$A:$K,9,FALSE)/12),0)+_xlfn.IFNA((VLOOKUP($A180,HN!$A:$K,10,FALSE)/12),0)+_xlfn.IFNA((VLOOKUP($A180,HN!$A:$BZ,33,FALSE)*8/12),0)</f>
        <v>0</v>
      </c>
      <c r="DQ180" s="331">
        <f>_xlfn.IFNA((VLOOKUP($A180,HN!$A:$BS,15,FALSE)/12),0)</f>
        <v>0</v>
      </c>
      <c r="DR180" s="330">
        <f t="shared" si="218"/>
        <v>-560.71999999999991</v>
      </c>
      <c r="DS180" s="330">
        <f t="shared" si="219"/>
        <v>-2937.0658333333336</v>
      </c>
      <c r="DT180" s="331"/>
      <c r="DU180" s="331"/>
      <c r="DV180" s="331">
        <f>(_xlfn.IFNA(VLOOKUP(A180,'LA Deductions'!A:AZ,25,FALSE),0)/9)+_xlfn.IFNA(VLOOKUP(A180,'LA Deductions'!A:AZ,27,FALSE),0)</f>
        <v>0</v>
      </c>
      <c r="DW180" s="330">
        <f t="shared" si="175"/>
        <v>128096.24292303922</v>
      </c>
      <c r="DX180" s="344">
        <f t="shared" si="220"/>
        <v>131594.02875637254</v>
      </c>
      <c r="DY180" s="344"/>
      <c r="DZ180" s="345"/>
      <c r="EA180" s="345">
        <f>_xlfn.IFNA((VLOOKUP($A180,HN!$A:$K,8,FALSE)/12),0)+_xlfn.IFNA((VLOOKUP($A180,HN!$A:$AF,32,FALSE)*1/12),0)</f>
        <v>0</v>
      </c>
      <c r="EB180" s="345">
        <f>_xlfn.IFNA((VLOOKUP($A180,HN!$A:$BS,14,FALSE)/12),0)</f>
        <v>0</v>
      </c>
      <c r="EC180" s="345">
        <f>_xlfn.IFNA(VLOOKUP($A180,'Post 16'!$A:$AV,32,FALSE),0)/8</f>
        <v>0</v>
      </c>
      <c r="ED180" s="345"/>
      <c r="EE180" s="345">
        <f>_xlfn.IFNA((VLOOKUP($A180,HN!$A:$K,9,FALSE)/12),0)+_xlfn.IFNA((VLOOKUP($A180,HN!$A:$K,10,FALSE)/12),0)+_xlfn.IFNA((VLOOKUP($A180,HN!$A:$BZ,33,FALSE)/12),0)</f>
        <v>0</v>
      </c>
      <c r="EF180" s="345">
        <f>_xlfn.IFNA((VLOOKUP($A180,HN!$A:$BS,15,FALSE)/12),0)</f>
        <v>0</v>
      </c>
      <c r="EG180" s="344">
        <f t="shared" si="221"/>
        <v>-560.71999999999991</v>
      </c>
      <c r="EH180" s="344">
        <f t="shared" si="222"/>
        <v>-2937.0658333333336</v>
      </c>
      <c r="EI180" s="345"/>
      <c r="EJ180" s="345">
        <f>_xlfn.IFNA(VLOOKUP(A180,'Cash Advances'!A:P,16,FALSE),0)</f>
        <v>0</v>
      </c>
      <c r="EK180" s="345">
        <f>_xlfn.IFNA(VLOOKUP(A180,'LA Deductions'!A:AZ,25,FALSE),0)/9</f>
        <v>0</v>
      </c>
      <c r="EL180" s="344">
        <f t="shared" si="176"/>
        <v>128096.24292303922</v>
      </c>
      <c r="EM180" s="308">
        <f t="shared" si="223"/>
        <v>131594.02875637254</v>
      </c>
      <c r="EN180" s="308">
        <f>((VLOOKUP($A180,EY!$A:$BS,35,FALSE)-(VLOOKUP($A180,EY!$A:$BS,33,FALSE)*80%))+VLOOKUP($A180,EY!$A:$BS,43,FALSE))+(VLOOKUP(A180,EY!A:DF,110,FALSE)-VLOOKUP(A180,EY!A:DD,108,FALSE))+(VLOOKUP(A180,EY!A:CE,83,FALSE)-VLOOKUP(A180,EY!A:CC,81,FALSE))</f>
        <v>5733.8791135734027</v>
      </c>
      <c r="EO180" s="309"/>
      <c r="EP180" s="309">
        <f>_xlfn.IFNA((VLOOKUP($A180,HN!$A:$K,8,FALSE)/12),0)+_xlfn.IFNA((VLOOKUP($A180,HN!$A:$AF,32,FALSE)*1/12),0)</f>
        <v>0</v>
      </c>
      <c r="EQ180" s="309">
        <f>_xlfn.IFNA((VLOOKUP($A180,HN!$A:$BS,14,FALSE)/12),0)+_xlfn.IFNA((VLOOKUP($A180,HN!$A:$BS,34,FALSE)/3),0)</f>
        <v>0</v>
      </c>
      <c r="ER180" s="309">
        <f>_xlfn.IFNA(VLOOKUP($A180,'Post 16'!$A:$AV,32,FALSE),0)/8</f>
        <v>0</v>
      </c>
      <c r="ES180" s="309">
        <f>((VLOOKUP($A180,EY!A:EV,33,FALSE)*80%))+VLOOKUP(A180,EY!A:DD,108,FALSE)+VLOOKUP(A180,EY!A:CC,81,FALSE)</f>
        <v>0</v>
      </c>
      <c r="ET180" s="309">
        <f>_xlfn.IFNA((VLOOKUP($A180,HN!$A:$K,9,FALSE)/12),0)+_xlfn.IFNA((VLOOKUP($A180,HN!$A:$K,10,FALSE)/12),0)+_xlfn.IFNA((VLOOKUP($A180,HN!$A:$BZ,33,FALSE)/12),0)</f>
        <v>0</v>
      </c>
      <c r="EU180" s="309">
        <f>_xlfn.IFNA((VLOOKUP($A180,HN!$A:$BS,15,FALSE)/12),0)</f>
        <v>0</v>
      </c>
      <c r="EV180" s="308">
        <f t="shared" si="224"/>
        <v>-560.71999999999991</v>
      </c>
      <c r="EW180" s="308">
        <f t="shared" si="225"/>
        <v>-2937.0658333333336</v>
      </c>
      <c r="EX180" s="309"/>
      <c r="EY180" s="309">
        <f>_xlfn.IFNA(VLOOKUP($A180,'Cash Advances'!$A:$S,17,FALSE),0)</f>
        <v>0</v>
      </c>
      <c r="EZ180" s="309">
        <f>_xlfn.IFNA(VLOOKUP(A180,'LA Deductions'!A:AZ,25,FALSE),0)/9</f>
        <v>0</v>
      </c>
      <c r="FA180" s="308">
        <f t="shared" si="177"/>
        <v>133830.12203661262</v>
      </c>
      <c r="FB180" s="315">
        <f t="shared" si="226"/>
        <v>131594.02875637254</v>
      </c>
      <c r="FC180" s="315"/>
      <c r="FD180" s="316"/>
      <c r="FE180" s="316">
        <f>_xlfn.IFNA((VLOOKUP($A180,HN!$A:$K,8,FALSE)/12),0)+_xlfn.IFNA((VLOOKUP($A180,HN!$A:$AF,32,FALSE)*1/12),0)</f>
        <v>0</v>
      </c>
      <c r="FF180" s="316">
        <f>_xlfn.IFNA((VLOOKUP($A180,HN!$A:$BS,14,FALSE)/12),0)+_xlfn.IFNA((VLOOKUP($A180,HN!$A:$BS,34,FALSE)/3),0)</f>
        <v>0</v>
      </c>
      <c r="FG180" s="316">
        <f>_xlfn.IFNA(VLOOKUP($A180,'Post 16'!$A:$AV,32,FALSE),0)/8</f>
        <v>0</v>
      </c>
      <c r="FH180" s="316"/>
      <c r="FI180" s="316">
        <f>_xlfn.IFNA((VLOOKUP($A180,HN!$A:$K,9,FALSE)/12),0)+_xlfn.IFNA((VLOOKUP($A180,HN!$A:$K,10,FALSE)/12),0)+_xlfn.IFNA((VLOOKUP($A180,HN!$A:$BZ,33,FALSE)/12),0)+_xlfn.IFNA((VLOOKUP($A180,HN!$A:$BZ,35,FALSE)/2),0)</f>
        <v>0</v>
      </c>
      <c r="FJ180" s="316">
        <f>_xlfn.IFNA((VLOOKUP($A180,HN!$A:$BS,15,FALSE)/12),0)+_xlfn.IFNA((VLOOKUP($A180,HN!$A:$CZ,36,FALSE)/2),0)</f>
        <v>0</v>
      </c>
      <c r="FK180" s="315">
        <f t="shared" si="227"/>
        <v>-560.71999999999991</v>
      </c>
      <c r="FL180" s="315">
        <f t="shared" si="228"/>
        <v>-2937.0658333333336</v>
      </c>
      <c r="FM180" s="316"/>
      <c r="FN180" s="316">
        <f>_xlfn.IFNA(VLOOKUP($A180,'Cash Advances'!$A:$S,18,FALSE),0)</f>
        <v>0</v>
      </c>
      <c r="FO180" s="316">
        <f>_xlfn.IFNA(VLOOKUP(A180,'LA Deductions'!A:AZ,25,FALSE),0)/9</f>
        <v>0</v>
      </c>
      <c r="FP180" s="315">
        <f t="shared" si="178"/>
        <v>128096.24292303922</v>
      </c>
      <c r="FQ180" s="322">
        <f t="shared" si="229"/>
        <v>131594.02875637254</v>
      </c>
      <c r="FR180" s="322"/>
      <c r="FS180" s="323"/>
      <c r="FT180" s="323">
        <f>_xlfn.IFNA((VLOOKUP($A180,HN!$A:$K,8,FALSE)/12),0)+_xlfn.IFNA((VLOOKUP($A180,HN!$A:$AF,32,FALSE)*1/12),0)</f>
        <v>0</v>
      </c>
      <c r="FU180" s="323">
        <f>_xlfn.IFNA((VLOOKUP($A180,HN!$A:$BS,14,FALSE)/12),0)+_xlfn.IFNA((VLOOKUP($A180,HN!$A:$BS,34,FALSE)/3),0)</f>
        <v>0</v>
      </c>
      <c r="FV180" s="323">
        <f>_xlfn.IFNA(VLOOKUP($A180,'Post 16'!$A:$AV,32,FALSE),0)/8</f>
        <v>0</v>
      </c>
      <c r="FW180" s="323"/>
      <c r="FX180" s="323">
        <f>_xlfn.IFNA((VLOOKUP($A180,HN!$A:$K,9,FALSE)/12),0)+_xlfn.IFNA((VLOOKUP($A180,HN!$A:$K,10,FALSE)/12),0)+_xlfn.IFNA((VLOOKUP($A180,HN!$A:$BZ,33,FALSE)/12),0)+_xlfn.IFNA((VLOOKUP($A180,HN!$A:$BZ,35,FALSE)/2),0)</f>
        <v>0</v>
      </c>
      <c r="FY180" s="323">
        <f>_xlfn.IFNA((VLOOKUP($A180,HN!$A:$BS,15,FALSE)/12),0)+_xlfn.IFNA((VLOOKUP($A180,HN!$A:$CZ,36,FALSE)/2),0)</f>
        <v>0</v>
      </c>
      <c r="FZ180" s="322">
        <f t="shared" si="230"/>
        <v>-560.71999999999991</v>
      </c>
      <c r="GA180" s="322">
        <f t="shared" si="231"/>
        <v>-2937.0658333333336</v>
      </c>
      <c r="GB180" s="323"/>
      <c r="GC180" s="323"/>
      <c r="GD180" s="323">
        <f>_xlfn.IFNA(VLOOKUP(A180,'LA Deductions'!A:AZ,25,FALSE),0)/9</f>
        <v>0</v>
      </c>
      <c r="GE180" s="322">
        <f t="shared" si="179"/>
        <v>128096.24292303922</v>
      </c>
      <c r="GG180" s="146">
        <f t="shared" si="234"/>
        <v>1609691.4373479388</v>
      </c>
      <c r="GH180" s="146">
        <f t="shared" si="234"/>
        <v>0</v>
      </c>
      <c r="GI180" s="146">
        <f t="shared" si="234"/>
        <v>0</v>
      </c>
      <c r="GJ180" s="146">
        <f t="shared" si="234"/>
        <v>-6728.64</v>
      </c>
      <c r="GK180" s="146">
        <f t="shared" si="234"/>
        <v>-35244.79</v>
      </c>
      <c r="GL180" s="146">
        <f t="shared" si="234"/>
        <v>-5139.75</v>
      </c>
      <c r="GN180" s="146">
        <f t="shared" si="235"/>
        <v>1609691.4373479388</v>
      </c>
      <c r="GO180" s="146">
        <f t="shared" si="235"/>
        <v>0</v>
      </c>
      <c r="GP180" s="146">
        <f t="shared" si="235"/>
        <v>0</v>
      </c>
      <c r="GQ180" s="146">
        <f t="shared" si="235"/>
        <v>-6728.64</v>
      </c>
      <c r="GR180" s="146">
        <f t="shared" si="235"/>
        <v>-35244.79</v>
      </c>
      <c r="GS180" s="146">
        <f t="shared" si="235"/>
        <v>-5139.75</v>
      </c>
      <c r="GU180" s="146"/>
      <c r="GV180" s="57"/>
    </row>
    <row r="181" spans="1:204">
      <c r="A181" s="185">
        <v>2425</v>
      </c>
      <c r="B181" s="185">
        <v>103356</v>
      </c>
      <c r="C181" s="185" t="s">
        <v>402</v>
      </c>
      <c r="D181" s="2" t="s">
        <v>403</v>
      </c>
      <c r="E181" s="191" t="s">
        <v>32</v>
      </c>
      <c r="F181" s="191" t="s">
        <v>912</v>
      </c>
      <c r="H181" s="279">
        <f>_xlfn.IFNA(VLOOKUP($A181,ISB!$A$4:$BY$454,67,FALSE),0)</f>
        <v>1109101.1488526065</v>
      </c>
      <c r="I181" s="279">
        <f>_xlfn.IFNA(VLOOKUP($A181,ISB!$A$4:$BY$454,72,FALSE),0)</f>
        <v>-5450.7199999999993</v>
      </c>
      <c r="J181" s="279">
        <f>-_xlfn.IFNA(VLOOKUP($A181,ISB!$A$4:$BY$454,76,FALSE),0)</f>
        <v>-15625.33</v>
      </c>
      <c r="K181" s="279">
        <f>_xlfn.IFNA(VLOOKUP($A181,ISB!$A$4:$BY$454,77,FALSE),0)</f>
        <v>1088025.0988526065</v>
      </c>
      <c r="M181" s="301">
        <f t="shared" si="191"/>
        <v>92425.095737717216</v>
      </c>
      <c r="N181" s="301">
        <f>VLOOKUP($A181,EY!$A:$H,8,FALSE)+(VLOOKUP($A181,EY!$A:$BS,17,FALSE)-S181)+VLOOKUP($A181,EY!$A:$BS,41,FALSE)</f>
        <v>0</v>
      </c>
      <c r="O181" s="302"/>
      <c r="P181" s="302">
        <f>_xlfn.IFNA((VLOOKUP($A181,HN!$A:$K,8,FALSE)/12),0)</f>
        <v>0</v>
      </c>
      <c r="Q181" s="302">
        <f>_xlfn.IFNA((VLOOKUP($A181,HN!$A:$BS,14,FALSE)/12),0)</f>
        <v>0</v>
      </c>
      <c r="R181" s="302">
        <f>_xlfn.IFNA(VLOOKUP($A181,'Post 16'!$A:$V,21,FALSE),0)/4</f>
        <v>0</v>
      </c>
      <c r="S181" s="302">
        <f>VLOOKUP($A181,EY!A:Q,15,FALSE)*80%</f>
        <v>0</v>
      </c>
      <c r="T181" s="302">
        <f>_xlfn.IFNA((VLOOKUP($A181,HN!$A:$K,9,FALSE)/12),0)+_xlfn.IFNA((VLOOKUP($A181,HN!$A:$K,10,FALSE)/12),0)</f>
        <v>0</v>
      </c>
      <c r="U181" s="302">
        <f>_xlfn.IFNA((VLOOKUP($A181,HN!$A:$BS,15,FALSE)/12),0)</f>
        <v>0</v>
      </c>
      <c r="V181" s="301">
        <f t="shared" si="192"/>
        <v>-454.22666666666663</v>
      </c>
      <c r="W181" s="301">
        <f t="shared" si="193"/>
        <v>-1302.1108333333334</v>
      </c>
      <c r="X181" s="302"/>
      <c r="Y181" s="302">
        <f>_xlfn.IFNA(VLOOKUP($A181,'Cash Advances'!$A:$S,8,FALSE),0)</f>
        <v>0</v>
      </c>
      <c r="Z181" s="301">
        <f t="shared" si="194"/>
        <v>90668.758237717208</v>
      </c>
      <c r="AA181" s="315">
        <f t="shared" si="195"/>
        <v>92425.095737717216</v>
      </c>
      <c r="AB181" s="315"/>
      <c r="AC181" s="316"/>
      <c r="AD181" s="316">
        <f>_xlfn.IFNA((VLOOKUP($A181,HN!$A:$K,8,FALSE)/12),0)</f>
        <v>0</v>
      </c>
      <c r="AE181" s="316">
        <f>_xlfn.IFNA((VLOOKUP($A181,HN!$A:$BS,14,FALSE)/12),0)</f>
        <v>0</v>
      </c>
      <c r="AF181" s="316">
        <f>_xlfn.IFNA(VLOOKUP($A181,'Post 16'!$A:$V,21,FALSE),0)/4</f>
        <v>0</v>
      </c>
      <c r="AG181" s="316"/>
      <c r="AH181" s="316">
        <f>_xlfn.IFNA((VLOOKUP($A181,HN!$A:$K,9,FALSE)/12),0)+_xlfn.IFNA((VLOOKUP($A181,HN!$A:$K,10,FALSE)/12),0)</f>
        <v>0</v>
      </c>
      <c r="AI181" s="316">
        <f>_xlfn.IFNA((VLOOKUP($A181,HN!$A:$BS,15,FALSE)/12),0)</f>
        <v>0</v>
      </c>
      <c r="AJ181" s="315">
        <f t="shared" si="196"/>
        <v>-454.22666666666663</v>
      </c>
      <c r="AK181" s="315">
        <f t="shared" si="197"/>
        <v>-1302.1108333333334</v>
      </c>
      <c r="AL181" s="316"/>
      <c r="AM181" s="316">
        <f>_xlfn.IFNA(VLOOKUP($A181,'Cash Advances'!$A:$S,9,FALSE),0)</f>
        <v>0</v>
      </c>
      <c r="AN181" s="315">
        <f t="shared" si="198"/>
        <v>90668.758237717208</v>
      </c>
      <c r="AO181" s="308">
        <f t="shared" si="199"/>
        <v>92425.095737717216</v>
      </c>
      <c r="AP181" s="308"/>
      <c r="AQ181" s="309"/>
      <c r="AR181" s="309">
        <f>_xlfn.IFNA((VLOOKUP($A181,HN!$A:$K,8,FALSE)/12),0)</f>
        <v>0</v>
      </c>
      <c r="AS181" s="309">
        <f>_xlfn.IFNA((VLOOKUP($A181,HN!$A:$BS,14,FALSE)/12),0)</f>
        <v>0</v>
      </c>
      <c r="AT181" s="309">
        <f>_xlfn.IFNA(VLOOKUP($A181,'Post 16'!$A:$V,21,FALSE),0)/4</f>
        <v>0</v>
      </c>
      <c r="AU181" s="309"/>
      <c r="AV181" s="309">
        <f>_xlfn.IFNA((VLOOKUP($A181,HN!$A:$K,9,FALSE)/12),0)+_xlfn.IFNA((VLOOKUP($A181,HN!$A:$K,10,FALSE)/12),0)+_xlfn.IFNA(VLOOKUP(A181,HN!A:V,19,FALSE),0)+_xlfn.IFNA(VLOOKUP(A181,HN!A:V,20,FALSE),0)+_xlfn.IFNA(VLOOKUP(A181,HN!A:V,21,FALSE),0)</f>
        <v>0</v>
      </c>
      <c r="AW181" s="309">
        <f>_xlfn.IFNA((VLOOKUP($A181,HN!$A:$BS,15,FALSE)/12),0)</f>
        <v>0</v>
      </c>
      <c r="AX181" s="308">
        <f t="shared" si="200"/>
        <v>-454.22666666666663</v>
      </c>
      <c r="AY181" s="308">
        <f t="shared" si="201"/>
        <v>-1302.1108333333334</v>
      </c>
      <c r="AZ181" s="309"/>
      <c r="BA181" s="309">
        <f>_xlfn.IFNA(VLOOKUP($A181,'Cash Advances'!$A:$S,10,FALSE),0)</f>
        <v>0</v>
      </c>
      <c r="BB181" s="308">
        <f t="shared" si="202"/>
        <v>90668.758237717208</v>
      </c>
      <c r="BC181" s="330">
        <f t="shared" si="203"/>
        <v>92425.095737717216</v>
      </c>
      <c r="BD181" s="330"/>
      <c r="BE181" s="331"/>
      <c r="BF181" s="331">
        <f>_xlfn.IFNA((VLOOKUP($A181,HN!$A:$K,8,FALSE)/12),0)</f>
        <v>0</v>
      </c>
      <c r="BG181" s="331">
        <f>_xlfn.IFNA((VLOOKUP($A181,HN!$A:$BS,14,FALSE)/12),0)</f>
        <v>0</v>
      </c>
      <c r="BH181" s="331">
        <f>_xlfn.IFNA(VLOOKUP($A181,'Post 16'!$A:$V,21,FALSE),0)/4</f>
        <v>0</v>
      </c>
      <c r="BI181" s="331"/>
      <c r="BJ181" s="331">
        <f>_xlfn.IFNA((VLOOKUP($A181,HN!$A:$K,9,FALSE)/12),0)+_xlfn.IFNA((VLOOKUP($A181,HN!$A:$K,10,FALSE)/12),0)</f>
        <v>0</v>
      </c>
      <c r="BK181" s="331">
        <f>_xlfn.IFNA((VLOOKUP($A181,HN!$A:$BS,15,FALSE)/12),0)</f>
        <v>0</v>
      </c>
      <c r="BL181" s="330">
        <f t="shared" si="204"/>
        <v>-454.22666666666663</v>
      </c>
      <c r="BM181" s="330">
        <f t="shared" si="205"/>
        <v>-1302.1108333333334</v>
      </c>
      <c r="BN181" s="331"/>
      <c r="BO181" s="331">
        <f>_xlfn.IFNA(VLOOKUP(A181,'Cash Advances'!A:K,11,FALSE),0)</f>
        <v>0</v>
      </c>
      <c r="BP181" s="330">
        <f t="shared" si="206"/>
        <v>90668.758237717208</v>
      </c>
      <c r="BQ181" s="322">
        <f t="shared" si="207"/>
        <v>92425.095737717216</v>
      </c>
      <c r="BR181" s="322"/>
      <c r="BS181" s="323"/>
      <c r="BT181" s="323">
        <f>_xlfn.IFNA((VLOOKUP($A181,HN!$A:$K,8,FALSE)/12),0)</f>
        <v>0</v>
      </c>
      <c r="BU181" s="323">
        <f>_xlfn.IFNA((VLOOKUP($A181,HN!$A:$BS,14,FALSE)/12),0)</f>
        <v>0</v>
      </c>
      <c r="BV181" s="323">
        <f>(_xlfn.IFNA(VLOOKUP($A181,'Post 16'!$A:$AV,32,FALSE),0)/8)+_xlfn.IFNA(VLOOKUP($A181,'Post 16'!$A:$AR,40,FALSE),0)</f>
        <v>0</v>
      </c>
      <c r="BW181" s="323"/>
      <c r="BX181" s="323">
        <f>_xlfn.IFNA((VLOOKUP($A181,HN!$A:$K,9,FALSE)/12),0)+_xlfn.IFNA((VLOOKUP($A181,HN!$A:$K,10,FALSE)/12),0)</f>
        <v>0</v>
      </c>
      <c r="BY181" s="323">
        <f>_xlfn.IFNA((VLOOKUP($A181,HN!$A:$BS,15,FALSE)/12),0)</f>
        <v>0</v>
      </c>
      <c r="BZ181" s="322">
        <f t="shared" si="208"/>
        <v>-454.22666666666663</v>
      </c>
      <c r="CA181" s="322">
        <f t="shared" si="209"/>
        <v>-1302.1108333333334</v>
      </c>
      <c r="CB181" s="323"/>
      <c r="CC181" s="323"/>
      <c r="CD181" s="322">
        <f t="shared" si="210"/>
        <v>90668.758237717208</v>
      </c>
      <c r="CE181" s="357">
        <f t="shared" si="211"/>
        <v>92425.095737717216</v>
      </c>
      <c r="CF181" s="357">
        <f>(VLOOKUP($A181,EY!$A:$BS,26,FALSE)-(VLOOKUP($A181,EY!A:CR,24,FALSE)*80%))+VLOOKUP($A181,EY!$A:$BS,42,FALSE)+(VLOOKUP($A181,EY!A:CC,74,FALSE)-VLOOKUP($A181,EY!A:CC,72,FALSE))</f>
        <v>0</v>
      </c>
      <c r="CG181" s="358"/>
      <c r="CH181" s="358">
        <f>_xlfn.IFNA((VLOOKUP($A181,HN!$A:$K,8,FALSE)/12),0)</f>
        <v>0</v>
      </c>
      <c r="CI181" s="358">
        <f>_xlfn.IFNA((VLOOKUP($A181,HN!$A:$BS,14,FALSE)/12),0)</f>
        <v>0</v>
      </c>
      <c r="CJ181" s="358">
        <f>(_xlfn.IFNA(VLOOKUP($A181,'Post 16'!$A:$AV,32,FALSE),0)/8)</f>
        <v>0</v>
      </c>
      <c r="CK181" s="358">
        <f>(VLOOKUP($A181,EY!A:CR,24,FALSE)*80%)+VLOOKUP($A181,EY!A:CC,72,FALSE)</f>
        <v>0</v>
      </c>
      <c r="CL181" s="358">
        <f>_xlfn.IFNA((VLOOKUP($A181,HN!$A:$K,9,FALSE)/12),0)+_xlfn.IFNA((VLOOKUP($A181,HN!$A:$K,10,FALSE)/12),0)</f>
        <v>0</v>
      </c>
      <c r="CM181" s="358">
        <f>_xlfn.IFNA((VLOOKUP($A181,HN!$A:$BS,15,FALSE)/12),0)</f>
        <v>0</v>
      </c>
      <c r="CN181" s="357">
        <f t="shared" si="212"/>
        <v>-454.22666666666663</v>
      </c>
      <c r="CO181" s="357">
        <f t="shared" si="213"/>
        <v>-1302.1108333333334</v>
      </c>
      <c r="CP181" s="358">
        <f>_xlfn.IFNA(VLOOKUP(A181,'LA Deductions'!A:W,23,FALSE),0)</f>
        <v>-5139.75</v>
      </c>
      <c r="CQ181" s="358">
        <f>_xlfn.IFNA(VLOOKUP($A181,'Cash Advances'!$A:$S,13,FALSE),0)</f>
        <v>0</v>
      </c>
      <c r="CR181" s="358">
        <f>_xlfn.IFNA(VLOOKUP(A181,'LA Deductions'!A:AZ,25,FALSE),0)/9*3</f>
        <v>0</v>
      </c>
      <c r="CS181" s="357">
        <f t="shared" si="173"/>
        <v>85529.008237717208</v>
      </c>
      <c r="CT181" s="337">
        <f t="shared" si="214"/>
        <v>92425.095737717216</v>
      </c>
      <c r="CU181" s="337"/>
      <c r="CV181" s="338">
        <f>_xlfn.IFNA(VLOOKUP(A181,'LA Deductions'!$A$6:$AN$207,34,FALSE),0)</f>
        <v>0</v>
      </c>
      <c r="CW181" s="338">
        <f>_xlfn.IFNA((VLOOKUP($A181,HN!$A:$K,8,FALSE)/12),0)</f>
        <v>0</v>
      </c>
      <c r="CX181" s="338">
        <f>_xlfn.IFNA((VLOOKUP($A181,HN!$A:$BS,14,FALSE)/12),0)</f>
        <v>0</v>
      </c>
      <c r="CY181" s="338">
        <f>_xlfn.IFNA(VLOOKUP($A181,'Post 16'!$A:$AV,32,FALSE),0)/8</f>
        <v>0</v>
      </c>
      <c r="CZ181" s="338"/>
      <c r="DA181" s="338">
        <f>_xlfn.IFNA((VLOOKUP($A181,HN!$A:$K,9,FALSE)/12),0)+_xlfn.IFNA((VLOOKUP($A181,HN!$A:$K,10,FALSE)/12),0)</f>
        <v>0</v>
      </c>
      <c r="DB181" s="338">
        <f>_xlfn.IFNA((VLOOKUP($A181,HN!$A:$BS,15,FALSE)/12),0)</f>
        <v>0</v>
      </c>
      <c r="DC181" s="337">
        <f t="shared" si="215"/>
        <v>-454.22666666666663</v>
      </c>
      <c r="DD181" s="337">
        <f t="shared" si="216"/>
        <v>-1302.1108333333334</v>
      </c>
      <c r="DE181" s="338"/>
      <c r="DF181" s="338">
        <f>_xlfn.IFNA(VLOOKUP($A181,'Cash Advances'!$A:$S,14,FALSE),0)</f>
        <v>0</v>
      </c>
      <c r="DG181" s="338">
        <f>(_xlfn.IFNA(VLOOKUP(A181,'LA Deductions'!A:AZ,25,FALSE),0)/9)+(_xlfn.IFNA(VLOOKUP(A181,'LA Deductions'!A:AZ,26,FALSE),0))</f>
        <v>0</v>
      </c>
      <c r="DH181" s="337">
        <f t="shared" si="174"/>
        <v>90668.758237717208</v>
      </c>
      <c r="DI181" s="330">
        <f t="shared" si="217"/>
        <v>92425.095737717216</v>
      </c>
      <c r="DJ181" s="330"/>
      <c r="DK181" s="331"/>
      <c r="DL181" s="331">
        <f>_xlfn.IFNA((VLOOKUP($A181,HN!$A:$K,8,FALSE)/12),0)+_xlfn.IFNA((VLOOKUP($A181,HN!$A:$AF,32,FALSE)*8/12),0)</f>
        <v>0</v>
      </c>
      <c r="DM181" s="331">
        <f>_xlfn.IFNA((VLOOKUP($A181,HN!$A:$BS,14,FALSE)/12),0)+_xlfn.IFNA(VLOOKUP($A181,HN!$A:$BS,31,FALSE),0)</f>
        <v>0</v>
      </c>
      <c r="DN181" s="331">
        <f>_xlfn.IFNA(VLOOKUP($A181,'Post 16'!$A:$AV,32,FALSE),0)/8</f>
        <v>0</v>
      </c>
      <c r="DO181" s="331"/>
      <c r="DP181" s="331">
        <f>_xlfn.IFNA((VLOOKUP($A181,HN!$A:$K,9,FALSE)/12),0)+_xlfn.IFNA((VLOOKUP($A181,HN!$A:$K,10,FALSE)/12),0)+_xlfn.IFNA((VLOOKUP($A181,HN!$A:$BZ,33,FALSE)*8/12),0)</f>
        <v>0</v>
      </c>
      <c r="DQ181" s="331">
        <f>_xlfn.IFNA((VLOOKUP($A181,HN!$A:$BS,15,FALSE)/12),0)</f>
        <v>0</v>
      </c>
      <c r="DR181" s="330">
        <f t="shared" si="218"/>
        <v>-454.22666666666663</v>
      </c>
      <c r="DS181" s="330">
        <f t="shared" si="219"/>
        <v>-1302.1108333333334</v>
      </c>
      <c r="DT181" s="331"/>
      <c r="DU181" s="331"/>
      <c r="DV181" s="331">
        <f>(_xlfn.IFNA(VLOOKUP(A181,'LA Deductions'!A:AZ,25,FALSE),0)/9)+_xlfn.IFNA(VLOOKUP(A181,'LA Deductions'!A:AZ,27,FALSE),0)</f>
        <v>0</v>
      </c>
      <c r="DW181" s="330">
        <f t="shared" si="175"/>
        <v>90668.758237717208</v>
      </c>
      <c r="DX181" s="344">
        <f t="shared" si="220"/>
        <v>92425.095737717216</v>
      </c>
      <c r="DY181" s="344"/>
      <c r="DZ181" s="345"/>
      <c r="EA181" s="345">
        <f>_xlfn.IFNA((VLOOKUP($A181,HN!$A:$K,8,FALSE)/12),0)+_xlfn.IFNA((VLOOKUP($A181,HN!$A:$AF,32,FALSE)*1/12),0)</f>
        <v>0</v>
      </c>
      <c r="EB181" s="345">
        <f>_xlfn.IFNA((VLOOKUP($A181,HN!$A:$BS,14,FALSE)/12),0)</f>
        <v>0</v>
      </c>
      <c r="EC181" s="345">
        <f>_xlfn.IFNA(VLOOKUP($A181,'Post 16'!$A:$AV,32,FALSE),0)/8</f>
        <v>0</v>
      </c>
      <c r="ED181" s="345"/>
      <c r="EE181" s="345">
        <f>_xlfn.IFNA((VLOOKUP($A181,HN!$A:$K,9,FALSE)/12),0)+_xlfn.IFNA((VLOOKUP($A181,HN!$A:$K,10,FALSE)/12),0)+_xlfn.IFNA((VLOOKUP($A181,HN!$A:$BZ,33,FALSE)/12),0)</f>
        <v>0</v>
      </c>
      <c r="EF181" s="345">
        <f>_xlfn.IFNA((VLOOKUP($A181,HN!$A:$BS,15,FALSE)/12),0)</f>
        <v>0</v>
      </c>
      <c r="EG181" s="344">
        <f t="shared" si="221"/>
        <v>-454.22666666666663</v>
      </c>
      <c r="EH181" s="344">
        <f t="shared" si="222"/>
        <v>-1302.1108333333334</v>
      </c>
      <c r="EI181" s="345"/>
      <c r="EJ181" s="345">
        <f>_xlfn.IFNA(VLOOKUP(A181,'Cash Advances'!A:P,16,FALSE),0)</f>
        <v>0</v>
      </c>
      <c r="EK181" s="345">
        <f>_xlfn.IFNA(VLOOKUP(A181,'LA Deductions'!A:AZ,25,FALSE),0)/9</f>
        <v>0</v>
      </c>
      <c r="EL181" s="344">
        <f t="shared" si="176"/>
        <v>90668.758237717208</v>
      </c>
      <c r="EM181" s="308">
        <f t="shared" si="223"/>
        <v>92425.095737717216</v>
      </c>
      <c r="EN181" s="308">
        <f>((VLOOKUP($A181,EY!$A:$BS,35,FALSE)-(VLOOKUP($A181,EY!$A:$BS,33,FALSE)*80%))+VLOOKUP($A181,EY!$A:$BS,43,FALSE))+(VLOOKUP(A181,EY!A:DF,110,FALSE)-VLOOKUP(A181,EY!A:DD,108,FALSE))+(VLOOKUP(A181,EY!A:CE,83,FALSE)-VLOOKUP(A181,EY!A:CC,81,FALSE))</f>
        <v>0</v>
      </c>
      <c r="EO181" s="309"/>
      <c r="EP181" s="309">
        <f>_xlfn.IFNA((VLOOKUP($A181,HN!$A:$K,8,FALSE)/12),0)+_xlfn.IFNA((VLOOKUP($A181,HN!$A:$AF,32,FALSE)*1/12),0)</f>
        <v>0</v>
      </c>
      <c r="EQ181" s="309">
        <f>_xlfn.IFNA((VLOOKUP($A181,HN!$A:$BS,14,FALSE)/12),0)+_xlfn.IFNA((VLOOKUP($A181,HN!$A:$BS,34,FALSE)/3),0)</f>
        <v>0</v>
      </c>
      <c r="ER181" s="309">
        <f>_xlfn.IFNA(VLOOKUP($A181,'Post 16'!$A:$AV,32,FALSE),0)/8</f>
        <v>0</v>
      </c>
      <c r="ES181" s="309">
        <f>((VLOOKUP($A181,EY!A:EV,33,FALSE)*80%))+VLOOKUP(A181,EY!A:DD,108,FALSE)+VLOOKUP(A181,EY!A:CC,81,FALSE)</f>
        <v>0</v>
      </c>
      <c r="ET181" s="309">
        <f>_xlfn.IFNA((VLOOKUP($A181,HN!$A:$K,9,FALSE)/12),0)+_xlfn.IFNA((VLOOKUP($A181,HN!$A:$K,10,FALSE)/12),0)+_xlfn.IFNA((VLOOKUP($A181,HN!$A:$BZ,33,FALSE)/12),0)</f>
        <v>0</v>
      </c>
      <c r="EU181" s="309">
        <f>_xlfn.IFNA((VLOOKUP($A181,HN!$A:$BS,15,FALSE)/12),0)</f>
        <v>0</v>
      </c>
      <c r="EV181" s="308">
        <f t="shared" si="224"/>
        <v>-454.22666666666663</v>
      </c>
      <c r="EW181" s="308">
        <f t="shared" si="225"/>
        <v>-1302.1108333333334</v>
      </c>
      <c r="EX181" s="309"/>
      <c r="EY181" s="309">
        <f>_xlfn.IFNA(VLOOKUP($A181,'Cash Advances'!$A:$S,17,FALSE),0)</f>
        <v>0</v>
      </c>
      <c r="EZ181" s="309">
        <f>_xlfn.IFNA(VLOOKUP(A181,'LA Deductions'!A:AZ,25,FALSE),0)/9</f>
        <v>0</v>
      </c>
      <c r="FA181" s="308">
        <f t="shared" si="177"/>
        <v>90668.758237717208</v>
      </c>
      <c r="FB181" s="315">
        <f t="shared" si="226"/>
        <v>92425.095737717216</v>
      </c>
      <c r="FC181" s="315"/>
      <c r="FD181" s="316"/>
      <c r="FE181" s="316">
        <f>_xlfn.IFNA((VLOOKUP($A181,HN!$A:$K,8,FALSE)/12),0)+_xlfn.IFNA((VLOOKUP($A181,HN!$A:$AF,32,FALSE)*1/12),0)</f>
        <v>0</v>
      </c>
      <c r="FF181" s="316">
        <f>_xlfn.IFNA((VLOOKUP($A181,HN!$A:$BS,14,FALSE)/12),0)+_xlfn.IFNA((VLOOKUP($A181,HN!$A:$BS,34,FALSE)/3),0)</f>
        <v>0</v>
      </c>
      <c r="FG181" s="316">
        <f>_xlfn.IFNA(VLOOKUP($A181,'Post 16'!$A:$AV,32,FALSE),0)/8</f>
        <v>0</v>
      </c>
      <c r="FH181" s="316"/>
      <c r="FI181" s="316">
        <f>_xlfn.IFNA((VLOOKUP($A181,HN!$A:$K,9,FALSE)/12),0)+_xlfn.IFNA((VLOOKUP($A181,HN!$A:$K,10,FALSE)/12),0)+_xlfn.IFNA((VLOOKUP($A181,HN!$A:$BZ,33,FALSE)/12),0)+_xlfn.IFNA((VLOOKUP($A181,HN!$A:$BZ,35,FALSE)/2),0)</f>
        <v>0</v>
      </c>
      <c r="FJ181" s="316">
        <f>_xlfn.IFNA((VLOOKUP($A181,HN!$A:$BS,15,FALSE)/12),0)+_xlfn.IFNA((VLOOKUP($A181,HN!$A:$CZ,36,FALSE)/2),0)</f>
        <v>0</v>
      </c>
      <c r="FK181" s="315">
        <f t="shared" si="227"/>
        <v>-454.22666666666663</v>
      </c>
      <c r="FL181" s="315">
        <f t="shared" si="228"/>
        <v>-1302.1108333333334</v>
      </c>
      <c r="FM181" s="316"/>
      <c r="FN181" s="316">
        <f>_xlfn.IFNA(VLOOKUP($A181,'Cash Advances'!$A:$S,18,FALSE),0)</f>
        <v>0</v>
      </c>
      <c r="FO181" s="316">
        <f>_xlfn.IFNA(VLOOKUP(A181,'LA Deductions'!A:AZ,25,FALSE),0)/9</f>
        <v>0</v>
      </c>
      <c r="FP181" s="315">
        <f t="shared" si="178"/>
        <v>90668.758237717208</v>
      </c>
      <c r="FQ181" s="322">
        <f t="shared" si="229"/>
        <v>92425.095737717216</v>
      </c>
      <c r="FR181" s="322"/>
      <c r="FS181" s="323"/>
      <c r="FT181" s="323">
        <f>_xlfn.IFNA((VLOOKUP($A181,HN!$A:$K,8,FALSE)/12),0)+_xlfn.IFNA((VLOOKUP($A181,HN!$A:$AF,32,FALSE)*1/12),0)</f>
        <v>0</v>
      </c>
      <c r="FU181" s="323">
        <f>_xlfn.IFNA((VLOOKUP($A181,HN!$A:$BS,14,FALSE)/12),0)+_xlfn.IFNA((VLOOKUP($A181,HN!$A:$BS,34,FALSE)/3),0)</f>
        <v>0</v>
      </c>
      <c r="FV181" s="323">
        <f>_xlfn.IFNA(VLOOKUP($A181,'Post 16'!$A:$AV,32,FALSE),0)/8</f>
        <v>0</v>
      </c>
      <c r="FW181" s="323"/>
      <c r="FX181" s="323">
        <f>_xlfn.IFNA((VLOOKUP($A181,HN!$A:$K,9,FALSE)/12),0)+_xlfn.IFNA((VLOOKUP($A181,HN!$A:$K,10,FALSE)/12),0)+_xlfn.IFNA((VLOOKUP($A181,HN!$A:$BZ,33,FALSE)/12),0)+_xlfn.IFNA((VLOOKUP($A181,HN!$A:$BZ,35,FALSE)/2),0)</f>
        <v>0</v>
      </c>
      <c r="FY181" s="323">
        <f>_xlfn.IFNA((VLOOKUP($A181,HN!$A:$BS,15,FALSE)/12),0)+_xlfn.IFNA((VLOOKUP($A181,HN!$A:$CZ,36,FALSE)/2),0)</f>
        <v>0</v>
      </c>
      <c r="FZ181" s="322">
        <f t="shared" si="230"/>
        <v>-454.22666666666663</v>
      </c>
      <c r="GA181" s="322">
        <f t="shared" si="231"/>
        <v>-1302.1108333333334</v>
      </c>
      <c r="GB181" s="323"/>
      <c r="GC181" s="323"/>
      <c r="GD181" s="323">
        <f>_xlfn.IFNA(VLOOKUP(A181,'LA Deductions'!A:AZ,25,FALSE),0)/9</f>
        <v>0</v>
      </c>
      <c r="GE181" s="322">
        <f t="shared" si="179"/>
        <v>90668.758237717208</v>
      </c>
      <c r="GG181" s="146">
        <f t="shared" si="234"/>
        <v>1109101.1488526065</v>
      </c>
      <c r="GH181" s="146">
        <f t="shared" si="234"/>
        <v>0</v>
      </c>
      <c r="GI181" s="146">
        <f t="shared" si="234"/>
        <v>0</v>
      </c>
      <c r="GJ181" s="146">
        <f t="shared" si="234"/>
        <v>-5450.7199999999984</v>
      </c>
      <c r="GK181" s="146">
        <f t="shared" si="234"/>
        <v>-15625.330000000004</v>
      </c>
      <c r="GL181" s="146">
        <f t="shared" si="234"/>
        <v>-5139.75</v>
      </c>
      <c r="GN181" s="146">
        <f t="shared" si="235"/>
        <v>1109101.1488526065</v>
      </c>
      <c r="GO181" s="146">
        <f t="shared" si="235"/>
        <v>0</v>
      </c>
      <c r="GP181" s="146">
        <f t="shared" si="235"/>
        <v>0</v>
      </c>
      <c r="GQ181" s="146">
        <f t="shared" si="235"/>
        <v>-5450.7199999999984</v>
      </c>
      <c r="GR181" s="146">
        <f t="shared" si="235"/>
        <v>-15625.330000000004</v>
      </c>
      <c r="GS181" s="146">
        <f t="shared" si="235"/>
        <v>-5139.75</v>
      </c>
      <c r="GU181" s="146"/>
      <c r="GV181" s="57"/>
    </row>
    <row r="182" spans="1:204">
      <c r="A182" s="185">
        <v>7034</v>
      </c>
      <c r="B182" s="185">
        <v>103614</v>
      </c>
      <c r="C182" s="185" t="s">
        <v>404</v>
      </c>
      <c r="D182" s="2" t="s">
        <v>405</v>
      </c>
      <c r="E182" s="191" t="s">
        <v>47</v>
      </c>
      <c r="F182" s="191" t="s">
        <v>912</v>
      </c>
      <c r="H182" s="279">
        <f>_xlfn.IFNA(VLOOKUP($A182,ISB!$A$4:$BY$454,67,FALSE),0)</f>
        <v>0</v>
      </c>
      <c r="I182" s="279">
        <f>_xlfn.IFNA(VLOOKUP($A182,ISB!$A$4:$BY$454,72,FALSE),0)</f>
        <v>0</v>
      </c>
      <c r="J182" s="279">
        <f>-_xlfn.IFNA(VLOOKUP($A182,ISB!$A$4:$BY$454,76,FALSE),0)</f>
        <v>0</v>
      </c>
      <c r="K182" s="279">
        <f>_xlfn.IFNA(VLOOKUP($A182,ISB!$A$4:$BY$454,77,FALSE),0)</f>
        <v>0</v>
      </c>
      <c r="M182" s="301">
        <f t="shared" si="191"/>
        <v>0</v>
      </c>
      <c r="N182" s="301">
        <f>VLOOKUP($A182,EY!$A:$H,8,FALSE)+(VLOOKUP($A182,EY!$A:$BS,17,FALSE)-S182)+VLOOKUP($A182,EY!$A:$BS,41,FALSE)</f>
        <v>0</v>
      </c>
      <c r="O182" s="302"/>
      <c r="P182" s="302">
        <f>_xlfn.IFNA((VLOOKUP($A182,HN!$A:$K,8,FALSE)/12),0)</f>
        <v>82912.5</v>
      </c>
      <c r="Q182" s="302">
        <f>_xlfn.IFNA((VLOOKUP($A182,HN!$A:$BS,14,FALSE)/12),0)</f>
        <v>0</v>
      </c>
      <c r="R182" s="302">
        <f>_xlfn.IFNA(VLOOKUP($A182,'Post 16'!$A:$V,21,FALSE),0)/4</f>
        <v>0</v>
      </c>
      <c r="S182" s="302">
        <f>VLOOKUP($A182,EY!A:Q,15,FALSE)*80%</f>
        <v>0</v>
      </c>
      <c r="T182" s="302">
        <f>_xlfn.IFNA((VLOOKUP($A182,HN!$A:$K,9,FALSE)/12),0)+_xlfn.IFNA((VLOOKUP($A182,HN!$A:$K,10,FALSE)/12),0)</f>
        <v>47645.566056607146</v>
      </c>
      <c r="U182" s="302">
        <f>_xlfn.IFNA((VLOOKUP($A182,HN!$A:$BS,15,FALSE)/12),0)</f>
        <v>0</v>
      </c>
      <c r="V182" s="301">
        <f t="shared" si="192"/>
        <v>0</v>
      </c>
      <c r="W182" s="301">
        <f t="shared" si="193"/>
        <v>0</v>
      </c>
      <c r="X182" s="302"/>
      <c r="Y182" s="302">
        <f>_xlfn.IFNA(VLOOKUP($A182,'Cash Advances'!$A:$S,8,FALSE),0)</f>
        <v>0</v>
      </c>
      <c r="Z182" s="301">
        <f t="shared" si="194"/>
        <v>130558.06605660715</v>
      </c>
      <c r="AA182" s="315">
        <f t="shared" si="195"/>
        <v>0</v>
      </c>
      <c r="AB182" s="315"/>
      <c r="AC182" s="316"/>
      <c r="AD182" s="316">
        <f>_xlfn.IFNA((VLOOKUP($A182,HN!$A:$K,8,FALSE)/12),0)</f>
        <v>82912.5</v>
      </c>
      <c r="AE182" s="316">
        <f>_xlfn.IFNA((VLOOKUP($A182,HN!$A:$BS,14,FALSE)/12),0)</f>
        <v>0</v>
      </c>
      <c r="AF182" s="316">
        <f>_xlfn.IFNA(VLOOKUP($A182,'Post 16'!$A:$V,21,FALSE),0)/4</f>
        <v>0</v>
      </c>
      <c r="AG182" s="316"/>
      <c r="AH182" s="316">
        <f>_xlfn.IFNA((VLOOKUP($A182,HN!$A:$K,9,FALSE)/12),0)+_xlfn.IFNA((VLOOKUP($A182,HN!$A:$K,10,FALSE)/12),0)</f>
        <v>47645.566056607146</v>
      </c>
      <c r="AI182" s="316">
        <f>_xlfn.IFNA((VLOOKUP($A182,HN!$A:$BS,15,FALSE)/12),0)</f>
        <v>0</v>
      </c>
      <c r="AJ182" s="315">
        <f t="shared" si="196"/>
        <v>0</v>
      </c>
      <c r="AK182" s="315">
        <f t="shared" si="197"/>
        <v>0</v>
      </c>
      <c r="AL182" s="316"/>
      <c r="AM182" s="316">
        <f>_xlfn.IFNA(VLOOKUP($A182,'Cash Advances'!$A:$S,9,FALSE),0)</f>
        <v>0</v>
      </c>
      <c r="AN182" s="315">
        <f t="shared" si="198"/>
        <v>130558.06605660715</v>
      </c>
      <c r="AO182" s="308">
        <f t="shared" si="199"/>
        <v>0</v>
      </c>
      <c r="AP182" s="308"/>
      <c r="AQ182" s="309"/>
      <c r="AR182" s="309">
        <f>_xlfn.IFNA((VLOOKUP($A182,HN!$A:$K,8,FALSE)/12),0)</f>
        <v>82912.5</v>
      </c>
      <c r="AS182" s="309">
        <f>_xlfn.IFNA((VLOOKUP($A182,HN!$A:$BS,14,FALSE)/12),0)</f>
        <v>0</v>
      </c>
      <c r="AT182" s="309">
        <f>_xlfn.IFNA(VLOOKUP($A182,'Post 16'!$A:$V,21,FALSE),0)/4</f>
        <v>0</v>
      </c>
      <c r="AU182" s="309"/>
      <c r="AV182" s="309">
        <f>_xlfn.IFNA((VLOOKUP($A182,HN!$A:$K,9,FALSE)/12),0)+_xlfn.IFNA((VLOOKUP($A182,HN!$A:$K,10,FALSE)/12),0)+_xlfn.IFNA(VLOOKUP(A182,HN!A:V,19,FALSE),0)+_xlfn.IFNA(VLOOKUP(A182,HN!A:V,20,FALSE),0)+_xlfn.IFNA(VLOOKUP(A182,HN!A:V,21,FALSE),0)</f>
        <v>612722.48913353041</v>
      </c>
      <c r="AW182" s="309">
        <f>_xlfn.IFNA((VLOOKUP($A182,HN!$A:$BS,15,FALSE)/12),0)</f>
        <v>0</v>
      </c>
      <c r="AX182" s="308">
        <f t="shared" si="200"/>
        <v>0</v>
      </c>
      <c r="AY182" s="308">
        <f t="shared" si="201"/>
        <v>0</v>
      </c>
      <c r="AZ182" s="309"/>
      <c r="BA182" s="309">
        <f>_xlfn.IFNA(VLOOKUP($A182,'Cash Advances'!$A:$S,10,FALSE),0)</f>
        <v>0</v>
      </c>
      <c r="BB182" s="308">
        <f t="shared" si="202"/>
        <v>695634.98913353041</v>
      </c>
      <c r="BC182" s="330">
        <f t="shared" si="203"/>
        <v>0</v>
      </c>
      <c r="BD182" s="330"/>
      <c r="BE182" s="331"/>
      <c r="BF182" s="331">
        <f>_xlfn.IFNA((VLOOKUP($A182,HN!$A:$K,8,FALSE)/12),0)</f>
        <v>82912.5</v>
      </c>
      <c r="BG182" s="331">
        <f>_xlfn.IFNA((VLOOKUP($A182,HN!$A:$BS,14,FALSE)/12),0)</f>
        <v>0</v>
      </c>
      <c r="BH182" s="331">
        <f>_xlfn.IFNA(VLOOKUP($A182,'Post 16'!$A:$V,21,FALSE),0)/4</f>
        <v>0</v>
      </c>
      <c r="BI182" s="331"/>
      <c r="BJ182" s="331">
        <f>_xlfn.IFNA((VLOOKUP($A182,HN!$A:$K,9,FALSE)/12),0)+_xlfn.IFNA((VLOOKUP($A182,HN!$A:$K,10,FALSE)/12),0)</f>
        <v>47645.566056607146</v>
      </c>
      <c r="BK182" s="331">
        <f>_xlfn.IFNA((VLOOKUP($A182,HN!$A:$BS,15,FALSE)/12),0)</f>
        <v>0</v>
      </c>
      <c r="BL182" s="330">
        <f t="shared" si="204"/>
        <v>0</v>
      </c>
      <c r="BM182" s="330">
        <f t="shared" si="205"/>
        <v>0</v>
      </c>
      <c r="BN182" s="331"/>
      <c r="BO182" s="331">
        <f>_xlfn.IFNA(VLOOKUP(A182,'Cash Advances'!A:K,11,FALSE),0)</f>
        <v>0</v>
      </c>
      <c r="BP182" s="330">
        <f t="shared" si="206"/>
        <v>130558.06605660715</v>
      </c>
      <c r="BQ182" s="322">
        <f t="shared" si="207"/>
        <v>0</v>
      </c>
      <c r="BR182" s="322"/>
      <c r="BS182" s="323"/>
      <c r="BT182" s="323">
        <f>_xlfn.IFNA((VLOOKUP($A182,HN!$A:$K,8,FALSE)/12),0)</f>
        <v>82912.5</v>
      </c>
      <c r="BU182" s="323">
        <f>_xlfn.IFNA((VLOOKUP($A182,HN!$A:$BS,14,FALSE)/12),0)</f>
        <v>0</v>
      </c>
      <c r="BV182" s="323">
        <f>(_xlfn.IFNA(VLOOKUP($A182,'Post 16'!$A:$AV,32,FALSE),0)/8)+_xlfn.IFNA(VLOOKUP($A182,'Post 16'!$A:$AR,40,FALSE),0)</f>
        <v>0</v>
      </c>
      <c r="BW182" s="323"/>
      <c r="BX182" s="323">
        <f>_xlfn.IFNA((VLOOKUP($A182,HN!$A:$K,9,FALSE)/12),0)+_xlfn.IFNA((VLOOKUP($A182,HN!$A:$K,10,FALSE)/12),0)</f>
        <v>47645.566056607146</v>
      </c>
      <c r="BY182" s="323">
        <f>_xlfn.IFNA((VLOOKUP($A182,HN!$A:$BS,15,FALSE)/12),0)</f>
        <v>0</v>
      </c>
      <c r="BZ182" s="322">
        <f t="shared" si="208"/>
        <v>0</v>
      </c>
      <c r="CA182" s="322">
        <f t="shared" si="209"/>
        <v>0</v>
      </c>
      <c r="CB182" s="323"/>
      <c r="CC182" s="323"/>
      <c r="CD182" s="322">
        <f t="shared" si="210"/>
        <v>130558.06605660715</v>
      </c>
      <c r="CE182" s="357">
        <f t="shared" si="211"/>
        <v>0</v>
      </c>
      <c r="CF182" s="357">
        <f>(VLOOKUP($A182,EY!$A:$BS,26,FALSE)-(VLOOKUP($A182,EY!A:CR,24,FALSE)*80%))+VLOOKUP($A182,EY!$A:$BS,42,FALSE)+(VLOOKUP($A182,EY!A:CC,74,FALSE)-VLOOKUP($A182,EY!A:CC,72,FALSE))</f>
        <v>0</v>
      </c>
      <c r="CG182" s="358"/>
      <c r="CH182" s="358">
        <f>_xlfn.IFNA((VLOOKUP($A182,HN!$A:$K,8,FALSE)/12),0)</f>
        <v>82912.5</v>
      </c>
      <c r="CI182" s="358">
        <f>_xlfn.IFNA((VLOOKUP($A182,HN!$A:$BS,14,FALSE)/12),0)</f>
        <v>0</v>
      </c>
      <c r="CJ182" s="358">
        <f>(_xlfn.IFNA(VLOOKUP($A182,'Post 16'!$A:$AV,32,FALSE),0)/8)</f>
        <v>0</v>
      </c>
      <c r="CK182" s="358">
        <f>(VLOOKUP($A182,EY!A:CR,24,FALSE)*80%)+VLOOKUP($A182,EY!A:CC,72,FALSE)</f>
        <v>0</v>
      </c>
      <c r="CL182" s="358">
        <f>_xlfn.IFNA((VLOOKUP($A182,HN!$A:$K,9,FALSE)/12),0)+_xlfn.IFNA((VLOOKUP($A182,HN!$A:$K,10,FALSE)/12),0)</f>
        <v>47645.566056607146</v>
      </c>
      <c r="CM182" s="358">
        <f>_xlfn.IFNA((VLOOKUP($A182,HN!$A:$BS,15,FALSE)/12),0)</f>
        <v>0</v>
      </c>
      <c r="CN182" s="357">
        <f t="shared" si="212"/>
        <v>0</v>
      </c>
      <c r="CO182" s="357">
        <f t="shared" si="213"/>
        <v>0</v>
      </c>
      <c r="CP182" s="358">
        <f>_xlfn.IFNA(VLOOKUP(A182,'LA Deductions'!A:W,23,FALSE),0)</f>
        <v>-3291.75</v>
      </c>
      <c r="CQ182" s="358">
        <f>_xlfn.IFNA(VLOOKUP($A182,'Cash Advances'!$A:$S,13,FALSE),0)</f>
        <v>0</v>
      </c>
      <c r="CR182" s="358">
        <f>_xlfn.IFNA(VLOOKUP(A182,'LA Deductions'!A:AZ,25,FALSE),0)/9*3</f>
        <v>0</v>
      </c>
      <c r="CS182" s="357">
        <f t="shared" si="173"/>
        <v>127266.31605660715</v>
      </c>
      <c r="CT182" s="337">
        <f t="shared" si="214"/>
        <v>0</v>
      </c>
      <c r="CU182" s="337"/>
      <c r="CV182" s="338">
        <f>_xlfn.IFNA(VLOOKUP(A182,'LA Deductions'!$A$6:$AN$207,34,FALSE),0)</f>
        <v>0</v>
      </c>
      <c r="CW182" s="338">
        <f>_xlfn.IFNA((VLOOKUP($A182,HN!$A:$K,8,FALSE)/12),0)</f>
        <v>82912.5</v>
      </c>
      <c r="CX182" s="338">
        <f>_xlfn.IFNA((VLOOKUP($A182,HN!$A:$BS,14,FALSE)/12),0)</f>
        <v>0</v>
      </c>
      <c r="CY182" s="338">
        <f>_xlfn.IFNA(VLOOKUP($A182,'Post 16'!$A:$AV,32,FALSE),0)/8</f>
        <v>0</v>
      </c>
      <c r="CZ182" s="338"/>
      <c r="DA182" s="338">
        <f>_xlfn.IFNA((VLOOKUP($A182,HN!$A:$K,9,FALSE)/12),0)+_xlfn.IFNA((VLOOKUP($A182,HN!$A:$K,10,FALSE)/12),0)</f>
        <v>47645.566056607146</v>
      </c>
      <c r="DB182" s="338">
        <f>_xlfn.IFNA((VLOOKUP($A182,HN!$A:$BS,15,FALSE)/12),0)</f>
        <v>0</v>
      </c>
      <c r="DC182" s="337">
        <f t="shared" si="215"/>
        <v>0</v>
      </c>
      <c r="DD182" s="337">
        <f t="shared" si="216"/>
        <v>0</v>
      </c>
      <c r="DE182" s="338"/>
      <c r="DF182" s="338">
        <f>_xlfn.IFNA(VLOOKUP($A182,'Cash Advances'!$A:$S,14,FALSE),0)</f>
        <v>0</v>
      </c>
      <c r="DG182" s="338">
        <f>(_xlfn.IFNA(VLOOKUP(A182,'LA Deductions'!A:AZ,25,FALSE),0)/9)+(_xlfn.IFNA(VLOOKUP(A182,'LA Deductions'!A:AZ,26,FALSE),0))</f>
        <v>0</v>
      </c>
      <c r="DH182" s="337">
        <f t="shared" si="174"/>
        <v>130558.06605660715</v>
      </c>
      <c r="DI182" s="330">
        <f t="shared" si="217"/>
        <v>0</v>
      </c>
      <c r="DJ182" s="330"/>
      <c r="DK182" s="331"/>
      <c r="DL182" s="331">
        <f>_xlfn.IFNA((VLOOKUP($A182,HN!$A:$K,8,FALSE)/12),0)+_xlfn.IFNA((VLOOKUP($A182,HN!$A:$AF,32,FALSE)*8/12),0)</f>
        <v>82912.5</v>
      </c>
      <c r="DM182" s="331">
        <f>_xlfn.IFNA((VLOOKUP($A182,HN!$A:$BS,14,FALSE)/12),0)+_xlfn.IFNA(VLOOKUP($A182,HN!$A:$BS,31,FALSE),0)</f>
        <v>0</v>
      </c>
      <c r="DN182" s="331">
        <f>_xlfn.IFNA(VLOOKUP($A182,'Post 16'!$A:$AV,32,FALSE),0)/8</f>
        <v>0</v>
      </c>
      <c r="DO182" s="331"/>
      <c r="DP182" s="331">
        <f>_xlfn.IFNA((VLOOKUP($A182,HN!$A:$K,9,FALSE)/12),0)+_xlfn.IFNA((VLOOKUP($A182,HN!$A:$K,10,FALSE)/12),0)+_xlfn.IFNA((VLOOKUP($A182,HN!$A:$BZ,33,FALSE)*8/12),0)</f>
        <v>113295.37445665602</v>
      </c>
      <c r="DQ182" s="331">
        <f>_xlfn.IFNA((VLOOKUP($A182,HN!$A:$BS,15,FALSE)/12),0)</f>
        <v>0</v>
      </c>
      <c r="DR182" s="330">
        <f t="shared" si="218"/>
        <v>0</v>
      </c>
      <c r="DS182" s="330">
        <f t="shared" si="219"/>
        <v>0</v>
      </c>
      <c r="DT182" s="331"/>
      <c r="DU182" s="331"/>
      <c r="DV182" s="331">
        <f>(_xlfn.IFNA(VLOOKUP(A182,'LA Deductions'!A:AZ,25,FALSE),0)/9)+_xlfn.IFNA(VLOOKUP(A182,'LA Deductions'!A:AZ,27,FALSE),0)</f>
        <v>0</v>
      </c>
      <c r="DW182" s="330">
        <f t="shared" si="175"/>
        <v>196207.87445665602</v>
      </c>
      <c r="DX182" s="344">
        <f t="shared" si="220"/>
        <v>0</v>
      </c>
      <c r="DY182" s="344"/>
      <c r="DZ182" s="345"/>
      <c r="EA182" s="345">
        <f>_xlfn.IFNA((VLOOKUP($A182,HN!$A:$K,8,FALSE)/12),0)+_xlfn.IFNA((VLOOKUP($A182,HN!$A:$AF,32,FALSE)*1/12),0)</f>
        <v>82912.5</v>
      </c>
      <c r="EB182" s="345">
        <f>_xlfn.IFNA((VLOOKUP($A182,HN!$A:$BS,14,FALSE)/12),0)</f>
        <v>0</v>
      </c>
      <c r="EC182" s="345">
        <f>_xlfn.IFNA(VLOOKUP($A182,'Post 16'!$A:$AV,32,FALSE),0)/8</f>
        <v>0</v>
      </c>
      <c r="ED182" s="345"/>
      <c r="EE182" s="345">
        <f>_xlfn.IFNA((VLOOKUP($A182,HN!$A:$K,9,FALSE)/12),0)+_xlfn.IFNA((VLOOKUP($A182,HN!$A:$K,10,FALSE)/12),0)+_xlfn.IFNA((VLOOKUP($A182,HN!$A:$BZ,33,FALSE)/12),0)</f>
        <v>55851.792106613255</v>
      </c>
      <c r="EF182" s="345">
        <f>_xlfn.IFNA((VLOOKUP($A182,HN!$A:$BS,15,FALSE)/12),0)</f>
        <v>0</v>
      </c>
      <c r="EG182" s="344">
        <f t="shared" si="221"/>
        <v>0</v>
      </c>
      <c r="EH182" s="344">
        <f t="shared" si="222"/>
        <v>0</v>
      </c>
      <c r="EI182" s="345"/>
      <c r="EJ182" s="345">
        <f>_xlfn.IFNA(VLOOKUP(A182,'Cash Advances'!A:P,16,FALSE),0)</f>
        <v>0</v>
      </c>
      <c r="EK182" s="345">
        <f>_xlfn.IFNA(VLOOKUP(A182,'LA Deductions'!A:AZ,25,FALSE),0)/9</f>
        <v>0</v>
      </c>
      <c r="EL182" s="344">
        <f t="shared" si="176"/>
        <v>138764.29210661325</v>
      </c>
      <c r="EM182" s="308">
        <f t="shared" si="223"/>
        <v>0</v>
      </c>
      <c r="EN182" s="308">
        <f>((VLOOKUP($A182,EY!$A:$BS,35,FALSE)-(VLOOKUP($A182,EY!$A:$BS,33,FALSE)*80%))+VLOOKUP($A182,EY!$A:$BS,43,FALSE))+(VLOOKUP(A182,EY!A:DF,110,FALSE)-VLOOKUP(A182,EY!A:DD,108,FALSE))+(VLOOKUP(A182,EY!A:CE,83,FALSE)-VLOOKUP(A182,EY!A:CC,81,FALSE))</f>
        <v>0</v>
      </c>
      <c r="EO182" s="309"/>
      <c r="EP182" s="309">
        <f>_xlfn.IFNA((VLOOKUP($A182,HN!$A:$K,8,FALSE)/12),0)+_xlfn.IFNA((VLOOKUP($A182,HN!$A:$AF,32,FALSE)*1/12),0)</f>
        <v>82912.5</v>
      </c>
      <c r="EQ182" s="309">
        <f>_xlfn.IFNA((VLOOKUP($A182,HN!$A:$BS,14,FALSE)/12),0)+_xlfn.IFNA((VLOOKUP($A182,HN!$A:$BS,34,FALSE)/3),0)</f>
        <v>0</v>
      </c>
      <c r="ER182" s="309">
        <f>_xlfn.IFNA(VLOOKUP($A182,'Post 16'!$A:$AV,32,FALSE),0)/8</f>
        <v>0</v>
      </c>
      <c r="ES182" s="309">
        <f>((VLOOKUP($A182,EY!A:EV,33,FALSE)*80%))+VLOOKUP(A182,EY!A:DD,108,FALSE)+VLOOKUP(A182,EY!A:CC,81,FALSE)</f>
        <v>0</v>
      </c>
      <c r="ET182" s="309">
        <f>_xlfn.IFNA((VLOOKUP($A182,HN!$A:$K,9,FALSE)/12),0)+_xlfn.IFNA((VLOOKUP($A182,HN!$A:$K,10,FALSE)/12),0)+_xlfn.IFNA((VLOOKUP($A182,HN!$A:$BZ,33,FALSE)/12),0)</f>
        <v>55851.792106613255</v>
      </c>
      <c r="EU182" s="309">
        <f>_xlfn.IFNA((VLOOKUP($A182,HN!$A:$BS,15,FALSE)/12),0)</f>
        <v>0</v>
      </c>
      <c r="EV182" s="308">
        <f t="shared" si="224"/>
        <v>0</v>
      </c>
      <c r="EW182" s="308">
        <f t="shared" si="225"/>
        <v>0</v>
      </c>
      <c r="EX182" s="309"/>
      <c r="EY182" s="309">
        <f>_xlfn.IFNA(VLOOKUP($A182,'Cash Advances'!$A:$S,17,FALSE),0)</f>
        <v>0</v>
      </c>
      <c r="EZ182" s="309">
        <f>_xlfn.IFNA(VLOOKUP(A182,'LA Deductions'!A:AZ,25,FALSE),0)/9</f>
        <v>0</v>
      </c>
      <c r="FA182" s="308">
        <f t="shared" si="177"/>
        <v>138764.29210661325</v>
      </c>
      <c r="FB182" s="315">
        <f t="shared" si="226"/>
        <v>0</v>
      </c>
      <c r="FC182" s="315"/>
      <c r="FD182" s="316"/>
      <c r="FE182" s="316">
        <f>_xlfn.IFNA((VLOOKUP($A182,HN!$A:$K,8,FALSE)/12),0)+_xlfn.IFNA((VLOOKUP($A182,HN!$A:$AF,32,FALSE)*1/12),0)</f>
        <v>82912.5</v>
      </c>
      <c r="FF182" s="316">
        <f>_xlfn.IFNA((VLOOKUP($A182,HN!$A:$BS,14,FALSE)/12),0)+_xlfn.IFNA((VLOOKUP($A182,HN!$A:$BS,34,FALSE)/3),0)</f>
        <v>0</v>
      </c>
      <c r="FG182" s="316">
        <f>_xlfn.IFNA(VLOOKUP($A182,'Post 16'!$A:$AV,32,FALSE),0)/8</f>
        <v>0</v>
      </c>
      <c r="FH182" s="316"/>
      <c r="FI182" s="316">
        <f>_xlfn.IFNA((VLOOKUP($A182,HN!$A:$K,9,FALSE)/12),0)+_xlfn.IFNA((VLOOKUP($A182,HN!$A:$K,10,FALSE)/12),0)+_xlfn.IFNA((VLOOKUP($A182,HN!$A:$BZ,33,FALSE)/12),0)+_xlfn.IFNA((VLOOKUP($A182,HN!$A:$BZ,35,FALSE)/2),0)</f>
        <v>19429.592106613258</v>
      </c>
      <c r="FJ182" s="316">
        <f>_xlfn.IFNA((VLOOKUP($A182,HN!$A:$BS,15,FALSE)/12),0)+_xlfn.IFNA((VLOOKUP($A182,HN!$A:$CZ,36,FALSE)/2),0)</f>
        <v>0</v>
      </c>
      <c r="FK182" s="315">
        <f t="shared" si="227"/>
        <v>0</v>
      </c>
      <c r="FL182" s="315">
        <f t="shared" si="228"/>
        <v>0</v>
      </c>
      <c r="FM182" s="316"/>
      <c r="FN182" s="316">
        <f>_xlfn.IFNA(VLOOKUP($A182,'Cash Advances'!$A:$S,18,FALSE),0)</f>
        <v>0</v>
      </c>
      <c r="FO182" s="316">
        <f>_xlfn.IFNA(VLOOKUP(A182,'LA Deductions'!A:AZ,25,FALSE),0)/9</f>
        <v>0</v>
      </c>
      <c r="FP182" s="315">
        <f t="shared" si="178"/>
        <v>102342.09210661326</v>
      </c>
      <c r="FQ182" s="322">
        <f t="shared" si="229"/>
        <v>0</v>
      </c>
      <c r="FR182" s="322"/>
      <c r="FS182" s="323"/>
      <c r="FT182" s="323">
        <f>_xlfn.IFNA((VLOOKUP($A182,HN!$A:$K,8,FALSE)/12),0)+_xlfn.IFNA((VLOOKUP($A182,HN!$A:$AF,32,FALSE)*1/12),0)</f>
        <v>82912.5</v>
      </c>
      <c r="FU182" s="323">
        <f>_xlfn.IFNA((VLOOKUP($A182,HN!$A:$BS,14,FALSE)/12),0)+_xlfn.IFNA((VLOOKUP($A182,HN!$A:$BS,34,FALSE)/3),0)</f>
        <v>0</v>
      </c>
      <c r="FV182" s="323">
        <f>_xlfn.IFNA(VLOOKUP($A182,'Post 16'!$A:$AV,32,FALSE),0)/8</f>
        <v>0</v>
      </c>
      <c r="FW182" s="323"/>
      <c r="FX182" s="323">
        <f>_xlfn.IFNA((VLOOKUP($A182,HN!$A:$K,9,FALSE)/12),0)+_xlfn.IFNA((VLOOKUP($A182,HN!$A:$K,10,FALSE)/12),0)+_xlfn.IFNA((VLOOKUP($A182,HN!$A:$BZ,33,FALSE)/12),0)+_xlfn.IFNA((VLOOKUP($A182,HN!$A:$BZ,35,FALSE)/2),0)</f>
        <v>19429.592106613258</v>
      </c>
      <c r="FY182" s="323">
        <f>_xlfn.IFNA((VLOOKUP($A182,HN!$A:$BS,15,FALSE)/12),0)+_xlfn.IFNA((VLOOKUP($A182,HN!$A:$CZ,36,FALSE)/2),0)</f>
        <v>0</v>
      </c>
      <c r="FZ182" s="322">
        <f t="shared" si="230"/>
        <v>0</v>
      </c>
      <c r="GA182" s="322">
        <f t="shared" si="231"/>
        <v>0</v>
      </c>
      <c r="GB182" s="323"/>
      <c r="GC182" s="323"/>
      <c r="GD182" s="323">
        <f>_xlfn.IFNA(VLOOKUP(A182,'LA Deductions'!A:AZ,25,FALSE),0)/9</f>
        <v>0</v>
      </c>
      <c r="GE182" s="322">
        <f t="shared" si="179"/>
        <v>102342.09210661326</v>
      </c>
      <c r="GG182" s="146">
        <f t="shared" si="234"/>
        <v>994950</v>
      </c>
      <c r="GH182" s="146">
        <f t="shared" si="234"/>
        <v>0</v>
      </c>
      <c r="GI182" s="146">
        <f t="shared" si="234"/>
        <v>1162454.0283562825</v>
      </c>
      <c r="GJ182" s="146">
        <f t="shared" si="234"/>
        <v>0</v>
      </c>
      <c r="GK182" s="146">
        <f t="shared" si="234"/>
        <v>0</v>
      </c>
      <c r="GL182" s="146">
        <f t="shared" si="234"/>
        <v>-3291.75</v>
      </c>
      <c r="GN182" s="146">
        <f t="shared" si="235"/>
        <v>994950</v>
      </c>
      <c r="GO182" s="146">
        <f t="shared" si="235"/>
        <v>0</v>
      </c>
      <c r="GP182" s="146">
        <f t="shared" si="235"/>
        <v>1162454.0283562825</v>
      </c>
      <c r="GQ182" s="146">
        <f t="shared" si="235"/>
        <v>0</v>
      </c>
      <c r="GR182" s="146">
        <f t="shared" si="235"/>
        <v>0</v>
      </c>
      <c r="GS182" s="146">
        <f t="shared" si="235"/>
        <v>-3291.75</v>
      </c>
      <c r="GU182" s="146"/>
      <c r="GV182" s="57"/>
    </row>
    <row r="183" spans="1:204">
      <c r="A183" s="185">
        <v>1000</v>
      </c>
      <c r="B183" s="185">
        <v>137796</v>
      </c>
      <c r="C183" s="185" t="s">
        <v>408</v>
      </c>
      <c r="D183" s="2" t="s">
        <v>409</v>
      </c>
      <c r="E183" s="191" t="s">
        <v>29</v>
      </c>
      <c r="F183" s="191" t="s">
        <v>912</v>
      </c>
      <c r="H183" s="279">
        <f>_xlfn.IFNA(VLOOKUP($A183,ISB!$A$4:$BY$454,67,FALSE),0)</f>
        <v>0</v>
      </c>
      <c r="I183" s="279">
        <f>_xlfn.IFNA(VLOOKUP($A183,ISB!$A$4:$BY$454,72,FALSE),0)</f>
        <v>0</v>
      </c>
      <c r="J183" s="279">
        <f>-_xlfn.IFNA(VLOOKUP($A183,ISB!$A$4:$BY$454,76,FALSE),0)</f>
        <v>0</v>
      </c>
      <c r="K183" s="279">
        <f>_xlfn.IFNA(VLOOKUP($A183,ISB!$A$4:$BY$454,77,FALSE),0)</f>
        <v>0</v>
      </c>
      <c r="M183" s="301">
        <f t="shared" si="191"/>
        <v>0</v>
      </c>
      <c r="N183" s="301">
        <f>VLOOKUP($A183,EY!$A:$H,8,FALSE)+(VLOOKUP($A183,EY!$A:$BS,17,FALSE)-S183)+VLOOKUP($A183,EY!$A:$BS,41,FALSE)</f>
        <v>289438.89895491058</v>
      </c>
      <c r="O183" s="302"/>
      <c r="P183" s="302">
        <f>_xlfn.IFNA((VLOOKUP($A183,HN!$A:$K,8,FALSE)/12),0)</f>
        <v>0</v>
      </c>
      <c r="Q183" s="302">
        <f>_xlfn.IFNA((VLOOKUP($A183,HN!$A:$BS,14,FALSE)/12),0)</f>
        <v>0</v>
      </c>
      <c r="R183" s="302">
        <f>_xlfn.IFNA(VLOOKUP($A183,'Post 16'!$A:$V,21,FALSE),0)/4</f>
        <v>0</v>
      </c>
      <c r="S183" s="302">
        <f>VLOOKUP($A183,EY!A:Q,15,FALSE)*80%</f>
        <v>770.14736842105276</v>
      </c>
      <c r="T183" s="302">
        <f>_xlfn.IFNA((VLOOKUP($A183,HN!$A:$K,9,FALSE)/12),0)+_xlfn.IFNA((VLOOKUP($A183,HN!$A:$K,10,FALSE)/12),0)</f>
        <v>0</v>
      </c>
      <c r="U183" s="302">
        <f>_xlfn.IFNA((VLOOKUP($A183,HN!$A:$BS,15,FALSE)/12),0)</f>
        <v>0</v>
      </c>
      <c r="V183" s="301">
        <f t="shared" si="192"/>
        <v>0</v>
      </c>
      <c r="W183" s="301">
        <f t="shared" si="193"/>
        <v>0</v>
      </c>
      <c r="X183" s="302"/>
      <c r="Y183" s="302">
        <f>_xlfn.IFNA(VLOOKUP($A183,'Cash Advances'!$A:$S,8,FALSE),0)</f>
        <v>0</v>
      </c>
      <c r="Z183" s="301">
        <f t="shared" si="194"/>
        <v>290209.04632333166</v>
      </c>
      <c r="AA183" s="315">
        <f t="shared" si="195"/>
        <v>0</v>
      </c>
      <c r="AB183" s="315"/>
      <c r="AC183" s="316"/>
      <c r="AD183" s="316">
        <f>_xlfn.IFNA((VLOOKUP($A183,HN!$A:$K,8,FALSE)/12),0)</f>
        <v>0</v>
      </c>
      <c r="AE183" s="316">
        <f>_xlfn.IFNA((VLOOKUP($A183,HN!$A:$BS,14,FALSE)/12),0)</f>
        <v>0</v>
      </c>
      <c r="AF183" s="316">
        <f>_xlfn.IFNA(VLOOKUP($A183,'Post 16'!$A:$V,21,FALSE),0)/4</f>
        <v>0</v>
      </c>
      <c r="AG183" s="316"/>
      <c r="AH183" s="316">
        <f>_xlfn.IFNA((VLOOKUP($A183,HN!$A:$K,9,FALSE)/12),0)+_xlfn.IFNA((VLOOKUP($A183,HN!$A:$K,10,FALSE)/12),0)</f>
        <v>0</v>
      </c>
      <c r="AI183" s="316">
        <f>_xlfn.IFNA((VLOOKUP($A183,HN!$A:$BS,15,FALSE)/12),0)</f>
        <v>0</v>
      </c>
      <c r="AJ183" s="315">
        <f t="shared" si="196"/>
        <v>0</v>
      </c>
      <c r="AK183" s="315">
        <f t="shared" si="197"/>
        <v>0</v>
      </c>
      <c r="AL183" s="316"/>
      <c r="AM183" s="316">
        <f>_xlfn.IFNA(VLOOKUP($A183,'Cash Advances'!$A:$S,9,FALSE),0)</f>
        <v>0</v>
      </c>
      <c r="AN183" s="315">
        <f t="shared" si="198"/>
        <v>0</v>
      </c>
      <c r="AO183" s="308">
        <f t="shared" si="199"/>
        <v>0</v>
      </c>
      <c r="AP183" s="308"/>
      <c r="AQ183" s="309"/>
      <c r="AR183" s="309">
        <f>_xlfn.IFNA((VLOOKUP($A183,HN!$A:$K,8,FALSE)/12),0)</f>
        <v>0</v>
      </c>
      <c r="AS183" s="309">
        <f>_xlfn.IFNA((VLOOKUP($A183,HN!$A:$BS,14,FALSE)/12),0)</f>
        <v>0</v>
      </c>
      <c r="AT183" s="309">
        <f>_xlfn.IFNA(VLOOKUP($A183,'Post 16'!$A:$V,21,FALSE),0)/4</f>
        <v>0</v>
      </c>
      <c r="AU183" s="309"/>
      <c r="AV183" s="309">
        <f>_xlfn.IFNA((VLOOKUP($A183,HN!$A:$K,9,FALSE)/12),0)+_xlfn.IFNA((VLOOKUP($A183,HN!$A:$K,10,FALSE)/12),0)+_xlfn.IFNA(VLOOKUP(A183,HN!A:V,19,FALSE),0)+_xlfn.IFNA(VLOOKUP(A183,HN!A:V,20,FALSE),0)+_xlfn.IFNA(VLOOKUP(A183,HN!A:V,21,FALSE),0)</f>
        <v>0</v>
      </c>
      <c r="AW183" s="309">
        <f>_xlfn.IFNA((VLOOKUP($A183,HN!$A:$BS,15,FALSE)/12),0)</f>
        <v>0</v>
      </c>
      <c r="AX183" s="308">
        <f t="shared" si="200"/>
        <v>0</v>
      </c>
      <c r="AY183" s="308">
        <f t="shared" si="201"/>
        <v>0</v>
      </c>
      <c r="AZ183" s="309"/>
      <c r="BA183" s="309">
        <f>_xlfn.IFNA(VLOOKUP($A183,'Cash Advances'!$A:$S,10,FALSE),0)</f>
        <v>0</v>
      </c>
      <c r="BB183" s="308">
        <f t="shared" si="202"/>
        <v>0</v>
      </c>
      <c r="BC183" s="330">
        <f t="shared" si="203"/>
        <v>0</v>
      </c>
      <c r="BD183" s="330"/>
      <c r="BE183" s="331"/>
      <c r="BF183" s="331">
        <f>_xlfn.IFNA((VLOOKUP($A183,HN!$A:$K,8,FALSE)/12),0)</f>
        <v>0</v>
      </c>
      <c r="BG183" s="331">
        <f>_xlfn.IFNA((VLOOKUP($A183,HN!$A:$BS,14,FALSE)/12),0)</f>
        <v>0</v>
      </c>
      <c r="BH183" s="331">
        <f>_xlfn.IFNA(VLOOKUP($A183,'Post 16'!$A:$V,21,FALSE),0)/4</f>
        <v>0</v>
      </c>
      <c r="BI183" s="331"/>
      <c r="BJ183" s="331">
        <f>_xlfn.IFNA((VLOOKUP($A183,HN!$A:$K,9,FALSE)/12),0)+_xlfn.IFNA((VLOOKUP($A183,HN!$A:$K,10,FALSE)/12),0)</f>
        <v>0</v>
      </c>
      <c r="BK183" s="331">
        <f>_xlfn.IFNA((VLOOKUP($A183,HN!$A:$BS,15,FALSE)/12),0)</f>
        <v>0</v>
      </c>
      <c r="BL183" s="330">
        <f t="shared" si="204"/>
        <v>0</v>
      </c>
      <c r="BM183" s="330">
        <f t="shared" si="205"/>
        <v>0</v>
      </c>
      <c r="BN183" s="331"/>
      <c r="BO183" s="331">
        <f>_xlfn.IFNA(VLOOKUP(A183,'Cash Advances'!A:K,11,FALSE),0)</f>
        <v>0</v>
      </c>
      <c r="BP183" s="330">
        <f t="shared" si="206"/>
        <v>0</v>
      </c>
      <c r="BQ183" s="322">
        <f t="shared" si="207"/>
        <v>0</v>
      </c>
      <c r="BR183" s="322"/>
      <c r="BS183" s="323"/>
      <c r="BT183" s="323">
        <f>_xlfn.IFNA((VLOOKUP($A183,HN!$A:$K,8,FALSE)/12),0)</f>
        <v>0</v>
      </c>
      <c r="BU183" s="323">
        <f>_xlfn.IFNA((VLOOKUP($A183,HN!$A:$BS,14,FALSE)/12),0)</f>
        <v>0</v>
      </c>
      <c r="BV183" s="323">
        <f>(_xlfn.IFNA(VLOOKUP($A183,'Post 16'!$A:$AV,32,FALSE),0)/8)+_xlfn.IFNA(VLOOKUP($A183,'Post 16'!$A:$AR,40,FALSE),0)</f>
        <v>0</v>
      </c>
      <c r="BW183" s="323"/>
      <c r="BX183" s="323">
        <f>_xlfn.IFNA((VLOOKUP($A183,HN!$A:$K,9,FALSE)/12),0)+_xlfn.IFNA((VLOOKUP($A183,HN!$A:$K,10,FALSE)/12),0)</f>
        <v>0</v>
      </c>
      <c r="BY183" s="323">
        <f>_xlfn.IFNA((VLOOKUP($A183,HN!$A:$BS,15,FALSE)/12),0)</f>
        <v>0</v>
      </c>
      <c r="BZ183" s="322">
        <f t="shared" si="208"/>
        <v>0</v>
      </c>
      <c r="CA183" s="322">
        <f t="shared" si="209"/>
        <v>0</v>
      </c>
      <c r="CB183" s="323"/>
      <c r="CC183" s="323"/>
      <c r="CD183" s="322">
        <f t="shared" si="210"/>
        <v>0</v>
      </c>
      <c r="CE183" s="357">
        <f t="shared" si="211"/>
        <v>0</v>
      </c>
      <c r="CF183" s="357">
        <f>(VLOOKUP($A183,EY!$A:$BS,26,FALSE)-(VLOOKUP($A183,EY!A:CR,24,FALSE)*80%))+VLOOKUP($A183,EY!$A:$BS,42,FALSE)+(VLOOKUP($A183,EY!A:CC,74,FALSE)-VLOOKUP($A183,EY!A:CC,72,FALSE))</f>
        <v>83460.671926741517</v>
      </c>
      <c r="CG183" s="358"/>
      <c r="CH183" s="358">
        <f>_xlfn.IFNA((VLOOKUP($A183,HN!$A:$K,8,FALSE)/12),0)</f>
        <v>0</v>
      </c>
      <c r="CI183" s="358">
        <f>_xlfn.IFNA((VLOOKUP($A183,HN!$A:$BS,14,FALSE)/12),0)</f>
        <v>0</v>
      </c>
      <c r="CJ183" s="358">
        <f>(_xlfn.IFNA(VLOOKUP($A183,'Post 16'!$A:$AV,32,FALSE),0)/8)</f>
        <v>0</v>
      </c>
      <c r="CK183" s="358">
        <f>(VLOOKUP($A183,EY!A:CR,24,FALSE)*80%)+VLOOKUP($A183,EY!A:CC,72,FALSE)</f>
        <v>-449.25736842105277</v>
      </c>
      <c r="CL183" s="358">
        <f>_xlfn.IFNA((VLOOKUP($A183,HN!$A:$K,9,FALSE)/12),0)+_xlfn.IFNA((VLOOKUP($A183,HN!$A:$K,10,FALSE)/12),0)</f>
        <v>0</v>
      </c>
      <c r="CM183" s="358">
        <f>_xlfn.IFNA((VLOOKUP($A183,HN!$A:$BS,15,FALSE)/12),0)</f>
        <v>0</v>
      </c>
      <c r="CN183" s="357">
        <f t="shared" si="212"/>
        <v>0</v>
      </c>
      <c r="CO183" s="357">
        <f t="shared" si="213"/>
        <v>0</v>
      </c>
      <c r="CP183" s="358">
        <f>_xlfn.IFNA(VLOOKUP(A183,'LA Deductions'!A:W,23,FALSE),0)</f>
        <v>-1107</v>
      </c>
      <c r="CQ183" s="358">
        <f>_xlfn.IFNA(VLOOKUP($A183,'Cash Advances'!$A:$S,13,FALSE),0)</f>
        <v>0</v>
      </c>
      <c r="CR183" s="358">
        <f>_xlfn.IFNA(VLOOKUP(A183,'LA Deductions'!A:AZ,25,FALSE),0)/9*3</f>
        <v>0</v>
      </c>
      <c r="CS183" s="357">
        <f t="shared" si="173"/>
        <v>81904.414558320466</v>
      </c>
      <c r="CT183" s="337">
        <f t="shared" si="214"/>
        <v>0</v>
      </c>
      <c r="CU183" s="337"/>
      <c r="CV183" s="338">
        <f>_xlfn.IFNA(VLOOKUP(A183,'LA Deductions'!$A$6:$AN$207,34,FALSE),0)</f>
        <v>0</v>
      </c>
      <c r="CW183" s="338">
        <f>_xlfn.IFNA((VLOOKUP($A183,HN!$A:$K,8,FALSE)/12),0)</f>
        <v>0</v>
      </c>
      <c r="CX183" s="338">
        <f>_xlfn.IFNA((VLOOKUP($A183,HN!$A:$BS,14,FALSE)/12),0)</f>
        <v>0</v>
      </c>
      <c r="CY183" s="338">
        <f>_xlfn.IFNA(VLOOKUP($A183,'Post 16'!$A:$AV,32,FALSE),0)/8</f>
        <v>0</v>
      </c>
      <c r="CZ183" s="338"/>
      <c r="DA183" s="338">
        <f>_xlfn.IFNA((VLOOKUP($A183,HN!$A:$K,9,FALSE)/12),0)+_xlfn.IFNA((VLOOKUP($A183,HN!$A:$K,10,FALSE)/12),0)</f>
        <v>0</v>
      </c>
      <c r="DB183" s="338">
        <f>_xlfn.IFNA((VLOOKUP($A183,HN!$A:$BS,15,FALSE)/12),0)</f>
        <v>0</v>
      </c>
      <c r="DC183" s="337">
        <f t="shared" si="215"/>
        <v>0</v>
      </c>
      <c r="DD183" s="337">
        <f t="shared" si="216"/>
        <v>0</v>
      </c>
      <c r="DE183" s="338"/>
      <c r="DF183" s="338">
        <f>_xlfn.IFNA(VLOOKUP($A183,'Cash Advances'!$A:$S,14,FALSE),0)</f>
        <v>0</v>
      </c>
      <c r="DG183" s="338">
        <f>(_xlfn.IFNA(VLOOKUP(A183,'LA Deductions'!A:AZ,25,FALSE),0)/9)+(_xlfn.IFNA(VLOOKUP(A183,'LA Deductions'!A:AZ,26,FALSE),0))</f>
        <v>0</v>
      </c>
      <c r="DH183" s="337">
        <f t="shared" si="174"/>
        <v>0</v>
      </c>
      <c r="DI183" s="330">
        <f t="shared" si="217"/>
        <v>0</v>
      </c>
      <c r="DJ183" s="330"/>
      <c r="DK183" s="331"/>
      <c r="DL183" s="331">
        <f>_xlfn.IFNA((VLOOKUP($A183,HN!$A:$K,8,FALSE)/12),0)+_xlfn.IFNA((VLOOKUP($A183,HN!$A:$AF,32,FALSE)*8/12),0)</f>
        <v>0</v>
      </c>
      <c r="DM183" s="331">
        <f>_xlfn.IFNA((VLOOKUP($A183,HN!$A:$BS,14,FALSE)/12),0)+_xlfn.IFNA(VLOOKUP($A183,HN!$A:$BS,31,FALSE),0)</f>
        <v>0</v>
      </c>
      <c r="DN183" s="331">
        <f>_xlfn.IFNA(VLOOKUP($A183,'Post 16'!$A:$AV,32,FALSE),0)/8</f>
        <v>0</v>
      </c>
      <c r="DO183" s="331"/>
      <c r="DP183" s="331">
        <f>_xlfn.IFNA((VLOOKUP($A183,HN!$A:$K,9,FALSE)/12),0)+_xlfn.IFNA((VLOOKUP($A183,HN!$A:$K,10,FALSE)/12),0)+_xlfn.IFNA((VLOOKUP($A183,HN!$A:$BZ,33,FALSE)*8/12),0)</f>
        <v>0</v>
      </c>
      <c r="DQ183" s="331">
        <f>_xlfn.IFNA((VLOOKUP($A183,HN!$A:$BS,15,FALSE)/12),0)</f>
        <v>0</v>
      </c>
      <c r="DR183" s="330">
        <f t="shared" si="218"/>
        <v>0</v>
      </c>
      <c r="DS183" s="330">
        <f t="shared" si="219"/>
        <v>0</v>
      </c>
      <c r="DT183" s="331"/>
      <c r="DU183" s="331"/>
      <c r="DV183" s="331">
        <f>(_xlfn.IFNA(VLOOKUP(A183,'LA Deductions'!A:AZ,25,FALSE),0)/9)+_xlfn.IFNA(VLOOKUP(A183,'LA Deductions'!A:AZ,27,FALSE),0)</f>
        <v>0</v>
      </c>
      <c r="DW183" s="330">
        <f t="shared" si="175"/>
        <v>0</v>
      </c>
      <c r="DX183" s="344">
        <f t="shared" si="220"/>
        <v>0</v>
      </c>
      <c r="DY183" s="344"/>
      <c r="DZ183" s="345"/>
      <c r="EA183" s="345">
        <f>_xlfn.IFNA((VLOOKUP($A183,HN!$A:$K,8,FALSE)/12),0)+_xlfn.IFNA((VLOOKUP($A183,HN!$A:$AF,32,FALSE)*1/12),0)</f>
        <v>0</v>
      </c>
      <c r="EB183" s="345">
        <f>_xlfn.IFNA((VLOOKUP($A183,HN!$A:$BS,14,FALSE)/12),0)</f>
        <v>0</v>
      </c>
      <c r="EC183" s="345">
        <f>_xlfn.IFNA(VLOOKUP($A183,'Post 16'!$A:$AV,32,FALSE),0)/8</f>
        <v>0</v>
      </c>
      <c r="ED183" s="345"/>
      <c r="EE183" s="345">
        <f>_xlfn.IFNA((VLOOKUP($A183,HN!$A:$K,9,FALSE)/12),0)+_xlfn.IFNA((VLOOKUP($A183,HN!$A:$K,10,FALSE)/12),0)+_xlfn.IFNA((VLOOKUP($A183,HN!$A:$BZ,33,FALSE)/12),0)</f>
        <v>0</v>
      </c>
      <c r="EF183" s="345">
        <f>_xlfn.IFNA((VLOOKUP($A183,HN!$A:$BS,15,FALSE)/12),0)</f>
        <v>0</v>
      </c>
      <c r="EG183" s="344">
        <f t="shared" si="221"/>
        <v>0</v>
      </c>
      <c r="EH183" s="344">
        <f t="shared" si="222"/>
        <v>0</v>
      </c>
      <c r="EI183" s="345"/>
      <c r="EJ183" s="345">
        <f>_xlfn.IFNA(VLOOKUP(A183,'Cash Advances'!A:P,16,FALSE),0)</f>
        <v>0</v>
      </c>
      <c r="EK183" s="345">
        <f>_xlfn.IFNA(VLOOKUP(A183,'LA Deductions'!A:AZ,25,FALSE),0)/9</f>
        <v>0</v>
      </c>
      <c r="EL183" s="344">
        <f t="shared" si="176"/>
        <v>0</v>
      </c>
      <c r="EM183" s="308">
        <f t="shared" si="223"/>
        <v>0</v>
      </c>
      <c r="EN183" s="308">
        <f>((VLOOKUP($A183,EY!$A:$BS,35,FALSE)-(VLOOKUP($A183,EY!$A:$BS,33,FALSE)*80%))+VLOOKUP($A183,EY!$A:$BS,43,FALSE))+(VLOOKUP(A183,EY!A:DF,110,FALSE)-VLOOKUP(A183,EY!A:DD,108,FALSE))+(VLOOKUP(A183,EY!A:CE,83,FALSE)-VLOOKUP(A183,EY!A:CC,81,FALSE))</f>
        <v>61333.153377839306</v>
      </c>
      <c r="EO183" s="309"/>
      <c r="EP183" s="309">
        <f>_xlfn.IFNA((VLOOKUP($A183,HN!$A:$K,8,FALSE)/12),0)+_xlfn.IFNA((VLOOKUP($A183,HN!$A:$AF,32,FALSE)*1/12),0)</f>
        <v>0</v>
      </c>
      <c r="EQ183" s="309">
        <f>_xlfn.IFNA((VLOOKUP($A183,HN!$A:$BS,14,FALSE)/12),0)+_xlfn.IFNA((VLOOKUP($A183,HN!$A:$BS,34,FALSE)/3),0)</f>
        <v>0</v>
      </c>
      <c r="ER183" s="309">
        <f>_xlfn.IFNA(VLOOKUP($A183,'Post 16'!$A:$AV,32,FALSE),0)/8</f>
        <v>0</v>
      </c>
      <c r="ES183" s="309">
        <f>((VLOOKUP($A183,EY!A:EV,33,FALSE)*80%))+VLOOKUP(A183,EY!A:DD,108,FALSE)+VLOOKUP(A183,EY!A:CC,81,FALSE)</f>
        <v>916.43853185595572</v>
      </c>
      <c r="ET183" s="309">
        <f>_xlfn.IFNA((VLOOKUP($A183,HN!$A:$K,9,FALSE)/12),0)+_xlfn.IFNA((VLOOKUP($A183,HN!$A:$K,10,FALSE)/12),0)+_xlfn.IFNA((VLOOKUP($A183,HN!$A:$BZ,33,FALSE)/12),0)</f>
        <v>0</v>
      </c>
      <c r="EU183" s="309">
        <f>_xlfn.IFNA((VLOOKUP($A183,HN!$A:$BS,15,FALSE)/12),0)</f>
        <v>0</v>
      </c>
      <c r="EV183" s="308">
        <f t="shared" si="224"/>
        <v>0</v>
      </c>
      <c r="EW183" s="308">
        <f t="shared" si="225"/>
        <v>0</v>
      </c>
      <c r="EX183" s="309"/>
      <c r="EY183" s="309">
        <f>_xlfn.IFNA(VLOOKUP($A183,'Cash Advances'!$A:$S,17,FALSE),0)</f>
        <v>0</v>
      </c>
      <c r="EZ183" s="309">
        <f>_xlfn.IFNA(VLOOKUP(A183,'LA Deductions'!A:AZ,25,FALSE),0)/9</f>
        <v>0</v>
      </c>
      <c r="FA183" s="308">
        <f t="shared" si="177"/>
        <v>62249.591909695264</v>
      </c>
      <c r="FB183" s="315">
        <f t="shared" si="226"/>
        <v>0</v>
      </c>
      <c r="FC183" s="315"/>
      <c r="FD183" s="316"/>
      <c r="FE183" s="316">
        <f>_xlfn.IFNA((VLOOKUP($A183,HN!$A:$K,8,FALSE)/12),0)+_xlfn.IFNA((VLOOKUP($A183,HN!$A:$AF,32,FALSE)*1/12),0)</f>
        <v>0</v>
      </c>
      <c r="FF183" s="316">
        <f>_xlfn.IFNA((VLOOKUP($A183,HN!$A:$BS,14,FALSE)/12),0)+_xlfn.IFNA((VLOOKUP($A183,HN!$A:$BS,34,FALSE)/3),0)</f>
        <v>0</v>
      </c>
      <c r="FG183" s="316">
        <f>_xlfn.IFNA(VLOOKUP($A183,'Post 16'!$A:$AV,32,FALSE),0)/8</f>
        <v>0</v>
      </c>
      <c r="FH183" s="316"/>
      <c r="FI183" s="316">
        <f>_xlfn.IFNA((VLOOKUP($A183,HN!$A:$K,9,FALSE)/12),0)+_xlfn.IFNA((VLOOKUP($A183,HN!$A:$K,10,FALSE)/12),0)+_xlfn.IFNA((VLOOKUP($A183,HN!$A:$BZ,33,FALSE)/12),0)+_xlfn.IFNA((VLOOKUP($A183,HN!$A:$BZ,35,FALSE)/2),0)</f>
        <v>0</v>
      </c>
      <c r="FJ183" s="316">
        <f>_xlfn.IFNA((VLOOKUP($A183,HN!$A:$BS,15,FALSE)/12),0)+_xlfn.IFNA((VLOOKUP($A183,HN!$A:$CZ,36,FALSE)/2),0)</f>
        <v>0</v>
      </c>
      <c r="FK183" s="315">
        <f t="shared" si="227"/>
        <v>0</v>
      </c>
      <c r="FL183" s="315">
        <f t="shared" si="228"/>
        <v>0</v>
      </c>
      <c r="FM183" s="316"/>
      <c r="FN183" s="316">
        <f>_xlfn.IFNA(VLOOKUP($A183,'Cash Advances'!$A:$S,18,FALSE),0)</f>
        <v>60000</v>
      </c>
      <c r="FO183" s="316">
        <f>_xlfn.IFNA(VLOOKUP(A183,'LA Deductions'!A:AZ,25,FALSE),0)/9</f>
        <v>0</v>
      </c>
      <c r="FP183" s="315">
        <f t="shared" si="178"/>
        <v>60000</v>
      </c>
      <c r="FQ183" s="322">
        <f t="shared" si="229"/>
        <v>0</v>
      </c>
      <c r="FR183" s="322"/>
      <c r="FS183" s="323"/>
      <c r="FT183" s="323">
        <f>_xlfn.IFNA((VLOOKUP($A183,HN!$A:$K,8,FALSE)/12),0)+_xlfn.IFNA((VLOOKUP($A183,HN!$A:$AF,32,FALSE)*1/12),0)</f>
        <v>0</v>
      </c>
      <c r="FU183" s="323">
        <f>_xlfn.IFNA((VLOOKUP($A183,HN!$A:$BS,14,FALSE)/12),0)+_xlfn.IFNA((VLOOKUP($A183,HN!$A:$BS,34,FALSE)/3),0)</f>
        <v>0</v>
      </c>
      <c r="FV183" s="323">
        <f>_xlfn.IFNA(VLOOKUP($A183,'Post 16'!$A:$AV,32,FALSE),0)/8</f>
        <v>0</v>
      </c>
      <c r="FW183" s="323"/>
      <c r="FX183" s="323">
        <f>_xlfn.IFNA((VLOOKUP($A183,HN!$A:$K,9,FALSE)/12),0)+_xlfn.IFNA((VLOOKUP($A183,HN!$A:$K,10,FALSE)/12),0)+_xlfn.IFNA((VLOOKUP($A183,HN!$A:$BZ,33,FALSE)/12),0)+_xlfn.IFNA((VLOOKUP($A183,HN!$A:$BZ,35,FALSE)/2),0)</f>
        <v>0</v>
      </c>
      <c r="FY183" s="323">
        <f>_xlfn.IFNA((VLOOKUP($A183,HN!$A:$BS,15,FALSE)/12),0)+_xlfn.IFNA((VLOOKUP($A183,HN!$A:$CZ,36,FALSE)/2),0)</f>
        <v>0</v>
      </c>
      <c r="FZ183" s="322">
        <f t="shared" si="230"/>
        <v>0</v>
      </c>
      <c r="GA183" s="322">
        <f t="shared" si="231"/>
        <v>0</v>
      </c>
      <c r="GB183" s="323"/>
      <c r="GC183" s="323"/>
      <c r="GD183" s="323">
        <f>_xlfn.IFNA(VLOOKUP(A183,'LA Deductions'!A:AZ,25,FALSE),0)/9</f>
        <v>0</v>
      </c>
      <c r="GE183" s="322">
        <f t="shared" si="179"/>
        <v>0</v>
      </c>
      <c r="GG183" s="146">
        <f t="shared" si="234"/>
        <v>434232.72425949137</v>
      </c>
      <c r="GH183" s="146">
        <f t="shared" si="234"/>
        <v>0</v>
      </c>
      <c r="GI183" s="146">
        <f t="shared" si="234"/>
        <v>1237.3285318559556</v>
      </c>
      <c r="GJ183" s="146">
        <f t="shared" si="234"/>
        <v>0</v>
      </c>
      <c r="GK183" s="146">
        <f t="shared" si="234"/>
        <v>0</v>
      </c>
      <c r="GL183" s="146">
        <f t="shared" si="234"/>
        <v>-1107</v>
      </c>
      <c r="GN183" s="146">
        <f t="shared" si="235"/>
        <v>434232.72425949137</v>
      </c>
      <c r="GO183" s="146">
        <f t="shared" si="235"/>
        <v>0</v>
      </c>
      <c r="GP183" s="146">
        <f t="shared" si="235"/>
        <v>1237.3285318559556</v>
      </c>
      <c r="GQ183" s="146">
        <f t="shared" si="235"/>
        <v>0</v>
      </c>
      <c r="GR183" s="146">
        <f t="shared" si="235"/>
        <v>0</v>
      </c>
      <c r="GS183" s="146">
        <f t="shared" si="235"/>
        <v>-1107</v>
      </c>
      <c r="GU183" s="146"/>
      <c r="GV183" s="57"/>
    </row>
    <row r="184" spans="1:204">
      <c r="A184" s="185">
        <v>3382</v>
      </c>
      <c r="B184" s="185">
        <v>103467</v>
      </c>
      <c r="C184" s="185" t="s">
        <v>416</v>
      </c>
      <c r="D184" s="2" t="s">
        <v>417</v>
      </c>
      <c r="E184" s="191" t="s">
        <v>32</v>
      </c>
      <c r="F184" s="191" t="s">
        <v>912</v>
      </c>
      <c r="H184" s="279">
        <f>_xlfn.IFNA(VLOOKUP($A184,ISB!$A$4:$BY$454,67,FALSE),0)</f>
        <v>1247819.8869547981</v>
      </c>
      <c r="I184" s="279">
        <f>_xlfn.IFNA(VLOOKUP($A184,ISB!$A$4:$BY$454,72,FALSE),0)</f>
        <v>-5476.7999999999993</v>
      </c>
      <c r="J184" s="279">
        <f>-_xlfn.IFNA(VLOOKUP($A184,ISB!$A$4:$BY$454,76,FALSE),0)</f>
        <v>-4557.9799999999996</v>
      </c>
      <c r="K184" s="279">
        <f>_xlfn.IFNA(VLOOKUP($A184,ISB!$A$4:$BY$454,77,FALSE),0)</f>
        <v>1237785.1069547981</v>
      </c>
      <c r="M184" s="301">
        <f t="shared" si="191"/>
        <v>103984.99057956651</v>
      </c>
      <c r="N184" s="301">
        <f>VLOOKUP($A184,EY!$A:$H,8,FALSE)+(VLOOKUP($A184,EY!$A:$BS,17,FALSE)-S184)+VLOOKUP($A184,EY!$A:$BS,41,FALSE)</f>
        <v>0</v>
      </c>
      <c r="O184" s="302"/>
      <c r="P184" s="302">
        <f>_xlfn.IFNA((VLOOKUP($A184,HN!$A:$K,8,FALSE)/12),0)</f>
        <v>0</v>
      </c>
      <c r="Q184" s="302">
        <f>_xlfn.IFNA((VLOOKUP($A184,HN!$A:$BS,14,FALSE)/12),0)</f>
        <v>0</v>
      </c>
      <c r="R184" s="302">
        <f>_xlfn.IFNA(VLOOKUP($A184,'Post 16'!$A:$V,21,FALSE),0)/4</f>
        <v>0</v>
      </c>
      <c r="S184" s="302">
        <f>VLOOKUP($A184,EY!A:Q,15,FALSE)*80%</f>
        <v>0</v>
      </c>
      <c r="T184" s="302">
        <f>_xlfn.IFNA((VLOOKUP($A184,HN!$A:$K,9,FALSE)/12),0)+_xlfn.IFNA((VLOOKUP($A184,HN!$A:$K,10,FALSE)/12),0)</f>
        <v>0</v>
      </c>
      <c r="U184" s="302">
        <f>_xlfn.IFNA((VLOOKUP($A184,HN!$A:$BS,15,FALSE)/12),0)</f>
        <v>0</v>
      </c>
      <c r="V184" s="301">
        <f t="shared" si="192"/>
        <v>-456.39999999999992</v>
      </c>
      <c r="W184" s="301">
        <f t="shared" si="193"/>
        <v>-379.83166666666665</v>
      </c>
      <c r="X184" s="302"/>
      <c r="Y184" s="302">
        <f>_xlfn.IFNA(VLOOKUP($A184,'Cash Advances'!$A:$S,8,FALSE),0)</f>
        <v>0</v>
      </c>
      <c r="Z184" s="301">
        <f t="shared" si="194"/>
        <v>103148.75891289985</v>
      </c>
      <c r="AA184" s="315">
        <f t="shared" si="195"/>
        <v>103984.99057956651</v>
      </c>
      <c r="AB184" s="315"/>
      <c r="AC184" s="316"/>
      <c r="AD184" s="316">
        <f>_xlfn.IFNA((VLOOKUP($A184,HN!$A:$K,8,FALSE)/12),0)</f>
        <v>0</v>
      </c>
      <c r="AE184" s="316">
        <f>_xlfn.IFNA((VLOOKUP($A184,HN!$A:$BS,14,FALSE)/12),0)</f>
        <v>0</v>
      </c>
      <c r="AF184" s="316">
        <f>_xlfn.IFNA(VLOOKUP($A184,'Post 16'!$A:$V,21,FALSE),0)/4</f>
        <v>0</v>
      </c>
      <c r="AG184" s="316"/>
      <c r="AH184" s="316">
        <f>_xlfn.IFNA((VLOOKUP($A184,HN!$A:$K,9,FALSE)/12),0)+_xlfn.IFNA((VLOOKUP($A184,HN!$A:$K,10,FALSE)/12),0)</f>
        <v>0</v>
      </c>
      <c r="AI184" s="316">
        <f>_xlfn.IFNA((VLOOKUP($A184,HN!$A:$BS,15,FALSE)/12),0)</f>
        <v>0</v>
      </c>
      <c r="AJ184" s="315">
        <f t="shared" si="196"/>
        <v>-456.39999999999992</v>
      </c>
      <c r="AK184" s="315">
        <f t="shared" si="197"/>
        <v>-379.83166666666665</v>
      </c>
      <c r="AL184" s="316"/>
      <c r="AM184" s="316">
        <f>_xlfn.IFNA(VLOOKUP($A184,'Cash Advances'!$A:$S,9,FALSE),0)</f>
        <v>0</v>
      </c>
      <c r="AN184" s="315">
        <f t="shared" si="198"/>
        <v>103148.75891289985</v>
      </c>
      <c r="AO184" s="308">
        <f t="shared" si="199"/>
        <v>103984.99057956651</v>
      </c>
      <c r="AP184" s="308"/>
      <c r="AQ184" s="309"/>
      <c r="AR184" s="309">
        <f>_xlfn.IFNA((VLOOKUP($A184,HN!$A:$K,8,FALSE)/12),0)</f>
        <v>0</v>
      </c>
      <c r="AS184" s="309">
        <f>_xlfn.IFNA((VLOOKUP($A184,HN!$A:$BS,14,FALSE)/12),0)</f>
        <v>0</v>
      </c>
      <c r="AT184" s="309">
        <f>_xlfn.IFNA(VLOOKUP($A184,'Post 16'!$A:$V,21,FALSE),0)/4</f>
        <v>0</v>
      </c>
      <c r="AU184" s="309"/>
      <c r="AV184" s="309">
        <f>_xlfn.IFNA((VLOOKUP($A184,HN!$A:$K,9,FALSE)/12),0)+_xlfn.IFNA((VLOOKUP($A184,HN!$A:$K,10,FALSE)/12),0)+_xlfn.IFNA(VLOOKUP(A184,HN!A:V,19,FALSE),0)+_xlfn.IFNA(VLOOKUP(A184,HN!A:V,20,FALSE),0)+_xlfn.IFNA(VLOOKUP(A184,HN!A:V,21,FALSE),0)</f>
        <v>0</v>
      </c>
      <c r="AW184" s="309">
        <f>_xlfn.IFNA((VLOOKUP($A184,HN!$A:$BS,15,FALSE)/12),0)</f>
        <v>0</v>
      </c>
      <c r="AX184" s="308">
        <f t="shared" si="200"/>
        <v>-456.39999999999992</v>
      </c>
      <c r="AY184" s="308">
        <f t="shared" si="201"/>
        <v>-379.83166666666665</v>
      </c>
      <c r="AZ184" s="309"/>
      <c r="BA184" s="309">
        <f>_xlfn.IFNA(VLOOKUP($A184,'Cash Advances'!$A:$S,10,FALSE),0)</f>
        <v>0</v>
      </c>
      <c r="BB184" s="308">
        <f t="shared" si="202"/>
        <v>103148.75891289985</v>
      </c>
      <c r="BC184" s="330">
        <f t="shared" si="203"/>
        <v>103984.99057956651</v>
      </c>
      <c r="BD184" s="330"/>
      <c r="BE184" s="331"/>
      <c r="BF184" s="331">
        <f>_xlfn.IFNA((VLOOKUP($A184,HN!$A:$K,8,FALSE)/12),0)</f>
        <v>0</v>
      </c>
      <c r="BG184" s="331">
        <f>_xlfn.IFNA((VLOOKUP($A184,HN!$A:$BS,14,FALSE)/12),0)</f>
        <v>0</v>
      </c>
      <c r="BH184" s="331">
        <f>_xlfn.IFNA(VLOOKUP($A184,'Post 16'!$A:$V,21,FALSE),0)/4</f>
        <v>0</v>
      </c>
      <c r="BI184" s="331"/>
      <c r="BJ184" s="331">
        <f>_xlfn.IFNA((VLOOKUP($A184,HN!$A:$K,9,FALSE)/12),0)+_xlfn.IFNA((VLOOKUP($A184,HN!$A:$K,10,FALSE)/12),0)</f>
        <v>0</v>
      </c>
      <c r="BK184" s="331">
        <f>_xlfn.IFNA((VLOOKUP($A184,HN!$A:$BS,15,FALSE)/12),0)</f>
        <v>0</v>
      </c>
      <c r="BL184" s="330">
        <f t="shared" si="204"/>
        <v>-456.39999999999992</v>
      </c>
      <c r="BM184" s="330">
        <f t="shared" si="205"/>
        <v>-379.83166666666665</v>
      </c>
      <c r="BN184" s="331"/>
      <c r="BO184" s="331">
        <f>_xlfn.IFNA(VLOOKUP(A184,'Cash Advances'!A:K,11,FALSE),0)</f>
        <v>0</v>
      </c>
      <c r="BP184" s="330">
        <f t="shared" si="206"/>
        <v>103148.75891289985</v>
      </c>
      <c r="BQ184" s="322">
        <f t="shared" si="207"/>
        <v>103984.99057956651</v>
      </c>
      <c r="BR184" s="322"/>
      <c r="BS184" s="323"/>
      <c r="BT184" s="323">
        <f>_xlfn.IFNA((VLOOKUP($A184,HN!$A:$K,8,FALSE)/12),0)</f>
        <v>0</v>
      </c>
      <c r="BU184" s="323">
        <f>_xlfn.IFNA((VLOOKUP($A184,HN!$A:$BS,14,FALSE)/12),0)</f>
        <v>0</v>
      </c>
      <c r="BV184" s="323">
        <f>(_xlfn.IFNA(VLOOKUP($A184,'Post 16'!$A:$AV,32,FALSE),0)/8)+_xlfn.IFNA(VLOOKUP($A184,'Post 16'!$A:$AR,40,FALSE),0)</f>
        <v>0</v>
      </c>
      <c r="BW184" s="323"/>
      <c r="BX184" s="323">
        <f>_xlfn.IFNA((VLOOKUP($A184,HN!$A:$K,9,FALSE)/12),0)+_xlfn.IFNA((VLOOKUP($A184,HN!$A:$K,10,FALSE)/12),0)</f>
        <v>0</v>
      </c>
      <c r="BY184" s="323">
        <f>_xlfn.IFNA((VLOOKUP($A184,HN!$A:$BS,15,FALSE)/12),0)</f>
        <v>0</v>
      </c>
      <c r="BZ184" s="322">
        <f t="shared" si="208"/>
        <v>-456.39999999999992</v>
      </c>
      <c r="CA184" s="322">
        <f t="shared" si="209"/>
        <v>-379.83166666666665</v>
      </c>
      <c r="CB184" s="323"/>
      <c r="CC184" s="323"/>
      <c r="CD184" s="322">
        <f t="shared" si="210"/>
        <v>103148.75891289985</v>
      </c>
      <c r="CE184" s="357">
        <f t="shared" si="211"/>
        <v>103984.99057956651</v>
      </c>
      <c r="CF184" s="357">
        <f>(VLOOKUP($A184,EY!$A:$BS,26,FALSE)-(VLOOKUP($A184,EY!A:CR,24,FALSE)*80%))+VLOOKUP($A184,EY!$A:$BS,42,FALSE)+(VLOOKUP($A184,EY!A:CC,74,FALSE)-VLOOKUP($A184,EY!A:CC,72,FALSE))</f>
        <v>0</v>
      </c>
      <c r="CG184" s="358"/>
      <c r="CH184" s="358">
        <f>_xlfn.IFNA((VLOOKUP($A184,HN!$A:$K,8,FALSE)/12),0)</f>
        <v>0</v>
      </c>
      <c r="CI184" s="358">
        <f>_xlfn.IFNA((VLOOKUP($A184,HN!$A:$BS,14,FALSE)/12),0)</f>
        <v>0</v>
      </c>
      <c r="CJ184" s="358">
        <f>(_xlfn.IFNA(VLOOKUP($A184,'Post 16'!$A:$AV,32,FALSE),0)/8)</f>
        <v>0</v>
      </c>
      <c r="CK184" s="358">
        <f>(VLOOKUP($A184,EY!A:CR,24,FALSE)*80%)+VLOOKUP($A184,EY!A:CC,72,FALSE)</f>
        <v>0</v>
      </c>
      <c r="CL184" s="358">
        <f>_xlfn.IFNA((VLOOKUP($A184,HN!$A:$K,9,FALSE)/12),0)+_xlfn.IFNA((VLOOKUP($A184,HN!$A:$K,10,FALSE)/12),0)</f>
        <v>0</v>
      </c>
      <c r="CM184" s="358">
        <f>_xlfn.IFNA((VLOOKUP($A184,HN!$A:$BS,15,FALSE)/12),0)</f>
        <v>0</v>
      </c>
      <c r="CN184" s="357">
        <f t="shared" si="212"/>
        <v>-456.39999999999992</v>
      </c>
      <c r="CO184" s="357">
        <f t="shared" si="213"/>
        <v>-379.83166666666665</v>
      </c>
      <c r="CP184" s="358">
        <f>_xlfn.IFNA(VLOOKUP(A184,'LA Deductions'!A:W,23,FALSE),0)</f>
        <v>0</v>
      </c>
      <c r="CQ184" s="358">
        <f>_xlfn.IFNA(VLOOKUP($A184,'Cash Advances'!$A:$S,13,FALSE),0)</f>
        <v>0</v>
      </c>
      <c r="CR184" s="358">
        <f>_xlfn.IFNA(VLOOKUP(A184,'LA Deductions'!A:AZ,25,FALSE),0)/9*3</f>
        <v>0</v>
      </c>
      <c r="CS184" s="357">
        <f t="shared" si="173"/>
        <v>103148.75891289985</v>
      </c>
      <c r="CT184" s="337">
        <f t="shared" si="214"/>
        <v>103984.99057956651</v>
      </c>
      <c r="CU184" s="337"/>
      <c r="CV184" s="338">
        <f>_xlfn.IFNA(VLOOKUP(A184,'LA Deductions'!$A$6:$AN$207,34,FALSE),0)</f>
        <v>0</v>
      </c>
      <c r="CW184" s="338">
        <f>_xlfn.IFNA((VLOOKUP($A184,HN!$A:$K,8,FALSE)/12),0)</f>
        <v>0</v>
      </c>
      <c r="CX184" s="338">
        <f>_xlfn.IFNA((VLOOKUP($A184,HN!$A:$BS,14,FALSE)/12),0)</f>
        <v>0</v>
      </c>
      <c r="CY184" s="338">
        <f>_xlfn.IFNA(VLOOKUP($A184,'Post 16'!$A:$AV,32,FALSE),0)/8</f>
        <v>0</v>
      </c>
      <c r="CZ184" s="338"/>
      <c r="DA184" s="338">
        <f>_xlfn.IFNA((VLOOKUP($A184,HN!$A:$K,9,FALSE)/12),0)+_xlfn.IFNA((VLOOKUP($A184,HN!$A:$K,10,FALSE)/12),0)</f>
        <v>0</v>
      </c>
      <c r="DB184" s="338">
        <f>_xlfn.IFNA((VLOOKUP($A184,HN!$A:$BS,15,FALSE)/12),0)</f>
        <v>0</v>
      </c>
      <c r="DC184" s="337">
        <f t="shared" si="215"/>
        <v>-456.39999999999992</v>
      </c>
      <c r="DD184" s="337">
        <f t="shared" si="216"/>
        <v>-379.83166666666665</v>
      </c>
      <c r="DE184" s="338"/>
      <c r="DF184" s="338">
        <f>_xlfn.IFNA(VLOOKUP($A184,'Cash Advances'!$A:$S,14,FALSE),0)</f>
        <v>0</v>
      </c>
      <c r="DG184" s="338">
        <f>(_xlfn.IFNA(VLOOKUP(A184,'LA Deductions'!A:AZ,25,FALSE),0)/9)+(_xlfn.IFNA(VLOOKUP(A184,'LA Deductions'!A:AZ,26,FALSE),0))</f>
        <v>0</v>
      </c>
      <c r="DH184" s="337">
        <f t="shared" si="174"/>
        <v>103148.75891289985</v>
      </c>
      <c r="DI184" s="330">
        <f t="shared" si="217"/>
        <v>103984.99057956651</v>
      </c>
      <c r="DJ184" s="330"/>
      <c r="DK184" s="331"/>
      <c r="DL184" s="331">
        <f>_xlfn.IFNA((VLOOKUP($A184,HN!$A:$K,8,FALSE)/12),0)+_xlfn.IFNA((VLOOKUP($A184,HN!$A:$AF,32,FALSE)*8/12),0)</f>
        <v>0</v>
      </c>
      <c r="DM184" s="331">
        <f>_xlfn.IFNA((VLOOKUP($A184,HN!$A:$BS,14,FALSE)/12),0)+_xlfn.IFNA(VLOOKUP($A184,HN!$A:$BS,31,FALSE),0)</f>
        <v>0</v>
      </c>
      <c r="DN184" s="331">
        <f>_xlfn.IFNA(VLOOKUP($A184,'Post 16'!$A:$AV,32,FALSE),0)/8</f>
        <v>0</v>
      </c>
      <c r="DO184" s="331"/>
      <c r="DP184" s="331">
        <f>_xlfn.IFNA((VLOOKUP($A184,HN!$A:$K,9,FALSE)/12),0)+_xlfn.IFNA((VLOOKUP($A184,HN!$A:$K,10,FALSE)/12),0)+_xlfn.IFNA((VLOOKUP($A184,HN!$A:$BZ,33,FALSE)*8/12),0)</f>
        <v>0</v>
      </c>
      <c r="DQ184" s="331">
        <f>_xlfn.IFNA((VLOOKUP($A184,HN!$A:$BS,15,FALSE)/12),0)</f>
        <v>0</v>
      </c>
      <c r="DR184" s="330">
        <f t="shared" si="218"/>
        <v>-456.39999999999992</v>
      </c>
      <c r="DS184" s="330">
        <f t="shared" si="219"/>
        <v>-379.83166666666665</v>
      </c>
      <c r="DT184" s="331"/>
      <c r="DU184" s="331"/>
      <c r="DV184" s="331">
        <f>(_xlfn.IFNA(VLOOKUP(A184,'LA Deductions'!A:AZ,25,FALSE),0)/9)+_xlfn.IFNA(VLOOKUP(A184,'LA Deductions'!A:AZ,27,FALSE),0)</f>
        <v>0</v>
      </c>
      <c r="DW184" s="330">
        <f t="shared" si="175"/>
        <v>103148.75891289985</v>
      </c>
      <c r="DX184" s="344">
        <f t="shared" si="220"/>
        <v>103984.99057956651</v>
      </c>
      <c r="DY184" s="344"/>
      <c r="DZ184" s="345"/>
      <c r="EA184" s="345">
        <f>_xlfn.IFNA((VLOOKUP($A184,HN!$A:$K,8,FALSE)/12),0)+_xlfn.IFNA((VLOOKUP($A184,HN!$A:$AF,32,FALSE)*1/12),0)</f>
        <v>0</v>
      </c>
      <c r="EB184" s="345">
        <f>_xlfn.IFNA((VLOOKUP($A184,HN!$A:$BS,14,FALSE)/12),0)</f>
        <v>0</v>
      </c>
      <c r="EC184" s="345">
        <f>_xlfn.IFNA(VLOOKUP($A184,'Post 16'!$A:$AV,32,FALSE),0)/8</f>
        <v>0</v>
      </c>
      <c r="ED184" s="345"/>
      <c r="EE184" s="345">
        <f>_xlfn.IFNA((VLOOKUP($A184,HN!$A:$K,9,FALSE)/12),0)+_xlfn.IFNA((VLOOKUP($A184,HN!$A:$K,10,FALSE)/12),0)+_xlfn.IFNA((VLOOKUP($A184,HN!$A:$BZ,33,FALSE)/12),0)</f>
        <v>0</v>
      </c>
      <c r="EF184" s="345">
        <f>_xlfn.IFNA((VLOOKUP($A184,HN!$A:$BS,15,FALSE)/12),0)</f>
        <v>0</v>
      </c>
      <c r="EG184" s="344">
        <f t="shared" si="221"/>
        <v>-456.39999999999992</v>
      </c>
      <c r="EH184" s="344">
        <f t="shared" si="222"/>
        <v>-379.83166666666665</v>
      </c>
      <c r="EI184" s="345"/>
      <c r="EJ184" s="345">
        <f>_xlfn.IFNA(VLOOKUP(A184,'Cash Advances'!A:P,16,FALSE),0)</f>
        <v>0</v>
      </c>
      <c r="EK184" s="345">
        <f>_xlfn.IFNA(VLOOKUP(A184,'LA Deductions'!A:AZ,25,FALSE),0)/9</f>
        <v>0</v>
      </c>
      <c r="EL184" s="344">
        <f t="shared" si="176"/>
        <v>103148.75891289985</v>
      </c>
      <c r="EM184" s="308">
        <f t="shared" si="223"/>
        <v>103984.99057956651</v>
      </c>
      <c r="EN184" s="308">
        <f>((VLOOKUP($A184,EY!$A:$BS,35,FALSE)-(VLOOKUP($A184,EY!$A:$BS,33,FALSE)*80%))+VLOOKUP($A184,EY!$A:$BS,43,FALSE))+(VLOOKUP(A184,EY!A:DF,110,FALSE)-VLOOKUP(A184,EY!A:DD,108,FALSE))+(VLOOKUP(A184,EY!A:CE,83,FALSE)-VLOOKUP(A184,EY!A:CC,81,FALSE))</f>
        <v>0</v>
      </c>
      <c r="EO184" s="309"/>
      <c r="EP184" s="309">
        <f>_xlfn.IFNA((VLOOKUP($A184,HN!$A:$K,8,FALSE)/12),0)+_xlfn.IFNA((VLOOKUP($A184,HN!$A:$AF,32,FALSE)*1/12),0)</f>
        <v>0</v>
      </c>
      <c r="EQ184" s="309">
        <f>_xlfn.IFNA((VLOOKUP($A184,HN!$A:$BS,14,FALSE)/12),0)+_xlfn.IFNA((VLOOKUP($A184,HN!$A:$BS,34,FALSE)/3),0)</f>
        <v>0</v>
      </c>
      <c r="ER184" s="309">
        <f>_xlfn.IFNA(VLOOKUP($A184,'Post 16'!$A:$AV,32,FALSE),0)/8</f>
        <v>0</v>
      </c>
      <c r="ES184" s="309">
        <f>((VLOOKUP($A184,EY!A:EV,33,FALSE)*80%))+VLOOKUP(A184,EY!A:DD,108,FALSE)+VLOOKUP(A184,EY!A:CC,81,FALSE)</f>
        <v>0</v>
      </c>
      <c r="ET184" s="309">
        <f>_xlfn.IFNA((VLOOKUP($A184,HN!$A:$K,9,FALSE)/12),0)+_xlfn.IFNA((VLOOKUP($A184,HN!$A:$K,10,FALSE)/12),0)+_xlfn.IFNA((VLOOKUP($A184,HN!$A:$BZ,33,FALSE)/12),0)</f>
        <v>0</v>
      </c>
      <c r="EU184" s="309">
        <f>_xlfn.IFNA((VLOOKUP($A184,HN!$A:$BS,15,FALSE)/12),0)</f>
        <v>0</v>
      </c>
      <c r="EV184" s="308">
        <f t="shared" si="224"/>
        <v>-456.39999999999992</v>
      </c>
      <c r="EW184" s="308">
        <f t="shared" si="225"/>
        <v>-379.83166666666665</v>
      </c>
      <c r="EX184" s="309"/>
      <c r="EY184" s="309">
        <f>_xlfn.IFNA(VLOOKUP($A184,'Cash Advances'!$A:$S,17,FALSE),0)</f>
        <v>0</v>
      </c>
      <c r="EZ184" s="309">
        <f>_xlfn.IFNA(VLOOKUP(A184,'LA Deductions'!A:AZ,25,FALSE),0)/9</f>
        <v>0</v>
      </c>
      <c r="FA184" s="308">
        <f t="shared" si="177"/>
        <v>103148.75891289985</v>
      </c>
      <c r="FB184" s="315">
        <f t="shared" si="226"/>
        <v>103984.99057956651</v>
      </c>
      <c r="FC184" s="315"/>
      <c r="FD184" s="316"/>
      <c r="FE184" s="316">
        <f>_xlfn.IFNA((VLOOKUP($A184,HN!$A:$K,8,FALSE)/12),0)+_xlfn.IFNA((VLOOKUP($A184,HN!$A:$AF,32,FALSE)*1/12),0)</f>
        <v>0</v>
      </c>
      <c r="FF184" s="316">
        <f>_xlfn.IFNA((VLOOKUP($A184,HN!$A:$BS,14,FALSE)/12),0)+_xlfn.IFNA((VLOOKUP($A184,HN!$A:$BS,34,FALSE)/3),0)</f>
        <v>0</v>
      </c>
      <c r="FG184" s="316">
        <f>_xlfn.IFNA(VLOOKUP($A184,'Post 16'!$A:$AV,32,FALSE),0)/8</f>
        <v>0</v>
      </c>
      <c r="FH184" s="316"/>
      <c r="FI184" s="316">
        <f>_xlfn.IFNA((VLOOKUP($A184,HN!$A:$K,9,FALSE)/12),0)+_xlfn.IFNA((VLOOKUP($A184,HN!$A:$K,10,FALSE)/12),0)+_xlfn.IFNA((VLOOKUP($A184,HN!$A:$BZ,33,FALSE)/12),0)+_xlfn.IFNA((VLOOKUP($A184,HN!$A:$BZ,35,FALSE)/2),0)</f>
        <v>0</v>
      </c>
      <c r="FJ184" s="316">
        <f>_xlfn.IFNA((VLOOKUP($A184,HN!$A:$BS,15,FALSE)/12),0)+_xlfn.IFNA((VLOOKUP($A184,HN!$A:$CZ,36,FALSE)/2),0)</f>
        <v>0</v>
      </c>
      <c r="FK184" s="315">
        <f t="shared" si="227"/>
        <v>-456.39999999999992</v>
      </c>
      <c r="FL184" s="315">
        <f t="shared" si="228"/>
        <v>-379.83166666666665</v>
      </c>
      <c r="FM184" s="316"/>
      <c r="FN184" s="316">
        <f>_xlfn.IFNA(VLOOKUP($A184,'Cash Advances'!$A:$S,18,FALSE),0)</f>
        <v>0</v>
      </c>
      <c r="FO184" s="316">
        <f>_xlfn.IFNA(VLOOKUP(A184,'LA Deductions'!A:AZ,25,FALSE),0)/9</f>
        <v>0</v>
      </c>
      <c r="FP184" s="315">
        <f t="shared" si="178"/>
        <v>103148.75891289985</v>
      </c>
      <c r="FQ184" s="322">
        <f t="shared" si="229"/>
        <v>103984.99057956651</v>
      </c>
      <c r="FR184" s="322"/>
      <c r="FS184" s="323"/>
      <c r="FT184" s="323">
        <f>_xlfn.IFNA((VLOOKUP($A184,HN!$A:$K,8,FALSE)/12),0)+_xlfn.IFNA((VLOOKUP($A184,HN!$A:$AF,32,FALSE)*1/12),0)</f>
        <v>0</v>
      </c>
      <c r="FU184" s="323">
        <f>_xlfn.IFNA((VLOOKUP($A184,HN!$A:$BS,14,FALSE)/12),0)+_xlfn.IFNA((VLOOKUP($A184,HN!$A:$BS,34,FALSE)/3),0)</f>
        <v>0</v>
      </c>
      <c r="FV184" s="323">
        <f>_xlfn.IFNA(VLOOKUP($A184,'Post 16'!$A:$AV,32,FALSE),0)/8</f>
        <v>0</v>
      </c>
      <c r="FW184" s="323"/>
      <c r="FX184" s="323">
        <f>_xlfn.IFNA((VLOOKUP($A184,HN!$A:$K,9,FALSE)/12),0)+_xlfn.IFNA((VLOOKUP($A184,HN!$A:$K,10,FALSE)/12),0)+_xlfn.IFNA((VLOOKUP($A184,HN!$A:$BZ,33,FALSE)/12),0)+_xlfn.IFNA((VLOOKUP($A184,HN!$A:$BZ,35,FALSE)/2),0)</f>
        <v>0</v>
      </c>
      <c r="FY184" s="323">
        <f>_xlfn.IFNA((VLOOKUP($A184,HN!$A:$BS,15,FALSE)/12),0)+_xlfn.IFNA((VLOOKUP($A184,HN!$A:$CZ,36,FALSE)/2),0)</f>
        <v>0</v>
      </c>
      <c r="FZ184" s="322">
        <f t="shared" si="230"/>
        <v>-456.39999999999992</v>
      </c>
      <c r="GA184" s="322">
        <f t="shared" si="231"/>
        <v>-379.83166666666665</v>
      </c>
      <c r="GB184" s="323"/>
      <c r="GC184" s="323"/>
      <c r="GD184" s="323">
        <f>_xlfn.IFNA(VLOOKUP(A184,'LA Deductions'!A:AZ,25,FALSE),0)/9</f>
        <v>0</v>
      </c>
      <c r="GE184" s="322">
        <f t="shared" si="179"/>
        <v>103148.75891289985</v>
      </c>
      <c r="GG184" s="146">
        <f t="shared" ref="GG184:GL193" si="236">SUMIFS($M184:$GE184,$M$7:$GE$7,GG$7)</f>
        <v>1247819.8869547979</v>
      </c>
      <c r="GH184" s="146">
        <f t="shared" si="236"/>
        <v>0</v>
      </c>
      <c r="GI184" s="146">
        <f t="shared" si="236"/>
        <v>0</v>
      </c>
      <c r="GJ184" s="146">
        <f t="shared" si="236"/>
        <v>-5476.7999999999984</v>
      </c>
      <c r="GK184" s="146">
        <f t="shared" si="236"/>
        <v>-4557.9799999999996</v>
      </c>
      <c r="GL184" s="146">
        <f t="shared" si="236"/>
        <v>0</v>
      </c>
      <c r="GN184" s="146">
        <f t="shared" ref="GN184:GS193" si="237">SUMIFS($M184:$GE184,$M$7:$GE$7,GN$7,$M$4:$GE$4,$GN$6)</f>
        <v>1247819.8869547979</v>
      </c>
      <c r="GO184" s="146">
        <f t="shared" si="237"/>
        <v>0</v>
      </c>
      <c r="GP184" s="146">
        <f t="shared" si="237"/>
        <v>0</v>
      </c>
      <c r="GQ184" s="146">
        <f t="shared" si="237"/>
        <v>-5476.7999999999984</v>
      </c>
      <c r="GR184" s="146">
        <f t="shared" si="237"/>
        <v>-4557.9799999999996</v>
      </c>
      <c r="GS184" s="146">
        <f t="shared" si="237"/>
        <v>0</v>
      </c>
    </row>
    <row r="185" spans="1:204">
      <c r="A185" s="185">
        <v>3346</v>
      </c>
      <c r="B185" s="185">
        <v>103439</v>
      </c>
      <c r="C185" s="185" t="s">
        <v>418</v>
      </c>
      <c r="D185" s="2" t="s">
        <v>419</v>
      </c>
      <c r="E185" s="191" t="s">
        <v>32</v>
      </c>
      <c r="F185" s="191" t="s">
        <v>912</v>
      </c>
      <c r="H185" s="279">
        <f>_xlfn.IFNA(VLOOKUP($A185,ISB!$A$4:$BY$454,67,FALSE),0)</f>
        <v>2309733.8227088503</v>
      </c>
      <c r="I185" s="279">
        <f>_xlfn.IFNA(VLOOKUP($A185,ISB!$A$4:$BY$454,72,FALSE),0)</f>
        <v>-9284.48</v>
      </c>
      <c r="J185" s="279">
        <f>-_xlfn.IFNA(VLOOKUP($A185,ISB!$A$4:$BY$454,76,FALSE),0)</f>
        <v>-7128.45</v>
      </c>
      <c r="K185" s="279">
        <f>_xlfn.IFNA(VLOOKUP($A185,ISB!$A$4:$BY$454,77,FALSE),0)</f>
        <v>2293320.8927088501</v>
      </c>
      <c r="M185" s="301">
        <f t="shared" si="191"/>
        <v>192477.81855907085</v>
      </c>
      <c r="N185" s="301">
        <f>VLOOKUP($A185,EY!$A:$H,8,FALSE)+(VLOOKUP($A185,EY!$A:$BS,17,FALSE)-S185)+VLOOKUP($A185,EY!$A:$BS,41,FALSE)</f>
        <v>26360.469473684214</v>
      </c>
      <c r="O185" s="302"/>
      <c r="P185" s="302">
        <f>_xlfn.IFNA((VLOOKUP($A185,HN!$A:$K,8,FALSE)/12),0)</f>
        <v>0</v>
      </c>
      <c r="Q185" s="302">
        <f>_xlfn.IFNA((VLOOKUP($A185,HN!$A:$BS,14,FALSE)/12),0)</f>
        <v>0</v>
      </c>
      <c r="R185" s="302">
        <f>_xlfn.IFNA(VLOOKUP($A185,'Post 16'!$A:$V,21,FALSE),0)/4</f>
        <v>0</v>
      </c>
      <c r="S185" s="302">
        <f>VLOOKUP($A185,EY!A:Q,15,FALSE)*80%</f>
        <v>0</v>
      </c>
      <c r="T185" s="302">
        <f>_xlfn.IFNA((VLOOKUP($A185,HN!$A:$K,9,FALSE)/12),0)+_xlfn.IFNA((VLOOKUP($A185,HN!$A:$K,10,FALSE)/12),0)</f>
        <v>0</v>
      </c>
      <c r="U185" s="302">
        <f>_xlfn.IFNA((VLOOKUP($A185,HN!$A:$BS,15,FALSE)/12),0)</f>
        <v>0</v>
      </c>
      <c r="V185" s="301">
        <f t="shared" si="192"/>
        <v>-773.70666666666659</v>
      </c>
      <c r="W185" s="301">
        <f t="shared" si="193"/>
        <v>-594.03750000000002</v>
      </c>
      <c r="X185" s="302"/>
      <c r="Y185" s="302">
        <f>_xlfn.IFNA(VLOOKUP($A185,'Cash Advances'!$A:$S,8,FALSE),0)</f>
        <v>0</v>
      </c>
      <c r="Z185" s="301">
        <f t="shared" si="194"/>
        <v>217470.54386608838</v>
      </c>
      <c r="AA185" s="315">
        <f t="shared" si="195"/>
        <v>192477.81855907085</v>
      </c>
      <c r="AB185" s="315"/>
      <c r="AC185" s="316"/>
      <c r="AD185" s="316">
        <f>_xlfn.IFNA((VLOOKUP($A185,HN!$A:$K,8,FALSE)/12),0)</f>
        <v>0</v>
      </c>
      <c r="AE185" s="316">
        <f>_xlfn.IFNA((VLOOKUP($A185,HN!$A:$BS,14,FALSE)/12),0)</f>
        <v>0</v>
      </c>
      <c r="AF185" s="316">
        <f>_xlfn.IFNA(VLOOKUP($A185,'Post 16'!$A:$V,21,FALSE),0)/4</f>
        <v>0</v>
      </c>
      <c r="AG185" s="316"/>
      <c r="AH185" s="316">
        <f>_xlfn.IFNA((VLOOKUP($A185,HN!$A:$K,9,FALSE)/12),0)+_xlfn.IFNA((VLOOKUP($A185,HN!$A:$K,10,FALSE)/12),0)</f>
        <v>0</v>
      </c>
      <c r="AI185" s="316">
        <f>_xlfn.IFNA((VLOOKUP($A185,HN!$A:$BS,15,FALSE)/12),0)</f>
        <v>0</v>
      </c>
      <c r="AJ185" s="315">
        <f t="shared" si="196"/>
        <v>-773.70666666666659</v>
      </c>
      <c r="AK185" s="315">
        <f t="shared" si="197"/>
        <v>-594.03750000000002</v>
      </c>
      <c r="AL185" s="316"/>
      <c r="AM185" s="316">
        <f>_xlfn.IFNA(VLOOKUP($A185,'Cash Advances'!$A:$S,9,FALSE),0)</f>
        <v>0</v>
      </c>
      <c r="AN185" s="315">
        <f t="shared" si="198"/>
        <v>191110.07439240417</v>
      </c>
      <c r="AO185" s="308">
        <f t="shared" si="199"/>
        <v>192477.81855907085</v>
      </c>
      <c r="AP185" s="308"/>
      <c r="AQ185" s="309"/>
      <c r="AR185" s="309">
        <f>_xlfn.IFNA((VLOOKUP($A185,HN!$A:$K,8,FALSE)/12),0)</f>
        <v>0</v>
      </c>
      <c r="AS185" s="309">
        <f>_xlfn.IFNA((VLOOKUP($A185,HN!$A:$BS,14,FALSE)/12),0)</f>
        <v>0</v>
      </c>
      <c r="AT185" s="309">
        <f>_xlfn.IFNA(VLOOKUP($A185,'Post 16'!$A:$V,21,FALSE),0)/4</f>
        <v>0</v>
      </c>
      <c r="AU185" s="309"/>
      <c r="AV185" s="309">
        <f>_xlfn.IFNA((VLOOKUP($A185,HN!$A:$K,9,FALSE)/12),0)+_xlfn.IFNA((VLOOKUP($A185,HN!$A:$K,10,FALSE)/12),0)+_xlfn.IFNA(VLOOKUP(A185,HN!A:V,19,FALSE),0)+_xlfn.IFNA(VLOOKUP(A185,HN!A:V,20,FALSE),0)+_xlfn.IFNA(VLOOKUP(A185,HN!A:V,21,FALSE),0)</f>
        <v>0</v>
      </c>
      <c r="AW185" s="309">
        <f>_xlfn.IFNA((VLOOKUP($A185,HN!$A:$BS,15,FALSE)/12),0)</f>
        <v>0</v>
      </c>
      <c r="AX185" s="308">
        <f t="shared" si="200"/>
        <v>-773.70666666666659</v>
      </c>
      <c r="AY185" s="308">
        <f t="shared" si="201"/>
        <v>-594.03750000000002</v>
      </c>
      <c r="AZ185" s="309"/>
      <c r="BA185" s="309">
        <f>_xlfn.IFNA(VLOOKUP($A185,'Cash Advances'!$A:$S,10,FALSE),0)</f>
        <v>0</v>
      </c>
      <c r="BB185" s="308">
        <f t="shared" si="202"/>
        <v>191110.07439240417</v>
      </c>
      <c r="BC185" s="330">
        <f t="shared" si="203"/>
        <v>192477.81855907085</v>
      </c>
      <c r="BD185" s="330"/>
      <c r="BE185" s="331"/>
      <c r="BF185" s="331">
        <f>_xlfn.IFNA((VLOOKUP($A185,HN!$A:$K,8,FALSE)/12),0)</f>
        <v>0</v>
      </c>
      <c r="BG185" s="331">
        <f>_xlfn.IFNA((VLOOKUP($A185,HN!$A:$BS,14,FALSE)/12),0)</f>
        <v>0</v>
      </c>
      <c r="BH185" s="331">
        <f>_xlfn.IFNA(VLOOKUP($A185,'Post 16'!$A:$V,21,FALSE),0)/4</f>
        <v>0</v>
      </c>
      <c r="BI185" s="331"/>
      <c r="BJ185" s="331">
        <f>_xlfn.IFNA((VLOOKUP($A185,HN!$A:$K,9,FALSE)/12),0)+_xlfn.IFNA((VLOOKUP($A185,HN!$A:$K,10,FALSE)/12),0)</f>
        <v>0</v>
      </c>
      <c r="BK185" s="331">
        <f>_xlfn.IFNA((VLOOKUP($A185,HN!$A:$BS,15,FALSE)/12),0)</f>
        <v>0</v>
      </c>
      <c r="BL185" s="330">
        <f t="shared" si="204"/>
        <v>-773.70666666666659</v>
      </c>
      <c r="BM185" s="330">
        <f t="shared" si="205"/>
        <v>-594.03750000000002</v>
      </c>
      <c r="BN185" s="331"/>
      <c r="BO185" s="331">
        <f>_xlfn.IFNA(VLOOKUP(A185,'Cash Advances'!A:K,11,FALSE),0)</f>
        <v>0</v>
      </c>
      <c r="BP185" s="330">
        <f t="shared" si="206"/>
        <v>191110.07439240417</v>
      </c>
      <c r="BQ185" s="322">
        <f t="shared" si="207"/>
        <v>192477.81855907085</v>
      </c>
      <c r="BR185" s="322"/>
      <c r="BS185" s="323"/>
      <c r="BT185" s="323">
        <f>_xlfn.IFNA((VLOOKUP($A185,HN!$A:$K,8,FALSE)/12),0)</f>
        <v>0</v>
      </c>
      <c r="BU185" s="323">
        <f>_xlfn.IFNA((VLOOKUP($A185,HN!$A:$BS,14,FALSE)/12),0)</f>
        <v>0</v>
      </c>
      <c r="BV185" s="323">
        <f>(_xlfn.IFNA(VLOOKUP($A185,'Post 16'!$A:$AV,32,FALSE),0)/8)+_xlfn.IFNA(VLOOKUP($A185,'Post 16'!$A:$AR,40,FALSE),0)</f>
        <v>0</v>
      </c>
      <c r="BW185" s="323"/>
      <c r="BX185" s="323">
        <f>_xlfn.IFNA((VLOOKUP($A185,HN!$A:$K,9,FALSE)/12),0)+_xlfn.IFNA((VLOOKUP($A185,HN!$A:$K,10,FALSE)/12),0)</f>
        <v>0</v>
      </c>
      <c r="BY185" s="323">
        <f>_xlfn.IFNA((VLOOKUP($A185,HN!$A:$BS,15,FALSE)/12),0)</f>
        <v>0</v>
      </c>
      <c r="BZ185" s="322">
        <f t="shared" si="208"/>
        <v>-773.70666666666659</v>
      </c>
      <c r="CA185" s="322">
        <f t="shared" si="209"/>
        <v>-594.03750000000002</v>
      </c>
      <c r="CB185" s="323"/>
      <c r="CC185" s="323"/>
      <c r="CD185" s="322">
        <f t="shared" si="210"/>
        <v>191110.07439240417</v>
      </c>
      <c r="CE185" s="357">
        <f t="shared" si="211"/>
        <v>192477.81855907085</v>
      </c>
      <c r="CF185" s="357">
        <f>(VLOOKUP($A185,EY!$A:$BS,26,FALSE)-(VLOOKUP($A185,EY!A:CR,24,FALSE)*80%))+VLOOKUP($A185,EY!$A:$BS,42,FALSE)+(VLOOKUP($A185,EY!A:CC,74,FALSE)-VLOOKUP($A185,EY!A:CC,72,FALSE))</f>
        <v>32566.532631578946</v>
      </c>
      <c r="CG185" s="358"/>
      <c r="CH185" s="358">
        <f>_xlfn.IFNA((VLOOKUP($A185,HN!$A:$K,8,FALSE)/12),0)</f>
        <v>0</v>
      </c>
      <c r="CI185" s="358">
        <f>_xlfn.IFNA((VLOOKUP($A185,HN!$A:$BS,14,FALSE)/12),0)</f>
        <v>0</v>
      </c>
      <c r="CJ185" s="358">
        <f>(_xlfn.IFNA(VLOOKUP($A185,'Post 16'!$A:$AV,32,FALSE),0)/8)</f>
        <v>0</v>
      </c>
      <c r="CK185" s="358">
        <f>(VLOOKUP($A185,EY!A:CR,24,FALSE)*80%)+VLOOKUP($A185,EY!A:CC,72,FALSE)</f>
        <v>0</v>
      </c>
      <c r="CL185" s="358">
        <f>_xlfn.IFNA((VLOOKUP($A185,HN!$A:$K,9,FALSE)/12),0)+_xlfn.IFNA((VLOOKUP($A185,HN!$A:$K,10,FALSE)/12),0)</f>
        <v>0</v>
      </c>
      <c r="CM185" s="358">
        <f>_xlfn.IFNA((VLOOKUP($A185,HN!$A:$BS,15,FALSE)/12),0)</f>
        <v>0</v>
      </c>
      <c r="CN185" s="357">
        <f t="shared" si="212"/>
        <v>-773.70666666666659</v>
      </c>
      <c r="CO185" s="357">
        <f t="shared" si="213"/>
        <v>-594.03750000000002</v>
      </c>
      <c r="CP185" s="358">
        <f>_xlfn.IFNA(VLOOKUP(A185,'LA Deductions'!A:W,23,FALSE),0)</f>
        <v>-9471</v>
      </c>
      <c r="CQ185" s="358">
        <f>_xlfn.IFNA(VLOOKUP($A185,'Cash Advances'!$A:$S,13,FALSE),0)</f>
        <v>0</v>
      </c>
      <c r="CR185" s="358">
        <f>_xlfn.IFNA(VLOOKUP(A185,'LA Deductions'!A:AZ,25,FALSE),0)/9*3</f>
        <v>0</v>
      </c>
      <c r="CS185" s="357">
        <f t="shared" si="173"/>
        <v>214205.60702398312</v>
      </c>
      <c r="CT185" s="337">
        <f t="shared" si="214"/>
        <v>192477.81855907085</v>
      </c>
      <c r="CU185" s="337"/>
      <c r="CV185" s="338">
        <f>_xlfn.IFNA(VLOOKUP(A185,'LA Deductions'!$A$6:$AN$207,34,FALSE),0)</f>
        <v>0</v>
      </c>
      <c r="CW185" s="338">
        <f>_xlfn.IFNA((VLOOKUP($A185,HN!$A:$K,8,FALSE)/12),0)</f>
        <v>0</v>
      </c>
      <c r="CX185" s="338">
        <f>_xlfn.IFNA((VLOOKUP($A185,HN!$A:$BS,14,FALSE)/12),0)</f>
        <v>0</v>
      </c>
      <c r="CY185" s="338">
        <f>_xlfn.IFNA(VLOOKUP($A185,'Post 16'!$A:$AV,32,FALSE),0)/8</f>
        <v>0</v>
      </c>
      <c r="CZ185" s="338"/>
      <c r="DA185" s="338">
        <f>_xlfn.IFNA((VLOOKUP($A185,HN!$A:$K,9,FALSE)/12),0)+_xlfn.IFNA((VLOOKUP($A185,HN!$A:$K,10,FALSE)/12),0)</f>
        <v>0</v>
      </c>
      <c r="DB185" s="338">
        <f>_xlfn.IFNA((VLOOKUP($A185,HN!$A:$BS,15,FALSE)/12),0)</f>
        <v>0</v>
      </c>
      <c r="DC185" s="337">
        <f t="shared" si="215"/>
        <v>-773.70666666666659</v>
      </c>
      <c r="DD185" s="337">
        <f t="shared" si="216"/>
        <v>-594.03750000000002</v>
      </c>
      <c r="DE185" s="338"/>
      <c r="DF185" s="338">
        <f>_xlfn.IFNA(VLOOKUP($A185,'Cash Advances'!$A:$S,14,FALSE),0)</f>
        <v>0</v>
      </c>
      <c r="DG185" s="338">
        <f>(_xlfn.IFNA(VLOOKUP(A185,'LA Deductions'!A:AZ,25,FALSE),0)/9)+(_xlfn.IFNA(VLOOKUP(A185,'LA Deductions'!A:AZ,26,FALSE),0))</f>
        <v>0</v>
      </c>
      <c r="DH185" s="337">
        <f t="shared" si="174"/>
        <v>191110.07439240417</v>
      </c>
      <c r="DI185" s="330">
        <f t="shared" si="217"/>
        <v>192477.81855907085</v>
      </c>
      <c r="DJ185" s="330"/>
      <c r="DK185" s="331"/>
      <c r="DL185" s="331">
        <f>_xlfn.IFNA((VLOOKUP($A185,HN!$A:$K,8,FALSE)/12),0)+_xlfn.IFNA((VLOOKUP($A185,HN!$A:$AF,32,FALSE)*8/12),0)</f>
        <v>0</v>
      </c>
      <c r="DM185" s="331">
        <f>_xlfn.IFNA((VLOOKUP($A185,HN!$A:$BS,14,FALSE)/12),0)+_xlfn.IFNA(VLOOKUP($A185,HN!$A:$BS,31,FALSE),0)</f>
        <v>0</v>
      </c>
      <c r="DN185" s="331">
        <f>_xlfn.IFNA(VLOOKUP($A185,'Post 16'!$A:$AV,32,FALSE),0)/8</f>
        <v>0</v>
      </c>
      <c r="DO185" s="331"/>
      <c r="DP185" s="331">
        <f>_xlfn.IFNA((VLOOKUP($A185,HN!$A:$K,9,FALSE)/12),0)+_xlfn.IFNA((VLOOKUP($A185,HN!$A:$K,10,FALSE)/12),0)+_xlfn.IFNA((VLOOKUP($A185,HN!$A:$BZ,33,FALSE)*8/12),0)</f>
        <v>0</v>
      </c>
      <c r="DQ185" s="331">
        <f>_xlfn.IFNA((VLOOKUP($A185,HN!$A:$BS,15,FALSE)/12),0)</f>
        <v>0</v>
      </c>
      <c r="DR185" s="330">
        <f t="shared" si="218"/>
        <v>-773.70666666666659</v>
      </c>
      <c r="DS185" s="330">
        <f t="shared" si="219"/>
        <v>-594.03750000000002</v>
      </c>
      <c r="DT185" s="331"/>
      <c r="DU185" s="331"/>
      <c r="DV185" s="331">
        <f>(_xlfn.IFNA(VLOOKUP(A185,'LA Deductions'!A:AZ,25,FALSE),0)/9)+_xlfn.IFNA(VLOOKUP(A185,'LA Deductions'!A:AZ,27,FALSE),0)</f>
        <v>0</v>
      </c>
      <c r="DW185" s="330">
        <f t="shared" si="175"/>
        <v>191110.07439240417</v>
      </c>
      <c r="DX185" s="344">
        <f t="shared" si="220"/>
        <v>192477.81855907085</v>
      </c>
      <c r="DY185" s="344"/>
      <c r="DZ185" s="345"/>
      <c r="EA185" s="345">
        <f>_xlfn.IFNA((VLOOKUP($A185,HN!$A:$K,8,FALSE)/12),0)+_xlfn.IFNA((VLOOKUP($A185,HN!$A:$AF,32,FALSE)*1/12),0)</f>
        <v>0</v>
      </c>
      <c r="EB185" s="345">
        <f>_xlfn.IFNA((VLOOKUP($A185,HN!$A:$BS,14,FALSE)/12),0)</f>
        <v>0</v>
      </c>
      <c r="EC185" s="345">
        <f>_xlfn.IFNA(VLOOKUP($A185,'Post 16'!$A:$AV,32,FALSE),0)/8</f>
        <v>0</v>
      </c>
      <c r="ED185" s="345"/>
      <c r="EE185" s="345">
        <f>_xlfn.IFNA((VLOOKUP($A185,HN!$A:$K,9,FALSE)/12),0)+_xlfn.IFNA((VLOOKUP($A185,HN!$A:$K,10,FALSE)/12),0)+_xlfn.IFNA((VLOOKUP($A185,HN!$A:$BZ,33,FALSE)/12),0)</f>
        <v>0</v>
      </c>
      <c r="EF185" s="345">
        <f>_xlfn.IFNA((VLOOKUP($A185,HN!$A:$BS,15,FALSE)/12),0)</f>
        <v>0</v>
      </c>
      <c r="EG185" s="344">
        <f t="shared" si="221"/>
        <v>-773.70666666666659</v>
      </c>
      <c r="EH185" s="344">
        <f t="shared" si="222"/>
        <v>-594.03750000000002</v>
      </c>
      <c r="EI185" s="345"/>
      <c r="EJ185" s="345">
        <f>_xlfn.IFNA(VLOOKUP(A185,'Cash Advances'!A:P,16,FALSE),0)</f>
        <v>0</v>
      </c>
      <c r="EK185" s="345">
        <f>_xlfn.IFNA(VLOOKUP(A185,'LA Deductions'!A:AZ,25,FALSE),0)/9</f>
        <v>0</v>
      </c>
      <c r="EL185" s="344">
        <f t="shared" si="176"/>
        <v>191110.07439240417</v>
      </c>
      <c r="EM185" s="308">
        <f t="shared" si="223"/>
        <v>192477.81855907085</v>
      </c>
      <c r="EN185" s="308">
        <f>((VLOOKUP($A185,EY!$A:$BS,35,FALSE)-(VLOOKUP($A185,EY!$A:$BS,33,FALSE)*80%))+VLOOKUP($A185,EY!$A:$BS,43,FALSE))+(VLOOKUP(A185,EY!A:DF,110,FALSE)-VLOOKUP(A185,EY!A:DD,108,FALSE))+(VLOOKUP(A185,EY!A:CE,83,FALSE)-VLOOKUP(A185,EY!A:CC,81,FALSE))</f>
        <v>10152.552299168978</v>
      </c>
      <c r="EO185" s="309"/>
      <c r="EP185" s="309">
        <f>_xlfn.IFNA((VLOOKUP($A185,HN!$A:$K,8,FALSE)/12),0)+_xlfn.IFNA((VLOOKUP($A185,HN!$A:$AF,32,FALSE)*1/12),0)</f>
        <v>0</v>
      </c>
      <c r="EQ185" s="309">
        <f>_xlfn.IFNA((VLOOKUP($A185,HN!$A:$BS,14,FALSE)/12),0)+_xlfn.IFNA((VLOOKUP($A185,HN!$A:$BS,34,FALSE)/3),0)</f>
        <v>0</v>
      </c>
      <c r="ER185" s="309">
        <f>_xlfn.IFNA(VLOOKUP($A185,'Post 16'!$A:$AV,32,FALSE),0)/8</f>
        <v>0</v>
      </c>
      <c r="ES185" s="309">
        <f>((VLOOKUP($A185,EY!A:EV,33,FALSE)*80%))+VLOOKUP(A185,EY!A:DD,108,FALSE)+VLOOKUP(A185,EY!A:CC,81,FALSE)</f>
        <v>0</v>
      </c>
      <c r="ET185" s="309">
        <f>_xlfn.IFNA((VLOOKUP($A185,HN!$A:$K,9,FALSE)/12),0)+_xlfn.IFNA((VLOOKUP($A185,HN!$A:$K,10,FALSE)/12),0)+_xlfn.IFNA((VLOOKUP($A185,HN!$A:$BZ,33,FALSE)/12),0)</f>
        <v>0</v>
      </c>
      <c r="EU185" s="309">
        <f>_xlfn.IFNA((VLOOKUP($A185,HN!$A:$BS,15,FALSE)/12),0)</f>
        <v>0</v>
      </c>
      <c r="EV185" s="308">
        <f t="shared" si="224"/>
        <v>-773.70666666666659</v>
      </c>
      <c r="EW185" s="308">
        <f t="shared" si="225"/>
        <v>-594.03750000000002</v>
      </c>
      <c r="EX185" s="309"/>
      <c r="EY185" s="309">
        <f>_xlfn.IFNA(VLOOKUP($A185,'Cash Advances'!$A:$S,17,FALSE),0)</f>
        <v>0</v>
      </c>
      <c r="EZ185" s="309">
        <f>_xlfn.IFNA(VLOOKUP(A185,'LA Deductions'!A:AZ,25,FALSE),0)/9</f>
        <v>0</v>
      </c>
      <c r="FA185" s="308">
        <f t="shared" si="177"/>
        <v>201262.62669157315</v>
      </c>
      <c r="FB185" s="315">
        <f t="shared" si="226"/>
        <v>192477.81855907085</v>
      </c>
      <c r="FC185" s="315"/>
      <c r="FD185" s="316"/>
      <c r="FE185" s="316">
        <f>_xlfn.IFNA((VLOOKUP($A185,HN!$A:$K,8,FALSE)/12),0)+_xlfn.IFNA((VLOOKUP($A185,HN!$A:$AF,32,FALSE)*1/12),0)</f>
        <v>0</v>
      </c>
      <c r="FF185" s="316">
        <f>_xlfn.IFNA((VLOOKUP($A185,HN!$A:$BS,14,FALSE)/12),0)+_xlfn.IFNA((VLOOKUP($A185,HN!$A:$BS,34,FALSE)/3),0)</f>
        <v>0</v>
      </c>
      <c r="FG185" s="316">
        <f>_xlfn.IFNA(VLOOKUP($A185,'Post 16'!$A:$AV,32,FALSE),0)/8</f>
        <v>0</v>
      </c>
      <c r="FH185" s="316"/>
      <c r="FI185" s="316">
        <f>_xlfn.IFNA((VLOOKUP($A185,HN!$A:$K,9,FALSE)/12),0)+_xlfn.IFNA((VLOOKUP($A185,HN!$A:$K,10,FALSE)/12),0)+_xlfn.IFNA((VLOOKUP($A185,HN!$A:$BZ,33,FALSE)/12),0)+_xlfn.IFNA((VLOOKUP($A185,HN!$A:$BZ,35,FALSE)/2),0)</f>
        <v>0</v>
      </c>
      <c r="FJ185" s="316">
        <f>_xlfn.IFNA((VLOOKUP($A185,HN!$A:$BS,15,FALSE)/12),0)+_xlfn.IFNA((VLOOKUP($A185,HN!$A:$CZ,36,FALSE)/2),0)</f>
        <v>0</v>
      </c>
      <c r="FK185" s="315">
        <f t="shared" si="227"/>
        <v>-773.70666666666659</v>
      </c>
      <c r="FL185" s="315">
        <f t="shared" si="228"/>
        <v>-594.03750000000002</v>
      </c>
      <c r="FM185" s="316"/>
      <c r="FN185" s="316">
        <f>_xlfn.IFNA(VLOOKUP($A185,'Cash Advances'!$A:$S,18,FALSE),0)</f>
        <v>0</v>
      </c>
      <c r="FO185" s="316">
        <f>_xlfn.IFNA(VLOOKUP(A185,'LA Deductions'!A:AZ,25,FALSE),0)/9</f>
        <v>0</v>
      </c>
      <c r="FP185" s="315">
        <f t="shared" si="178"/>
        <v>191110.07439240417</v>
      </c>
      <c r="FQ185" s="322">
        <f t="shared" si="229"/>
        <v>192477.81855907085</v>
      </c>
      <c r="FR185" s="322"/>
      <c r="FS185" s="323"/>
      <c r="FT185" s="323">
        <f>_xlfn.IFNA((VLOOKUP($A185,HN!$A:$K,8,FALSE)/12),0)+_xlfn.IFNA((VLOOKUP($A185,HN!$A:$AF,32,FALSE)*1/12),0)</f>
        <v>0</v>
      </c>
      <c r="FU185" s="323">
        <f>_xlfn.IFNA((VLOOKUP($A185,HN!$A:$BS,14,FALSE)/12),0)+_xlfn.IFNA((VLOOKUP($A185,HN!$A:$BS,34,FALSE)/3),0)</f>
        <v>0</v>
      </c>
      <c r="FV185" s="323">
        <f>_xlfn.IFNA(VLOOKUP($A185,'Post 16'!$A:$AV,32,FALSE),0)/8</f>
        <v>0</v>
      </c>
      <c r="FW185" s="323"/>
      <c r="FX185" s="323">
        <f>_xlfn.IFNA((VLOOKUP($A185,HN!$A:$K,9,FALSE)/12),0)+_xlfn.IFNA((VLOOKUP($A185,HN!$A:$K,10,FALSE)/12),0)+_xlfn.IFNA((VLOOKUP($A185,HN!$A:$BZ,33,FALSE)/12),0)+_xlfn.IFNA((VLOOKUP($A185,HN!$A:$BZ,35,FALSE)/2),0)</f>
        <v>0</v>
      </c>
      <c r="FY185" s="323">
        <f>_xlfn.IFNA((VLOOKUP($A185,HN!$A:$BS,15,FALSE)/12),0)+_xlfn.IFNA((VLOOKUP($A185,HN!$A:$CZ,36,FALSE)/2),0)</f>
        <v>0</v>
      </c>
      <c r="FZ185" s="322">
        <f t="shared" si="230"/>
        <v>-773.70666666666659</v>
      </c>
      <c r="GA185" s="322">
        <f t="shared" si="231"/>
        <v>-594.03750000000002</v>
      </c>
      <c r="GB185" s="323"/>
      <c r="GC185" s="323"/>
      <c r="GD185" s="323">
        <f>_xlfn.IFNA(VLOOKUP(A185,'LA Deductions'!A:AZ,25,FALSE),0)/9</f>
        <v>0</v>
      </c>
      <c r="GE185" s="322">
        <f t="shared" si="179"/>
        <v>191110.07439240417</v>
      </c>
      <c r="GG185" s="146">
        <f t="shared" si="236"/>
        <v>2378813.3771132822</v>
      </c>
      <c r="GH185" s="146">
        <f t="shared" si="236"/>
        <v>0</v>
      </c>
      <c r="GI185" s="146">
        <f t="shared" si="236"/>
        <v>0</v>
      </c>
      <c r="GJ185" s="146">
        <f t="shared" si="236"/>
        <v>-9284.4800000000014</v>
      </c>
      <c r="GK185" s="146">
        <f t="shared" si="236"/>
        <v>-7128.4500000000016</v>
      </c>
      <c r="GL185" s="146">
        <f t="shared" si="236"/>
        <v>-9471</v>
      </c>
      <c r="GN185" s="146">
        <f t="shared" si="237"/>
        <v>2378813.3771132822</v>
      </c>
      <c r="GO185" s="146">
        <f t="shared" si="237"/>
        <v>0</v>
      </c>
      <c r="GP185" s="146">
        <f t="shared" si="237"/>
        <v>0</v>
      </c>
      <c r="GQ185" s="146">
        <f t="shared" si="237"/>
        <v>-9284.4800000000014</v>
      </c>
      <c r="GR185" s="146">
        <f t="shared" si="237"/>
        <v>-7128.4500000000016</v>
      </c>
      <c r="GS185" s="146">
        <f t="shared" si="237"/>
        <v>-9471</v>
      </c>
    </row>
    <row r="186" spans="1:204">
      <c r="A186" s="185">
        <v>1009</v>
      </c>
      <c r="B186" s="185">
        <v>103124</v>
      </c>
      <c r="C186" s="185" t="s">
        <v>422</v>
      </c>
      <c r="D186" s="2" t="s">
        <v>423</v>
      </c>
      <c r="E186" s="191" t="s">
        <v>29</v>
      </c>
      <c r="F186" s="191" t="s">
        <v>912</v>
      </c>
      <c r="H186" s="279">
        <f>_xlfn.IFNA(VLOOKUP($A186,ISB!$A$4:$BY$454,67,FALSE),0)</f>
        <v>0</v>
      </c>
      <c r="I186" s="279">
        <f>_xlfn.IFNA(VLOOKUP($A186,ISB!$A$4:$BY$454,72,FALSE),0)</f>
        <v>0</v>
      </c>
      <c r="J186" s="279">
        <f>-_xlfn.IFNA(VLOOKUP($A186,ISB!$A$4:$BY$454,76,FALSE),0)</f>
        <v>0</v>
      </c>
      <c r="K186" s="279">
        <f>_xlfn.IFNA(VLOOKUP($A186,ISB!$A$4:$BY$454,77,FALSE),0)</f>
        <v>0</v>
      </c>
      <c r="M186" s="301">
        <f t="shared" si="191"/>
        <v>0</v>
      </c>
      <c r="N186" s="301">
        <f>VLOOKUP($A186,EY!$A:$H,8,FALSE)+(VLOOKUP($A186,EY!$A:$BS,17,FALSE)-S186)+VLOOKUP($A186,EY!$A:$BS,41,FALSE)</f>
        <v>437466.23691517743</v>
      </c>
      <c r="O186" s="302"/>
      <c r="P186" s="302">
        <f>_xlfn.IFNA((VLOOKUP($A186,HN!$A:$K,8,FALSE)/12),0)</f>
        <v>0</v>
      </c>
      <c r="Q186" s="302">
        <f>_xlfn.IFNA((VLOOKUP($A186,HN!$A:$BS,14,FALSE)/12),0)</f>
        <v>0</v>
      </c>
      <c r="R186" s="302">
        <f>_xlfn.IFNA(VLOOKUP($A186,'Post 16'!$A:$V,21,FALSE),0)/4</f>
        <v>0</v>
      </c>
      <c r="S186" s="302">
        <f>VLOOKUP($A186,EY!A:Q,15,FALSE)*80%</f>
        <v>0</v>
      </c>
      <c r="T186" s="302">
        <f>_xlfn.IFNA((VLOOKUP($A186,HN!$A:$K,9,FALSE)/12),0)+_xlfn.IFNA((VLOOKUP($A186,HN!$A:$K,10,FALSE)/12),0)</f>
        <v>0</v>
      </c>
      <c r="U186" s="302">
        <f>_xlfn.IFNA((VLOOKUP($A186,HN!$A:$BS,15,FALSE)/12),0)</f>
        <v>0</v>
      </c>
      <c r="V186" s="301">
        <f t="shared" si="192"/>
        <v>0</v>
      </c>
      <c r="W186" s="301">
        <f t="shared" si="193"/>
        <v>0</v>
      </c>
      <c r="X186" s="302"/>
      <c r="Y186" s="302">
        <f>_xlfn.IFNA(VLOOKUP($A186,'Cash Advances'!$A:$S,8,FALSE),0)</f>
        <v>0</v>
      </c>
      <c r="Z186" s="301">
        <f t="shared" si="194"/>
        <v>437466.23691517743</v>
      </c>
      <c r="AA186" s="315">
        <f t="shared" si="195"/>
        <v>0</v>
      </c>
      <c r="AB186" s="315"/>
      <c r="AC186" s="316"/>
      <c r="AD186" s="316">
        <f>_xlfn.IFNA((VLOOKUP($A186,HN!$A:$K,8,FALSE)/12),0)</f>
        <v>0</v>
      </c>
      <c r="AE186" s="316">
        <f>_xlfn.IFNA((VLOOKUP($A186,HN!$A:$BS,14,FALSE)/12),0)</f>
        <v>0</v>
      </c>
      <c r="AF186" s="316">
        <f>_xlfn.IFNA(VLOOKUP($A186,'Post 16'!$A:$V,21,FALSE),0)/4</f>
        <v>0</v>
      </c>
      <c r="AG186" s="316"/>
      <c r="AH186" s="316">
        <f>_xlfn.IFNA((VLOOKUP($A186,HN!$A:$K,9,FALSE)/12),0)+_xlfn.IFNA((VLOOKUP($A186,HN!$A:$K,10,FALSE)/12),0)</f>
        <v>0</v>
      </c>
      <c r="AI186" s="316">
        <f>_xlfn.IFNA((VLOOKUP($A186,HN!$A:$BS,15,FALSE)/12),0)</f>
        <v>0</v>
      </c>
      <c r="AJ186" s="315">
        <f t="shared" si="196"/>
        <v>0</v>
      </c>
      <c r="AK186" s="315">
        <f t="shared" si="197"/>
        <v>0</v>
      </c>
      <c r="AL186" s="316"/>
      <c r="AM186" s="316">
        <f>_xlfn.IFNA(VLOOKUP($A186,'Cash Advances'!$A:$S,9,FALSE),0)</f>
        <v>299542.21000000002</v>
      </c>
      <c r="AN186" s="315">
        <f t="shared" si="198"/>
        <v>299542.21000000002</v>
      </c>
      <c r="AO186" s="308">
        <f t="shared" si="199"/>
        <v>0</v>
      </c>
      <c r="AP186" s="308"/>
      <c r="AQ186" s="309"/>
      <c r="AR186" s="309">
        <f>_xlfn.IFNA((VLOOKUP($A186,HN!$A:$K,8,FALSE)/12),0)</f>
        <v>0</v>
      </c>
      <c r="AS186" s="309">
        <f>_xlfn.IFNA((VLOOKUP($A186,HN!$A:$BS,14,FALSE)/12),0)</f>
        <v>0</v>
      </c>
      <c r="AT186" s="309">
        <f>_xlfn.IFNA(VLOOKUP($A186,'Post 16'!$A:$V,21,FALSE),0)/4</f>
        <v>0</v>
      </c>
      <c r="AU186" s="309"/>
      <c r="AV186" s="309">
        <f>_xlfn.IFNA((VLOOKUP($A186,HN!$A:$K,9,FALSE)/12),0)+_xlfn.IFNA((VLOOKUP($A186,HN!$A:$K,10,FALSE)/12),0)+_xlfn.IFNA(VLOOKUP(A186,HN!A:V,19,FALSE),0)+_xlfn.IFNA(VLOOKUP(A186,HN!A:V,20,FALSE),0)+_xlfn.IFNA(VLOOKUP(A186,HN!A:V,21,FALSE),0)</f>
        <v>0</v>
      </c>
      <c r="AW186" s="309">
        <f>_xlfn.IFNA((VLOOKUP($A186,HN!$A:$BS,15,FALSE)/12),0)</f>
        <v>0</v>
      </c>
      <c r="AX186" s="308">
        <f t="shared" si="200"/>
        <v>0</v>
      </c>
      <c r="AY186" s="308">
        <f t="shared" si="201"/>
        <v>0</v>
      </c>
      <c r="AZ186" s="309"/>
      <c r="BA186" s="309">
        <f>_xlfn.IFNA(VLOOKUP($A186,'Cash Advances'!$A:$S,10,FALSE),0)</f>
        <v>0</v>
      </c>
      <c r="BB186" s="308">
        <f t="shared" si="202"/>
        <v>0</v>
      </c>
      <c r="BC186" s="330">
        <f t="shared" si="203"/>
        <v>0</v>
      </c>
      <c r="BD186" s="330"/>
      <c r="BE186" s="331"/>
      <c r="BF186" s="331">
        <f>_xlfn.IFNA((VLOOKUP($A186,HN!$A:$K,8,FALSE)/12),0)</f>
        <v>0</v>
      </c>
      <c r="BG186" s="331">
        <f>_xlfn.IFNA((VLOOKUP($A186,HN!$A:$BS,14,FALSE)/12),0)</f>
        <v>0</v>
      </c>
      <c r="BH186" s="331">
        <f>_xlfn.IFNA(VLOOKUP($A186,'Post 16'!$A:$V,21,FALSE),0)/4</f>
        <v>0</v>
      </c>
      <c r="BI186" s="331"/>
      <c r="BJ186" s="331">
        <f>_xlfn.IFNA((VLOOKUP($A186,HN!$A:$K,9,FALSE)/12),0)+_xlfn.IFNA((VLOOKUP($A186,HN!$A:$K,10,FALSE)/12),0)</f>
        <v>0</v>
      </c>
      <c r="BK186" s="331">
        <f>_xlfn.IFNA((VLOOKUP($A186,HN!$A:$BS,15,FALSE)/12),0)</f>
        <v>0</v>
      </c>
      <c r="BL186" s="330">
        <f t="shared" si="204"/>
        <v>0</v>
      </c>
      <c r="BM186" s="330">
        <f t="shared" si="205"/>
        <v>0</v>
      </c>
      <c r="BN186" s="331"/>
      <c r="BO186" s="331">
        <f>_xlfn.IFNA(VLOOKUP(A186,'Cash Advances'!A:K,11,FALSE),0)</f>
        <v>0</v>
      </c>
      <c r="BP186" s="330">
        <f t="shared" si="206"/>
        <v>0</v>
      </c>
      <c r="BQ186" s="322">
        <f t="shared" si="207"/>
        <v>0</v>
      </c>
      <c r="BR186" s="322"/>
      <c r="BS186" s="323"/>
      <c r="BT186" s="323">
        <f>_xlfn.IFNA((VLOOKUP($A186,HN!$A:$K,8,FALSE)/12),0)</f>
        <v>0</v>
      </c>
      <c r="BU186" s="323">
        <f>_xlfn.IFNA((VLOOKUP($A186,HN!$A:$BS,14,FALSE)/12),0)</f>
        <v>0</v>
      </c>
      <c r="BV186" s="323">
        <f>(_xlfn.IFNA(VLOOKUP($A186,'Post 16'!$A:$AV,32,FALSE),0)/8)+_xlfn.IFNA(VLOOKUP($A186,'Post 16'!$A:$AR,40,FALSE),0)</f>
        <v>0</v>
      </c>
      <c r="BW186" s="323"/>
      <c r="BX186" s="323">
        <f>_xlfn.IFNA((VLOOKUP($A186,HN!$A:$K,9,FALSE)/12),0)+_xlfn.IFNA((VLOOKUP($A186,HN!$A:$K,10,FALSE)/12),0)</f>
        <v>0</v>
      </c>
      <c r="BY186" s="323">
        <f>_xlfn.IFNA((VLOOKUP($A186,HN!$A:$BS,15,FALSE)/12),0)</f>
        <v>0</v>
      </c>
      <c r="BZ186" s="322">
        <f t="shared" si="208"/>
        <v>0</v>
      </c>
      <c r="CA186" s="322">
        <f t="shared" si="209"/>
        <v>0</v>
      </c>
      <c r="CB186" s="323"/>
      <c r="CC186" s="323"/>
      <c r="CD186" s="322">
        <f t="shared" si="210"/>
        <v>0</v>
      </c>
      <c r="CE186" s="357">
        <f t="shared" si="211"/>
        <v>0</v>
      </c>
      <c r="CF186" s="357">
        <f>(VLOOKUP($A186,EY!$A:$BS,26,FALSE)-(VLOOKUP($A186,EY!A:CR,24,FALSE)*80%))+VLOOKUP($A186,EY!$A:$BS,42,FALSE)+(VLOOKUP($A186,EY!A:CC,74,FALSE)-VLOOKUP($A186,EY!A:CC,72,FALSE))</f>
        <v>151647.23749793548</v>
      </c>
      <c r="CG186" s="358"/>
      <c r="CH186" s="358">
        <f>_xlfn.IFNA((VLOOKUP($A186,HN!$A:$K,8,FALSE)/12),0)</f>
        <v>0</v>
      </c>
      <c r="CI186" s="358">
        <f>_xlfn.IFNA((VLOOKUP($A186,HN!$A:$BS,14,FALSE)/12),0)</f>
        <v>0</v>
      </c>
      <c r="CJ186" s="358">
        <f>(_xlfn.IFNA(VLOOKUP($A186,'Post 16'!$A:$AV,32,FALSE),0)/8)</f>
        <v>0</v>
      </c>
      <c r="CK186" s="358">
        <f>(VLOOKUP($A186,EY!A:CR,24,FALSE)*80%)+VLOOKUP($A186,EY!A:CC,72,FALSE)</f>
        <v>0</v>
      </c>
      <c r="CL186" s="358">
        <f>_xlfn.IFNA((VLOOKUP($A186,HN!$A:$K,9,FALSE)/12),0)+_xlfn.IFNA((VLOOKUP($A186,HN!$A:$K,10,FALSE)/12),0)</f>
        <v>0</v>
      </c>
      <c r="CM186" s="358">
        <f>_xlfn.IFNA((VLOOKUP($A186,HN!$A:$BS,15,FALSE)/12),0)</f>
        <v>0</v>
      </c>
      <c r="CN186" s="357">
        <f t="shared" si="212"/>
        <v>0</v>
      </c>
      <c r="CO186" s="357">
        <f t="shared" si="213"/>
        <v>0</v>
      </c>
      <c r="CP186" s="358">
        <f>_xlfn.IFNA(VLOOKUP(A186,'LA Deductions'!A:W,23,FALSE),0)</f>
        <v>-3291.75</v>
      </c>
      <c r="CQ186" s="358">
        <f>_xlfn.IFNA(VLOOKUP($A186,'Cash Advances'!$A:$S,13,FALSE),0)</f>
        <v>0</v>
      </c>
      <c r="CR186" s="358">
        <f>_xlfn.IFNA(VLOOKUP(A186,'LA Deductions'!A:AZ,25,FALSE),0)/9*3</f>
        <v>0</v>
      </c>
      <c r="CS186" s="357">
        <f t="shared" si="173"/>
        <v>148355.48749793548</v>
      </c>
      <c r="CT186" s="337">
        <f t="shared" si="214"/>
        <v>0</v>
      </c>
      <c r="CU186" s="337"/>
      <c r="CV186" s="338">
        <f>_xlfn.IFNA(VLOOKUP(A186,'LA Deductions'!$A$6:$AN$207,34,FALSE),0)</f>
        <v>0</v>
      </c>
      <c r="CW186" s="338">
        <f>_xlfn.IFNA((VLOOKUP($A186,HN!$A:$K,8,FALSE)/12),0)</f>
        <v>0</v>
      </c>
      <c r="CX186" s="338">
        <f>_xlfn.IFNA((VLOOKUP($A186,HN!$A:$BS,14,FALSE)/12),0)</f>
        <v>0</v>
      </c>
      <c r="CY186" s="338">
        <f>_xlfn.IFNA(VLOOKUP($A186,'Post 16'!$A:$AV,32,FALSE),0)/8</f>
        <v>0</v>
      </c>
      <c r="CZ186" s="338"/>
      <c r="DA186" s="338">
        <f>_xlfn.IFNA((VLOOKUP($A186,HN!$A:$K,9,FALSE)/12),0)+_xlfn.IFNA((VLOOKUP($A186,HN!$A:$K,10,FALSE)/12),0)</f>
        <v>0</v>
      </c>
      <c r="DB186" s="338">
        <f>_xlfn.IFNA((VLOOKUP($A186,HN!$A:$BS,15,FALSE)/12),0)</f>
        <v>0</v>
      </c>
      <c r="DC186" s="337">
        <f t="shared" si="215"/>
        <v>0</v>
      </c>
      <c r="DD186" s="337">
        <f t="shared" si="216"/>
        <v>0</v>
      </c>
      <c r="DE186" s="338"/>
      <c r="DF186" s="338">
        <f>_xlfn.IFNA(VLOOKUP($A186,'Cash Advances'!$A:$S,14,FALSE),0)</f>
        <v>0</v>
      </c>
      <c r="DG186" s="338">
        <f>(_xlfn.IFNA(VLOOKUP(A186,'LA Deductions'!A:AZ,25,FALSE),0)/9)+(_xlfn.IFNA(VLOOKUP(A186,'LA Deductions'!A:AZ,26,FALSE),0))</f>
        <v>0</v>
      </c>
      <c r="DH186" s="337">
        <f t="shared" si="174"/>
        <v>0</v>
      </c>
      <c r="DI186" s="330">
        <f t="shared" si="217"/>
        <v>0</v>
      </c>
      <c r="DJ186" s="330"/>
      <c r="DK186" s="331"/>
      <c r="DL186" s="331">
        <f>_xlfn.IFNA((VLOOKUP($A186,HN!$A:$K,8,FALSE)/12),0)+_xlfn.IFNA((VLOOKUP($A186,HN!$A:$AF,32,FALSE)*8/12),0)</f>
        <v>0</v>
      </c>
      <c r="DM186" s="331">
        <f>_xlfn.IFNA((VLOOKUP($A186,HN!$A:$BS,14,FALSE)/12),0)+_xlfn.IFNA(VLOOKUP($A186,HN!$A:$BS,31,FALSE),0)</f>
        <v>0</v>
      </c>
      <c r="DN186" s="331">
        <f>_xlfn.IFNA(VLOOKUP($A186,'Post 16'!$A:$AV,32,FALSE),0)/8</f>
        <v>0</v>
      </c>
      <c r="DO186" s="331"/>
      <c r="DP186" s="331">
        <f>_xlfn.IFNA((VLOOKUP($A186,HN!$A:$K,9,FALSE)/12),0)+_xlfn.IFNA((VLOOKUP($A186,HN!$A:$K,10,FALSE)/12),0)+_xlfn.IFNA((VLOOKUP($A186,HN!$A:$BZ,33,FALSE)*8/12),0)</f>
        <v>0</v>
      </c>
      <c r="DQ186" s="331">
        <f>_xlfn.IFNA((VLOOKUP($A186,HN!$A:$BS,15,FALSE)/12),0)</f>
        <v>0</v>
      </c>
      <c r="DR186" s="330">
        <f t="shared" si="218"/>
        <v>0</v>
      </c>
      <c r="DS186" s="330">
        <f t="shared" si="219"/>
        <v>0</v>
      </c>
      <c r="DT186" s="331"/>
      <c r="DU186" s="331"/>
      <c r="DV186" s="331">
        <f>(_xlfn.IFNA(VLOOKUP(A186,'LA Deductions'!A:AZ,25,FALSE),0)/9)+_xlfn.IFNA(VLOOKUP(A186,'LA Deductions'!A:AZ,27,FALSE),0)</f>
        <v>0</v>
      </c>
      <c r="DW186" s="330">
        <f t="shared" si="175"/>
        <v>0</v>
      </c>
      <c r="DX186" s="344">
        <f t="shared" si="220"/>
        <v>0</v>
      </c>
      <c r="DY186" s="344"/>
      <c r="DZ186" s="345"/>
      <c r="EA186" s="345">
        <f>_xlfn.IFNA((VLOOKUP($A186,HN!$A:$K,8,FALSE)/12),0)+_xlfn.IFNA((VLOOKUP($A186,HN!$A:$AF,32,FALSE)*1/12),0)</f>
        <v>0</v>
      </c>
      <c r="EB186" s="345">
        <f>_xlfn.IFNA((VLOOKUP($A186,HN!$A:$BS,14,FALSE)/12),0)</f>
        <v>0</v>
      </c>
      <c r="EC186" s="345">
        <f>_xlfn.IFNA(VLOOKUP($A186,'Post 16'!$A:$AV,32,FALSE),0)/8</f>
        <v>0</v>
      </c>
      <c r="ED186" s="345"/>
      <c r="EE186" s="345">
        <f>_xlfn.IFNA((VLOOKUP($A186,HN!$A:$K,9,FALSE)/12),0)+_xlfn.IFNA((VLOOKUP($A186,HN!$A:$K,10,FALSE)/12),0)+_xlfn.IFNA((VLOOKUP($A186,HN!$A:$BZ,33,FALSE)/12),0)</f>
        <v>0</v>
      </c>
      <c r="EF186" s="345">
        <f>_xlfn.IFNA((VLOOKUP($A186,HN!$A:$BS,15,FALSE)/12),0)</f>
        <v>0</v>
      </c>
      <c r="EG186" s="344">
        <f t="shared" si="221"/>
        <v>0</v>
      </c>
      <c r="EH186" s="344">
        <f t="shared" si="222"/>
        <v>0</v>
      </c>
      <c r="EI186" s="345"/>
      <c r="EJ186" s="345">
        <f>_xlfn.IFNA(VLOOKUP(A186,'Cash Advances'!A:P,16,FALSE),0)</f>
        <v>0</v>
      </c>
      <c r="EK186" s="345">
        <f>_xlfn.IFNA(VLOOKUP(A186,'LA Deductions'!A:AZ,25,FALSE),0)/9</f>
        <v>0</v>
      </c>
      <c r="EL186" s="344">
        <f t="shared" si="176"/>
        <v>0</v>
      </c>
      <c r="EM186" s="308">
        <f t="shared" si="223"/>
        <v>0</v>
      </c>
      <c r="EN186" s="308">
        <f>((VLOOKUP($A186,EY!$A:$BS,35,FALSE)-(VLOOKUP($A186,EY!$A:$BS,33,FALSE)*80%))+VLOOKUP($A186,EY!$A:$BS,43,FALSE))+(VLOOKUP(A186,EY!A:DF,110,FALSE)-VLOOKUP(A186,EY!A:DD,108,FALSE))+(VLOOKUP(A186,EY!A:CE,83,FALSE)-VLOOKUP(A186,EY!A:CC,81,FALSE))</f>
        <v>107936.675900277</v>
      </c>
      <c r="EO186" s="309"/>
      <c r="EP186" s="309">
        <f>_xlfn.IFNA((VLOOKUP($A186,HN!$A:$K,8,FALSE)/12),0)+_xlfn.IFNA((VLOOKUP($A186,HN!$A:$AF,32,FALSE)*1/12),0)</f>
        <v>0</v>
      </c>
      <c r="EQ186" s="309">
        <f>_xlfn.IFNA((VLOOKUP($A186,HN!$A:$BS,14,FALSE)/12),0)+_xlfn.IFNA((VLOOKUP($A186,HN!$A:$BS,34,FALSE)/3),0)</f>
        <v>0</v>
      </c>
      <c r="ER186" s="309">
        <f>_xlfn.IFNA(VLOOKUP($A186,'Post 16'!$A:$AV,32,FALSE),0)/8</f>
        <v>0</v>
      </c>
      <c r="ES186" s="309">
        <f>((VLOOKUP($A186,EY!A:EV,33,FALSE)*80%))+VLOOKUP(A186,EY!A:DD,108,FALSE)+VLOOKUP(A186,EY!A:CC,81,FALSE)</f>
        <v>9380</v>
      </c>
      <c r="ET186" s="309">
        <f>_xlfn.IFNA((VLOOKUP($A186,HN!$A:$K,9,FALSE)/12),0)+_xlfn.IFNA((VLOOKUP($A186,HN!$A:$K,10,FALSE)/12),0)+_xlfn.IFNA((VLOOKUP($A186,HN!$A:$BZ,33,FALSE)/12),0)</f>
        <v>0</v>
      </c>
      <c r="EU186" s="309">
        <f>_xlfn.IFNA((VLOOKUP($A186,HN!$A:$BS,15,FALSE)/12),0)</f>
        <v>0</v>
      </c>
      <c r="EV186" s="308">
        <f t="shared" si="224"/>
        <v>0</v>
      </c>
      <c r="EW186" s="308">
        <f t="shared" si="225"/>
        <v>0</v>
      </c>
      <c r="EX186" s="309"/>
      <c r="EY186" s="309">
        <f>_xlfn.IFNA(VLOOKUP($A186,'Cash Advances'!$A:$S,17,FALSE),0)</f>
        <v>0</v>
      </c>
      <c r="EZ186" s="309">
        <f>_xlfn.IFNA(VLOOKUP(A186,'LA Deductions'!A:AZ,25,FALSE),0)/9</f>
        <v>0</v>
      </c>
      <c r="FA186" s="308">
        <f t="shared" si="177"/>
        <v>117316.675900277</v>
      </c>
      <c r="FB186" s="315">
        <f t="shared" si="226"/>
        <v>0</v>
      </c>
      <c r="FC186" s="315"/>
      <c r="FD186" s="316"/>
      <c r="FE186" s="316">
        <f>_xlfn.IFNA((VLOOKUP($A186,HN!$A:$K,8,FALSE)/12),0)+_xlfn.IFNA((VLOOKUP($A186,HN!$A:$AF,32,FALSE)*1/12),0)</f>
        <v>0</v>
      </c>
      <c r="FF186" s="316">
        <f>_xlfn.IFNA((VLOOKUP($A186,HN!$A:$BS,14,FALSE)/12),0)+_xlfn.IFNA((VLOOKUP($A186,HN!$A:$BS,34,FALSE)/3),0)</f>
        <v>0</v>
      </c>
      <c r="FG186" s="316">
        <f>_xlfn.IFNA(VLOOKUP($A186,'Post 16'!$A:$AV,32,FALSE),0)/8</f>
        <v>0</v>
      </c>
      <c r="FH186" s="316"/>
      <c r="FI186" s="316">
        <f>_xlfn.IFNA((VLOOKUP($A186,HN!$A:$K,9,FALSE)/12),0)+_xlfn.IFNA((VLOOKUP($A186,HN!$A:$K,10,FALSE)/12),0)+_xlfn.IFNA((VLOOKUP($A186,HN!$A:$BZ,33,FALSE)/12),0)+_xlfn.IFNA((VLOOKUP($A186,HN!$A:$BZ,35,FALSE)/2),0)</f>
        <v>0</v>
      </c>
      <c r="FJ186" s="316">
        <f>_xlfn.IFNA((VLOOKUP($A186,HN!$A:$BS,15,FALSE)/12),0)+_xlfn.IFNA((VLOOKUP($A186,HN!$A:$CZ,36,FALSE)/2),0)</f>
        <v>0</v>
      </c>
      <c r="FK186" s="315">
        <f t="shared" si="227"/>
        <v>0</v>
      </c>
      <c r="FL186" s="315">
        <f t="shared" si="228"/>
        <v>0</v>
      </c>
      <c r="FM186" s="316"/>
      <c r="FN186" s="316">
        <f>_xlfn.IFNA(VLOOKUP($A186,'Cash Advances'!$A:$S,18,FALSE),0)</f>
        <v>0</v>
      </c>
      <c r="FO186" s="316">
        <f>_xlfn.IFNA(VLOOKUP(A186,'LA Deductions'!A:AZ,25,FALSE),0)/9</f>
        <v>0</v>
      </c>
      <c r="FP186" s="315">
        <f t="shared" si="178"/>
        <v>0</v>
      </c>
      <c r="FQ186" s="322">
        <f t="shared" si="229"/>
        <v>0</v>
      </c>
      <c r="FR186" s="322"/>
      <c r="FS186" s="323"/>
      <c r="FT186" s="323">
        <f>_xlfn.IFNA((VLOOKUP($A186,HN!$A:$K,8,FALSE)/12),0)+_xlfn.IFNA((VLOOKUP($A186,HN!$A:$AF,32,FALSE)*1/12),0)</f>
        <v>0</v>
      </c>
      <c r="FU186" s="323">
        <f>_xlfn.IFNA((VLOOKUP($A186,HN!$A:$BS,14,FALSE)/12),0)+_xlfn.IFNA((VLOOKUP($A186,HN!$A:$BS,34,FALSE)/3),0)</f>
        <v>0</v>
      </c>
      <c r="FV186" s="323">
        <f>_xlfn.IFNA(VLOOKUP($A186,'Post 16'!$A:$AV,32,FALSE),0)/8</f>
        <v>0</v>
      </c>
      <c r="FW186" s="323"/>
      <c r="FX186" s="323">
        <f>_xlfn.IFNA((VLOOKUP($A186,HN!$A:$K,9,FALSE)/12),0)+_xlfn.IFNA((VLOOKUP($A186,HN!$A:$K,10,FALSE)/12),0)+_xlfn.IFNA((VLOOKUP($A186,HN!$A:$BZ,33,FALSE)/12),0)+_xlfn.IFNA((VLOOKUP($A186,HN!$A:$BZ,35,FALSE)/2),0)</f>
        <v>0</v>
      </c>
      <c r="FY186" s="323">
        <f>_xlfn.IFNA((VLOOKUP($A186,HN!$A:$BS,15,FALSE)/12),0)+_xlfn.IFNA((VLOOKUP($A186,HN!$A:$CZ,36,FALSE)/2),0)</f>
        <v>0</v>
      </c>
      <c r="FZ186" s="322">
        <f t="shared" si="230"/>
        <v>0</v>
      </c>
      <c r="GA186" s="322">
        <f t="shared" si="231"/>
        <v>0</v>
      </c>
      <c r="GB186" s="323"/>
      <c r="GC186" s="323"/>
      <c r="GD186" s="323">
        <f>_xlfn.IFNA(VLOOKUP(A186,'LA Deductions'!A:AZ,25,FALSE),0)/9</f>
        <v>0</v>
      </c>
      <c r="GE186" s="322">
        <f t="shared" si="179"/>
        <v>0</v>
      </c>
      <c r="GG186" s="146">
        <f t="shared" si="236"/>
        <v>697050.15031338995</v>
      </c>
      <c r="GH186" s="146">
        <f t="shared" si="236"/>
        <v>0</v>
      </c>
      <c r="GI186" s="146">
        <f t="shared" si="236"/>
        <v>9380</v>
      </c>
      <c r="GJ186" s="146">
        <f t="shared" si="236"/>
        <v>0</v>
      </c>
      <c r="GK186" s="146">
        <f t="shared" si="236"/>
        <v>0</v>
      </c>
      <c r="GL186" s="146">
        <f t="shared" si="236"/>
        <v>-3291.75</v>
      </c>
      <c r="GN186" s="146">
        <f t="shared" si="237"/>
        <v>697050.15031338995</v>
      </c>
      <c r="GO186" s="146">
        <f t="shared" si="237"/>
        <v>0</v>
      </c>
      <c r="GP186" s="146">
        <f t="shared" si="237"/>
        <v>9380</v>
      </c>
      <c r="GQ186" s="146">
        <f t="shared" si="237"/>
        <v>0</v>
      </c>
      <c r="GR186" s="146">
        <f t="shared" si="237"/>
        <v>0</v>
      </c>
      <c r="GS186" s="146">
        <f t="shared" si="237"/>
        <v>-3291.75</v>
      </c>
    </row>
    <row r="187" spans="1:204">
      <c r="A187" s="185">
        <v>1019</v>
      </c>
      <c r="B187" s="185">
        <v>103132</v>
      </c>
      <c r="C187" s="185" t="s">
        <v>364</v>
      </c>
      <c r="D187" s="2" t="s">
        <v>365</v>
      </c>
      <c r="E187" s="191" t="s">
        <v>29</v>
      </c>
      <c r="F187" s="191" t="s">
        <v>912</v>
      </c>
      <c r="H187" s="279">
        <f>_xlfn.IFNA(VLOOKUP($A187,ISB!$A$4:$BY$454,67,FALSE),0)</f>
        <v>0</v>
      </c>
      <c r="I187" s="279">
        <f>_xlfn.IFNA(VLOOKUP($A187,ISB!$A$4:$BY$454,72,FALSE),0)</f>
        <v>0</v>
      </c>
      <c r="J187" s="279">
        <f>-_xlfn.IFNA(VLOOKUP($A187,ISB!$A$4:$BY$454,76,FALSE),0)</f>
        <v>0</v>
      </c>
      <c r="K187" s="279">
        <f>_xlfn.IFNA(VLOOKUP($A187,ISB!$A$4:$BY$454,77,FALSE),0)</f>
        <v>0</v>
      </c>
      <c r="M187" s="301">
        <f t="shared" si="191"/>
        <v>0</v>
      </c>
      <c r="N187" s="301">
        <f>VLOOKUP($A187,EY!$A:$H,8,FALSE)+(VLOOKUP($A187,EY!$A:$BS,17,FALSE)-S187)+VLOOKUP($A187,EY!$A:$BS,41,FALSE)</f>
        <v>441229.0711987362</v>
      </c>
      <c r="O187" s="302"/>
      <c r="P187" s="302">
        <f>_xlfn.IFNA((VLOOKUP($A187,HN!$A:$K,8,FALSE)/12),0)</f>
        <v>0</v>
      </c>
      <c r="Q187" s="302">
        <f>_xlfn.IFNA((VLOOKUP($A187,HN!$A:$BS,14,FALSE)/12),0)</f>
        <v>0</v>
      </c>
      <c r="R187" s="302">
        <f>_xlfn.IFNA(VLOOKUP($A187,'Post 16'!$A:$V,21,FALSE),0)/4</f>
        <v>0</v>
      </c>
      <c r="S187" s="302">
        <f>VLOOKUP($A187,EY!A:Q,15,FALSE)*80%</f>
        <v>256.7157894736842</v>
      </c>
      <c r="T187" s="302">
        <f>_xlfn.IFNA((VLOOKUP($A187,HN!$A:$K,9,FALSE)/12),0)+_xlfn.IFNA((VLOOKUP($A187,HN!$A:$K,10,FALSE)/12),0)</f>
        <v>0</v>
      </c>
      <c r="U187" s="302">
        <f>_xlfn.IFNA((VLOOKUP($A187,HN!$A:$BS,15,FALSE)/12),0)</f>
        <v>0</v>
      </c>
      <c r="V187" s="301">
        <f t="shared" si="192"/>
        <v>0</v>
      </c>
      <c r="W187" s="301">
        <f t="shared" si="193"/>
        <v>0</v>
      </c>
      <c r="X187" s="302"/>
      <c r="Y187" s="302">
        <f>_xlfn.IFNA(VLOOKUP($A187,'Cash Advances'!$A:$S,8,FALSE),0)</f>
        <v>0</v>
      </c>
      <c r="Z187" s="301">
        <f t="shared" si="194"/>
        <v>441485.78698820987</v>
      </c>
      <c r="AA187" s="315">
        <f t="shared" si="195"/>
        <v>0</v>
      </c>
      <c r="AB187" s="315"/>
      <c r="AC187" s="316"/>
      <c r="AD187" s="316">
        <f>_xlfn.IFNA((VLOOKUP($A187,HN!$A:$K,8,FALSE)/12),0)</f>
        <v>0</v>
      </c>
      <c r="AE187" s="316">
        <f>_xlfn.IFNA((VLOOKUP($A187,HN!$A:$BS,14,FALSE)/12),0)</f>
        <v>0</v>
      </c>
      <c r="AF187" s="316">
        <f>_xlfn.IFNA(VLOOKUP($A187,'Post 16'!$A:$V,21,FALSE),0)/4</f>
        <v>0</v>
      </c>
      <c r="AG187" s="316"/>
      <c r="AH187" s="316">
        <f>_xlfn.IFNA((VLOOKUP($A187,HN!$A:$K,9,FALSE)/12),0)+_xlfn.IFNA((VLOOKUP($A187,HN!$A:$K,10,FALSE)/12),0)</f>
        <v>0</v>
      </c>
      <c r="AI187" s="316">
        <f>_xlfn.IFNA((VLOOKUP($A187,HN!$A:$BS,15,FALSE)/12),0)</f>
        <v>0</v>
      </c>
      <c r="AJ187" s="315">
        <f t="shared" si="196"/>
        <v>0</v>
      </c>
      <c r="AK187" s="315">
        <f t="shared" si="197"/>
        <v>0</v>
      </c>
      <c r="AL187" s="316"/>
      <c r="AM187" s="316">
        <f>_xlfn.IFNA(VLOOKUP($A187,'Cash Advances'!$A:$S,9,FALSE),0)</f>
        <v>0</v>
      </c>
      <c r="AN187" s="315">
        <f t="shared" si="198"/>
        <v>0</v>
      </c>
      <c r="AO187" s="308">
        <f t="shared" si="199"/>
        <v>0</v>
      </c>
      <c r="AP187" s="308"/>
      <c r="AQ187" s="309"/>
      <c r="AR187" s="309">
        <f>_xlfn.IFNA((VLOOKUP($A187,HN!$A:$K,8,FALSE)/12),0)</f>
        <v>0</v>
      </c>
      <c r="AS187" s="309">
        <f>_xlfn.IFNA((VLOOKUP($A187,HN!$A:$BS,14,FALSE)/12),0)</f>
        <v>0</v>
      </c>
      <c r="AT187" s="309">
        <f>_xlfn.IFNA(VLOOKUP($A187,'Post 16'!$A:$V,21,FALSE),0)/4</f>
        <v>0</v>
      </c>
      <c r="AU187" s="309"/>
      <c r="AV187" s="309">
        <f>_xlfn.IFNA((VLOOKUP($A187,HN!$A:$K,9,FALSE)/12),0)+_xlfn.IFNA((VLOOKUP($A187,HN!$A:$K,10,FALSE)/12),0)+_xlfn.IFNA(VLOOKUP(A187,HN!A:V,19,FALSE),0)+_xlfn.IFNA(VLOOKUP(A187,HN!A:V,20,FALSE),0)+_xlfn.IFNA(VLOOKUP(A187,HN!A:V,21,FALSE),0)</f>
        <v>0</v>
      </c>
      <c r="AW187" s="309">
        <f>_xlfn.IFNA((VLOOKUP($A187,HN!$A:$BS,15,FALSE)/12),0)</f>
        <v>0</v>
      </c>
      <c r="AX187" s="308">
        <f t="shared" si="200"/>
        <v>0</v>
      </c>
      <c r="AY187" s="308">
        <f t="shared" si="201"/>
        <v>0</v>
      </c>
      <c r="AZ187" s="309"/>
      <c r="BA187" s="309">
        <f>_xlfn.IFNA(VLOOKUP($A187,'Cash Advances'!$A:$S,10,FALSE),0)</f>
        <v>0</v>
      </c>
      <c r="BB187" s="308">
        <f t="shared" si="202"/>
        <v>0</v>
      </c>
      <c r="BC187" s="330">
        <f t="shared" si="203"/>
        <v>0</v>
      </c>
      <c r="BD187" s="330"/>
      <c r="BE187" s="331"/>
      <c r="BF187" s="331">
        <f>_xlfn.IFNA((VLOOKUP($A187,HN!$A:$K,8,FALSE)/12),0)</f>
        <v>0</v>
      </c>
      <c r="BG187" s="331">
        <f>_xlfn.IFNA((VLOOKUP($A187,HN!$A:$BS,14,FALSE)/12),0)</f>
        <v>0</v>
      </c>
      <c r="BH187" s="331">
        <f>_xlfn.IFNA(VLOOKUP($A187,'Post 16'!$A:$V,21,FALSE),0)/4</f>
        <v>0</v>
      </c>
      <c r="BI187" s="331"/>
      <c r="BJ187" s="331">
        <f>_xlfn.IFNA((VLOOKUP($A187,HN!$A:$K,9,FALSE)/12),0)+_xlfn.IFNA((VLOOKUP($A187,HN!$A:$K,10,FALSE)/12),0)</f>
        <v>0</v>
      </c>
      <c r="BK187" s="331">
        <f>_xlfn.IFNA((VLOOKUP($A187,HN!$A:$BS,15,FALSE)/12),0)</f>
        <v>0</v>
      </c>
      <c r="BL187" s="330">
        <f t="shared" si="204"/>
        <v>0</v>
      </c>
      <c r="BM187" s="330">
        <f t="shared" si="205"/>
        <v>0</v>
      </c>
      <c r="BN187" s="331"/>
      <c r="BO187" s="331">
        <f>_xlfn.IFNA(VLOOKUP(A187,'Cash Advances'!A:K,11,FALSE),0)</f>
        <v>0</v>
      </c>
      <c r="BP187" s="330">
        <f t="shared" si="206"/>
        <v>0</v>
      </c>
      <c r="BQ187" s="322">
        <f t="shared" si="207"/>
        <v>0</v>
      </c>
      <c r="BR187" s="322"/>
      <c r="BS187" s="323"/>
      <c r="BT187" s="323">
        <f>_xlfn.IFNA((VLOOKUP($A187,HN!$A:$K,8,FALSE)/12),0)</f>
        <v>0</v>
      </c>
      <c r="BU187" s="323">
        <f>_xlfn.IFNA((VLOOKUP($A187,HN!$A:$BS,14,FALSE)/12),0)</f>
        <v>0</v>
      </c>
      <c r="BV187" s="323">
        <f>(_xlfn.IFNA(VLOOKUP($A187,'Post 16'!$A:$AV,32,FALSE),0)/8)+_xlfn.IFNA(VLOOKUP($A187,'Post 16'!$A:$AR,40,FALSE),0)</f>
        <v>0</v>
      </c>
      <c r="BW187" s="323"/>
      <c r="BX187" s="323">
        <f>_xlfn.IFNA((VLOOKUP($A187,HN!$A:$K,9,FALSE)/12),0)+_xlfn.IFNA((VLOOKUP($A187,HN!$A:$K,10,FALSE)/12),0)</f>
        <v>0</v>
      </c>
      <c r="BY187" s="323">
        <f>_xlfn.IFNA((VLOOKUP($A187,HN!$A:$BS,15,FALSE)/12),0)</f>
        <v>0</v>
      </c>
      <c r="BZ187" s="322">
        <f t="shared" si="208"/>
        <v>0</v>
      </c>
      <c r="CA187" s="322">
        <f t="shared" si="209"/>
        <v>0</v>
      </c>
      <c r="CB187" s="323"/>
      <c r="CC187" s="323"/>
      <c r="CD187" s="322">
        <f t="shared" si="210"/>
        <v>0</v>
      </c>
      <c r="CE187" s="357">
        <f t="shared" si="211"/>
        <v>0</v>
      </c>
      <c r="CF187" s="357">
        <f>(VLOOKUP($A187,EY!$A:$BS,26,FALSE)-(VLOOKUP($A187,EY!A:CR,24,FALSE)*80%))+VLOOKUP($A187,EY!$A:$BS,42,FALSE)+(VLOOKUP($A187,EY!A:CC,74,FALSE)-VLOOKUP($A187,EY!A:CC,72,FALSE))</f>
        <v>132757.47832025232</v>
      </c>
      <c r="CG187" s="358"/>
      <c r="CH187" s="358">
        <f>_xlfn.IFNA((VLOOKUP($A187,HN!$A:$K,8,FALSE)/12),0)</f>
        <v>0</v>
      </c>
      <c r="CI187" s="358">
        <f>_xlfn.IFNA((VLOOKUP($A187,HN!$A:$BS,14,FALSE)/12),0)</f>
        <v>0</v>
      </c>
      <c r="CJ187" s="358">
        <f>(_xlfn.IFNA(VLOOKUP($A187,'Post 16'!$A:$AV,32,FALSE),0)/8)</f>
        <v>0</v>
      </c>
      <c r="CK187" s="358">
        <f>(VLOOKUP($A187,EY!A:CR,24,FALSE)*80%)+VLOOKUP($A187,EY!A:CC,72,FALSE)</f>
        <v>64.17421052631579</v>
      </c>
      <c r="CL187" s="358">
        <f>_xlfn.IFNA((VLOOKUP($A187,HN!$A:$K,9,FALSE)/12),0)+_xlfn.IFNA((VLOOKUP($A187,HN!$A:$K,10,FALSE)/12),0)</f>
        <v>0</v>
      </c>
      <c r="CM187" s="358">
        <f>_xlfn.IFNA((VLOOKUP($A187,HN!$A:$BS,15,FALSE)/12),0)</f>
        <v>0</v>
      </c>
      <c r="CN187" s="357">
        <f t="shared" si="212"/>
        <v>0</v>
      </c>
      <c r="CO187" s="357">
        <f t="shared" si="213"/>
        <v>0</v>
      </c>
      <c r="CP187" s="358">
        <f>_xlfn.IFNA(VLOOKUP(A187,'LA Deductions'!A:W,23,FALSE),0)</f>
        <v>-3291.75</v>
      </c>
      <c r="CQ187" s="358">
        <f>_xlfn.IFNA(VLOOKUP($A187,'Cash Advances'!$A:$S,13,FALSE),0)</f>
        <v>0</v>
      </c>
      <c r="CR187" s="358">
        <f>_xlfn.IFNA(VLOOKUP(A187,'LA Deductions'!A:AZ,25,FALSE),0)/9*3</f>
        <v>0</v>
      </c>
      <c r="CS187" s="357">
        <f t="shared" si="173"/>
        <v>129529.90253077864</v>
      </c>
      <c r="CT187" s="337">
        <f t="shared" si="214"/>
        <v>0</v>
      </c>
      <c r="CU187" s="337"/>
      <c r="CV187" s="338">
        <f>_xlfn.IFNA(VLOOKUP(A187,'LA Deductions'!$A$6:$AN$207,34,FALSE),0)</f>
        <v>0</v>
      </c>
      <c r="CW187" s="338">
        <f>_xlfn.IFNA((VLOOKUP($A187,HN!$A:$K,8,FALSE)/12),0)</f>
        <v>0</v>
      </c>
      <c r="CX187" s="338">
        <f>_xlfn.IFNA((VLOOKUP($A187,HN!$A:$BS,14,FALSE)/12),0)</f>
        <v>0</v>
      </c>
      <c r="CY187" s="338">
        <f>_xlfn.IFNA(VLOOKUP($A187,'Post 16'!$A:$AV,32,FALSE),0)/8</f>
        <v>0</v>
      </c>
      <c r="CZ187" s="338"/>
      <c r="DA187" s="338">
        <f>_xlfn.IFNA((VLOOKUP($A187,HN!$A:$K,9,FALSE)/12),0)+_xlfn.IFNA((VLOOKUP($A187,HN!$A:$K,10,FALSE)/12),0)</f>
        <v>0</v>
      </c>
      <c r="DB187" s="338">
        <f>_xlfn.IFNA((VLOOKUP($A187,HN!$A:$BS,15,FALSE)/12),0)</f>
        <v>0</v>
      </c>
      <c r="DC187" s="337">
        <f t="shared" si="215"/>
        <v>0</v>
      </c>
      <c r="DD187" s="337">
        <f t="shared" si="216"/>
        <v>0</v>
      </c>
      <c r="DE187" s="338"/>
      <c r="DF187" s="338">
        <f>_xlfn.IFNA(VLOOKUP($A187,'Cash Advances'!$A:$S,14,FALSE),0)</f>
        <v>0</v>
      </c>
      <c r="DG187" s="338">
        <f>(_xlfn.IFNA(VLOOKUP(A187,'LA Deductions'!A:AZ,25,FALSE),0)/9)+(_xlfn.IFNA(VLOOKUP(A187,'LA Deductions'!A:AZ,26,FALSE),0))</f>
        <v>0</v>
      </c>
      <c r="DH187" s="337">
        <f t="shared" si="174"/>
        <v>0</v>
      </c>
      <c r="DI187" s="330">
        <f t="shared" si="217"/>
        <v>0</v>
      </c>
      <c r="DJ187" s="330"/>
      <c r="DK187" s="331"/>
      <c r="DL187" s="331">
        <f>_xlfn.IFNA((VLOOKUP($A187,HN!$A:$K,8,FALSE)/12),0)+_xlfn.IFNA((VLOOKUP($A187,HN!$A:$AF,32,FALSE)*8/12),0)</f>
        <v>0</v>
      </c>
      <c r="DM187" s="331">
        <f>_xlfn.IFNA((VLOOKUP($A187,HN!$A:$BS,14,FALSE)/12),0)+_xlfn.IFNA(VLOOKUP($A187,HN!$A:$BS,31,FALSE),0)</f>
        <v>0</v>
      </c>
      <c r="DN187" s="331">
        <f>_xlfn.IFNA(VLOOKUP($A187,'Post 16'!$A:$AV,32,FALSE),0)/8</f>
        <v>0</v>
      </c>
      <c r="DO187" s="331"/>
      <c r="DP187" s="331">
        <f>_xlfn.IFNA((VLOOKUP($A187,HN!$A:$K,9,FALSE)/12),0)+_xlfn.IFNA((VLOOKUP($A187,HN!$A:$K,10,FALSE)/12),0)+_xlfn.IFNA((VLOOKUP($A187,HN!$A:$BZ,33,FALSE)*8/12),0)</f>
        <v>0</v>
      </c>
      <c r="DQ187" s="331">
        <f>_xlfn.IFNA((VLOOKUP($A187,HN!$A:$BS,15,FALSE)/12),0)</f>
        <v>0</v>
      </c>
      <c r="DR187" s="330">
        <f t="shared" si="218"/>
        <v>0</v>
      </c>
      <c r="DS187" s="330">
        <f t="shared" si="219"/>
        <v>0</v>
      </c>
      <c r="DT187" s="331"/>
      <c r="DU187" s="331"/>
      <c r="DV187" s="331">
        <f>(_xlfn.IFNA(VLOOKUP(A187,'LA Deductions'!A:AZ,25,FALSE),0)/9)+_xlfn.IFNA(VLOOKUP(A187,'LA Deductions'!A:AZ,27,FALSE),0)</f>
        <v>0</v>
      </c>
      <c r="DW187" s="330">
        <f t="shared" si="175"/>
        <v>0</v>
      </c>
      <c r="DX187" s="344">
        <f t="shared" si="220"/>
        <v>0</v>
      </c>
      <c r="DY187" s="344"/>
      <c r="DZ187" s="345"/>
      <c r="EA187" s="345">
        <f>_xlfn.IFNA((VLOOKUP($A187,HN!$A:$K,8,FALSE)/12),0)+_xlfn.IFNA((VLOOKUP($A187,HN!$A:$AF,32,FALSE)*1/12),0)</f>
        <v>0</v>
      </c>
      <c r="EB187" s="345">
        <f>_xlfn.IFNA((VLOOKUP($A187,HN!$A:$BS,14,FALSE)/12),0)</f>
        <v>0</v>
      </c>
      <c r="EC187" s="345">
        <f>_xlfn.IFNA(VLOOKUP($A187,'Post 16'!$A:$AV,32,FALSE),0)/8</f>
        <v>0</v>
      </c>
      <c r="ED187" s="345"/>
      <c r="EE187" s="345">
        <f>_xlfn.IFNA((VLOOKUP($A187,HN!$A:$K,9,FALSE)/12),0)+_xlfn.IFNA((VLOOKUP($A187,HN!$A:$K,10,FALSE)/12),0)+_xlfn.IFNA((VLOOKUP($A187,HN!$A:$BZ,33,FALSE)/12),0)</f>
        <v>0</v>
      </c>
      <c r="EF187" s="345">
        <f>_xlfn.IFNA((VLOOKUP($A187,HN!$A:$BS,15,FALSE)/12),0)</f>
        <v>0</v>
      </c>
      <c r="EG187" s="344">
        <f t="shared" si="221"/>
        <v>0</v>
      </c>
      <c r="EH187" s="344">
        <f t="shared" si="222"/>
        <v>0</v>
      </c>
      <c r="EI187" s="345"/>
      <c r="EJ187" s="345">
        <f>_xlfn.IFNA(VLOOKUP(A187,'Cash Advances'!A:P,16,FALSE),0)</f>
        <v>0</v>
      </c>
      <c r="EK187" s="345">
        <f>_xlfn.IFNA(VLOOKUP(A187,'LA Deductions'!A:AZ,25,FALSE),0)/9</f>
        <v>0</v>
      </c>
      <c r="EL187" s="344">
        <f t="shared" si="176"/>
        <v>0</v>
      </c>
      <c r="EM187" s="308">
        <f t="shared" si="223"/>
        <v>0</v>
      </c>
      <c r="EN187" s="308">
        <f>((VLOOKUP($A187,EY!$A:$BS,35,FALSE)-(VLOOKUP($A187,EY!$A:$BS,33,FALSE)*80%))+VLOOKUP($A187,EY!$A:$BS,43,FALSE))+(VLOOKUP(A187,EY!A:DF,110,FALSE)-VLOOKUP(A187,EY!A:DD,108,FALSE))+(VLOOKUP(A187,EY!A:CE,83,FALSE)-VLOOKUP(A187,EY!A:CC,81,FALSE))</f>
        <v>141275.07415512466</v>
      </c>
      <c r="EO187" s="309"/>
      <c r="EP187" s="309">
        <f>_xlfn.IFNA((VLOOKUP($A187,HN!$A:$K,8,FALSE)/12),0)+_xlfn.IFNA((VLOOKUP($A187,HN!$A:$AF,32,FALSE)*1/12),0)</f>
        <v>0</v>
      </c>
      <c r="EQ187" s="309">
        <f>_xlfn.IFNA((VLOOKUP($A187,HN!$A:$BS,14,FALSE)/12),0)+_xlfn.IFNA((VLOOKUP($A187,HN!$A:$BS,34,FALSE)/3),0)</f>
        <v>0</v>
      </c>
      <c r="ER187" s="309">
        <f>_xlfn.IFNA(VLOOKUP($A187,'Post 16'!$A:$AV,32,FALSE),0)/8</f>
        <v>0</v>
      </c>
      <c r="ES187" s="309">
        <f>((VLOOKUP($A187,EY!A:EV,33,FALSE)*80%))+VLOOKUP(A187,EY!A:DD,108,FALSE)+VLOOKUP(A187,EY!A:CC,81,FALSE)</f>
        <v>1704.7742659279779</v>
      </c>
      <c r="ET187" s="309">
        <f>_xlfn.IFNA((VLOOKUP($A187,HN!$A:$K,9,FALSE)/12),0)+_xlfn.IFNA((VLOOKUP($A187,HN!$A:$K,10,FALSE)/12),0)+_xlfn.IFNA((VLOOKUP($A187,HN!$A:$BZ,33,FALSE)/12),0)</f>
        <v>0</v>
      </c>
      <c r="EU187" s="309">
        <f>_xlfn.IFNA((VLOOKUP($A187,HN!$A:$BS,15,FALSE)/12),0)</f>
        <v>0</v>
      </c>
      <c r="EV187" s="308">
        <f t="shared" si="224"/>
        <v>0</v>
      </c>
      <c r="EW187" s="308">
        <f t="shared" si="225"/>
        <v>0</v>
      </c>
      <c r="EX187" s="309"/>
      <c r="EY187" s="309">
        <f>_xlfn.IFNA(VLOOKUP($A187,'Cash Advances'!$A:$S,17,FALSE),0)</f>
        <v>0</v>
      </c>
      <c r="EZ187" s="309">
        <f>_xlfn.IFNA(VLOOKUP(A187,'LA Deductions'!A:AZ,25,FALSE),0)/9</f>
        <v>0</v>
      </c>
      <c r="FA187" s="308">
        <f t="shared" si="177"/>
        <v>142979.84842105265</v>
      </c>
      <c r="FB187" s="315">
        <f t="shared" si="226"/>
        <v>0</v>
      </c>
      <c r="FC187" s="315"/>
      <c r="FD187" s="316"/>
      <c r="FE187" s="316">
        <f>_xlfn.IFNA((VLOOKUP($A187,HN!$A:$K,8,FALSE)/12),0)+_xlfn.IFNA((VLOOKUP($A187,HN!$A:$AF,32,FALSE)*1/12),0)</f>
        <v>0</v>
      </c>
      <c r="FF187" s="316">
        <f>_xlfn.IFNA((VLOOKUP($A187,HN!$A:$BS,14,FALSE)/12),0)+_xlfn.IFNA((VLOOKUP($A187,HN!$A:$BS,34,FALSE)/3),0)</f>
        <v>0</v>
      </c>
      <c r="FG187" s="316">
        <f>_xlfn.IFNA(VLOOKUP($A187,'Post 16'!$A:$AV,32,FALSE),0)/8</f>
        <v>0</v>
      </c>
      <c r="FH187" s="316"/>
      <c r="FI187" s="316">
        <f>_xlfn.IFNA((VLOOKUP($A187,HN!$A:$K,9,FALSE)/12),0)+_xlfn.IFNA((VLOOKUP($A187,HN!$A:$K,10,FALSE)/12),0)+_xlfn.IFNA((VLOOKUP($A187,HN!$A:$BZ,33,FALSE)/12),0)+_xlfn.IFNA((VLOOKUP($A187,HN!$A:$BZ,35,FALSE)/2),0)</f>
        <v>0</v>
      </c>
      <c r="FJ187" s="316">
        <f>_xlfn.IFNA((VLOOKUP($A187,HN!$A:$BS,15,FALSE)/12),0)+_xlfn.IFNA((VLOOKUP($A187,HN!$A:$CZ,36,FALSE)/2),0)</f>
        <v>0</v>
      </c>
      <c r="FK187" s="315">
        <f t="shared" si="227"/>
        <v>0</v>
      </c>
      <c r="FL187" s="315">
        <f t="shared" si="228"/>
        <v>0</v>
      </c>
      <c r="FM187" s="316"/>
      <c r="FN187" s="316">
        <f>_xlfn.IFNA(VLOOKUP($A187,'Cash Advances'!$A:$S,18,FALSE),0)</f>
        <v>0</v>
      </c>
      <c r="FO187" s="316">
        <f>_xlfn.IFNA(VLOOKUP(A187,'LA Deductions'!A:AZ,25,FALSE),0)/9</f>
        <v>0</v>
      </c>
      <c r="FP187" s="315">
        <f t="shared" si="178"/>
        <v>0</v>
      </c>
      <c r="FQ187" s="322">
        <f t="shared" si="229"/>
        <v>0</v>
      </c>
      <c r="FR187" s="322"/>
      <c r="FS187" s="323"/>
      <c r="FT187" s="323">
        <f>_xlfn.IFNA((VLOOKUP($A187,HN!$A:$K,8,FALSE)/12),0)+_xlfn.IFNA((VLOOKUP($A187,HN!$A:$AF,32,FALSE)*1/12),0)</f>
        <v>0</v>
      </c>
      <c r="FU187" s="323">
        <f>_xlfn.IFNA((VLOOKUP($A187,HN!$A:$BS,14,FALSE)/12),0)+_xlfn.IFNA((VLOOKUP($A187,HN!$A:$BS,34,FALSE)/3),0)</f>
        <v>0</v>
      </c>
      <c r="FV187" s="323">
        <f>_xlfn.IFNA(VLOOKUP($A187,'Post 16'!$A:$AV,32,FALSE),0)/8</f>
        <v>0</v>
      </c>
      <c r="FW187" s="323"/>
      <c r="FX187" s="323">
        <f>_xlfn.IFNA((VLOOKUP($A187,HN!$A:$K,9,FALSE)/12),0)+_xlfn.IFNA((VLOOKUP($A187,HN!$A:$K,10,FALSE)/12),0)+_xlfn.IFNA((VLOOKUP($A187,HN!$A:$BZ,33,FALSE)/12),0)+_xlfn.IFNA((VLOOKUP($A187,HN!$A:$BZ,35,FALSE)/2),0)</f>
        <v>0</v>
      </c>
      <c r="FY187" s="323">
        <f>_xlfn.IFNA((VLOOKUP($A187,HN!$A:$BS,15,FALSE)/12),0)+_xlfn.IFNA((VLOOKUP($A187,HN!$A:$CZ,36,FALSE)/2),0)</f>
        <v>0</v>
      </c>
      <c r="FZ187" s="322">
        <f t="shared" si="230"/>
        <v>0</v>
      </c>
      <c r="GA187" s="322">
        <f t="shared" si="231"/>
        <v>0</v>
      </c>
      <c r="GB187" s="323"/>
      <c r="GC187" s="323"/>
      <c r="GD187" s="323">
        <f>_xlfn.IFNA(VLOOKUP(A187,'LA Deductions'!A:AZ,25,FALSE),0)/9</f>
        <v>0</v>
      </c>
      <c r="GE187" s="322">
        <f t="shared" si="179"/>
        <v>0</v>
      </c>
      <c r="GG187" s="146">
        <f t="shared" si="236"/>
        <v>715261.62367411307</v>
      </c>
      <c r="GH187" s="146">
        <f t="shared" si="236"/>
        <v>0</v>
      </c>
      <c r="GI187" s="146">
        <f t="shared" si="236"/>
        <v>2025.6642659279778</v>
      </c>
      <c r="GJ187" s="146">
        <f t="shared" si="236"/>
        <v>0</v>
      </c>
      <c r="GK187" s="146">
        <f t="shared" si="236"/>
        <v>0</v>
      </c>
      <c r="GL187" s="146">
        <f t="shared" si="236"/>
        <v>-3291.75</v>
      </c>
      <c r="GN187" s="146">
        <f t="shared" si="237"/>
        <v>715261.62367411307</v>
      </c>
      <c r="GO187" s="146">
        <f t="shared" si="237"/>
        <v>0</v>
      </c>
      <c r="GP187" s="146">
        <f t="shared" si="237"/>
        <v>2025.6642659279778</v>
      </c>
      <c r="GQ187" s="146">
        <f t="shared" si="237"/>
        <v>0</v>
      </c>
      <c r="GR187" s="146">
        <f t="shared" si="237"/>
        <v>0</v>
      </c>
      <c r="GS187" s="146">
        <f t="shared" si="237"/>
        <v>-3291.75</v>
      </c>
      <c r="GU187" s="146"/>
      <c r="GV187" s="57"/>
    </row>
    <row r="188" spans="1:204">
      <c r="A188" s="185">
        <v>1020</v>
      </c>
      <c r="B188" s="185">
        <v>103133</v>
      </c>
      <c r="C188" s="185" t="s">
        <v>428</v>
      </c>
      <c r="D188" s="2" t="s">
        <v>429</v>
      </c>
      <c r="E188" s="191" t="s">
        <v>29</v>
      </c>
      <c r="F188" s="191" t="s">
        <v>912</v>
      </c>
      <c r="H188" s="279">
        <f>_xlfn.IFNA(VLOOKUP($A188,ISB!$A$4:$BY$454,67,FALSE),0)</f>
        <v>0</v>
      </c>
      <c r="I188" s="279">
        <f>_xlfn.IFNA(VLOOKUP($A188,ISB!$A$4:$BY$454,72,FALSE),0)</f>
        <v>0</v>
      </c>
      <c r="J188" s="279">
        <f>-_xlfn.IFNA(VLOOKUP($A188,ISB!$A$4:$BY$454,76,FALSE),0)</f>
        <v>0</v>
      </c>
      <c r="K188" s="279">
        <f>_xlfn.IFNA(VLOOKUP($A188,ISB!$A$4:$BY$454,77,FALSE),0)</f>
        <v>0</v>
      </c>
      <c r="M188" s="301">
        <f t="shared" si="191"/>
        <v>0</v>
      </c>
      <c r="N188" s="301">
        <f>VLOOKUP($A188,EY!$A:$H,8,FALSE)+(VLOOKUP($A188,EY!$A:$BS,17,FALSE)-S188)+VLOOKUP($A188,EY!$A:$BS,41,FALSE)</f>
        <v>669414.45772602048</v>
      </c>
      <c r="O188" s="302"/>
      <c r="P188" s="302">
        <f>_xlfn.IFNA((VLOOKUP($A188,HN!$A:$K,8,FALSE)/12),0)</f>
        <v>0</v>
      </c>
      <c r="Q188" s="302">
        <f>_xlfn.IFNA((VLOOKUP($A188,HN!$A:$BS,14,FALSE)/12),0)</f>
        <v>0</v>
      </c>
      <c r="R188" s="302">
        <f>_xlfn.IFNA(VLOOKUP($A188,'Post 16'!$A:$V,21,FALSE),0)/4</f>
        <v>0</v>
      </c>
      <c r="S188" s="302">
        <f>VLOOKUP($A188,EY!A:Q,15,FALSE)*80%</f>
        <v>1797.0105263157893</v>
      </c>
      <c r="T188" s="302">
        <f>_xlfn.IFNA((VLOOKUP($A188,HN!$A:$K,9,FALSE)/12),0)+_xlfn.IFNA((VLOOKUP($A188,HN!$A:$K,10,FALSE)/12),0)</f>
        <v>0</v>
      </c>
      <c r="U188" s="302">
        <f>_xlfn.IFNA((VLOOKUP($A188,HN!$A:$BS,15,FALSE)/12),0)</f>
        <v>0</v>
      </c>
      <c r="V188" s="301">
        <f t="shared" si="192"/>
        <v>0</v>
      </c>
      <c r="W188" s="301">
        <f t="shared" si="193"/>
        <v>0</v>
      </c>
      <c r="X188" s="302"/>
      <c r="Y188" s="302">
        <f>_xlfn.IFNA(VLOOKUP($A188,'Cash Advances'!$A:$S,8,FALSE),0)</f>
        <v>0</v>
      </c>
      <c r="Z188" s="301">
        <f t="shared" si="194"/>
        <v>671211.46825233626</v>
      </c>
      <c r="AA188" s="315">
        <f t="shared" si="195"/>
        <v>0</v>
      </c>
      <c r="AB188" s="315"/>
      <c r="AC188" s="316"/>
      <c r="AD188" s="316">
        <f>_xlfn.IFNA((VLOOKUP($A188,HN!$A:$K,8,FALSE)/12),0)</f>
        <v>0</v>
      </c>
      <c r="AE188" s="316">
        <f>_xlfn.IFNA((VLOOKUP($A188,HN!$A:$BS,14,FALSE)/12),0)</f>
        <v>0</v>
      </c>
      <c r="AF188" s="316">
        <f>_xlfn.IFNA(VLOOKUP($A188,'Post 16'!$A:$V,21,FALSE),0)/4</f>
        <v>0</v>
      </c>
      <c r="AG188" s="316"/>
      <c r="AH188" s="316">
        <f>_xlfn.IFNA((VLOOKUP($A188,HN!$A:$K,9,FALSE)/12),0)+_xlfn.IFNA((VLOOKUP($A188,HN!$A:$K,10,FALSE)/12),0)</f>
        <v>0</v>
      </c>
      <c r="AI188" s="316">
        <f>_xlfn.IFNA((VLOOKUP($A188,HN!$A:$BS,15,FALSE)/12),0)</f>
        <v>0</v>
      </c>
      <c r="AJ188" s="315">
        <f t="shared" si="196"/>
        <v>0</v>
      </c>
      <c r="AK188" s="315">
        <f t="shared" si="197"/>
        <v>0</v>
      </c>
      <c r="AL188" s="316"/>
      <c r="AM188" s="316">
        <f>_xlfn.IFNA(VLOOKUP($A188,'Cash Advances'!$A:$S,9,FALSE),0)</f>
        <v>0</v>
      </c>
      <c r="AN188" s="315">
        <f t="shared" si="198"/>
        <v>0</v>
      </c>
      <c r="AO188" s="308">
        <f t="shared" si="199"/>
        <v>0</v>
      </c>
      <c r="AP188" s="308"/>
      <c r="AQ188" s="309"/>
      <c r="AR188" s="309">
        <f>_xlfn.IFNA((VLOOKUP($A188,HN!$A:$K,8,FALSE)/12),0)</f>
        <v>0</v>
      </c>
      <c r="AS188" s="309">
        <f>_xlfn.IFNA((VLOOKUP($A188,HN!$A:$BS,14,FALSE)/12),0)</f>
        <v>0</v>
      </c>
      <c r="AT188" s="309">
        <f>_xlfn.IFNA(VLOOKUP($A188,'Post 16'!$A:$V,21,FALSE),0)/4</f>
        <v>0</v>
      </c>
      <c r="AU188" s="309"/>
      <c r="AV188" s="309">
        <f>_xlfn.IFNA((VLOOKUP($A188,HN!$A:$K,9,FALSE)/12),0)+_xlfn.IFNA((VLOOKUP($A188,HN!$A:$K,10,FALSE)/12),0)+_xlfn.IFNA(VLOOKUP(A188,HN!A:V,19,FALSE),0)+_xlfn.IFNA(VLOOKUP(A188,HN!A:V,20,FALSE),0)+_xlfn.IFNA(VLOOKUP(A188,HN!A:V,21,FALSE),0)</f>
        <v>0</v>
      </c>
      <c r="AW188" s="309">
        <f>_xlfn.IFNA((VLOOKUP($A188,HN!$A:$BS,15,FALSE)/12),0)</f>
        <v>0</v>
      </c>
      <c r="AX188" s="308">
        <f t="shared" si="200"/>
        <v>0</v>
      </c>
      <c r="AY188" s="308">
        <f t="shared" si="201"/>
        <v>0</v>
      </c>
      <c r="AZ188" s="309"/>
      <c r="BA188" s="309">
        <f>_xlfn.IFNA(VLOOKUP($A188,'Cash Advances'!$A:$S,10,FALSE),0)</f>
        <v>0</v>
      </c>
      <c r="BB188" s="308">
        <f t="shared" si="202"/>
        <v>0</v>
      </c>
      <c r="BC188" s="330">
        <f t="shared" si="203"/>
        <v>0</v>
      </c>
      <c r="BD188" s="330"/>
      <c r="BE188" s="331"/>
      <c r="BF188" s="331">
        <f>_xlfn.IFNA((VLOOKUP($A188,HN!$A:$K,8,FALSE)/12),0)</f>
        <v>0</v>
      </c>
      <c r="BG188" s="331">
        <f>_xlfn.IFNA((VLOOKUP($A188,HN!$A:$BS,14,FALSE)/12),0)</f>
        <v>0</v>
      </c>
      <c r="BH188" s="331">
        <f>_xlfn.IFNA(VLOOKUP($A188,'Post 16'!$A:$V,21,FALSE),0)/4</f>
        <v>0</v>
      </c>
      <c r="BI188" s="331"/>
      <c r="BJ188" s="331">
        <f>_xlfn.IFNA((VLOOKUP($A188,HN!$A:$K,9,FALSE)/12),0)+_xlfn.IFNA((VLOOKUP($A188,HN!$A:$K,10,FALSE)/12),0)</f>
        <v>0</v>
      </c>
      <c r="BK188" s="331">
        <f>_xlfn.IFNA((VLOOKUP($A188,HN!$A:$BS,15,FALSE)/12),0)</f>
        <v>0</v>
      </c>
      <c r="BL188" s="330">
        <f t="shared" si="204"/>
        <v>0</v>
      </c>
      <c r="BM188" s="330">
        <f t="shared" si="205"/>
        <v>0</v>
      </c>
      <c r="BN188" s="331"/>
      <c r="BO188" s="331">
        <f>_xlfn.IFNA(VLOOKUP(A188,'Cash Advances'!A:K,11,FALSE),0)</f>
        <v>0</v>
      </c>
      <c r="BP188" s="330">
        <f t="shared" si="206"/>
        <v>0</v>
      </c>
      <c r="BQ188" s="322">
        <f t="shared" si="207"/>
        <v>0</v>
      </c>
      <c r="BR188" s="322"/>
      <c r="BS188" s="323"/>
      <c r="BT188" s="323">
        <f>_xlfn.IFNA((VLOOKUP($A188,HN!$A:$K,8,FALSE)/12),0)</f>
        <v>0</v>
      </c>
      <c r="BU188" s="323">
        <f>_xlfn.IFNA((VLOOKUP($A188,HN!$A:$BS,14,FALSE)/12),0)</f>
        <v>0</v>
      </c>
      <c r="BV188" s="323">
        <f>(_xlfn.IFNA(VLOOKUP($A188,'Post 16'!$A:$AV,32,FALSE),0)/8)+_xlfn.IFNA(VLOOKUP($A188,'Post 16'!$A:$AR,40,FALSE),0)</f>
        <v>0</v>
      </c>
      <c r="BW188" s="323"/>
      <c r="BX188" s="323">
        <f>_xlfn.IFNA((VLOOKUP($A188,HN!$A:$K,9,FALSE)/12),0)+_xlfn.IFNA((VLOOKUP($A188,HN!$A:$K,10,FALSE)/12),0)</f>
        <v>0</v>
      </c>
      <c r="BY188" s="323">
        <f>_xlfn.IFNA((VLOOKUP($A188,HN!$A:$BS,15,FALSE)/12),0)</f>
        <v>0</v>
      </c>
      <c r="BZ188" s="322">
        <f t="shared" si="208"/>
        <v>0</v>
      </c>
      <c r="CA188" s="322">
        <f t="shared" si="209"/>
        <v>0</v>
      </c>
      <c r="CB188" s="323"/>
      <c r="CC188" s="323"/>
      <c r="CD188" s="322">
        <f t="shared" si="210"/>
        <v>0</v>
      </c>
      <c r="CE188" s="357">
        <f t="shared" si="211"/>
        <v>0</v>
      </c>
      <c r="CF188" s="357">
        <f>(VLOOKUP($A188,EY!$A:$BS,26,FALSE)-(VLOOKUP($A188,EY!A:CR,24,FALSE)*80%))+VLOOKUP($A188,EY!$A:$BS,42,FALSE)+(VLOOKUP($A188,EY!A:CC,74,FALSE)-VLOOKUP($A188,EY!A:CC,72,FALSE))</f>
        <v>309059.99159691978</v>
      </c>
      <c r="CG188" s="358"/>
      <c r="CH188" s="358">
        <f>_xlfn.IFNA((VLOOKUP($A188,HN!$A:$K,8,FALSE)/12),0)</f>
        <v>0</v>
      </c>
      <c r="CI188" s="358">
        <f>_xlfn.IFNA((VLOOKUP($A188,HN!$A:$BS,14,FALSE)/12),0)</f>
        <v>0</v>
      </c>
      <c r="CJ188" s="358">
        <f>(_xlfn.IFNA(VLOOKUP($A188,'Post 16'!$A:$AV,32,FALSE),0)/8)</f>
        <v>0</v>
      </c>
      <c r="CK188" s="358">
        <f>(VLOOKUP($A188,EY!A:CR,24,FALSE)*80%)+VLOOKUP($A188,EY!A:CC,72,FALSE)</f>
        <v>5070.0847368421055</v>
      </c>
      <c r="CL188" s="358">
        <f>_xlfn.IFNA((VLOOKUP($A188,HN!$A:$K,9,FALSE)/12),0)+_xlfn.IFNA((VLOOKUP($A188,HN!$A:$K,10,FALSE)/12),0)</f>
        <v>0</v>
      </c>
      <c r="CM188" s="358">
        <f>_xlfn.IFNA((VLOOKUP($A188,HN!$A:$BS,15,FALSE)/12),0)</f>
        <v>0</v>
      </c>
      <c r="CN188" s="357">
        <f t="shared" si="212"/>
        <v>0</v>
      </c>
      <c r="CO188" s="357">
        <f t="shared" si="213"/>
        <v>0</v>
      </c>
      <c r="CP188" s="358">
        <f>_xlfn.IFNA(VLOOKUP(A188,'LA Deductions'!A:W,23,FALSE),0)</f>
        <v>-3291.75</v>
      </c>
      <c r="CQ188" s="358">
        <f>_xlfn.IFNA(VLOOKUP($A188,'Cash Advances'!$A:$S,13,FALSE),0)</f>
        <v>0</v>
      </c>
      <c r="CR188" s="358">
        <f>_xlfn.IFNA(VLOOKUP(A188,'LA Deductions'!A:AZ,25,FALSE),0)/9*3</f>
        <v>0</v>
      </c>
      <c r="CS188" s="357">
        <f t="shared" si="173"/>
        <v>310838.32633376186</v>
      </c>
      <c r="CT188" s="337">
        <f t="shared" si="214"/>
        <v>0</v>
      </c>
      <c r="CU188" s="337"/>
      <c r="CV188" s="338">
        <f>_xlfn.IFNA(VLOOKUP(A188,'LA Deductions'!$A$6:$AN$207,34,FALSE),0)</f>
        <v>0</v>
      </c>
      <c r="CW188" s="338">
        <f>_xlfn.IFNA((VLOOKUP($A188,HN!$A:$K,8,FALSE)/12),0)</f>
        <v>0</v>
      </c>
      <c r="CX188" s="338">
        <f>_xlfn.IFNA((VLOOKUP($A188,HN!$A:$BS,14,FALSE)/12),0)</f>
        <v>0</v>
      </c>
      <c r="CY188" s="338">
        <f>_xlfn.IFNA(VLOOKUP($A188,'Post 16'!$A:$AV,32,FALSE),0)/8</f>
        <v>0</v>
      </c>
      <c r="CZ188" s="338"/>
      <c r="DA188" s="338">
        <f>_xlfn.IFNA((VLOOKUP($A188,HN!$A:$K,9,FALSE)/12),0)+_xlfn.IFNA((VLOOKUP($A188,HN!$A:$K,10,FALSE)/12),0)</f>
        <v>0</v>
      </c>
      <c r="DB188" s="338">
        <f>_xlfn.IFNA((VLOOKUP($A188,HN!$A:$BS,15,FALSE)/12),0)</f>
        <v>0</v>
      </c>
      <c r="DC188" s="337">
        <f t="shared" si="215"/>
        <v>0</v>
      </c>
      <c r="DD188" s="337">
        <f t="shared" si="216"/>
        <v>0</v>
      </c>
      <c r="DE188" s="338"/>
      <c r="DF188" s="338">
        <f>_xlfn.IFNA(VLOOKUP($A188,'Cash Advances'!$A:$S,14,FALSE),0)</f>
        <v>0</v>
      </c>
      <c r="DG188" s="338">
        <f>(_xlfn.IFNA(VLOOKUP(A188,'LA Deductions'!A:AZ,25,FALSE),0)/9)+(_xlfn.IFNA(VLOOKUP(A188,'LA Deductions'!A:AZ,26,FALSE),0))</f>
        <v>0</v>
      </c>
      <c r="DH188" s="337">
        <f t="shared" si="174"/>
        <v>0</v>
      </c>
      <c r="DI188" s="330">
        <f t="shared" si="217"/>
        <v>0</v>
      </c>
      <c r="DJ188" s="330"/>
      <c r="DK188" s="331"/>
      <c r="DL188" s="331">
        <f>_xlfn.IFNA((VLOOKUP($A188,HN!$A:$K,8,FALSE)/12),0)+_xlfn.IFNA((VLOOKUP($A188,HN!$A:$AF,32,FALSE)*8/12),0)</f>
        <v>0</v>
      </c>
      <c r="DM188" s="331">
        <f>_xlfn.IFNA((VLOOKUP($A188,HN!$A:$BS,14,FALSE)/12),0)+_xlfn.IFNA(VLOOKUP($A188,HN!$A:$BS,31,FALSE),0)</f>
        <v>0</v>
      </c>
      <c r="DN188" s="331">
        <f>_xlfn.IFNA(VLOOKUP($A188,'Post 16'!$A:$AV,32,FALSE),0)/8</f>
        <v>0</v>
      </c>
      <c r="DO188" s="331"/>
      <c r="DP188" s="331">
        <f>_xlfn.IFNA((VLOOKUP($A188,HN!$A:$K,9,FALSE)/12),0)+_xlfn.IFNA((VLOOKUP($A188,HN!$A:$K,10,FALSE)/12),0)+_xlfn.IFNA((VLOOKUP($A188,HN!$A:$BZ,33,FALSE)*8/12),0)</f>
        <v>0</v>
      </c>
      <c r="DQ188" s="331">
        <f>_xlfn.IFNA((VLOOKUP($A188,HN!$A:$BS,15,FALSE)/12),0)</f>
        <v>0</v>
      </c>
      <c r="DR188" s="330">
        <f t="shared" si="218"/>
        <v>0</v>
      </c>
      <c r="DS188" s="330">
        <f t="shared" si="219"/>
        <v>0</v>
      </c>
      <c r="DT188" s="331"/>
      <c r="DU188" s="331"/>
      <c r="DV188" s="331">
        <f>(_xlfn.IFNA(VLOOKUP(A188,'LA Deductions'!A:AZ,25,FALSE),0)/9)+_xlfn.IFNA(VLOOKUP(A188,'LA Deductions'!A:AZ,27,FALSE),0)</f>
        <v>0</v>
      </c>
      <c r="DW188" s="330">
        <f t="shared" si="175"/>
        <v>0</v>
      </c>
      <c r="DX188" s="344">
        <f t="shared" si="220"/>
        <v>0</v>
      </c>
      <c r="DY188" s="344"/>
      <c r="DZ188" s="345"/>
      <c r="EA188" s="345">
        <f>_xlfn.IFNA((VLOOKUP($A188,HN!$A:$K,8,FALSE)/12),0)+_xlfn.IFNA((VLOOKUP($A188,HN!$A:$AF,32,FALSE)*1/12),0)</f>
        <v>0</v>
      </c>
      <c r="EB188" s="345">
        <f>_xlfn.IFNA((VLOOKUP($A188,HN!$A:$BS,14,FALSE)/12),0)</f>
        <v>0</v>
      </c>
      <c r="EC188" s="345">
        <f>_xlfn.IFNA(VLOOKUP($A188,'Post 16'!$A:$AV,32,FALSE),0)/8</f>
        <v>0</v>
      </c>
      <c r="ED188" s="345"/>
      <c r="EE188" s="345">
        <f>_xlfn.IFNA((VLOOKUP($A188,HN!$A:$K,9,FALSE)/12),0)+_xlfn.IFNA((VLOOKUP($A188,HN!$A:$K,10,FALSE)/12),0)+_xlfn.IFNA((VLOOKUP($A188,HN!$A:$BZ,33,FALSE)/12),0)</f>
        <v>0</v>
      </c>
      <c r="EF188" s="345">
        <f>_xlfn.IFNA((VLOOKUP($A188,HN!$A:$BS,15,FALSE)/12),0)</f>
        <v>0</v>
      </c>
      <c r="EG188" s="344">
        <f t="shared" si="221"/>
        <v>0</v>
      </c>
      <c r="EH188" s="344">
        <f t="shared" si="222"/>
        <v>0</v>
      </c>
      <c r="EI188" s="345"/>
      <c r="EJ188" s="345">
        <f>_xlfn.IFNA(VLOOKUP(A188,'Cash Advances'!A:P,16,FALSE),0)</f>
        <v>0</v>
      </c>
      <c r="EK188" s="345">
        <f>_xlfn.IFNA(VLOOKUP(A188,'LA Deductions'!A:AZ,25,FALSE),0)/9</f>
        <v>0</v>
      </c>
      <c r="EL188" s="344">
        <f t="shared" si="176"/>
        <v>0</v>
      </c>
      <c r="EM188" s="308">
        <f t="shared" si="223"/>
        <v>0</v>
      </c>
      <c r="EN188" s="308">
        <f>((VLOOKUP($A188,EY!$A:$BS,35,FALSE)-(VLOOKUP($A188,EY!$A:$BS,33,FALSE)*80%))+VLOOKUP($A188,EY!$A:$BS,43,FALSE))+(VLOOKUP(A188,EY!A:DF,110,FALSE)-VLOOKUP(A188,EY!A:DD,108,FALSE))+(VLOOKUP(A188,EY!A:CE,83,FALSE)-VLOOKUP(A188,EY!A:CC,81,FALSE))</f>
        <v>274609.27709141269</v>
      </c>
      <c r="EO188" s="309"/>
      <c r="EP188" s="309">
        <f>_xlfn.IFNA((VLOOKUP($A188,HN!$A:$K,8,FALSE)/12),0)+_xlfn.IFNA((VLOOKUP($A188,HN!$A:$AF,32,FALSE)*1/12),0)</f>
        <v>0</v>
      </c>
      <c r="EQ188" s="309">
        <f>_xlfn.IFNA((VLOOKUP($A188,HN!$A:$BS,14,FALSE)/12),0)+_xlfn.IFNA((VLOOKUP($A188,HN!$A:$BS,34,FALSE)/3),0)</f>
        <v>0</v>
      </c>
      <c r="ER188" s="309">
        <f>_xlfn.IFNA(VLOOKUP($A188,'Post 16'!$A:$AV,32,FALSE),0)/8</f>
        <v>0</v>
      </c>
      <c r="ES188" s="309">
        <f>((VLOOKUP($A188,EY!A:EV,33,FALSE)*80%))+VLOOKUP(A188,EY!A:DD,108,FALSE)+VLOOKUP(A188,EY!A:CC,81,FALSE)</f>
        <v>5321.7080609418281</v>
      </c>
      <c r="ET188" s="309">
        <f>_xlfn.IFNA((VLOOKUP($A188,HN!$A:$K,9,FALSE)/12),0)+_xlfn.IFNA((VLOOKUP($A188,HN!$A:$K,10,FALSE)/12),0)+_xlfn.IFNA((VLOOKUP($A188,HN!$A:$BZ,33,FALSE)/12),0)</f>
        <v>0</v>
      </c>
      <c r="EU188" s="309">
        <f>_xlfn.IFNA((VLOOKUP($A188,HN!$A:$BS,15,FALSE)/12),0)</f>
        <v>0</v>
      </c>
      <c r="EV188" s="308">
        <f t="shared" si="224"/>
        <v>0</v>
      </c>
      <c r="EW188" s="308">
        <f t="shared" si="225"/>
        <v>0</v>
      </c>
      <c r="EX188" s="309"/>
      <c r="EY188" s="309">
        <f>_xlfn.IFNA(VLOOKUP($A188,'Cash Advances'!$A:$S,17,FALSE),0)</f>
        <v>0</v>
      </c>
      <c r="EZ188" s="309">
        <f>_xlfn.IFNA(VLOOKUP(A188,'LA Deductions'!A:AZ,25,FALSE),0)/9</f>
        <v>0</v>
      </c>
      <c r="FA188" s="308">
        <f t="shared" si="177"/>
        <v>279930.98515235452</v>
      </c>
      <c r="FB188" s="315">
        <f t="shared" si="226"/>
        <v>0</v>
      </c>
      <c r="FC188" s="315"/>
      <c r="FD188" s="316"/>
      <c r="FE188" s="316">
        <f>_xlfn.IFNA((VLOOKUP($A188,HN!$A:$K,8,FALSE)/12),0)+_xlfn.IFNA((VLOOKUP($A188,HN!$A:$AF,32,FALSE)*1/12),0)</f>
        <v>0</v>
      </c>
      <c r="FF188" s="316">
        <f>_xlfn.IFNA((VLOOKUP($A188,HN!$A:$BS,14,FALSE)/12),0)+_xlfn.IFNA((VLOOKUP($A188,HN!$A:$BS,34,FALSE)/3),0)</f>
        <v>0</v>
      </c>
      <c r="FG188" s="316">
        <f>_xlfn.IFNA(VLOOKUP($A188,'Post 16'!$A:$AV,32,FALSE),0)/8</f>
        <v>0</v>
      </c>
      <c r="FH188" s="316"/>
      <c r="FI188" s="316">
        <f>_xlfn.IFNA((VLOOKUP($A188,HN!$A:$K,9,FALSE)/12),0)+_xlfn.IFNA((VLOOKUP($A188,HN!$A:$K,10,FALSE)/12),0)+_xlfn.IFNA((VLOOKUP($A188,HN!$A:$BZ,33,FALSE)/12),0)+_xlfn.IFNA((VLOOKUP($A188,HN!$A:$BZ,35,FALSE)/2),0)</f>
        <v>0</v>
      </c>
      <c r="FJ188" s="316">
        <f>_xlfn.IFNA((VLOOKUP($A188,HN!$A:$BS,15,FALSE)/12),0)+_xlfn.IFNA((VLOOKUP($A188,HN!$A:$CZ,36,FALSE)/2),0)</f>
        <v>0</v>
      </c>
      <c r="FK188" s="315">
        <f t="shared" si="227"/>
        <v>0</v>
      </c>
      <c r="FL188" s="315">
        <f t="shared" si="228"/>
        <v>0</v>
      </c>
      <c r="FM188" s="316"/>
      <c r="FN188" s="316">
        <f>_xlfn.IFNA(VLOOKUP($A188,'Cash Advances'!$A:$S,18,FALSE),0)</f>
        <v>0</v>
      </c>
      <c r="FO188" s="316">
        <f>_xlfn.IFNA(VLOOKUP(A188,'LA Deductions'!A:AZ,25,FALSE),0)/9</f>
        <v>0</v>
      </c>
      <c r="FP188" s="315">
        <f t="shared" si="178"/>
        <v>0</v>
      </c>
      <c r="FQ188" s="322">
        <f t="shared" si="229"/>
        <v>0</v>
      </c>
      <c r="FR188" s="322"/>
      <c r="FS188" s="323"/>
      <c r="FT188" s="323">
        <f>_xlfn.IFNA((VLOOKUP($A188,HN!$A:$K,8,FALSE)/12),0)+_xlfn.IFNA((VLOOKUP($A188,HN!$A:$AF,32,FALSE)*1/12),0)</f>
        <v>0</v>
      </c>
      <c r="FU188" s="323">
        <f>_xlfn.IFNA((VLOOKUP($A188,HN!$A:$BS,14,FALSE)/12),0)+_xlfn.IFNA((VLOOKUP($A188,HN!$A:$BS,34,FALSE)/3),0)</f>
        <v>0</v>
      </c>
      <c r="FV188" s="323">
        <f>_xlfn.IFNA(VLOOKUP($A188,'Post 16'!$A:$AV,32,FALSE),0)/8</f>
        <v>0</v>
      </c>
      <c r="FW188" s="323"/>
      <c r="FX188" s="323">
        <f>_xlfn.IFNA((VLOOKUP($A188,HN!$A:$K,9,FALSE)/12),0)+_xlfn.IFNA((VLOOKUP($A188,HN!$A:$K,10,FALSE)/12),0)+_xlfn.IFNA((VLOOKUP($A188,HN!$A:$BZ,33,FALSE)/12),0)+_xlfn.IFNA((VLOOKUP($A188,HN!$A:$BZ,35,FALSE)/2),0)</f>
        <v>0</v>
      </c>
      <c r="FY188" s="323">
        <f>_xlfn.IFNA((VLOOKUP($A188,HN!$A:$BS,15,FALSE)/12),0)+_xlfn.IFNA((VLOOKUP($A188,HN!$A:$CZ,36,FALSE)/2),0)</f>
        <v>0</v>
      </c>
      <c r="FZ188" s="322">
        <f t="shared" si="230"/>
        <v>0</v>
      </c>
      <c r="GA188" s="322">
        <f t="shared" si="231"/>
        <v>0</v>
      </c>
      <c r="GB188" s="323"/>
      <c r="GC188" s="323"/>
      <c r="GD188" s="323">
        <f>_xlfn.IFNA(VLOOKUP(A188,'LA Deductions'!A:AZ,25,FALSE),0)/9</f>
        <v>0</v>
      </c>
      <c r="GE188" s="322">
        <f t="shared" si="179"/>
        <v>0</v>
      </c>
      <c r="GG188" s="146">
        <f t="shared" si="236"/>
        <v>1253083.7264143531</v>
      </c>
      <c r="GH188" s="146">
        <f t="shared" si="236"/>
        <v>0</v>
      </c>
      <c r="GI188" s="146">
        <f t="shared" si="236"/>
        <v>12188.803324099723</v>
      </c>
      <c r="GJ188" s="146">
        <f t="shared" si="236"/>
        <v>0</v>
      </c>
      <c r="GK188" s="146">
        <f t="shared" si="236"/>
        <v>0</v>
      </c>
      <c r="GL188" s="146">
        <f t="shared" si="236"/>
        <v>-3291.75</v>
      </c>
      <c r="GN188" s="146">
        <f t="shared" si="237"/>
        <v>1253083.7264143531</v>
      </c>
      <c r="GO188" s="146">
        <f t="shared" si="237"/>
        <v>0</v>
      </c>
      <c r="GP188" s="146">
        <f t="shared" si="237"/>
        <v>12188.803324099723</v>
      </c>
      <c r="GQ188" s="146">
        <f t="shared" si="237"/>
        <v>0</v>
      </c>
      <c r="GR188" s="146">
        <f t="shared" si="237"/>
        <v>0</v>
      </c>
      <c r="GS188" s="146">
        <f t="shared" si="237"/>
        <v>-3291.75</v>
      </c>
    </row>
    <row r="189" spans="1:204">
      <c r="A189" s="185">
        <v>2019</v>
      </c>
      <c r="B189" s="185">
        <v>134279</v>
      </c>
      <c r="C189" s="185" t="s">
        <v>430</v>
      </c>
      <c r="D189" s="2" t="s">
        <v>431</v>
      </c>
      <c r="E189" s="191" t="s">
        <v>32</v>
      </c>
      <c r="F189" s="191" t="s">
        <v>912</v>
      </c>
      <c r="H189" s="279">
        <f>_xlfn.IFNA(VLOOKUP($A189,ISB!$A$4:$BY$454,67,FALSE),0)</f>
        <v>2380305.7722999994</v>
      </c>
      <c r="I189" s="279">
        <f>_xlfn.IFNA(VLOOKUP($A189,ISB!$A$4:$BY$454,72,FALSE),0)</f>
        <v>-10562.4</v>
      </c>
      <c r="J189" s="279">
        <f>-_xlfn.IFNA(VLOOKUP($A189,ISB!$A$4:$BY$454,76,FALSE),0)</f>
        <v>-61406.26</v>
      </c>
      <c r="K189" s="279">
        <f>_xlfn.IFNA(VLOOKUP($A189,ISB!$A$4:$BY$454,77,FALSE),0)</f>
        <v>2308337.1122999997</v>
      </c>
      <c r="M189" s="301">
        <f t="shared" si="191"/>
        <v>198358.81435833327</v>
      </c>
      <c r="N189" s="301">
        <f>VLOOKUP($A189,EY!$A:$H,8,FALSE)+(VLOOKUP($A189,EY!$A:$BS,17,FALSE)-S189)+VLOOKUP($A189,EY!$A:$BS,41,FALSE)</f>
        <v>0</v>
      </c>
      <c r="O189" s="302"/>
      <c r="P189" s="302">
        <f>_xlfn.IFNA((VLOOKUP($A189,HN!$A:$K,8,FALSE)/12),0)</f>
        <v>0</v>
      </c>
      <c r="Q189" s="302">
        <f>_xlfn.IFNA((VLOOKUP($A189,HN!$A:$BS,14,FALSE)/12),0)</f>
        <v>0</v>
      </c>
      <c r="R189" s="302">
        <f>_xlfn.IFNA(VLOOKUP($A189,'Post 16'!$A:$V,21,FALSE),0)/4</f>
        <v>0</v>
      </c>
      <c r="S189" s="302">
        <f>VLOOKUP($A189,EY!A:Q,15,FALSE)*80%</f>
        <v>0</v>
      </c>
      <c r="T189" s="302">
        <f>_xlfn.IFNA((VLOOKUP($A189,HN!$A:$K,9,FALSE)/12),0)+_xlfn.IFNA((VLOOKUP($A189,HN!$A:$K,10,FALSE)/12),0)</f>
        <v>0</v>
      </c>
      <c r="U189" s="302">
        <f>_xlfn.IFNA((VLOOKUP($A189,HN!$A:$BS,15,FALSE)/12),0)</f>
        <v>0</v>
      </c>
      <c r="V189" s="301">
        <f t="shared" si="192"/>
        <v>-880.19999999999993</v>
      </c>
      <c r="W189" s="301">
        <f t="shared" si="193"/>
        <v>-5117.1883333333335</v>
      </c>
      <c r="X189" s="302"/>
      <c r="Y189" s="302">
        <f>_xlfn.IFNA(VLOOKUP($A189,'Cash Advances'!$A:$S,8,FALSE),0)</f>
        <v>0</v>
      </c>
      <c r="Z189" s="301">
        <f t="shared" si="194"/>
        <v>192361.42602499994</v>
      </c>
      <c r="AA189" s="315">
        <f t="shared" si="195"/>
        <v>198358.81435833327</v>
      </c>
      <c r="AB189" s="315"/>
      <c r="AC189" s="316"/>
      <c r="AD189" s="316">
        <f>_xlfn.IFNA((VLOOKUP($A189,HN!$A:$K,8,FALSE)/12),0)</f>
        <v>0</v>
      </c>
      <c r="AE189" s="316">
        <f>_xlfn.IFNA((VLOOKUP($A189,HN!$A:$BS,14,FALSE)/12),0)</f>
        <v>0</v>
      </c>
      <c r="AF189" s="316">
        <f>_xlfn.IFNA(VLOOKUP($A189,'Post 16'!$A:$V,21,FALSE),0)/4</f>
        <v>0</v>
      </c>
      <c r="AG189" s="316"/>
      <c r="AH189" s="316">
        <f>_xlfn.IFNA((VLOOKUP($A189,HN!$A:$K,9,FALSE)/12),0)+_xlfn.IFNA((VLOOKUP($A189,HN!$A:$K,10,FALSE)/12),0)</f>
        <v>0</v>
      </c>
      <c r="AI189" s="316">
        <f>_xlfn.IFNA((VLOOKUP($A189,HN!$A:$BS,15,FALSE)/12),0)</f>
        <v>0</v>
      </c>
      <c r="AJ189" s="315">
        <f t="shared" si="196"/>
        <v>-880.19999999999993</v>
      </c>
      <c r="AK189" s="315">
        <f t="shared" si="197"/>
        <v>-5117.1883333333335</v>
      </c>
      <c r="AL189" s="316"/>
      <c r="AM189" s="316">
        <f>_xlfn.IFNA(VLOOKUP($A189,'Cash Advances'!$A:$S,9,FALSE),0)</f>
        <v>0</v>
      </c>
      <c r="AN189" s="315">
        <f t="shared" si="198"/>
        <v>192361.42602499994</v>
      </c>
      <c r="AO189" s="308">
        <f t="shared" si="199"/>
        <v>198358.81435833327</v>
      </c>
      <c r="AP189" s="308"/>
      <c r="AQ189" s="309"/>
      <c r="AR189" s="309">
        <f>_xlfn.IFNA((VLOOKUP($A189,HN!$A:$K,8,FALSE)/12),0)</f>
        <v>0</v>
      </c>
      <c r="AS189" s="309">
        <f>_xlfn.IFNA((VLOOKUP($A189,HN!$A:$BS,14,FALSE)/12),0)</f>
        <v>0</v>
      </c>
      <c r="AT189" s="309">
        <f>_xlfn.IFNA(VLOOKUP($A189,'Post 16'!$A:$V,21,FALSE),0)/4</f>
        <v>0</v>
      </c>
      <c r="AU189" s="309"/>
      <c r="AV189" s="309">
        <f>_xlfn.IFNA((VLOOKUP($A189,HN!$A:$K,9,FALSE)/12),0)+_xlfn.IFNA((VLOOKUP($A189,HN!$A:$K,10,FALSE)/12),0)+_xlfn.IFNA(VLOOKUP(A189,HN!A:V,19,FALSE),0)+_xlfn.IFNA(VLOOKUP(A189,HN!A:V,20,FALSE),0)+_xlfn.IFNA(VLOOKUP(A189,HN!A:V,21,FALSE),0)</f>
        <v>0</v>
      </c>
      <c r="AW189" s="309">
        <f>_xlfn.IFNA((VLOOKUP($A189,HN!$A:$BS,15,FALSE)/12),0)</f>
        <v>0</v>
      </c>
      <c r="AX189" s="308">
        <f t="shared" si="200"/>
        <v>-880.19999999999993</v>
      </c>
      <c r="AY189" s="308">
        <f t="shared" si="201"/>
        <v>-5117.1883333333335</v>
      </c>
      <c r="AZ189" s="309"/>
      <c r="BA189" s="309">
        <f>_xlfn.IFNA(VLOOKUP($A189,'Cash Advances'!$A:$S,10,FALSE),0)</f>
        <v>0</v>
      </c>
      <c r="BB189" s="308">
        <f t="shared" si="202"/>
        <v>192361.42602499994</v>
      </c>
      <c r="BC189" s="330">
        <f t="shared" si="203"/>
        <v>198358.81435833327</v>
      </c>
      <c r="BD189" s="330"/>
      <c r="BE189" s="331"/>
      <c r="BF189" s="331">
        <f>_xlfn.IFNA((VLOOKUP($A189,HN!$A:$K,8,FALSE)/12),0)</f>
        <v>0</v>
      </c>
      <c r="BG189" s="331">
        <f>_xlfn.IFNA((VLOOKUP($A189,HN!$A:$BS,14,FALSE)/12),0)</f>
        <v>0</v>
      </c>
      <c r="BH189" s="331">
        <f>_xlfn.IFNA(VLOOKUP($A189,'Post 16'!$A:$V,21,FALSE),0)/4</f>
        <v>0</v>
      </c>
      <c r="BI189" s="331"/>
      <c r="BJ189" s="331">
        <f>_xlfn.IFNA((VLOOKUP($A189,HN!$A:$K,9,FALSE)/12),0)+_xlfn.IFNA((VLOOKUP($A189,HN!$A:$K,10,FALSE)/12),0)</f>
        <v>0</v>
      </c>
      <c r="BK189" s="331">
        <f>_xlfn.IFNA((VLOOKUP($A189,HN!$A:$BS,15,FALSE)/12),0)</f>
        <v>0</v>
      </c>
      <c r="BL189" s="330">
        <f t="shared" si="204"/>
        <v>-880.19999999999993</v>
      </c>
      <c r="BM189" s="330">
        <f t="shared" si="205"/>
        <v>-5117.1883333333335</v>
      </c>
      <c r="BN189" s="331"/>
      <c r="BO189" s="331">
        <f>_xlfn.IFNA(VLOOKUP(A189,'Cash Advances'!A:K,11,FALSE),0)</f>
        <v>0</v>
      </c>
      <c r="BP189" s="330">
        <f t="shared" si="206"/>
        <v>192361.42602499994</v>
      </c>
      <c r="BQ189" s="322">
        <f t="shared" si="207"/>
        <v>198358.81435833327</v>
      </c>
      <c r="BR189" s="322"/>
      <c r="BS189" s="323"/>
      <c r="BT189" s="323">
        <f>_xlfn.IFNA((VLOOKUP($A189,HN!$A:$K,8,FALSE)/12),0)</f>
        <v>0</v>
      </c>
      <c r="BU189" s="323">
        <f>_xlfn.IFNA((VLOOKUP($A189,HN!$A:$BS,14,FALSE)/12),0)</f>
        <v>0</v>
      </c>
      <c r="BV189" s="323">
        <f>(_xlfn.IFNA(VLOOKUP($A189,'Post 16'!$A:$AV,32,FALSE),0)/8)+_xlfn.IFNA(VLOOKUP($A189,'Post 16'!$A:$AR,40,FALSE),0)</f>
        <v>0</v>
      </c>
      <c r="BW189" s="323"/>
      <c r="BX189" s="323">
        <f>_xlfn.IFNA((VLOOKUP($A189,HN!$A:$K,9,FALSE)/12),0)+_xlfn.IFNA((VLOOKUP($A189,HN!$A:$K,10,FALSE)/12),0)</f>
        <v>0</v>
      </c>
      <c r="BY189" s="323">
        <f>_xlfn.IFNA((VLOOKUP($A189,HN!$A:$BS,15,FALSE)/12),0)</f>
        <v>0</v>
      </c>
      <c r="BZ189" s="322">
        <f t="shared" si="208"/>
        <v>-880.19999999999993</v>
      </c>
      <c r="CA189" s="322">
        <f t="shared" si="209"/>
        <v>-5117.1883333333335</v>
      </c>
      <c r="CB189" s="323"/>
      <c r="CC189" s="323"/>
      <c r="CD189" s="322">
        <f t="shared" si="210"/>
        <v>192361.42602499994</v>
      </c>
      <c r="CE189" s="357">
        <f t="shared" si="211"/>
        <v>198358.81435833327</v>
      </c>
      <c r="CF189" s="357">
        <f>(VLOOKUP($A189,EY!$A:$BS,26,FALSE)-(VLOOKUP($A189,EY!A:CR,24,FALSE)*80%))+VLOOKUP($A189,EY!$A:$BS,42,FALSE)+(VLOOKUP($A189,EY!A:CC,74,FALSE)-VLOOKUP($A189,EY!A:CC,72,FALSE))</f>
        <v>0</v>
      </c>
      <c r="CG189" s="358"/>
      <c r="CH189" s="358">
        <f>_xlfn.IFNA((VLOOKUP($A189,HN!$A:$K,8,FALSE)/12),0)</f>
        <v>0</v>
      </c>
      <c r="CI189" s="358">
        <f>_xlfn.IFNA((VLOOKUP($A189,HN!$A:$BS,14,FALSE)/12),0)</f>
        <v>0</v>
      </c>
      <c r="CJ189" s="358">
        <f>(_xlfn.IFNA(VLOOKUP($A189,'Post 16'!$A:$AV,32,FALSE),0)/8)</f>
        <v>0</v>
      </c>
      <c r="CK189" s="358">
        <f>(VLOOKUP($A189,EY!A:CR,24,FALSE)*80%)+VLOOKUP($A189,EY!A:CC,72,FALSE)</f>
        <v>0</v>
      </c>
      <c r="CL189" s="358">
        <f>_xlfn.IFNA((VLOOKUP($A189,HN!$A:$K,9,FALSE)/12),0)+_xlfn.IFNA((VLOOKUP($A189,HN!$A:$K,10,FALSE)/12),0)</f>
        <v>0</v>
      </c>
      <c r="CM189" s="358">
        <f>_xlfn.IFNA((VLOOKUP($A189,HN!$A:$BS,15,FALSE)/12),0)</f>
        <v>0</v>
      </c>
      <c r="CN189" s="357">
        <f t="shared" si="212"/>
        <v>-880.19999999999993</v>
      </c>
      <c r="CO189" s="357">
        <f t="shared" si="213"/>
        <v>-5117.1883333333335</v>
      </c>
      <c r="CP189" s="358">
        <f>_xlfn.IFNA(VLOOKUP(A189,'LA Deductions'!A:W,23,FALSE),0)</f>
        <v>-9471</v>
      </c>
      <c r="CQ189" s="358">
        <f>_xlfn.IFNA(VLOOKUP($A189,'Cash Advances'!$A:$S,13,FALSE),0)</f>
        <v>0</v>
      </c>
      <c r="CR189" s="358">
        <f>_xlfn.IFNA(VLOOKUP(A189,'LA Deductions'!A:AZ,25,FALSE),0)/9*3</f>
        <v>0</v>
      </c>
      <c r="CS189" s="357">
        <f t="shared" si="173"/>
        <v>182890.42602499994</v>
      </c>
      <c r="CT189" s="337">
        <f t="shared" si="214"/>
        <v>198358.81435833327</v>
      </c>
      <c r="CU189" s="337"/>
      <c r="CV189" s="338">
        <f>_xlfn.IFNA(VLOOKUP(A189,'LA Deductions'!$A$6:$AN$207,34,FALSE),0)</f>
        <v>0</v>
      </c>
      <c r="CW189" s="338">
        <f>_xlfn.IFNA((VLOOKUP($A189,HN!$A:$K,8,FALSE)/12),0)</f>
        <v>0</v>
      </c>
      <c r="CX189" s="338">
        <f>_xlfn.IFNA((VLOOKUP($A189,HN!$A:$BS,14,FALSE)/12),0)</f>
        <v>0</v>
      </c>
      <c r="CY189" s="338">
        <f>_xlfn.IFNA(VLOOKUP($A189,'Post 16'!$A:$AV,32,FALSE),0)/8</f>
        <v>0</v>
      </c>
      <c r="CZ189" s="338"/>
      <c r="DA189" s="338">
        <f>_xlfn.IFNA((VLOOKUP($A189,HN!$A:$K,9,FALSE)/12),0)+_xlfn.IFNA((VLOOKUP($A189,HN!$A:$K,10,FALSE)/12),0)</f>
        <v>0</v>
      </c>
      <c r="DB189" s="338">
        <f>_xlfn.IFNA((VLOOKUP($A189,HN!$A:$BS,15,FALSE)/12),0)</f>
        <v>0</v>
      </c>
      <c r="DC189" s="337">
        <f t="shared" si="215"/>
        <v>-880.19999999999993</v>
      </c>
      <c r="DD189" s="337">
        <f t="shared" si="216"/>
        <v>-5117.1883333333335</v>
      </c>
      <c r="DE189" s="338"/>
      <c r="DF189" s="338">
        <f>_xlfn.IFNA(VLOOKUP($A189,'Cash Advances'!$A:$S,14,FALSE),0)</f>
        <v>0</v>
      </c>
      <c r="DG189" s="338">
        <f>(_xlfn.IFNA(VLOOKUP(A189,'LA Deductions'!A:AZ,25,FALSE),0)/9)+(_xlfn.IFNA(VLOOKUP(A189,'LA Deductions'!A:AZ,26,FALSE),0))</f>
        <v>0</v>
      </c>
      <c r="DH189" s="337">
        <f t="shared" si="174"/>
        <v>192361.42602499994</v>
      </c>
      <c r="DI189" s="330">
        <f t="shared" si="217"/>
        <v>198358.81435833327</v>
      </c>
      <c r="DJ189" s="330"/>
      <c r="DK189" s="331"/>
      <c r="DL189" s="331">
        <f>_xlfn.IFNA((VLOOKUP($A189,HN!$A:$K,8,FALSE)/12),0)+_xlfn.IFNA((VLOOKUP($A189,HN!$A:$AF,32,FALSE)*8/12),0)</f>
        <v>0</v>
      </c>
      <c r="DM189" s="331">
        <f>_xlfn.IFNA((VLOOKUP($A189,HN!$A:$BS,14,FALSE)/12),0)+_xlfn.IFNA(VLOOKUP($A189,HN!$A:$BS,31,FALSE),0)</f>
        <v>0</v>
      </c>
      <c r="DN189" s="331">
        <f>_xlfn.IFNA(VLOOKUP($A189,'Post 16'!$A:$AV,32,FALSE),0)/8</f>
        <v>0</v>
      </c>
      <c r="DO189" s="331"/>
      <c r="DP189" s="331">
        <f>_xlfn.IFNA((VLOOKUP($A189,HN!$A:$K,9,FALSE)/12),0)+_xlfn.IFNA((VLOOKUP($A189,HN!$A:$K,10,FALSE)/12),0)+_xlfn.IFNA((VLOOKUP($A189,HN!$A:$BZ,33,FALSE)*8/12),0)</f>
        <v>0</v>
      </c>
      <c r="DQ189" s="331">
        <f>_xlfn.IFNA((VLOOKUP($A189,HN!$A:$BS,15,FALSE)/12),0)</f>
        <v>0</v>
      </c>
      <c r="DR189" s="330">
        <f t="shared" si="218"/>
        <v>-880.19999999999993</v>
      </c>
      <c r="DS189" s="330">
        <f t="shared" si="219"/>
        <v>-5117.1883333333335</v>
      </c>
      <c r="DT189" s="331"/>
      <c r="DU189" s="331"/>
      <c r="DV189" s="331">
        <f>(_xlfn.IFNA(VLOOKUP(A189,'LA Deductions'!A:AZ,25,FALSE),0)/9)+_xlfn.IFNA(VLOOKUP(A189,'LA Deductions'!A:AZ,27,FALSE),0)</f>
        <v>0</v>
      </c>
      <c r="DW189" s="330">
        <f t="shared" si="175"/>
        <v>192361.42602499994</v>
      </c>
      <c r="DX189" s="344">
        <f t="shared" si="220"/>
        <v>198358.81435833327</v>
      </c>
      <c r="DY189" s="344"/>
      <c r="DZ189" s="345"/>
      <c r="EA189" s="345">
        <f>_xlfn.IFNA((VLOOKUP($A189,HN!$A:$K,8,FALSE)/12),0)+_xlfn.IFNA((VLOOKUP($A189,HN!$A:$AF,32,FALSE)*1/12),0)</f>
        <v>0</v>
      </c>
      <c r="EB189" s="345">
        <f>_xlfn.IFNA((VLOOKUP($A189,HN!$A:$BS,14,FALSE)/12),0)</f>
        <v>0</v>
      </c>
      <c r="EC189" s="345">
        <f>_xlfn.IFNA(VLOOKUP($A189,'Post 16'!$A:$AV,32,FALSE),0)/8</f>
        <v>0</v>
      </c>
      <c r="ED189" s="345"/>
      <c r="EE189" s="345">
        <f>_xlfn.IFNA((VLOOKUP($A189,HN!$A:$K,9,FALSE)/12),0)+_xlfn.IFNA((VLOOKUP($A189,HN!$A:$K,10,FALSE)/12),0)+_xlfn.IFNA((VLOOKUP($A189,HN!$A:$BZ,33,FALSE)/12),0)</f>
        <v>0</v>
      </c>
      <c r="EF189" s="345">
        <f>_xlfn.IFNA((VLOOKUP($A189,HN!$A:$BS,15,FALSE)/12),0)</f>
        <v>0</v>
      </c>
      <c r="EG189" s="344">
        <f t="shared" si="221"/>
        <v>-880.19999999999993</v>
      </c>
      <c r="EH189" s="344">
        <f t="shared" si="222"/>
        <v>-5117.1883333333335</v>
      </c>
      <c r="EI189" s="345"/>
      <c r="EJ189" s="345">
        <f>_xlfn.IFNA(VLOOKUP(A189,'Cash Advances'!A:P,16,FALSE),0)</f>
        <v>0</v>
      </c>
      <c r="EK189" s="345">
        <f>_xlfn.IFNA(VLOOKUP(A189,'LA Deductions'!A:AZ,25,FALSE),0)/9</f>
        <v>0</v>
      </c>
      <c r="EL189" s="344">
        <f t="shared" si="176"/>
        <v>192361.42602499994</v>
      </c>
      <c r="EM189" s="308">
        <f t="shared" si="223"/>
        <v>198358.81435833327</v>
      </c>
      <c r="EN189" s="308">
        <f>((VLOOKUP($A189,EY!$A:$BS,35,FALSE)-(VLOOKUP($A189,EY!$A:$BS,33,FALSE)*80%))+VLOOKUP($A189,EY!$A:$BS,43,FALSE))+(VLOOKUP(A189,EY!A:DF,110,FALSE)-VLOOKUP(A189,EY!A:DD,108,FALSE))+(VLOOKUP(A189,EY!A:CE,83,FALSE)-VLOOKUP(A189,EY!A:CC,81,FALSE))</f>
        <v>0</v>
      </c>
      <c r="EO189" s="309"/>
      <c r="EP189" s="309">
        <f>_xlfn.IFNA((VLOOKUP($A189,HN!$A:$K,8,FALSE)/12),0)+_xlfn.IFNA((VLOOKUP($A189,HN!$A:$AF,32,FALSE)*1/12),0)</f>
        <v>0</v>
      </c>
      <c r="EQ189" s="309">
        <f>_xlfn.IFNA((VLOOKUP($A189,HN!$A:$BS,14,FALSE)/12),0)+_xlfn.IFNA((VLOOKUP($A189,HN!$A:$BS,34,FALSE)/3),0)</f>
        <v>0</v>
      </c>
      <c r="ER189" s="309">
        <f>_xlfn.IFNA(VLOOKUP($A189,'Post 16'!$A:$AV,32,FALSE),0)/8</f>
        <v>0</v>
      </c>
      <c r="ES189" s="309">
        <f>((VLOOKUP($A189,EY!A:EV,33,FALSE)*80%))+VLOOKUP(A189,EY!A:DD,108,FALSE)+VLOOKUP(A189,EY!A:CC,81,FALSE)</f>
        <v>0</v>
      </c>
      <c r="ET189" s="309">
        <f>_xlfn.IFNA((VLOOKUP($A189,HN!$A:$K,9,FALSE)/12),0)+_xlfn.IFNA((VLOOKUP($A189,HN!$A:$K,10,FALSE)/12),0)+_xlfn.IFNA((VLOOKUP($A189,HN!$A:$BZ,33,FALSE)/12),0)</f>
        <v>0</v>
      </c>
      <c r="EU189" s="309">
        <f>_xlfn.IFNA((VLOOKUP($A189,HN!$A:$BS,15,FALSE)/12),0)</f>
        <v>0</v>
      </c>
      <c r="EV189" s="308">
        <f t="shared" si="224"/>
        <v>-880.19999999999993</v>
      </c>
      <c r="EW189" s="308">
        <f t="shared" si="225"/>
        <v>-5117.1883333333335</v>
      </c>
      <c r="EX189" s="309"/>
      <c r="EY189" s="309">
        <f>_xlfn.IFNA(VLOOKUP($A189,'Cash Advances'!$A:$S,17,FALSE),0)</f>
        <v>0</v>
      </c>
      <c r="EZ189" s="309">
        <f>_xlfn.IFNA(VLOOKUP(A189,'LA Deductions'!A:AZ,25,FALSE),0)/9</f>
        <v>0</v>
      </c>
      <c r="FA189" s="308">
        <f t="shared" si="177"/>
        <v>192361.42602499994</v>
      </c>
      <c r="FB189" s="315">
        <f t="shared" si="226"/>
        <v>198358.81435833327</v>
      </c>
      <c r="FC189" s="315"/>
      <c r="FD189" s="316"/>
      <c r="FE189" s="316">
        <f>_xlfn.IFNA((VLOOKUP($A189,HN!$A:$K,8,FALSE)/12),0)+_xlfn.IFNA((VLOOKUP($A189,HN!$A:$AF,32,FALSE)*1/12),0)</f>
        <v>0</v>
      </c>
      <c r="FF189" s="316">
        <f>_xlfn.IFNA((VLOOKUP($A189,HN!$A:$BS,14,FALSE)/12),0)+_xlfn.IFNA((VLOOKUP($A189,HN!$A:$BS,34,FALSE)/3),0)</f>
        <v>0</v>
      </c>
      <c r="FG189" s="316">
        <f>_xlfn.IFNA(VLOOKUP($A189,'Post 16'!$A:$AV,32,FALSE),0)/8</f>
        <v>0</v>
      </c>
      <c r="FH189" s="316"/>
      <c r="FI189" s="316">
        <f>_xlfn.IFNA((VLOOKUP($A189,HN!$A:$K,9,FALSE)/12),0)+_xlfn.IFNA((VLOOKUP($A189,HN!$A:$K,10,FALSE)/12),0)+_xlfn.IFNA((VLOOKUP($A189,HN!$A:$BZ,33,FALSE)/12),0)+_xlfn.IFNA((VLOOKUP($A189,HN!$A:$BZ,35,FALSE)/2),0)</f>
        <v>0</v>
      </c>
      <c r="FJ189" s="316">
        <f>_xlfn.IFNA((VLOOKUP($A189,HN!$A:$BS,15,FALSE)/12),0)+_xlfn.IFNA((VLOOKUP($A189,HN!$A:$CZ,36,FALSE)/2),0)</f>
        <v>0</v>
      </c>
      <c r="FK189" s="315">
        <f t="shared" si="227"/>
        <v>-880.19999999999993</v>
      </c>
      <c r="FL189" s="315">
        <f t="shared" si="228"/>
        <v>-5117.1883333333335</v>
      </c>
      <c r="FM189" s="316"/>
      <c r="FN189" s="316">
        <f>_xlfn.IFNA(VLOOKUP($A189,'Cash Advances'!$A:$S,18,FALSE),0)</f>
        <v>0</v>
      </c>
      <c r="FO189" s="316">
        <f>_xlfn.IFNA(VLOOKUP(A189,'LA Deductions'!A:AZ,25,FALSE),0)/9</f>
        <v>0</v>
      </c>
      <c r="FP189" s="315">
        <f t="shared" si="178"/>
        <v>192361.42602499994</v>
      </c>
      <c r="FQ189" s="322">
        <f t="shared" si="229"/>
        <v>198358.81435833327</v>
      </c>
      <c r="FR189" s="322"/>
      <c r="FS189" s="323"/>
      <c r="FT189" s="323">
        <f>_xlfn.IFNA((VLOOKUP($A189,HN!$A:$K,8,FALSE)/12),0)+_xlfn.IFNA((VLOOKUP($A189,HN!$A:$AF,32,FALSE)*1/12),0)</f>
        <v>0</v>
      </c>
      <c r="FU189" s="323">
        <f>_xlfn.IFNA((VLOOKUP($A189,HN!$A:$BS,14,FALSE)/12),0)+_xlfn.IFNA((VLOOKUP($A189,HN!$A:$BS,34,FALSE)/3),0)</f>
        <v>0</v>
      </c>
      <c r="FV189" s="323">
        <f>_xlfn.IFNA(VLOOKUP($A189,'Post 16'!$A:$AV,32,FALSE),0)/8</f>
        <v>0</v>
      </c>
      <c r="FW189" s="323"/>
      <c r="FX189" s="323">
        <f>_xlfn.IFNA((VLOOKUP($A189,HN!$A:$K,9,FALSE)/12),0)+_xlfn.IFNA((VLOOKUP($A189,HN!$A:$K,10,FALSE)/12),0)+_xlfn.IFNA((VLOOKUP($A189,HN!$A:$BZ,33,FALSE)/12),0)+_xlfn.IFNA((VLOOKUP($A189,HN!$A:$BZ,35,FALSE)/2),0)</f>
        <v>0</v>
      </c>
      <c r="FY189" s="323">
        <f>_xlfn.IFNA((VLOOKUP($A189,HN!$A:$BS,15,FALSE)/12),0)+_xlfn.IFNA((VLOOKUP($A189,HN!$A:$CZ,36,FALSE)/2),0)</f>
        <v>0</v>
      </c>
      <c r="FZ189" s="322">
        <f t="shared" si="230"/>
        <v>-880.19999999999993</v>
      </c>
      <c r="GA189" s="322">
        <f t="shared" si="231"/>
        <v>-5117.1883333333335</v>
      </c>
      <c r="GB189" s="323"/>
      <c r="GC189" s="323"/>
      <c r="GD189" s="323">
        <f>_xlfn.IFNA(VLOOKUP(A189,'LA Deductions'!A:AZ,25,FALSE),0)/9</f>
        <v>0</v>
      </c>
      <c r="GE189" s="322">
        <f t="shared" si="179"/>
        <v>192361.42602499994</v>
      </c>
      <c r="GG189" s="146">
        <f t="shared" si="236"/>
        <v>2380305.7722999994</v>
      </c>
      <c r="GH189" s="146">
        <f t="shared" si="236"/>
        <v>0</v>
      </c>
      <c r="GI189" s="146">
        <f t="shared" si="236"/>
        <v>0</v>
      </c>
      <c r="GJ189" s="146">
        <f t="shared" si="236"/>
        <v>-10562.400000000001</v>
      </c>
      <c r="GK189" s="146">
        <f t="shared" si="236"/>
        <v>-61406.259999999987</v>
      </c>
      <c r="GL189" s="146">
        <f t="shared" si="236"/>
        <v>-9471</v>
      </c>
      <c r="GN189" s="146">
        <f t="shared" si="237"/>
        <v>2380305.7722999994</v>
      </c>
      <c r="GO189" s="146">
        <f t="shared" si="237"/>
        <v>0</v>
      </c>
      <c r="GP189" s="146">
        <f t="shared" si="237"/>
        <v>0</v>
      </c>
      <c r="GQ189" s="146">
        <f t="shared" si="237"/>
        <v>-10562.400000000001</v>
      </c>
      <c r="GR189" s="146">
        <f t="shared" si="237"/>
        <v>-61406.259999999987</v>
      </c>
      <c r="GS189" s="146">
        <f t="shared" si="237"/>
        <v>-9471</v>
      </c>
    </row>
    <row r="190" spans="1:204">
      <c r="A190" s="185">
        <v>2445</v>
      </c>
      <c r="B190" s="185">
        <v>103372</v>
      </c>
      <c r="C190" s="185" t="s">
        <v>366</v>
      </c>
      <c r="D190" s="2" t="s">
        <v>367</v>
      </c>
      <c r="E190" s="191" t="s">
        <v>32</v>
      </c>
      <c r="F190" s="191" t="s">
        <v>912</v>
      </c>
      <c r="H190" s="279">
        <f>_xlfn.IFNA(VLOOKUP($A190,ISB!$A$4:$BY$454,67,FALSE),0)</f>
        <v>1401533.544717588</v>
      </c>
      <c r="I190" s="279">
        <f>_xlfn.IFNA(VLOOKUP($A190,ISB!$A$4:$BY$454,72,FALSE),0)</f>
        <v>-5320.32</v>
      </c>
      <c r="J190" s="279">
        <f>-_xlfn.IFNA(VLOOKUP($A190,ISB!$A$4:$BY$454,76,FALSE),0)</f>
        <v>-24535.64</v>
      </c>
      <c r="K190" s="279">
        <f>_xlfn.IFNA(VLOOKUP($A190,ISB!$A$4:$BY$454,77,FALSE),0)</f>
        <v>1371677.584717588</v>
      </c>
      <c r="M190" s="301">
        <f t="shared" si="191"/>
        <v>116794.462059799</v>
      </c>
      <c r="N190" s="301">
        <f>VLOOKUP($A190,EY!$A:$H,8,FALSE)+(VLOOKUP($A190,EY!$A:$BS,17,FALSE)-S190)+VLOOKUP($A190,EY!$A:$BS,41,FALSE)</f>
        <v>0</v>
      </c>
      <c r="O190" s="302"/>
      <c r="P190" s="302">
        <f>_xlfn.IFNA((VLOOKUP($A190,HN!$A:$K,8,FALSE)/12),0)</f>
        <v>0</v>
      </c>
      <c r="Q190" s="302">
        <f>_xlfn.IFNA((VLOOKUP($A190,HN!$A:$BS,14,FALSE)/12),0)</f>
        <v>0</v>
      </c>
      <c r="R190" s="302">
        <f>_xlfn.IFNA(VLOOKUP($A190,'Post 16'!$A:$V,21,FALSE),0)/4</f>
        <v>0</v>
      </c>
      <c r="S190" s="302">
        <f>VLOOKUP($A190,EY!A:Q,15,FALSE)*80%</f>
        <v>0</v>
      </c>
      <c r="T190" s="302">
        <f>_xlfn.IFNA((VLOOKUP($A190,HN!$A:$K,9,FALSE)/12),0)+_xlfn.IFNA((VLOOKUP($A190,HN!$A:$K,10,FALSE)/12),0)</f>
        <v>0</v>
      </c>
      <c r="U190" s="302">
        <f>_xlfn.IFNA((VLOOKUP($A190,HN!$A:$BS,15,FALSE)/12),0)</f>
        <v>0</v>
      </c>
      <c r="V190" s="301">
        <f t="shared" si="192"/>
        <v>-443.35999999999996</v>
      </c>
      <c r="W190" s="301">
        <f t="shared" si="193"/>
        <v>-2044.6366666666665</v>
      </c>
      <c r="X190" s="302"/>
      <c r="Y190" s="302">
        <f>_xlfn.IFNA(VLOOKUP($A190,'Cash Advances'!$A:$S,8,FALSE),0)</f>
        <v>0</v>
      </c>
      <c r="Z190" s="301">
        <f t="shared" si="194"/>
        <v>114306.46539313233</v>
      </c>
      <c r="AA190" s="315">
        <f t="shared" si="195"/>
        <v>116794.462059799</v>
      </c>
      <c r="AB190" s="315"/>
      <c r="AC190" s="316"/>
      <c r="AD190" s="316">
        <f>_xlfn.IFNA((VLOOKUP($A190,HN!$A:$K,8,FALSE)/12),0)</f>
        <v>0</v>
      </c>
      <c r="AE190" s="316">
        <f>_xlfn.IFNA((VLOOKUP($A190,HN!$A:$BS,14,FALSE)/12),0)</f>
        <v>0</v>
      </c>
      <c r="AF190" s="316">
        <f>_xlfn.IFNA(VLOOKUP($A190,'Post 16'!$A:$V,21,FALSE),0)/4</f>
        <v>0</v>
      </c>
      <c r="AG190" s="316"/>
      <c r="AH190" s="316">
        <f>_xlfn.IFNA((VLOOKUP($A190,HN!$A:$K,9,FALSE)/12),0)+_xlfn.IFNA((VLOOKUP($A190,HN!$A:$K,10,FALSE)/12),0)</f>
        <v>0</v>
      </c>
      <c r="AI190" s="316">
        <f>_xlfn.IFNA((VLOOKUP($A190,HN!$A:$BS,15,FALSE)/12),0)</f>
        <v>0</v>
      </c>
      <c r="AJ190" s="315">
        <f t="shared" si="196"/>
        <v>-443.35999999999996</v>
      </c>
      <c r="AK190" s="315">
        <f t="shared" si="197"/>
        <v>-2044.6366666666665</v>
      </c>
      <c r="AL190" s="316"/>
      <c r="AM190" s="316">
        <f>_xlfn.IFNA(VLOOKUP($A190,'Cash Advances'!$A:$S,9,FALSE),0)</f>
        <v>0</v>
      </c>
      <c r="AN190" s="315">
        <f t="shared" si="198"/>
        <v>114306.46539313233</v>
      </c>
      <c r="AO190" s="308">
        <f t="shared" si="199"/>
        <v>116794.462059799</v>
      </c>
      <c r="AP190" s="308"/>
      <c r="AQ190" s="309"/>
      <c r="AR190" s="309">
        <f>_xlfn.IFNA((VLOOKUP($A190,HN!$A:$K,8,FALSE)/12),0)</f>
        <v>0</v>
      </c>
      <c r="AS190" s="309">
        <f>_xlfn.IFNA((VLOOKUP($A190,HN!$A:$BS,14,FALSE)/12),0)</f>
        <v>0</v>
      </c>
      <c r="AT190" s="309">
        <f>_xlfn.IFNA(VLOOKUP($A190,'Post 16'!$A:$V,21,FALSE),0)/4</f>
        <v>0</v>
      </c>
      <c r="AU190" s="309"/>
      <c r="AV190" s="309">
        <f>_xlfn.IFNA((VLOOKUP($A190,HN!$A:$K,9,FALSE)/12),0)+_xlfn.IFNA((VLOOKUP($A190,HN!$A:$K,10,FALSE)/12),0)+_xlfn.IFNA(VLOOKUP(A190,HN!A:V,19,FALSE),0)+_xlfn.IFNA(VLOOKUP(A190,HN!A:V,20,FALSE),0)+_xlfn.IFNA(VLOOKUP(A190,HN!A:V,21,FALSE),0)</f>
        <v>0</v>
      </c>
      <c r="AW190" s="309">
        <f>_xlfn.IFNA((VLOOKUP($A190,HN!$A:$BS,15,FALSE)/12),0)</f>
        <v>0</v>
      </c>
      <c r="AX190" s="308">
        <f t="shared" si="200"/>
        <v>-443.35999999999996</v>
      </c>
      <c r="AY190" s="308">
        <f t="shared" si="201"/>
        <v>-2044.6366666666665</v>
      </c>
      <c r="AZ190" s="309"/>
      <c r="BA190" s="309">
        <f>_xlfn.IFNA(VLOOKUP($A190,'Cash Advances'!$A:$S,10,FALSE),0)</f>
        <v>0</v>
      </c>
      <c r="BB190" s="308">
        <f t="shared" si="202"/>
        <v>114306.46539313233</v>
      </c>
      <c r="BC190" s="330">
        <f t="shared" si="203"/>
        <v>116794.462059799</v>
      </c>
      <c r="BD190" s="330"/>
      <c r="BE190" s="331"/>
      <c r="BF190" s="331">
        <f>_xlfn.IFNA((VLOOKUP($A190,HN!$A:$K,8,FALSE)/12),0)</f>
        <v>0</v>
      </c>
      <c r="BG190" s="331">
        <f>_xlfn.IFNA((VLOOKUP($A190,HN!$A:$BS,14,FALSE)/12),0)</f>
        <v>0</v>
      </c>
      <c r="BH190" s="331">
        <f>_xlfn.IFNA(VLOOKUP($A190,'Post 16'!$A:$V,21,FALSE),0)/4</f>
        <v>0</v>
      </c>
      <c r="BI190" s="331"/>
      <c r="BJ190" s="331">
        <f>_xlfn.IFNA((VLOOKUP($A190,HN!$A:$K,9,FALSE)/12),0)+_xlfn.IFNA((VLOOKUP($A190,HN!$A:$K,10,FALSE)/12),0)</f>
        <v>0</v>
      </c>
      <c r="BK190" s="331">
        <f>_xlfn.IFNA((VLOOKUP($A190,HN!$A:$BS,15,FALSE)/12),0)</f>
        <v>0</v>
      </c>
      <c r="BL190" s="330">
        <f t="shared" si="204"/>
        <v>-443.35999999999996</v>
      </c>
      <c r="BM190" s="330">
        <f t="shared" si="205"/>
        <v>-2044.6366666666665</v>
      </c>
      <c r="BN190" s="331"/>
      <c r="BO190" s="331">
        <f>_xlfn.IFNA(VLOOKUP(A190,'Cash Advances'!A:K,11,FALSE),0)</f>
        <v>0</v>
      </c>
      <c r="BP190" s="330">
        <f t="shared" si="206"/>
        <v>114306.46539313233</v>
      </c>
      <c r="BQ190" s="322">
        <f t="shared" si="207"/>
        <v>116794.462059799</v>
      </c>
      <c r="BR190" s="322"/>
      <c r="BS190" s="323"/>
      <c r="BT190" s="323">
        <f>_xlfn.IFNA((VLOOKUP($A190,HN!$A:$K,8,FALSE)/12),0)</f>
        <v>0</v>
      </c>
      <c r="BU190" s="323">
        <f>_xlfn.IFNA((VLOOKUP($A190,HN!$A:$BS,14,FALSE)/12),0)</f>
        <v>0</v>
      </c>
      <c r="BV190" s="323">
        <f>(_xlfn.IFNA(VLOOKUP($A190,'Post 16'!$A:$AV,32,FALSE),0)/8)+_xlfn.IFNA(VLOOKUP($A190,'Post 16'!$A:$AR,40,FALSE),0)</f>
        <v>0</v>
      </c>
      <c r="BW190" s="323"/>
      <c r="BX190" s="323">
        <f>_xlfn.IFNA((VLOOKUP($A190,HN!$A:$K,9,FALSE)/12),0)+_xlfn.IFNA((VLOOKUP($A190,HN!$A:$K,10,FALSE)/12),0)</f>
        <v>0</v>
      </c>
      <c r="BY190" s="323">
        <f>_xlfn.IFNA((VLOOKUP($A190,HN!$A:$BS,15,FALSE)/12),0)</f>
        <v>0</v>
      </c>
      <c r="BZ190" s="322">
        <f t="shared" si="208"/>
        <v>-443.35999999999996</v>
      </c>
      <c r="CA190" s="322">
        <f t="shared" si="209"/>
        <v>-2044.6366666666665</v>
      </c>
      <c r="CB190" s="323"/>
      <c r="CC190" s="323"/>
      <c r="CD190" s="322">
        <f t="shared" si="210"/>
        <v>114306.46539313233</v>
      </c>
      <c r="CE190" s="357">
        <f t="shared" si="211"/>
        <v>116794.462059799</v>
      </c>
      <c r="CF190" s="357">
        <f>(VLOOKUP($A190,EY!$A:$BS,26,FALSE)-(VLOOKUP($A190,EY!A:CR,24,FALSE)*80%))+VLOOKUP($A190,EY!$A:$BS,42,FALSE)+(VLOOKUP($A190,EY!A:CC,74,FALSE)-VLOOKUP($A190,EY!A:CC,72,FALSE))</f>
        <v>0</v>
      </c>
      <c r="CG190" s="358"/>
      <c r="CH190" s="358">
        <f>_xlfn.IFNA((VLOOKUP($A190,HN!$A:$K,8,FALSE)/12),0)</f>
        <v>0</v>
      </c>
      <c r="CI190" s="358">
        <f>_xlfn.IFNA((VLOOKUP($A190,HN!$A:$BS,14,FALSE)/12),0)</f>
        <v>0</v>
      </c>
      <c r="CJ190" s="358">
        <f>(_xlfn.IFNA(VLOOKUP($A190,'Post 16'!$A:$AV,32,FALSE),0)/8)</f>
        <v>0</v>
      </c>
      <c r="CK190" s="358">
        <f>(VLOOKUP($A190,EY!A:CR,24,FALSE)*80%)+VLOOKUP($A190,EY!A:CC,72,FALSE)</f>
        <v>0</v>
      </c>
      <c r="CL190" s="358">
        <f>_xlfn.IFNA((VLOOKUP($A190,HN!$A:$K,9,FALSE)/12),0)+_xlfn.IFNA((VLOOKUP($A190,HN!$A:$K,10,FALSE)/12),0)</f>
        <v>0</v>
      </c>
      <c r="CM190" s="358">
        <f>_xlfn.IFNA((VLOOKUP($A190,HN!$A:$BS,15,FALSE)/12),0)</f>
        <v>0</v>
      </c>
      <c r="CN190" s="357">
        <f t="shared" si="212"/>
        <v>-443.35999999999996</v>
      </c>
      <c r="CO190" s="357">
        <f t="shared" si="213"/>
        <v>-2044.6366666666665</v>
      </c>
      <c r="CP190" s="358">
        <f>_xlfn.IFNA(VLOOKUP(A190,'LA Deductions'!A:W,23,FALSE),0)</f>
        <v>-5139.75</v>
      </c>
      <c r="CQ190" s="358">
        <f>_xlfn.IFNA(VLOOKUP($A190,'Cash Advances'!$A:$S,13,FALSE),0)</f>
        <v>0</v>
      </c>
      <c r="CR190" s="358">
        <f>_xlfn.IFNA(VLOOKUP(A190,'LA Deductions'!A:AZ,25,FALSE),0)/9*3</f>
        <v>0</v>
      </c>
      <c r="CS190" s="357">
        <f t="shared" si="173"/>
        <v>109166.71539313233</v>
      </c>
      <c r="CT190" s="337">
        <f t="shared" si="214"/>
        <v>116794.462059799</v>
      </c>
      <c r="CU190" s="337"/>
      <c r="CV190" s="338">
        <f>_xlfn.IFNA(VLOOKUP(A190,'LA Deductions'!$A$6:$AN$207,34,FALSE),0)</f>
        <v>0</v>
      </c>
      <c r="CW190" s="338">
        <f>_xlfn.IFNA((VLOOKUP($A190,HN!$A:$K,8,FALSE)/12),0)</f>
        <v>0</v>
      </c>
      <c r="CX190" s="338">
        <f>_xlfn.IFNA((VLOOKUP($A190,HN!$A:$BS,14,FALSE)/12),0)</f>
        <v>0</v>
      </c>
      <c r="CY190" s="338">
        <f>_xlfn.IFNA(VLOOKUP($A190,'Post 16'!$A:$AV,32,FALSE),0)/8</f>
        <v>0</v>
      </c>
      <c r="CZ190" s="338"/>
      <c r="DA190" s="338">
        <f>_xlfn.IFNA((VLOOKUP($A190,HN!$A:$K,9,FALSE)/12),0)+_xlfn.IFNA((VLOOKUP($A190,HN!$A:$K,10,FALSE)/12),0)</f>
        <v>0</v>
      </c>
      <c r="DB190" s="338">
        <f>_xlfn.IFNA((VLOOKUP($A190,HN!$A:$BS,15,FALSE)/12),0)</f>
        <v>0</v>
      </c>
      <c r="DC190" s="337">
        <f t="shared" si="215"/>
        <v>-443.35999999999996</v>
      </c>
      <c r="DD190" s="337">
        <f t="shared" si="216"/>
        <v>-2044.6366666666665</v>
      </c>
      <c r="DE190" s="338"/>
      <c r="DF190" s="338">
        <f>_xlfn.IFNA(VLOOKUP($A190,'Cash Advances'!$A:$S,14,FALSE),0)</f>
        <v>0</v>
      </c>
      <c r="DG190" s="338">
        <f>(_xlfn.IFNA(VLOOKUP(A190,'LA Deductions'!A:AZ,25,FALSE),0)/9)+(_xlfn.IFNA(VLOOKUP(A190,'LA Deductions'!A:AZ,26,FALSE),0))</f>
        <v>0</v>
      </c>
      <c r="DH190" s="337">
        <f t="shared" si="174"/>
        <v>114306.46539313233</v>
      </c>
      <c r="DI190" s="330">
        <f t="shared" si="217"/>
        <v>116794.462059799</v>
      </c>
      <c r="DJ190" s="330"/>
      <c r="DK190" s="331"/>
      <c r="DL190" s="331">
        <f>_xlfn.IFNA((VLOOKUP($A190,HN!$A:$K,8,FALSE)/12),0)+_xlfn.IFNA((VLOOKUP($A190,HN!$A:$AF,32,FALSE)*8/12),0)</f>
        <v>0</v>
      </c>
      <c r="DM190" s="331">
        <f>_xlfn.IFNA((VLOOKUP($A190,HN!$A:$BS,14,FALSE)/12),0)+_xlfn.IFNA(VLOOKUP($A190,HN!$A:$BS,31,FALSE),0)</f>
        <v>0</v>
      </c>
      <c r="DN190" s="331">
        <f>_xlfn.IFNA(VLOOKUP($A190,'Post 16'!$A:$AV,32,FALSE),0)/8</f>
        <v>0</v>
      </c>
      <c r="DO190" s="331"/>
      <c r="DP190" s="331">
        <f>_xlfn.IFNA((VLOOKUP($A190,HN!$A:$K,9,FALSE)/12),0)+_xlfn.IFNA((VLOOKUP($A190,HN!$A:$K,10,FALSE)/12),0)+_xlfn.IFNA((VLOOKUP($A190,HN!$A:$BZ,33,FALSE)*8/12),0)</f>
        <v>0</v>
      </c>
      <c r="DQ190" s="331">
        <f>_xlfn.IFNA((VLOOKUP($A190,HN!$A:$BS,15,FALSE)/12),0)</f>
        <v>0</v>
      </c>
      <c r="DR190" s="330">
        <f t="shared" si="218"/>
        <v>-443.35999999999996</v>
      </c>
      <c r="DS190" s="330">
        <f t="shared" si="219"/>
        <v>-2044.6366666666665</v>
      </c>
      <c r="DT190" s="331"/>
      <c r="DU190" s="331"/>
      <c r="DV190" s="331">
        <f>(_xlfn.IFNA(VLOOKUP(A190,'LA Deductions'!A:AZ,25,FALSE),0)/9)+_xlfn.IFNA(VLOOKUP(A190,'LA Deductions'!A:AZ,27,FALSE),0)</f>
        <v>0</v>
      </c>
      <c r="DW190" s="330">
        <f t="shared" si="175"/>
        <v>114306.46539313233</v>
      </c>
      <c r="DX190" s="344">
        <f t="shared" si="220"/>
        <v>116794.462059799</v>
      </c>
      <c r="DY190" s="344"/>
      <c r="DZ190" s="345"/>
      <c r="EA190" s="345">
        <f>_xlfn.IFNA((VLOOKUP($A190,HN!$A:$K,8,FALSE)/12),0)+_xlfn.IFNA((VLOOKUP($A190,HN!$A:$AF,32,FALSE)*1/12),0)</f>
        <v>0</v>
      </c>
      <c r="EB190" s="345">
        <f>_xlfn.IFNA((VLOOKUP($A190,HN!$A:$BS,14,FALSE)/12),0)</f>
        <v>0</v>
      </c>
      <c r="EC190" s="345">
        <f>_xlfn.IFNA(VLOOKUP($A190,'Post 16'!$A:$AV,32,FALSE),0)/8</f>
        <v>0</v>
      </c>
      <c r="ED190" s="345"/>
      <c r="EE190" s="345">
        <f>_xlfn.IFNA((VLOOKUP($A190,HN!$A:$K,9,FALSE)/12),0)+_xlfn.IFNA((VLOOKUP($A190,HN!$A:$K,10,FALSE)/12),0)+_xlfn.IFNA((VLOOKUP($A190,HN!$A:$BZ,33,FALSE)/12),0)</f>
        <v>0</v>
      </c>
      <c r="EF190" s="345">
        <f>_xlfn.IFNA((VLOOKUP($A190,HN!$A:$BS,15,FALSE)/12),0)</f>
        <v>0</v>
      </c>
      <c r="EG190" s="344">
        <f t="shared" si="221"/>
        <v>-443.35999999999996</v>
      </c>
      <c r="EH190" s="344">
        <f t="shared" si="222"/>
        <v>-2044.6366666666665</v>
      </c>
      <c r="EI190" s="345"/>
      <c r="EJ190" s="345">
        <f>_xlfn.IFNA(VLOOKUP(A190,'Cash Advances'!A:P,16,FALSE),0)</f>
        <v>0</v>
      </c>
      <c r="EK190" s="345">
        <f>_xlfn.IFNA(VLOOKUP(A190,'LA Deductions'!A:AZ,25,FALSE),0)/9</f>
        <v>0</v>
      </c>
      <c r="EL190" s="344">
        <f t="shared" si="176"/>
        <v>114306.46539313233</v>
      </c>
      <c r="EM190" s="308">
        <f t="shared" si="223"/>
        <v>116794.462059799</v>
      </c>
      <c r="EN190" s="308">
        <f>((VLOOKUP($A190,EY!$A:$BS,35,FALSE)-(VLOOKUP($A190,EY!$A:$BS,33,FALSE)*80%))+VLOOKUP($A190,EY!$A:$BS,43,FALSE))+(VLOOKUP(A190,EY!A:DF,110,FALSE)-VLOOKUP(A190,EY!A:DD,108,FALSE))+(VLOOKUP(A190,EY!A:CE,83,FALSE)-VLOOKUP(A190,EY!A:CC,81,FALSE))</f>
        <v>0</v>
      </c>
      <c r="EO190" s="309"/>
      <c r="EP190" s="309">
        <f>_xlfn.IFNA((VLOOKUP($A190,HN!$A:$K,8,FALSE)/12),0)+_xlfn.IFNA((VLOOKUP($A190,HN!$A:$AF,32,FALSE)*1/12),0)</f>
        <v>0</v>
      </c>
      <c r="EQ190" s="309">
        <f>_xlfn.IFNA((VLOOKUP($A190,HN!$A:$BS,14,FALSE)/12),0)+_xlfn.IFNA((VLOOKUP($A190,HN!$A:$BS,34,FALSE)/3),0)</f>
        <v>0</v>
      </c>
      <c r="ER190" s="309">
        <f>_xlfn.IFNA(VLOOKUP($A190,'Post 16'!$A:$AV,32,FALSE),0)/8</f>
        <v>0</v>
      </c>
      <c r="ES190" s="309">
        <f>((VLOOKUP($A190,EY!A:EV,33,FALSE)*80%))+VLOOKUP(A190,EY!A:DD,108,FALSE)+VLOOKUP(A190,EY!A:CC,81,FALSE)</f>
        <v>0</v>
      </c>
      <c r="ET190" s="309">
        <f>_xlfn.IFNA((VLOOKUP($A190,HN!$A:$K,9,FALSE)/12),0)+_xlfn.IFNA((VLOOKUP($A190,HN!$A:$K,10,FALSE)/12),0)+_xlfn.IFNA((VLOOKUP($A190,HN!$A:$BZ,33,FALSE)/12),0)</f>
        <v>0</v>
      </c>
      <c r="EU190" s="309">
        <f>_xlfn.IFNA((VLOOKUP($A190,HN!$A:$BS,15,FALSE)/12),0)</f>
        <v>0</v>
      </c>
      <c r="EV190" s="308">
        <f t="shared" si="224"/>
        <v>-443.35999999999996</v>
      </c>
      <c r="EW190" s="308">
        <f t="shared" si="225"/>
        <v>-2044.6366666666665</v>
      </c>
      <c r="EX190" s="309"/>
      <c r="EY190" s="309">
        <f>_xlfn.IFNA(VLOOKUP($A190,'Cash Advances'!$A:$S,17,FALSE),0)</f>
        <v>0</v>
      </c>
      <c r="EZ190" s="309">
        <f>_xlfn.IFNA(VLOOKUP(A190,'LA Deductions'!A:AZ,25,FALSE),0)/9</f>
        <v>0</v>
      </c>
      <c r="FA190" s="308">
        <f t="shared" si="177"/>
        <v>114306.46539313233</v>
      </c>
      <c r="FB190" s="315">
        <f t="shared" si="226"/>
        <v>116794.462059799</v>
      </c>
      <c r="FC190" s="315"/>
      <c r="FD190" s="316"/>
      <c r="FE190" s="316">
        <f>_xlfn.IFNA((VLOOKUP($A190,HN!$A:$K,8,FALSE)/12),0)+_xlfn.IFNA((VLOOKUP($A190,HN!$A:$AF,32,FALSE)*1/12),0)</f>
        <v>0</v>
      </c>
      <c r="FF190" s="316">
        <f>_xlfn.IFNA((VLOOKUP($A190,HN!$A:$BS,14,FALSE)/12),0)+_xlfn.IFNA((VLOOKUP($A190,HN!$A:$BS,34,FALSE)/3),0)</f>
        <v>0</v>
      </c>
      <c r="FG190" s="316">
        <f>_xlfn.IFNA(VLOOKUP($A190,'Post 16'!$A:$AV,32,FALSE),0)/8</f>
        <v>0</v>
      </c>
      <c r="FH190" s="316"/>
      <c r="FI190" s="316">
        <f>_xlfn.IFNA((VLOOKUP($A190,HN!$A:$K,9,FALSE)/12),0)+_xlfn.IFNA((VLOOKUP($A190,HN!$A:$K,10,FALSE)/12),0)+_xlfn.IFNA((VLOOKUP($A190,HN!$A:$BZ,33,FALSE)/12),0)+_xlfn.IFNA((VLOOKUP($A190,HN!$A:$BZ,35,FALSE)/2),0)</f>
        <v>0</v>
      </c>
      <c r="FJ190" s="316">
        <f>_xlfn.IFNA((VLOOKUP($A190,HN!$A:$BS,15,FALSE)/12),0)+_xlfn.IFNA((VLOOKUP($A190,HN!$A:$CZ,36,FALSE)/2),0)</f>
        <v>0</v>
      </c>
      <c r="FK190" s="315">
        <f t="shared" si="227"/>
        <v>-443.35999999999996</v>
      </c>
      <c r="FL190" s="315">
        <f t="shared" si="228"/>
        <v>-2044.6366666666665</v>
      </c>
      <c r="FM190" s="316"/>
      <c r="FN190" s="316">
        <f>_xlfn.IFNA(VLOOKUP($A190,'Cash Advances'!$A:$S,18,FALSE),0)</f>
        <v>0</v>
      </c>
      <c r="FO190" s="316">
        <f>_xlfn.IFNA(VLOOKUP(A190,'LA Deductions'!A:AZ,25,FALSE),0)/9</f>
        <v>0</v>
      </c>
      <c r="FP190" s="315">
        <f t="shared" si="178"/>
        <v>114306.46539313233</v>
      </c>
      <c r="FQ190" s="322">
        <f t="shared" si="229"/>
        <v>116794.462059799</v>
      </c>
      <c r="FR190" s="322"/>
      <c r="FS190" s="323"/>
      <c r="FT190" s="323">
        <f>_xlfn.IFNA((VLOOKUP($A190,HN!$A:$K,8,FALSE)/12),0)+_xlfn.IFNA((VLOOKUP($A190,HN!$A:$AF,32,FALSE)*1/12),0)</f>
        <v>0</v>
      </c>
      <c r="FU190" s="323">
        <f>_xlfn.IFNA((VLOOKUP($A190,HN!$A:$BS,14,FALSE)/12),0)+_xlfn.IFNA((VLOOKUP($A190,HN!$A:$BS,34,FALSE)/3),0)</f>
        <v>0</v>
      </c>
      <c r="FV190" s="323">
        <f>_xlfn.IFNA(VLOOKUP($A190,'Post 16'!$A:$AV,32,FALSE),0)/8</f>
        <v>0</v>
      </c>
      <c r="FW190" s="323"/>
      <c r="FX190" s="323">
        <f>_xlfn.IFNA((VLOOKUP($A190,HN!$A:$K,9,FALSE)/12),0)+_xlfn.IFNA((VLOOKUP($A190,HN!$A:$K,10,FALSE)/12),0)+_xlfn.IFNA((VLOOKUP($A190,HN!$A:$BZ,33,FALSE)/12),0)+_xlfn.IFNA((VLOOKUP($A190,HN!$A:$BZ,35,FALSE)/2),0)</f>
        <v>0</v>
      </c>
      <c r="FY190" s="323">
        <f>_xlfn.IFNA((VLOOKUP($A190,HN!$A:$BS,15,FALSE)/12),0)+_xlfn.IFNA((VLOOKUP($A190,HN!$A:$CZ,36,FALSE)/2),0)</f>
        <v>0</v>
      </c>
      <c r="FZ190" s="322">
        <f t="shared" si="230"/>
        <v>-443.35999999999996</v>
      </c>
      <c r="GA190" s="322">
        <f t="shared" si="231"/>
        <v>-2044.6366666666665</v>
      </c>
      <c r="GB190" s="323"/>
      <c r="GC190" s="323"/>
      <c r="GD190" s="323">
        <f>_xlfn.IFNA(VLOOKUP(A190,'LA Deductions'!A:AZ,25,FALSE),0)/9</f>
        <v>0</v>
      </c>
      <c r="GE190" s="322">
        <f t="shared" si="179"/>
        <v>114306.46539313233</v>
      </c>
      <c r="GG190" s="146">
        <f t="shared" si="236"/>
        <v>1401533.5447175885</v>
      </c>
      <c r="GH190" s="146">
        <f t="shared" si="236"/>
        <v>0</v>
      </c>
      <c r="GI190" s="146">
        <f t="shared" si="236"/>
        <v>0</v>
      </c>
      <c r="GJ190" s="146">
        <f t="shared" si="236"/>
        <v>-5320.32</v>
      </c>
      <c r="GK190" s="146">
        <f t="shared" si="236"/>
        <v>-24535.639999999996</v>
      </c>
      <c r="GL190" s="146">
        <f t="shared" si="236"/>
        <v>-5139.75</v>
      </c>
      <c r="GN190" s="146">
        <f t="shared" si="237"/>
        <v>1401533.5447175885</v>
      </c>
      <c r="GO190" s="146">
        <f t="shared" si="237"/>
        <v>0</v>
      </c>
      <c r="GP190" s="146">
        <f t="shared" si="237"/>
        <v>0</v>
      </c>
      <c r="GQ190" s="146">
        <f t="shared" si="237"/>
        <v>-5320.32</v>
      </c>
      <c r="GR190" s="146">
        <f t="shared" si="237"/>
        <v>-24535.639999999996</v>
      </c>
      <c r="GS190" s="146">
        <f t="shared" si="237"/>
        <v>-5139.75</v>
      </c>
      <c r="GU190" s="146"/>
      <c r="GV190" s="57"/>
    </row>
    <row r="191" spans="1:204">
      <c r="A191" s="185">
        <v>7052</v>
      </c>
      <c r="B191" s="185">
        <v>103627</v>
      </c>
      <c r="C191" s="185" t="s">
        <v>370</v>
      </c>
      <c r="D191" s="2" t="s">
        <v>371</v>
      </c>
      <c r="E191" s="191" t="s">
        <v>47</v>
      </c>
      <c r="F191" s="191" t="s">
        <v>912</v>
      </c>
      <c r="H191" s="279">
        <f>_xlfn.IFNA(VLOOKUP($A191,ISB!$A$4:$BY$454,67,FALSE),0)</f>
        <v>0</v>
      </c>
      <c r="I191" s="279">
        <f>_xlfn.IFNA(VLOOKUP($A191,ISB!$A$4:$BY$454,72,FALSE),0)</f>
        <v>0</v>
      </c>
      <c r="J191" s="279">
        <f>-_xlfn.IFNA(VLOOKUP($A191,ISB!$A$4:$BY$454,76,FALSE),0)</f>
        <v>0</v>
      </c>
      <c r="K191" s="279">
        <f>_xlfn.IFNA(VLOOKUP($A191,ISB!$A$4:$BY$454,77,FALSE),0)</f>
        <v>0</v>
      </c>
      <c r="M191" s="301">
        <f t="shared" si="137"/>
        <v>0</v>
      </c>
      <c r="N191" s="301">
        <f>VLOOKUP($A191,EY!$A:$H,8,FALSE)+(VLOOKUP($A191,EY!$A:$BS,17,FALSE)-S191)+VLOOKUP($A191,EY!$A:$BS,41,FALSE)</f>
        <v>0</v>
      </c>
      <c r="O191" s="302"/>
      <c r="P191" s="302">
        <f>_xlfn.IFNA((VLOOKUP($A191,HN!$A:$K,8,FALSE)/12),0)</f>
        <v>86597.5</v>
      </c>
      <c r="Q191" s="302">
        <f>_xlfn.IFNA((VLOOKUP($A191,HN!$A:$BS,14,FALSE)/12),0)</f>
        <v>0</v>
      </c>
      <c r="R191" s="302">
        <f>_xlfn.IFNA(VLOOKUP($A191,'Post 16'!$A:$V,21,FALSE),0)/4</f>
        <v>0</v>
      </c>
      <c r="S191" s="302">
        <f>VLOOKUP($A191,EY!A:Q,15,FALSE)*80%</f>
        <v>0</v>
      </c>
      <c r="T191" s="302">
        <f>_xlfn.IFNA((VLOOKUP($A191,HN!$A:$K,9,FALSE)/12),0)+_xlfn.IFNA((VLOOKUP($A191,HN!$A:$K,10,FALSE)/12),0)</f>
        <v>85846.691693277899</v>
      </c>
      <c r="U191" s="302">
        <f>_xlfn.IFNA((VLOOKUP($A191,HN!$A:$BS,15,FALSE)/12),0)</f>
        <v>0</v>
      </c>
      <c r="V191" s="301">
        <f t="shared" si="138"/>
        <v>0</v>
      </c>
      <c r="W191" s="301">
        <f t="shared" si="139"/>
        <v>0</v>
      </c>
      <c r="X191" s="302"/>
      <c r="Y191" s="302">
        <f>_xlfn.IFNA(VLOOKUP($A191,'Cash Advances'!$A:$S,8,FALSE),0)</f>
        <v>0</v>
      </c>
      <c r="Z191" s="301">
        <f t="shared" si="186"/>
        <v>172444.19169327791</v>
      </c>
      <c r="AA191" s="315">
        <f t="shared" si="140"/>
        <v>0</v>
      </c>
      <c r="AB191" s="315"/>
      <c r="AC191" s="316"/>
      <c r="AD191" s="316">
        <f>_xlfn.IFNA((VLOOKUP($A191,HN!$A:$K,8,FALSE)/12),0)</f>
        <v>86597.5</v>
      </c>
      <c r="AE191" s="316">
        <f>_xlfn.IFNA((VLOOKUP($A191,HN!$A:$BS,14,FALSE)/12),0)</f>
        <v>0</v>
      </c>
      <c r="AF191" s="316">
        <f>_xlfn.IFNA(VLOOKUP($A191,'Post 16'!$A:$V,21,FALSE),0)/4</f>
        <v>0</v>
      </c>
      <c r="AG191" s="316"/>
      <c r="AH191" s="316">
        <f>_xlfn.IFNA((VLOOKUP($A191,HN!$A:$K,9,FALSE)/12),0)+_xlfn.IFNA((VLOOKUP($A191,HN!$A:$K,10,FALSE)/12),0)</f>
        <v>85846.691693277899</v>
      </c>
      <c r="AI191" s="316">
        <f>_xlfn.IFNA((VLOOKUP($A191,HN!$A:$BS,15,FALSE)/12),0)</f>
        <v>0</v>
      </c>
      <c r="AJ191" s="315">
        <f t="shared" si="141"/>
        <v>0</v>
      </c>
      <c r="AK191" s="315">
        <f t="shared" si="142"/>
        <v>0</v>
      </c>
      <c r="AL191" s="316"/>
      <c r="AM191" s="316">
        <f>_xlfn.IFNA(VLOOKUP($A191,'Cash Advances'!$A:$S,9,FALSE),0)</f>
        <v>0</v>
      </c>
      <c r="AN191" s="315">
        <f t="shared" si="187"/>
        <v>172444.19169327791</v>
      </c>
      <c r="AO191" s="308">
        <f t="shared" si="143"/>
        <v>0</v>
      </c>
      <c r="AP191" s="308"/>
      <c r="AQ191" s="309"/>
      <c r="AR191" s="309">
        <f>_xlfn.IFNA((VLOOKUP($A191,HN!$A:$K,8,FALSE)/12),0)</f>
        <v>86597.5</v>
      </c>
      <c r="AS191" s="309">
        <f>_xlfn.IFNA((VLOOKUP($A191,HN!$A:$BS,14,FALSE)/12),0)</f>
        <v>0</v>
      </c>
      <c r="AT191" s="309">
        <f>_xlfn.IFNA(VLOOKUP($A191,'Post 16'!$A:$V,21,FALSE),0)/4</f>
        <v>0</v>
      </c>
      <c r="AU191" s="309"/>
      <c r="AV191" s="309">
        <f>_xlfn.IFNA((VLOOKUP($A191,HN!$A:$K,9,FALSE)/12),0)+_xlfn.IFNA((VLOOKUP($A191,HN!$A:$K,10,FALSE)/12),0)+_xlfn.IFNA(VLOOKUP(A191,HN!A:V,19,FALSE),0)+_xlfn.IFNA(VLOOKUP(A191,HN!A:V,20,FALSE),0)+_xlfn.IFNA(VLOOKUP(A191,HN!A:V,21,FALSE),0)</f>
        <v>429086.61477020115</v>
      </c>
      <c r="AW191" s="309">
        <f>_xlfn.IFNA((VLOOKUP($A191,HN!$A:$BS,15,FALSE)/12),0)</f>
        <v>0</v>
      </c>
      <c r="AX191" s="308">
        <f t="shared" si="144"/>
        <v>0</v>
      </c>
      <c r="AY191" s="308">
        <f t="shared" si="145"/>
        <v>0</v>
      </c>
      <c r="AZ191" s="309"/>
      <c r="BA191" s="309">
        <f>_xlfn.IFNA(VLOOKUP($A191,'Cash Advances'!$A:$S,10,FALSE),0)</f>
        <v>0</v>
      </c>
      <c r="BB191" s="308">
        <f t="shared" si="188"/>
        <v>515684.11477020115</v>
      </c>
      <c r="BC191" s="330">
        <f t="shared" si="146"/>
        <v>0</v>
      </c>
      <c r="BD191" s="330"/>
      <c r="BE191" s="331"/>
      <c r="BF191" s="331">
        <f>_xlfn.IFNA((VLOOKUP($A191,HN!$A:$K,8,FALSE)/12),0)</f>
        <v>86597.5</v>
      </c>
      <c r="BG191" s="331">
        <f>_xlfn.IFNA((VLOOKUP($A191,HN!$A:$BS,14,FALSE)/12),0)</f>
        <v>0</v>
      </c>
      <c r="BH191" s="331">
        <f>_xlfn.IFNA(VLOOKUP($A191,'Post 16'!$A:$V,21,FALSE),0)/4</f>
        <v>0</v>
      </c>
      <c r="BI191" s="331"/>
      <c r="BJ191" s="331">
        <f>_xlfn.IFNA((VLOOKUP($A191,HN!$A:$K,9,FALSE)/12),0)+_xlfn.IFNA((VLOOKUP($A191,HN!$A:$K,10,FALSE)/12),0)</f>
        <v>85846.691693277899</v>
      </c>
      <c r="BK191" s="331">
        <f>_xlfn.IFNA((VLOOKUP($A191,HN!$A:$BS,15,FALSE)/12),0)</f>
        <v>0</v>
      </c>
      <c r="BL191" s="330">
        <f t="shared" si="147"/>
        <v>0</v>
      </c>
      <c r="BM191" s="330">
        <f t="shared" si="148"/>
        <v>0</v>
      </c>
      <c r="BN191" s="331"/>
      <c r="BO191" s="331">
        <f>_xlfn.IFNA(VLOOKUP(A191,'Cash Advances'!A:K,11,FALSE),0)</f>
        <v>0</v>
      </c>
      <c r="BP191" s="330">
        <f t="shared" si="189"/>
        <v>172444.19169327791</v>
      </c>
      <c r="BQ191" s="322">
        <f t="shared" si="149"/>
        <v>0</v>
      </c>
      <c r="BR191" s="322"/>
      <c r="BS191" s="323"/>
      <c r="BT191" s="323">
        <f>_xlfn.IFNA((VLOOKUP($A191,HN!$A:$K,8,FALSE)/12),0)</f>
        <v>86597.5</v>
      </c>
      <c r="BU191" s="323">
        <f>_xlfn.IFNA((VLOOKUP($A191,HN!$A:$BS,14,FALSE)/12),0)</f>
        <v>0</v>
      </c>
      <c r="BV191" s="323">
        <f>(_xlfn.IFNA(VLOOKUP($A191,'Post 16'!$A:$AV,32,FALSE),0)/8)+_xlfn.IFNA(VLOOKUP($A191,'Post 16'!$A:$AR,40,FALSE),0)</f>
        <v>0</v>
      </c>
      <c r="BW191" s="323"/>
      <c r="BX191" s="323">
        <f>_xlfn.IFNA((VLOOKUP($A191,HN!$A:$K,9,FALSE)/12),0)+_xlfn.IFNA((VLOOKUP($A191,HN!$A:$K,10,FALSE)/12),0)</f>
        <v>85846.691693277899</v>
      </c>
      <c r="BY191" s="323">
        <f>_xlfn.IFNA((VLOOKUP($A191,HN!$A:$BS,15,FALSE)/12),0)</f>
        <v>0</v>
      </c>
      <c r="BZ191" s="322">
        <f t="shared" si="150"/>
        <v>0</v>
      </c>
      <c r="CA191" s="322">
        <f t="shared" si="151"/>
        <v>0</v>
      </c>
      <c r="CB191" s="323"/>
      <c r="CC191" s="323"/>
      <c r="CD191" s="322">
        <f t="shared" si="190"/>
        <v>172444.19169327791</v>
      </c>
      <c r="CE191" s="357">
        <f t="shared" si="152"/>
        <v>0</v>
      </c>
      <c r="CF191" s="357">
        <f>(VLOOKUP($A191,EY!$A:$BS,26,FALSE)-(VLOOKUP($A191,EY!A:CR,24,FALSE)*80%))+VLOOKUP($A191,EY!$A:$BS,42,FALSE)+(VLOOKUP($A191,EY!A:CC,74,FALSE)-VLOOKUP($A191,EY!A:CC,72,FALSE))</f>
        <v>0</v>
      </c>
      <c r="CG191" s="358"/>
      <c r="CH191" s="358">
        <f>_xlfn.IFNA((VLOOKUP($A191,HN!$A:$K,8,FALSE)/12),0)</f>
        <v>86597.5</v>
      </c>
      <c r="CI191" s="358">
        <f>_xlfn.IFNA((VLOOKUP($A191,HN!$A:$BS,14,FALSE)/12),0)</f>
        <v>0</v>
      </c>
      <c r="CJ191" s="358">
        <f>(_xlfn.IFNA(VLOOKUP($A191,'Post 16'!$A:$AV,32,FALSE),0)/8)</f>
        <v>0</v>
      </c>
      <c r="CK191" s="358">
        <f>(VLOOKUP($A191,EY!A:CR,24,FALSE)*80%)+VLOOKUP($A191,EY!A:CC,72,FALSE)</f>
        <v>0</v>
      </c>
      <c r="CL191" s="358">
        <f>_xlfn.IFNA((VLOOKUP($A191,HN!$A:$K,9,FALSE)/12),0)+_xlfn.IFNA((VLOOKUP($A191,HN!$A:$K,10,FALSE)/12),0)</f>
        <v>85846.691693277899</v>
      </c>
      <c r="CM191" s="358">
        <f>_xlfn.IFNA((VLOOKUP($A191,HN!$A:$BS,15,FALSE)/12),0)</f>
        <v>0</v>
      </c>
      <c r="CN191" s="357">
        <f t="shared" si="153"/>
        <v>0</v>
      </c>
      <c r="CO191" s="357">
        <f t="shared" si="154"/>
        <v>0</v>
      </c>
      <c r="CP191" s="358">
        <f>_xlfn.IFNA(VLOOKUP(A191,'LA Deductions'!A:W,23,FALSE),0)</f>
        <v>-3291.75</v>
      </c>
      <c r="CQ191" s="358">
        <f>_xlfn.IFNA(VLOOKUP($A191,'Cash Advances'!$A:$S,13,FALSE),0)</f>
        <v>0</v>
      </c>
      <c r="CR191" s="358">
        <f>_xlfn.IFNA(VLOOKUP(A191,'LA Deductions'!A:AZ,25,FALSE),0)/9*3</f>
        <v>0</v>
      </c>
      <c r="CS191" s="357">
        <f t="shared" si="173"/>
        <v>169152.44169327791</v>
      </c>
      <c r="CT191" s="337">
        <f t="shared" si="155"/>
        <v>0</v>
      </c>
      <c r="CU191" s="337"/>
      <c r="CV191" s="338">
        <f>_xlfn.IFNA(VLOOKUP(A191,'LA Deductions'!$A$6:$AN$207,34,FALSE),0)</f>
        <v>0</v>
      </c>
      <c r="CW191" s="338">
        <f>_xlfn.IFNA((VLOOKUP($A191,HN!$A:$K,8,FALSE)/12),0)</f>
        <v>86597.5</v>
      </c>
      <c r="CX191" s="338">
        <f>_xlfn.IFNA((VLOOKUP($A191,HN!$A:$BS,14,FALSE)/12),0)</f>
        <v>0</v>
      </c>
      <c r="CY191" s="338">
        <f>_xlfn.IFNA(VLOOKUP($A191,'Post 16'!$A:$AV,32,FALSE),0)/8</f>
        <v>0</v>
      </c>
      <c r="CZ191" s="338"/>
      <c r="DA191" s="338">
        <f>_xlfn.IFNA((VLOOKUP($A191,HN!$A:$K,9,FALSE)/12),0)+_xlfn.IFNA((VLOOKUP($A191,HN!$A:$K,10,FALSE)/12),0)</f>
        <v>85846.691693277899</v>
      </c>
      <c r="DB191" s="338">
        <f>_xlfn.IFNA((VLOOKUP($A191,HN!$A:$BS,15,FALSE)/12),0)</f>
        <v>0</v>
      </c>
      <c r="DC191" s="337">
        <f t="shared" si="156"/>
        <v>0</v>
      </c>
      <c r="DD191" s="337">
        <f t="shared" si="157"/>
        <v>0</v>
      </c>
      <c r="DE191" s="338"/>
      <c r="DF191" s="338">
        <f>_xlfn.IFNA(VLOOKUP($A191,'Cash Advances'!$A:$S,14,FALSE),0)</f>
        <v>0</v>
      </c>
      <c r="DG191" s="338">
        <f>(_xlfn.IFNA(VLOOKUP(A191,'LA Deductions'!A:AZ,25,FALSE),0)/9)+(_xlfn.IFNA(VLOOKUP(A191,'LA Deductions'!A:AZ,26,FALSE),0))</f>
        <v>0</v>
      </c>
      <c r="DH191" s="337">
        <f t="shared" si="174"/>
        <v>172444.19169327791</v>
      </c>
      <c r="DI191" s="330">
        <f t="shared" si="158"/>
        <v>0</v>
      </c>
      <c r="DJ191" s="330"/>
      <c r="DK191" s="331"/>
      <c r="DL191" s="331">
        <f>_xlfn.IFNA((VLOOKUP($A191,HN!$A:$K,8,FALSE)/12),0)+_xlfn.IFNA((VLOOKUP($A191,HN!$A:$AF,32,FALSE)*8/12),0)</f>
        <v>86597.5</v>
      </c>
      <c r="DM191" s="331">
        <f>_xlfn.IFNA((VLOOKUP($A191,HN!$A:$BS,14,FALSE)/12),0)+_xlfn.IFNA(VLOOKUP($A191,HN!$A:$BS,31,FALSE),0)</f>
        <v>0</v>
      </c>
      <c r="DN191" s="331">
        <f>_xlfn.IFNA(VLOOKUP($A191,'Post 16'!$A:$AV,32,FALSE),0)/8</f>
        <v>0</v>
      </c>
      <c r="DO191" s="331"/>
      <c r="DP191" s="331">
        <f>_xlfn.IFNA((VLOOKUP($A191,HN!$A:$K,9,FALSE)/12),0)+_xlfn.IFNA((VLOOKUP($A191,HN!$A:$K,10,FALSE)/12),0)+_xlfn.IFNA((VLOOKUP($A191,HN!$A:$BZ,33,FALSE)*8/12),0)</f>
        <v>85846.691693277899</v>
      </c>
      <c r="DQ191" s="331">
        <f>_xlfn.IFNA((VLOOKUP($A191,HN!$A:$BS,15,FALSE)/12),0)</f>
        <v>0</v>
      </c>
      <c r="DR191" s="330">
        <f t="shared" si="159"/>
        <v>0</v>
      </c>
      <c r="DS191" s="330">
        <f t="shared" si="160"/>
        <v>0</v>
      </c>
      <c r="DT191" s="331"/>
      <c r="DU191" s="331"/>
      <c r="DV191" s="331">
        <f>(_xlfn.IFNA(VLOOKUP(A191,'LA Deductions'!A:AZ,25,FALSE),0)/9)+_xlfn.IFNA(VLOOKUP(A191,'LA Deductions'!A:AZ,27,FALSE),0)</f>
        <v>0</v>
      </c>
      <c r="DW191" s="330">
        <f t="shared" si="175"/>
        <v>172444.19169327791</v>
      </c>
      <c r="DX191" s="344">
        <f t="shared" si="161"/>
        <v>0</v>
      </c>
      <c r="DY191" s="344"/>
      <c r="DZ191" s="345"/>
      <c r="EA191" s="345">
        <f>_xlfn.IFNA((VLOOKUP($A191,HN!$A:$K,8,FALSE)/12),0)+_xlfn.IFNA((VLOOKUP($A191,HN!$A:$AF,32,FALSE)*1/12),0)</f>
        <v>86597.5</v>
      </c>
      <c r="EB191" s="345">
        <f>_xlfn.IFNA((VLOOKUP($A191,HN!$A:$BS,14,FALSE)/12),0)</f>
        <v>0</v>
      </c>
      <c r="EC191" s="345">
        <f>_xlfn.IFNA(VLOOKUP($A191,'Post 16'!$A:$AV,32,FALSE),0)/8</f>
        <v>0</v>
      </c>
      <c r="ED191" s="345"/>
      <c r="EE191" s="345">
        <f>_xlfn.IFNA((VLOOKUP($A191,HN!$A:$K,9,FALSE)/12),0)+_xlfn.IFNA((VLOOKUP($A191,HN!$A:$K,10,FALSE)/12),0)+_xlfn.IFNA((VLOOKUP($A191,HN!$A:$BZ,33,FALSE)/12),0)</f>
        <v>85846.691693277899</v>
      </c>
      <c r="EF191" s="345">
        <f>_xlfn.IFNA((VLOOKUP($A191,HN!$A:$BS,15,FALSE)/12),0)</f>
        <v>0</v>
      </c>
      <c r="EG191" s="344">
        <f t="shared" si="162"/>
        <v>0</v>
      </c>
      <c r="EH191" s="344">
        <f t="shared" si="163"/>
        <v>0</v>
      </c>
      <c r="EI191" s="345"/>
      <c r="EJ191" s="345">
        <f>_xlfn.IFNA(VLOOKUP(A191,'Cash Advances'!A:P,16,FALSE),0)</f>
        <v>0</v>
      </c>
      <c r="EK191" s="345">
        <f>_xlfn.IFNA(VLOOKUP(A191,'LA Deductions'!A:AZ,25,FALSE),0)/9</f>
        <v>0</v>
      </c>
      <c r="EL191" s="344">
        <f t="shared" si="176"/>
        <v>172444.19169327791</v>
      </c>
      <c r="EM191" s="308">
        <f t="shared" si="164"/>
        <v>0</v>
      </c>
      <c r="EN191" s="308">
        <f>((VLOOKUP($A191,EY!$A:$BS,35,FALSE)-(VLOOKUP($A191,EY!$A:$BS,33,FALSE)*80%))+VLOOKUP($A191,EY!$A:$BS,43,FALSE))+(VLOOKUP(A191,EY!A:DF,110,FALSE)-VLOOKUP(A191,EY!A:DD,108,FALSE))+(VLOOKUP(A191,EY!A:CE,83,FALSE)-VLOOKUP(A191,EY!A:CC,81,FALSE))</f>
        <v>0</v>
      </c>
      <c r="EO191" s="309"/>
      <c r="EP191" s="309">
        <f>_xlfn.IFNA((VLOOKUP($A191,HN!$A:$K,8,FALSE)/12),0)+_xlfn.IFNA((VLOOKUP($A191,HN!$A:$AF,32,FALSE)*1/12),0)</f>
        <v>86597.5</v>
      </c>
      <c r="EQ191" s="309">
        <f>_xlfn.IFNA((VLOOKUP($A191,HN!$A:$BS,14,FALSE)/12),0)+_xlfn.IFNA((VLOOKUP($A191,HN!$A:$BS,34,FALSE)/3),0)</f>
        <v>0</v>
      </c>
      <c r="ER191" s="309">
        <f>_xlfn.IFNA(VLOOKUP($A191,'Post 16'!$A:$AV,32,FALSE),0)/8</f>
        <v>0</v>
      </c>
      <c r="ES191" s="309">
        <f>((VLOOKUP($A191,EY!A:EV,33,FALSE)*80%))+VLOOKUP(A191,EY!A:DD,108,FALSE)+VLOOKUP(A191,EY!A:CC,81,FALSE)</f>
        <v>0</v>
      </c>
      <c r="ET191" s="309">
        <f>_xlfn.IFNA((VLOOKUP($A191,HN!$A:$K,9,FALSE)/12),0)+_xlfn.IFNA((VLOOKUP($A191,HN!$A:$K,10,FALSE)/12),0)+_xlfn.IFNA((VLOOKUP($A191,HN!$A:$BZ,33,FALSE)/12),0)</f>
        <v>85846.691693277899</v>
      </c>
      <c r="EU191" s="309">
        <f>_xlfn.IFNA((VLOOKUP($A191,HN!$A:$BS,15,FALSE)/12),0)</f>
        <v>0</v>
      </c>
      <c r="EV191" s="308">
        <f t="shared" si="165"/>
        <v>0</v>
      </c>
      <c r="EW191" s="308">
        <f t="shared" si="166"/>
        <v>0</v>
      </c>
      <c r="EX191" s="309"/>
      <c r="EY191" s="309">
        <f>_xlfn.IFNA(VLOOKUP($A191,'Cash Advances'!$A:$S,17,FALSE),0)</f>
        <v>0</v>
      </c>
      <c r="EZ191" s="309">
        <f>_xlfn.IFNA(VLOOKUP(A191,'LA Deductions'!A:AZ,25,FALSE),0)/9</f>
        <v>0</v>
      </c>
      <c r="FA191" s="308">
        <f t="shared" si="177"/>
        <v>172444.19169327791</v>
      </c>
      <c r="FB191" s="315">
        <f t="shared" si="167"/>
        <v>0</v>
      </c>
      <c r="FC191" s="315"/>
      <c r="FD191" s="316"/>
      <c r="FE191" s="316">
        <f>_xlfn.IFNA((VLOOKUP($A191,HN!$A:$K,8,FALSE)/12),0)+_xlfn.IFNA((VLOOKUP($A191,HN!$A:$AF,32,FALSE)*1/12),0)</f>
        <v>86597.5</v>
      </c>
      <c r="FF191" s="316">
        <f>_xlfn.IFNA((VLOOKUP($A191,HN!$A:$BS,14,FALSE)/12),0)+_xlfn.IFNA((VLOOKUP($A191,HN!$A:$BS,34,FALSE)/3),0)</f>
        <v>0</v>
      </c>
      <c r="FG191" s="316">
        <f>_xlfn.IFNA(VLOOKUP($A191,'Post 16'!$A:$AV,32,FALSE),0)/8</f>
        <v>0</v>
      </c>
      <c r="FH191" s="316"/>
      <c r="FI191" s="316">
        <f>_xlfn.IFNA((VLOOKUP($A191,HN!$A:$K,9,FALSE)/12),0)+_xlfn.IFNA((VLOOKUP($A191,HN!$A:$K,10,FALSE)/12),0)+_xlfn.IFNA((VLOOKUP($A191,HN!$A:$BZ,33,FALSE)/12),0)+_xlfn.IFNA((VLOOKUP($A191,HN!$A:$BZ,35,FALSE)/2),0)</f>
        <v>121208.4916932779</v>
      </c>
      <c r="FJ191" s="316">
        <f>_xlfn.IFNA((VLOOKUP($A191,HN!$A:$BS,15,FALSE)/12),0)+_xlfn.IFNA((VLOOKUP($A191,HN!$A:$CZ,36,FALSE)/2),0)</f>
        <v>0</v>
      </c>
      <c r="FK191" s="315">
        <f t="shared" si="168"/>
        <v>0</v>
      </c>
      <c r="FL191" s="315">
        <f t="shared" si="169"/>
        <v>0</v>
      </c>
      <c r="FM191" s="316"/>
      <c r="FN191" s="316">
        <f>_xlfn.IFNA(VLOOKUP($A191,'Cash Advances'!$A:$S,18,FALSE),0)</f>
        <v>0</v>
      </c>
      <c r="FO191" s="316">
        <f>_xlfn.IFNA(VLOOKUP(A191,'LA Deductions'!A:AZ,25,FALSE),0)/9</f>
        <v>0</v>
      </c>
      <c r="FP191" s="315">
        <f t="shared" si="178"/>
        <v>207805.9916932779</v>
      </c>
      <c r="FQ191" s="322">
        <f t="shared" si="170"/>
        <v>0</v>
      </c>
      <c r="FR191" s="322"/>
      <c r="FS191" s="323"/>
      <c r="FT191" s="323">
        <f>_xlfn.IFNA((VLOOKUP($A191,HN!$A:$K,8,FALSE)/12),0)+_xlfn.IFNA((VLOOKUP($A191,HN!$A:$AF,32,FALSE)*1/12),0)</f>
        <v>86597.5</v>
      </c>
      <c r="FU191" s="323">
        <f>_xlfn.IFNA((VLOOKUP($A191,HN!$A:$BS,14,FALSE)/12),0)+_xlfn.IFNA((VLOOKUP($A191,HN!$A:$BS,34,FALSE)/3),0)</f>
        <v>0</v>
      </c>
      <c r="FV191" s="323">
        <f>_xlfn.IFNA(VLOOKUP($A191,'Post 16'!$A:$AV,32,FALSE),0)/8</f>
        <v>0</v>
      </c>
      <c r="FW191" s="323"/>
      <c r="FX191" s="323">
        <f>_xlfn.IFNA((VLOOKUP($A191,HN!$A:$K,9,FALSE)/12),0)+_xlfn.IFNA((VLOOKUP($A191,HN!$A:$K,10,FALSE)/12),0)+_xlfn.IFNA((VLOOKUP($A191,HN!$A:$BZ,33,FALSE)/12),0)+_xlfn.IFNA((VLOOKUP($A191,HN!$A:$BZ,35,FALSE)/2),0)</f>
        <v>121208.4916932779</v>
      </c>
      <c r="FY191" s="323">
        <f>_xlfn.IFNA((VLOOKUP($A191,HN!$A:$BS,15,FALSE)/12),0)+_xlfn.IFNA((VLOOKUP($A191,HN!$A:$CZ,36,FALSE)/2),0)</f>
        <v>0</v>
      </c>
      <c r="FZ191" s="322">
        <f t="shared" si="171"/>
        <v>0</v>
      </c>
      <c r="GA191" s="322">
        <f t="shared" si="172"/>
        <v>0</v>
      </c>
      <c r="GB191" s="323"/>
      <c r="GC191" s="323"/>
      <c r="GD191" s="323">
        <f>_xlfn.IFNA(VLOOKUP(A191,'LA Deductions'!A:AZ,25,FALSE),0)/9</f>
        <v>0</v>
      </c>
      <c r="GE191" s="322">
        <f t="shared" si="179"/>
        <v>207805.9916932779</v>
      </c>
      <c r="GG191" s="146">
        <f t="shared" si="236"/>
        <v>1039170</v>
      </c>
      <c r="GH191" s="146">
        <f t="shared" si="236"/>
        <v>0</v>
      </c>
      <c r="GI191" s="146">
        <f t="shared" si="236"/>
        <v>1444123.8233962578</v>
      </c>
      <c r="GJ191" s="146">
        <f t="shared" si="236"/>
        <v>0</v>
      </c>
      <c r="GK191" s="146">
        <f t="shared" si="236"/>
        <v>0</v>
      </c>
      <c r="GL191" s="146">
        <f t="shared" si="236"/>
        <v>-3291.75</v>
      </c>
      <c r="GN191" s="146">
        <f t="shared" si="237"/>
        <v>1039170</v>
      </c>
      <c r="GO191" s="146">
        <f t="shared" si="237"/>
        <v>0</v>
      </c>
      <c r="GP191" s="146">
        <f t="shared" si="237"/>
        <v>1444123.8233962578</v>
      </c>
      <c r="GQ191" s="146">
        <f t="shared" si="237"/>
        <v>0</v>
      </c>
      <c r="GR191" s="146">
        <f t="shared" si="237"/>
        <v>0</v>
      </c>
      <c r="GS191" s="146">
        <f t="shared" si="237"/>
        <v>-3291.75</v>
      </c>
      <c r="GU191" s="146"/>
      <c r="GV191" s="57"/>
    </row>
    <row r="192" spans="1:204">
      <c r="A192" s="185">
        <v>2079</v>
      </c>
      <c r="B192" s="185">
        <v>103200</v>
      </c>
      <c r="C192" s="185" t="s">
        <v>378</v>
      </c>
      <c r="D192" s="2" t="s">
        <v>379</v>
      </c>
      <c r="E192" s="191" t="s">
        <v>32</v>
      </c>
      <c r="F192" s="191" t="s">
        <v>912</v>
      </c>
      <c r="H192" s="279">
        <f>_xlfn.IFNA(VLOOKUP($A192,ISB!$A$4:$BY$454,67,FALSE),0)</f>
        <v>1948858.8603706395</v>
      </c>
      <c r="I192" s="279">
        <f>_xlfn.IFNA(VLOOKUP($A192,ISB!$A$4:$BY$454,72,FALSE),0)</f>
        <v>-8476</v>
      </c>
      <c r="J192" s="279">
        <f>-_xlfn.IFNA(VLOOKUP($A192,ISB!$A$4:$BY$454,76,FALSE),0)</f>
        <v>-23115.16</v>
      </c>
      <c r="K192" s="279">
        <f>_xlfn.IFNA(VLOOKUP($A192,ISB!$A$4:$BY$454,77,FALSE),0)</f>
        <v>1917267.7003706396</v>
      </c>
      <c r="M192" s="301">
        <f t="shared" si="137"/>
        <v>162404.90503088661</v>
      </c>
      <c r="N192" s="301">
        <f>VLOOKUP($A192,EY!$A:$H,8,FALSE)+(VLOOKUP($A192,EY!$A:$BS,17,FALSE)-S192)+VLOOKUP($A192,EY!$A:$BS,41,FALSE)</f>
        <v>0</v>
      </c>
      <c r="O192" s="302"/>
      <c r="P192" s="302">
        <f>_xlfn.IFNA((VLOOKUP($A192,HN!$A:$K,8,FALSE)/12),0)</f>
        <v>0</v>
      </c>
      <c r="Q192" s="302">
        <f>_xlfn.IFNA((VLOOKUP($A192,HN!$A:$BS,14,FALSE)/12),0)</f>
        <v>0</v>
      </c>
      <c r="R192" s="302">
        <f>_xlfn.IFNA(VLOOKUP($A192,'Post 16'!$A:$V,21,FALSE),0)/4</f>
        <v>0</v>
      </c>
      <c r="S192" s="302">
        <f>VLOOKUP($A192,EY!A:Q,15,FALSE)*80%</f>
        <v>0</v>
      </c>
      <c r="T192" s="302">
        <f>_xlfn.IFNA((VLOOKUP($A192,HN!$A:$K,9,FALSE)/12),0)+_xlfn.IFNA((VLOOKUP($A192,HN!$A:$K,10,FALSE)/12),0)</f>
        <v>0</v>
      </c>
      <c r="U192" s="302">
        <f>_xlfn.IFNA((VLOOKUP($A192,HN!$A:$BS,15,FALSE)/12),0)</f>
        <v>0</v>
      </c>
      <c r="V192" s="301">
        <f t="shared" si="138"/>
        <v>-706.33333333333337</v>
      </c>
      <c r="W192" s="301">
        <f t="shared" si="139"/>
        <v>-1926.2633333333333</v>
      </c>
      <c r="X192" s="302"/>
      <c r="Y192" s="302">
        <f>_xlfn.IFNA(VLOOKUP($A192,'Cash Advances'!$A:$S,8,FALSE),0)</f>
        <v>0</v>
      </c>
      <c r="Z192" s="301">
        <f t="shared" si="186"/>
        <v>159772.30836421993</v>
      </c>
      <c r="AA192" s="315">
        <f t="shared" si="140"/>
        <v>162404.90503088661</v>
      </c>
      <c r="AB192" s="315"/>
      <c r="AC192" s="316"/>
      <c r="AD192" s="316">
        <f>_xlfn.IFNA((VLOOKUP($A192,HN!$A:$K,8,FALSE)/12),0)</f>
        <v>0</v>
      </c>
      <c r="AE192" s="316">
        <f>_xlfn.IFNA((VLOOKUP($A192,HN!$A:$BS,14,FALSE)/12),0)</f>
        <v>0</v>
      </c>
      <c r="AF192" s="316">
        <f>_xlfn.IFNA(VLOOKUP($A192,'Post 16'!$A:$V,21,FALSE),0)/4</f>
        <v>0</v>
      </c>
      <c r="AG192" s="316"/>
      <c r="AH192" s="316">
        <f>_xlfn.IFNA((VLOOKUP($A192,HN!$A:$K,9,FALSE)/12),0)+_xlfn.IFNA((VLOOKUP($A192,HN!$A:$K,10,FALSE)/12),0)</f>
        <v>0</v>
      </c>
      <c r="AI192" s="316">
        <f>_xlfn.IFNA((VLOOKUP($A192,HN!$A:$BS,15,FALSE)/12),0)</f>
        <v>0</v>
      </c>
      <c r="AJ192" s="315">
        <f t="shared" si="141"/>
        <v>-706.33333333333337</v>
      </c>
      <c r="AK192" s="315">
        <f t="shared" si="142"/>
        <v>-1926.2633333333333</v>
      </c>
      <c r="AL192" s="316"/>
      <c r="AM192" s="316">
        <f>_xlfn.IFNA(VLOOKUP($A192,'Cash Advances'!$A:$S,9,FALSE),0)</f>
        <v>0</v>
      </c>
      <c r="AN192" s="315">
        <f t="shared" si="187"/>
        <v>159772.30836421993</v>
      </c>
      <c r="AO192" s="308">
        <f t="shared" si="143"/>
        <v>162404.90503088661</v>
      </c>
      <c r="AP192" s="308"/>
      <c r="AQ192" s="309"/>
      <c r="AR192" s="309">
        <f>_xlfn.IFNA((VLOOKUP($A192,HN!$A:$K,8,FALSE)/12),0)</f>
        <v>0</v>
      </c>
      <c r="AS192" s="309">
        <f>_xlfn.IFNA((VLOOKUP($A192,HN!$A:$BS,14,FALSE)/12),0)</f>
        <v>0</v>
      </c>
      <c r="AT192" s="309">
        <f>_xlfn.IFNA(VLOOKUP($A192,'Post 16'!$A:$V,21,FALSE),0)/4</f>
        <v>0</v>
      </c>
      <c r="AU192" s="309"/>
      <c r="AV192" s="309">
        <f>_xlfn.IFNA((VLOOKUP($A192,HN!$A:$K,9,FALSE)/12),0)+_xlfn.IFNA((VLOOKUP($A192,HN!$A:$K,10,FALSE)/12),0)+_xlfn.IFNA(VLOOKUP(A192,HN!A:V,19,FALSE),0)+_xlfn.IFNA(VLOOKUP(A192,HN!A:V,20,FALSE),0)+_xlfn.IFNA(VLOOKUP(A192,HN!A:V,21,FALSE),0)</f>
        <v>0</v>
      </c>
      <c r="AW192" s="309">
        <f>_xlfn.IFNA((VLOOKUP($A192,HN!$A:$BS,15,FALSE)/12),0)</f>
        <v>0</v>
      </c>
      <c r="AX192" s="308">
        <f t="shared" si="144"/>
        <v>-706.33333333333337</v>
      </c>
      <c r="AY192" s="308">
        <f t="shared" si="145"/>
        <v>-1926.2633333333333</v>
      </c>
      <c r="AZ192" s="309"/>
      <c r="BA192" s="309">
        <f>_xlfn.IFNA(VLOOKUP($A192,'Cash Advances'!$A:$S,10,FALSE),0)</f>
        <v>0</v>
      </c>
      <c r="BB192" s="308">
        <f t="shared" si="188"/>
        <v>159772.30836421993</v>
      </c>
      <c r="BC192" s="330">
        <f t="shared" si="146"/>
        <v>162404.90503088661</v>
      </c>
      <c r="BD192" s="330"/>
      <c r="BE192" s="331"/>
      <c r="BF192" s="331">
        <f>_xlfn.IFNA((VLOOKUP($A192,HN!$A:$K,8,FALSE)/12),0)</f>
        <v>0</v>
      </c>
      <c r="BG192" s="331">
        <f>_xlfn.IFNA((VLOOKUP($A192,HN!$A:$BS,14,FALSE)/12),0)</f>
        <v>0</v>
      </c>
      <c r="BH192" s="331">
        <f>_xlfn.IFNA(VLOOKUP($A192,'Post 16'!$A:$V,21,FALSE),0)/4</f>
        <v>0</v>
      </c>
      <c r="BI192" s="331"/>
      <c r="BJ192" s="331">
        <f>_xlfn.IFNA((VLOOKUP($A192,HN!$A:$K,9,FALSE)/12),0)+_xlfn.IFNA((VLOOKUP($A192,HN!$A:$K,10,FALSE)/12),0)</f>
        <v>0</v>
      </c>
      <c r="BK192" s="331">
        <f>_xlfn.IFNA((VLOOKUP($A192,HN!$A:$BS,15,FALSE)/12),0)</f>
        <v>0</v>
      </c>
      <c r="BL192" s="330">
        <f t="shared" si="147"/>
        <v>-706.33333333333337</v>
      </c>
      <c r="BM192" s="330">
        <f t="shared" si="148"/>
        <v>-1926.2633333333333</v>
      </c>
      <c r="BN192" s="331"/>
      <c r="BO192" s="331">
        <f>_xlfn.IFNA(VLOOKUP(A192,'Cash Advances'!A:K,11,FALSE),0)</f>
        <v>0</v>
      </c>
      <c r="BP192" s="330">
        <f t="shared" si="189"/>
        <v>159772.30836421993</v>
      </c>
      <c r="BQ192" s="322">
        <f t="shared" si="149"/>
        <v>162404.90503088661</v>
      </c>
      <c r="BR192" s="322"/>
      <c r="BS192" s="323"/>
      <c r="BT192" s="323">
        <f>_xlfn.IFNA((VLOOKUP($A192,HN!$A:$K,8,FALSE)/12),0)</f>
        <v>0</v>
      </c>
      <c r="BU192" s="323">
        <f>_xlfn.IFNA((VLOOKUP($A192,HN!$A:$BS,14,FALSE)/12),0)</f>
        <v>0</v>
      </c>
      <c r="BV192" s="323">
        <f>(_xlfn.IFNA(VLOOKUP($A192,'Post 16'!$A:$AV,32,FALSE),0)/8)+_xlfn.IFNA(VLOOKUP($A192,'Post 16'!$A:$AR,40,FALSE),0)</f>
        <v>0</v>
      </c>
      <c r="BW192" s="323"/>
      <c r="BX192" s="323">
        <f>_xlfn.IFNA((VLOOKUP($A192,HN!$A:$K,9,FALSE)/12),0)+_xlfn.IFNA((VLOOKUP($A192,HN!$A:$K,10,FALSE)/12),0)</f>
        <v>0</v>
      </c>
      <c r="BY192" s="323">
        <f>_xlfn.IFNA((VLOOKUP($A192,HN!$A:$BS,15,FALSE)/12),0)</f>
        <v>0</v>
      </c>
      <c r="BZ192" s="322">
        <f t="shared" si="150"/>
        <v>-706.33333333333337</v>
      </c>
      <c r="CA192" s="322">
        <f t="shared" si="151"/>
        <v>-1926.2633333333333</v>
      </c>
      <c r="CB192" s="323"/>
      <c r="CC192" s="323"/>
      <c r="CD192" s="322">
        <f t="shared" si="190"/>
        <v>159772.30836421993</v>
      </c>
      <c r="CE192" s="357">
        <f t="shared" si="152"/>
        <v>162404.90503088661</v>
      </c>
      <c r="CF192" s="357">
        <f>(VLOOKUP($A192,EY!$A:$BS,26,FALSE)-(VLOOKUP($A192,EY!A:CR,24,FALSE)*80%))+VLOOKUP($A192,EY!$A:$BS,42,FALSE)+(VLOOKUP($A192,EY!A:CC,74,FALSE)-VLOOKUP($A192,EY!A:CC,72,FALSE))</f>
        <v>0</v>
      </c>
      <c r="CG192" s="358"/>
      <c r="CH192" s="358">
        <f>_xlfn.IFNA((VLOOKUP($A192,HN!$A:$K,8,FALSE)/12),0)</f>
        <v>0</v>
      </c>
      <c r="CI192" s="358">
        <f>_xlfn.IFNA((VLOOKUP($A192,HN!$A:$BS,14,FALSE)/12),0)</f>
        <v>0</v>
      </c>
      <c r="CJ192" s="358">
        <f>(_xlfn.IFNA(VLOOKUP($A192,'Post 16'!$A:$AV,32,FALSE),0)/8)</f>
        <v>0</v>
      </c>
      <c r="CK192" s="358">
        <f>(VLOOKUP($A192,EY!A:CR,24,FALSE)*80%)+VLOOKUP($A192,EY!A:CC,72,FALSE)</f>
        <v>0</v>
      </c>
      <c r="CL192" s="358">
        <f>_xlfn.IFNA((VLOOKUP($A192,HN!$A:$K,9,FALSE)/12),0)+_xlfn.IFNA((VLOOKUP($A192,HN!$A:$K,10,FALSE)/12),0)</f>
        <v>0</v>
      </c>
      <c r="CM192" s="358">
        <f>_xlfn.IFNA((VLOOKUP($A192,HN!$A:$BS,15,FALSE)/12),0)</f>
        <v>0</v>
      </c>
      <c r="CN192" s="357">
        <f t="shared" si="153"/>
        <v>-706.33333333333337</v>
      </c>
      <c r="CO192" s="357">
        <f t="shared" si="154"/>
        <v>-1926.2633333333333</v>
      </c>
      <c r="CP192" s="358">
        <f>_xlfn.IFNA(VLOOKUP(A192,'LA Deductions'!A:W,23,FALSE),0)</f>
        <v>-8775</v>
      </c>
      <c r="CQ192" s="358">
        <f>_xlfn.IFNA(VLOOKUP($A192,'Cash Advances'!$A:$S,13,FALSE),0)</f>
        <v>0</v>
      </c>
      <c r="CR192" s="358">
        <f>_xlfn.IFNA(VLOOKUP(A192,'LA Deductions'!A:AZ,25,FALSE),0)/9*3</f>
        <v>0</v>
      </c>
      <c r="CS192" s="357">
        <f t="shared" si="173"/>
        <v>150997.30836421993</v>
      </c>
      <c r="CT192" s="337">
        <f t="shared" si="155"/>
        <v>162404.90503088661</v>
      </c>
      <c r="CU192" s="337"/>
      <c r="CV192" s="338">
        <f>_xlfn.IFNA(VLOOKUP(A192,'LA Deductions'!$A$6:$AN$207,34,FALSE),0)</f>
        <v>0</v>
      </c>
      <c r="CW192" s="338">
        <f>_xlfn.IFNA((VLOOKUP($A192,HN!$A:$K,8,FALSE)/12),0)</f>
        <v>0</v>
      </c>
      <c r="CX192" s="338">
        <f>_xlfn.IFNA((VLOOKUP($A192,HN!$A:$BS,14,FALSE)/12),0)</f>
        <v>0</v>
      </c>
      <c r="CY192" s="338">
        <f>_xlfn.IFNA(VLOOKUP($A192,'Post 16'!$A:$AV,32,FALSE),0)/8</f>
        <v>0</v>
      </c>
      <c r="CZ192" s="338"/>
      <c r="DA192" s="338">
        <f>_xlfn.IFNA((VLOOKUP($A192,HN!$A:$K,9,FALSE)/12),0)+_xlfn.IFNA((VLOOKUP($A192,HN!$A:$K,10,FALSE)/12),0)</f>
        <v>0</v>
      </c>
      <c r="DB192" s="338">
        <f>_xlfn.IFNA((VLOOKUP($A192,HN!$A:$BS,15,FALSE)/12),0)</f>
        <v>0</v>
      </c>
      <c r="DC192" s="337">
        <f t="shared" si="156"/>
        <v>-706.33333333333337</v>
      </c>
      <c r="DD192" s="337">
        <f t="shared" si="157"/>
        <v>-1926.2633333333333</v>
      </c>
      <c r="DE192" s="338"/>
      <c r="DF192" s="338">
        <f>_xlfn.IFNA(VLOOKUP($A192,'Cash Advances'!$A:$S,14,FALSE),0)</f>
        <v>0</v>
      </c>
      <c r="DG192" s="338">
        <f>(_xlfn.IFNA(VLOOKUP(A192,'LA Deductions'!A:AZ,25,FALSE),0)/9)+(_xlfn.IFNA(VLOOKUP(A192,'LA Deductions'!A:AZ,26,FALSE),0))</f>
        <v>0</v>
      </c>
      <c r="DH192" s="337">
        <f t="shared" si="174"/>
        <v>159772.30836421993</v>
      </c>
      <c r="DI192" s="330">
        <f t="shared" si="158"/>
        <v>162404.90503088661</v>
      </c>
      <c r="DJ192" s="330"/>
      <c r="DK192" s="331"/>
      <c r="DL192" s="331">
        <f>_xlfn.IFNA((VLOOKUP($A192,HN!$A:$K,8,FALSE)/12),0)+_xlfn.IFNA((VLOOKUP($A192,HN!$A:$AF,32,FALSE)*8/12),0)</f>
        <v>0</v>
      </c>
      <c r="DM192" s="331">
        <f>_xlfn.IFNA((VLOOKUP($A192,HN!$A:$BS,14,FALSE)/12),0)+_xlfn.IFNA(VLOOKUP($A192,HN!$A:$BS,31,FALSE),0)</f>
        <v>0</v>
      </c>
      <c r="DN192" s="331">
        <f>_xlfn.IFNA(VLOOKUP($A192,'Post 16'!$A:$AV,32,FALSE),0)/8</f>
        <v>0</v>
      </c>
      <c r="DO192" s="331"/>
      <c r="DP192" s="331">
        <f>_xlfn.IFNA((VLOOKUP($A192,HN!$A:$K,9,FALSE)/12),0)+_xlfn.IFNA((VLOOKUP($A192,HN!$A:$K,10,FALSE)/12),0)+_xlfn.IFNA((VLOOKUP($A192,HN!$A:$BZ,33,FALSE)*8/12),0)</f>
        <v>0</v>
      </c>
      <c r="DQ192" s="331">
        <f>_xlfn.IFNA((VLOOKUP($A192,HN!$A:$BS,15,FALSE)/12),0)</f>
        <v>0</v>
      </c>
      <c r="DR192" s="330">
        <f t="shared" si="159"/>
        <v>-706.33333333333337</v>
      </c>
      <c r="DS192" s="330">
        <f t="shared" si="160"/>
        <v>-1926.2633333333333</v>
      </c>
      <c r="DT192" s="331"/>
      <c r="DU192" s="331"/>
      <c r="DV192" s="331">
        <f>(_xlfn.IFNA(VLOOKUP(A192,'LA Deductions'!A:AZ,25,FALSE),0)/9)+_xlfn.IFNA(VLOOKUP(A192,'LA Deductions'!A:AZ,27,FALSE),0)</f>
        <v>0</v>
      </c>
      <c r="DW192" s="330">
        <f t="shared" si="175"/>
        <v>159772.30836421993</v>
      </c>
      <c r="DX192" s="344">
        <f t="shared" si="161"/>
        <v>162404.90503088661</v>
      </c>
      <c r="DY192" s="344"/>
      <c r="DZ192" s="345"/>
      <c r="EA192" s="345">
        <f>_xlfn.IFNA((VLOOKUP($A192,HN!$A:$K,8,FALSE)/12),0)+_xlfn.IFNA((VLOOKUP($A192,HN!$A:$AF,32,FALSE)*1/12),0)</f>
        <v>0</v>
      </c>
      <c r="EB192" s="345">
        <f>_xlfn.IFNA((VLOOKUP($A192,HN!$A:$BS,14,FALSE)/12),0)</f>
        <v>0</v>
      </c>
      <c r="EC192" s="345">
        <f>_xlfn.IFNA(VLOOKUP($A192,'Post 16'!$A:$AV,32,FALSE),0)/8</f>
        <v>0</v>
      </c>
      <c r="ED192" s="345"/>
      <c r="EE192" s="345">
        <f>_xlfn.IFNA((VLOOKUP($A192,HN!$A:$K,9,FALSE)/12),0)+_xlfn.IFNA((VLOOKUP($A192,HN!$A:$K,10,FALSE)/12),0)+_xlfn.IFNA((VLOOKUP($A192,HN!$A:$BZ,33,FALSE)/12),0)</f>
        <v>0</v>
      </c>
      <c r="EF192" s="345">
        <f>_xlfn.IFNA((VLOOKUP($A192,HN!$A:$BS,15,FALSE)/12),0)</f>
        <v>0</v>
      </c>
      <c r="EG192" s="344">
        <f t="shared" si="162"/>
        <v>-706.33333333333337</v>
      </c>
      <c r="EH192" s="344">
        <f t="shared" si="163"/>
        <v>-1926.2633333333333</v>
      </c>
      <c r="EI192" s="345"/>
      <c r="EJ192" s="345">
        <f>_xlfn.IFNA(VLOOKUP(A192,'Cash Advances'!A:P,16,FALSE),0)</f>
        <v>0</v>
      </c>
      <c r="EK192" s="345">
        <f>_xlfn.IFNA(VLOOKUP(A192,'LA Deductions'!A:AZ,25,FALSE),0)/9</f>
        <v>0</v>
      </c>
      <c r="EL192" s="344">
        <f t="shared" si="176"/>
        <v>159772.30836421993</v>
      </c>
      <c r="EM192" s="308">
        <f t="shared" si="164"/>
        <v>162404.90503088661</v>
      </c>
      <c r="EN192" s="308">
        <f>((VLOOKUP($A192,EY!$A:$BS,35,FALSE)-(VLOOKUP($A192,EY!$A:$BS,33,FALSE)*80%))+VLOOKUP($A192,EY!$A:$BS,43,FALSE))+(VLOOKUP(A192,EY!A:DF,110,FALSE)-VLOOKUP(A192,EY!A:DD,108,FALSE))+(VLOOKUP(A192,EY!A:CE,83,FALSE)-VLOOKUP(A192,EY!A:CC,81,FALSE))</f>
        <v>0</v>
      </c>
      <c r="EO192" s="309"/>
      <c r="EP192" s="309">
        <f>_xlfn.IFNA((VLOOKUP($A192,HN!$A:$K,8,FALSE)/12),0)+_xlfn.IFNA((VLOOKUP($A192,HN!$A:$AF,32,FALSE)*1/12),0)</f>
        <v>0</v>
      </c>
      <c r="EQ192" s="309">
        <f>_xlfn.IFNA((VLOOKUP($A192,HN!$A:$BS,14,FALSE)/12),0)+_xlfn.IFNA((VLOOKUP($A192,HN!$A:$BS,34,FALSE)/3),0)</f>
        <v>0</v>
      </c>
      <c r="ER192" s="309">
        <f>_xlfn.IFNA(VLOOKUP($A192,'Post 16'!$A:$AV,32,FALSE),0)/8</f>
        <v>0</v>
      </c>
      <c r="ES192" s="309">
        <f>((VLOOKUP($A192,EY!A:EV,33,FALSE)*80%))+VLOOKUP(A192,EY!A:DD,108,FALSE)+VLOOKUP(A192,EY!A:CC,81,FALSE)</f>
        <v>0</v>
      </c>
      <c r="ET192" s="309">
        <f>_xlfn.IFNA((VLOOKUP($A192,HN!$A:$K,9,FALSE)/12),0)+_xlfn.IFNA((VLOOKUP($A192,HN!$A:$K,10,FALSE)/12),0)+_xlfn.IFNA((VLOOKUP($A192,HN!$A:$BZ,33,FALSE)/12),0)</f>
        <v>0</v>
      </c>
      <c r="EU192" s="309">
        <f>_xlfn.IFNA((VLOOKUP($A192,HN!$A:$BS,15,FALSE)/12),0)</f>
        <v>0</v>
      </c>
      <c r="EV192" s="308">
        <f t="shared" si="165"/>
        <v>-706.33333333333337</v>
      </c>
      <c r="EW192" s="308">
        <f t="shared" si="166"/>
        <v>-1926.2633333333333</v>
      </c>
      <c r="EX192" s="309"/>
      <c r="EY192" s="309">
        <f>_xlfn.IFNA(VLOOKUP($A192,'Cash Advances'!$A:$S,17,FALSE),0)</f>
        <v>0</v>
      </c>
      <c r="EZ192" s="309">
        <f>_xlfn.IFNA(VLOOKUP(A192,'LA Deductions'!A:AZ,25,FALSE),0)/9</f>
        <v>0</v>
      </c>
      <c r="FA192" s="308">
        <f t="shared" si="177"/>
        <v>159772.30836421993</v>
      </c>
      <c r="FB192" s="315">
        <f t="shared" si="167"/>
        <v>162404.90503088661</v>
      </c>
      <c r="FC192" s="315"/>
      <c r="FD192" s="316"/>
      <c r="FE192" s="316">
        <f>_xlfn.IFNA((VLOOKUP($A192,HN!$A:$K,8,FALSE)/12),0)+_xlfn.IFNA((VLOOKUP($A192,HN!$A:$AF,32,FALSE)*1/12),0)</f>
        <v>0</v>
      </c>
      <c r="FF192" s="316">
        <f>_xlfn.IFNA((VLOOKUP($A192,HN!$A:$BS,14,FALSE)/12),0)+_xlfn.IFNA((VLOOKUP($A192,HN!$A:$BS,34,FALSE)/3),0)</f>
        <v>0</v>
      </c>
      <c r="FG192" s="316">
        <f>_xlfn.IFNA(VLOOKUP($A192,'Post 16'!$A:$AV,32,FALSE),0)/8</f>
        <v>0</v>
      </c>
      <c r="FH192" s="316"/>
      <c r="FI192" s="316">
        <f>_xlfn.IFNA((VLOOKUP($A192,HN!$A:$K,9,FALSE)/12),0)+_xlfn.IFNA((VLOOKUP($A192,HN!$A:$K,10,FALSE)/12),0)+_xlfn.IFNA((VLOOKUP($A192,HN!$A:$BZ,33,FALSE)/12),0)+_xlfn.IFNA((VLOOKUP($A192,HN!$A:$BZ,35,FALSE)/2),0)</f>
        <v>0</v>
      </c>
      <c r="FJ192" s="316">
        <f>_xlfn.IFNA((VLOOKUP($A192,HN!$A:$BS,15,FALSE)/12),0)+_xlfn.IFNA((VLOOKUP($A192,HN!$A:$CZ,36,FALSE)/2),0)</f>
        <v>0</v>
      </c>
      <c r="FK192" s="315">
        <f t="shared" si="168"/>
        <v>-706.33333333333337</v>
      </c>
      <c r="FL192" s="315">
        <f t="shared" si="169"/>
        <v>-1926.2633333333333</v>
      </c>
      <c r="FM192" s="316"/>
      <c r="FN192" s="316">
        <f>_xlfn.IFNA(VLOOKUP($A192,'Cash Advances'!$A:$S,18,FALSE),0)</f>
        <v>0</v>
      </c>
      <c r="FO192" s="316">
        <f>_xlfn.IFNA(VLOOKUP(A192,'LA Deductions'!A:AZ,25,FALSE),0)/9</f>
        <v>0</v>
      </c>
      <c r="FP192" s="315">
        <f t="shared" si="178"/>
        <v>159772.30836421993</v>
      </c>
      <c r="FQ192" s="322">
        <f t="shared" si="170"/>
        <v>162404.90503088661</v>
      </c>
      <c r="FR192" s="322"/>
      <c r="FS192" s="323"/>
      <c r="FT192" s="323">
        <f>_xlfn.IFNA((VLOOKUP($A192,HN!$A:$K,8,FALSE)/12),0)+_xlfn.IFNA((VLOOKUP($A192,HN!$A:$AF,32,FALSE)*1/12),0)</f>
        <v>0</v>
      </c>
      <c r="FU192" s="323">
        <f>_xlfn.IFNA((VLOOKUP($A192,HN!$A:$BS,14,FALSE)/12),0)+_xlfn.IFNA((VLOOKUP($A192,HN!$A:$BS,34,FALSE)/3),0)</f>
        <v>0</v>
      </c>
      <c r="FV192" s="323">
        <f>_xlfn.IFNA(VLOOKUP($A192,'Post 16'!$A:$AV,32,FALSE),0)/8</f>
        <v>0</v>
      </c>
      <c r="FW192" s="323"/>
      <c r="FX192" s="323">
        <f>_xlfn.IFNA((VLOOKUP($A192,HN!$A:$K,9,FALSE)/12),0)+_xlfn.IFNA((VLOOKUP($A192,HN!$A:$K,10,FALSE)/12),0)+_xlfn.IFNA((VLOOKUP($A192,HN!$A:$BZ,33,FALSE)/12),0)+_xlfn.IFNA((VLOOKUP($A192,HN!$A:$BZ,35,FALSE)/2),0)</f>
        <v>0</v>
      </c>
      <c r="FY192" s="323">
        <f>_xlfn.IFNA((VLOOKUP($A192,HN!$A:$BS,15,FALSE)/12),0)+_xlfn.IFNA((VLOOKUP($A192,HN!$A:$CZ,36,FALSE)/2),0)</f>
        <v>0</v>
      </c>
      <c r="FZ192" s="322">
        <f t="shared" si="171"/>
        <v>-706.33333333333337</v>
      </c>
      <c r="GA192" s="322">
        <f t="shared" si="172"/>
        <v>-1926.2633333333333</v>
      </c>
      <c r="GB192" s="323"/>
      <c r="GC192" s="323"/>
      <c r="GD192" s="323">
        <f>_xlfn.IFNA(VLOOKUP(A192,'LA Deductions'!A:AZ,25,FALSE),0)/9</f>
        <v>0</v>
      </c>
      <c r="GE192" s="322">
        <f t="shared" si="179"/>
        <v>159772.30836421993</v>
      </c>
      <c r="GG192" s="146">
        <f t="shared" si="236"/>
        <v>1948858.8603706395</v>
      </c>
      <c r="GH192" s="146">
        <f t="shared" si="236"/>
        <v>0</v>
      </c>
      <c r="GI192" s="146">
        <f t="shared" si="236"/>
        <v>0</v>
      </c>
      <c r="GJ192" s="146">
        <f t="shared" si="236"/>
        <v>-8475.9999999999982</v>
      </c>
      <c r="GK192" s="146">
        <f t="shared" si="236"/>
        <v>-23115.159999999993</v>
      </c>
      <c r="GL192" s="146">
        <f t="shared" si="236"/>
        <v>-8775</v>
      </c>
      <c r="GN192" s="146">
        <f t="shared" si="237"/>
        <v>1948858.8603706395</v>
      </c>
      <c r="GO192" s="146">
        <f t="shared" si="237"/>
        <v>0</v>
      </c>
      <c r="GP192" s="146">
        <f t="shared" si="237"/>
        <v>0</v>
      </c>
      <c r="GQ192" s="146">
        <f t="shared" si="237"/>
        <v>-8475.9999999999982</v>
      </c>
      <c r="GR192" s="146">
        <f t="shared" si="237"/>
        <v>-23115.159999999993</v>
      </c>
      <c r="GS192" s="146">
        <f t="shared" si="237"/>
        <v>-8775</v>
      </c>
      <c r="GU192" s="146"/>
      <c r="GV192" s="57"/>
    </row>
    <row r="193" spans="1:204">
      <c r="A193" s="185">
        <v>2157</v>
      </c>
      <c r="B193" s="185">
        <v>103246</v>
      </c>
      <c r="C193" s="185" t="s">
        <v>406</v>
      </c>
      <c r="D193" s="2" t="s">
        <v>407</v>
      </c>
      <c r="E193" s="191" t="s">
        <v>32</v>
      </c>
      <c r="F193" s="191" t="s">
        <v>912</v>
      </c>
      <c r="H193" s="279">
        <f>_xlfn.IFNA(VLOOKUP($A193,ISB!$A$4:$BY$454,67,FALSE),0)</f>
        <v>2022245.2966794143</v>
      </c>
      <c r="I193" s="279">
        <f>_xlfn.IFNA(VLOOKUP($A193,ISB!$A$4:$BY$454,72,FALSE),0)</f>
        <v>-10040.799999999999</v>
      </c>
      <c r="J193" s="279">
        <f>-_xlfn.IFNA(VLOOKUP($A193,ISB!$A$4:$BY$454,76,FALSE),0)</f>
        <v>-27559.83</v>
      </c>
      <c r="K193" s="279">
        <f>_xlfn.IFNA(VLOOKUP($A193,ISB!$A$4:$BY$454,77,FALSE),0)</f>
        <v>1984644.6666794142</v>
      </c>
      <c r="M193" s="301">
        <f t="shared" si="137"/>
        <v>168520.44138995119</v>
      </c>
      <c r="N193" s="301">
        <f>VLOOKUP($A193,EY!$A:$H,8,FALSE)+(VLOOKUP($A193,EY!$A:$BS,17,FALSE)-S193)+VLOOKUP($A193,EY!$A:$BS,41,FALSE)</f>
        <v>34555.560000000005</v>
      </c>
      <c r="O193" s="302"/>
      <c r="P193" s="302">
        <f>_xlfn.IFNA((VLOOKUP($A193,HN!$A:$K,8,FALSE)/12),0)</f>
        <v>0</v>
      </c>
      <c r="Q193" s="302">
        <f>_xlfn.IFNA((VLOOKUP($A193,HN!$A:$BS,14,FALSE)/12),0)</f>
        <v>0</v>
      </c>
      <c r="R193" s="302">
        <f>_xlfn.IFNA(VLOOKUP($A193,'Post 16'!$A:$V,21,FALSE),0)/4</f>
        <v>0</v>
      </c>
      <c r="S193" s="302">
        <f>VLOOKUP($A193,EY!A:Q,15,FALSE)*80%</f>
        <v>0</v>
      </c>
      <c r="T193" s="302">
        <f>_xlfn.IFNA((VLOOKUP($A193,HN!$A:$K,9,FALSE)/12),0)+_xlfn.IFNA((VLOOKUP($A193,HN!$A:$K,10,FALSE)/12),0)</f>
        <v>0</v>
      </c>
      <c r="U193" s="302">
        <f>_xlfn.IFNA((VLOOKUP($A193,HN!$A:$BS,15,FALSE)/12),0)</f>
        <v>0</v>
      </c>
      <c r="V193" s="301">
        <f t="shared" si="138"/>
        <v>-836.73333333333323</v>
      </c>
      <c r="W193" s="301">
        <f t="shared" si="139"/>
        <v>-2296.6525000000001</v>
      </c>
      <c r="X193" s="302"/>
      <c r="Y193" s="302">
        <f>_xlfn.IFNA(VLOOKUP($A193,'Cash Advances'!$A:$S,8,FALSE),0)</f>
        <v>0</v>
      </c>
      <c r="Z193" s="301">
        <f t="shared" si="186"/>
        <v>199942.61555661785</v>
      </c>
      <c r="AA193" s="315">
        <f t="shared" si="140"/>
        <v>168520.44138995119</v>
      </c>
      <c r="AB193" s="315"/>
      <c r="AC193" s="316"/>
      <c r="AD193" s="316">
        <f>_xlfn.IFNA((VLOOKUP($A193,HN!$A:$K,8,FALSE)/12),0)</f>
        <v>0</v>
      </c>
      <c r="AE193" s="316">
        <f>_xlfn.IFNA((VLOOKUP($A193,HN!$A:$BS,14,FALSE)/12),0)</f>
        <v>0</v>
      </c>
      <c r="AF193" s="316">
        <f>_xlfn.IFNA(VLOOKUP($A193,'Post 16'!$A:$V,21,FALSE),0)/4</f>
        <v>0</v>
      </c>
      <c r="AG193" s="316"/>
      <c r="AH193" s="316">
        <f>_xlfn.IFNA((VLOOKUP($A193,HN!$A:$K,9,FALSE)/12),0)+_xlfn.IFNA((VLOOKUP($A193,HN!$A:$K,10,FALSE)/12),0)</f>
        <v>0</v>
      </c>
      <c r="AI193" s="316">
        <f>_xlfn.IFNA((VLOOKUP($A193,HN!$A:$BS,15,FALSE)/12),0)</f>
        <v>0</v>
      </c>
      <c r="AJ193" s="315">
        <f t="shared" si="141"/>
        <v>-836.73333333333323</v>
      </c>
      <c r="AK193" s="315">
        <f t="shared" si="142"/>
        <v>-2296.6525000000001</v>
      </c>
      <c r="AL193" s="316"/>
      <c r="AM193" s="316">
        <f>_xlfn.IFNA(VLOOKUP($A193,'Cash Advances'!$A:$S,9,FALSE),0)</f>
        <v>0</v>
      </c>
      <c r="AN193" s="315">
        <f t="shared" si="187"/>
        <v>165387.05555661785</v>
      </c>
      <c r="AO193" s="308">
        <f t="shared" si="143"/>
        <v>168520.44138995119</v>
      </c>
      <c r="AP193" s="308"/>
      <c r="AQ193" s="309"/>
      <c r="AR193" s="309">
        <f>_xlfn.IFNA((VLOOKUP($A193,HN!$A:$K,8,FALSE)/12),0)</f>
        <v>0</v>
      </c>
      <c r="AS193" s="309">
        <f>_xlfn.IFNA((VLOOKUP($A193,HN!$A:$BS,14,FALSE)/12),0)</f>
        <v>0</v>
      </c>
      <c r="AT193" s="309">
        <f>_xlfn.IFNA(VLOOKUP($A193,'Post 16'!$A:$V,21,FALSE),0)/4</f>
        <v>0</v>
      </c>
      <c r="AU193" s="309"/>
      <c r="AV193" s="309">
        <f>_xlfn.IFNA((VLOOKUP($A193,HN!$A:$K,9,FALSE)/12),0)+_xlfn.IFNA((VLOOKUP($A193,HN!$A:$K,10,FALSE)/12),0)+_xlfn.IFNA(VLOOKUP(A193,HN!A:V,19,FALSE),0)+_xlfn.IFNA(VLOOKUP(A193,HN!A:V,20,FALSE),0)+_xlfn.IFNA(VLOOKUP(A193,HN!A:V,21,FALSE),0)</f>
        <v>0</v>
      </c>
      <c r="AW193" s="309">
        <f>_xlfn.IFNA((VLOOKUP($A193,HN!$A:$BS,15,FALSE)/12),0)</f>
        <v>0</v>
      </c>
      <c r="AX193" s="308">
        <f t="shared" si="144"/>
        <v>-836.73333333333323</v>
      </c>
      <c r="AY193" s="308">
        <f t="shared" si="145"/>
        <v>-2296.6525000000001</v>
      </c>
      <c r="AZ193" s="309"/>
      <c r="BA193" s="309">
        <f>_xlfn.IFNA(VLOOKUP($A193,'Cash Advances'!$A:$S,10,FALSE),0)</f>
        <v>0</v>
      </c>
      <c r="BB193" s="308">
        <f t="shared" si="188"/>
        <v>165387.05555661785</v>
      </c>
      <c r="BC193" s="330">
        <f t="shared" si="146"/>
        <v>168520.44138995119</v>
      </c>
      <c r="BD193" s="330"/>
      <c r="BE193" s="331"/>
      <c r="BF193" s="331">
        <f>_xlfn.IFNA((VLOOKUP($A193,HN!$A:$K,8,FALSE)/12),0)</f>
        <v>0</v>
      </c>
      <c r="BG193" s="331">
        <f>_xlfn.IFNA((VLOOKUP($A193,HN!$A:$BS,14,FALSE)/12),0)</f>
        <v>0</v>
      </c>
      <c r="BH193" s="331">
        <f>_xlfn.IFNA(VLOOKUP($A193,'Post 16'!$A:$V,21,FALSE),0)/4</f>
        <v>0</v>
      </c>
      <c r="BI193" s="331"/>
      <c r="BJ193" s="331">
        <f>_xlfn.IFNA((VLOOKUP($A193,HN!$A:$K,9,FALSE)/12),0)+_xlfn.IFNA((VLOOKUP($A193,HN!$A:$K,10,FALSE)/12),0)</f>
        <v>0</v>
      </c>
      <c r="BK193" s="331">
        <f>_xlfn.IFNA((VLOOKUP($A193,HN!$A:$BS,15,FALSE)/12),0)</f>
        <v>0</v>
      </c>
      <c r="BL193" s="330">
        <f t="shared" si="147"/>
        <v>-836.73333333333323</v>
      </c>
      <c r="BM193" s="330">
        <f t="shared" si="148"/>
        <v>-2296.6525000000001</v>
      </c>
      <c r="BN193" s="331"/>
      <c r="BO193" s="331">
        <f>_xlfn.IFNA(VLOOKUP(A193,'Cash Advances'!A:K,11,FALSE),0)</f>
        <v>0</v>
      </c>
      <c r="BP193" s="330">
        <f t="shared" si="189"/>
        <v>165387.05555661785</v>
      </c>
      <c r="BQ193" s="322">
        <f t="shared" si="149"/>
        <v>168520.44138995119</v>
      </c>
      <c r="BR193" s="322"/>
      <c r="BS193" s="323"/>
      <c r="BT193" s="323">
        <f>_xlfn.IFNA((VLOOKUP($A193,HN!$A:$K,8,FALSE)/12),0)</f>
        <v>0</v>
      </c>
      <c r="BU193" s="323">
        <f>_xlfn.IFNA((VLOOKUP($A193,HN!$A:$BS,14,FALSE)/12),0)</f>
        <v>0</v>
      </c>
      <c r="BV193" s="323">
        <f>(_xlfn.IFNA(VLOOKUP($A193,'Post 16'!$A:$AV,32,FALSE),0)/8)+_xlfn.IFNA(VLOOKUP($A193,'Post 16'!$A:$AR,40,FALSE),0)</f>
        <v>0</v>
      </c>
      <c r="BW193" s="323"/>
      <c r="BX193" s="323">
        <f>_xlfn.IFNA((VLOOKUP($A193,HN!$A:$K,9,FALSE)/12),0)+_xlfn.IFNA((VLOOKUP($A193,HN!$A:$K,10,FALSE)/12),0)</f>
        <v>0</v>
      </c>
      <c r="BY193" s="323">
        <f>_xlfn.IFNA((VLOOKUP($A193,HN!$A:$BS,15,FALSE)/12),0)</f>
        <v>0</v>
      </c>
      <c r="BZ193" s="322">
        <f t="shared" si="150"/>
        <v>-836.73333333333323</v>
      </c>
      <c r="CA193" s="322">
        <f t="shared" si="151"/>
        <v>-2296.6525000000001</v>
      </c>
      <c r="CB193" s="323"/>
      <c r="CC193" s="323"/>
      <c r="CD193" s="322">
        <f t="shared" si="190"/>
        <v>165387.05555661785</v>
      </c>
      <c r="CE193" s="357">
        <f t="shared" si="152"/>
        <v>168520.44138995119</v>
      </c>
      <c r="CF193" s="357">
        <f>(VLOOKUP($A193,EY!$A:$BS,26,FALSE)-(VLOOKUP($A193,EY!A:CR,24,FALSE)*80%))+VLOOKUP($A193,EY!$A:$BS,42,FALSE)+(VLOOKUP($A193,EY!A:CC,74,FALSE)-VLOOKUP($A193,EY!A:CC,72,FALSE))</f>
        <v>19423.950000000004</v>
      </c>
      <c r="CG193" s="358"/>
      <c r="CH193" s="358">
        <f>_xlfn.IFNA((VLOOKUP($A193,HN!$A:$K,8,FALSE)/12),0)</f>
        <v>0</v>
      </c>
      <c r="CI193" s="358">
        <f>_xlfn.IFNA((VLOOKUP($A193,HN!$A:$BS,14,FALSE)/12),0)</f>
        <v>0</v>
      </c>
      <c r="CJ193" s="358">
        <f>(_xlfn.IFNA(VLOOKUP($A193,'Post 16'!$A:$AV,32,FALSE),0)/8)</f>
        <v>0</v>
      </c>
      <c r="CK193" s="358">
        <f>(VLOOKUP($A193,EY!A:CR,24,FALSE)*80%)+VLOOKUP($A193,EY!A:CC,72,FALSE)</f>
        <v>0</v>
      </c>
      <c r="CL193" s="358">
        <f>_xlfn.IFNA((VLOOKUP($A193,HN!$A:$K,9,FALSE)/12),0)+_xlfn.IFNA((VLOOKUP($A193,HN!$A:$K,10,FALSE)/12),0)</f>
        <v>0</v>
      </c>
      <c r="CM193" s="358">
        <f>_xlfn.IFNA((VLOOKUP($A193,HN!$A:$BS,15,FALSE)/12),0)</f>
        <v>0</v>
      </c>
      <c r="CN193" s="357">
        <f t="shared" si="153"/>
        <v>-836.73333333333323</v>
      </c>
      <c r="CO193" s="357">
        <f t="shared" si="154"/>
        <v>-2296.6525000000001</v>
      </c>
      <c r="CP193" s="358">
        <f>_xlfn.IFNA(VLOOKUP(A193,'LA Deductions'!A:W,23,FALSE),0)</f>
        <v>-9471</v>
      </c>
      <c r="CQ193" s="358">
        <f>_xlfn.IFNA(VLOOKUP($A193,'Cash Advances'!$A:$S,13,FALSE),0)</f>
        <v>0</v>
      </c>
      <c r="CR193" s="358">
        <f>_xlfn.IFNA(VLOOKUP(A193,'LA Deductions'!A:AZ,25,FALSE),0)/9*3</f>
        <v>0</v>
      </c>
      <c r="CS193" s="357">
        <f t="shared" si="173"/>
        <v>175340.00555661786</v>
      </c>
      <c r="CT193" s="337">
        <f t="shared" si="155"/>
        <v>168520.44138995119</v>
      </c>
      <c r="CU193" s="337"/>
      <c r="CV193" s="338">
        <f>_xlfn.IFNA(VLOOKUP(A193,'LA Deductions'!$A$6:$AN$207,34,FALSE),0)</f>
        <v>0</v>
      </c>
      <c r="CW193" s="338">
        <f>_xlfn.IFNA((VLOOKUP($A193,HN!$A:$K,8,FALSE)/12),0)</f>
        <v>0</v>
      </c>
      <c r="CX193" s="338">
        <f>_xlfn.IFNA((VLOOKUP($A193,HN!$A:$BS,14,FALSE)/12),0)</f>
        <v>0</v>
      </c>
      <c r="CY193" s="338">
        <f>_xlfn.IFNA(VLOOKUP($A193,'Post 16'!$A:$AV,32,FALSE),0)/8</f>
        <v>0</v>
      </c>
      <c r="CZ193" s="338"/>
      <c r="DA193" s="338">
        <f>_xlfn.IFNA((VLOOKUP($A193,HN!$A:$K,9,FALSE)/12),0)+_xlfn.IFNA((VLOOKUP($A193,HN!$A:$K,10,FALSE)/12),0)</f>
        <v>0</v>
      </c>
      <c r="DB193" s="338">
        <f>_xlfn.IFNA((VLOOKUP($A193,HN!$A:$BS,15,FALSE)/12),0)</f>
        <v>0</v>
      </c>
      <c r="DC193" s="337">
        <f t="shared" si="156"/>
        <v>-836.73333333333323</v>
      </c>
      <c r="DD193" s="337">
        <f t="shared" si="157"/>
        <v>-2296.6525000000001</v>
      </c>
      <c r="DE193" s="338"/>
      <c r="DF193" s="338">
        <f>_xlfn.IFNA(VLOOKUP($A193,'Cash Advances'!$A:$S,14,FALSE),0)</f>
        <v>0</v>
      </c>
      <c r="DG193" s="338">
        <f>(_xlfn.IFNA(VLOOKUP(A193,'LA Deductions'!A:AZ,25,FALSE),0)/9)+(_xlfn.IFNA(VLOOKUP(A193,'LA Deductions'!A:AZ,26,FALSE),0))</f>
        <v>0</v>
      </c>
      <c r="DH193" s="337">
        <f t="shared" si="174"/>
        <v>165387.05555661785</v>
      </c>
      <c r="DI193" s="330">
        <f t="shared" si="158"/>
        <v>168520.44138995119</v>
      </c>
      <c r="DJ193" s="330"/>
      <c r="DK193" s="331"/>
      <c r="DL193" s="331">
        <f>_xlfn.IFNA((VLOOKUP($A193,HN!$A:$K,8,FALSE)/12),0)+_xlfn.IFNA((VLOOKUP($A193,HN!$A:$AF,32,FALSE)*8/12),0)</f>
        <v>0</v>
      </c>
      <c r="DM193" s="331">
        <f>_xlfn.IFNA((VLOOKUP($A193,HN!$A:$BS,14,FALSE)/12),0)+_xlfn.IFNA(VLOOKUP($A193,HN!$A:$BS,31,FALSE),0)</f>
        <v>0</v>
      </c>
      <c r="DN193" s="331">
        <f>_xlfn.IFNA(VLOOKUP($A193,'Post 16'!$A:$AV,32,FALSE),0)/8</f>
        <v>0</v>
      </c>
      <c r="DO193" s="331"/>
      <c r="DP193" s="331">
        <f>_xlfn.IFNA((VLOOKUP($A193,HN!$A:$K,9,FALSE)/12),0)+_xlfn.IFNA((VLOOKUP($A193,HN!$A:$K,10,FALSE)/12),0)+_xlfn.IFNA((VLOOKUP($A193,HN!$A:$BZ,33,FALSE)*8/12),0)</f>
        <v>0</v>
      </c>
      <c r="DQ193" s="331">
        <f>_xlfn.IFNA((VLOOKUP($A193,HN!$A:$BS,15,FALSE)/12),0)</f>
        <v>0</v>
      </c>
      <c r="DR193" s="330">
        <f t="shared" si="159"/>
        <v>-836.73333333333323</v>
      </c>
      <c r="DS193" s="330">
        <f t="shared" si="160"/>
        <v>-2296.6525000000001</v>
      </c>
      <c r="DT193" s="331"/>
      <c r="DU193" s="331"/>
      <c r="DV193" s="331">
        <f>(_xlfn.IFNA(VLOOKUP(A193,'LA Deductions'!A:AZ,25,FALSE),0)/9)+_xlfn.IFNA(VLOOKUP(A193,'LA Deductions'!A:AZ,27,FALSE),0)</f>
        <v>0</v>
      </c>
      <c r="DW193" s="330">
        <f t="shared" si="175"/>
        <v>165387.05555661785</v>
      </c>
      <c r="DX193" s="344">
        <f t="shared" si="161"/>
        <v>168520.44138995119</v>
      </c>
      <c r="DY193" s="344"/>
      <c r="DZ193" s="345"/>
      <c r="EA193" s="345">
        <f>_xlfn.IFNA((VLOOKUP($A193,HN!$A:$K,8,FALSE)/12),0)+_xlfn.IFNA((VLOOKUP($A193,HN!$A:$AF,32,FALSE)*1/12),0)</f>
        <v>0</v>
      </c>
      <c r="EB193" s="345">
        <f>_xlfn.IFNA((VLOOKUP($A193,HN!$A:$BS,14,FALSE)/12),0)</f>
        <v>0</v>
      </c>
      <c r="EC193" s="345">
        <f>_xlfn.IFNA(VLOOKUP($A193,'Post 16'!$A:$AV,32,FALSE),0)/8</f>
        <v>0</v>
      </c>
      <c r="ED193" s="345"/>
      <c r="EE193" s="345">
        <f>_xlfn.IFNA((VLOOKUP($A193,HN!$A:$K,9,FALSE)/12),0)+_xlfn.IFNA((VLOOKUP($A193,HN!$A:$K,10,FALSE)/12),0)+_xlfn.IFNA((VLOOKUP($A193,HN!$A:$BZ,33,FALSE)/12),0)</f>
        <v>0</v>
      </c>
      <c r="EF193" s="345">
        <f>_xlfn.IFNA((VLOOKUP($A193,HN!$A:$BS,15,FALSE)/12),0)</f>
        <v>0</v>
      </c>
      <c r="EG193" s="344">
        <f t="shared" si="162"/>
        <v>-836.73333333333323</v>
      </c>
      <c r="EH193" s="344">
        <f t="shared" si="163"/>
        <v>-2296.6525000000001</v>
      </c>
      <c r="EI193" s="345"/>
      <c r="EJ193" s="345">
        <f>_xlfn.IFNA(VLOOKUP(A193,'Cash Advances'!A:P,16,FALSE),0)</f>
        <v>0</v>
      </c>
      <c r="EK193" s="345">
        <f>_xlfn.IFNA(VLOOKUP(A193,'LA Deductions'!A:AZ,25,FALSE),0)/9</f>
        <v>0</v>
      </c>
      <c r="EL193" s="344">
        <f t="shared" si="176"/>
        <v>165387.05555661785</v>
      </c>
      <c r="EM193" s="308">
        <f t="shared" si="164"/>
        <v>168520.44138995119</v>
      </c>
      <c r="EN193" s="308">
        <f>((VLOOKUP($A193,EY!$A:$BS,35,FALSE)-(VLOOKUP($A193,EY!$A:$BS,33,FALSE)*80%))+VLOOKUP($A193,EY!$A:$BS,43,FALSE))+(VLOOKUP(A193,EY!A:DF,110,FALSE)-VLOOKUP(A193,EY!A:DD,108,FALSE))+(VLOOKUP(A193,EY!A:CE,83,FALSE)-VLOOKUP(A193,EY!A:CC,81,FALSE))</f>
        <v>40309.006869806093</v>
      </c>
      <c r="EO193" s="309"/>
      <c r="EP193" s="309">
        <f>_xlfn.IFNA((VLOOKUP($A193,HN!$A:$K,8,FALSE)/12),0)+_xlfn.IFNA((VLOOKUP($A193,HN!$A:$AF,32,FALSE)*1/12),0)</f>
        <v>0</v>
      </c>
      <c r="EQ193" s="309">
        <f>_xlfn.IFNA((VLOOKUP($A193,HN!$A:$BS,14,FALSE)/12),0)+_xlfn.IFNA((VLOOKUP($A193,HN!$A:$BS,34,FALSE)/3),0)</f>
        <v>0</v>
      </c>
      <c r="ER193" s="309">
        <f>_xlfn.IFNA(VLOOKUP($A193,'Post 16'!$A:$AV,32,FALSE),0)/8</f>
        <v>0</v>
      </c>
      <c r="ES193" s="309">
        <f>((VLOOKUP($A193,EY!A:EV,33,FALSE)*80%))+VLOOKUP(A193,EY!A:DD,108,FALSE)+VLOOKUP(A193,EY!A:CC,81,FALSE)</f>
        <v>0</v>
      </c>
      <c r="ET193" s="309">
        <f>_xlfn.IFNA((VLOOKUP($A193,HN!$A:$K,9,FALSE)/12),0)+_xlfn.IFNA((VLOOKUP($A193,HN!$A:$K,10,FALSE)/12),0)+_xlfn.IFNA((VLOOKUP($A193,HN!$A:$BZ,33,FALSE)/12),0)</f>
        <v>0</v>
      </c>
      <c r="EU193" s="309">
        <f>_xlfn.IFNA((VLOOKUP($A193,HN!$A:$BS,15,FALSE)/12),0)</f>
        <v>0</v>
      </c>
      <c r="EV193" s="308">
        <f t="shared" si="165"/>
        <v>-836.73333333333323</v>
      </c>
      <c r="EW193" s="308">
        <f t="shared" si="166"/>
        <v>-2296.6525000000001</v>
      </c>
      <c r="EX193" s="309"/>
      <c r="EY193" s="309">
        <f>_xlfn.IFNA(VLOOKUP($A193,'Cash Advances'!$A:$S,17,FALSE),0)</f>
        <v>0</v>
      </c>
      <c r="EZ193" s="309">
        <f>_xlfn.IFNA(VLOOKUP(A193,'LA Deductions'!A:AZ,25,FALSE),0)/9</f>
        <v>0</v>
      </c>
      <c r="FA193" s="308">
        <f t="shared" si="177"/>
        <v>205696.06242642394</v>
      </c>
      <c r="FB193" s="315">
        <f t="shared" si="167"/>
        <v>168520.44138995119</v>
      </c>
      <c r="FC193" s="315"/>
      <c r="FD193" s="316"/>
      <c r="FE193" s="316">
        <f>_xlfn.IFNA((VLOOKUP($A193,HN!$A:$K,8,FALSE)/12),0)+_xlfn.IFNA((VLOOKUP($A193,HN!$A:$AF,32,FALSE)*1/12),0)</f>
        <v>0</v>
      </c>
      <c r="FF193" s="316">
        <f>_xlfn.IFNA((VLOOKUP($A193,HN!$A:$BS,14,FALSE)/12),0)+_xlfn.IFNA((VLOOKUP($A193,HN!$A:$BS,34,FALSE)/3),0)</f>
        <v>0</v>
      </c>
      <c r="FG193" s="316">
        <f>_xlfn.IFNA(VLOOKUP($A193,'Post 16'!$A:$AV,32,FALSE),0)/8</f>
        <v>0</v>
      </c>
      <c r="FH193" s="316"/>
      <c r="FI193" s="316">
        <f>_xlfn.IFNA((VLOOKUP($A193,HN!$A:$K,9,FALSE)/12),0)+_xlfn.IFNA((VLOOKUP($A193,HN!$A:$K,10,FALSE)/12),0)+_xlfn.IFNA((VLOOKUP($A193,HN!$A:$BZ,33,FALSE)/12),0)+_xlfn.IFNA((VLOOKUP($A193,HN!$A:$BZ,35,FALSE)/2),0)</f>
        <v>0</v>
      </c>
      <c r="FJ193" s="316">
        <f>_xlfn.IFNA((VLOOKUP($A193,HN!$A:$BS,15,FALSE)/12),0)+_xlfn.IFNA((VLOOKUP($A193,HN!$A:$CZ,36,FALSE)/2),0)</f>
        <v>0</v>
      </c>
      <c r="FK193" s="315">
        <f t="shared" si="168"/>
        <v>-836.73333333333323</v>
      </c>
      <c r="FL193" s="315">
        <f t="shared" si="169"/>
        <v>-2296.6525000000001</v>
      </c>
      <c r="FM193" s="316"/>
      <c r="FN193" s="316">
        <f>_xlfn.IFNA(VLOOKUP($A193,'Cash Advances'!$A:$S,18,FALSE),0)</f>
        <v>0</v>
      </c>
      <c r="FO193" s="316">
        <f>_xlfn.IFNA(VLOOKUP(A193,'LA Deductions'!A:AZ,25,FALSE),0)/9</f>
        <v>0</v>
      </c>
      <c r="FP193" s="315">
        <f t="shared" si="178"/>
        <v>165387.05555661785</v>
      </c>
      <c r="FQ193" s="322">
        <f t="shared" si="170"/>
        <v>168520.44138995119</v>
      </c>
      <c r="FR193" s="322"/>
      <c r="FS193" s="323"/>
      <c r="FT193" s="323">
        <f>_xlfn.IFNA((VLOOKUP($A193,HN!$A:$K,8,FALSE)/12),0)+_xlfn.IFNA((VLOOKUP($A193,HN!$A:$AF,32,FALSE)*1/12),0)</f>
        <v>0</v>
      </c>
      <c r="FU193" s="323">
        <f>_xlfn.IFNA((VLOOKUP($A193,HN!$A:$BS,14,FALSE)/12),0)+_xlfn.IFNA((VLOOKUP($A193,HN!$A:$BS,34,FALSE)/3),0)</f>
        <v>0</v>
      </c>
      <c r="FV193" s="323">
        <f>_xlfn.IFNA(VLOOKUP($A193,'Post 16'!$A:$AV,32,FALSE),0)/8</f>
        <v>0</v>
      </c>
      <c r="FW193" s="323"/>
      <c r="FX193" s="323">
        <f>_xlfn.IFNA((VLOOKUP($A193,HN!$A:$K,9,FALSE)/12),0)+_xlfn.IFNA((VLOOKUP($A193,HN!$A:$K,10,FALSE)/12),0)+_xlfn.IFNA((VLOOKUP($A193,HN!$A:$BZ,33,FALSE)/12),0)+_xlfn.IFNA((VLOOKUP($A193,HN!$A:$BZ,35,FALSE)/2),0)</f>
        <v>0</v>
      </c>
      <c r="FY193" s="323">
        <f>_xlfn.IFNA((VLOOKUP($A193,HN!$A:$BS,15,FALSE)/12),0)+_xlfn.IFNA((VLOOKUP($A193,HN!$A:$CZ,36,FALSE)/2),0)</f>
        <v>0</v>
      </c>
      <c r="FZ193" s="322">
        <f t="shared" si="171"/>
        <v>-836.73333333333323</v>
      </c>
      <c r="GA193" s="322">
        <f t="shared" si="172"/>
        <v>-2296.6525000000001</v>
      </c>
      <c r="GB193" s="323"/>
      <c r="GC193" s="323"/>
      <c r="GD193" s="323">
        <f>_xlfn.IFNA(VLOOKUP(A193,'LA Deductions'!A:AZ,25,FALSE),0)/9</f>
        <v>0</v>
      </c>
      <c r="GE193" s="322">
        <f t="shared" si="179"/>
        <v>165387.05555661785</v>
      </c>
      <c r="GG193" s="146">
        <f t="shared" si="236"/>
        <v>2116533.8135492201</v>
      </c>
      <c r="GH193" s="146">
        <f t="shared" si="236"/>
        <v>0</v>
      </c>
      <c r="GI193" s="146">
        <f t="shared" si="236"/>
        <v>0</v>
      </c>
      <c r="GJ193" s="146">
        <f t="shared" si="236"/>
        <v>-10040.800000000001</v>
      </c>
      <c r="GK193" s="146">
        <f t="shared" si="236"/>
        <v>-27559.83</v>
      </c>
      <c r="GL193" s="146">
        <f t="shared" si="236"/>
        <v>-9471</v>
      </c>
      <c r="GN193" s="146">
        <f t="shared" si="237"/>
        <v>2116533.8135492201</v>
      </c>
      <c r="GO193" s="146">
        <f t="shared" si="237"/>
        <v>0</v>
      </c>
      <c r="GP193" s="146">
        <f t="shared" si="237"/>
        <v>0</v>
      </c>
      <c r="GQ193" s="146">
        <f t="shared" si="237"/>
        <v>-10040.800000000001</v>
      </c>
      <c r="GR193" s="146">
        <f t="shared" si="237"/>
        <v>-27559.83</v>
      </c>
      <c r="GS193" s="146">
        <f t="shared" si="237"/>
        <v>-9471</v>
      </c>
      <c r="GU193" s="146"/>
      <c r="GV193" s="57"/>
    </row>
    <row r="194" spans="1:204" s="378" customFormat="1">
      <c r="A194" s="445">
        <v>7053</v>
      </c>
      <c r="B194" s="445">
        <v>103628</v>
      </c>
      <c r="C194" s="445" t="s">
        <v>216</v>
      </c>
      <c r="D194" s="446" t="s">
        <v>217</v>
      </c>
      <c r="E194" s="372" t="s">
        <v>47</v>
      </c>
      <c r="F194" s="372" t="s">
        <v>911</v>
      </c>
      <c r="H194" s="447">
        <f>_xlfn.IFNA(VLOOKUP($A194,ISB!$A$4:$BY$454,67,FALSE),0)</f>
        <v>0</v>
      </c>
      <c r="I194" s="447">
        <f>_xlfn.IFNA(VLOOKUP($A194,ISB!$A$4:$BY$454,72,FALSE),0)</f>
        <v>0</v>
      </c>
      <c r="J194" s="447">
        <f>-_xlfn.IFNA(VLOOKUP($A194,ISB!$A$4:$BY$454,76,FALSE),0)</f>
        <v>0</v>
      </c>
      <c r="K194" s="447">
        <f>_xlfn.IFNA(VLOOKUP($A194,ISB!$A$4:$BY$454,77,FALSE),0)</f>
        <v>0</v>
      </c>
      <c r="M194" s="448">
        <f>$H194/12</f>
        <v>0</v>
      </c>
      <c r="N194" s="448">
        <f>VLOOKUP($A194,EY!$A:$H,8,FALSE)+(VLOOKUP($A194,EY!$A:$BS,17,FALSE)-S194)+VLOOKUP($A194,EY!$A:$BS,41,FALSE)</f>
        <v>0</v>
      </c>
      <c r="O194" s="449"/>
      <c r="P194" s="449">
        <f>_xlfn.IFNA((VLOOKUP($A194,HN!$A:$K,8,FALSE)/12),0)</f>
        <v>165825</v>
      </c>
      <c r="Q194" s="449">
        <f>_xlfn.IFNA((VLOOKUP($A194,HN!$A:$BS,14,FALSE)/12),0)</f>
        <v>0</v>
      </c>
      <c r="R194" s="449">
        <f>_xlfn.IFNA(VLOOKUP($A194,'Post 16'!$A:$V,21,FALSE),0)/4</f>
        <v>0</v>
      </c>
      <c r="S194" s="449">
        <f>VLOOKUP($A194,EY!A:Q,15,FALSE)*80%</f>
        <v>0</v>
      </c>
      <c r="T194" s="449">
        <f>_xlfn.IFNA((VLOOKUP($A194,HN!$A:$K,9,FALSE)/12),0)+_xlfn.IFNA((VLOOKUP($A194,HN!$A:$K,10,FALSE)/12),0)</f>
        <v>152993.22683046406</v>
      </c>
      <c r="U194" s="449">
        <f>_xlfn.IFNA((VLOOKUP($A194,HN!$A:$BS,15,FALSE)/12),0)</f>
        <v>0</v>
      </c>
      <c r="V194" s="448">
        <f>$I194/12</f>
        <v>0</v>
      </c>
      <c r="W194" s="448">
        <f>$J194/12</f>
        <v>0</v>
      </c>
      <c r="X194" s="449"/>
      <c r="Y194" s="449">
        <f>_xlfn.IFNA(VLOOKUP($A194,'Cash Advances'!$A:$S,8,FALSE),0)</f>
        <v>0</v>
      </c>
      <c r="Z194" s="448">
        <f>SUM(M194:Y194)</f>
        <v>318818.22683046409</v>
      </c>
      <c r="AA194" s="448">
        <f>$H194/12</f>
        <v>0</v>
      </c>
      <c r="AB194" s="448"/>
      <c r="AC194" s="449"/>
      <c r="AD194" s="449">
        <f>_xlfn.IFNA((VLOOKUP($A194,HN!$A:$K,8,FALSE)/12),0)</f>
        <v>165825</v>
      </c>
      <c r="AE194" s="449">
        <f>_xlfn.IFNA((VLOOKUP($A194,HN!$A:$BS,14,FALSE)/12),0)</f>
        <v>0</v>
      </c>
      <c r="AF194" s="449">
        <f>_xlfn.IFNA(VLOOKUP($A194,'Post 16'!$A:$V,21,FALSE),0)/4</f>
        <v>0</v>
      </c>
      <c r="AG194" s="449"/>
      <c r="AH194" s="449">
        <f>_xlfn.IFNA((VLOOKUP($A194,HN!$A:$K,9,FALSE)/12),0)+_xlfn.IFNA((VLOOKUP($A194,HN!$A:$K,10,FALSE)/12),0)</f>
        <v>152993.22683046406</v>
      </c>
      <c r="AI194" s="449">
        <f>_xlfn.IFNA((VLOOKUP($A194,HN!$A:$BS,15,FALSE)/12),0)</f>
        <v>0</v>
      </c>
      <c r="AJ194" s="448">
        <f>$I194/12</f>
        <v>0</v>
      </c>
      <c r="AK194" s="448">
        <f>$J194/12</f>
        <v>0</v>
      </c>
      <c r="AL194" s="449"/>
      <c r="AM194" s="449">
        <f>_xlfn.IFNA(VLOOKUP($A194,'Cash Advances'!$A:$S,9,FALSE),0)</f>
        <v>0</v>
      </c>
      <c r="AN194" s="448">
        <f>SUM(AA194:AM194)</f>
        <v>318818.22683046409</v>
      </c>
      <c r="AO194" s="448">
        <f>$H194/12</f>
        <v>0</v>
      </c>
      <c r="AP194" s="448"/>
      <c r="AQ194" s="449"/>
      <c r="AR194" s="449">
        <f>_xlfn.IFNA((VLOOKUP($A194,HN!$A:$K,8,FALSE)/12),0)</f>
        <v>165825</v>
      </c>
      <c r="AS194" s="449">
        <f>_xlfn.IFNA((VLOOKUP($A194,HN!$A:$BS,14,FALSE)/12),0)</f>
        <v>0</v>
      </c>
      <c r="AT194" s="449">
        <f>_xlfn.IFNA(VLOOKUP($A194,'Post 16'!$A:$V,21,FALSE),0)/4</f>
        <v>0</v>
      </c>
      <c r="AU194" s="449"/>
      <c r="AV194" s="449">
        <f>_xlfn.IFNA((VLOOKUP($A194,HN!$A:$K,9,FALSE)/12),0)+_xlfn.IFNA((VLOOKUP($A194,HN!$A:$K,10,FALSE)/12),0)+_xlfn.IFNA(VLOOKUP(A194,HN!A:V,19,FALSE),0)+_xlfn.IFNA(VLOOKUP(A194,HN!A:V,20,FALSE),0)+_xlfn.IFNA(VLOOKUP(A194,HN!A:V,21,FALSE),0)</f>
        <v>550804.7652920027</v>
      </c>
      <c r="AW194" s="449">
        <f>_xlfn.IFNA((VLOOKUP($A194,HN!$A:$BS,15,FALSE)/12),0)</f>
        <v>0</v>
      </c>
      <c r="AX194" s="448">
        <f>$I194/12</f>
        <v>0</v>
      </c>
      <c r="AY194" s="448">
        <f>$J194/12</f>
        <v>0</v>
      </c>
      <c r="AZ194" s="449"/>
      <c r="BA194" s="449">
        <f>_xlfn.IFNA(VLOOKUP($A194,'Cash Advances'!$A:$S,10,FALSE),0)</f>
        <v>0</v>
      </c>
      <c r="BB194" s="448">
        <f>SUM(AO194:BA194)</f>
        <v>716629.7652920027</v>
      </c>
      <c r="BC194" s="448">
        <f>$H194/12</f>
        <v>0</v>
      </c>
      <c r="BD194" s="448"/>
      <c r="BE194" s="449"/>
      <c r="BF194" s="449">
        <f>_xlfn.IFNA((VLOOKUP($A194,HN!$A:$K,8,FALSE)/12),0)</f>
        <v>165825</v>
      </c>
      <c r="BG194" s="449">
        <f>_xlfn.IFNA((VLOOKUP($A194,HN!$A:$BS,14,FALSE)/12),0)</f>
        <v>0</v>
      </c>
      <c r="BH194" s="449">
        <f>_xlfn.IFNA(VLOOKUP($A194,'Post 16'!$A:$V,21,FALSE),0)/4</f>
        <v>0</v>
      </c>
      <c r="BI194" s="449"/>
      <c r="BJ194" s="449">
        <f>_xlfn.IFNA((VLOOKUP($A194,HN!$A:$K,9,FALSE)/12),0)+_xlfn.IFNA((VLOOKUP($A194,HN!$A:$K,10,FALSE)/12),0)</f>
        <v>152993.22683046406</v>
      </c>
      <c r="BK194" s="449">
        <f>_xlfn.IFNA((VLOOKUP($A194,HN!$A:$BS,15,FALSE)/12),0)</f>
        <v>0</v>
      </c>
      <c r="BL194" s="448">
        <f>$I194/12</f>
        <v>0</v>
      </c>
      <c r="BM194" s="448">
        <f>$J194/12</f>
        <v>0</v>
      </c>
      <c r="BN194" s="449"/>
      <c r="BO194" s="449">
        <f>_xlfn.IFNA(VLOOKUP(A194,'Cash Advances'!A:K,11,FALSE),0)</f>
        <v>0</v>
      </c>
      <c r="BP194" s="448">
        <f>SUM(BC194:BO194)</f>
        <v>318818.22683046409</v>
      </c>
      <c r="BQ194" s="448">
        <f>$H194/12</f>
        <v>0</v>
      </c>
      <c r="BR194" s="448"/>
      <c r="BS194" s="449"/>
      <c r="BT194" s="449">
        <f>_xlfn.IFNA((VLOOKUP($A194,HN!$A:$K,8,FALSE)/12),0)</f>
        <v>165825</v>
      </c>
      <c r="BU194" s="449">
        <f>_xlfn.IFNA((VLOOKUP($A194,HN!$A:$BS,14,FALSE)/12),0)</f>
        <v>0</v>
      </c>
      <c r="BV194" s="449">
        <f>(_xlfn.IFNA(VLOOKUP($A194,'Post 16'!$A:$AV,32,FALSE),0)/8)+_xlfn.IFNA(VLOOKUP($A194,'Post 16'!$A:$AR,40,FALSE),0)</f>
        <v>0</v>
      </c>
      <c r="BW194" s="449"/>
      <c r="BX194" s="449">
        <f>_xlfn.IFNA((VLOOKUP($A194,HN!$A:$K,9,FALSE)/12),0)+_xlfn.IFNA((VLOOKUP($A194,HN!$A:$K,10,FALSE)/12),0)</f>
        <v>152993.22683046406</v>
      </c>
      <c r="BY194" s="449">
        <f>_xlfn.IFNA((VLOOKUP($A194,HN!$A:$BS,15,FALSE)/12),0)</f>
        <v>0</v>
      </c>
      <c r="BZ194" s="448">
        <f>$I194/12</f>
        <v>0</v>
      </c>
      <c r="CA194" s="448">
        <f>$J194/12</f>
        <v>0</v>
      </c>
      <c r="CB194" s="449"/>
      <c r="CC194" s="449"/>
      <c r="CD194" s="448">
        <f>SUM(BQ194:CC194)</f>
        <v>318818.22683046409</v>
      </c>
      <c r="CE194" s="448">
        <f>$H194/12</f>
        <v>0</v>
      </c>
      <c r="CF194" s="448">
        <f>(VLOOKUP($A194,EY!$A:$BS,26,FALSE)-(VLOOKUP($A194,EY!A:CR,24,FALSE)*80%))+VLOOKUP($A194,EY!$A:$BS,42,FALSE)+(VLOOKUP($A194,EY!A:CC,74,FALSE)-VLOOKUP($A194,EY!A:CC,72,FALSE))</f>
        <v>0</v>
      </c>
      <c r="CG194" s="449"/>
      <c r="CH194" s="449">
        <f>_xlfn.IFNA((VLOOKUP($A194,HN!$A:$K,8,FALSE)/12),0)</f>
        <v>165825</v>
      </c>
      <c r="CI194" s="449">
        <f>_xlfn.IFNA((VLOOKUP($A194,HN!$A:$BS,14,FALSE)/12),0)</f>
        <v>0</v>
      </c>
      <c r="CJ194" s="449">
        <f>(_xlfn.IFNA(VLOOKUP($A194,'Post 16'!$A:$AV,32,FALSE),0)/8)</f>
        <v>0</v>
      </c>
      <c r="CK194" s="449">
        <f>(VLOOKUP($A194,EY!A:CR,24,FALSE)*80%)+VLOOKUP($A194,EY!A:CC,72,FALSE)</f>
        <v>0</v>
      </c>
      <c r="CL194" s="449">
        <f>_xlfn.IFNA((VLOOKUP($A194,HN!$A:$K,9,FALSE)/12),0)+_xlfn.IFNA((VLOOKUP($A194,HN!$A:$K,10,FALSE)/12),0)</f>
        <v>152993.22683046406</v>
      </c>
      <c r="CM194" s="449">
        <f>_xlfn.IFNA((VLOOKUP($A194,HN!$A:$BS,15,FALSE)/12),0)</f>
        <v>0</v>
      </c>
      <c r="CN194" s="448">
        <f>$I194/12</f>
        <v>0</v>
      </c>
      <c r="CO194" s="448">
        <f>$J194/12</f>
        <v>0</v>
      </c>
      <c r="CP194" s="449">
        <f>-_xlfn.IFNA(VLOOKUP(A194,'LA Deductions'!A:W,10,FALSE),0)</f>
        <v>-5139.75</v>
      </c>
      <c r="CQ194" s="449">
        <f>_xlfn.IFNA(VLOOKUP($A194,'Cash Advances'!$A:$S,13,FALSE),0)</f>
        <v>0</v>
      </c>
      <c r="CR194" s="449">
        <f>_xlfn.IFNA(VLOOKUP(A194,'LA Deductions'!A:AZ,25,FALSE),0)/9*3</f>
        <v>0</v>
      </c>
      <c r="CS194" s="448">
        <f>SUM(CE194:CR194)</f>
        <v>313678.47683046409</v>
      </c>
      <c r="CT194" s="448">
        <f>$H194/12</f>
        <v>0</v>
      </c>
      <c r="CU194" s="448"/>
      <c r="CV194" s="449">
        <f>_xlfn.IFNA(VLOOKUP(A194,'LA Deductions'!$A$6:$AN$207,34,FALSE),0)</f>
        <v>0</v>
      </c>
      <c r="CW194" s="449"/>
      <c r="CX194" s="449"/>
      <c r="CY194" s="449"/>
      <c r="CZ194" s="449"/>
      <c r="DA194" s="449"/>
      <c r="DB194" s="449"/>
      <c r="DC194" s="448"/>
      <c r="DD194" s="448"/>
      <c r="DE194" s="449">
        <f>-_xlfn.IFNA(VLOOKUP(A194,'LA Deductions'!A:AL,16,FALSE),0)</f>
        <v>2569.875</v>
      </c>
      <c r="DF194" s="338">
        <f>_xlfn.IFNA(VLOOKUP($A194,'Cash Advances'!$A:$S,14,FALSE),0)</f>
        <v>0</v>
      </c>
      <c r="DG194" s="449"/>
      <c r="DH194" s="448">
        <f>SUM(CT194:DG194)</f>
        <v>2569.875</v>
      </c>
      <c r="DI194" s="448"/>
      <c r="DJ194" s="448"/>
      <c r="DK194" s="449"/>
      <c r="DL194" s="449"/>
      <c r="DM194" s="449"/>
      <c r="DN194" s="449"/>
      <c r="DO194" s="449"/>
      <c r="DP194" s="449"/>
      <c r="DQ194" s="449"/>
      <c r="DR194" s="448"/>
      <c r="DS194" s="448"/>
      <c r="DT194" s="449"/>
      <c r="DU194" s="449"/>
      <c r="DV194" s="449"/>
      <c r="DW194" s="448"/>
      <c r="DX194" s="448"/>
      <c r="DY194" s="344"/>
      <c r="DZ194" s="449"/>
      <c r="EA194" s="449"/>
      <c r="EB194" s="449"/>
      <c r="EC194" s="449"/>
      <c r="ED194" s="345"/>
      <c r="EE194" s="449"/>
      <c r="EF194" s="449"/>
      <c r="EG194" s="448"/>
      <c r="EH194" s="448"/>
      <c r="EI194" s="449"/>
      <c r="EJ194" s="345">
        <f>_xlfn.IFNA(VLOOKUP(A194,'Cash Advances'!A:P,16,FALSE),0)</f>
        <v>0</v>
      </c>
      <c r="EK194" s="449"/>
      <c r="EL194" s="448"/>
      <c r="EM194" s="448"/>
      <c r="EN194" s="448"/>
      <c r="EO194" s="449"/>
      <c r="EP194" s="449"/>
      <c r="EQ194" s="449"/>
      <c r="ER194" s="449"/>
      <c r="ES194" s="449"/>
      <c r="ET194" s="449"/>
      <c r="EU194" s="449"/>
      <c r="EV194" s="448"/>
      <c r="EW194" s="448"/>
      <c r="EX194" s="449"/>
      <c r="EY194" s="449"/>
      <c r="EZ194" s="449"/>
      <c r="FA194" s="448"/>
      <c r="FB194" s="448"/>
      <c r="FC194" s="448"/>
      <c r="FD194" s="449"/>
      <c r="FE194" s="449"/>
      <c r="FF194" s="449"/>
      <c r="FG194" s="449"/>
      <c r="FH194" s="449"/>
      <c r="FI194" s="449"/>
      <c r="FJ194" s="449"/>
      <c r="FK194" s="448"/>
      <c r="FL194" s="448"/>
      <c r="FM194" s="449"/>
      <c r="FN194" s="316"/>
      <c r="FO194" s="449"/>
      <c r="FP194" s="448"/>
      <c r="FQ194" s="448"/>
      <c r="FR194" s="448"/>
      <c r="FS194" s="449"/>
      <c r="FT194" s="449"/>
      <c r="FU194" s="449"/>
      <c r="FV194" s="449"/>
      <c r="FW194" s="449"/>
      <c r="FX194" s="449"/>
      <c r="FY194" s="449"/>
      <c r="FZ194" s="448"/>
      <c r="GA194" s="448"/>
      <c r="GB194" s="449"/>
      <c r="GC194" s="449"/>
      <c r="GD194" s="449"/>
      <c r="GE194" s="448"/>
      <c r="GG194" s="448">
        <f t="shared" ref="GG194:GL194" si="238">SUMIFS($M194:$GE194,$M$7:$GE$7,GG$7)</f>
        <v>994950</v>
      </c>
      <c r="GH194" s="448">
        <f t="shared" si="238"/>
        <v>0</v>
      </c>
      <c r="GI194" s="448">
        <f t="shared" si="238"/>
        <v>1315770.899444323</v>
      </c>
      <c r="GJ194" s="448">
        <f t="shared" si="238"/>
        <v>0</v>
      </c>
      <c r="GK194" s="448">
        <f t="shared" si="238"/>
        <v>0</v>
      </c>
      <c r="GL194" s="448">
        <f t="shared" si="238"/>
        <v>-2569.875</v>
      </c>
      <c r="GN194" s="448">
        <f t="shared" ref="GN194:GS194" si="239">SUMIFS($M194:$GE194,$M$7:$GE$7,GN$7,$M$4:$GE$4,$GN$6)</f>
        <v>994950</v>
      </c>
      <c r="GO194" s="448">
        <f t="shared" si="239"/>
        <v>0</v>
      </c>
      <c r="GP194" s="448">
        <f t="shared" si="239"/>
        <v>1315770.899444323</v>
      </c>
      <c r="GQ194" s="448">
        <f t="shared" si="239"/>
        <v>0</v>
      </c>
      <c r="GR194" s="448">
        <f t="shared" si="239"/>
        <v>0</v>
      </c>
      <c r="GS194" s="448">
        <f t="shared" si="239"/>
        <v>-2569.875</v>
      </c>
      <c r="GU194" s="448"/>
      <c r="GV194" s="450"/>
    </row>
    <row r="195" spans="1:204" s="378" customFormat="1">
      <c r="A195" s="445">
        <v>3323</v>
      </c>
      <c r="B195" s="445">
        <v>103427</v>
      </c>
      <c r="C195" s="445" t="s">
        <v>306</v>
      </c>
      <c r="D195" s="446" t="s">
        <v>307</v>
      </c>
      <c r="E195" s="372" t="s">
        <v>32</v>
      </c>
      <c r="F195" s="372" t="s">
        <v>911</v>
      </c>
      <c r="H195" s="447">
        <f>_xlfn.IFNA(VLOOKUP($A195,ISB!$A$4:$BY$454,67,FALSE),0)-682092.29</f>
        <v>495550.6978390119</v>
      </c>
      <c r="I195" s="447">
        <f>_xlfn.IFNA(VLOOKUP($A195,ISB!$A$4:$BY$454,72,FALSE),0)</f>
        <v>-4668.32</v>
      </c>
      <c r="J195" s="447">
        <f>-_xlfn.IFNA(VLOOKUP($A195,ISB!$A$4:$BY$454,76,FALSE),0)</f>
        <v>-3285.98</v>
      </c>
      <c r="K195" s="447">
        <f t="shared" ref="K195:K203" si="240">SUM(H195:J195)</f>
        <v>487596.39783901192</v>
      </c>
      <c r="M195" s="448">
        <v>98136.915653250995</v>
      </c>
      <c r="N195" s="448">
        <v>18936.84</v>
      </c>
      <c r="O195" s="449"/>
      <c r="P195" s="449">
        <v>0</v>
      </c>
      <c r="Q195" s="449">
        <v>0</v>
      </c>
      <c r="R195" s="449">
        <v>0</v>
      </c>
      <c r="S195" s="449">
        <v>0</v>
      </c>
      <c r="T195" s="449">
        <v>0</v>
      </c>
      <c r="U195" s="449">
        <v>0</v>
      </c>
      <c r="V195" s="448">
        <v>-389.02666666666664</v>
      </c>
      <c r="W195" s="448">
        <v>-273.83166666666665</v>
      </c>
      <c r="X195" s="449"/>
      <c r="Y195" s="449">
        <v>0</v>
      </c>
      <c r="Z195" s="448">
        <v>116410.89731991765</v>
      </c>
      <c r="AA195" s="448">
        <v>98136.915653250995</v>
      </c>
      <c r="AB195" s="448"/>
      <c r="AC195" s="449"/>
      <c r="AD195" s="449">
        <v>0</v>
      </c>
      <c r="AE195" s="449">
        <v>0</v>
      </c>
      <c r="AF195" s="449">
        <v>0</v>
      </c>
      <c r="AG195" s="449"/>
      <c r="AH195" s="449">
        <v>0</v>
      </c>
      <c r="AI195" s="449">
        <v>0</v>
      </c>
      <c r="AJ195" s="448">
        <v>-389.02666666666664</v>
      </c>
      <c r="AK195" s="448">
        <v>-273.83166666666665</v>
      </c>
      <c r="AL195" s="449"/>
      <c r="AM195" s="449">
        <v>0</v>
      </c>
      <c r="AN195" s="448">
        <v>97474.057319917658</v>
      </c>
      <c r="AO195" s="448">
        <v>98136.915653250995</v>
      </c>
      <c r="AP195" s="448"/>
      <c r="AQ195" s="449"/>
      <c r="AR195" s="449">
        <v>0</v>
      </c>
      <c r="AS195" s="449">
        <v>0</v>
      </c>
      <c r="AT195" s="449">
        <v>0</v>
      </c>
      <c r="AU195" s="449"/>
      <c r="AV195" s="449">
        <v>0</v>
      </c>
      <c r="AW195" s="449">
        <v>0</v>
      </c>
      <c r="AX195" s="448">
        <v>-389.02666666666664</v>
      </c>
      <c r="AY195" s="448">
        <v>-273.83166666666665</v>
      </c>
      <c r="AZ195" s="449"/>
      <c r="BA195" s="449">
        <v>0</v>
      </c>
      <c r="BB195" s="448">
        <v>97474.057319917658</v>
      </c>
      <c r="BC195" s="448">
        <v>98136.915653250995</v>
      </c>
      <c r="BD195" s="448"/>
      <c r="BE195" s="449"/>
      <c r="BF195" s="449">
        <v>0</v>
      </c>
      <c r="BG195" s="449">
        <v>0</v>
      </c>
      <c r="BH195" s="449">
        <v>0</v>
      </c>
      <c r="BI195" s="449"/>
      <c r="BJ195" s="449">
        <v>0</v>
      </c>
      <c r="BK195" s="449">
        <v>0</v>
      </c>
      <c r="BL195" s="448">
        <v>-389.02666666666664</v>
      </c>
      <c r="BM195" s="448">
        <v>-273.83166666666665</v>
      </c>
      <c r="BN195" s="449"/>
      <c r="BO195" s="449">
        <v>0</v>
      </c>
      <c r="BP195" s="448">
        <v>97474.057319917658</v>
      </c>
      <c r="BQ195" s="448">
        <v>98136.915653250995</v>
      </c>
      <c r="BR195" s="448"/>
      <c r="BS195" s="449"/>
      <c r="BT195" s="449">
        <v>0</v>
      </c>
      <c r="BU195" s="449">
        <v>0</v>
      </c>
      <c r="BV195" s="449">
        <v>0</v>
      </c>
      <c r="BW195" s="449"/>
      <c r="BX195" s="449">
        <v>0</v>
      </c>
      <c r="BY195" s="449">
        <v>0</v>
      </c>
      <c r="BZ195" s="448">
        <v>-389.02666666666664</v>
      </c>
      <c r="CA195" s="448">
        <v>-273.83166666666665</v>
      </c>
      <c r="CB195" s="449"/>
      <c r="CC195" s="449"/>
      <c r="CD195" s="448">
        <v>97474.057319917658</v>
      </c>
      <c r="CE195" s="448">
        <f>H195-M195-AA195-AO195-BC195-BQ195</f>
        <v>4866.1195727569284</v>
      </c>
      <c r="CF195" s="448">
        <v>847.8599999999991</v>
      </c>
      <c r="CG195" s="449"/>
      <c r="CH195" s="449">
        <v>0</v>
      </c>
      <c r="CI195" s="449">
        <v>0</v>
      </c>
      <c r="CJ195" s="449">
        <v>0</v>
      </c>
      <c r="CK195" s="449">
        <v>0</v>
      </c>
      <c r="CL195" s="449">
        <v>0</v>
      </c>
      <c r="CM195" s="449">
        <v>0</v>
      </c>
      <c r="CN195" s="448">
        <f t="shared" ref="CN195:CN197" si="241">I195-V195-AJ195-AX195-BL195-BZ195</f>
        <v>-2723.1866666666665</v>
      </c>
      <c r="CO195" s="448">
        <f t="shared" ref="CO195:CO197" si="242">J195-W195-AK195-AY195-BM195-CA195</f>
        <v>-1916.8216666666674</v>
      </c>
      <c r="CP195" s="449">
        <v>-1371.5625</v>
      </c>
      <c r="CQ195" s="449"/>
      <c r="CR195" s="449">
        <v>0</v>
      </c>
      <c r="CS195" s="448">
        <f>SUM(CE195:CR195)</f>
        <v>-297.59126057640674</v>
      </c>
      <c r="CT195" s="448"/>
      <c r="CU195" s="448"/>
      <c r="CV195" s="338">
        <f>_xlfn.IFNA(VLOOKUP(A195,'LA Deductions'!$A$6:$AN$207,34,FALSE),0)</f>
        <v>0</v>
      </c>
      <c r="CW195" s="449"/>
      <c r="CX195" s="449"/>
      <c r="CY195" s="449"/>
      <c r="CZ195" s="449"/>
      <c r="DA195" s="449"/>
      <c r="DB195" s="449"/>
      <c r="DC195" s="448"/>
      <c r="DD195" s="448"/>
      <c r="DE195" s="449"/>
      <c r="DF195" s="338">
        <f>_xlfn.IFNA(VLOOKUP($A195,'Cash Advances'!$A:$S,14,FALSE),0)</f>
        <v>0</v>
      </c>
      <c r="DG195" s="449"/>
      <c r="DH195" s="448"/>
      <c r="DI195" s="448"/>
      <c r="DJ195" s="448"/>
      <c r="DK195" s="449"/>
      <c r="DL195" s="449"/>
      <c r="DM195" s="449"/>
      <c r="DN195" s="449"/>
      <c r="DO195" s="449"/>
      <c r="DP195" s="449"/>
      <c r="DQ195" s="449"/>
      <c r="DR195" s="448"/>
      <c r="DS195" s="448"/>
      <c r="DT195" s="449"/>
      <c r="DU195" s="449"/>
      <c r="DV195" s="449"/>
      <c r="DW195" s="448"/>
      <c r="DX195" s="448"/>
      <c r="DY195" s="344"/>
      <c r="DZ195" s="449"/>
      <c r="EA195" s="449"/>
      <c r="EB195" s="449"/>
      <c r="EC195" s="449"/>
      <c r="ED195" s="345"/>
      <c r="EE195" s="449"/>
      <c r="EF195" s="449"/>
      <c r="EG195" s="448"/>
      <c r="EH195" s="448"/>
      <c r="EI195" s="449"/>
      <c r="EJ195" s="345">
        <f>_xlfn.IFNA(VLOOKUP(A195,'Cash Advances'!A:P,16,FALSE),0)</f>
        <v>0</v>
      </c>
      <c r="EK195" s="449"/>
      <c r="EL195" s="448"/>
      <c r="EM195" s="448"/>
      <c r="EN195" s="448"/>
      <c r="EO195" s="449"/>
      <c r="EP195" s="449"/>
      <c r="EQ195" s="449"/>
      <c r="ER195" s="449"/>
      <c r="ES195" s="449"/>
      <c r="ET195" s="449"/>
      <c r="EU195" s="449"/>
      <c r="EV195" s="448"/>
      <c r="EW195" s="448"/>
      <c r="EX195" s="449"/>
      <c r="EY195" s="449"/>
      <c r="EZ195" s="449"/>
      <c r="FA195" s="448"/>
      <c r="FB195" s="448"/>
      <c r="FC195" s="448"/>
      <c r="FD195" s="449"/>
      <c r="FE195" s="449"/>
      <c r="FF195" s="449"/>
      <c r="FG195" s="449"/>
      <c r="FH195" s="449"/>
      <c r="FI195" s="449"/>
      <c r="FJ195" s="449"/>
      <c r="FK195" s="448"/>
      <c r="FL195" s="448"/>
      <c r="FM195" s="449"/>
      <c r="FN195" s="316"/>
      <c r="FO195" s="449"/>
      <c r="FP195" s="448"/>
      <c r="FQ195" s="448"/>
      <c r="FR195" s="448"/>
      <c r="FS195" s="449"/>
      <c r="FT195" s="449"/>
      <c r="FU195" s="449"/>
      <c r="FV195" s="449"/>
      <c r="FW195" s="449"/>
      <c r="FX195" s="449"/>
      <c r="FY195" s="449"/>
      <c r="FZ195" s="448"/>
      <c r="GA195" s="448"/>
      <c r="GB195" s="449"/>
      <c r="GC195" s="449"/>
      <c r="GD195" s="449"/>
      <c r="GE195" s="448"/>
      <c r="GG195" s="448">
        <f t="shared" ref="GG195:GL197" si="243">SUMIFS($M195:$GE195,$M$7:$GE$7,GG$7)</f>
        <v>515335.39783901186</v>
      </c>
      <c r="GH195" s="448">
        <f t="shared" si="243"/>
        <v>0</v>
      </c>
      <c r="GI195" s="448">
        <f t="shared" si="243"/>
        <v>0</v>
      </c>
      <c r="GJ195" s="448">
        <f t="shared" si="243"/>
        <v>-4668.32</v>
      </c>
      <c r="GK195" s="448">
        <f t="shared" si="243"/>
        <v>-3285.9800000000005</v>
      </c>
      <c r="GL195" s="448">
        <f t="shared" si="243"/>
        <v>-1371.5625</v>
      </c>
      <c r="GN195" s="448">
        <f t="shared" ref="GN195:GS197" si="244">SUMIFS($M195:$GE195,$M$7:$GE$7,GN$7,$M$4:$GE$4,$GN$6)</f>
        <v>515335.39783901186</v>
      </c>
      <c r="GO195" s="448">
        <f t="shared" si="244"/>
        <v>0</v>
      </c>
      <c r="GP195" s="448">
        <f t="shared" si="244"/>
        <v>0</v>
      </c>
      <c r="GQ195" s="448">
        <f t="shared" si="244"/>
        <v>-4668.32</v>
      </c>
      <c r="GR195" s="448">
        <f t="shared" si="244"/>
        <v>-3285.9800000000005</v>
      </c>
      <c r="GS195" s="448">
        <f t="shared" si="244"/>
        <v>-1371.5625</v>
      </c>
      <c r="GU195" s="448"/>
      <c r="GV195" s="450"/>
    </row>
    <row r="196" spans="1:204" s="378" customFormat="1">
      <c r="A196" s="445">
        <v>2314</v>
      </c>
      <c r="B196" s="445">
        <v>103334</v>
      </c>
      <c r="C196" s="445" t="s">
        <v>340</v>
      </c>
      <c r="D196" s="446" t="s">
        <v>341</v>
      </c>
      <c r="E196" s="372" t="s">
        <v>32</v>
      </c>
      <c r="F196" s="372" t="s">
        <v>911</v>
      </c>
      <c r="H196" s="447">
        <f>_xlfn.IFNA(VLOOKUP($A196,ISB!$A$4:$BY$454,67,FALSE),0)-647588.28</f>
        <v>485935.33066962636</v>
      </c>
      <c r="I196" s="447">
        <f>_xlfn.IFNA(VLOOKUP($A196,ISB!$A$4:$BY$454,72,FALSE),0)+3149.16</f>
        <v>-2249.3999999999996</v>
      </c>
      <c r="J196" s="447">
        <f>-_xlfn.IFNA(VLOOKUP($A196,ISB!$A$4:$BY$454,76,FALSE),0)</f>
        <v>-18595.43</v>
      </c>
      <c r="K196" s="447">
        <f t="shared" si="240"/>
        <v>465090.50066962634</v>
      </c>
      <c r="M196" s="448">
        <v>94460.300889135528</v>
      </c>
      <c r="N196" s="448">
        <v>0</v>
      </c>
      <c r="O196" s="449"/>
      <c r="P196" s="449">
        <v>0</v>
      </c>
      <c r="Q196" s="449">
        <v>0</v>
      </c>
      <c r="R196" s="449">
        <v>0</v>
      </c>
      <c r="S196" s="449">
        <v>0</v>
      </c>
      <c r="T196" s="449">
        <v>0</v>
      </c>
      <c r="U196" s="449">
        <v>0</v>
      </c>
      <c r="V196" s="448">
        <v>-449.87999999999994</v>
      </c>
      <c r="W196" s="448">
        <v>-1549.6191666666666</v>
      </c>
      <c r="X196" s="449"/>
      <c r="Y196" s="449">
        <v>0</v>
      </c>
      <c r="Z196" s="448">
        <v>92460.801722468852</v>
      </c>
      <c r="AA196" s="448">
        <v>94460.300889135528</v>
      </c>
      <c r="AB196" s="448"/>
      <c r="AC196" s="449"/>
      <c r="AD196" s="449">
        <v>0</v>
      </c>
      <c r="AE196" s="449">
        <v>0</v>
      </c>
      <c r="AF196" s="449">
        <v>0</v>
      </c>
      <c r="AG196" s="449"/>
      <c r="AH196" s="449">
        <v>0</v>
      </c>
      <c r="AI196" s="449">
        <v>0</v>
      </c>
      <c r="AJ196" s="448">
        <v>-449.87999999999994</v>
      </c>
      <c r="AK196" s="448">
        <v>-1549.6191666666666</v>
      </c>
      <c r="AL196" s="449"/>
      <c r="AM196" s="449">
        <v>0</v>
      </c>
      <c r="AN196" s="448">
        <v>92460.801722468852</v>
      </c>
      <c r="AO196" s="448">
        <v>94460.300889135528</v>
      </c>
      <c r="AP196" s="448"/>
      <c r="AQ196" s="449"/>
      <c r="AR196" s="449">
        <v>0</v>
      </c>
      <c r="AS196" s="449">
        <v>0</v>
      </c>
      <c r="AT196" s="449">
        <v>0</v>
      </c>
      <c r="AU196" s="449"/>
      <c r="AV196" s="449">
        <v>0</v>
      </c>
      <c r="AW196" s="449">
        <v>0</v>
      </c>
      <c r="AX196" s="448">
        <v>-449.87999999999994</v>
      </c>
      <c r="AY196" s="448">
        <v>-1549.6191666666666</v>
      </c>
      <c r="AZ196" s="449"/>
      <c r="BA196" s="449">
        <v>0</v>
      </c>
      <c r="BB196" s="448">
        <v>92460.801722468852</v>
      </c>
      <c r="BC196" s="448">
        <v>94460.300889135528</v>
      </c>
      <c r="BD196" s="448"/>
      <c r="BE196" s="449"/>
      <c r="BF196" s="449">
        <v>0</v>
      </c>
      <c r="BG196" s="449">
        <v>0</v>
      </c>
      <c r="BH196" s="449">
        <v>0</v>
      </c>
      <c r="BI196" s="449"/>
      <c r="BJ196" s="449">
        <v>0</v>
      </c>
      <c r="BK196" s="449">
        <v>0</v>
      </c>
      <c r="BL196" s="448">
        <v>-449.87999999999994</v>
      </c>
      <c r="BM196" s="448">
        <v>-1549.6191666666666</v>
      </c>
      <c r="BN196" s="449"/>
      <c r="BO196" s="449">
        <v>0</v>
      </c>
      <c r="BP196" s="448">
        <v>92460.801722468852</v>
      </c>
      <c r="BQ196" s="448">
        <v>94460.300889135528</v>
      </c>
      <c r="BR196" s="448"/>
      <c r="BS196" s="449"/>
      <c r="BT196" s="449">
        <v>0</v>
      </c>
      <c r="BU196" s="449">
        <v>0</v>
      </c>
      <c r="BV196" s="449">
        <v>0</v>
      </c>
      <c r="BW196" s="449"/>
      <c r="BX196" s="449">
        <v>0</v>
      </c>
      <c r="BY196" s="449">
        <v>0</v>
      </c>
      <c r="BZ196" s="448">
        <v>-449.87999999999994</v>
      </c>
      <c r="CA196" s="448">
        <v>-1549.6191666666666</v>
      </c>
      <c r="CB196" s="449"/>
      <c r="CC196" s="449"/>
      <c r="CD196" s="448">
        <v>92460.801722468852</v>
      </c>
      <c r="CE196" s="448">
        <f t="shared" ref="CE196:CE203" si="245">H196-M196-AA196-AO196-BC196-BQ196</f>
        <v>13633.826223948767</v>
      </c>
      <c r="CF196" s="448">
        <v>0</v>
      </c>
      <c r="CG196" s="449"/>
      <c r="CH196" s="449">
        <v>0</v>
      </c>
      <c r="CI196" s="449">
        <v>0</v>
      </c>
      <c r="CJ196" s="449">
        <v>0</v>
      </c>
      <c r="CK196" s="449">
        <v>0</v>
      </c>
      <c r="CL196" s="449">
        <v>0</v>
      </c>
      <c r="CM196" s="449">
        <v>0</v>
      </c>
      <c r="CN196" s="448">
        <f t="shared" si="241"/>
        <v>0</v>
      </c>
      <c r="CO196" s="448">
        <f t="shared" si="242"/>
        <v>-10847.334166666664</v>
      </c>
      <c r="CP196" s="449">
        <v>-2141.5625</v>
      </c>
      <c r="CQ196" s="449"/>
      <c r="CR196" s="449">
        <v>0</v>
      </c>
      <c r="CS196" s="448">
        <f t="shared" ref="CS196:CS203" si="246">SUM(CE196:CR196)</f>
        <v>644.92955728210291</v>
      </c>
      <c r="CT196" s="448"/>
      <c r="CU196" s="448"/>
      <c r="CV196" s="338">
        <f>_xlfn.IFNA(VLOOKUP(A196,'LA Deductions'!$A$6:$AN$207,34,FALSE),0)</f>
        <v>0</v>
      </c>
      <c r="CW196" s="449"/>
      <c r="CX196" s="449"/>
      <c r="CY196" s="449"/>
      <c r="CZ196" s="449"/>
      <c r="DA196" s="449"/>
      <c r="DB196" s="449"/>
      <c r="DC196" s="448"/>
      <c r="DD196" s="448"/>
      <c r="DE196" s="449"/>
      <c r="DF196" s="338">
        <f>_xlfn.IFNA(VLOOKUP($A196,'Cash Advances'!$A:$S,14,FALSE),0)</f>
        <v>0</v>
      </c>
      <c r="DG196" s="449"/>
      <c r="DH196" s="448"/>
      <c r="DI196" s="448"/>
      <c r="DJ196" s="448"/>
      <c r="DK196" s="449"/>
      <c r="DL196" s="449"/>
      <c r="DM196" s="449"/>
      <c r="DN196" s="449"/>
      <c r="DO196" s="449"/>
      <c r="DP196" s="449"/>
      <c r="DQ196" s="449"/>
      <c r="DR196" s="448"/>
      <c r="DS196" s="448"/>
      <c r="DT196" s="449"/>
      <c r="DU196" s="449"/>
      <c r="DV196" s="449"/>
      <c r="DW196" s="448"/>
      <c r="DX196" s="448"/>
      <c r="DY196" s="344"/>
      <c r="DZ196" s="449"/>
      <c r="EA196" s="449"/>
      <c r="EB196" s="449"/>
      <c r="EC196" s="449"/>
      <c r="ED196" s="345"/>
      <c r="EE196" s="449"/>
      <c r="EF196" s="449"/>
      <c r="EG196" s="448"/>
      <c r="EH196" s="448"/>
      <c r="EI196" s="449"/>
      <c r="EJ196" s="345">
        <f>_xlfn.IFNA(VLOOKUP(A196,'Cash Advances'!A:P,16,FALSE),0)</f>
        <v>0</v>
      </c>
      <c r="EK196" s="449"/>
      <c r="EL196" s="448"/>
      <c r="EM196" s="448"/>
      <c r="EN196" s="448"/>
      <c r="EO196" s="449"/>
      <c r="EP196" s="449"/>
      <c r="EQ196" s="449"/>
      <c r="ER196" s="449"/>
      <c r="ES196" s="449"/>
      <c r="ET196" s="449"/>
      <c r="EU196" s="449"/>
      <c r="EV196" s="448"/>
      <c r="EW196" s="448"/>
      <c r="EX196" s="449"/>
      <c r="EY196" s="449"/>
      <c r="EZ196" s="449"/>
      <c r="FA196" s="448"/>
      <c r="FB196" s="448"/>
      <c r="FC196" s="448"/>
      <c r="FD196" s="449"/>
      <c r="FE196" s="449"/>
      <c r="FF196" s="449"/>
      <c r="FG196" s="449"/>
      <c r="FH196" s="449"/>
      <c r="FI196" s="449"/>
      <c r="FJ196" s="449"/>
      <c r="FK196" s="448"/>
      <c r="FL196" s="448"/>
      <c r="FM196" s="449"/>
      <c r="FN196" s="316"/>
      <c r="FO196" s="449"/>
      <c r="FP196" s="448"/>
      <c r="FQ196" s="448"/>
      <c r="FR196" s="448"/>
      <c r="FS196" s="449"/>
      <c r="FT196" s="449"/>
      <c r="FU196" s="449"/>
      <c r="FV196" s="449"/>
      <c r="FW196" s="449"/>
      <c r="FX196" s="449"/>
      <c r="FY196" s="449"/>
      <c r="FZ196" s="448"/>
      <c r="GA196" s="448"/>
      <c r="GB196" s="449"/>
      <c r="GC196" s="449"/>
      <c r="GD196" s="449"/>
      <c r="GE196" s="448"/>
      <c r="GG196" s="448">
        <f t="shared" si="243"/>
        <v>485935.33066962636</v>
      </c>
      <c r="GH196" s="448">
        <f t="shared" si="243"/>
        <v>0</v>
      </c>
      <c r="GI196" s="448">
        <f t="shared" si="243"/>
        <v>0</v>
      </c>
      <c r="GJ196" s="448">
        <f t="shared" si="243"/>
        <v>-2249.3999999999996</v>
      </c>
      <c r="GK196" s="448">
        <f t="shared" si="243"/>
        <v>-18595.429999999997</v>
      </c>
      <c r="GL196" s="448">
        <f t="shared" si="243"/>
        <v>-2141.5625</v>
      </c>
      <c r="GN196" s="448">
        <f t="shared" si="244"/>
        <v>485935.33066962636</v>
      </c>
      <c r="GO196" s="448">
        <f t="shared" si="244"/>
        <v>0</v>
      </c>
      <c r="GP196" s="448">
        <f t="shared" si="244"/>
        <v>0</v>
      </c>
      <c r="GQ196" s="448">
        <f t="shared" si="244"/>
        <v>-2249.3999999999996</v>
      </c>
      <c r="GR196" s="448">
        <f t="shared" si="244"/>
        <v>-18595.429999999997</v>
      </c>
      <c r="GS196" s="448">
        <f t="shared" si="244"/>
        <v>-2141.5625</v>
      </c>
      <c r="GU196" s="448"/>
      <c r="GV196" s="450"/>
    </row>
    <row r="197" spans="1:204" s="378" customFormat="1">
      <c r="A197" s="445">
        <v>3431</v>
      </c>
      <c r="B197" s="445">
        <v>134774</v>
      </c>
      <c r="C197" s="445" t="s">
        <v>396</v>
      </c>
      <c r="D197" s="446" t="s">
        <v>397</v>
      </c>
      <c r="E197" s="372" t="s">
        <v>32</v>
      </c>
      <c r="F197" s="372" t="s">
        <v>911</v>
      </c>
      <c r="H197" s="447">
        <f>_xlfn.IFNA(VLOOKUP($A197,ISB!$A$4:$BY$454,67,FALSE),0)-1772871.47</f>
        <v>1396497.78</v>
      </c>
      <c r="I197" s="447">
        <f>_xlfn.IFNA(VLOOKUP($A197,ISB!$A$4:$BY$454,72,FALSE),0)+9371.41333333333</f>
        <v>-6693.8666666666686</v>
      </c>
      <c r="J197" s="447">
        <f>-_xlfn.IFNA(VLOOKUP($A197,ISB!$A$4:$BY$454,76,FALSE),0)</f>
        <v>-117089.25</v>
      </c>
      <c r="K197" s="447">
        <f t="shared" si="240"/>
        <v>1272714.6633333333</v>
      </c>
      <c r="M197" s="448">
        <v>264114.10416666669</v>
      </c>
      <c r="N197" s="448">
        <v>68133</v>
      </c>
      <c r="O197" s="449"/>
      <c r="P197" s="449">
        <v>0</v>
      </c>
      <c r="Q197" s="449">
        <v>0</v>
      </c>
      <c r="R197" s="449">
        <v>0</v>
      </c>
      <c r="S197" s="449">
        <v>0</v>
      </c>
      <c r="T197" s="449">
        <v>0</v>
      </c>
      <c r="U197" s="449">
        <v>0</v>
      </c>
      <c r="V197" s="448">
        <v>-1338.7733333333333</v>
      </c>
      <c r="W197" s="448">
        <v>-9757.4375</v>
      </c>
      <c r="X197" s="449"/>
      <c r="Y197" s="449">
        <v>0</v>
      </c>
      <c r="Z197" s="448">
        <v>321150.89333333337</v>
      </c>
      <c r="AA197" s="448">
        <v>264114.10416666669</v>
      </c>
      <c r="AB197" s="448"/>
      <c r="AC197" s="449"/>
      <c r="AD197" s="449">
        <v>0</v>
      </c>
      <c r="AE197" s="449">
        <v>0</v>
      </c>
      <c r="AF197" s="449">
        <v>0</v>
      </c>
      <c r="AG197" s="449"/>
      <c r="AH197" s="449">
        <v>0</v>
      </c>
      <c r="AI197" s="449">
        <v>0</v>
      </c>
      <c r="AJ197" s="448">
        <v>-1338.7733333333333</v>
      </c>
      <c r="AK197" s="448">
        <v>-9757.4375</v>
      </c>
      <c r="AL197" s="449"/>
      <c r="AM197" s="449">
        <v>0</v>
      </c>
      <c r="AN197" s="448">
        <v>253017.89333333337</v>
      </c>
      <c r="AO197" s="448">
        <v>264114.10416666669</v>
      </c>
      <c r="AP197" s="448"/>
      <c r="AQ197" s="449"/>
      <c r="AR197" s="449">
        <v>0</v>
      </c>
      <c r="AS197" s="449">
        <v>0</v>
      </c>
      <c r="AT197" s="449">
        <v>0</v>
      </c>
      <c r="AU197" s="449"/>
      <c r="AV197" s="449">
        <v>0</v>
      </c>
      <c r="AW197" s="449">
        <v>0</v>
      </c>
      <c r="AX197" s="448">
        <v>-1338.7733333333333</v>
      </c>
      <c r="AY197" s="448">
        <v>-9757.4375</v>
      </c>
      <c r="AZ197" s="449"/>
      <c r="BA197" s="449">
        <v>0</v>
      </c>
      <c r="BB197" s="448">
        <v>253017.89333333337</v>
      </c>
      <c r="BC197" s="448">
        <v>264114.10416666669</v>
      </c>
      <c r="BD197" s="448"/>
      <c r="BE197" s="449"/>
      <c r="BF197" s="449">
        <v>0</v>
      </c>
      <c r="BG197" s="449">
        <v>0</v>
      </c>
      <c r="BH197" s="449">
        <v>0</v>
      </c>
      <c r="BI197" s="449"/>
      <c r="BJ197" s="449">
        <v>0</v>
      </c>
      <c r="BK197" s="449">
        <v>0</v>
      </c>
      <c r="BL197" s="448">
        <v>-1338.7733333333333</v>
      </c>
      <c r="BM197" s="448">
        <v>-9757.4375</v>
      </c>
      <c r="BN197" s="449"/>
      <c r="BO197" s="449">
        <v>0</v>
      </c>
      <c r="BP197" s="448">
        <v>253017.89333333337</v>
      </c>
      <c r="BQ197" s="448">
        <v>264114.10416666669</v>
      </c>
      <c r="BR197" s="448"/>
      <c r="BS197" s="449"/>
      <c r="BT197" s="449">
        <v>0</v>
      </c>
      <c r="BU197" s="449">
        <v>0</v>
      </c>
      <c r="BV197" s="449">
        <v>0</v>
      </c>
      <c r="BW197" s="449"/>
      <c r="BX197" s="449">
        <v>0</v>
      </c>
      <c r="BY197" s="449">
        <v>0</v>
      </c>
      <c r="BZ197" s="448">
        <v>-1338.7733333333333</v>
      </c>
      <c r="CA197" s="448">
        <v>-9757.4375</v>
      </c>
      <c r="CB197" s="449"/>
      <c r="CC197" s="449"/>
      <c r="CD197" s="448">
        <v>253017.89333333337</v>
      </c>
      <c r="CE197" s="448">
        <f t="shared" si="245"/>
        <v>75927.259166666423</v>
      </c>
      <c r="CF197" s="448">
        <v>14213.515789473691</v>
      </c>
      <c r="CG197" s="449"/>
      <c r="CH197" s="449">
        <v>0</v>
      </c>
      <c r="CI197" s="449">
        <v>0</v>
      </c>
      <c r="CJ197" s="449">
        <v>0</v>
      </c>
      <c r="CK197" s="449">
        <v>320.89</v>
      </c>
      <c r="CL197" s="449">
        <v>0</v>
      </c>
      <c r="CM197" s="449">
        <v>0</v>
      </c>
      <c r="CN197" s="448">
        <f t="shared" si="241"/>
        <v>0</v>
      </c>
      <c r="CO197" s="448">
        <f t="shared" si="242"/>
        <v>-68302.0625</v>
      </c>
      <c r="CP197" s="449">
        <v>-7810.6875</v>
      </c>
      <c r="CQ197" s="449"/>
      <c r="CR197" s="449">
        <v>0</v>
      </c>
      <c r="CS197" s="448">
        <f t="shared" si="246"/>
        <v>14348.914956140114</v>
      </c>
      <c r="CT197" s="448"/>
      <c r="CU197" s="448"/>
      <c r="CV197" s="338">
        <f>_xlfn.IFNA(VLOOKUP(A197,'LA Deductions'!$A$6:$AN$207,34,FALSE),0)</f>
        <v>0</v>
      </c>
      <c r="CW197" s="449"/>
      <c r="CX197" s="449"/>
      <c r="CY197" s="449"/>
      <c r="CZ197" s="449"/>
      <c r="DA197" s="449"/>
      <c r="DB197" s="449"/>
      <c r="DC197" s="448"/>
      <c r="DD197" s="448"/>
      <c r="DE197" s="449"/>
      <c r="DF197" s="338">
        <f>_xlfn.IFNA(VLOOKUP($A197,'Cash Advances'!$A:$S,14,FALSE),0)</f>
        <v>0</v>
      </c>
      <c r="DG197" s="449"/>
      <c r="DH197" s="448"/>
      <c r="DI197" s="448"/>
      <c r="DJ197" s="448"/>
      <c r="DK197" s="449"/>
      <c r="DL197" s="449"/>
      <c r="DM197" s="449"/>
      <c r="DN197" s="449"/>
      <c r="DO197" s="449"/>
      <c r="DP197" s="449"/>
      <c r="DQ197" s="449"/>
      <c r="DR197" s="448"/>
      <c r="DS197" s="448"/>
      <c r="DT197" s="449"/>
      <c r="DU197" s="449"/>
      <c r="DV197" s="449"/>
      <c r="DW197" s="448"/>
      <c r="DX197" s="448"/>
      <c r="DY197" s="344"/>
      <c r="DZ197" s="449"/>
      <c r="EA197" s="449"/>
      <c r="EB197" s="449"/>
      <c r="EC197" s="449"/>
      <c r="ED197" s="345"/>
      <c r="EE197" s="449"/>
      <c r="EF197" s="449"/>
      <c r="EG197" s="448"/>
      <c r="EH197" s="448"/>
      <c r="EI197" s="449"/>
      <c r="EJ197" s="345">
        <f>_xlfn.IFNA(VLOOKUP(A197,'Cash Advances'!A:P,16,FALSE),0)</f>
        <v>0</v>
      </c>
      <c r="EK197" s="449"/>
      <c r="EL197" s="448"/>
      <c r="EM197" s="448"/>
      <c r="EN197" s="448"/>
      <c r="EO197" s="449"/>
      <c r="EP197" s="449"/>
      <c r="EQ197" s="449"/>
      <c r="ER197" s="449"/>
      <c r="ES197" s="449"/>
      <c r="ET197" s="449"/>
      <c r="EU197" s="449"/>
      <c r="EV197" s="448"/>
      <c r="EW197" s="448"/>
      <c r="EX197" s="449"/>
      <c r="EY197" s="449"/>
      <c r="EZ197" s="449"/>
      <c r="FA197" s="448"/>
      <c r="FB197" s="448"/>
      <c r="FC197" s="448"/>
      <c r="FD197" s="449"/>
      <c r="FE197" s="449"/>
      <c r="FF197" s="449"/>
      <c r="FG197" s="449"/>
      <c r="FH197" s="449"/>
      <c r="FI197" s="449"/>
      <c r="FJ197" s="449"/>
      <c r="FK197" s="448"/>
      <c r="FL197" s="448"/>
      <c r="FM197" s="449"/>
      <c r="FN197" s="316"/>
      <c r="FO197" s="449"/>
      <c r="FP197" s="448"/>
      <c r="FQ197" s="448"/>
      <c r="FR197" s="448"/>
      <c r="FS197" s="449"/>
      <c r="FT197" s="449"/>
      <c r="FU197" s="449"/>
      <c r="FV197" s="449"/>
      <c r="FW197" s="449"/>
      <c r="FX197" s="449"/>
      <c r="FY197" s="449"/>
      <c r="FZ197" s="448"/>
      <c r="GA197" s="448"/>
      <c r="GB197" s="449"/>
      <c r="GC197" s="449"/>
      <c r="GD197" s="449"/>
      <c r="GE197" s="448"/>
      <c r="GG197" s="448">
        <f t="shared" si="243"/>
        <v>1478844.2957894735</v>
      </c>
      <c r="GH197" s="448">
        <f t="shared" si="243"/>
        <v>0</v>
      </c>
      <c r="GI197" s="448">
        <f t="shared" si="243"/>
        <v>320.89</v>
      </c>
      <c r="GJ197" s="448">
        <f t="shared" si="243"/>
        <v>-6693.8666666666668</v>
      </c>
      <c r="GK197" s="448">
        <f t="shared" si="243"/>
        <v>-117089.25</v>
      </c>
      <c r="GL197" s="448">
        <f t="shared" si="243"/>
        <v>-7810.6875</v>
      </c>
      <c r="GN197" s="448">
        <f t="shared" si="244"/>
        <v>1478844.2957894735</v>
      </c>
      <c r="GO197" s="448">
        <f t="shared" si="244"/>
        <v>0</v>
      </c>
      <c r="GP197" s="448">
        <f t="shared" si="244"/>
        <v>320.89</v>
      </c>
      <c r="GQ197" s="448">
        <f t="shared" si="244"/>
        <v>-6693.8666666666668</v>
      </c>
      <c r="GR197" s="448">
        <f t="shared" si="244"/>
        <v>-117089.25</v>
      </c>
      <c r="GS197" s="448">
        <f t="shared" si="244"/>
        <v>-7810.6875</v>
      </c>
      <c r="GU197" s="448"/>
      <c r="GV197" s="450"/>
    </row>
    <row r="198" spans="1:204" s="378" customFormat="1">
      <c r="A198" s="445">
        <v>3380</v>
      </c>
      <c r="B198" s="445">
        <v>103465</v>
      </c>
      <c r="C198" s="445" t="s">
        <v>362</v>
      </c>
      <c r="D198" s="446" t="s">
        <v>363</v>
      </c>
      <c r="E198" s="372" t="s">
        <v>32</v>
      </c>
      <c r="F198" s="372" t="s">
        <v>911</v>
      </c>
      <c r="H198" s="447">
        <f>_xlfn.IFNA(VLOOKUP($A198,ISB!$A$4:$BY$454,67,FALSE),0)-645209.24</f>
        <v>468962.04396231892</v>
      </c>
      <c r="I198" s="447">
        <f>_xlfn.IFNA(VLOOKUP($A198,ISB!$A$4:$BY$454,72,FALSE),0)+3133.94666666667</f>
        <v>-2238.5333333333297</v>
      </c>
      <c r="J198" s="447">
        <f>-_xlfn.IFNA(VLOOKUP($A198,ISB!$A$4:$BY$454,76,FALSE),0)</f>
        <v>-3338.98</v>
      </c>
      <c r="K198" s="447">
        <f t="shared" si="240"/>
        <v>463384.53062898561</v>
      </c>
      <c r="M198" s="448">
        <v>92847.606996859904</v>
      </c>
      <c r="N198" s="448">
        <v>0</v>
      </c>
      <c r="O198" s="449"/>
      <c r="P198" s="449">
        <v>0</v>
      </c>
      <c r="Q198" s="449">
        <v>0</v>
      </c>
      <c r="R198" s="449">
        <v>0</v>
      </c>
      <c r="S198" s="449">
        <v>0</v>
      </c>
      <c r="T198" s="449">
        <v>0</v>
      </c>
      <c r="U198" s="449">
        <v>0</v>
      </c>
      <c r="V198" s="448">
        <v>-447.70666666666665</v>
      </c>
      <c r="W198" s="448">
        <v>-278.24833333333333</v>
      </c>
      <c r="X198" s="449"/>
      <c r="Y198" s="449">
        <v>0</v>
      </c>
      <c r="Z198" s="448">
        <v>92121.651996859902</v>
      </c>
      <c r="AA198" s="448">
        <v>92847.606996859904</v>
      </c>
      <c r="AB198" s="448"/>
      <c r="AC198" s="449"/>
      <c r="AD198" s="449">
        <v>0</v>
      </c>
      <c r="AE198" s="449">
        <v>0</v>
      </c>
      <c r="AF198" s="449">
        <v>0</v>
      </c>
      <c r="AG198" s="449"/>
      <c r="AH198" s="449">
        <v>0</v>
      </c>
      <c r="AI198" s="449">
        <v>0</v>
      </c>
      <c r="AJ198" s="448">
        <v>-447.70666666666665</v>
      </c>
      <c r="AK198" s="448">
        <v>-278.24833333333333</v>
      </c>
      <c r="AL198" s="449"/>
      <c r="AM198" s="449">
        <v>0</v>
      </c>
      <c r="AN198" s="448">
        <v>92121.651996859902</v>
      </c>
      <c r="AO198" s="448">
        <v>92847.606996859904</v>
      </c>
      <c r="AP198" s="448"/>
      <c r="AQ198" s="449"/>
      <c r="AR198" s="449">
        <v>0</v>
      </c>
      <c r="AS198" s="449">
        <v>0</v>
      </c>
      <c r="AT198" s="449">
        <v>0</v>
      </c>
      <c r="AU198" s="449"/>
      <c r="AV198" s="449">
        <v>0</v>
      </c>
      <c r="AW198" s="449">
        <v>0</v>
      </c>
      <c r="AX198" s="448">
        <v>-447.70666666666665</v>
      </c>
      <c r="AY198" s="448">
        <v>-278.24833333333333</v>
      </c>
      <c r="AZ198" s="449"/>
      <c r="BA198" s="449">
        <v>0</v>
      </c>
      <c r="BB198" s="448">
        <v>92121.651996859902</v>
      </c>
      <c r="BC198" s="448">
        <v>92847.606996859904</v>
      </c>
      <c r="BD198" s="448"/>
      <c r="BE198" s="449"/>
      <c r="BF198" s="449">
        <v>0</v>
      </c>
      <c r="BG198" s="449">
        <v>0</v>
      </c>
      <c r="BH198" s="449">
        <v>0</v>
      </c>
      <c r="BI198" s="449"/>
      <c r="BJ198" s="449">
        <v>0</v>
      </c>
      <c r="BK198" s="449">
        <v>0</v>
      </c>
      <c r="BL198" s="448">
        <v>-447.70666666666665</v>
      </c>
      <c r="BM198" s="448">
        <v>-278.24833333333333</v>
      </c>
      <c r="BN198" s="449"/>
      <c r="BO198" s="449">
        <v>0</v>
      </c>
      <c r="BP198" s="448">
        <v>92121.651996859902</v>
      </c>
      <c r="BQ198" s="448">
        <v>92847.606996859904</v>
      </c>
      <c r="BR198" s="448"/>
      <c r="BS198" s="449"/>
      <c r="BT198" s="449">
        <v>0</v>
      </c>
      <c r="BU198" s="449">
        <v>0</v>
      </c>
      <c r="BV198" s="449">
        <v>0</v>
      </c>
      <c r="BW198" s="449"/>
      <c r="BX198" s="449">
        <v>0</v>
      </c>
      <c r="BY198" s="449">
        <v>0</v>
      </c>
      <c r="BZ198" s="448">
        <v>-447.70666666666665</v>
      </c>
      <c r="CA198" s="448">
        <v>-278.24833333333333</v>
      </c>
      <c r="CB198" s="449"/>
      <c r="CC198" s="449"/>
      <c r="CD198" s="448">
        <v>92121.651996859902</v>
      </c>
      <c r="CE198" s="448">
        <f t="shared" si="245"/>
        <v>4724.0089780194394</v>
      </c>
      <c r="CF198" s="448">
        <v>0</v>
      </c>
      <c r="CG198" s="449"/>
      <c r="CH198" s="449">
        <v>0</v>
      </c>
      <c r="CI198" s="449">
        <v>0</v>
      </c>
      <c r="CJ198" s="449">
        <v>0</v>
      </c>
      <c r="CK198" s="449">
        <v>0</v>
      </c>
      <c r="CL198" s="449">
        <v>0</v>
      </c>
      <c r="CM198" s="449">
        <v>0</v>
      </c>
      <c r="CN198" s="448">
        <f>I198-V198-AJ198-AX198-BL198-BZ198</f>
        <v>3.751665644813329E-12</v>
      </c>
      <c r="CO198" s="448">
        <f>J198-W198-AK198-AY198-BM198-CA198</f>
        <v>-1947.7383333333328</v>
      </c>
      <c r="CP198" s="449">
        <v>0</v>
      </c>
      <c r="CQ198" s="449"/>
      <c r="CR198" s="449">
        <v>0</v>
      </c>
      <c r="CS198" s="448">
        <f t="shared" si="246"/>
        <v>2776.2706446861102</v>
      </c>
      <c r="CT198" s="448"/>
      <c r="CU198" s="448"/>
      <c r="CV198" s="338">
        <f>_xlfn.IFNA(VLOOKUP(A198,'LA Deductions'!$A$6:$AN$207,34,FALSE),0)</f>
        <v>0</v>
      </c>
      <c r="CW198" s="449"/>
      <c r="CX198" s="449"/>
      <c r="CY198" s="449"/>
      <c r="CZ198" s="449"/>
      <c r="DA198" s="449"/>
      <c r="DB198" s="449"/>
      <c r="DC198" s="448"/>
      <c r="DD198" s="448"/>
      <c r="DE198" s="449"/>
      <c r="DF198" s="338">
        <f>_xlfn.IFNA(VLOOKUP($A198,'Cash Advances'!$A:$S,14,FALSE),0)</f>
        <v>0</v>
      </c>
      <c r="DG198" s="449"/>
      <c r="DH198" s="448"/>
      <c r="DI198" s="448"/>
      <c r="DJ198" s="448"/>
      <c r="DK198" s="449"/>
      <c r="DL198" s="449"/>
      <c r="DM198" s="449"/>
      <c r="DN198" s="449"/>
      <c r="DO198" s="449"/>
      <c r="DP198" s="449"/>
      <c r="DQ198" s="449"/>
      <c r="DR198" s="448"/>
      <c r="DS198" s="448"/>
      <c r="DT198" s="449"/>
      <c r="DU198" s="449"/>
      <c r="DV198" s="449"/>
      <c r="DW198" s="448"/>
      <c r="DX198" s="448"/>
      <c r="DY198" s="344"/>
      <c r="DZ198" s="449"/>
      <c r="EA198" s="449"/>
      <c r="EB198" s="449"/>
      <c r="EC198" s="449"/>
      <c r="ED198" s="345"/>
      <c r="EE198" s="449"/>
      <c r="EF198" s="449"/>
      <c r="EG198" s="448"/>
      <c r="EH198" s="448"/>
      <c r="EI198" s="449"/>
      <c r="EJ198" s="345">
        <f>_xlfn.IFNA(VLOOKUP(A198,'Cash Advances'!A:P,16,FALSE),0)</f>
        <v>0</v>
      </c>
      <c r="EK198" s="449"/>
      <c r="EL198" s="448"/>
      <c r="EM198" s="448"/>
      <c r="EN198" s="448"/>
      <c r="EO198" s="449"/>
      <c r="EP198" s="449"/>
      <c r="EQ198" s="449"/>
      <c r="ER198" s="449"/>
      <c r="ES198" s="449"/>
      <c r="ET198" s="449"/>
      <c r="EU198" s="449"/>
      <c r="EV198" s="448"/>
      <c r="EW198" s="448"/>
      <c r="EX198" s="449"/>
      <c r="EY198" s="449"/>
      <c r="EZ198" s="449"/>
      <c r="FA198" s="448"/>
      <c r="FB198" s="448"/>
      <c r="FC198" s="448"/>
      <c r="FD198" s="449"/>
      <c r="FE198" s="449"/>
      <c r="FF198" s="449"/>
      <c r="FG198" s="449"/>
      <c r="FH198" s="449"/>
      <c r="FI198" s="449"/>
      <c r="FJ198" s="449"/>
      <c r="FK198" s="448"/>
      <c r="FL198" s="448"/>
      <c r="FM198" s="449"/>
      <c r="FN198" s="316"/>
      <c r="FO198" s="449"/>
      <c r="FP198" s="448"/>
      <c r="FQ198" s="448"/>
      <c r="FR198" s="448"/>
      <c r="FS198" s="449"/>
      <c r="FT198" s="449"/>
      <c r="FU198" s="449"/>
      <c r="FV198" s="449"/>
      <c r="FW198" s="449"/>
      <c r="FX198" s="449"/>
      <c r="FY198" s="449"/>
      <c r="FZ198" s="448"/>
      <c r="GA198" s="448"/>
      <c r="GB198" s="449"/>
      <c r="GC198" s="449"/>
      <c r="GD198" s="449"/>
      <c r="GE198" s="448"/>
      <c r="GG198" s="448">
        <f t="shared" ref="GG198:GL207" si="247">SUMIFS($M198:$GE198,$M$7:$GE$7,GG$7)</f>
        <v>468962.04396231892</v>
      </c>
      <c r="GH198" s="448">
        <f t="shared" si="247"/>
        <v>0</v>
      </c>
      <c r="GI198" s="448">
        <f t="shared" si="247"/>
        <v>0</v>
      </c>
      <c r="GJ198" s="448">
        <f t="shared" si="247"/>
        <v>-2238.5333333333297</v>
      </c>
      <c r="GK198" s="448">
        <f t="shared" si="247"/>
        <v>-3338.9799999999996</v>
      </c>
      <c r="GL198" s="448">
        <f t="shared" si="247"/>
        <v>0</v>
      </c>
      <c r="GN198" s="448">
        <f t="shared" ref="GN198:GS207" si="248">SUMIFS($M198:$GE198,$M$7:$GE$7,GN$7,$M$4:$GE$4,$GN$6)</f>
        <v>468962.04396231892</v>
      </c>
      <c r="GO198" s="448">
        <f t="shared" si="248"/>
        <v>0</v>
      </c>
      <c r="GP198" s="448">
        <f t="shared" si="248"/>
        <v>0</v>
      </c>
      <c r="GQ198" s="448">
        <f t="shared" si="248"/>
        <v>-2238.5333333333297</v>
      </c>
      <c r="GR198" s="448">
        <f t="shared" si="248"/>
        <v>-3338.9799999999996</v>
      </c>
      <c r="GS198" s="448">
        <f t="shared" si="248"/>
        <v>0</v>
      </c>
      <c r="GU198" s="448"/>
      <c r="GV198" s="450"/>
    </row>
    <row r="199" spans="1:204" s="378" customFormat="1">
      <c r="A199" s="445">
        <v>3329</v>
      </c>
      <c r="B199" s="445">
        <v>103431</v>
      </c>
      <c r="C199" s="445" t="s">
        <v>410</v>
      </c>
      <c r="D199" s="446" t="s">
        <v>411</v>
      </c>
      <c r="E199" s="372" t="s">
        <v>32</v>
      </c>
      <c r="F199" s="372" t="s">
        <v>911</v>
      </c>
      <c r="H199" s="447">
        <f>_xlfn.IFNA(VLOOKUP($A199,ISB!$A$4:$BY$454,67,FALSE),0)-735625.08</f>
        <v>534321.43526730768</v>
      </c>
      <c r="I199" s="447">
        <f>_xlfn.IFNA(VLOOKUP($A199,ISB!$A$4:$BY$454,72,FALSE),0)+3073.09333333333</f>
        <v>-2195.0666666666698</v>
      </c>
      <c r="J199" s="447">
        <f>-_xlfn.IFNA(VLOOKUP($A199,ISB!$A$4:$BY$454,76,FALSE),0)</f>
        <v>-3444.98</v>
      </c>
      <c r="K199" s="447">
        <f t="shared" si="240"/>
        <v>528681.38860064105</v>
      </c>
      <c r="M199" s="448">
        <v>105828.87627227564</v>
      </c>
      <c r="N199" s="448">
        <v>32457.688421052633</v>
      </c>
      <c r="O199" s="449"/>
      <c r="P199" s="449">
        <v>0</v>
      </c>
      <c r="Q199" s="449">
        <v>0</v>
      </c>
      <c r="R199" s="449">
        <v>0</v>
      </c>
      <c r="S199" s="449">
        <v>0</v>
      </c>
      <c r="T199" s="449">
        <v>0</v>
      </c>
      <c r="U199" s="449">
        <v>0</v>
      </c>
      <c r="V199" s="448">
        <v>-439.01333333333332</v>
      </c>
      <c r="W199" s="448">
        <v>-287.08166666666665</v>
      </c>
      <c r="X199" s="449"/>
      <c r="Y199" s="449">
        <v>0</v>
      </c>
      <c r="Z199" s="448">
        <v>137560.46969332828</v>
      </c>
      <c r="AA199" s="448">
        <v>105828.87627227564</v>
      </c>
      <c r="AB199" s="448"/>
      <c r="AC199" s="449"/>
      <c r="AD199" s="449">
        <v>0</v>
      </c>
      <c r="AE199" s="449">
        <v>0</v>
      </c>
      <c r="AF199" s="449">
        <v>0</v>
      </c>
      <c r="AG199" s="449"/>
      <c r="AH199" s="449">
        <v>0</v>
      </c>
      <c r="AI199" s="449">
        <v>0</v>
      </c>
      <c r="AJ199" s="448">
        <v>-439.01333333333332</v>
      </c>
      <c r="AK199" s="448">
        <v>-287.08166666666665</v>
      </c>
      <c r="AL199" s="449"/>
      <c r="AM199" s="449">
        <v>0</v>
      </c>
      <c r="AN199" s="448">
        <v>105102.78127227564</v>
      </c>
      <c r="AO199" s="448">
        <v>105828.87627227564</v>
      </c>
      <c r="AP199" s="448"/>
      <c r="AQ199" s="449"/>
      <c r="AR199" s="449">
        <v>0</v>
      </c>
      <c r="AS199" s="449">
        <v>0</v>
      </c>
      <c r="AT199" s="449">
        <v>0</v>
      </c>
      <c r="AU199" s="449"/>
      <c r="AV199" s="449">
        <v>0</v>
      </c>
      <c r="AW199" s="449">
        <v>0</v>
      </c>
      <c r="AX199" s="448">
        <v>-439.01333333333332</v>
      </c>
      <c r="AY199" s="448">
        <v>-287.08166666666665</v>
      </c>
      <c r="AZ199" s="449"/>
      <c r="BA199" s="449">
        <v>0</v>
      </c>
      <c r="BB199" s="448">
        <v>105102.78127227564</v>
      </c>
      <c r="BC199" s="448">
        <v>105828.87627227564</v>
      </c>
      <c r="BD199" s="448"/>
      <c r="BE199" s="449"/>
      <c r="BF199" s="449">
        <v>0</v>
      </c>
      <c r="BG199" s="449">
        <v>0</v>
      </c>
      <c r="BH199" s="449">
        <v>0</v>
      </c>
      <c r="BI199" s="449"/>
      <c r="BJ199" s="449">
        <v>0</v>
      </c>
      <c r="BK199" s="449">
        <v>0</v>
      </c>
      <c r="BL199" s="448">
        <v>-439.01333333333332</v>
      </c>
      <c r="BM199" s="448">
        <v>-287.08166666666665</v>
      </c>
      <c r="BN199" s="449"/>
      <c r="BO199" s="449">
        <v>0</v>
      </c>
      <c r="BP199" s="448">
        <v>105102.78127227564</v>
      </c>
      <c r="BQ199" s="448">
        <v>105828.87627227564</v>
      </c>
      <c r="BR199" s="448"/>
      <c r="BS199" s="449"/>
      <c r="BT199" s="449">
        <v>0</v>
      </c>
      <c r="BU199" s="449">
        <v>0</v>
      </c>
      <c r="BV199" s="449">
        <v>0</v>
      </c>
      <c r="BW199" s="449"/>
      <c r="BX199" s="449">
        <v>0</v>
      </c>
      <c r="BY199" s="449">
        <v>0</v>
      </c>
      <c r="BZ199" s="448">
        <v>-439.01333333333332</v>
      </c>
      <c r="CA199" s="448">
        <v>-287.08166666666665</v>
      </c>
      <c r="CB199" s="449"/>
      <c r="CC199" s="449"/>
      <c r="CD199" s="448">
        <v>105102.78127227564</v>
      </c>
      <c r="CE199" s="448">
        <f t="shared" si="245"/>
        <v>5177.053905929497</v>
      </c>
      <c r="CF199" s="448">
        <v>3394.9431578947338</v>
      </c>
      <c r="CG199" s="449"/>
      <c r="CH199" s="449">
        <v>0</v>
      </c>
      <c r="CI199" s="449">
        <v>0</v>
      </c>
      <c r="CJ199" s="449">
        <v>0</v>
      </c>
      <c r="CK199" s="449">
        <v>0</v>
      </c>
      <c r="CL199" s="449">
        <v>0</v>
      </c>
      <c r="CM199" s="449">
        <v>0</v>
      </c>
      <c r="CN199" s="448">
        <f t="shared" ref="CN199:CN203" si="249">I199-V199-AJ199-AX199-BL199-BZ199</f>
        <v>-3.1832314562052488E-12</v>
      </c>
      <c r="CO199" s="448">
        <f t="shared" ref="CO199:CO203" si="250">J199-W199-AK199-AY199-BM199-CA199</f>
        <v>-2009.5716666666674</v>
      </c>
      <c r="CP199" s="449">
        <v>-2141.5625</v>
      </c>
      <c r="CQ199" s="449"/>
      <c r="CR199" s="449">
        <v>0</v>
      </c>
      <c r="CS199" s="448">
        <f t="shared" si="246"/>
        <v>4420.862897157559</v>
      </c>
      <c r="CT199" s="448"/>
      <c r="CU199" s="448"/>
      <c r="CV199" s="338">
        <f>_xlfn.IFNA(VLOOKUP(A199,'LA Deductions'!$A$6:$AN$207,34,FALSE),0)</f>
        <v>0</v>
      </c>
      <c r="CW199" s="449"/>
      <c r="CX199" s="449"/>
      <c r="CY199" s="449"/>
      <c r="CZ199" s="449"/>
      <c r="DA199" s="449"/>
      <c r="DB199" s="449"/>
      <c r="DC199" s="448"/>
      <c r="DD199" s="448"/>
      <c r="DE199" s="449"/>
      <c r="DF199" s="338">
        <f>_xlfn.IFNA(VLOOKUP($A199,'Cash Advances'!$A:$S,14,FALSE),0)</f>
        <v>0</v>
      </c>
      <c r="DG199" s="449"/>
      <c r="DH199" s="448"/>
      <c r="DI199" s="448"/>
      <c r="DJ199" s="448"/>
      <c r="DK199" s="449"/>
      <c r="DL199" s="449"/>
      <c r="DM199" s="449"/>
      <c r="DN199" s="449"/>
      <c r="DO199" s="449"/>
      <c r="DP199" s="449"/>
      <c r="DQ199" s="449"/>
      <c r="DR199" s="448"/>
      <c r="DS199" s="448"/>
      <c r="DT199" s="449"/>
      <c r="DU199" s="449"/>
      <c r="DV199" s="449"/>
      <c r="DW199" s="448"/>
      <c r="DX199" s="448"/>
      <c r="DY199" s="344"/>
      <c r="DZ199" s="449"/>
      <c r="EA199" s="449"/>
      <c r="EB199" s="449"/>
      <c r="EC199" s="449"/>
      <c r="ED199" s="345"/>
      <c r="EE199" s="449"/>
      <c r="EF199" s="449"/>
      <c r="EG199" s="448"/>
      <c r="EH199" s="448"/>
      <c r="EI199" s="449"/>
      <c r="EJ199" s="345">
        <f>_xlfn.IFNA(VLOOKUP(A199,'Cash Advances'!A:P,16,FALSE),0)</f>
        <v>0</v>
      </c>
      <c r="EK199" s="449"/>
      <c r="EL199" s="448"/>
      <c r="EM199" s="448"/>
      <c r="EN199" s="448"/>
      <c r="EO199" s="449"/>
      <c r="EP199" s="449"/>
      <c r="EQ199" s="449"/>
      <c r="ER199" s="449"/>
      <c r="ES199" s="449"/>
      <c r="ET199" s="449"/>
      <c r="EU199" s="449"/>
      <c r="EV199" s="448"/>
      <c r="EW199" s="448"/>
      <c r="EX199" s="449"/>
      <c r="EY199" s="449"/>
      <c r="EZ199" s="449"/>
      <c r="FA199" s="448"/>
      <c r="FB199" s="448"/>
      <c r="FC199" s="448"/>
      <c r="FD199" s="449"/>
      <c r="FE199" s="449"/>
      <c r="FF199" s="449"/>
      <c r="FG199" s="449"/>
      <c r="FH199" s="449"/>
      <c r="FI199" s="449"/>
      <c r="FJ199" s="449"/>
      <c r="FK199" s="448"/>
      <c r="FL199" s="448"/>
      <c r="FM199" s="449"/>
      <c r="FN199" s="316"/>
      <c r="FO199" s="449"/>
      <c r="FP199" s="448"/>
      <c r="FQ199" s="448"/>
      <c r="FR199" s="448"/>
      <c r="FS199" s="449"/>
      <c r="FT199" s="449"/>
      <c r="FU199" s="449"/>
      <c r="FV199" s="449"/>
      <c r="FW199" s="449"/>
      <c r="FX199" s="449"/>
      <c r="FY199" s="449"/>
      <c r="FZ199" s="448"/>
      <c r="GA199" s="448"/>
      <c r="GB199" s="449"/>
      <c r="GC199" s="449"/>
      <c r="GD199" s="449"/>
      <c r="GE199" s="448"/>
      <c r="GG199" s="448">
        <f t="shared" si="247"/>
        <v>570174.06684625498</v>
      </c>
      <c r="GH199" s="448">
        <f t="shared" si="247"/>
        <v>0</v>
      </c>
      <c r="GI199" s="448">
        <f t="shared" si="247"/>
        <v>0</v>
      </c>
      <c r="GJ199" s="448">
        <f t="shared" si="247"/>
        <v>-2195.0666666666698</v>
      </c>
      <c r="GK199" s="448">
        <f t="shared" si="247"/>
        <v>-3444.9800000000005</v>
      </c>
      <c r="GL199" s="448">
        <f t="shared" si="247"/>
        <v>-2141.5625</v>
      </c>
      <c r="GN199" s="448">
        <f t="shared" si="248"/>
        <v>570174.06684625498</v>
      </c>
      <c r="GO199" s="448">
        <f t="shared" si="248"/>
        <v>0</v>
      </c>
      <c r="GP199" s="448">
        <f t="shared" si="248"/>
        <v>0</v>
      </c>
      <c r="GQ199" s="448">
        <f t="shared" si="248"/>
        <v>-2195.0666666666698</v>
      </c>
      <c r="GR199" s="448">
        <f t="shared" si="248"/>
        <v>-3444.9800000000005</v>
      </c>
      <c r="GS199" s="448">
        <f t="shared" si="248"/>
        <v>-2141.5625</v>
      </c>
      <c r="GU199" s="448"/>
      <c r="GV199" s="450"/>
    </row>
    <row r="200" spans="1:204" s="378" customFormat="1">
      <c r="A200" s="445">
        <v>3406</v>
      </c>
      <c r="B200" s="445">
        <v>103476</v>
      </c>
      <c r="C200" s="445" t="s">
        <v>412</v>
      </c>
      <c r="D200" s="446" t="s">
        <v>413</v>
      </c>
      <c r="E200" s="372" t="s">
        <v>32</v>
      </c>
      <c r="F200" s="372" t="s">
        <v>911</v>
      </c>
      <c r="H200" s="447">
        <f>_xlfn.IFNA(VLOOKUP($A200,ISB!$A$4:$BY$454,67,FALSE),0)-803145.78</f>
        <v>583448.04405083321</v>
      </c>
      <c r="I200" s="447">
        <f>_xlfn.IFNA(VLOOKUP($A200,ISB!$A$4:$BY$454,72,FALSE),0)+3133.94666666667</f>
        <v>-2238.5333333333297</v>
      </c>
      <c r="J200" s="447">
        <f>-_xlfn.IFNA(VLOOKUP($A200,ISB!$A$4:$BY$454,76,FALSE),0)</f>
        <v>-3842.48</v>
      </c>
      <c r="K200" s="447">
        <f t="shared" si="240"/>
        <v>577367.0307174999</v>
      </c>
      <c r="M200" s="448">
        <v>115549.48533756944</v>
      </c>
      <c r="N200" s="448">
        <v>19932.120000000003</v>
      </c>
      <c r="O200" s="449"/>
      <c r="P200" s="449">
        <v>0</v>
      </c>
      <c r="Q200" s="449">
        <v>0</v>
      </c>
      <c r="R200" s="449">
        <v>0</v>
      </c>
      <c r="S200" s="449">
        <v>0</v>
      </c>
      <c r="T200" s="449">
        <v>0</v>
      </c>
      <c r="U200" s="449">
        <v>0</v>
      </c>
      <c r="V200" s="448">
        <v>-447.70666666666665</v>
      </c>
      <c r="W200" s="448">
        <v>-320.20666666666665</v>
      </c>
      <c r="X200" s="449"/>
      <c r="Y200" s="449">
        <v>0</v>
      </c>
      <c r="Z200" s="448">
        <v>134713.6920042361</v>
      </c>
      <c r="AA200" s="448">
        <v>115549.48533756944</v>
      </c>
      <c r="AB200" s="448"/>
      <c r="AC200" s="449"/>
      <c r="AD200" s="449">
        <v>0</v>
      </c>
      <c r="AE200" s="449">
        <v>0</v>
      </c>
      <c r="AF200" s="449">
        <v>0</v>
      </c>
      <c r="AG200" s="449"/>
      <c r="AH200" s="449">
        <v>0</v>
      </c>
      <c r="AI200" s="449">
        <v>0</v>
      </c>
      <c r="AJ200" s="448">
        <v>-447.70666666666665</v>
      </c>
      <c r="AK200" s="448">
        <v>-320.20666666666665</v>
      </c>
      <c r="AL200" s="449"/>
      <c r="AM200" s="449">
        <v>0</v>
      </c>
      <c r="AN200" s="448">
        <v>114781.57200423611</v>
      </c>
      <c r="AO200" s="448">
        <v>115549.48533756944</v>
      </c>
      <c r="AP200" s="448"/>
      <c r="AQ200" s="449"/>
      <c r="AR200" s="449">
        <v>0</v>
      </c>
      <c r="AS200" s="449">
        <v>0</v>
      </c>
      <c r="AT200" s="449">
        <v>0</v>
      </c>
      <c r="AU200" s="449"/>
      <c r="AV200" s="449">
        <v>0</v>
      </c>
      <c r="AW200" s="449">
        <v>0</v>
      </c>
      <c r="AX200" s="448">
        <v>-447.70666666666665</v>
      </c>
      <c r="AY200" s="448">
        <v>-320.20666666666665</v>
      </c>
      <c r="AZ200" s="449"/>
      <c r="BA200" s="449">
        <v>0</v>
      </c>
      <c r="BB200" s="448">
        <v>114781.57200423611</v>
      </c>
      <c r="BC200" s="448">
        <v>115549.48533756944</v>
      </c>
      <c r="BD200" s="448"/>
      <c r="BE200" s="449"/>
      <c r="BF200" s="449">
        <v>0</v>
      </c>
      <c r="BG200" s="449">
        <v>0</v>
      </c>
      <c r="BH200" s="449">
        <v>0</v>
      </c>
      <c r="BI200" s="449"/>
      <c r="BJ200" s="449">
        <v>0</v>
      </c>
      <c r="BK200" s="449">
        <v>0</v>
      </c>
      <c r="BL200" s="448">
        <v>-447.70666666666665</v>
      </c>
      <c r="BM200" s="448">
        <v>-320.20666666666665</v>
      </c>
      <c r="BN200" s="449"/>
      <c r="BO200" s="449">
        <v>0</v>
      </c>
      <c r="BP200" s="448">
        <v>114781.57200423611</v>
      </c>
      <c r="BQ200" s="448">
        <v>115549.48533756944</v>
      </c>
      <c r="BR200" s="448"/>
      <c r="BS200" s="449"/>
      <c r="BT200" s="449">
        <v>0</v>
      </c>
      <c r="BU200" s="449">
        <v>0</v>
      </c>
      <c r="BV200" s="449">
        <v>0</v>
      </c>
      <c r="BW200" s="449"/>
      <c r="BX200" s="449">
        <v>0</v>
      </c>
      <c r="BY200" s="449">
        <v>0</v>
      </c>
      <c r="BZ200" s="448">
        <v>-447.70666666666665</v>
      </c>
      <c r="CA200" s="448">
        <v>-320.20666666666665</v>
      </c>
      <c r="CB200" s="449"/>
      <c r="CC200" s="449"/>
      <c r="CD200" s="448">
        <v>114781.57200423611</v>
      </c>
      <c r="CE200" s="448">
        <f t="shared" si="245"/>
        <v>5700.6173629860277</v>
      </c>
      <c r="CF200" s="448">
        <v>8516.3273684210508</v>
      </c>
      <c r="CG200" s="449"/>
      <c r="CH200" s="449">
        <v>0</v>
      </c>
      <c r="CI200" s="449">
        <v>0</v>
      </c>
      <c r="CJ200" s="449">
        <v>0</v>
      </c>
      <c r="CK200" s="449">
        <v>0</v>
      </c>
      <c r="CL200" s="449">
        <v>0</v>
      </c>
      <c r="CM200" s="449">
        <v>0</v>
      </c>
      <c r="CN200" s="448">
        <f t="shared" si="249"/>
        <v>3.751665644813329E-12</v>
      </c>
      <c r="CO200" s="448">
        <f t="shared" si="250"/>
        <v>-2241.4466666666676</v>
      </c>
      <c r="CP200" s="449">
        <v>0</v>
      </c>
      <c r="CQ200" s="449"/>
      <c r="CR200" s="449">
        <v>0</v>
      </c>
      <c r="CS200" s="448">
        <f t="shared" si="246"/>
        <v>11975.498064740415</v>
      </c>
      <c r="CT200" s="448"/>
      <c r="CU200" s="448"/>
      <c r="CV200" s="338">
        <f>_xlfn.IFNA(VLOOKUP(A200,'LA Deductions'!$A$6:$AN$207,34,FALSE),0)</f>
        <v>0</v>
      </c>
      <c r="CW200" s="449"/>
      <c r="CX200" s="449"/>
      <c r="CY200" s="449"/>
      <c r="CZ200" s="449"/>
      <c r="DA200" s="449"/>
      <c r="DB200" s="449"/>
      <c r="DC200" s="448"/>
      <c r="DD200" s="448"/>
      <c r="DE200" s="449"/>
      <c r="DF200" s="338">
        <f>_xlfn.IFNA(VLOOKUP($A200,'Cash Advances'!$A:$S,14,FALSE),0)</f>
        <v>0</v>
      </c>
      <c r="DG200" s="449"/>
      <c r="DH200" s="448"/>
      <c r="DI200" s="448"/>
      <c r="DJ200" s="448"/>
      <c r="DK200" s="449"/>
      <c r="DL200" s="449"/>
      <c r="DM200" s="449"/>
      <c r="DN200" s="449"/>
      <c r="DO200" s="449"/>
      <c r="DP200" s="449"/>
      <c r="DQ200" s="449"/>
      <c r="DR200" s="448"/>
      <c r="DS200" s="448"/>
      <c r="DT200" s="449"/>
      <c r="DU200" s="449"/>
      <c r="DV200" s="449"/>
      <c r="DW200" s="448"/>
      <c r="DX200" s="448"/>
      <c r="DY200" s="344"/>
      <c r="DZ200" s="449"/>
      <c r="EA200" s="449"/>
      <c r="EB200" s="449"/>
      <c r="EC200" s="449"/>
      <c r="ED200" s="345"/>
      <c r="EE200" s="449"/>
      <c r="EF200" s="449"/>
      <c r="EG200" s="448"/>
      <c r="EH200" s="448"/>
      <c r="EI200" s="449"/>
      <c r="EJ200" s="345">
        <f>_xlfn.IFNA(VLOOKUP(A200,'Cash Advances'!A:P,16,FALSE),0)</f>
        <v>0</v>
      </c>
      <c r="EK200" s="449"/>
      <c r="EL200" s="448"/>
      <c r="EM200" s="448"/>
      <c r="EN200" s="448"/>
      <c r="EO200" s="449"/>
      <c r="EP200" s="449"/>
      <c r="EQ200" s="449"/>
      <c r="ER200" s="449"/>
      <c r="ES200" s="449"/>
      <c r="ET200" s="449"/>
      <c r="EU200" s="449"/>
      <c r="EV200" s="448"/>
      <c r="EW200" s="448"/>
      <c r="EX200" s="449"/>
      <c r="EY200" s="449"/>
      <c r="EZ200" s="449"/>
      <c r="FA200" s="448"/>
      <c r="FB200" s="448"/>
      <c r="FC200" s="448"/>
      <c r="FD200" s="449"/>
      <c r="FE200" s="449"/>
      <c r="FF200" s="449"/>
      <c r="FG200" s="449"/>
      <c r="FH200" s="449"/>
      <c r="FI200" s="449"/>
      <c r="FJ200" s="449"/>
      <c r="FK200" s="448"/>
      <c r="FL200" s="448"/>
      <c r="FM200" s="449"/>
      <c r="FN200" s="316"/>
      <c r="FO200" s="449"/>
      <c r="FP200" s="448"/>
      <c r="FQ200" s="448"/>
      <c r="FR200" s="448"/>
      <c r="FS200" s="449"/>
      <c r="FT200" s="449"/>
      <c r="FU200" s="449"/>
      <c r="FV200" s="449"/>
      <c r="FW200" s="449"/>
      <c r="FX200" s="449"/>
      <c r="FY200" s="449"/>
      <c r="FZ200" s="448"/>
      <c r="GA200" s="448"/>
      <c r="GB200" s="449"/>
      <c r="GC200" s="449"/>
      <c r="GD200" s="449"/>
      <c r="GE200" s="448"/>
      <c r="GG200" s="448">
        <f t="shared" si="247"/>
        <v>611896.49141925434</v>
      </c>
      <c r="GH200" s="448">
        <f t="shared" si="247"/>
        <v>0</v>
      </c>
      <c r="GI200" s="448">
        <f t="shared" si="247"/>
        <v>0</v>
      </c>
      <c r="GJ200" s="448">
        <f t="shared" si="247"/>
        <v>-2238.5333333333297</v>
      </c>
      <c r="GK200" s="448">
        <f t="shared" si="247"/>
        <v>-3842.4800000000009</v>
      </c>
      <c r="GL200" s="448">
        <f t="shared" si="247"/>
        <v>0</v>
      </c>
      <c r="GN200" s="448">
        <f t="shared" si="248"/>
        <v>611896.49141925434</v>
      </c>
      <c r="GO200" s="448">
        <f t="shared" si="248"/>
        <v>0</v>
      </c>
      <c r="GP200" s="448">
        <f t="shared" si="248"/>
        <v>0</v>
      </c>
      <c r="GQ200" s="448">
        <f t="shared" si="248"/>
        <v>-2238.5333333333297</v>
      </c>
      <c r="GR200" s="448">
        <f t="shared" si="248"/>
        <v>-3842.4800000000009</v>
      </c>
      <c r="GS200" s="448">
        <f t="shared" si="248"/>
        <v>0</v>
      </c>
      <c r="GU200" s="448"/>
      <c r="GV200" s="450"/>
    </row>
    <row r="201" spans="1:204" s="378" customFormat="1">
      <c r="A201" s="445">
        <v>3342</v>
      </c>
      <c r="B201" s="445">
        <v>103437</v>
      </c>
      <c r="C201" s="445" t="s">
        <v>414</v>
      </c>
      <c r="D201" s="446" t="s">
        <v>415</v>
      </c>
      <c r="E201" s="372" t="s">
        <v>32</v>
      </c>
      <c r="F201" s="372" t="s">
        <v>911</v>
      </c>
      <c r="H201" s="447">
        <f>_xlfn.IFNA(VLOOKUP($A201,ISB!$A$4:$BY$454,67,FALSE),0)-1355265.69</f>
        <v>986000.58138582669</v>
      </c>
      <c r="I201" s="447">
        <f>_xlfn.IFNA(VLOOKUP($A201,ISB!$A$4:$BY$454,72,FALSE),0)+5674.57333333333</f>
        <v>-4053.2666666666701</v>
      </c>
      <c r="J201" s="447">
        <f>-_xlfn.IFNA(VLOOKUP($A201,ISB!$A$4:$BY$454,76,FALSE),0)</f>
        <v>-7949.95</v>
      </c>
      <c r="K201" s="447">
        <f t="shared" si="240"/>
        <v>973997.36471916002</v>
      </c>
      <c r="M201" s="448">
        <v>195105.52261548556</v>
      </c>
      <c r="N201" s="448">
        <v>0</v>
      </c>
      <c r="O201" s="449"/>
      <c r="P201" s="449">
        <v>0</v>
      </c>
      <c r="Q201" s="449">
        <v>0</v>
      </c>
      <c r="R201" s="449">
        <v>0</v>
      </c>
      <c r="S201" s="449">
        <v>0</v>
      </c>
      <c r="T201" s="449">
        <v>0</v>
      </c>
      <c r="U201" s="449">
        <v>0</v>
      </c>
      <c r="V201" s="448">
        <v>-810.65333333333331</v>
      </c>
      <c r="W201" s="448">
        <v>-662.49583333333328</v>
      </c>
      <c r="X201" s="449"/>
      <c r="Y201" s="449">
        <v>0</v>
      </c>
      <c r="Z201" s="448">
        <v>193632.37344881892</v>
      </c>
      <c r="AA201" s="448">
        <v>195105.52261548556</v>
      </c>
      <c r="AB201" s="448"/>
      <c r="AC201" s="449"/>
      <c r="AD201" s="449">
        <v>0</v>
      </c>
      <c r="AE201" s="449">
        <v>0</v>
      </c>
      <c r="AF201" s="449">
        <v>0</v>
      </c>
      <c r="AG201" s="449"/>
      <c r="AH201" s="449">
        <v>0</v>
      </c>
      <c r="AI201" s="449">
        <v>0</v>
      </c>
      <c r="AJ201" s="448">
        <v>-810.65333333333331</v>
      </c>
      <c r="AK201" s="448">
        <v>-662.49583333333328</v>
      </c>
      <c r="AL201" s="449"/>
      <c r="AM201" s="449">
        <v>0</v>
      </c>
      <c r="AN201" s="448">
        <v>193632.37344881892</v>
      </c>
      <c r="AO201" s="448">
        <v>195105.52261548556</v>
      </c>
      <c r="AP201" s="448"/>
      <c r="AQ201" s="449"/>
      <c r="AR201" s="449">
        <v>0</v>
      </c>
      <c r="AS201" s="449">
        <v>0</v>
      </c>
      <c r="AT201" s="449">
        <v>0</v>
      </c>
      <c r="AU201" s="449"/>
      <c r="AV201" s="449">
        <v>0</v>
      </c>
      <c r="AW201" s="449">
        <v>0</v>
      </c>
      <c r="AX201" s="448">
        <v>-810.65333333333331</v>
      </c>
      <c r="AY201" s="448">
        <v>-662.49583333333328</v>
      </c>
      <c r="AZ201" s="449"/>
      <c r="BA201" s="449">
        <v>0</v>
      </c>
      <c r="BB201" s="448">
        <v>193632.37344881892</v>
      </c>
      <c r="BC201" s="448">
        <v>195105.52261548556</v>
      </c>
      <c r="BD201" s="448"/>
      <c r="BE201" s="449"/>
      <c r="BF201" s="449">
        <v>0</v>
      </c>
      <c r="BG201" s="449">
        <v>0</v>
      </c>
      <c r="BH201" s="449">
        <v>0</v>
      </c>
      <c r="BI201" s="449"/>
      <c r="BJ201" s="449">
        <v>0</v>
      </c>
      <c r="BK201" s="449">
        <v>0</v>
      </c>
      <c r="BL201" s="448">
        <v>-810.65333333333331</v>
      </c>
      <c r="BM201" s="448">
        <v>-662.49583333333328</v>
      </c>
      <c r="BN201" s="449"/>
      <c r="BO201" s="449">
        <v>0</v>
      </c>
      <c r="BP201" s="448">
        <v>193632.37344881892</v>
      </c>
      <c r="BQ201" s="448">
        <v>195105.52261548556</v>
      </c>
      <c r="BR201" s="448"/>
      <c r="BS201" s="449"/>
      <c r="BT201" s="449">
        <v>0</v>
      </c>
      <c r="BU201" s="449">
        <v>0</v>
      </c>
      <c r="BV201" s="449">
        <v>0</v>
      </c>
      <c r="BW201" s="449"/>
      <c r="BX201" s="449">
        <v>0</v>
      </c>
      <c r="BY201" s="449">
        <v>0</v>
      </c>
      <c r="BZ201" s="448">
        <v>-810.65333333333331</v>
      </c>
      <c r="CA201" s="448">
        <v>-662.49583333333328</v>
      </c>
      <c r="CB201" s="449"/>
      <c r="CC201" s="449"/>
      <c r="CD201" s="448">
        <v>193632.37344881892</v>
      </c>
      <c r="CE201" s="448">
        <f t="shared" si="245"/>
        <v>10472.968308398791</v>
      </c>
      <c r="CF201" s="448">
        <v>0</v>
      </c>
      <c r="CG201" s="449"/>
      <c r="CH201" s="449">
        <v>0</v>
      </c>
      <c r="CI201" s="449">
        <v>0</v>
      </c>
      <c r="CJ201" s="449">
        <v>0</v>
      </c>
      <c r="CK201" s="449">
        <v>0</v>
      </c>
      <c r="CL201" s="449">
        <v>0</v>
      </c>
      <c r="CM201" s="449">
        <v>0</v>
      </c>
      <c r="CN201" s="448">
        <f t="shared" si="249"/>
        <v>-3.865352482534945E-12</v>
      </c>
      <c r="CO201" s="448">
        <f t="shared" si="250"/>
        <v>-4637.4708333333328</v>
      </c>
      <c r="CP201" s="449">
        <v>0</v>
      </c>
      <c r="CQ201" s="449"/>
      <c r="CR201" s="449">
        <v>0</v>
      </c>
      <c r="CS201" s="448">
        <f t="shared" si="246"/>
        <v>5835.4974750654546</v>
      </c>
      <c r="CT201" s="448"/>
      <c r="CU201" s="448"/>
      <c r="CV201" s="338">
        <f>_xlfn.IFNA(VLOOKUP(A201,'LA Deductions'!$A$6:$AN$207,34,FALSE),0)</f>
        <v>0</v>
      </c>
      <c r="CW201" s="449"/>
      <c r="CX201" s="449"/>
      <c r="CY201" s="449"/>
      <c r="CZ201" s="449"/>
      <c r="DA201" s="449"/>
      <c r="DB201" s="449"/>
      <c r="DC201" s="448"/>
      <c r="DD201" s="448"/>
      <c r="DE201" s="449"/>
      <c r="DF201" s="338">
        <f>_xlfn.IFNA(VLOOKUP($A201,'Cash Advances'!$A:$S,14,FALSE),0)</f>
        <v>0</v>
      </c>
      <c r="DG201" s="449"/>
      <c r="DH201" s="448"/>
      <c r="DI201" s="448"/>
      <c r="DJ201" s="448"/>
      <c r="DK201" s="449"/>
      <c r="DL201" s="449"/>
      <c r="DM201" s="449"/>
      <c r="DN201" s="449"/>
      <c r="DO201" s="449"/>
      <c r="DP201" s="449"/>
      <c r="DQ201" s="449"/>
      <c r="DR201" s="448"/>
      <c r="DS201" s="448"/>
      <c r="DT201" s="449"/>
      <c r="DU201" s="449"/>
      <c r="DV201" s="449"/>
      <c r="DW201" s="448"/>
      <c r="DX201" s="448"/>
      <c r="DY201" s="344"/>
      <c r="DZ201" s="449"/>
      <c r="EA201" s="449"/>
      <c r="EB201" s="449"/>
      <c r="EC201" s="449"/>
      <c r="ED201" s="345"/>
      <c r="EE201" s="449"/>
      <c r="EF201" s="449"/>
      <c r="EG201" s="448"/>
      <c r="EH201" s="448"/>
      <c r="EI201" s="449"/>
      <c r="EJ201" s="345">
        <f>_xlfn.IFNA(VLOOKUP(A201,'Cash Advances'!A:P,16,FALSE),0)</f>
        <v>0</v>
      </c>
      <c r="EK201" s="449"/>
      <c r="EL201" s="448"/>
      <c r="EM201" s="448"/>
      <c r="EN201" s="448"/>
      <c r="EO201" s="449"/>
      <c r="EP201" s="449"/>
      <c r="EQ201" s="449"/>
      <c r="ER201" s="449"/>
      <c r="ES201" s="449"/>
      <c r="ET201" s="449"/>
      <c r="EU201" s="449"/>
      <c r="EV201" s="448"/>
      <c r="EW201" s="448"/>
      <c r="EX201" s="449"/>
      <c r="EY201" s="449"/>
      <c r="EZ201" s="449"/>
      <c r="FA201" s="448"/>
      <c r="FB201" s="448"/>
      <c r="FC201" s="448"/>
      <c r="FD201" s="449"/>
      <c r="FE201" s="449"/>
      <c r="FF201" s="449"/>
      <c r="FG201" s="449"/>
      <c r="FH201" s="449"/>
      <c r="FI201" s="449"/>
      <c r="FJ201" s="449"/>
      <c r="FK201" s="448"/>
      <c r="FL201" s="448"/>
      <c r="FM201" s="449"/>
      <c r="FN201" s="316"/>
      <c r="FO201" s="449"/>
      <c r="FP201" s="448"/>
      <c r="FQ201" s="448"/>
      <c r="FR201" s="448"/>
      <c r="FS201" s="449"/>
      <c r="FT201" s="449"/>
      <c r="FU201" s="449"/>
      <c r="FV201" s="449"/>
      <c r="FW201" s="449"/>
      <c r="FX201" s="449"/>
      <c r="FY201" s="449"/>
      <c r="FZ201" s="448"/>
      <c r="GA201" s="448"/>
      <c r="GB201" s="449"/>
      <c r="GC201" s="449"/>
      <c r="GD201" s="449"/>
      <c r="GE201" s="448"/>
      <c r="GG201" s="448">
        <f t="shared" si="247"/>
        <v>986000.58138582669</v>
      </c>
      <c r="GH201" s="448">
        <f t="shared" si="247"/>
        <v>0</v>
      </c>
      <c r="GI201" s="448">
        <f t="shared" si="247"/>
        <v>0</v>
      </c>
      <c r="GJ201" s="448">
        <f t="shared" si="247"/>
        <v>-4053.2666666666701</v>
      </c>
      <c r="GK201" s="448">
        <f t="shared" si="247"/>
        <v>-7949.9499999999989</v>
      </c>
      <c r="GL201" s="448">
        <f t="shared" si="247"/>
        <v>0</v>
      </c>
      <c r="GN201" s="448">
        <f t="shared" si="248"/>
        <v>986000.58138582669</v>
      </c>
      <c r="GO201" s="448">
        <f t="shared" si="248"/>
        <v>0</v>
      </c>
      <c r="GP201" s="448">
        <f t="shared" si="248"/>
        <v>0</v>
      </c>
      <c r="GQ201" s="448">
        <f t="shared" si="248"/>
        <v>-4053.2666666666701</v>
      </c>
      <c r="GR201" s="448">
        <f t="shared" si="248"/>
        <v>-7949.9499999999989</v>
      </c>
      <c r="GS201" s="448">
        <f t="shared" si="248"/>
        <v>0</v>
      </c>
    </row>
    <row r="202" spans="1:204" s="378" customFormat="1">
      <c r="A202" s="445">
        <v>3365</v>
      </c>
      <c r="B202" s="445">
        <v>103456</v>
      </c>
      <c r="C202" s="445" t="s">
        <v>420</v>
      </c>
      <c r="D202" s="446" t="s">
        <v>421</v>
      </c>
      <c r="E202" s="372" t="s">
        <v>32</v>
      </c>
      <c r="F202" s="372" t="s">
        <v>911</v>
      </c>
      <c r="H202" s="447">
        <f>_xlfn.IFNA(VLOOKUP($A202,ISB!$A$4:$BY$454,67,FALSE),0)-687378.63</f>
        <v>499792.77744536672</v>
      </c>
      <c r="I202" s="447">
        <f>_xlfn.IFNA(VLOOKUP($A202,ISB!$A$4:$BY$454,72,FALSE),0)+3179.58666666667</f>
        <v>-2271.1333333333291</v>
      </c>
      <c r="J202" s="447">
        <f>-_xlfn.IFNA(VLOOKUP($A202,ISB!$A$4:$BY$454,76,FALSE),0)</f>
        <v>-3736.48</v>
      </c>
      <c r="K202" s="447">
        <f t="shared" si="240"/>
        <v>493785.16411203344</v>
      </c>
      <c r="M202" s="448">
        <v>98930.950620447227</v>
      </c>
      <c r="N202" s="448">
        <v>0</v>
      </c>
      <c r="O202" s="449"/>
      <c r="P202" s="449">
        <v>0</v>
      </c>
      <c r="Q202" s="449">
        <v>0</v>
      </c>
      <c r="R202" s="449">
        <v>0</v>
      </c>
      <c r="S202" s="449">
        <v>0</v>
      </c>
      <c r="T202" s="449">
        <v>0</v>
      </c>
      <c r="U202" s="449">
        <v>0</v>
      </c>
      <c r="V202" s="448">
        <v>-454.22666666666663</v>
      </c>
      <c r="W202" s="448">
        <v>-311.37333333333333</v>
      </c>
      <c r="X202" s="449"/>
      <c r="Y202" s="449">
        <v>0</v>
      </c>
      <c r="Z202" s="448">
        <v>98165.350620447221</v>
      </c>
      <c r="AA202" s="448">
        <v>98930.950620447227</v>
      </c>
      <c r="AB202" s="448"/>
      <c r="AC202" s="449"/>
      <c r="AD202" s="449">
        <v>0</v>
      </c>
      <c r="AE202" s="449">
        <v>0</v>
      </c>
      <c r="AF202" s="449">
        <v>0</v>
      </c>
      <c r="AG202" s="449"/>
      <c r="AH202" s="449">
        <v>0</v>
      </c>
      <c r="AI202" s="449">
        <v>0</v>
      </c>
      <c r="AJ202" s="448">
        <v>-454.22666666666663</v>
      </c>
      <c r="AK202" s="448">
        <v>-311.37333333333333</v>
      </c>
      <c r="AL202" s="449"/>
      <c r="AM202" s="449">
        <v>0</v>
      </c>
      <c r="AN202" s="448">
        <v>98165.350620447221</v>
      </c>
      <c r="AO202" s="448">
        <v>98930.950620447227</v>
      </c>
      <c r="AP202" s="448"/>
      <c r="AQ202" s="449"/>
      <c r="AR202" s="449">
        <v>0</v>
      </c>
      <c r="AS202" s="449">
        <v>0</v>
      </c>
      <c r="AT202" s="449">
        <v>0</v>
      </c>
      <c r="AU202" s="449"/>
      <c r="AV202" s="449">
        <v>0</v>
      </c>
      <c r="AW202" s="449">
        <v>0</v>
      </c>
      <c r="AX202" s="448">
        <v>-454.22666666666663</v>
      </c>
      <c r="AY202" s="448">
        <v>-311.37333333333333</v>
      </c>
      <c r="AZ202" s="449"/>
      <c r="BA202" s="449">
        <v>0</v>
      </c>
      <c r="BB202" s="448">
        <v>98165.350620447221</v>
      </c>
      <c r="BC202" s="448">
        <v>98930.950620447227</v>
      </c>
      <c r="BD202" s="448"/>
      <c r="BE202" s="449"/>
      <c r="BF202" s="449">
        <v>0</v>
      </c>
      <c r="BG202" s="449">
        <v>0</v>
      </c>
      <c r="BH202" s="449">
        <v>0</v>
      </c>
      <c r="BI202" s="449"/>
      <c r="BJ202" s="449">
        <v>0</v>
      </c>
      <c r="BK202" s="449">
        <v>0</v>
      </c>
      <c r="BL202" s="448">
        <v>-454.22666666666663</v>
      </c>
      <c r="BM202" s="448">
        <v>-311.37333333333333</v>
      </c>
      <c r="BN202" s="449"/>
      <c r="BO202" s="449">
        <v>0</v>
      </c>
      <c r="BP202" s="448">
        <v>98165.350620447221</v>
      </c>
      <c r="BQ202" s="448">
        <v>98930.950620447227</v>
      </c>
      <c r="BR202" s="448"/>
      <c r="BS202" s="449"/>
      <c r="BT202" s="449">
        <v>0</v>
      </c>
      <c r="BU202" s="449">
        <v>0</v>
      </c>
      <c r="BV202" s="449">
        <v>0</v>
      </c>
      <c r="BW202" s="449"/>
      <c r="BX202" s="449">
        <v>0</v>
      </c>
      <c r="BY202" s="449">
        <v>0</v>
      </c>
      <c r="BZ202" s="448">
        <v>-454.22666666666663</v>
      </c>
      <c r="CA202" s="448">
        <v>-311.37333333333333</v>
      </c>
      <c r="CB202" s="449"/>
      <c r="CC202" s="449"/>
      <c r="CD202" s="448">
        <v>98165.350620447221</v>
      </c>
      <c r="CE202" s="448">
        <f t="shared" si="245"/>
        <v>5138.0243431305862</v>
      </c>
      <c r="CF202" s="448">
        <v>0</v>
      </c>
      <c r="CG202" s="449"/>
      <c r="CH202" s="449">
        <v>0</v>
      </c>
      <c r="CI202" s="449">
        <v>0</v>
      </c>
      <c r="CJ202" s="449">
        <v>0</v>
      </c>
      <c r="CK202" s="449">
        <v>0</v>
      </c>
      <c r="CL202" s="449">
        <v>0</v>
      </c>
      <c r="CM202" s="449">
        <v>0</v>
      </c>
      <c r="CN202" s="448">
        <f t="shared" si="249"/>
        <v>4.2064129956997931E-12</v>
      </c>
      <c r="CO202" s="448">
        <f t="shared" si="250"/>
        <v>-2179.6133333333328</v>
      </c>
      <c r="CP202" s="449">
        <v>-2141.5625</v>
      </c>
      <c r="CQ202" s="449"/>
      <c r="CR202" s="449">
        <v>0</v>
      </c>
      <c r="CS202" s="448">
        <f t="shared" si="246"/>
        <v>816.84850979725798</v>
      </c>
      <c r="CT202" s="448"/>
      <c r="CU202" s="448"/>
      <c r="CV202" s="338">
        <f>_xlfn.IFNA(VLOOKUP(A202,'LA Deductions'!$A$6:$AN$207,34,FALSE),0)</f>
        <v>0</v>
      </c>
      <c r="CW202" s="449"/>
      <c r="CX202" s="449"/>
      <c r="CY202" s="449"/>
      <c r="CZ202" s="449"/>
      <c r="DA202" s="449"/>
      <c r="DB202" s="449"/>
      <c r="DC202" s="448"/>
      <c r="DD202" s="448"/>
      <c r="DE202" s="449"/>
      <c r="DF202" s="338">
        <f>_xlfn.IFNA(VLOOKUP($A202,'Cash Advances'!$A:$S,14,FALSE),0)</f>
        <v>0</v>
      </c>
      <c r="DG202" s="449"/>
      <c r="DH202" s="448"/>
      <c r="DI202" s="448"/>
      <c r="DJ202" s="448"/>
      <c r="DK202" s="449"/>
      <c r="DL202" s="449"/>
      <c r="DM202" s="449"/>
      <c r="DN202" s="449"/>
      <c r="DO202" s="449"/>
      <c r="DP202" s="449"/>
      <c r="DQ202" s="449"/>
      <c r="DR202" s="448"/>
      <c r="DS202" s="448"/>
      <c r="DT202" s="449"/>
      <c r="DU202" s="449"/>
      <c r="DV202" s="449"/>
      <c r="DW202" s="448"/>
      <c r="DX202" s="448"/>
      <c r="DY202" s="344"/>
      <c r="DZ202" s="449"/>
      <c r="EA202" s="449"/>
      <c r="EB202" s="449"/>
      <c r="EC202" s="449"/>
      <c r="ED202" s="345"/>
      <c r="EE202" s="449"/>
      <c r="EF202" s="449"/>
      <c r="EG202" s="448"/>
      <c r="EH202" s="448"/>
      <c r="EI202" s="449"/>
      <c r="EJ202" s="345">
        <f>_xlfn.IFNA(VLOOKUP(A202,'Cash Advances'!A:P,16,FALSE),0)</f>
        <v>0</v>
      </c>
      <c r="EK202" s="449"/>
      <c r="EL202" s="448"/>
      <c r="EM202" s="448"/>
      <c r="EN202" s="448"/>
      <c r="EO202" s="449"/>
      <c r="EP202" s="449"/>
      <c r="EQ202" s="449"/>
      <c r="ER202" s="449"/>
      <c r="ES202" s="449"/>
      <c r="ET202" s="449"/>
      <c r="EU202" s="449"/>
      <c r="EV202" s="448"/>
      <c r="EW202" s="448"/>
      <c r="EX202" s="449"/>
      <c r="EY202" s="449"/>
      <c r="EZ202" s="449"/>
      <c r="FA202" s="448"/>
      <c r="FB202" s="448"/>
      <c r="FC202" s="448"/>
      <c r="FD202" s="449"/>
      <c r="FE202" s="449"/>
      <c r="FF202" s="449"/>
      <c r="FG202" s="449"/>
      <c r="FH202" s="449"/>
      <c r="FI202" s="449"/>
      <c r="FJ202" s="449"/>
      <c r="FK202" s="448"/>
      <c r="FL202" s="448"/>
      <c r="FM202" s="449"/>
      <c r="FN202" s="316"/>
      <c r="FO202" s="449"/>
      <c r="FP202" s="448"/>
      <c r="FQ202" s="448"/>
      <c r="FR202" s="448"/>
      <c r="FS202" s="449"/>
      <c r="FT202" s="449"/>
      <c r="FU202" s="449"/>
      <c r="FV202" s="449"/>
      <c r="FW202" s="449"/>
      <c r="FX202" s="449"/>
      <c r="FY202" s="449"/>
      <c r="FZ202" s="448"/>
      <c r="GA202" s="448"/>
      <c r="GB202" s="449"/>
      <c r="GC202" s="449"/>
      <c r="GD202" s="449"/>
      <c r="GE202" s="448"/>
      <c r="GG202" s="448">
        <f t="shared" si="247"/>
        <v>499792.77744536672</v>
      </c>
      <c r="GH202" s="448">
        <f t="shared" si="247"/>
        <v>0</v>
      </c>
      <c r="GI202" s="448">
        <f t="shared" si="247"/>
        <v>0</v>
      </c>
      <c r="GJ202" s="448">
        <f t="shared" si="247"/>
        <v>-2271.1333333333291</v>
      </c>
      <c r="GK202" s="448">
        <f t="shared" si="247"/>
        <v>-3736.4799999999996</v>
      </c>
      <c r="GL202" s="448">
        <f t="shared" si="247"/>
        <v>-2141.5625</v>
      </c>
      <c r="GN202" s="448">
        <f t="shared" si="248"/>
        <v>499792.77744536672</v>
      </c>
      <c r="GO202" s="448">
        <f t="shared" si="248"/>
        <v>0</v>
      </c>
      <c r="GP202" s="448">
        <f t="shared" si="248"/>
        <v>0</v>
      </c>
      <c r="GQ202" s="448">
        <f t="shared" si="248"/>
        <v>-2271.1333333333291</v>
      </c>
      <c r="GR202" s="448">
        <f t="shared" si="248"/>
        <v>-3736.4799999999996</v>
      </c>
      <c r="GS202" s="448">
        <f t="shared" si="248"/>
        <v>-2141.5625</v>
      </c>
    </row>
    <row r="203" spans="1:204" s="378" customFormat="1">
      <c r="A203" s="445">
        <v>3310</v>
      </c>
      <c r="B203" s="445">
        <v>103417</v>
      </c>
      <c r="C203" s="445" t="s">
        <v>424</v>
      </c>
      <c r="D203" s="446" t="s">
        <v>425</v>
      </c>
      <c r="E203" s="372" t="s">
        <v>32</v>
      </c>
      <c r="F203" s="372" t="s">
        <v>911</v>
      </c>
      <c r="H203" s="447">
        <f>_xlfn.IFNA(VLOOKUP($A203,ISB!$A$4:$BY$454,67,FALSE),0)-784698.91</f>
        <v>570268.15416539798</v>
      </c>
      <c r="I203" s="447">
        <f>_xlfn.IFNA(VLOOKUP($A203,ISB!$A$4:$BY$454,72,FALSE),0)+3042.66666666667</f>
        <v>-2173.3333333333298</v>
      </c>
      <c r="J203" s="447">
        <f>-_xlfn.IFNA(VLOOKUP($A203,ISB!$A$4:$BY$454,76,FALSE),0)</f>
        <v>-3974.98</v>
      </c>
      <c r="K203" s="447">
        <f t="shared" si="240"/>
        <v>564119.84083206463</v>
      </c>
      <c r="M203" s="448">
        <v>112913.92201378317</v>
      </c>
      <c r="N203" s="448">
        <v>25655.760000000002</v>
      </c>
      <c r="O203" s="449"/>
      <c r="P203" s="449">
        <v>0</v>
      </c>
      <c r="Q203" s="449">
        <v>0</v>
      </c>
      <c r="R203" s="449">
        <v>0</v>
      </c>
      <c r="S203" s="449">
        <v>0</v>
      </c>
      <c r="T203" s="449">
        <v>0</v>
      </c>
      <c r="U203" s="449">
        <v>0</v>
      </c>
      <c r="V203" s="448">
        <v>-434.66666666666669</v>
      </c>
      <c r="W203" s="448">
        <v>-331.24833333333333</v>
      </c>
      <c r="X203" s="449"/>
      <c r="Y203" s="449">
        <v>0</v>
      </c>
      <c r="Z203" s="448">
        <v>137803.76701378319</v>
      </c>
      <c r="AA203" s="448">
        <v>112913.92201378317</v>
      </c>
      <c r="AB203" s="448"/>
      <c r="AC203" s="449"/>
      <c r="AD203" s="449">
        <v>0</v>
      </c>
      <c r="AE203" s="449">
        <v>0</v>
      </c>
      <c r="AF203" s="449">
        <v>0</v>
      </c>
      <c r="AG203" s="449"/>
      <c r="AH203" s="449">
        <v>0</v>
      </c>
      <c r="AI203" s="449">
        <v>0</v>
      </c>
      <c r="AJ203" s="448">
        <v>-434.66666666666669</v>
      </c>
      <c r="AK203" s="448">
        <v>-331.24833333333333</v>
      </c>
      <c r="AL203" s="449"/>
      <c r="AM203" s="449">
        <v>0</v>
      </c>
      <c r="AN203" s="448">
        <v>112148.00701378316</v>
      </c>
      <c r="AO203" s="448">
        <v>112913.92201378317</v>
      </c>
      <c r="AP203" s="448"/>
      <c r="AQ203" s="449"/>
      <c r="AR203" s="449">
        <v>0</v>
      </c>
      <c r="AS203" s="449">
        <v>0</v>
      </c>
      <c r="AT203" s="449">
        <v>0</v>
      </c>
      <c r="AU203" s="449"/>
      <c r="AV203" s="449">
        <v>0</v>
      </c>
      <c r="AW203" s="449">
        <v>0</v>
      </c>
      <c r="AX203" s="448">
        <v>-434.66666666666669</v>
      </c>
      <c r="AY203" s="448">
        <v>-331.24833333333333</v>
      </c>
      <c r="AZ203" s="449"/>
      <c r="BA203" s="449">
        <v>0</v>
      </c>
      <c r="BB203" s="448">
        <v>112148.00701378316</v>
      </c>
      <c r="BC203" s="448">
        <v>112913.92201378317</v>
      </c>
      <c r="BD203" s="448"/>
      <c r="BE203" s="449"/>
      <c r="BF203" s="449">
        <v>0</v>
      </c>
      <c r="BG203" s="449">
        <v>0</v>
      </c>
      <c r="BH203" s="449">
        <v>0</v>
      </c>
      <c r="BI203" s="449"/>
      <c r="BJ203" s="449">
        <v>0</v>
      </c>
      <c r="BK203" s="449">
        <v>0</v>
      </c>
      <c r="BL203" s="448">
        <v>-434.66666666666669</v>
      </c>
      <c r="BM203" s="448">
        <v>-331.24833333333333</v>
      </c>
      <c r="BN203" s="449"/>
      <c r="BO203" s="449">
        <v>0</v>
      </c>
      <c r="BP203" s="448">
        <v>112148.00701378316</v>
      </c>
      <c r="BQ203" s="448">
        <v>112913.92201378317</v>
      </c>
      <c r="BR203" s="448"/>
      <c r="BS203" s="449"/>
      <c r="BT203" s="449">
        <v>0</v>
      </c>
      <c r="BU203" s="449">
        <v>0</v>
      </c>
      <c r="BV203" s="449">
        <v>0</v>
      </c>
      <c r="BW203" s="449"/>
      <c r="BX203" s="449">
        <v>0</v>
      </c>
      <c r="BY203" s="449">
        <v>0</v>
      </c>
      <c r="BZ203" s="448">
        <v>-434.66666666666669</v>
      </c>
      <c r="CA203" s="448">
        <v>-331.24833333333333</v>
      </c>
      <c r="CB203" s="449"/>
      <c r="CC203" s="449"/>
      <c r="CD203" s="448">
        <v>112148.00701378316</v>
      </c>
      <c r="CE203" s="448">
        <f t="shared" si="245"/>
        <v>5698.5440964820737</v>
      </c>
      <c r="CF203" s="448">
        <v>8814.7663157894731</v>
      </c>
      <c r="CG203" s="449"/>
      <c r="CH203" s="449">
        <v>0</v>
      </c>
      <c r="CI203" s="449">
        <v>0</v>
      </c>
      <c r="CJ203" s="449">
        <v>0</v>
      </c>
      <c r="CK203" s="449">
        <v>0</v>
      </c>
      <c r="CL203" s="449">
        <v>0</v>
      </c>
      <c r="CM203" s="449">
        <v>0</v>
      </c>
      <c r="CN203" s="448">
        <f t="shared" si="249"/>
        <v>3.751665644813329E-12</v>
      </c>
      <c r="CO203" s="448">
        <f t="shared" si="250"/>
        <v>-2318.7383333333328</v>
      </c>
      <c r="CP203" s="449">
        <v>-2345.625</v>
      </c>
      <c r="CQ203" s="449"/>
      <c r="CR203" s="449">
        <v>0</v>
      </c>
      <c r="CS203" s="448">
        <f t="shared" si="246"/>
        <v>9848.9470789382176</v>
      </c>
      <c r="CT203" s="448"/>
      <c r="CU203" s="448"/>
      <c r="CV203" s="338">
        <f>_xlfn.IFNA(VLOOKUP(A203,'LA Deductions'!$A$6:$AN$207,34,FALSE),0)</f>
        <v>0</v>
      </c>
      <c r="CW203" s="449"/>
      <c r="CX203" s="449"/>
      <c r="CY203" s="449"/>
      <c r="CZ203" s="449"/>
      <c r="DA203" s="449"/>
      <c r="DB203" s="449"/>
      <c r="DC203" s="448"/>
      <c r="DD203" s="448"/>
      <c r="DE203" s="449"/>
      <c r="DF203" s="338">
        <f>_xlfn.IFNA(VLOOKUP($A203,'Cash Advances'!$A:$S,14,FALSE),0)</f>
        <v>0</v>
      </c>
      <c r="DG203" s="449"/>
      <c r="DH203" s="448"/>
      <c r="DI203" s="448"/>
      <c r="DJ203" s="448"/>
      <c r="DK203" s="449"/>
      <c r="DL203" s="449"/>
      <c r="DM203" s="449"/>
      <c r="DN203" s="449"/>
      <c r="DO203" s="449"/>
      <c r="DP203" s="449"/>
      <c r="DQ203" s="449"/>
      <c r="DR203" s="448"/>
      <c r="DS203" s="448"/>
      <c r="DT203" s="449"/>
      <c r="DU203" s="449"/>
      <c r="DV203" s="449"/>
      <c r="DW203" s="448"/>
      <c r="DX203" s="448"/>
      <c r="DY203" s="344"/>
      <c r="DZ203" s="449"/>
      <c r="EA203" s="449"/>
      <c r="EB203" s="449"/>
      <c r="EC203" s="449"/>
      <c r="ED203" s="345"/>
      <c r="EE203" s="449"/>
      <c r="EF203" s="449"/>
      <c r="EG203" s="448"/>
      <c r="EH203" s="448"/>
      <c r="EI203" s="449"/>
      <c r="EJ203" s="345">
        <f>_xlfn.IFNA(VLOOKUP(A203,'Cash Advances'!A:P,16,FALSE),0)</f>
        <v>0</v>
      </c>
      <c r="EK203" s="449"/>
      <c r="EL203" s="448"/>
      <c r="EM203" s="448"/>
      <c r="EN203" s="448"/>
      <c r="EO203" s="449"/>
      <c r="EP203" s="449"/>
      <c r="EQ203" s="449"/>
      <c r="ER203" s="449"/>
      <c r="ES203" s="449"/>
      <c r="ET203" s="449"/>
      <c r="EU203" s="449"/>
      <c r="EV203" s="448"/>
      <c r="EW203" s="448"/>
      <c r="EX203" s="449"/>
      <c r="EY203" s="449"/>
      <c r="EZ203" s="449"/>
      <c r="FA203" s="448"/>
      <c r="FB203" s="448"/>
      <c r="FC203" s="448"/>
      <c r="FD203" s="449"/>
      <c r="FE203" s="449"/>
      <c r="FF203" s="449"/>
      <c r="FG203" s="449"/>
      <c r="FH203" s="449"/>
      <c r="FI203" s="449"/>
      <c r="FJ203" s="449"/>
      <c r="FK203" s="448"/>
      <c r="FL203" s="448"/>
      <c r="FM203" s="449"/>
      <c r="FN203" s="316"/>
      <c r="FO203" s="449"/>
      <c r="FP203" s="448"/>
      <c r="FQ203" s="448"/>
      <c r="FR203" s="448"/>
      <c r="FS203" s="449"/>
      <c r="FT203" s="449"/>
      <c r="FU203" s="449"/>
      <c r="FV203" s="449"/>
      <c r="FW203" s="449"/>
      <c r="FX203" s="449"/>
      <c r="FY203" s="449"/>
      <c r="FZ203" s="448"/>
      <c r="GA203" s="448"/>
      <c r="GB203" s="449"/>
      <c r="GC203" s="449"/>
      <c r="GD203" s="449"/>
      <c r="GE203" s="448"/>
      <c r="GG203" s="448">
        <f t="shared" si="247"/>
        <v>604738.68048118742</v>
      </c>
      <c r="GH203" s="448">
        <f t="shared" si="247"/>
        <v>0</v>
      </c>
      <c r="GI203" s="448">
        <f t="shared" si="247"/>
        <v>0</v>
      </c>
      <c r="GJ203" s="448">
        <f t="shared" si="247"/>
        <v>-2173.3333333333298</v>
      </c>
      <c r="GK203" s="448">
        <f t="shared" si="247"/>
        <v>-3974.9799999999996</v>
      </c>
      <c r="GL203" s="448">
        <f t="shared" si="247"/>
        <v>-2345.625</v>
      </c>
      <c r="GN203" s="448">
        <f t="shared" si="248"/>
        <v>604738.68048118742</v>
      </c>
      <c r="GO203" s="448">
        <f t="shared" si="248"/>
        <v>0</v>
      </c>
      <c r="GP203" s="448">
        <f t="shared" si="248"/>
        <v>0</v>
      </c>
      <c r="GQ203" s="448">
        <f t="shared" si="248"/>
        <v>-2173.3333333333298</v>
      </c>
      <c r="GR203" s="448">
        <f t="shared" si="248"/>
        <v>-3974.9799999999996</v>
      </c>
      <c r="GS203" s="448">
        <f t="shared" si="248"/>
        <v>-2345.625</v>
      </c>
    </row>
    <row r="204" spans="1:204" s="378" customFormat="1">
      <c r="A204" s="445">
        <v>2238</v>
      </c>
      <c r="B204" s="445">
        <v>103288</v>
      </c>
      <c r="C204" s="445" t="s">
        <v>75</v>
      </c>
      <c r="D204" s="446" t="s">
        <v>76</v>
      </c>
      <c r="E204" s="372" t="s">
        <v>32</v>
      </c>
      <c r="F204" s="372" t="s">
        <v>911</v>
      </c>
      <c r="H204" s="447">
        <f>_xlfn.IFNA(VLOOKUP($A204,ISB!$A$4:$BY$454,67,FALSE),0)-651340.34</f>
        <v>230752.87200000009</v>
      </c>
      <c r="I204" s="447">
        <f>_xlfn.IFNA(VLOOKUP($A204,ISB!$A$4:$BY$454,72,FALSE),0)+2038.58666666667</f>
        <v>-1456.1333333333298</v>
      </c>
      <c r="J204" s="447">
        <f>-_xlfn.IFNA(VLOOKUP($A204,ISB!$A$4:$BY$454,76,FALSE),0)</f>
        <v>-13652.72</v>
      </c>
      <c r="K204" s="447">
        <f t="shared" ref="K204:K205" si="251">SUM(H204:J204)</f>
        <v>215644.01866666676</v>
      </c>
      <c r="M204" s="448">
        <v>73507.767666666667</v>
      </c>
      <c r="N204" s="448">
        <v>45661.200000000012</v>
      </c>
      <c r="O204" s="449"/>
      <c r="P204" s="449">
        <v>0</v>
      </c>
      <c r="Q204" s="449">
        <v>0</v>
      </c>
      <c r="R204" s="449">
        <v>0</v>
      </c>
      <c r="S204" s="449">
        <v>0</v>
      </c>
      <c r="T204" s="449">
        <v>0</v>
      </c>
      <c r="U204" s="449">
        <v>0</v>
      </c>
      <c r="V204" s="448">
        <v>-291.22666666666663</v>
      </c>
      <c r="W204" s="448">
        <v>-1137.7266666666667</v>
      </c>
      <c r="X204" s="449"/>
      <c r="Y204" s="449">
        <v>0</v>
      </c>
      <c r="Z204" s="448">
        <v>117740.01433333334</v>
      </c>
      <c r="AA204" s="448">
        <v>73507.767666666667</v>
      </c>
      <c r="AB204" s="448"/>
      <c r="AC204" s="449"/>
      <c r="AD204" s="449">
        <v>0</v>
      </c>
      <c r="AE204" s="449">
        <v>0</v>
      </c>
      <c r="AF204" s="449">
        <v>0</v>
      </c>
      <c r="AG204" s="449"/>
      <c r="AH204" s="449">
        <v>0</v>
      </c>
      <c r="AI204" s="449">
        <v>0</v>
      </c>
      <c r="AJ204" s="448">
        <v>-291.22666666666663</v>
      </c>
      <c r="AK204" s="448">
        <v>-1137.7266666666667</v>
      </c>
      <c r="AL204" s="449"/>
      <c r="AM204" s="449">
        <v>0</v>
      </c>
      <c r="AN204" s="448">
        <v>72078.814333333328</v>
      </c>
      <c r="AO204" s="448">
        <v>73507.767666666667</v>
      </c>
      <c r="AP204" s="448"/>
      <c r="AQ204" s="449"/>
      <c r="AR204" s="449">
        <v>0</v>
      </c>
      <c r="AS204" s="449">
        <v>0</v>
      </c>
      <c r="AT204" s="449">
        <v>0</v>
      </c>
      <c r="AU204" s="449"/>
      <c r="AV204" s="449">
        <v>0</v>
      </c>
      <c r="AW204" s="449">
        <v>0</v>
      </c>
      <c r="AX204" s="448">
        <v>-291.22666666666663</v>
      </c>
      <c r="AY204" s="448">
        <v>-1137.7266666666667</v>
      </c>
      <c r="AZ204" s="449"/>
      <c r="BA204" s="449">
        <v>238455.48</v>
      </c>
      <c r="BB204" s="448">
        <v>310534.29433333332</v>
      </c>
      <c r="BC204" s="448">
        <f>H204-M204-AA204-AO204</f>
        <v>10229.569000000105</v>
      </c>
      <c r="BD204" s="448"/>
      <c r="BE204" s="449"/>
      <c r="BF204" s="449">
        <v>0</v>
      </c>
      <c r="BG204" s="449">
        <v>0</v>
      </c>
      <c r="BH204" s="449">
        <v>0</v>
      </c>
      <c r="BI204" s="449"/>
      <c r="BJ204" s="449">
        <v>0</v>
      </c>
      <c r="BK204" s="449">
        <v>0</v>
      </c>
      <c r="BL204" s="448">
        <f>I204-V204-AJ204-AX204</f>
        <v>-582.45333333332974</v>
      </c>
      <c r="BM204" s="448">
        <f>J204-W204-AK204-AY204</f>
        <v>-10239.539999999997</v>
      </c>
      <c r="BN204" s="449">
        <v>-822.94</v>
      </c>
      <c r="BO204" s="331">
        <v>55192</v>
      </c>
      <c r="BP204" s="448">
        <f>SUM(BC204:BO204)</f>
        <v>53776.635666666778</v>
      </c>
      <c r="BQ204" s="448"/>
      <c r="BR204" s="448"/>
      <c r="BS204" s="449"/>
      <c r="BT204" s="449"/>
      <c r="BU204" s="449"/>
      <c r="BV204" s="323"/>
      <c r="BW204" s="449"/>
      <c r="BX204" s="449"/>
      <c r="BY204" s="449"/>
      <c r="BZ204" s="448"/>
      <c r="CA204" s="448"/>
      <c r="CB204" s="449"/>
      <c r="CC204" s="449"/>
      <c r="CD204" s="448"/>
      <c r="CE204" s="448"/>
      <c r="CF204" s="448"/>
      <c r="CG204" s="449"/>
      <c r="CH204" s="449"/>
      <c r="CI204" s="449"/>
      <c r="CJ204" s="358"/>
      <c r="CK204" s="449"/>
      <c r="CL204" s="449"/>
      <c r="CM204" s="449"/>
      <c r="CN204" s="448"/>
      <c r="CO204" s="448"/>
      <c r="CP204" s="358"/>
      <c r="CQ204" s="449"/>
      <c r="CR204" s="449"/>
      <c r="CS204" s="448"/>
      <c r="CT204" s="448"/>
      <c r="CU204" s="448"/>
      <c r="CV204" s="338">
        <f>_xlfn.IFNA(VLOOKUP(A204,'LA Deductions'!$A$6:$AN$207,34,FALSE),0)</f>
        <v>0</v>
      </c>
      <c r="CW204" s="449"/>
      <c r="CX204" s="449"/>
      <c r="CY204" s="449"/>
      <c r="CZ204" s="449"/>
      <c r="DA204" s="449"/>
      <c r="DB204" s="449"/>
      <c r="DC204" s="448"/>
      <c r="DD204" s="448"/>
      <c r="DE204" s="449"/>
      <c r="DF204" s="338">
        <f>_xlfn.IFNA(VLOOKUP($A204,'Cash Advances'!$A:$S,14,FALSE),0)</f>
        <v>0</v>
      </c>
      <c r="DG204" s="449"/>
      <c r="DH204" s="448"/>
      <c r="DI204" s="448"/>
      <c r="DJ204" s="448"/>
      <c r="DK204" s="449"/>
      <c r="DL204" s="449"/>
      <c r="DM204" s="449"/>
      <c r="DN204" s="449"/>
      <c r="DO204" s="449"/>
      <c r="DP204" s="449"/>
      <c r="DQ204" s="449"/>
      <c r="DR204" s="448"/>
      <c r="DS204" s="448"/>
      <c r="DT204" s="449"/>
      <c r="DU204" s="449"/>
      <c r="DV204" s="449"/>
      <c r="DW204" s="448"/>
      <c r="DX204" s="448"/>
      <c r="DY204" s="344"/>
      <c r="DZ204" s="449"/>
      <c r="EA204" s="449"/>
      <c r="EB204" s="449"/>
      <c r="EC204" s="449"/>
      <c r="ED204" s="345"/>
      <c r="EE204" s="449"/>
      <c r="EF204" s="449"/>
      <c r="EG204" s="448"/>
      <c r="EH204" s="448"/>
      <c r="EI204" s="449"/>
      <c r="EJ204" s="345">
        <f>_xlfn.IFNA(VLOOKUP(A204,'Cash Advances'!A:P,16,FALSE),0)</f>
        <v>0</v>
      </c>
      <c r="EK204" s="449"/>
      <c r="EL204" s="448"/>
      <c r="EM204" s="448"/>
      <c r="EN204" s="448"/>
      <c r="EO204" s="449"/>
      <c r="EP204" s="449"/>
      <c r="EQ204" s="449"/>
      <c r="ER204" s="449"/>
      <c r="ES204" s="449"/>
      <c r="ET204" s="449"/>
      <c r="EU204" s="449"/>
      <c r="EV204" s="448"/>
      <c r="EW204" s="448"/>
      <c r="EX204" s="449"/>
      <c r="EY204" s="449"/>
      <c r="EZ204" s="449"/>
      <c r="FA204" s="448"/>
      <c r="FB204" s="448"/>
      <c r="FC204" s="448"/>
      <c r="FD204" s="449"/>
      <c r="FE204" s="449"/>
      <c r="FF204" s="449"/>
      <c r="FG204" s="449"/>
      <c r="FH204" s="449"/>
      <c r="FI204" s="449"/>
      <c r="FJ204" s="449"/>
      <c r="FK204" s="448"/>
      <c r="FL204" s="448"/>
      <c r="FM204" s="449"/>
      <c r="FN204" s="316"/>
      <c r="FO204" s="449"/>
      <c r="FP204" s="448"/>
      <c r="FQ204" s="448"/>
      <c r="FR204" s="448"/>
      <c r="FS204" s="449"/>
      <c r="FT204" s="449"/>
      <c r="FU204" s="449"/>
      <c r="FV204" s="449"/>
      <c r="FW204" s="449"/>
      <c r="FX204" s="449"/>
      <c r="FY204" s="449"/>
      <c r="FZ204" s="448"/>
      <c r="GA204" s="448"/>
      <c r="GB204" s="449"/>
      <c r="GC204" s="449"/>
      <c r="GD204" s="449"/>
      <c r="GE204" s="448"/>
      <c r="GG204" s="448">
        <f t="shared" si="247"/>
        <v>276414.07200000016</v>
      </c>
      <c r="GH204" s="448">
        <f t="shared" si="247"/>
        <v>0</v>
      </c>
      <c r="GI204" s="448">
        <f t="shared" si="247"/>
        <v>0</v>
      </c>
      <c r="GJ204" s="448">
        <f t="shared" si="247"/>
        <v>-1456.1333333333296</v>
      </c>
      <c r="GK204" s="448">
        <f t="shared" si="247"/>
        <v>-13652.719999999998</v>
      </c>
      <c r="GL204" s="448">
        <f t="shared" si="247"/>
        <v>-822.94</v>
      </c>
      <c r="GN204" s="448">
        <f t="shared" si="248"/>
        <v>276414.07200000016</v>
      </c>
      <c r="GO204" s="448">
        <f t="shared" si="248"/>
        <v>0</v>
      </c>
      <c r="GP204" s="448">
        <f t="shared" si="248"/>
        <v>0</v>
      </c>
      <c r="GQ204" s="448">
        <f t="shared" si="248"/>
        <v>-1456.1333333333296</v>
      </c>
      <c r="GR204" s="448">
        <f t="shared" si="248"/>
        <v>-13652.719999999998</v>
      </c>
      <c r="GS204" s="448">
        <f t="shared" si="248"/>
        <v>-822.94</v>
      </c>
      <c r="GU204" s="448"/>
      <c r="GV204" s="450"/>
    </row>
    <row r="205" spans="1:204" s="378" customFormat="1">
      <c r="A205" s="445">
        <v>2236</v>
      </c>
      <c r="B205" s="445">
        <v>103286</v>
      </c>
      <c r="C205" s="445" t="s">
        <v>77</v>
      </c>
      <c r="D205" s="446" t="s">
        <v>78</v>
      </c>
      <c r="E205" s="372" t="s">
        <v>32</v>
      </c>
      <c r="F205" s="372" t="s">
        <v>911</v>
      </c>
      <c r="H205" s="447">
        <f>_xlfn.IFNA(VLOOKUP($A205,ISB!$A$4:$BY$454,67,FALSE),0)-1026589.48</f>
        <v>358253.79645248898</v>
      </c>
      <c r="I205" s="447">
        <f>_xlfn.IFNA(VLOOKUP($A205,ISB!$A$4:$BY$454,72,FALSE),0)+3346.93333333333</f>
        <v>-2390.6666666666692</v>
      </c>
      <c r="J205" s="447">
        <f>-_xlfn.IFNA(VLOOKUP($A205,ISB!$A$4:$BY$454,76,FALSE),0)</f>
        <v>-16027.1</v>
      </c>
      <c r="K205" s="447">
        <f t="shared" si="251"/>
        <v>339836.02978582232</v>
      </c>
      <c r="M205" s="448">
        <v>115403.60637104075</v>
      </c>
      <c r="N205" s="448">
        <v>0</v>
      </c>
      <c r="O205" s="449"/>
      <c r="P205" s="449">
        <v>0</v>
      </c>
      <c r="Q205" s="449">
        <v>0</v>
      </c>
      <c r="R205" s="449">
        <v>0</v>
      </c>
      <c r="S205" s="449">
        <v>0</v>
      </c>
      <c r="T205" s="449">
        <v>0</v>
      </c>
      <c r="U205" s="449">
        <v>0</v>
      </c>
      <c r="V205" s="448">
        <v>-478.13333333333327</v>
      </c>
      <c r="W205" s="448">
        <v>-1335.5916666666667</v>
      </c>
      <c r="X205" s="449"/>
      <c r="Y205" s="449">
        <v>0</v>
      </c>
      <c r="Z205" s="448">
        <v>113589.88137104076</v>
      </c>
      <c r="AA205" s="448">
        <v>115403.60637104075</v>
      </c>
      <c r="AB205" s="448"/>
      <c r="AC205" s="449"/>
      <c r="AD205" s="449">
        <v>0</v>
      </c>
      <c r="AE205" s="449">
        <v>0</v>
      </c>
      <c r="AF205" s="449">
        <v>0</v>
      </c>
      <c r="AG205" s="449"/>
      <c r="AH205" s="449">
        <v>0</v>
      </c>
      <c r="AI205" s="449">
        <v>0</v>
      </c>
      <c r="AJ205" s="448">
        <v>-478.13333333333327</v>
      </c>
      <c r="AK205" s="448">
        <v>-1335.5916666666667</v>
      </c>
      <c r="AL205" s="449"/>
      <c r="AM205" s="449">
        <v>0</v>
      </c>
      <c r="AN205" s="448">
        <v>113589.88137104076</v>
      </c>
      <c r="AO205" s="448">
        <v>115403.60637104075</v>
      </c>
      <c r="AP205" s="448"/>
      <c r="AQ205" s="449"/>
      <c r="AR205" s="449">
        <v>0</v>
      </c>
      <c r="AS205" s="449">
        <v>0</v>
      </c>
      <c r="AT205" s="449">
        <v>0</v>
      </c>
      <c r="AU205" s="449"/>
      <c r="AV205" s="449">
        <v>0</v>
      </c>
      <c r="AW205" s="449">
        <v>0</v>
      </c>
      <c r="AX205" s="448">
        <v>-478.13333333333327</v>
      </c>
      <c r="AY205" s="448">
        <v>-1335.5916666666667</v>
      </c>
      <c r="AZ205" s="449"/>
      <c r="BA205" s="449">
        <v>0</v>
      </c>
      <c r="BB205" s="448">
        <v>113589.88137104076</v>
      </c>
      <c r="BC205" s="448">
        <f>H205-M205-AA205-AO205</f>
        <v>12042.977339366742</v>
      </c>
      <c r="BD205" s="448"/>
      <c r="BE205" s="449"/>
      <c r="BF205" s="449">
        <v>0</v>
      </c>
      <c r="BG205" s="449">
        <v>0</v>
      </c>
      <c r="BH205" s="449">
        <v>0</v>
      </c>
      <c r="BI205" s="449"/>
      <c r="BJ205" s="449">
        <v>0</v>
      </c>
      <c r="BK205" s="449">
        <v>0</v>
      </c>
      <c r="BL205" s="448">
        <f>I205-V205-AJ205-AX205</f>
        <v>-956.26666666666961</v>
      </c>
      <c r="BM205" s="448">
        <f>J205-W205-AK205-AY205</f>
        <v>-12020.324999999999</v>
      </c>
      <c r="BN205" s="449">
        <v>-1284.94</v>
      </c>
      <c r="BO205" s="331">
        <v>0</v>
      </c>
      <c r="BP205" s="448">
        <f>SUM(BC205:BO205)</f>
        <v>-2218.5543272999271</v>
      </c>
      <c r="BQ205" s="448"/>
      <c r="BR205" s="448"/>
      <c r="BS205" s="449"/>
      <c r="BT205" s="449"/>
      <c r="BU205" s="449"/>
      <c r="BV205" s="323"/>
      <c r="BW205" s="449"/>
      <c r="BX205" s="449"/>
      <c r="BY205" s="449"/>
      <c r="BZ205" s="448"/>
      <c r="CA205" s="448"/>
      <c r="CB205" s="449"/>
      <c r="CC205" s="449"/>
      <c r="CD205" s="448"/>
      <c r="CE205" s="448"/>
      <c r="CF205" s="448"/>
      <c r="CG205" s="449"/>
      <c r="CH205" s="449"/>
      <c r="CI205" s="449"/>
      <c r="CJ205" s="358"/>
      <c r="CK205" s="449"/>
      <c r="CL205" s="449"/>
      <c r="CM205" s="449"/>
      <c r="CN205" s="448"/>
      <c r="CO205" s="448"/>
      <c r="CP205" s="358"/>
      <c r="CQ205" s="449"/>
      <c r="CR205" s="449"/>
      <c r="CS205" s="448"/>
      <c r="CT205" s="448"/>
      <c r="CU205" s="448"/>
      <c r="CV205" s="338">
        <f>_xlfn.IFNA(VLOOKUP(A205,'LA Deductions'!$A$6:$AN$207,34,FALSE),0)</f>
        <v>-4313.5414000000001</v>
      </c>
      <c r="CW205" s="449"/>
      <c r="CX205" s="449"/>
      <c r="CY205" s="449"/>
      <c r="CZ205" s="449"/>
      <c r="DA205" s="449"/>
      <c r="DB205" s="449"/>
      <c r="DC205" s="448"/>
      <c r="DD205" s="448"/>
      <c r="DE205" s="449"/>
      <c r="DF205" s="338">
        <f>_xlfn.IFNA(VLOOKUP($A205,'Cash Advances'!$A:$S,14,FALSE),0)</f>
        <v>0</v>
      </c>
      <c r="DG205" s="449"/>
      <c r="DH205" s="448"/>
      <c r="DI205" s="448"/>
      <c r="DJ205" s="448"/>
      <c r="DK205" s="449"/>
      <c r="DL205" s="449"/>
      <c r="DM205" s="449"/>
      <c r="DN205" s="449"/>
      <c r="DO205" s="449"/>
      <c r="DP205" s="449"/>
      <c r="DQ205" s="449"/>
      <c r="DR205" s="448"/>
      <c r="DS205" s="448"/>
      <c r="DT205" s="449"/>
      <c r="DU205" s="449"/>
      <c r="DV205" s="449"/>
      <c r="DW205" s="448"/>
      <c r="DX205" s="448"/>
      <c r="DY205" s="344"/>
      <c r="DZ205" s="449"/>
      <c r="EA205" s="449"/>
      <c r="EB205" s="449"/>
      <c r="EC205" s="449"/>
      <c r="ED205" s="345"/>
      <c r="EE205" s="449"/>
      <c r="EF205" s="449"/>
      <c r="EG205" s="448"/>
      <c r="EH205" s="448"/>
      <c r="EI205" s="449"/>
      <c r="EJ205" s="345">
        <f>_xlfn.IFNA(VLOOKUP(A205,'Cash Advances'!A:P,16,FALSE),0)</f>
        <v>0</v>
      </c>
      <c r="EK205" s="449"/>
      <c r="EL205" s="448"/>
      <c r="EM205" s="448"/>
      <c r="EN205" s="448"/>
      <c r="EO205" s="449"/>
      <c r="EP205" s="449"/>
      <c r="EQ205" s="449"/>
      <c r="ER205" s="449"/>
      <c r="ES205" s="449"/>
      <c r="ET205" s="449"/>
      <c r="EU205" s="449"/>
      <c r="EV205" s="448"/>
      <c r="EW205" s="448"/>
      <c r="EX205" s="449"/>
      <c r="EY205" s="449"/>
      <c r="EZ205" s="449"/>
      <c r="FA205" s="448"/>
      <c r="FB205" s="448"/>
      <c r="FC205" s="448"/>
      <c r="FD205" s="449"/>
      <c r="FE205" s="449"/>
      <c r="FF205" s="449"/>
      <c r="FG205" s="449"/>
      <c r="FH205" s="449"/>
      <c r="FI205" s="449"/>
      <c r="FJ205" s="449"/>
      <c r="FK205" s="448"/>
      <c r="FL205" s="448"/>
      <c r="FM205" s="449"/>
      <c r="FN205" s="316"/>
      <c r="FO205" s="449"/>
      <c r="FP205" s="448"/>
      <c r="FQ205" s="448"/>
      <c r="FR205" s="448"/>
      <c r="FS205" s="449"/>
      <c r="FT205" s="449"/>
      <c r="FU205" s="449"/>
      <c r="FV205" s="449"/>
      <c r="FW205" s="449"/>
      <c r="FX205" s="449"/>
      <c r="FY205" s="449"/>
      <c r="FZ205" s="448"/>
      <c r="GA205" s="448"/>
      <c r="GB205" s="449"/>
      <c r="GC205" s="449"/>
      <c r="GD205" s="449"/>
      <c r="GE205" s="448"/>
      <c r="GG205" s="448">
        <f t="shared" si="247"/>
        <v>353940.255052489</v>
      </c>
      <c r="GH205" s="448">
        <f t="shared" si="247"/>
        <v>0</v>
      </c>
      <c r="GI205" s="448">
        <f t="shared" si="247"/>
        <v>0</v>
      </c>
      <c r="GJ205" s="448">
        <f t="shared" si="247"/>
        <v>-2390.6666666666697</v>
      </c>
      <c r="GK205" s="448">
        <f t="shared" si="247"/>
        <v>-16027.099999999999</v>
      </c>
      <c r="GL205" s="448">
        <f t="shared" si="247"/>
        <v>-1284.94</v>
      </c>
      <c r="GN205" s="448">
        <f t="shared" si="248"/>
        <v>353940.255052489</v>
      </c>
      <c r="GO205" s="448">
        <f t="shared" si="248"/>
        <v>0</v>
      </c>
      <c r="GP205" s="448">
        <f t="shared" si="248"/>
        <v>0</v>
      </c>
      <c r="GQ205" s="448">
        <f t="shared" si="248"/>
        <v>-2390.6666666666697</v>
      </c>
      <c r="GR205" s="448">
        <f t="shared" si="248"/>
        <v>-16027.099999999999</v>
      </c>
      <c r="GS205" s="448">
        <f t="shared" si="248"/>
        <v>-1284.94</v>
      </c>
      <c r="GU205" s="448"/>
      <c r="GV205" s="450"/>
    </row>
    <row r="206" spans="1:204" s="378" customFormat="1">
      <c r="A206" s="445">
        <v>2246</v>
      </c>
      <c r="B206" s="445">
        <v>103296</v>
      </c>
      <c r="C206" s="445" t="s">
        <v>426</v>
      </c>
      <c r="D206" s="446" t="s">
        <v>427</v>
      </c>
      <c r="E206" s="372" t="s">
        <v>32</v>
      </c>
      <c r="F206" s="372" t="s">
        <v>911</v>
      </c>
      <c r="H206" s="447">
        <f>_xlfn.IFNA(VLOOKUP($A206,ISB!$A$4:$BY$454,67,FALSE),0)-2522113</f>
        <v>257490.77645082166</v>
      </c>
      <c r="I206" s="447">
        <f>_xlfn.IFNA(VLOOKUP($A206,ISB!$A$4:$BY$454,72,FALSE),0)+7363.25333333333</f>
        <v>-5259.466666666669</v>
      </c>
      <c r="J206" s="447">
        <f>-_xlfn.IFNA(VLOOKUP($A206,ISB!$A$4:$BY$454,76,FALSE),0)</f>
        <v>-27029.84</v>
      </c>
      <c r="K206" s="447">
        <f>SUM(H206:J206)</f>
        <v>225201.46978415499</v>
      </c>
      <c r="M206" s="448">
        <v>231633.64803756846</v>
      </c>
      <c r="N206" s="448">
        <v>0</v>
      </c>
      <c r="O206" s="449"/>
      <c r="P206" s="449">
        <v>0</v>
      </c>
      <c r="Q206" s="449">
        <v>12000</v>
      </c>
      <c r="R206" s="449">
        <v>0</v>
      </c>
      <c r="S206" s="449">
        <v>0</v>
      </c>
      <c r="T206" s="449">
        <v>0</v>
      </c>
      <c r="U206" s="449">
        <v>17750.5425</v>
      </c>
      <c r="V206" s="448">
        <v>-1051.8933333333332</v>
      </c>
      <c r="W206" s="448">
        <v>-2252.4866666666667</v>
      </c>
      <c r="X206" s="449"/>
      <c r="Y206" s="449">
        <v>0</v>
      </c>
      <c r="Z206" s="448">
        <v>258079.81053756847</v>
      </c>
      <c r="AA206" s="448">
        <f>H206-M206</f>
        <v>25857.128413253202</v>
      </c>
      <c r="AB206" s="448"/>
      <c r="AC206" s="449"/>
      <c r="AD206" s="449">
        <v>0</v>
      </c>
      <c r="AE206" s="449"/>
      <c r="AF206" s="449"/>
      <c r="AG206" s="449"/>
      <c r="AH206" s="449"/>
      <c r="AI206" s="449"/>
      <c r="AJ206" s="448">
        <f>I206-V206</f>
        <v>-4207.5733333333355</v>
      </c>
      <c r="AK206" s="448">
        <f>J206-W206</f>
        <v>-24777.353333333333</v>
      </c>
      <c r="AL206" s="449">
        <v>-1047.2</v>
      </c>
      <c r="AM206" s="449">
        <v>0</v>
      </c>
      <c r="AN206" s="448">
        <f>SUM(AA206:AM206)</f>
        <v>-4174.9982534134642</v>
      </c>
      <c r="AO206" s="448"/>
      <c r="AP206" s="448"/>
      <c r="AQ206" s="449"/>
      <c r="AR206" s="449"/>
      <c r="AS206" s="449"/>
      <c r="AT206" s="449"/>
      <c r="AU206" s="449"/>
      <c r="AV206" s="449"/>
      <c r="AW206" s="449"/>
      <c r="AX206" s="448"/>
      <c r="AY206" s="448"/>
      <c r="AZ206" s="449"/>
      <c r="BA206" s="449"/>
      <c r="BB206" s="448"/>
      <c r="BC206" s="448"/>
      <c r="BD206" s="448"/>
      <c r="BE206" s="449"/>
      <c r="BF206" s="449"/>
      <c r="BG206" s="449"/>
      <c r="BH206" s="449"/>
      <c r="BI206" s="449"/>
      <c r="BJ206" s="449"/>
      <c r="BK206" s="449"/>
      <c r="BL206" s="448"/>
      <c r="BM206" s="448"/>
      <c r="BN206" s="449"/>
      <c r="BO206" s="331"/>
      <c r="BP206" s="448"/>
      <c r="BQ206" s="448"/>
      <c r="BR206" s="448"/>
      <c r="BS206" s="449"/>
      <c r="BT206" s="449"/>
      <c r="BU206" s="449"/>
      <c r="BV206" s="323"/>
      <c r="BW206" s="449"/>
      <c r="BX206" s="449"/>
      <c r="BY206" s="449"/>
      <c r="BZ206" s="448"/>
      <c r="CA206" s="448"/>
      <c r="CB206" s="449"/>
      <c r="CC206" s="449"/>
      <c r="CD206" s="448"/>
      <c r="CE206" s="448"/>
      <c r="CF206" s="448"/>
      <c r="CG206" s="449"/>
      <c r="CH206" s="449"/>
      <c r="CI206" s="449"/>
      <c r="CJ206" s="358"/>
      <c r="CK206" s="449"/>
      <c r="CL206" s="449"/>
      <c r="CM206" s="449"/>
      <c r="CN206" s="448"/>
      <c r="CO206" s="448"/>
      <c r="CP206" s="358"/>
      <c r="CQ206" s="449"/>
      <c r="CR206" s="449"/>
      <c r="CS206" s="448"/>
      <c r="CT206" s="448"/>
      <c r="CU206" s="448"/>
      <c r="CV206" s="338">
        <f>_xlfn.IFNA(VLOOKUP(A206,'LA Deductions'!$A$6:$AN$207,34,FALSE),0)</f>
        <v>0</v>
      </c>
      <c r="CW206" s="449"/>
      <c r="CX206" s="449"/>
      <c r="CY206" s="449"/>
      <c r="CZ206" s="449"/>
      <c r="DA206" s="449"/>
      <c r="DB206" s="449"/>
      <c r="DC206" s="448"/>
      <c r="DD206" s="448"/>
      <c r="DE206" s="449"/>
      <c r="DF206" s="338">
        <f>_xlfn.IFNA(VLOOKUP($A206,'Cash Advances'!$A:$S,14,FALSE),0)</f>
        <v>0</v>
      </c>
      <c r="DG206" s="449"/>
      <c r="DH206" s="448"/>
      <c r="DI206" s="448"/>
      <c r="DJ206" s="448"/>
      <c r="DK206" s="449"/>
      <c r="DL206" s="449"/>
      <c r="DM206" s="449"/>
      <c r="DN206" s="449"/>
      <c r="DO206" s="449"/>
      <c r="DP206" s="449"/>
      <c r="DQ206" s="449"/>
      <c r="DR206" s="448"/>
      <c r="DS206" s="448"/>
      <c r="DT206" s="449"/>
      <c r="DU206" s="449"/>
      <c r="DV206" s="449"/>
      <c r="DW206" s="448"/>
      <c r="DX206" s="448"/>
      <c r="DY206" s="344"/>
      <c r="DZ206" s="449"/>
      <c r="EA206" s="449"/>
      <c r="EB206" s="449"/>
      <c r="EC206" s="449"/>
      <c r="ED206" s="345"/>
      <c r="EE206" s="449"/>
      <c r="EF206" s="449"/>
      <c r="EG206" s="448"/>
      <c r="EH206" s="448"/>
      <c r="EI206" s="449"/>
      <c r="EJ206" s="345">
        <f>_xlfn.IFNA(VLOOKUP(A206,'Cash Advances'!A:P,16,FALSE),0)</f>
        <v>0</v>
      </c>
      <c r="EK206" s="449"/>
      <c r="EL206" s="448"/>
      <c r="EM206" s="448"/>
      <c r="EN206" s="448"/>
      <c r="EO206" s="449"/>
      <c r="EP206" s="449"/>
      <c r="EQ206" s="449"/>
      <c r="ER206" s="449"/>
      <c r="ES206" s="449"/>
      <c r="ET206" s="449"/>
      <c r="EU206" s="449"/>
      <c r="EV206" s="448"/>
      <c r="EW206" s="448"/>
      <c r="EX206" s="449"/>
      <c r="EY206" s="449"/>
      <c r="EZ206" s="449"/>
      <c r="FA206" s="448"/>
      <c r="FB206" s="448"/>
      <c r="FC206" s="448"/>
      <c r="FD206" s="449"/>
      <c r="FE206" s="449"/>
      <c r="FF206" s="449"/>
      <c r="FG206" s="449"/>
      <c r="FH206" s="449"/>
      <c r="FI206" s="449"/>
      <c r="FJ206" s="449"/>
      <c r="FK206" s="448"/>
      <c r="FL206" s="448"/>
      <c r="FM206" s="449"/>
      <c r="FN206" s="316"/>
      <c r="FO206" s="449"/>
      <c r="FP206" s="448"/>
      <c r="FQ206" s="448"/>
      <c r="FR206" s="448"/>
      <c r="FS206" s="449"/>
      <c r="FT206" s="449"/>
      <c r="FU206" s="449"/>
      <c r="FV206" s="449"/>
      <c r="FW206" s="449"/>
      <c r="FX206" s="449"/>
      <c r="FY206" s="449"/>
      <c r="FZ206" s="448"/>
      <c r="GA206" s="448"/>
      <c r="GB206" s="449"/>
      <c r="GC206" s="449"/>
      <c r="GD206" s="449"/>
      <c r="GE206" s="448"/>
      <c r="GG206" s="448">
        <f t="shared" si="247"/>
        <v>269490.77645082166</v>
      </c>
      <c r="GH206" s="448">
        <f t="shared" si="247"/>
        <v>0</v>
      </c>
      <c r="GI206" s="448">
        <f t="shared" si="247"/>
        <v>17750.5425</v>
      </c>
      <c r="GJ206" s="448">
        <f t="shared" si="247"/>
        <v>-5259.466666666669</v>
      </c>
      <c r="GK206" s="448">
        <f t="shared" si="247"/>
        <v>-27029.84</v>
      </c>
      <c r="GL206" s="448">
        <f t="shared" si="247"/>
        <v>-1047.2</v>
      </c>
      <c r="GN206" s="448">
        <f t="shared" si="248"/>
        <v>269490.77645082166</v>
      </c>
      <c r="GO206" s="448">
        <f t="shared" si="248"/>
        <v>0</v>
      </c>
      <c r="GP206" s="448">
        <f t="shared" si="248"/>
        <v>17750.5425</v>
      </c>
      <c r="GQ206" s="448">
        <f t="shared" si="248"/>
        <v>-5259.466666666669</v>
      </c>
      <c r="GR206" s="448">
        <f t="shared" si="248"/>
        <v>-27029.84</v>
      </c>
      <c r="GS206" s="448">
        <f t="shared" si="248"/>
        <v>-1047.2</v>
      </c>
    </row>
    <row r="207" spans="1:204" s="378" customFormat="1">
      <c r="A207" s="445">
        <v>3322</v>
      </c>
      <c r="B207" s="445">
        <v>103426</v>
      </c>
      <c r="C207" s="445" t="s">
        <v>198</v>
      </c>
      <c r="D207" s="446" t="s">
        <v>199</v>
      </c>
      <c r="E207" s="372" t="s">
        <v>32</v>
      </c>
      <c r="F207" s="372" t="s">
        <v>911</v>
      </c>
      <c r="H207" s="447">
        <f>_xlfn.IFNA(VLOOKUP($A207,ISB!$A$4:$BY$454,67,FALSE),0)-1063733.66</f>
        <v>101381.55228837207</v>
      </c>
      <c r="I207" s="447">
        <f>_xlfn.IFNA(VLOOKUP($A207,ISB!$A$4:$BY$454,72,FALSE),0)+3012.24</f>
        <v>-2151.5999999999995</v>
      </c>
      <c r="J207" s="447">
        <f>-_xlfn.IFNA(VLOOKUP($A207,ISB!$A$4:$BY$454,76,FALSE),0)</f>
        <v>-4239.97</v>
      </c>
      <c r="K207" s="447">
        <f>SUM(H207:J207)</f>
        <v>94989.982288372063</v>
      </c>
      <c r="M207" s="448">
        <v>97092.934357364327</v>
      </c>
      <c r="N207" s="448">
        <v>32836.44</v>
      </c>
      <c r="O207" s="449"/>
      <c r="P207" s="449">
        <v>0</v>
      </c>
      <c r="Q207" s="449">
        <v>0</v>
      </c>
      <c r="R207" s="449">
        <v>0</v>
      </c>
      <c r="S207" s="449">
        <v>0</v>
      </c>
      <c r="T207" s="449">
        <v>0</v>
      </c>
      <c r="U207" s="449">
        <v>0</v>
      </c>
      <c r="V207" s="448">
        <v>-430.31999999999994</v>
      </c>
      <c r="W207" s="448">
        <v>-353.33083333333337</v>
      </c>
      <c r="X207" s="449"/>
      <c r="Y207" s="449">
        <v>0</v>
      </c>
      <c r="Z207" s="448">
        <v>129145.723524031</v>
      </c>
      <c r="AA207" s="448">
        <f>H207-M207</f>
        <v>4288.6179310077423</v>
      </c>
      <c r="AB207" s="448"/>
      <c r="AC207" s="449"/>
      <c r="AD207" s="449">
        <v>0</v>
      </c>
      <c r="AE207" s="449">
        <v>0</v>
      </c>
      <c r="AF207" s="449">
        <v>0</v>
      </c>
      <c r="AG207" s="449"/>
      <c r="AH207" s="449">
        <v>0</v>
      </c>
      <c r="AI207" s="449">
        <v>0</v>
      </c>
      <c r="AJ207" s="448">
        <f>I207-V207</f>
        <v>-1721.2799999999995</v>
      </c>
      <c r="AK207" s="448">
        <f>J207-W207</f>
        <v>-3886.6391666666668</v>
      </c>
      <c r="AL207" s="449">
        <v>-428.31</v>
      </c>
      <c r="AM207" s="449">
        <v>0</v>
      </c>
      <c r="AN207" s="448">
        <f>SUM(AA207:AM207)</f>
        <v>-1747.6112356589242</v>
      </c>
      <c r="AO207" s="448"/>
      <c r="AP207" s="448"/>
      <c r="AQ207" s="449"/>
      <c r="AR207" s="449"/>
      <c r="AS207" s="449"/>
      <c r="AT207" s="449"/>
      <c r="AU207" s="449"/>
      <c r="AV207" s="449"/>
      <c r="AW207" s="449"/>
      <c r="AX207" s="448"/>
      <c r="AY207" s="448"/>
      <c r="AZ207" s="449"/>
      <c r="BA207" s="449"/>
      <c r="BB207" s="448"/>
      <c r="BC207" s="448"/>
      <c r="BD207" s="448"/>
      <c r="BE207" s="449"/>
      <c r="BF207" s="449"/>
      <c r="BG207" s="449"/>
      <c r="BH207" s="449"/>
      <c r="BI207" s="449"/>
      <c r="BJ207" s="449"/>
      <c r="BK207" s="449"/>
      <c r="BL207" s="448"/>
      <c r="BM207" s="448"/>
      <c r="BN207" s="449"/>
      <c r="BO207" s="331"/>
      <c r="BP207" s="448"/>
      <c r="BQ207" s="448"/>
      <c r="BR207" s="448"/>
      <c r="BS207" s="449"/>
      <c r="BT207" s="449"/>
      <c r="BU207" s="449"/>
      <c r="BV207" s="323"/>
      <c r="BW207" s="449"/>
      <c r="BX207" s="449"/>
      <c r="BY207" s="449"/>
      <c r="BZ207" s="448"/>
      <c r="CA207" s="448"/>
      <c r="CB207" s="449"/>
      <c r="CC207" s="449"/>
      <c r="CD207" s="448"/>
      <c r="CE207" s="448"/>
      <c r="CF207" s="448"/>
      <c r="CG207" s="449"/>
      <c r="CH207" s="449"/>
      <c r="CI207" s="449"/>
      <c r="CJ207" s="358"/>
      <c r="CK207" s="449"/>
      <c r="CL207" s="449"/>
      <c r="CM207" s="449"/>
      <c r="CN207" s="448"/>
      <c r="CO207" s="448"/>
      <c r="CP207" s="358"/>
      <c r="CQ207" s="449"/>
      <c r="CR207" s="449"/>
      <c r="CS207" s="448"/>
      <c r="CT207" s="448"/>
      <c r="CU207" s="448"/>
      <c r="CV207" s="338">
        <f>_xlfn.IFNA(VLOOKUP(A207,'LA Deductions'!$A$6:$AN$207,34,FALSE),0)</f>
        <v>0</v>
      </c>
      <c r="CW207" s="449"/>
      <c r="CX207" s="449"/>
      <c r="CY207" s="449"/>
      <c r="CZ207" s="449"/>
      <c r="DA207" s="449"/>
      <c r="DB207" s="449"/>
      <c r="DC207" s="448"/>
      <c r="DD207" s="448"/>
      <c r="DE207" s="449"/>
      <c r="DF207" s="338">
        <f>_xlfn.IFNA(VLOOKUP($A207,'Cash Advances'!$A:$S,14,FALSE),0)</f>
        <v>0</v>
      </c>
      <c r="DG207" s="449"/>
      <c r="DH207" s="448"/>
      <c r="DI207" s="448"/>
      <c r="DJ207" s="448"/>
      <c r="DK207" s="449"/>
      <c r="DL207" s="449"/>
      <c r="DM207" s="449"/>
      <c r="DN207" s="449"/>
      <c r="DO207" s="449"/>
      <c r="DP207" s="449"/>
      <c r="DQ207" s="449"/>
      <c r="DR207" s="448"/>
      <c r="DS207" s="448"/>
      <c r="DT207" s="449"/>
      <c r="DU207" s="449"/>
      <c r="DV207" s="449"/>
      <c r="DW207" s="448"/>
      <c r="DX207" s="448"/>
      <c r="DY207" s="344"/>
      <c r="DZ207" s="449"/>
      <c r="EA207" s="449"/>
      <c r="EB207" s="449"/>
      <c r="EC207" s="449"/>
      <c r="ED207" s="345"/>
      <c r="EE207" s="449"/>
      <c r="EF207" s="449"/>
      <c r="EG207" s="448"/>
      <c r="EH207" s="448"/>
      <c r="EI207" s="449"/>
      <c r="EJ207" s="345">
        <f>_xlfn.IFNA(VLOOKUP(A207,'Cash Advances'!A:P,16,FALSE),0)</f>
        <v>0</v>
      </c>
      <c r="EK207" s="449"/>
      <c r="EL207" s="448"/>
      <c r="EM207" s="448"/>
      <c r="EN207" s="448"/>
      <c r="EO207" s="449"/>
      <c r="EP207" s="449"/>
      <c r="EQ207" s="449"/>
      <c r="ER207" s="449"/>
      <c r="ES207" s="449"/>
      <c r="ET207" s="449"/>
      <c r="EU207" s="449"/>
      <c r="EV207" s="448"/>
      <c r="EW207" s="448"/>
      <c r="EX207" s="449"/>
      <c r="EY207" s="449"/>
      <c r="EZ207" s="449"/>
      <c r="FA207" s="448"/>
      <c r="FB207" s="448"/>
      <c r="FC207" s="448"/>
      <c r="FD207" s="449"/>
      <c r="FE207" s="449"/>
      <c r="FF207" s="449"/>
      <c r="FG207" s="449"/>
      <c r="FH207" s="449"/>
      <c r="FI207" s="449"/>
      <c r="FJ207" s="449"/>
      <c r="FK207" s="448"/>
      <c r="FL207" s="448"/>
      <c r="FM207" s="449"/>
      <c r="FN207" s="316"/>
      <c r="FO207" s="449"/>
      <c r="FP207" s="448"/>
      <c r="FQ207" s="448"/>
      <c r="FR207" s="448"/>
      <c r="FS207" s="449"/>
      <c r="FT207" s="449"/>
      <c r="FU207" s="449"/>
      <c r="FV207" s="449"/>
      <c r="FW207" s="449"/>
      <c r="FX207" s="449"/>
      <c r="FY207" s="449"/>
      <c r="FZ207" s="448"/>
      <c r="GA207" s="448"/>
      <c r="GB207" s="449"/>
      <c r="GC207" s="449"/>
      <c r="GD207" s="449"/>
      <c r="GE207" s="448"/>
      <c r="GG207" s="448">
        <f t="shared" si="247"/>
        <v>134217.99228837207</v>
      </c>
      <c r="GH207" s="448">
        <f t="shared" si="247"/>
        <v>0</v>
      </c>
      <c r="GI207" s="448">
        <f t="shared" si="247"/>
        <v>0</v>
      </c>
      <c r="GJ207" s="448">
        <f t="shared" si="247"/>
        <v>-2151.5999999999995</v>
      </c>
      <c r="GK207" s="448">
        <f t="shared" si="247"/>
        <v>-4239.97</v>
      </c>
      <c r="GL207" s="448">
        <f t="shared" si="247"/>
        <v>-428.31</v>
      </c>
      <c r="GN207" s="448">
        <f t="shared" si="248"/>
        <v>134217.99228837207</v>
      </c>
      <c r="GO207" s="448">
        <f t="shared" si="248"/>
        <v>0</v>
      </c>
      <c r="GP207" s="448">
        <f t="shared" si="248"/>
        <v>0</v>
      </c>
      <c r="GQ207" s="448">
        <f t="shared" si="248"/>
        <v>-2151.5999999999995</v>
      </c>
      <c r="GR207" s="448">
        <f t="shared" si="248"/>
        <v>-4239.97</v>
      </c>
      <c r="GS207" s="448">
        <f t="shared" si="248"/>
        <v>-428.31</v>
      </c>
      <c r="GU207" s="448"/>
      <c r="GV207" s="450"/>
    </row>
    <row r="208" spans="1:204" s="195" customFormat="1">
      <c r="A208" s="385"/>
      <c r="B208" s="314"/>
      <c r="C208" s="314"/>
      <c r="D208" s="386"/>
      <c r="E208" s="380"/>
      <c r="F208" s="381"/>
      <c r="G208" s="310"/>
      <c r="H208" s="392">
        <f>SUM(H8:H206)</f>
        <v>380127584.18424678</v>
      </c>
      <c r="I208" s="392">
        <f>SUM(I8:I206)</f>
        <v>-1509792.3599999994</v>
      </c>
      <c r="J208" s="392">
        <f>SUM(J8:J206)</f>
        <v>-4715944.9800000042</v>
      </c>
      <c r="K208" s="392">
        <f>SUM(K8:K206)</f>
        <v>373901846.8442468</v>
      </c>
      <c r="L208" s="310"/>
      <c r="M208" s="301">
        <f t="shared" ref="M208:AA208" si="252">SUM(M8:M206)</f>
        <v>32703458.531187247</v>
      </c>
      <c r="N208" s="301">
        <f t="shared" si="252"/>
        <v>13777930.590231573</v>
      </c>
      <c r="O208" s="301">
        <f t="shared" si="252"/>
        <v>0</v>
      </c>
      <c r="P208" s="301">
        <f t="shared" si="252"/>
        <v>3129730.3125</v>
      </c>
      <c r="Q208" s="301">
        <f t="shared" si="252"/>
        <v>133319.44444444444</v>
      </c>
      <c r="R208" s="301">
        <f t="shared" si="252"/>
        <v>611497.91666666663</v>
      </c>
      <c r="S208" s="301">
        <f t="shared" si="252"/>
        <v>30292.463157894741</v>
      </c>
      <c r="T208" s="301">
        <f t="shared" si="252"/>
        <v>2789570.2541275062</v>
      </c>
      <c r="U208" s="301">
        <f t="shared" si="252"/>
        <v>237419.92583333328</v>
      </c>
      <c r="V208" s="301">
        <f t="shared" si="252"/>
        <v>-129691.62666666669</v>
      </c>
      <c r="W208" s="301">
        <f t="shared" si="252"/>
        <v>-392995.41499999986</v>
      </c>
      <c r="X208" s="301">
        <f t="shared" si="252"/>
        <v>0</v>
      </c>
      <c r="Y208" s="301">
        <f t="shared" si="252"/>
        <v>40000</v>
      </c>
      <c r="Z208" s="301">
        <f t="shared" si="252"/>
        <v>52930532.396482006</v>
      </c>
      <c r="AA208" s="315">
        <f t="shared" si="252"/>
        <v>32497682.011562932</v>
      </c>
      <c r="AB208" s="315"/>
      <c r="AC208" s="315">
        <f>SUM(AC8:AC206)</f>
        <v>0</v>
      </c>
      <c r="AD208" s="315">
        <f>SUM(AD8:AD206)</f>
        <v>3129730.3125</v>
      </c>
      <c r="AE208" s="315">
        <f>SUM(AE8:AE206)</f>
        <v>121319.44444444445</v>
      </c>
      <c r="AF208" s="315">
        <f>SUM(AF8:AF206)</f>
        <v>611497.91666666663</v>
      </c>
      <c r="AG208" s="315"/>
      <c r="AH208" s="315">
        <f t="shared" ref="AH208:AO208" si="253">SUM(AH8:AH206)</f>
        <v>2789570.2541275062</v>
      </c>
      <c r="AI208" s="315">
        <f t="shared" si="253"/>
        <v>219669.38333333327</v>
      </c>
      <c r="AJ208" s="315">
        <f t="shared" si="253"/>
        <v>-132847.3066666667</v>
      </c>
      <c r="AK208" s="315">
        <f t="shared" si="253"/>
        <v>-415520.2816666665</v>
      </c>
      <c r="AL208" s="315">
        <f t="shared" si="253"/>
        <v>-1047.2</v>
      </c>
      <c r="AM208" s="315">
        <f t="shared" si="253"/>
        <v>519521.52</v>
      </c>
      <c r="AN208" s="315">
        <f t="shared" si="253"/>
        <v>39339576.054301545</v>
      </c>
      <c r="AO208" s="308">
        <f t="shared" si="253"/>
        <v>32471824.88314968</v>
      </c>
      <c r="AP208" s="308"/>
      <c r="AQ208" s="308">
        <f>SUM(AQ8:AQ206)</f>
        <v>0</v>
      </c>
      <c r="AR208" s="308">
        <f>SUM(AR8:AR206)</f>
        <v>3129730.3125</v>
      </c>
      <c r="AS208" s="308">
        <f>SUM(AS8:AS206)</f>
        <v>121319.44444444445</v>
      </c>
      <c r="AT208" s="308">
        <f>SUM(AT8:AT206)</f>
        <v>611497.91666666663</v>
      </c>
      <c r="AU208" s="308"/>
      <c r="AV208" s="308">
        <f t="shared" ref="AV208:BC208" si="254">SUM(AV8:AV206)</f>
        <v>9615916.1387428921</v>
      </c>
      <c r="AW208" s="308">
        <f t="shared" si="254"/>
        <v>219669.38333333327</v>
      </c>
      <c r="AX208" s="308">
        <f t="shared" si="254"/>
        <v>-128639.73333333337</v>
      </c>
      <c r="AY208" s="308">
        <f t="shared" si="254"/>
        <v>-390742.92833333317</v>
      </c>
      <c r="AZ208" s="308">
        <f t="shared" si="254"/>
        <v>0</v>
      </c>
      <c r="BA208" s="308">
        <f t="shared" si="254"/>
        <v>1127405.28</v>
      </c>
      <c r="BB208" s="308">
        <f t="shared" si="254"/>
        <v>46777980.697170362</v>
      </c>
      <c r="BC208" s="330">
        <f t="shared" si="254"/>
        <v>32305186.055451337</v>
      </c>
      <c r="BD208" s="330"/>
      <c r="BE208" s="330">
        <f>SUM(BE8:BE206)</f>
        <v>0</v>
      </c>
      <c r="BF208" s="330">
        <f>SUM(BF8:BF206)</f>
        <v>3129730.3125</v>
      </c>
      <c r="BG208" s="330">
        <f>SUM(BG8:BG206)</f>
        <v>121319.44444444445</v>
      </c>
      <c r="BH208" s="330">
        <f>SUM(BH8:BH206)</f>
        <v>611497.91666666663</v>
      </c>
      <c r="BI208" s="330"/>
      <c r="BJ208" s="330">
        <f t="shared" ref="BJ208:BQ208" si="255">SUM(BJ8:BJ206)</f>
        <v>2789570.2541275062</v>
      </c>
      <c r="BK208" s="330">
        <f t="shared" si="255"/>
        <v>219669.38333333327</v>
      </c>
      <c r="BL208" s="330">
        <f t="shared" si="255"/>
        <v>-129409.09333333335</v>
      </c>
      <c r="BM208" s="330">
        <f t="shared" si="255"/>
        <v>-410529.4749999998</v>
      </c>
      <c r="BN208" s="330">
        <f t="shared" si="255"/>
        <v>-2107.88</v>
      </c>
      <c r="BO208" s="330">
        <f t="shared" si="255"/>
        <v>335192</v>
      </c>
      <c r="BP208" s="330">
        <f t="shared" si="255"/>
        <v>38970118.918189935</v>
      </c>
      <c r="BQ208" s="322">
        <f t="shared" si="255"/>
        <v>32282913.509111971</v>
      </c>
      <c r="BR208" s="322"/>
      <c r="BS208" s="322">
        <f>SUM(BS8:BS206)</f>
        <v>0</v>
      </c>
      <c r="BT208" s="322">
        <f>SUM(BT8:BT206)</f>
        <v>3129730.3125</v>
      </c>
      <c r="BU208" s="322">
        <f>SUM(BU8:BU206)</f>
        <v>121319.44444444445</v>
      </c>
      <c r="BV208" s="322">
        <f>SUM(BV8:BV206)</f>
        <v>687446.5</v>
      </c>
      <c r="BW208" s="322"/>
      <c r="BX208" s="322">
        <f t="shared" ref="BX208:CD208" si="256">SUM(BX8:BX206)</f>
        <v>2789570.2541275062</v>
      </c>
      <c r="BY208" s="322">
        <f t="shared" si="256"/>
        <v>219669.38333333327</v>
      </c>
      <c r="BZ208" s="322">
        <f t="shared" si="256"/>
        <v>-127870.37333333337</v>
      </c>
      <c r="CA208" s="322">
        <f t="shared" si="256"/>
        <v>-388269.60999999981</v>
      </c>
      <c r="CB208" s="322">
        <f t="shared" si="256"/>
        <v>0</v>
      </c>
      <c r="CC208" s="322">
        <f t="shared" si="256"/>
        <v>0</v>
      </c>
      <c r="CD208" s="322">
        <f t="shared" si="256"/>
        <v>38714509.420183904</v>
      </c>
      <c r="CE208" s="357">
        <f t="shared" ref="CE208:CQ208" si="257">SUM(CE8:CE207)</f>
        <v>31236364.246504817</v>
      </c>
      <c r="CF208" s="357">
        <f t="shared" si="257"/>
        <v>7035830.3645578949</v>
      </c>
      <c r="CG208" s="357">
        <f t="shared" si="257"/>
        <v>0</v>
      </c>
      <c r="CH208" s="357">
        <f t="shared" si="257"/>
        <v>3129730.3125</v>
      </c>
      <c r="CI208" s="357">
        <f t="shared" si="257"/>
        <v>121319.44444444445</v>
      </c>
      <c r="CJ208" s="357">
        <f t="shared" si="257"/>
        <v>687867.5</v>
      </c>
      <c r="CK208" s="357">
        <f t="shared" si="257"/>
        <v>43897.661052631578</v>
      </c>
      <c r="CL208" s="357">
        <f t="shared" si="257"/>
        <v>2789570.2541275062</v>
      </c>
      <c r="CM208" s="357">
        <f t="shared" si="257"/>
        <v>219669.38333333327</v>
      </c>
      <c r="CN208" s="357">
        <f t="shared" si="257"/>
        <v>-125381.90666666668</v>
      </c>
      <c r="CO208" s="357">
        <f t="shared" si="257"/>
        <v>-470898.86499999976</v>
      </c>
      <c r="CP208" s="357">
        <f t="shared" si="257"/>
        <v>-1602056.8124999995</v>
      </c>
      <c r="CQ208" s="357">
        <f t="shared" si="257"/>
        <v>0</v>
      </c>
      <c r="CR208" s="357"/>
      <c r="CS208" s="357">
        <f>SUM(CS8:CS207)</f>
        <v>43075363.982353963</v>
      </c>
      <c r="CT208" s="337">
        <f>SUM(CT8:CT206)</f>
        <v>31105025.824546497</v>
      </c>
      <c r="CU208" s="337"/>
      <c r="CV208" s="337">
        <f>SUM(CV8:CV206)</f>
        <v>-187965.78643333324</v>
      </c>
      <c r="CW208" s="337">
        <f>SUM(CW8:CW206)</f>
        <v>2963905.3125</v>
      </c>
      <c r="CX208" s="337">
        <f>SUM(CX8:CX206)</f>
        <v>121319.44444444445</v>
      </c>
      <c r="CY208" s="337">
        <f>SUM(CY8:CY206)</f>
        <v>687867.5</v>
      </c>
      <c r="CZ208" s="337"/>
      <c r="DA208" s="337">
        <f t="shared" ref="DA208:DI208" si="258">SUM(DA8:DA206)</f>
        <v>2636577.0272970423</v>
      </c>
      <c r="DB208" s="337">
        <f t="shared" si="258"/>
        <v>219669.38333333327</v>
      </c>
      <c r="DC208" s="337">
        <f t="shared" si="258"/>
        <v>-122658.72000000002</v>
      </c>
      <c r="DD208" s="337">
        <f t="shared" si="258"/>
        <v>-374498.06749999977</v>
      </c>
      <c r="DE208" s="337">
        <f t="shared" si="258"/>
        <v>2569.875</v>
      </c>
      <c r="DF208" s="337">
        <f t="shared" si="258"/>
        <v>100000</v>
      </c>
      <c r="DG208" s="337">
        <f t="shared" si="258"/>
        <v>6604.34</v>
      </c>
      <c r="DH208" s="337">
        <f t="shared" si="258"/>
        <v>37162729.674587958</v>
      </c>
      <c r="DI208" s="330">
        <f t="shared" si="258"/>
        <v>31105025.824546497</v>
      </c>
      <c r="DJ208" s="330"/>
      <c r="DK208" s="330">
        <f>SUM(DK8:DK206)</f>
        <v>0</v>
      </c>
      <c r="DL208" s="330">
        <f>SUM(DL8:DL206)</f>
        <v>3175792.8125</v>
      </c>
      <c r="DM208" s="330">
        <f>SUM(DM8:DM206)</f>
        <v>141319.44444444444</v>
      </c>
      <c r="DN208" s="330">
        <f>SUM(DN8:DN206)</f>
        <v>687867.5</v>
      </c>
      <c r="DO208" s="330"/>
      <c r="DP208" s="330">
        <f t="shared" ref="DP208:DV208" si="259">SUM(DP8:DP206)</f>
        <v>4722552.692050497</v>
      </c>
      <c r="DQ208" s="330">
        <f t="shared" si="259"/>
        <v>219669.38333333327</v>
      </c>
      <c r="DR208" s="330">
        <f t="shared" si="259"/>
        <v>-122658.72000000002</v>
      </c>
      <c r="DS208" s="330">
        <f t="shared" si="259"/>
        <v>-374498.06749999977</v>
      </c>
      <c r="DT208" s="330">
        <f t="shared" si="259"/>
        <v>0</v>
      </c>
      <c r="DU208" s="330">
        <f t="shared" si="259"/>
        <v>0</v>
      </c>
      <c r="DV208" s="330">
        <f t="shared" si="259"/>
        <v>203150.8</v>
      </c>
      <c r="DW208" s="330">
        <f t="shared" ref="DW208:EC208" si="260">SUM(DW8:DW206)</f>
        <v>39758221.669374764</v>
      </c>
      <c r="DX208" s="344">
        <f t="shared" si="260"/>
        <v>31105025.824546497</v>
      </c>
      <c r="DY208" s="344">
        <f t="shared" si="260"/>
        <v>0</v>
      </c>
      <c r="DZ208" s="344">
        <f t="shared" si="260"/>
        <v>0</v>
      </c>
      <c r="EA208" s="344">
        <f t="shared" si="260"/>
        <v>2990391.25</v>
      </c>
      <c r="EB208" s="344">
        <f t="shared" si="260"/>
        <v>121319.44444444445</v>
      </c>
      <c r="EC208" s="344">
        <f t="shared" si="260"/>
        <v>687274.16666666651</v>
      </c>
      <c r="ED208" s="344">
        <f t="shared" ref="ED208:EK208" si="261">SUM(ED8:ED206)</f>
        <v>0</v>
      </c>
      <c r="EE208" s="344">
        <f t="shared" si="261"/>
        <v>2897323.9853912238</v>
      </c>
      <c r="EF208" s="344">
        <f t="shared" si="261"/>
        <v>219669.38333333327</v>
      </c>
      <c r="EG208" s="344">
        <f t="shared" si="261"/>
        <v>-122658.72000000002</v>
      </c>
      <c r="EH208" s="344">
        <f t="shared" si="261"/>
        <v>-374498.06749999977</v>
      </c>
      <c r="EI208" s="344">
        <f t="shared" si="261"/>
        <v>0</v>
      </c>
      <c r="EJ208" s="344">
        <f t="shared" si="261"/>
        <v>755714</v>
      </c>
      <c r="EK208" s="344">
        <f t="shared" si="261"/>
        <v>3150.8</v>
      </c>
      <c r="EL208" s="344">
        <f t="shared" ref="EL208:ES208" si="262">SUM(EL8:EL206)</f>
        <v>38282712.066882133</v>
      </c>
      <c r="EM208" s="308">
        <f t="shared" si="262"/>
        <v>31105025.824546497</v>
      </c>
      <c r="EN208" s="308">
        <f t="shared" si="262"/>
        <v>6681536.444878119</v>
      </c>
      <c r="EO208" s="308">
        <f t="shared" si="262"/>
        <v>0</v>
      </c>
      <c r="EP208" s="308">
        <f t="shared" si="262"/>
        <v>2990391.25</v>
      </c>
      <c r="EQ208" s="308">
        <f t="shared" si="262"/>
        <v>126319.44444444445</v>
      </c>
      <c r="ER208" s="308">
        <f t="shared" si="262"/>
        <v>687867.5</v>
      </c>
      <c r="ES208" s="308">
        <f t="shared" si="262"/>
        <v>163025.58795013849</v>
      </c>
      <c r="ET208" s="308">
        <f t="shared" ref="ET208:EZ208" si="263">SUM(ET8:ET206)</f>
        <v>2897323.9853912238</v>
      </c>
      <c r="EU208" s="308">
        <f t="shared" si="263"/>
        <v>219669.38333333327</v>
      </c>
      <c r="EV208" s="308">
        <f t="shared" si="263"/>
        <v>-122658.72000000002</v>
      </c>
      <c r="EW208" s="308">
        <f t="shared" si="263"/>
        <v>-374498.06749999977</v>
      </c>
      <c r="EX208" s="308">
        <f t="shared" si="263"/>
        <v>1639.37</v>
      </c>
      <c r="EY208" s="308">
        <f t="shared" si="263"/>
        <v>0</v>
      </c>
      <c r="EZ208" s="308">
        <f t="shared" si="263"/>
        <v>3150.8</v>
      </c>
      <c r="FA208" s="308">
        <f>SUM(FA8:FA206)</f>
        <v>44378792.803043768</v>
      </c>
      <c r="FB208" s="315">
        <f>SUM(FB8:FB206)</f>
        <v>31105025.824546497</v>
      </c>
      <c r="FC208" s="315"/>
      <c r="FD208" s="315">
        <f>SUM(FD8:FD206)</f>
        <v>0</v>
      </c>
      <c r="FE208" s="315">
        <f>SUM(FE8:FE206)</f>
        <v>2990391.25</v>
      </c>
      <c r="FF208" s="315">
        <f>SUM(FF8:FF206)</f>
        <v>126319.44444444445</v>
      </c>
      <c r="FG208" s="315">
        <f>SUM(FG8:FG206)</f>
        <v>687867.5</v>
      </c>
      <c r="FH208" s="315"/>
      <c r="FI208" s="315">
        <f t="shared" ref="FI208:FN208" si="264">SUM(FI8:FI206)</f>
        <v>3045785.745391224</v>
      </c>
      <c r="FJ208" s="315">
        <f t="shared" si="264"/>
        <v>192741.77833333335</v>
      </c>
      <c r="FK208" s="315">
        <f t="shared" si="264"/>
        <v>-122658.72000000002</v>
      </c>
      <c r="FL208" s="315">
        <f t="shared" si="264"/>
        <v>-374498.06749999977</v>
      </c>
      <c r="FM208" s="315">
        <f t="shared" si="264"/>
        <v>0</v>
      </c>
      <c r="FN208" s="315">
        <f t="shared" si="264"/>
        <v>60000</v>
      </c>
      <c r="FO208" s="315">
        <f>SUM(FO8:FO206)</f>
        <v>3150.8</v>
      </c>
      <c r="FP208" s="315">
        <f>SUM(FP8:FP206)</f>
        <v>37714125.555215485</v>
      </c>
      <c r="FQ208" s="322">
        <f>SUM(FQ8:FQ206)</f>
        <v>31105025.824546497</v>
      </c>
      <c r="FR208" s="322"/>
      <c r="FS208" s="322">
        <f>SUM(FS8:FS206)</f>
        <v>0</v>
      </c>
      <c r="FT208" s="322">
        <f>SUM(FT8:FT206)</f>
        <v>2990391.25</v>
      </c>
      <c r="FU208" s="322">
        <f>SUM(FU8:FU206)</f>
        <v>126319.44444444445</v>
      </c>
      <c r="FV208" s="322">
        <f>SUM(FV8:FV206)</f>
        <v>687867.5</v>
      </c>
      <c r="FW208" s="322"/>
      <c r="FX208" s="322">
        <f t="shared" ref="FX208:GC208" si="265">SUM(FX8:FX206)</f>
        <v>3045785.745391224</v>
      </c>
      <c r="FY208" s="322">
        <f t="shared" si="265"/>
        <v>192741.77833333335</v>
      </c>
      <c r="FZ208" s="322">
        <f t="shared" si="265"/>
        <v>-122658.72000000002</v>
      </c>
      <c r="GA208" s="322">
        <f t="shared" si="265"/>
        <v>-374498.06749999977</v>
      </c>
      <c r="GB208" s="322">
        <f t="shared" si="265"/>
        <v>0</v>
      </c>
      <c r="GC208" s="322">
        <f t="shared" si="265"/>
        <v>0</v>
      </c>
      <c r="GD208" s="322"/>
      <c r="GE208" s="322">
        <f>SUM(GE8:GE206)</f>
        <v>37654125.555215485</v>
      </c>
      <c r="GG208" s="833">
        <f t="shared" ref="GG208:GR208" si="266">SUM(GG8:GG207)</f>
        <v>445951612.12310266</v>
      </c>
      <c r="GH208" s="833">
        <f t="shared" si="266"/>
        <v>7947917.333333334</v>
      </c>
      <c r="GI208" s="833">
        <f t="shared" si="266"/>
        <v>45646260.23495353</v>
      </c>
      <c r="GJ208" s="833">
        <f t="shared" si="266"/>
        <v>-1511943.9599999995</v>
      </c>
      <c r="GK208" s="833">
        <f t="shared" si="266"/>
        <v>-4720184.950000003</v>
      </c>
      <c r="GL208" s="833">
        <f t="shared" si="266"/>
        <v>-1601430.9574999993</v>
      </c>
      <c r="GM208" s="833">
        <f t="shared" si="266"/>
        <v>0</v>
      </c>
      <c r="GN208" s="833">
        <f t="shared" si="266"/>
        <v>445951612.12310266</v>
      </c>
      <c r="GO208" s="833">
        <f t="shared" si="266"/>
        <v>7947917.333333334</v>
      </c>
      <c r="GP208" s="833">
        <f t="shared" si="266"/>
        <v>45646260.23495353</v>
      </c>
      <c r="GQ208" s="833">
        <f t="shared" si="266"/>
        <v>-1511943.9599999995</v>
      </c>
      <c r="GR208" s="833">
        <f t="shared" si="266"/>
        <v>-4720184.950000003</v>
      </c>
      <c r="GS208" s="833">
        <f t="shared" ref="GS208" si="267">SUM(GS8:GS207)</f>
        <v>-1601430.9574999993</v>
      </c>
    </row>
    <row r="209" spans="1:6">
      <c r="A209" s="200"/>
      <c r="B209" s="2"/>
      <c r="C209" s="2"/>
      <c r="D209" s="2"/>
      <c r="E209" s="2"/>
      <c r="F209" s="201"/>
    </row>
    <row r="210" spans="1:6" ht="15" thickBot="1">
      <c r="A210" s="204"/>
      <c r="B210" s="205"/>
      <c r="C210" s="205"/>
      <c r="D210" s="206"/>
      <c r="E210" s="216"/>
      <c r="F210" s="217"/>
    </row>
  </sheetData>
  <sheetProtection algorithmName="SHA-512" hashValue="l3Nfc+oug+GzkIwHA56o+o3IkWMdWZyUO9N4SzSQ34NWniFLV+DncM25fbgtnhrul88Vfvm+YKfKD/4E/GVGpQ==" saltValue="qcPWO4UGW1BzqTfU4lJlPw==" spinCount="100000" sheet="1" autoFilter="0"/>
  <autoFilter ref="A7:GM208" xr:uid="{2B3ED282-2F67-46F3-B3A6-C122B4992373}"/>
  <conditionalFormatting sqref="A7:F8 A9:C207 E9:F207 E208">
    <cfRule type="cellIs" dxfId="2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4FC59-A7D2-4F54-8D8D-8CE8D025D01A}">
  <sheetPr codeName="Sheet7"/>
  <dimension ref="A1:AM216"/>
  <sheetViews>
    <sheetView zoomScale="80" zoomScaleNormal="80" workbookViewId="0">
      <selection activeCell="AM35" sqref="AM35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" bestFit="1" customWidth="1"/>
    <col min="6" max="6" width="14.54296875" bestFit="1" customWidth="1"/>
    <col min="7" max="20" width="14.7265625" customWidth="1"/>
    <col min="21" max="21" width="16.26953125" bestFit="1" customWidth="1"/>
    <col min="22" max="22" width="3.26953125" bestFit="1" customWidth="1"/>
    <col min="23" max="23" width="14.7265625" customWidth="1"/>
    <col min="24" max="24" width="16.26953125" bestFit="1" customWidth="1"/>
    <col min="25" max="31" width="14.7265625" hidden="1" customWidth="1"/>
    <col min="32" max="32" width="14.7265625" customWidth="1"/>
    <col min="34" max="35" width="12.26953125" bestFit="1" customWidth="1"/>
    <col min="36" max="36" width="13.81640625" bestFit="1" customWidth="1"/>
    <col min="37" max="37" width="16" bestFit="1" customWidth="1"/>
    <col min="38" max="38" width="14.453125" bestFit="1" customWidth="1"/>
    <col min="39" max="39" width="14.26953125" customWidth="1"/>
  </cols>
  <sheetData>
    <row r="1" spans="1:39">
      <c r="A1" s="1" t="s">
        <v>957</v>
      </c>
      <c r="B1" s="1"/>
      <c r="H1" t="s">
        <v>925</v>
      </c>
      <c r="I1" t="s">
        <v>925</v>
      </c>
      <c r="J1" t="s">
        <v>925</v>
      </c>
      <c r="K1" t="s">
        <v>925</v>
      </c>
      <c r="L1" t="s">
        <v>925</v>
      </c>
      <c r="M1" t="s">
        <v>925</v>
      </c>
      <c r="N1" t="s">
        <v>925</v>
      </c>
      <c r="O1" t="s">
        <v>925</v>
      </c>
      <c r="P1" t="s">
        <v>925</v>
      </c>
      <c r="Q1" t="s">
        <v>925</v>
      </c>
      <c r="R1" t="s">
        <v>925</v>
      </c>
      <c r="S1" t="s">
        <v>925</v>
      </c>
      <c r="T1" t="s">
        <v>925</v>
      </c>
    </row>
    <row r="2" spans="1:39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</row>
    <row r="3" spans="1:39">
      <c r="G3" s="66" t="s">
        <v>958</v>
      </c>
      <c r="H3" s="2" t="s">
        <v>24</v>
      </c>
      <c r="I3" s="2" t="s">
        <v>24</v>
      </c>
      <c r="J3" s="2" t="s">
        <v>24</v>
      </c>
      <c r="K3" s="2" t="s">
        <v>24</v>
      </c>
      <c r="L3" s="2" t="s">
        <v>24</v>
      </c>
      <c r="M3" s="2" t="s">
        <v>24</v>
      </c>
      <c r="N3" s="2" t="s">
        <v>24</v>
      </c>
      <c r="O3" s="2" t="s">
        <v>24</v>
      </c>
      <c r="P3" s="2" t="s">
        <v>24</v>
      </c>
      <c r="Q3" s="2" t="s">
        <v>21</v>
      </c>
      <c r="R3" s="2" t="s">
        <v>21</v>
      </c>
      <c r="S3" s="2" t="s">
        <v>21</v>
      </c>
      <c r="T3" s="2" t="s">
        <v>21</v>
      </c>
      <c r="U3" s="2"/>
      <c r="AK3" s="2" t="s">
        <v>21</v>
      </c>
      <c r="AL3" s="2" t="s">
        <v>21</v>
      </c>
      <c r="AM3" s="2" t="s">
        <v>24</v>
      </c>
    </row>
    <row r="4" spans="1:39" ht="15" thickBot="1">
      <c r="G4" s="66" t="s">
        <v>959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AK4" s="2"/>
      <c r="AL4" s="2"/>
      <c r="AM4" s="2"/>
    </row>
    <row r="5" spans="1:39" ht="15" thickBot="1">
      <c r="AH5" s="819" t="s">
        <v>925</v>
      </c>
      <c r="AI5" s="870"/>
    </row>
    <row r="6" spans="1:39" ht="42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960</v>
      </c>
      <c r="I6" s="178" t="s">
        <v>961</v>
      </c>
      <c r="J6" s="178" t="s">
        <v>962</v>
      </c>
      <c r="K6" s="178" t="s">
        <v>963</v>
      </c>
      <c r="L6" s="178" t="s">
        <v>1229</v>
      </c>
      <c r="M6" s="179" t="s">
        <v>964</v>
      </c>
      <c r="N6" s="179" t="s">
        <v>965</v>
      </c>
      <c r="O6" s="179" t="s">
        <v>966</v>
      </c>
      <c r="P6" s="179" t="s">
        <v>967</v>
      </c>
      <c r="Q6" s="179" t="s">
        <v>968</v>
      </c>
      <c r="R6" s="179" t="s">
        <v>969</v>
      </c>
      <c r="S6" s="179" t="s">
        <v>970</v>
      </c>
      <c r="T6" s="197" t="s">
        <v>971</v>
      </c>
      <c r="U6" s="180" t="s">
        <v>452</v>
      </c>
      <c r="W6" s="181" t="s">
        <v>21</v>
      </c>
      <c r="X6" s="182" t="s">
        <v>24</v>
      </c>
      <c r="Y6" s="182" t="s">
        <v>512</v>
      </c>
      <c r="Z6" s="182" t="s">
        <v>515</v>
      </c>
      <c r="AA6" s="182" t="s">
        <v>634</v>
      </c>
      <c r="AB6" s="182" t="s">
        <v>972</v>
      </c>
      <c r="AC6" s="182" t="s">
        <v>973</v>
      </c>
      <c r="AD6" s="182" t="s">
        <v>974</v>
      </c>
      <c r="AE6" s="183" t="s">
        <v>530</v>
      </c>
      <c r="AF6" s="184" t="s">
        <v>975</v>
      </c>
      <c r="AH6" s="181" t="s">
        <v>21</v>
      </c>
      <c r="AI6" s="183" t="s">
        <v>24</v>
      </c>
      <c r="AK6" s="197" t="s">
        <v>1225</v>
      </c>
      <c r="AL6" s="197" t="s">
        <v>1226</v>
      </c>
      <c r="AM6" s="874" t="s">
        <v>1244</v>
      </c>
    </row>
    <row r="7" spans="1:39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Mar 2026'!$A$8:$F$206,6,FALSE)</f>
        <v>Chq Bk</v>
      </c>
      <c r="G7" s="209"/>
      <c r="H7" s="211"/>
      <c r="I7" s="211"/>
      <c r="J7" s="211">
        <v>0</v>
      </c>
      <c r="K7" s="211">
        <v>5547</v>
      </c>
      <c r="L7" s="211">
        <v>0</v>
      </c>
      <c r="M7" s="211">
        <v>24120.63</v>
      </c>
      <c r="N7" s="211">
        <v>216.65819999999962</v>
      </c>
      <c r="O7" s="211">
        <v>13993.400000000016</v>
      </c>
      <c r="P7" s="211">
        <v>11776.666666666668</v>
      </c>
      <c r="Q7" s="211">
        <v>0</v>
      </c>
      <c r="R7" s="211">
        <v>0</v>
      </c>
      <c r="S7" s="191">
        <v>0</v>
      </c>
      <c r="T7" s="191">
        <v>0</v>
      </c>
      <c r="U7" s="212">
        <f t="shared" ref="U7:U38" si="0">SUM(H7:T7)</f>
        <v>55654.35486666669</v>
      </c>
      <c r="W7" s="33">
        <f>SUMIF($H$3:$T$3,W$6,$H7:$T7)+AK7</f>
        <v>0</v>
      </c>
      <c r="X7" s="33">
        <f t="shared" ref="X7:AE7" si="1">SUMIF($H$3:$T$3,X$6,$H7:$T7)</f>
        <v>55654.35486666669</v>
      </c>
      <c r="Y7" s="33">
        <f t="shared" si="1"/>
        <v>0</v>
      </c>
      <c r="Z7" s="33">
        <f t="shared" si="1"/>
        <v>0</v>
      </c>
      <c r="AA7" s="33">
        <f t="shared" si="1"/>
        <v>0</v>
      </c>
      <c r="AB7" s="33">
        <f t="shared" si="1"/>
        <v>0</v>
      </c>
      <c r="AC7" s="33">
        <f t="shared" si="1"/>
        <v>0</v>
      </c>
      <c r="AD7" s="33">
        <f t="shared" si="1"/>
        <v>0</v>
      </c>
      <c r="AE7" s="33">
        <f t="shared" si="1"/>
        <v>0</v>
      </c>
      <c r="AF7" s="58">
        <f>SUM(W7:AE7)-U7</f>
        <v>0</v>
      </c>
      <c r="AH7" s="33">
        <f t="shared" ref="AH7:AH38" si="2">SUMIFS($H7:$T7,$H$3:$T$3,AH$6,$H$1:$T$1,$AH$5)+AK7+AL7</f>
        <v>0</v>
      </c>
      <c r="AI7" s="33">
        <f>SUMIFS($H7:$T7,$H$3:$T$3,AI$6,$H$1:$T$1,$AH$5)+AM7</f>
        <v>61201.35486666669</v>
      </c>
      <c r="AJ7" s="33"/>
      <c r="AK7" s="191"/>
      <c r="AL7" s="191"/>
      <c r="AM7" s="191">
        <v>5547</v>
      </c>
    </row>
    <row r="8" spans="1:39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Mar 2026'!$A$8:$F$206,6,FALSE)</f>
        <v>Chq Bk</v>
      </c>
      <c r="H8" s="211"/>
      <c r="I8" s="211"/>
      <c r="J8" s="211">
        <v>0</v>
      </c>
      <c r="K8" s="211">
        <v>0</v>
      </c>
      <c r="L8" s="211">
        <v>0</v>
      </c>
      <c r="M8" s="211">
        <v>0</v>
      </c>
      <c r="N8" s="211">
        <v>0</v>
      </c>
      <c r="O8" s="211">
        <v>4280.333333333333</v>
      </c>
      <c r="P8" s="211">
        <v>14316</v>
      </c>
      <c r="Q8" s="211">
        <v>0</v>
      </c>
      <c r="R8" s="211">
        <v>0</v>
      </c>
      <c r="S8" s="191">
        <v>0</v>
      </c>
      <c r="T8" s="191">
        <v>0</v>
      </c>
      <c r="U8" s="212">
        <f t="shared" si="0"/>
        <v>18596.333333333332</v>
      </c>
      <c r="W8" s="33">
        <f t="shared" ref="W8:W71" si="3">SUMIF($H$3:$T$3,W$6,$H8:$T8)+AK8</f>
        <v>0</v>
      </c>
      <c r="X8" s="33">
        <f t="shared" ref="X8:X27" si="4">SUMIF($H$3:$T$3,X$6,$H8:$T8)</f>
        <v>18596.333333333332</v>
      </c>
      <c r="Y8" s="33">
        <f t="shared" ref="Y8:AE17" si="5">SUMIF($H$3:$S$3,Y$6,$H8:$S8)</f>
        <v>0</v>
      </c>
      <c r="Z8" s="33">
        <f t="shared" si="5"/>
        <v>0</v>
      </c>
      <c r="AA8" s="33">
        <f t="shared" si="5"/>
        <v>0</v>
      </c>
      <c r="AB8" s="33">
        <f t="shared" si="5"/>
        <v>0</v>
      </c>
      <c r="AC8" s="33">
        <f t="shared" si="5"/>
        <v>0</v>
      </c>
      <c r="AD8" s="33">
        <f t="shared" si="5"/>
        <v>0</v>
      </c>
      <c r="AE8" s="33">
        <f t="shared" si="5"/>
        <v>0</v>
      </c>
      <c r="AF8" s="58">
        <f t="shared" ref="AF8:AF69" si="6">SUM(W8:AE8)-U8</f>
        <v>0</v>
      </c>
      <c r="AH8" s="33">
        <f t="shared" si="2"/>
        <v>0</v>
      </c>
      <c r="AI8" s="33">
        <f t="shared" ref="AI8:AI71" si="7">SUMIFS($H8:$T8,$H$3:$T$3,AI$6,$H$1:$T$1,$AH$5)+AM8</f>
        <v>18596.333333333332</v>
      </c>
      <c r="AJ8" s="33"/>
      <c r="AK8" s="191"/>
      <c r="AL8" s="191"/>
      <c r="AM8" s="191">
        <v>0</v>
      </c>
    </row>
    <row r="9" spans="1:39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Mar 2026'!$A$8:$F$206,6,FALSE)</f>
        <v>Chq Bk</v>
      </c>
      <c r="H9" s="211"/>
      <c r="I9" s="211"/>
      <c r="J9" s="211">
        <v>0</v>
      </c>
      <c r="K9" s="211">
        <v>0</v>
      </c>
      <c r="L9" s="211">
        <v>0</v>
      </c>
      <c r="M9" s="211">
        <v>15754.8</v>
      </c>
      <c r="N9" s="211">
        <v>312.53333333333262</v>
      </c>
      <c r="O9" s="211">
        <v>31716.003333333338</v>
      </c>
      <c r="P9" s="211">
        <v>46301</v>
      </c>
      <c r="Q9" s="211">
        <v>0</v>
      </c>
      <c r="R9" s="211">
        <v>0</v>
      </c>
      <c r="S9" s="191">
        <v>0</v>
      </c>
      <c r="T9" s="191">
        <v>0</v>
      </c>
      <c r="U9" s="212">
        <f t="shared" si="0"/>
        <v>94084.33666666667</v>
      </c>
      <c r="W9" s="33">
        <f t="shared" si="3"/>
        <v>0</v>
      </c>
      <c r="X9" s="33">
        <f t="shared" si="4"/>
        <v>94084.33666666667</v>
      </c>
      <c r="Y9" s="33">
        <f t="shared" si="5"/>
        <v>0</v>
      </c>
      <c r="Z9" s="33">
        <f t="shared" si="5"/>
        <v>0</v>
      </c>
      <c r="AA9" s="33">
        <f t="shared" si="5"/>
        <v>0</v>
      </c>
      <c r="AB9" s="33">
        <f t="shared" si="5"/>
        <v>0</v>
      </c>
      <c r="AC9" s="33">
        <f t="shared" si="5"/>
        <v>0</v>
      </c>
      <c r="AD9" s="33">
        <f t="shared" si="5"/>
        <v>0</v>
      </c>
      <c r="AE9" s="33">
        <f t="shared" si="5"/>
        <v>0</v>
      </c>
      <c r="AF9" s="58">
        <f t="shared" si="6"/>
        <v>0</v>
      </c>
      <c r="AH9" s="33">
        <f t="shared" si="2"/>
        <v>0</v>
      </c>
      <c r="AI9" s="33">
        <f t="shared" si="7"/>
        <v>94084.33666666667</v>
      </c>
      <c r="AJ9" s="33"/>
      <c r="AK9" s="191"/>
      <c r="AL9" s="191"/>
      <c r="AM9" s="191">
        <v>0</v>
      </c>
    </row>
    <row r="10" spans="1:39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Mar 2026'!$A$8:$F$206,6,FALSE)</f>
        <v>Chq Bk</v>
      </c>
      <c r="H10" s="211"/>
      <c r="I10" s="211"/>
      <c r="J10" s="211">
        <v>0</v>
      </c>
      <c r="K10" s="211">
        <v>0</v>
      </c>
      <c r="L10" s="211">
        <v>0</v>
      </c>
      <c r="M10" s="211">
        <v>13428.16</v>
      </c>
      <c r="N10" s="211">
        <v>186.88979999999992</v>
      </c>
      <c r="O10" s="211">
        <v>0</v>
      </c>
      <c r="P10" s="211">
        <v>9645</v>
      </c>
      <c r="Q10" s="211">
        <v>0</v>
      </c>
      <c r="R10" s="211">
        <v>0</v>
      </c>
      <c r="S10" s="191">
        <v>0</v>
      </c>
      <c r="T10" s="191">
        <v>0</v>
      </c>
      <c r="U10" s="212">
        <f t="shared" si="0"/>
        <v>23260.049800000001</v>
      </c>
      <c r="W10" s="33">
        <f t="shared" si="3"/>
        <v>0</v>
      </c>
      <c r="X10" s="33">
        <f t="shared" si="4"/>
        <v>23260.049800000001</v>
      </c>
      <c r="Y10" s="33">
        <f t="shared" si="5"/>
        <v>0</v>
      </c>
      <c r="Z10" s="33">
        <f t="shared" si="5"/>
        <v>0</v>
      </c>
      <c r="AA10" s="33">
        <f t="shared" si="5"/>
        <v>0</v>
      </c>
      <c r="AB10" s="33">
        <f t="shared" si="5"/>
        <v>0</v>
      </c>
      <c r="AC10" s="33">
        <f t="shared" si="5"/>
        <v>0</v>
      </c>
      <c r="AD10" s="33">
        <f t="shared" si="5"/>
        <v>0</v>
      </c>
      <c r="AE10" s="33">
        <f t="shared" si="5"/>
        <v>0</v>
      </c>
      <c r="AF10" s="58">
        <f t="shared" si="6"/>
        <v>0</v>
      </c>
      <c r="AH10" s="33">
        <f t="shared" si="2"/>
        <v>0</v>
      </c>
      <c r="AI10" s="33">
        <f t="shared" si="7"/>
        <v>23260.049800000001</v>
      </c>
      <c r="AJ10" s="33"/>
      <c r="AK10" s="191"/>
      <c r="AL10" s="191"/>
      <c r="AM10" s="191">
        <v>0</v>
      </c>
    </row>
    <row r="11" spans="1:39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Mar 2026'!$A$8:$F$206,6,FALSE)</f>
        <v>Chq Bk</v>
      </c>
      <c r="H11" s="211"/>
      <c r="I11" s="211"/>
      <c r="J11" s="211">
        <v>0</v>
      </c>
      <c r="K11" s="211">
        <v>0</v>
      </c>
      <c r="L11" s="211">
        <v>6300</v>
      </c>
      <c r="M11" s="211">
        <v>60534.22</v>
      </c>
      <c r="N11" s="211">
        <v>1052.9046666666648</v>
      </c>
      <c r="O11" s="211">
        <v>64338.083333333336</v>
      </c>
      <c r="P11" s="211">
        <v>88978.333333333328</v>
      </c>
      <c r="Q11" s="211">
        <v>0</v>
      </c>
      <c r="R11" s="211">
        <v>0</v>
      </c>
      <c r="S11" s="191">
        <v>0</v>
      </c>
      <c r="T11" s="191">
        <v>0</v>
      </c>
      <c r="U11" s="212">
        <f t="shared" si="0"/>
        <v>221203.54133333336</v>
      </c>
      <c r="W11" s="33">
        <f t="shared" si="3"/>
        <v>0</v>
      </c>
      <c r="X11" s="33">
        <f t="shared" si="4"/>
        <v>221203.54133333336</v>
      </c>
      <c r="Y11" s="33">
        <f t="shared" si="5"/>
        <v>0</v>
      </c>
      <c r="Z11" s="33">
        <f t="shared" si="5"/>
        <v>0</v>
      </c>
      <c r="AA11" s="33">
        <f t="shared" si="5"/>
        <v>0</v>
      </c>
      <c r="AB11" s="33">
        <f t="shared" si="5"/>
        <v>0</v>
      </c>
      <c r="AC11" s="33">
        <f t="shared" si="5"/>
        <v>0</v>
      </c>
      <c r="AD11" s="33">
        <f t="shared" si="5"/>
        <v>0</v>
      </c>
      <c r="AE11" s="33">
        <f t="shared" si="5"/>
        <v>0</v>
      </c>
      <c r="AF11" s="58">
        <f t="shared" si="6"/>
        <v>0</v>
      </c>
      <c r="AH11" s="33">
        <f t="shared" si="2"/>
        <v>0</v>
      </c>
      <c r="AI11" s="33">
        <f t="shared" si="7"/>
        <v>221203.54133333336</v>
      </c>
      <c r="AJ11" s="33"/>
      <c r="AK11" s="191"/>
      <c r="AL11" s="191"/>
      <c r="AM11" s="191">
        <v>0</v>
      </c>
    </row>
    <row r="12" spans="1:39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Mar 2026'!$A$8:$F$206,6,FALSE)</f>
        <v>Chq Bk</v>
      </c>
      <c r="H12" s="211"/>
      <c r="I12" s="211"/>
      <c r="J12" s="211">
        <v>0</v>
      </c>
      <c r="K12" s="211">
        <v>0</v>
      </c>
      <c r="L12" s="211">
        <v>0</v>
      </c>
      <c r="M12" s="211">
        <v>83853.440000000002</v>
      </c>
      <c r="N12" s="211">
        <v>1363.6799999999985</v>
      </c>
      <c r="O12" s="211">
        <v>72824.006666666668</v>
      </c>
      <c r="P12" s="211">
        <v>108122.39333333334</v>
      </c>
      <c r="Q12" s="211">
        <v>0</v>
      </c>
      <c r="R12" s="211">
        <v>0</v>
      </c>
      <c r="S12" s="191">
        <v>0</v>
      </c>
      <c r="T12" s="191">
        <v>0</v>
      </c>
      <c r="U12" s="212">
        <f t="shared" si="0"/>
        <v>266163.52</v>
      </c>
      <c r="W12" s="33">
        <f t="shared" si="3"/>
        <v>0</v>
      </c>
      <c r="X12" s="33">
        <f t="shared" si="4"/>
        <v>266163.52</v>
      </c>
      <c r="Y12" s="33">
        <f t="shared" si="5"/>
        <v>0</v>
      </c>
      <c r="Z12" s="33">
        <f t="shared" si="5"/>
        <v>0</v>
      </c>
      <c r="AA12" s="33">
        <f t="shared" si="5"/>
        <v>0</v>
      </c>
      <c r="AB12" s="33">
        <f t="shared" si="5"/>
        <v>0</v>
      </c>
      <c r="AC12" s="33">
        <f t="shared" si="5"/>
        <v>0</v>
      </c>
      <c r="AD12" s="33">
        <f t="shared" si="5"/>
        <v>0</v>
      </c>
      <c r="AE12" s="33">
        <f t="shared" si="5"/>
        <v>0</v>
      </c>
      <c r="AF12" s="58">
        <f t="shared" si="6"/>
        <v>0</v>
      </c>
      <c r="AH12" s="33">
        <f t="shared" si="2"/>
        <v>0</v>
      </c>
      <c r="AI12" s="33">
        <f t="shared" si="7"/>
        <v>266163.52</v>
      </c>
      <c r="AJ12" s="33"/>
      <c r="AK12" s="191"/>
      <c r="AL12" s="191"/>
      <c r="AM12" s="191">
        <v>0</v>
      </c>
    </row>
    <row r="13" spans="1:39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Mar 2026'!$A$8:$F$206,6,FALSE)</f>
        <v>Chq Bk</v>
      </c>
      <c r="H13" s="211"/>
      <c r="I13" s="211"/>
      <c r="J13" s="211">
        <v>0</v>
      </c>
      <c r="K13" s="211">
        <v>0</v>
      </c>
      <c r="L13" s="211">
        <v>0</v>
      </c>
      <c r="M13" s="211">
        <v>41325.9</v>
      </c>
      <c r="N13" s="211">
        <v>806.43333333333157</v>
      </c>
      <c r="O13" s="211">
        <v>84821.333333333328</v>
      </c>
      <c r="P13" s="211">
        <v>80391.333333333328</v>
      </c>
      <c r="Q13" s="211">
        <v>0</v>
      </c>
      <c r="R13" s="211">
        <v>0</v>
      </c>
      <c r="S13" s="191">
        <v>0</v>
      </c>
      <c r="T13" s="191">
        <v>0</v>
      </c>
      <c r="U13" s="212">
        <f t="shared" si="0"/>
        <v>207345</v>
      </c>
      <c r="W13" s="33">
        <f t="shared" si="3"/>
        <v>0</v>
      </c>
      <c r="X13" s="33">
        <f t="shared" si="4"/>
        <v>207345</v>
      </c>
      <c r="Y13" s="33">
        <f t="shared" si="5"/>
        <v>0</v>
      </c>
      <c r="Z13" s="33">
        <f t="shared" si="5"/>
        <v>0</v>
      </c>
      <c r="AA13" s="33">
        <f t="shared" si="5"/>
        <v>0</v>
      </c>
      <c r="AB13" s="33">
        <f t="shared" si="5"/>
        <v>0</v>
      </c>
      <c r="AC13" s="33">
        <f t="shared" si="5"/>
        <v>0</v>
      </c>
      <c r="AD13" s="33">
        <f t="shared" si="5"/>
        <v>0</v>
      </c>
      <c r="AE13" s="33">
        <f t="shared" si="5"/>
        <v>0</v>
      </c>
      <c r="AF13" s="58">
        <f t="shared" si="6"/>
        <v>0</v>
      </c>
      <c r="AH13" s="33">
        <f t="shared" si="2"/>
        <v>0</v>
      </c>
      <c r="AI13" s="33">
        <f t="shared" si="7"/>
        <v>207345</v>
      </c>
      <c r="AJ13" s="33"/>
      <c r="AK13" s="191"/>
      <c r="AL13" s="191"/>
      <c r="AM13" s="191">
        <v>0</v>
      </c>
    </row>
    <row r="14" spans="1:39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Mar 2026'!$A$8:$F$206,6,FALSE)</f>
        <v>Chq Bk</v>
      </c>
      <c r="H14" s="211"/>
      <c r="I14" s="211"/>
      <c r="J14" s="211">
        <v>0</v>
      </c>
      <c r="K14" s="211">
        <v>0</v>
      </c>
      <c r="L14" s="211">
        <v>0</v>
      </c>
      <c r="M14" s="211">
        <v>87796.08</v>
      </c>
      <c r="N14" s="211">
        <v>1513.2633333333306</v>
      </c>
      <c r="O14" s="211">
        <v>87655.666666666672</v>
      </c>
      <c r="P14" s="211">
        <v>126045.17000000001</v>
      </c>
      <c r="Q14" s="211">
        <v>0</v>
      </c>
      <c r="R14" s="211">
        <v>0</v>
      </c>
      <c r="S14" s="191">
        <v>0</v>
      </c>
      <c r="T14" s="191">
        <v>0</v>
      </c>
      <c r="U14" s="212">
        <f t="shared" si="0"/>
        <v>303010.18000000005</v>
      </c>
      <c r="W14" s="33">
        <f t="shared" si="3"/>
        <v>0</v>
      </c>
      <c r="X14" s="33">
        <f t="shared" si="4"/>
        <v>303010.18000000005</v>
      </c>
      <c r="Y14" s="33">
        <f t="shared" si="5"/>
        <v>0</v>
      </c>
      <c r="Z14" s="33">
        <f t="shared" si="5"/>
        <v>0</v>
      </c>
      <c r="AA14" s="33">
        <f t="shared" si="5"/>
        <v>0</v>
      </c>
      <c r="AB14" s="33">
        <f t="shared" si="5"/>
        <v>0</v>
      </c>
      <c r="AC14" s="33">
        <f t="shared" si="5"/>
        <v>0</v>
      </c>
      <c r="AD14" s="33">
        <f t="shared" si="5"/>
        <v>0</v>
      </c>
      <c r="AE14" s="33">
        <f t="shared" si="5"/>
        <v>0</v>
      </c>
      <c r="AF14" s="58">
        <f t="shared" si="6"/>
        <v>0</v>
      </c>
      <c r="AH14" s="33">
        <f t="shared" si="2"/>
        <v>0</v>
      </c>
      <c r="AI14" s="33">
        <f t="shared" si="7"/>
        <v>303010.18000000005</v>
      </c>
      <c r="AJ14" s="33"/>
      <c r="AK14" s="191"/>
      <c r="AL14" s="191"/>
      <c r="AM14" s="191">
        <v>0</v>
      </c>
    </row>
    <row r="15" spans="1:39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Mar 2026'!$A$8:$F$206,6,FALSE)</f>
        <v>Chq Bk</v>
      </c>
      <c r="H15" s="211"/>
      <c r="I15" s="211"/>
      <c r="J15" s="211">
        <v>40950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211">
        <v>0</v>
      </c>
      <c r="Q15" s="211">
        <v>0</v>
      </c>
      <c r="R15" s="211">
        <v>0</v>
      </c>
      <c r="S15" s="191">
        <v>0</v>
      </c>
      <c r="T15" s="191">
        <v>0</v>
      </c>
      <c r="U15" s="212">
        <f t="shared" si="0"/>
        <v>40950</v>
      </c>
      <c r="W15" s="33">
        <f t="shared" si="3"/>
        <v>0</v>
      </c>
      <c r="X15" s="33">
        <f t="shared" si="4"/>
        <v>40950</v>
      </c>
      <c r="Y15" s="33">
        <f t="shared" si="5"/>
        <v>0</v>
      </c>
      <c r="Z15" s="33">
        <f t="shared" si="5"/>
        <v>0</v>
      </c>
      <c r="AA15" s="33">
        <f t="shared" si="5"/>
        <v>0</v>
      </c>
      <c r="AB15" s="33">
        <f t="shared" si="5"/>
        <v>0</v>
      </c>
      <c r="AC15" s="33">
        <f t="shared" si="5"/>
        <v>0</v>
      </c>
      <c r="AD15" s="33">
        <f t="shared" si="5"/>
        <v>0</v>
      </c>
      <c r="AE15" s="33">
        <f t="shared" si="5"/>
        <v>0</v>
      </c>
      <c r="AF15" s="58">
        <f t="shared" si="6"/>
        <v>0</v>
      </c>
      <c r="AH15" s="33">
        <f t="shared" si="2"/>
        <v>0</v>
      </c>
      <c r="AI15" s="33">
        <f t="shared" si="7"/>
        <v>40950</v>
      </c>
      <c r="AJ15" s="33"/>
      <c r="AK15" s="191"/>
      <c r="AL15" s="191"/>
      <c r="AM15" s="191">
        <v>0</v>
      </c>
    </row>
    <row r="16" spans="1:39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Mar 2026'!$A$8:$F$206,6,FALSE)</f>
        <v>Chq Bk</v>
      </c>
      <c r="H16" s="211"/>
      <c r="I16" s="211"/>
      <c r="J16" s="211">
        <v>0</v>
      </c>
      <c r="K16" s="211">
        <v>0</v>
      </c>
      <c r="L16" s="211">
        <v>0</v>
      </c>
      <c r="M16" s="211">
        <v>58674.71</v>
      </c>
      <c r="N16" s="211">
        <v>853.45500000000015</v>
      </c>
      <c r="O16" s="211">
        <v>68511.16333333333</v>
      </c>
      <c r="P16" s="211">
        <v>91373.666666666657</v>
      </c>
      <c r="Q16" s="211">
        <v>0</v>
      </c>
      <c r="R16" s="211">
        <v>0</v>
      </c>
      <c r="S16" s="191">
        <v>0</v>
      </c>
      <c r="T16" s="191">
        <v>0</v>
      </c>
      <c r="U16" s="212">
        <f t="shared" si="0"/>
        <v>219412.995</v>
      </c>
      <c r="W16" s="33">
        <f t="shared" si="3"/>
        <v>0</v>
      </c>
      <c r="X16" s="33">
        <f t="shared" si="4"/>
        <v>219412.995</v>
      </c>
      <c r="Y16" s="33">
        <f t="shared" si="5"/>
        <v>0</v>
      </c>
      <c r="Z16" s="33">
        <f t="shared" si="5"/>
        <v>0</v>
      </c>
      <c r="AA16" s="33">
        <f t="shared" si="5"/>
        <v>0</v>
      </c>
      <c r="AB16" s="33">
        <f t="shared" si="5"/>
        <v>0</v>
      </c>
      <c r="AC16" s="33">
        <f t="shared" si="5"/>
        <v>0</v>
      </c>
      <c r="AD16" s="33">
        <f t="shared" si="5"/>
        <v>0</v>
      </c>
      <c r="AE16" s="33">
        <f t="shared" si="5"/>
        <v>0</v>
      </c>
      <c r="AF16" s="58">
        <f t="shared" si="6"/>
        <v>0</v>
      </c>
      <c r="AH16" s="33">
        <f t="shared" si="2"/>
        <v>0</v>
      </c>
      <c r="AI16" s="33">
        <f t="shared" si="7"/>
        <v>219412.995</v>
      </c>
      <c r="AJ16" s="33"/>
      <c r="AK16" s="191"/>
      <c r="AL16" s="191"/>
      <c r="AM16" s="191">
        <v>0</v>
      </c>
    </row>
    <row r="17" spans="1:39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Mar 2026'!$A$8:$F$206,6,FALSE)</f>
        <v>Chq Bk</v>
      </c>
      <c r="H17" s="211"/>
      <c r="I17" s="211"/>
      <c r="J17" s="211">
        <v>0</v>
      </c>
      <c r="K17" s="211">
        <v>0</v>
      </c>
      <c r="L17" s="211">
        <v>0</v>
      </c>
      <c r="M17" s="211">
        <v>57690.54</v>
      </c>
      <c r="N17" s="211">
        <v>889.963333333332</v>
      </c>
      <c r="O17" s="211">
        <v>36490.83666666667</v>
      </c>
      <c r="P17" s="211">
        <v>49514</v>
      </c>
      <c r="Q17" s="211">
        <v>0</v>
      </c>
      <c r="R17" s="211">
        <v>0</v>
      </c>
      <c r="S17" s="191">
        <v>0</v>
      </c>
      <c r="T17" s="191">
        <v>0</v>
      </c>
      <c r="U17" s="212">
        <f t="shared" si="0"/>
        <v>144585.34</v>
      </c>
      <c r="W17" s="33">
        <f t="shared" si="3"/>
        <v>0</v>
      </c>
      <c r="X17" s="33">
        <f t="shared" si="4"/>
        <v>144585.34</v>
      </c>
      <c r="Y17" s="33">
        <f t="shared" si="5"/>
        <v>0</v>
      </c>
      <c r="Z17" s="33">
        <f t="shared" si="5"/>
        <v>0</v>
      </c>
      <c r="AA17" s="33">
        <f t="shared" si="5"/>
        <v>0</v>
      </c>
      <c r="AB17" s="33">
        <f t="shared" si="5"/>
        <v>0</v>
      </c>
      <c r="AC17" s="33">
        <f t="shared" si="5"/>
        <v>0</v>
      </c>
      <c r="AD17" s="33">
        <f t="shared" si="5"/>
        <v>0</v>
      </c>
      <c r="AE17" s="33">
        <f t="shared" si="5"/>
        <v>0</v>
      </c>
      <c r="AF17" s="58">
        <f t="shared" si="6"/>
        <v>0</v>
      </c>
      <c r="AH17" s="33">
        <f t="shared" si="2"/>
        <v>0</v>
      </c>
      <c r="AI17" s="33">
        <f t="shared" si="7"/>
        <v>144585.34</v>
      </c>
      <c r="AJ17" s="33"/>
      <c r="AK17" s="191"/>
      <c r="AL17" s="191"/>
      <c r="AM17" s="191">
        <v>0</v>
      </c>
    </row>
    <row r="18" spans="1:39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Mar 2026'!$A$8:$F$206,6,FALSE)</f>
        <v>Chq Bk</v>
      </c>
      <c r="H18" s="211"/>
      <c r="I18" s="211"/>
      <c r="J18" s="211">
        <v>0</v>
      </c>
      <c r="K18" s="211">
        <v>0</v>
      </c>
      <c r="L18" s="211">
        <v>0</v>
      </c>
      <c r="M18" s="211">
        <v>40979.31</v>
      </c>
      <c r="N18" s="211">
        <v>736.87999999999874</v>
      </c>
      <c r="O18" s="211">
        <v>30312.333333333336</v>
      </c>
      <c r="P18" s="211">
        <v>47700</v>
      </c>
      <c r="Q18" s="211">
        <v>0</v>
      </c>
      <c r="R18" s="211">
        <v>0</v>
      </c>
      <c r="S18" s="191">
        <v>23457.65625</v>
      </c>
      <c r="T18" s="191">
        <v>16755.46875</v>
      </c>
      <c r="U18" s="212">
        <f t="shared" si="0"/>
        <v>159941.64833333332</v>
      </c>
      <c r="W18" s="33">
        <f t="shared" si="3"/>
        <v>40213.125</v>
      </c>
      <c r="X18" s="33">
        <f t="shared" si="4"/>
        <v>119728.52333333333</v>
      </c>
      <c r="Y18" s="33">
        <f t="shared" ref="Y18:AE27" si="8">SUMIF($H$3:$S$3,Y$6,$H18:$S18)</f>
        <v>0</v>
      </c>
      <c r="Z18" s="33">
        <f t="shared" si="8"/>
        <v>0</v>
      </c>
      <c r="AA18" s="33">
        <f t="shared" si="8"/>
        <v>0</v>
      </c>
      <c r="AB18" s="33">
        <f t="shared" si="8"/>
        <v>0</v>
      </c>
      <c r="AC18" s="33">
        <f t="shared" si="8"/>
        <v>0</v>
      </c>
      <c r="AD18" s="33">
        <f t="shared" si="8"/>
        <v>0</v>
      </c>
      <c r="AE18" s="33">
        <f t="shared" si="8"/>
        <v>0</v>
      </c>
      <c r="AF18" s="58">
        <f t="shared" si="6"/>
        <v>0</v>
      </c>
      <c r="AH18" s="33">
        <f t="shared" si="2"/>
        <v>40213.125</v>
      </c>
      <c r="AI18" s="33">
        <f t="shared" si="7"/>
        <v>119728.52333333333</v>
      </c>
      <c r="AJ18" s="33"/>
      <c r="AK18" s="191"/>
      <c r="AL18" s="191"/>
      <c r="AM18" s="191">
        <v>0</v>
      </c>
    </row>
    <row r="19" spans="1:39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Mar 2026'!$A$8:$F$206,6,FALSE)</f>
        <v>Chq Bk</v>
      </c>
      <c r="H19" s="211"/>
      <c r="I19" s="211"/>
      <c r="J19" s="211">
        <v>0</v>
      </c>
      <c r="K19" s="211">
        <v>0</v>
      </c>
      <c r="L19" s="211">
        <v>0</v>
      </c>
      <c r="M19" s="211">
        <v>26660.880000000001</v>
      </c>
      <c r="N19" s="211">
        <v>431.67666666666628</v>
      </c>
      <c r="O19" s="211">
        <v>45658.833333333336</v>
      </c>
      <c r="P19" s="211">
        <v>36577.166666666672</v>
      </c>
      <c r="Q19" s="211">
        <v>0</v>
      </c>
      <c r="R19" s="211">
        <v>0</v>
      </c>
      <c r="S19" s="191">
        <v>0</v>
      </c>
      <c r="T19" s="191">
        <v>0</v>
      </c>
      <c r="U19" s="212">
        <f t="shared" si="0"/>
        <v>109328.55666666667</v>
      </c>
      <c r="W19" s="33">
        <f t="shared" si="3"/>
        <v>0</v>
      </c>
      <c r="X19" s="33">
        <f t="shared" si="4"/>
        <v>109328.55666666667</v>
      </c>
      <c r="Y19" s="33">
        <f t="shared" si="8"/>
        <v>0</v>
      </c>
      <c r="Z19" s="33">
        <f t="shared" si="8"/>
        <v>0</v>
      </c>
      <c r="AA19" s="33">
        <f t="shared" si="8"/>
        <v>0</v>
      </c>
      <c r="AB19" s="33">
        <f t="shared" si="8"/>
        <v>0</v>
      </c>
      <c r="AC19" s="33">
        <f t="shared" si="8"/>
        <v>0</v>
      </c>
      <c r="AD19" s="33">
        <f t="shared" si="8"/>
        <v>0</v>
      </c>
      <c r="AE19" s="33">
        <f t="shared" si="8"/>
        <v>0</v>
      </c>
      <c r="AF19" s="58">
        <f t="shared" si="6"/>
        <v>0</v>
      </c>
      <c r="AH19" s="33">
        <f t="shared" si="2"/>
        <v>0</v>
      </c>
      <c r="AI19" s="33">
        <f t="shared" si="7"/>
        <v>109328.55666666667</v>
      </c>
      <c r="AJ19" s="33"/>
      <c r="AK19" s="191"/>
      <c r="AL19" s="191"/>
      <c r="AM19" s="191">
        <v>0</v>
      </c>
    </row>
    <row r="20" spans="1:39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Mar 2026'!$A$8:$F$206,6,FALSE)</f>
        <v>Chq Bk</v>
      </c>
      <c r="H20" s="211"/>
      <c r="I20" s="211"/>
      <c r="J20" s="211">
        <v>0</v>
      </c>
      <c r="K20" s="211">
        <v>0</v>
      </c>
      <c r="L20" s="211">
        <v>0</v>
      </c>
      <c r="M20" s="211">
        <v>45802.03</v>
      </c>
      <c r="N20" s="211">
        <v>568.80666666666605</v>
      </c>
      <c r="O20" s="211">
        <v>34972.333333333328</v>
      </c>
      <c r="P20" s="211">
        <v>48909.333333333328</v>
      </c>
      <c r="Q20" s="211">
        <v>0</v>
      </c>
      <c r="R20" s="211">
        <v>0</v>
      </c>
      <c r="S20" s="191">
        <v>0</v>
      </c>
      <c r="T20" s="191">
        <v>0</v>
      </c>
      <c r="U20" s="212">
        <f t="shared" si="0"/>
        <v>130252.50333333331</v>
      </c>
      <c r="W20" s="33">
        <f>SUMIF($H$3:$T$3,W$6,$H20:$T20)+AK20+AL20</f>
        <v>31599.691666666673</v>
      </c>
      <c r="X20" s="33">
        <f t="shared" si="4"/>
        <v>130252.50333333331</v>
      </c>
      <c r="Y20" s="33">
        <f t="shared" si="8"/>
        <v>0</v>
      </c>
      <c r="Z20" s="33">
        <f t="shared" si="8"/>
        <v>0</v>
      </c>
      <c r="AA20" s="33">
        <f t="shared" si="8"/>
        <v>0</v>
      </c>
      <c r="AB20" s="33">
        <f t="shared" si="8"/>
        <v>0</v>
      </c>
      <c r="AC20" s="33">
        <f t="shared" si="8"/>
        <v>0</v>
      </c>
      <c r="AD20" s="33">
        <f t="shared" si="8"/>
        <v>0</v>
      </c>
      <c r="AE20" s="33">
        <f t="shared" si="8"/>
        <v>0</v>
      </c>
      <c r="AF20" s="58">
        <f>SUM(W20:AE20)-U20-AL20</f>
        <v>0</v>
      </c>
      <c r="AH20" s="33">
        <f t="shared" si="2"/>
        <v>31599.691666666673</v>
      </c>
      <c r="AI20" s="33">
        <f t="shared" si="7"/>
        <v>130252.50333333331</v>
      </c>
      <c r="AJ20" s="33"/>
      <c r="AK20" s="191"/>
      <c r="AL20" s="191">
        <v>31599.691666666673</v>
      </c>
      <c r="AM20" s="191">
        <v>0</v>
      </c>
    </row>
    <row r="21" spans="1:39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Mar 2026'!$A$8:$F$206,6,FALSE)</f>
        <v>Chq Bk</v>
      </c>
      <c r="H21" s="211"/>
      <c r="I21" s="211"/>
      <c r="J21" s="211">
        <v>0</v>
      </c>
      <c r="K21" s="211">
        <v>0</v>
      </c>
      <c r="L21" s="211">
        <v>0</v>
      </c>
      <c r="M21" s="211">
        <v>38300.959999999999</v>
      </c>
      <c r="N21" s="211">
        <v>447.45979999999918</v>
      </c>
      <c r="O21" s="211">
        <v>0</v>
      </c>
      <c r="P21" s="211">
        <v>0</v>
      </c>
      <c r="Q21" s="211">
        <v>0</v>
      </c>
      <c r="R21" s="211">
        <v>0</v>
      </c>
      <c r="S21" s="191">
        <v>0</v>
      </c>
      <c r="T21" s="191">
        <v>0</v>
      </c>
      <c r="U21" s="212">
        <f t="shared" si="0"/>
        <v>38748.419799999996</v>
      </c>
      <c r="W21" s="33">
        <f t="shared" si="3"/>
        <v>0</v>
      </c>
      <c r="X21" s="33">
        <f t="shared" si="4"/>
        <v>38748.419799999996</v>
      </c>
      <c r="Y21" s="33">
        <f t="shared" si="8"/>
        <v>0</v>
      </c>
      <c r="Z21" s="33">
        <f t="shared" si="8"/>
        <v>0</v>
      </c>
      <c r="AA21" s="33">
        <f t="shared" si="8"/>
        <v>0</v>
      </c>
      <c r="AB21" s="33">
        <f t="shared" si="8"/>
        <v>0</v>
      </c>
      <c r="AC21" s="33">
        <f t="shared" si="8"/>
        <v>0</v>
      </c>
      <c r="AD21" s="33">
        <f t="shared" si="8"/>
        <v>0</v>
      </c>
      <c r="AE21" s="33">
        <f t="shared" si="8"/>
        <v>0</v>
      </c>
      <c r="AF21" s="58">
        <f t="shared" si="6"/>
        <v>0</v>
      </c>
      <c r="AH21" s="33">
        <f t="shared" si="2"/>
        <v>0</v>
      </c>
      <c r="AI21" s="33">
        <f t="shared" si="7"/>
        <v>38748.419799999996</v>
      </c>
      <c r="AJ21" s="33"/>
      <c r="AK21" s="191"/>
      <c r="AL21" s="191"/>
      <c r="AM21" s="191">
        <v>0</v>
      </c>
    </row>
    <row r="22" spans="1:39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Mar 2026'!$A$8:$F$206,6,FALSE)</f>
        <v>Chq Bk</v>
      </c>
      <c r="H22" s="211"/>
      <c r="I22" s="211"/>
      <c r="J22" s="211">
        <v>0</v>
      </c>
      <c r="K22" s="211">
        <v>0</v>
      </c>
      <c r="L22" s="211">
        <v>0</v>
      </c>
      <c r="M22" s="211">
        <v>38235.199999999997</v>
      </c>
      <c r="N22" s="211">
        <v>571.19666666666581</v>
      </c>
      <c r="O22" s="211">
        <v>6393.3166666666675</v>
      </c>
      <c r="P22" s="211">
        <v>25676.67</v>
      </c>
      <c r="Q22" s="211">
        <v>0</v>
      </c>
      <c r="R22" s="211">
        <v>0</v>
      </c>
      <c r="S22" s="191">
        <v>0</v>
      </c>
      <c r="T22" s="191">
        <v>0</v>
      </c>
      <c r="U22" s="212">
        <f t="shared" si="0"/>
        <v>70876.383333333331</v>
      </c>
      <c r="W22" s="33">
        <f t="shared" si="3"/>
        <v>0</v>
      </c>
      <c r="X22" s="33">
        <f t="shared" si="4"/>
        <v>70876.383333333331</v>
      </c>
      <c r="Y22" s="33">
        <f t="shared" si="8"/>
        <v>0</v>
      </c>
      <c r="Z22" s="33">
        <f t="shared" si="8"/>
        <v>0</v>
      </c>
      <c r="AA22" s="33">
        <f t="shared" si="8"/>
        <v>0</v>
      </c>
      <c r="AB22" s="33">
        <f t="shared" si="8"/>
        <v>0</v>
      </c>
      <c r="AC22" s="33">
        <f t="shared" si="8"/>
        <v>0</v>
      </c>
      <c r="AD22" s="33">
        <f t="shared" si="8"/>
        <v>0</v>
      </c>
      <c r="AE22" s="33">
        <f t="shared" si="8"/>
        <v>0</v>
      </c>
      <c r="AF22" s="58">
        <f t="shared" si="6"/>
        <v>0</v>
      </c>
      <c r="AH22" s="33">
        <f t="shared" si="2"/>
        <v>0</v>
      </c>
      <c r="AI22" s="33">
        <f t="shared" si="7"/>
        <v>70876.383333333331</v>
      </c>
      <c r="AJ22" s="33"/>
      <c r="AK22" s="191"/>
      <c r="AL22" s="191"/>
      <c r="AM22" s="191">
        <v>0</v>
      </c>
    </row>
    <row r="23" spans="1:39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Mar 2026'!$A$8:$F$206,6,FALSE)</f>
        <v>Chq Bk</v>
      </c>
      <c r="H23" s="211"/>
      <c r="I23" s="211"/>
      <c r="J23" s="211">
        <v>0</v>
      </c>
      <c r="K23" s="211">
        <v>0</v>
      </c>
      <c r="L23" s="211">
        <v>0</v>
      </c>
      <c r="M23" s="211">
        <v>42728.27</v>
      </c>
      <c r="N23" s="211">
        <v>793.59666666666544</v>
      </c>
      <c r="O23" s="211">
        <v>35751</v>
      </c>
      <c r="P23" s="211">
        <v>46954.333333333336</v>
      </c>
      <c r="Q23" s="211">
        <v>0</v>
      </c>
      <c r="R23" s="211">
        <v>0</v>
      </c>
      <c r="S23" s="191">
        <v>0</v>
      </c>
      <c r="T23" s="191">
        <v>0</v>
      </c>
      <c r="U23" s="212">
        <f t="shared" si="0"/>
        <v>126227.20000000001</v>
      </c>
      <c r="W23" s="33">
        <f t="shared" si="3"/>
        <v>0</v>
      </c>
      <c r="X23" s="33">
        <f t="shared" si="4"/>
        <v>126227.20000000001</v>
      </c>
      <c r="Y23" s="33">
        <f t="shared" si="8"/>
        <v>0</v>
      </c>
      <c r="Z23" s="33">
        <f t="shared" si="8"/>
        <v>0</v>
      </c>
      <c r="AA23" s="33">
        <f t="shared" si="8"/>
        <v>0</v>
      </c>
      <c r="AB23" s="33">
        <f t="shared" si="8"/>
        <v>0</v>
      </c>
      <c r="AC23" s="33">
        <f t="shared" si="8"/>
        <v>0</v>
      </c>
      <c r="AD23" s="33">
        <f t="shared" si="8"/>
        <v>0</v>
      </c>
      <c r="AE23" s="33">
        <f t="shared" si="8"/>
        <v>0</v>
      </c>
      <c r="AF23" s="58">
        <f t="shared" si="6"/>
        <v>0</v>
      </c>
      <c r="AH23" s="33">
        <f t="shared" si="2"/>
        <v>0</v>
      </c>
      <c r="AI23" s="33">
        <f t="shared" si="7"/>
        <v>126227.20000000001</v>
      </c>
      <c r="AJ23" s="33"/>
      <c r="AK23" s="191"/>
      <c r="AL23" s="191"/>
      <c r="AM23" s="191">
        <v>0</v>
      </c>
    </row>
    <row r="24" spans="1:39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Mar 2026'!$A$8:$F$206,6,FALSE)</f>
        <v>Chq Bk</v>
      </c>
      <c r="H24" s="211"/>
      <c r="I24" s="211"/>
      <c r="J24" s="211">
        <v>0</v>
      </c>
      <c r="K24" s="211">
        <v>0</v>
      </c>
      <c r="L24" s="211">
        <v>0</v>
      </c>
      <c r="M24" s="211">
        <v>30526.27</v>
      </c>
      <c r="N24" s="211">
        <v>413.12666666666604</v>
      </c>
      <c r="O24" s="211">
        <v>29756.666666666668</v>
      </c>
      <c r="P24" s="211">
        <v>37863.833333333328</v>
      </c>
      <c r="Q24" s="211">
        <v>0</v>
      </c>
      <c r="R24" s="211">
        <v>0</v>
      </c>
      <c r="S24" s="191">
        <v>0</v>
      </c>
      <c r="T24" s="191">
        <v>0</v>
      </c>
      <c r="U24" s="212">
        <f t="shared" si="0"/>
        <v>98559.896666666667</v>
      </c>
      <c r="W24" s="33">
        <f t="shared" si="3"/>
        <v>0</v>
      </c>
      <c r="X24" s="33">
        <f t="shared" si="4"/>
        <v>98559.896666666667</v>
      </c>
      <c r="Y24" s="33">
        <f t="shared" si="8"/>
        <v>0</v>
      </c>
      <c r="Z24" s="33">
        <f t="shared" si="8"/>
        <v>0</v>
      </c>
      <c r="AA24" s="33">
        <f t="shared" si="8"/>
        <v>0</v>
      </c>
      <c r="AB24" s="33">
        <f t="shared" si="8"/>
        <v>0</v>
      </c>
      <c r="AC24" s="33">
        <f t="shared" si="8"/>
        <v>0</v>
      </c>
      <c r="AD24" s="33">
        <f t="shared" si="8"/>
        <v>0</v>
      </c>
      <c r="AE24" s="33">
        <f t="shared" si="8"/>
        <v>0</v>
      </c>
      <c r="AF24" s="58">
        <f t="shared" si="6"/>
        <v>0</v>
      </c>
      <c r="AH24" s="33">
        <f t="shared" si="2"/>
        <v>0</v>
      </c>
      <c r="AI24" s="33">
        <f t="shared" si="7"/>
        <v>98559.896666666667</v>
      </c>
      <c r="AJ24" s="33"/>
      <c r="AK24" s="191"/>
      <c r="AL24" s="191"/>
      <c r="AM24" s="191">
        <v>0</v>
      </c>
    </row>
    <row r="25" spans="1:39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Mar 2026'!$A$8:$F$206,6,FALSE)</f>
        <v>Chq Bk</v>
      </c>
      <c r="H25" s="211"/>
      <c r="I25" s="211"/>
      <c r="J25" s="211">
        <v>0</v>
      </c>
      <c r="K25" s="211">
        <v>0</v>
      </c>
      <c r="L25" s="211">
        <v>0</v>
      </c>
      <c r="M25" s="211">
        <v>28469.64</v>
      </c>
      <c r="N25" s="211">
        <v>492.51333333333241</v>
      </c>
      <c r="O25" s="211">
        <v>28774.339999999997</v>
      </c>
      <c r="P25" s="211">
        <v>44493</v>
      </c>
      <c r="Q25" s="211">
        <v>0</v>
      </c>
      <c r="R25" s="211">
        <v>0</v>
      </c>
      <c r="S25" s="191">
        <v>0</v>
      </c>
      <c r="T25" s="191">
        <v>0</v>
      </c>
      <c r="U25" s="212">
        <f t="shared" si="0"/>
        <v>102229.49333333333</v>
      </c>
      <c r="W25" s="33">
        <f t="shared" si="3"/>
        <v>0</v>
      </c>
      <c r="X25" s="33">
        <f t="shared" si="4"/>
        <v>102229.49333333333</v>
      </c>
      <c r="Y25" s="33">
        <f t="shared" si="8"/>
        <v>0</v>
      </c>
      <c r="Z25" s="33">
        <f t="shared" si="8"/>
        <v>0</v>
      </c>
      <c r="AA25" s="33">
        <f t="shared" si="8"/>
        <v>0</v>
      </c>
      <c r="AB25" s="33">
        <f t="shared" si="8"/>
        <v>0</v>
      </c>
      <c r="AC25" s="33">
        <f t="shared" si="8"/>
        <v>0</v>
      </c>
      <c r="AD25" s="33">
        <f t="shared" si="8"/>
        <v>0</v>
      </c>
      <c r="AE25" s="33">
        <f t="shared" si="8"/>
        <v>0</v>
      </c>
      <c r="AF25" s="58">
        <f t="shared" si="6"/>
        <v>0</v>
      </c>
      <c r="AH25" s="33">
        <f t="shared" si="2"/>
        <v>0</v>
      </c>
      <c r="AI25" s="33">
        <f t="shared" si="7"/>
        <v>102229.49333333333</v>
      </c>
      <c r="AJ25" s="33"/>
      <c r="AK25" s="191"/>
      <c r="AL25" s="191"/>
      <c r="AM25" s="191">
        <v>0</v>
      </c>
    </row>
    <row r="26" spans="1:39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Mar 2026'!$A$8:$F$206,6,FALSE)</f>
        <v>Chq Bk</v>
      </c>
      <c r="H26" s="211"/>
      <c r="I26" s="211"/>
      <c r="J26" s="211">
        <v>0</v>
      </c>
      <c r="K26" s="211">
        <v>0</v>
      </c>
      <c r="L26" s="211">
        <v>0</v>
      </c>
      <c r="M26" s="211">
        <v>34002.97</v>
      </c>
      <c r="N26" s="211">
        <v>616.46666666666533</v>
      </c>
      <c r="O26" s="211">
        <v>38212.003333333334</v>
      </c>
      <c r="P26" s="211">
        <v>57637.666666666664</v>
      </c>
      <c r="Q26" s="211">
        <v>0</v>
      </c>
      <c r="R26" s="211">
        <v>0</v>
      </c>
      <c r="S26" s="191">
        <v>0</v>
      </c>
      <c r="T26" s="191">
        <v>0</v>
      </c>
      <c r="U26" s="212">
        <f t="shared" si="0"/>
        <v>130469.10666666666</v>
      </c>
      <c r="W26" s="33">
        <f t="shared" si="3"/>
        <v>0</v>
      </c>
      <c r="X26" s="33">
        <f t="shared" si="4"/>
        <v>130469.10666666666</v>
      </c>
      <c r="Y26" s="33">
        <f t="shared" si="8"/>
        <v>0</v>
      </c>
      <c r="Z26" s="33">
        <f t="shared" si="8"/>
        <v>0</v>
      </c>
      <c r="AA26" s="33">
        <f t="shared" si="8"/>
        <v>0</v>
      </c>
      <c r="AB26" s="33">
        <f t="shared" si="8"/>
        <v>0</v>
      </c>
      <c r="AC26" s="33">
        <f t="shared" si="8"/>
        <v>0</v>
      </c>
      <c r="AD26" s="33">
        <f t="shared" si="8"/>
        <v>0</v>
      </c>
      <c r="AE26" s="33">
        <f t="shared" si="8"/>
        <v>0</v>
      </c>
      <c r="AF26" s="58">
        <f t="shared" si="6"/>
        <v>0</v>
      </c>
      <c r="AH26" s="33">
        <f t="shared" si="2"/>
        <v>0</v>
      </c>
      <c r="AI26" s="33">
        <f t="shared" si="7"/>
        <v>130469.10666666666</v>
      </c>
      <c r="AJ26" s="33"/>
      <c r="AK26" s="191"/>
      <c r="AL26" s="191"/>
      <c r="AM26" s="191">
        <v>0</v>
      </c>
    </row>
    <row r="27" spans="1:39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Mar 2026'!$A$8:$F$206,6,FALSE)</f>
        <v>Chq Bk</v>
      </c>
      <c r="H27" s="211"/>
      <c r="I27" s="211"/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211">
        <v>0</v>
      </c>
      <c r="Q27" s="211">
        <v>0</v>
      </c>
      <c r="R27" s="211">
        <v>0</v>
      </c>
      <c r="S27" s="191">
        <v>0</v>
      </c>
      <c r="T27" s="191">
        <v>0</v>
      </c>
      <c r="U27" s="212">
        <f t="shared" si="0"/>
        <v>0</v>
      </c>
      <c r="W27" s="33">
        <f t="shared" si="3"/>
        <v>0</v>
      </c>
      <c r="X27" s="33">
        <f t="shared" si="4"/>
        <v>0</v>
      </c>
      <c r="Y27" s="33">
        <f t="shared" si="8"/>
        <v>0</v>
      </c>
      <c r="Z27" s="33">
        <f t="shared" si="8"/>
        <v>0</v>
      </c>
      <c r="AA27" s="33">
        <f t="shared" si="8"/>
        <v>0</v>
      </c>
      <c r="AB27" s="33">
        <f t="shared" si="8"/>
        <v>0</v>
      </c>
      <c r="AC27" s="33">
        <f t="shared" si="8"/>
        <v>0</v>
      </c>
      <c r="AD27" s="33">
        <f t="shared" si="8"/>
        <v>0</v>
      </c>
      <c r="AE27" s="33">
        <f t="shared" si="8"/>
        <v>0</v>
      </c>
      <c r="AF27" s="58">
        <f t="shared" si="6"/>
        <v>0</v>
      </c>
      <c r="AH27" s="33">
        <f t="shared" si="2"/>
        <v>0</v>
      </c>
      <c r="AI27" s="33">
        <f t="shared" si="7"/>
        <v>0</v>
      </c>
      <c r="AJ27" s="33"/>
      <c r="AK27" s="191"/>
      <c r="AL27" s="191"/>
      <c r="AM27" s="191">
        <v>0</v>
      </c>
    </row>
    <row r="28" spans="1:39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Mar 2026'!$A$8:$F$206,6,FALSE)</f>
        <v>Chq Bk</v>
      </c>
      <c r="H28" s="211"/>
      <c r="I28" s="211"/>
      <c r="J28" s="211">
        <v>0</v>
      </c>
      <c r="K28" s="211">
        <v>0</v>
      </c>
      <c r="L28" s="211">
        <v>0</v>
      </c>
      <c r="M28" s="211">
        <v>17543.63</v>
      </c>
      <c r="N28" s="211">
        <v>154.80333333333328</v>
      </c>
      <c r="O28" s="211">
        <v>0</v>
      </c>
      <c r="P28" s="211">
        <v>0</v>
      </c>
      <c r="Q28" s="211">
        <v>0</v>
      </c>
      <c r="R28" s="211">
        <v>0</v>
      </c>
      <c r="S28" s="191">
        <v>0</v>
      </c>
      <c r="T28" s="191">
        <v>0</v>
      </c>
      <c r="U28" s="212">
        <f t="shared" si="0"/>
        <v>17698.433333333334</v>
      </c>
      <c r="W28" s="33">
        <f t="shared" si="3"/>
        <v>0</v>
      </c>
      <c r="X28" s="33">
        <f t="shared" ref="X28:X47" si="9">SUMIF($H$3:$T$3,X$6,$H28:$T28)</f>
        <v>17698.433333333334</v>
      </c>
      <c r="Y28" s="33">
        <f t="shared" ref="Y28:AE37" si="10">SUMIF($H$3:$S$3,Y$6,$H28:$S28)</f>
        <v>0</v>
      </c>
      <c r="Z28" s="33">
        <f t="shared" si="10"/>
        <v>0</v>
      </c>
      <c r="AA28" s="33">
        <f t="shared" si="10"/>
        <v>0</v>
      </c>
      <c r="AB28" s="33">
        <f t="shared" si="10"/>
        <v>0</v>
      </c>
      <c r="AC28" s="33">
        <f t="shared" si="10"/>
        <v>0</v>
      </c>
      <c r="AD28" s="33">
        <f t="shared" si="10"/>
        <v>0</v>
      </c>
      <c r="AE28" s="33">
        <f t="shared" si="10"/>
        <v>0</v>
      </c>
      <c r="AF28" s="58">
        <f t="shared" si="6"/>
        <v>0</v>
      </c>
      <c r="AH28" s="33">
        <f t="shared" si="2"/>
        <v>0</v>
      </c>
      <c r="AI28" s="33">
        <f t="shared" si="7"/>
        <v>17698.433333333334</v>
      </c>
      <c r="AJ28" s="33"/>
      <c r="AK28" s="191"/>
      <c r="AL28" s="191"/>
      <c r="AM28" s="191">
        <v>0</v>
      </c>
    </row>
    <row r="29" spans="1:39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Mar 2026'!$A$8:$F$206,6,FALSE)</f>
        <v>Academy</v>
      </c>
      <c r="H29" s="211"/>
      <c r="I29" s="211"/>
      <c r="J29" s="211">
        <v>0</v>
      </c>
      <c r="K29" s="211">
        <v>0</v>
      </c>
      <c r="L29" s="211"/>
      <c r="M29" s="211"/>
      <c r="N29" s="211"/>
      <c r="O29" s="211"/>
      <c r="P29" s="211"/>
      <c r="Q29" s="211">
        <v>0</v>
      </c>
      <c r="R29" s="211">
        <v>0</v>
      </c>
      <c r="S29" s="191">
        <v>42223.78125</v>
      </c>
      <c r="T29" s="191">
        <v>30159.84375</v>
      </c>
      <c r="U29" s="212">
        <f t="shared" si="0"/>
        <v>72383.625</v>
      </c>
      <c r="W29" s="33">
        <f t="shared" si="3"/>
        <v>72383.625</v>
      </c>
      <c r="X29" s="33">
        <f t="shared" si="9"/>
        <v>0</v>
      </c>
      <c r="Y29" s="33">
        <f t="shared" si="10"/>
        <v>0</v>
      </c>
      <c r="Z29" s="33">
        <f t="shared" si="10"/>
        <v>0</v>
      </c>
      <c r="AA29" s="33">
        <f t="shared" si="10"/>
        <v>0</v>
      </c>
      <c r="AB29" s="33">
        <f t="shared" si="10"/>
        <v>0</v>
      </c>
      <c r="AC29" s="33">
        <f t="shared" si="10"/>
        <v>0</v>
      </c>
      <c r="AD29" s="33">
        <f t="shared" si="10"/>
        <v>0</v>
      </c>
      <c r="AE29" s="33">
        <f t="shared" si="10"/>
        <v>0</v>
      </c>
      <c r="AF29" s="58">
        <f t="shared" si="6"/>
        <v>0</v>
      </c>
      <c r="AH29" s="33">
        <f t="shared" si="2"/>
        <v>72383.625</v>
      </c>
      <c r="AI29" s="33">
        <f t="shared" si="7"/>
        <v>0</v>
      </c>
      <c r="AJ29" s="33"/>
      <c r="AK29" s="191"/>
      <c r="AL29" s="191"/>
      <c r="AM29" s="191">
        <v>0</v>
      </c>
    </row>
    <row r="30" spans="1:39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Mar 2026'!$A$8:$F$206,6,FALSE)</f>
        <v>Academy</v>
      </c>
      <c r="H30" s="211"/>
      <c r="I30" s="211"/>
      <c r="J30" s="211">
        <v>0</v>
      </c>
      <c r="K30" s="211">
        <v>0</v>
      </c>
      <c r="L30" s="211"/>
      <c r="M30" s="211"/>
      <c r="N30" s="211"/>
      <c r="O30" s="211"/>
      <c r="P30" s="211"/>
      <c r="Q30" s="211">
        <v>0</v>
      </c>
      <c r="R30" s="211">
        <v>0</v>
      </c>
      <c r="S30" s="191">
        <v>0</v>
      </c>
      <c r="T30" s="191">
        <v>0</v>
      </c>
      <c r="U30" s="212">
        <f t="shared" si="0"/>
        <v>0</v>
      </c>
      <c r="W30" s="33">
        <f t="shared" si="3"/>
        <v>0</v>
      </c>
      <c r="X30" s="33">
        <f t="shared" si="9"/>
        <v>0</v>
      </c>
      <c r="Y30" s="33">
        <f t="shared" si="10"/>
        <v>0</v>
      </c>
      <c r="Z30" s="33">
        <f t="shared" si="10"/>
        <v>0</v>
      </c>
      <c r="AA30" s="33">
        <f t="shared" si="10"/>
        <v>0</v>
      </c>
      <c r="AB30" s="33">
        <f t="shared" si="10"/>
        <v>0</v>
      </c>
      <c r="AC30" s="33">
        <f t="shared" si="10"/>
        <v>0</v>
      </c>
      <c r="AD30" s="33">
        <f t="shared" si="10"/>
        <v>0</v>
      </c>
      <c r="AE30" s="33">
        <f t="shared" si="10"/>
        <v>0</v>
      </c>
      <c r="AF30" s="58">
        <f t="shared" si="6"/>
        <v>0</v>
      </c>
      <c r="AH30" s="33">
        <f t="shared" si="2"/>
        <v>0</v>
      </c>
      <c r="AI30" s="33">
        <f t="shared" si="7"/>
        <v>0</v>
      </c>
      <c r="AJ30" s="33"/>
      <c r="AK30" s="191"/>
      <c r="AL30" s="191"/>
      <c r="AM30" s="191">
        <v>0</v>
      </c>
    </row>
    <row r="31" spans="1:39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Mar 2026'!$A$8:$F$206,6,FALSE)</f>
        <v>Chq Bk</v>
      </c>
      <c r="H31" s="211"/>
      <c r="I31" s="211"/>
      <c r="J31" s="211">
        <v>0</v>
      </c>
      <c r="K31" s="211">
        <v>0</v>
      </c>
      <c r="L31" s="211">
        <v>0</v>
      </c>
      <c r="M31" s="211">
        <v>43597.93</v>
      </c>
      <c r="N31" s="211">
        <v>838.6509999999987</v>
      </c>
      <c r="O31" s="211">
        <v>35605.990000000005</v>
      </c>
      <c r="P31" s="211">
        <v>60289.666666666664</v>
      </c>
      <c r="Q31" s="211">
        <v>0</v>
      </c>
      <c r="R31" s="211">
        <v>0</v>
      </c>
      <c r="S31" s="191">
        <v>0</v>
      </c>
      <c r="T31" s="191">
        <v>0</v>
      </c>
      <c r="U31" s="212">
        <f t="shared" si="0"/>
        <v>140332.23766666665</v>
      </c>
      <c r="W31" s="33">
        <f t="shared" si="3"/>
        <v>0</v>
      </c>
      <c r="X31" s="33">
        <f t="shared" si="9"/>
        <v>140332.23766666665</v>
      </c>
      <c r="Y31" s="33">
        <f t="shared" si="10"/>
        <v>0</v>
      </c>
      <c r="Z31" s="33">
        <f t="shared" si="10"/>
        <v>0</v>
      </c>
      <c r="AA31" s="33">
        <f t="shared" si="10"/>
        <v>0</v>
      </c>
      <c r="AB31" s="33">
        <f t="shared" si="10"/>
        <v>0</v>
      </c>
      <c r="AC31" s="33">
        <f t="shared" si="10"/>
        <v>0</v>
      </c>
      <c r="AD31" s="33">
        <f t="shared" si="10"/>
        <v>0</v>
      </c>
      <c r="AE31" s="33">
        <f t="shared" si="10"/>
        <v>0</v>
      </c>
      <c r="AF31" s="58">
        <f t="shared" si="6"/>
        <v>0</v>
      </c>
      <c r="AH31" s="33">
        <f t="shared" si="2"/>
        <v>0</v>
      </c>
      <c r="AI31" s="33">
        <f t="shared" si="7"/>
        <v>140332.23766666665</v>
      </c>
      <c r="AJ31" s="33"/>
      <c r="AK31" s="191"/>
      <c r="AL31" s="191"/>
      <c r="AM31" s="191">
        <v>0</v>
      </c>
    </row>
    <row r="32" spans="1:39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Mar 2026'!$A$8:$F$206,6,FALSE)</f>
        <v>Chq Bk</v>
      </c>
      <c r="H32" s="211"/>
      <c r="I32" s="211"/>
      <c r="J32" s="211">
        <v>0</v>
      </c>
      <c r="K32" s="211">
        <v>0</v>
      </c>
      <c r="L32" s="211">
        <v>0</v>
      </c>
      <c r="M32" s="211">
        <v>30833.88</v>
      </c>
      <c r="N32" s="211">
        <v>533.58666666666613</v>
      </c>
      <c r="O32" s="211">
        <v>35109.333333333336</v>
      </c>
      <c r="P32" s="211">
        <v>44806.666666666664</v>
      </c>
      <c r="Q32" s="211">
        <v>0</v>
      </c>
      <c r="R32" s="211">
        <v>31599.691666666673</v>
      </c>
      <c r="S32" s="191">
        <v>0</v>
      </c>
      <c r="T32" s="191">
        <v>0</v>
      </c>
      <c r="U32" s="212">
        <f t="shared" si="0"/>
        <v>142883.15833333335</v>
      </c>
      <c r="W32" s="33">
        <f t="shared" si="3"/>
        <v>31599.691666666673</v>
      </c>
      <c r="X32" s="33">
        <f t="shared" si="9"/>
        <v>111283.46666666667</v>
      </c>
      <c r="Y32" s="33">
        <f t="shared" si="10"/>
        <v>0</v>
      </c>
      <c r="Z32" s="33">
        <f t="shared" si="10"/>
        <v>0</v>
      </c>
      <c r="AA32" s="33">
        <f t="shared" si="10"/>
        <v>0</v>
      </c>
      <c r="AB32" s="33">
        <f t="shared" si="10"/>
        <v>0</v>
      </c>
      <c r="AC32" s="33">
        <f t="shared" si="10"/>
        <v>0</v>
      </c>
      <c r="AD32" s="33">
        <f t="shared" si="10"/>
        <v>0</v>
      </c>
      <c r="AE32" s="33">
        <f t="shared" si="10"/>
        <v>0</v>
      </c>
      <c r="AF32" s="58">
        <f t="shared" si="6"/>
        <v>0</v>
      </c>
      <c r="AH32" s="33">
        <f t="shared" si="2"/>
        <v>31599.691666666673</v>
      </c>
      <c r="AI32" s="33">
        <f t="shared" si="7"/>
        <v>111283.46666666667</v>
      </c>
      <c r="AJ32" s="33"/>
      <c r="AK32" s="191"/>
      <c r="AL32" s="191"/>
      <c r="AM32" s="191">
        <v>0</v>
      </c>
    </row>
    <row r="33" spans="1:39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Mar 2026'!$A$8:$F$206,6,FALSE)</f>
        <v>Chq Bk</v>
      </c>
      <c r="H33" s="211"/>
      <c r="I33" s="211"/>
      <c r="J33" s="211">
        <v>0</v>
      </c>
      <c r="K33" s="211">
        <v>0</v>
      </c>
      <c r="L33" s="211">
        <v>0</v>
      </c>
      <c r="M33" s="211">
        <v>42963.14</v>
      </c>
      <c r="N33" s="211">
        <v>643.44986666666591</v>
      </c>
      <c r="O33" s="211">
        <v>7048.333333333333</v>
      </c>
      <c r="P33" s="211">
        <v>16693.333333333332</v>
      </c>
      <c r="Q33" s="211">
        <v>0</v>
      </c>
      <c r="R33" s="211">
        <v>0</v>
      </c>
      <c r="S33" s="191">
        <v>0</v>
      </c>
      <c r="T33" s="191">
        <v>0</v>
      </c>
      <c r="U33" s="212">
        <f t="shared" si="0"/>
        <v>67348.256533333333</v>
      </c>
      <c r="W33" s="33">
        <f t="shared" si="3"/>
        <v>0</v>
      </c>
      <c r="X33" s="33">
        <f t="shared" si="9"/>
        <v>67348.256533333333</v>
      </c>
      <c r="Y33" s="33">
        <f t="shared" si="10"/>
        <v>0</v>
      </c>
      <c r="Z33" s="33">
        <f t="shared" si="10"/>
        <v>0</v>
      </c>
      <c r="AA33" s="33">
        <f t="shared" si="10"/>
        <v>0</v>
      </c>
      <c r="AB33" s="33">
        <f t="shared" si="10"/>
        <v>0</v>
      </c>
      <c r="AC33" s="33">
        <f t="shared" si="10"/>
        <v>0</v>
      </c>
      <c r="AD33" s="33">
        <f t="shared" si="10"/>
        <v>0</v>
      </c>
      <c r="AE33" s="33">
        <f t="shared" si="10"/>
        <v>0</v>
      </c>
      <c r="AF33" s="58">
        <f t="shared" si="6"/>
        <v>0</v>
      </c>
      <c r="AH33" s="33">
        <f t="shared" si="2"/>
        <v>0</v>
      </c>
      <c r="AI33" s="33">
        <f t="shared" si="7"/>
        <v>67348.256533333333</v>
      </c>
      <c r="AJ33" s="33"/>
      <c r="AK33" s="191"/>
      <c r="AL33" s="191"/>
      <c r="AM33" s="191">
        <v>0</v>
      </c>
    </row>
    <row r="34" spans="1:39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Mar 2026'!$A$8:$F$206,6,FALSE)</f>
        <v>Chq Bk</v>
      </c>
      <c r="H34" s="211"/>
      <c r="I34" s="211"/>
      <c r="J34" s="211">
        <v>0</v>
      </c>
      <c r="K34" s="211">
        <v>0</v>
      </c>
      <c r="L34" s="211">
        <v>0</v>
      </c>
      <c r="M34" s="211">
        <v>106960.42</v>
      </c>
      <c r="N34" s="211">
        <v>1705.2373333333317</v>
      </c>
      <c r="O34" s="211">
        <v>79783.376666666663</v>
      </c>
      <c r="P34" s="211">
        <v>90015.966666666674</v>
      </c>
      <c r="Q34" s="211">
        <v>0</v>
      </c>
      <c r="R34" s="211">
        <v>0</v>
      </c>
      <c r="S34" s="191">
        <v>0</v>
      </c>
      <c r="T34" s="191">
        <v>0</v>
      </c>
      <c r="U34" s="212">
        <f t="shared" si="0"/>
        <v>278465.00066666666</v>
      </c>
      <c r="W34" s="33">
        <f t="shared" si="3"/>
        <v>0</v>
      </c>
      <c r="X34" s="33">
        <f t="shared" si="9"/>
        <v>278465.00066666666</v>
      </c>
      <c r="Y34" s="33">
        <f t="shared" si="10"/>
        <v>0</v>
      </c>
      <c r="Z34" s="33">
        <f t="shared" si="10"/>
        <v>0</v>
      </c>
      <c r="AA34" s="33">
        <f t="shared" si="10"/>
        <v>0</v>
      </c>
      <c r="AB34" s="33">
        <f t="shared" si="10"/>
        <v>0</v>
      </c>
      <c r="AC34" s="33">
        <f t="shared" si="10"/>
        <v>0</v>
      </c>
      <c r="AD34" s="33">
        <f t="shared" si="10"/>
        <v>0</v>
      </c>
      <c r="AE34" s="33">
        <f t="shared" si="10"/>
        <v>0</v>
      </c>
      <c r="AF34" s="58">
        <f t="shared" si="6"/>
        <v>0</v>
      </c>
      <c r="AH34" s="33">
        <f t="shared" si="2"/>
        <v>0</v>
      </c>
      <c r="AI34" s="33">
        <f t="shared" si="7"/>
        <v>278465.00066666666</v>
      </c>
      <c r="AJ34" s="33"/>
      <c r="AK34" s="191"/>
      <c r="AL34" s="191"/>
      <c r="AM34" s="191">
        <v>0</v>
      </c>
    </row>
    <row r="35" spans="1:39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Mar 2026'!$A$8:$F$206,6,FALSE)</f>
        <v>Chq Bk</v>
      </c>
      <c r="H35" s="211"/>
      <c r="I35" s="211"/>
      <c r="J35" s="211">
        <v>67066</v>
      </c>
      <c r="K35" s="211">
        <v>0</v>
      </c>
      <c r="L35" s="211">
        <v>79800</v>
      </c>
      <c r="M35" s="211">
        <v>0</v>
      </c>
      <c r="N35" s="211">
        <v>0</v>
      </c>
      <c r="O35" s="211">
        <v>0</v>
      </c>
      <c r="P35" s="211">
        <v>0</v>
      </c>
      <c r="Q35" s="211">
        <v>0</v>
      </c>
      <c r="R35" s="211">
        <v>0</v>
      </c>
      <c r="S35" s="191">
        <v>0</v>
      </c>
      <c r="T35" s="191">
        <v>0</v>
      </c>
      <c r="U35" s="212">
        <f t="shared" si="0"/>
        <v>146866</v>
      </c>
      <c r="W35" s="33">
        <f t="shared" si="3"/>
        <v>0</v>
      </c>
      <c r="X35" s="33">
        <f t="shared" si="9"/>
        <v>146866</v>
      </c>
      <c r="Y35" s="33">
        <f t="shared" si="10"/>
        <v>0</v>
      </c>
      <c r="Z35" s="33">
        <f t="shared" si="10"/>
        <v>0</v>
      </c>
      <c r="AA35" s="33">
        <f t="shared" si="10"/>
        <v>0</v>
      </c>
      <c r="AB35" s="33">
        <f t="shared" si="10"/>
        <v>0</v>
      </c>
      <c r="AC35" s="33">
        <f t="shared" si="10"/>
        <v>0</v>
      </c>
      <c r="AD35" s="33">
        <f t="shared" si="10"/>
        <v>0</v>
      </c>
      <c r="AE35" s="33">
        <f t="shared" si="10"/>
        <v>0</v>
      </c>
      <c r="AF35" s="58">
        <f t="shared" si="6"/>
        <v>0</v>
      </c>
      <c r="AH35" s="33">
        <f t="shared" si="2"/>
        <v>0</v>
      </c>
      <c r="AI35" s="33">
        <f t="shared" si="7"/>
        <v>197266</v>
      </c>
      <c r="AJ35" s="33"/>
      <c r="AK35" s="191"/>
      <c r="AL35" s="191"/>
      <c r="AM35" s="191">
        <v>50400</v>
      </c>
    </row>
    <row r="36" spans="1:39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Mar 2026'!$A$8:$F$206,6,FALSE)</f>
        <v>Chq Bk</v>
      </c>
      <c r="H36" s="211"/>
      <c r="I36" s="211"/>
      <c r="J36" s="211">
        <v>0</v>
      </c>
      <c r="K36" s="211">
        <v>0</v>
      </c>
      <c r="L36" s="211">
        <v>0</v>
      </c>
      <c r="M36" s="211">
        <v>46147.73</v>
      </c>
      <c r="N36" s="211">
        <v>915.26666666666461</v>
      </c>
      <c r="O36" s="211">
        <v>44271.003333333327</v>
      </c>
      <c r="P36" s="211">
        <v>36518.66333333333</v>
      </c>
      <c r="Q36" s="211">
        <v>0</v>
      </c>
      <c r="R36" s="211">
        <v>0</v>
      </c>
      <c r="S36" s="191">
        <v>0</v>
      </c>
      <c r="T36" s="191">
        <v>0</v>
      </c>
      <c r="U36" s="212">
        <f t="shared" si="0"/>
        <v>127852.66333333333</v>
      </c>
      <c r="W36" s="33">
        <f t="shared" si="3"/>
        <v>0</v>
      </c>
      <c r="X36" s="33">
        <f t="shared" si="9"/>
        <v>127852.66333333333</v>
      </c>
      <c r="Y36" s="33">
        <f t="shared" si="10"/>
        <v>0</v>
      </c>
      <c r="Z36" s="33">
        <f t="shared" si="10"/>
        <v>0</v>
      </c>
      <c r="AA36" s="33">
        <f t="shared" si="10"/>
        <v>0</v>
      </c>
      <c r="AB36" s="33">
        <f t="shared" si="10"/>
        <v>0</v>
      </c>
      <c r="AC36" s="33">
        <f t="shared" si="10"/>
        <v>0</v>
      </c>
      <c r="AD36" s="33">
        <f t="shared" si="10"/>
        <v>0</v>
      </c>
      <c r="AE36" s="33">
        <f t="shared" si="10"/>
        <v>0</v>
      </c>
      <c r="AF36" s="58">
        <f t="shared" si="6"/>
        <v>0</v>
      </c>
      <c r="AH36" s="33">
        <f t="shared" si="2"/>
        <v>0</v>
      </c>
      <c r="AI36" s="33">
        <f t="shared" si="7"/>
        <v>127852.66333333333</v>
      </c>
      <c r="AJ36" s="33"/>
      <c r="AK36" s="191"/>
      <c r="AL36" s="191"/>
      <c r="AM36" s="191">
        <v>0</v>
      </c>
    </row>
    <row r="37" spans="1:39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Mar 2026'!$A$8:$F$206,6,FALSE)</f>
        <v>Chq Bk</v>
      </c>
      <c r="H37" s="211"/>
      <c r="I37" s="211"/>
      <c r="J37" s="211">
        <v>0</v>
      </c>
      <c r="K37" s="211">
        <v>0</v>
      </c>
      <c r="L37" s="211">
        <v>0</v>
      </c>
      <c r="M37" s="211">
        <v>45008.35</v>
      </c>
      <c r="N37" s="211">
        <v>455.30999999999949</v>
      </c>
      <c r="O37" s="211">
        <v>37719</v>
      </c>
      <c r="P37" s="211">
        <v>51476</v>
      </c>
      <c r="Q37" s="211">
        <v>0</v>
      </c>
      <c r="R37" s="211">
        <v>0</v>
      </c>
      <c r="S37" s="191">
        <v>0</v>
      </c>
      <c r="T37" s="191">
        <v>0</v>
      </c>
      <c r="U37" s="212">
        <f t="shared" si="0"/>
        <v>134658.66</v>
      </c>
      <c r="W37" s="33">
        <f t="shared" si="3"/>
        <v>0</v>
      </c>
      <c r="X37" s="33">
        <f t="shared" si="9"/>
        <v>134658.66</v>
      </c>
      <c r="Y37" s="33">
        <f t="shared" si="10"/>
        <v>0</v>
      </c>
      <c r="Z37" s="33">
        <f t="shared" si="10"/>
        <v>0</v>
      </c>
      <c r="AA37" s="33">
        <f t="shared" si="10"/>
        <v>0</v>
      </c>
      <c r="AB37" s="33">
        <f t="shared" si="10"/>
        <v>0</v>
      </c>
      <c r="AC37" s="33">
        <f t="shared" si="10"/>
        <v>0</v>
      </c>
      <c r="AD37" s="33">
        <f t="shared" si="10"/>
        <v>0</v>
      </c>
      <c r="AE37" s="33">
        <f t="shared" si="10"/>
        <v>0</v>
      </c>
      <c r="AF37" s="58">
        <f t="shared" si="6"/>
        <v>0</v>
      </c>
      <c r="AH37" s="33">
        <f t="shared" si="2"/>
        <v>0</v>
      </c>
      <c r="AI37" s="33">
        <f t="shared" si="7"/>
        <v>134658.66</v>
      </c>
      <c r="AJ37" s="33"/>
      <c r="AK37" s="191"/>
      <c r="AL37" s="191"/>
      <c r="AM37" s="191">
        <v>0</v>
      </c>
    </row>
    <row r="38" spans="1:39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Mar 2026'!$A$8:$F$206,6,FALSE)</f>
        <v>Chq Bk</v>
      </c>
      <c r="H38" s="211"/>
      <c r="I38" s="211"/>
      <c r="J38" s="211">
        <v>0</v>
      </c>
      <c r="K38" s="211">
        <v>0</v>
      </c>
      <c r="L38" s="211">
        <v>0</v>
      </c>
      <c r="M38" s="211">
        <v>22673.119999999999</v>
      </c>
      <c r="N38" s="211">
        <v>451.21666666666579</v>
      </c>
      <c r="O38" s="211">
        <v>23124.333333333336</v>
      </c>
      <c r="P38" s="211">
        <v>23124.333333333336</v>
      </c>
      <c r="Q38" s="211">
        <v>0</v>
      </c>
      <c r="R38" s="211">
        <v>0</v>
      </c>
      <c r="S38" s="191">
        <v>0</v>
      </c>
      <c r="T38" s="191">
        <v>0</v>
      </c>
      <c r="U38" s="212">
        <f t="shared" si="0"/>
        <v>69373.003333333327</v>
      </c>
      <c r="W38" s="33">
        <f t="shared" si="3"/>
        <v>0</v>
      </c>
      <c r="X38" s="33">
        <f t="shared" si="9"/>
        <v>69373.003333333327</v>
      </c>
      <c r="Y38" s="33">
        <f t="shared" ref="Y38:AE47" si="11">SUMIF($H$3:$S$3,Y$6,$H38:$S38)</f>
        <v>0</v>
      </c>
      <c r="Z38" s="33">
        <f t="shared" si="11"/>
        <v>0</v>
      </c>
      <c r="AA38" s="33">
        <f t="shared" si="11"/>
        <v>0</v>
      </c>
      <c r="AB38" s="33">
        <f t="shared" si="11"/>
        <v>0</v>
      </c>
      <c r="AC38" s="33">
        <f t="shared" si="11"/>
        <v>0</v>
      </c>
      <c r="AD38" s="33">
        <f t="shared" si="11"/>
        <v>0</v>
      </c>
      <c r="AE38" s="33">
        <f t="shared" si="11"/>
        <v>0</v>
      </c>
      <c r="AF38" s="58">
        <f t="shared" si="6"/>
        <v>0</v>
      </c>
      <c r="AH38" s="33">
        <f t="shared" si="2"/>
        <v>0</v>
      </c>
      <c r="AI38" s="33">
        <f t="shared" si="7"/>
        <v>69373.003333333327</v>
      </c>
      <c r="AJ38" s="33"/>
      <c r="AK38" s="191"/>
      <c r="AL38" s="191"/>
      <c r="AM38" s="191">
        <v>0</v>
      </c>
    </row>
    <row r="39" spans="1:39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Mar 2026'!$A$8:$F$206,6,FALSE)</f>
        <v>Chq Bk</v>
      </c>
      <c r="H39" s="211"/>
      <c r="I39" s="211"/>
      <c r="J39" s="211">
        <v>0</v>
      </c>
      <c r="K39" s="211">
        <v>0</v>
      </c>
      <c r="L39" s="211">
        <v>0</v>
      </c>
      <c r="M39" s="211">
        <v>36220.050000000003</v>
      </c>
      <c r="N39" s="211">
        <v>636.5033333333331</v>
      </c>
      <c r="O39" s="211">
        <v>21478.666666666664</v>
      </c>
      <c r="P39" s="211">
        <v>22830</v>
      </c>
      <c r="Q39" s="211">
        <v>0</v>
      </c>
      <c r="R39" s="211">
        <v>0</v>
      </c>
      <c r="S39" s="191">
        <v>0</v>
      </c>
      <c r="T39" s="191">
        <v>0</v>
      </c>
      <c r="U39" s="212">
        <f t="shared" ref="U39:U70" si="12">SUM(H39:T39)</f>
        <v>81165.22</v>
      </c>
      <c r="W39" s="33">
        <f t="shared" si="3"/>
        <v>0</v>
      </c>
      <c r="X39" s="33">
        <f t="shared" si="9"/>
        <v>81165.22</v>
      </c>
      <c r="Y39" s="33">
        <f t="shared" si="11"/>
        <v>0</v>
      </c>
      <c r="Z39" s="33">
        <f t="shared" si="11"/>
        <v>0</v>
      </c>
      <c r="AA39" s="33">
        <f t="shared" si="11"/>
        <v>0</v>
      </c>
      <c r="AB39" s="33">
        <f t="shared" si="11"/>
        <v>0</v>
      </c>
      <c r="AC39" s="33">
        <f t="shared" si="11"/>
        <v>0</v>
      </c>
      <c r="AD39" s="33">
        <f t="shared" si="11"/>
        <v>0</v>
      </c>
      <c r="AE39" s="33">
        <f t="shared" si="11"/>
        <v>0</v>
      </c>
      <c r="AF39" s="58">
        <f t="shared" si="6"/>
        <v>0</v>
      </c>
      <c r="AH39" s="33">
        <f t="shared" ref="AH39:AH70" si="13">SUMIFS($H39:$T39,$H$3:$T$3,AH$6,$H$1:$T$1,$AH$5)+AK39+AL39</f>
        <v>0</v>
      </c>
      <c r="AI39" s="33">
        <f t="shared" si="7"/>
        <v>81165.22</v>
      </c>
      <c r="AJ39" s="33"/>
      <c r="AK39" s="191"/>
      <c r="AL39" s="191"/>
      <c r="AM39" s="191">
        <v>0</v>
      </c>
    </row>
    <row r="40" spans="1:39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Mar 2026'!$A$8:$F$206,6,FALSE)</f>
        <v>Chq Bk</v>
      </c>
      <c r="H40" s="211"/>
      <c r="I40" s="211"/>
      <c r="J40" s="211">
        <v>0</v>
      </c>
      <c r="K40" s="211">
        <v>0</v>
      </c>
      <c r="L40" s="211">
        <v>0</v>
      </c>
      <c r="M40" s="211">
        <v>54948.46</v>
      </c>
      <c r="N40" s="211">
        <v>658.06333333333214</v>
      </c>
      <c r="O40" s="211">
        <v>15016</v>
      </c>
      <c r="P40" s="211">
        <v>20658</v>
      </c>
      <c r="Q40" s="211">
        <v>0</v>
      </c>
      <c r="R40" s="211">
        <v>0</v>
      </c>
      <c r="S40" s="191">
        <v>0</v>
      </c>
      <c r="T40" s="191">
        <v>0</v>
      </c>
      <c r="U40" s="212">
        <f t="shared" si="12"/>
        <v>91280.523333333331</v>
      </c>
      <c r="W40" s="33">
        <f t="shared" si="3"/>
        <v>0</v>
      </c>
      <c r="X40" s="33">
        <f t="shared" si="9"/>
        <v>91280.523333333331</v>
      </c>
      <c r="Y40" s="33">
        <f t="shared" si="11"/>
        <v>0</v>
      </c>
      <c r="Z40" s="33">
        <f t="shared" si="11"/>
        <v>0</v>
      </c>
      <c r="AA40" s="33">
        <f t="shared" si="11"/>
        <v>0</v>
      </c>
      <c r="AB40" s="33">
        <f t="shared" si="11"/>
        <v>0</v>
      </c>
      <c r="AC40" s="33">
        <f t="shared" si="11"/>
        <v>0</v>
      </c>
      <c r="AD40" s="33">
        <f t="shared" si="11"/>
        <v>0</v>
      </c>
      <c r="AE40" s="33">
        <f t="shared" si="11"/>
        <v>0</v>
      </c>
      <c r="AF40" s="58">
        <f t="shared" si="6"/>
        <v>0</v>
      </c>
      <c r="AH40" s="33">
        <f t="shared" si="13"/>
        <v>0</v>
      </c>
      <c r="AI40" s="33">
        <f t="shared" si="7"/>
        <v>91280.523333333331</v>
      </c>
      <c r="AJ40" s="33"/>
      <c r="AK40" s="191"/>
      <c r="AL40" s="191"/>
      <c r="AM40" s="191">
        <v>0</v>
      </c>
    </row>
    <row r="41" spans="1:39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Mar 2026'!$A$8:$F$206,6,FALSE)</f>
        <v>Chq Bk</v>
      </c>
      <c r="H41" s="211"/>
      <c r="I41" s="211"/>
      <c r="J41" s="211">
        <v>0</v>
      </c>
      <c r="K41" s="211">
        <v>0</v>
      </c>
      <c r="L41" s="211">
        <v>0</v>
      </c>
      <c r="M41" s="211">
        <v>116949.75999999999</v>
      </c>
      <c r="N41" s="211">
        <v>1901.5966666666627</v>
      </c>
      <c r="O41" s="211">
        <v>102944.68666666665</v>
      </c>
      <c r="P41" s="211">
        <v>146614.83333333334</v>
      </c>
      <c r="Q41" s="211">
        <v>0</v>
      </c>
      <c r="R41" s="211">
        <v>0</v>
      </c>
      <c r="S41" s="191">
        <v>0</v>
      </c>
      <c r="T41" s="191">
        <v>0</v>
      </c>
      <c r="U41" s="212">
        <f t="shared" si="12"/>
        <v>368410.87666666665</v>
      </c>
      <c r="W41" s="33">
        <f t="shared" si="3"/>
        <v>0</v>
      </c>
      <c r="X41" s="33">
        <f t="shared" si="9"/>
        <v>368410.87666666665</v>
      </c>
      <c r="Y41" s="33">
        <f t="shared" si="11"/>
        <v>0</v>
      </c>
      <c r="Z41" s="33">
        <f t="shared" si="11"/>
        <v>0</v>
      </c>
      <c r="AA41" s="33">
        <f t="shared" si="11"/>
        <v>0</v>
      </c>
      <c r="AB41" s="33">
        <f t="shared" si="11"/>
        <v>0</v>
      </c>
      <c r="AC41" s="33">
        <f t="shared" si="11"/>
        <v>0</v>
      </c>
      <c r="AD41" s="33">
        <f t="shared" si="11"/>
        <v>0</v>
      </c>
      <c r="AE41" s="33">
        <f t="shared" si="11"/>
        <v>0</v>
      </c>
      <c r="AF41" s="58">
        <f t="shared" si="6"/>
        <v>0</v>
      </c>
      <c r="AH41" s="33">
        <f t="shared" si="13"/>
        <v>0</v>
      </c>
      <c r="AI41" s="33">
        <f t="shared" si="7"/>
        <v>368410.87666666665</v>
      </c>
      <c r="AJ41" s="33"/>
      <c r="AK41" s="191"/>
      <c r="AL41" s="191"/>
      <c r="AM41" s="191">
        <v>0</v>
      </c>
    </row>
    <row r="42" spans="1:39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Mar 2026'!$A$8:$F$206,6,FALSE)</f>
        <v>Chq Bk</v>
      </c>
      <c r="H42" s="211"/>
      <c r="I42" s="211"/>
      <c r="J42" s="211">
        <v>0</v>
      </c>
      <c r="K42" s="211">
        <v>0</v>
      </c>
      <c r="L42" s="211">
        <v>0</v>
      </c>
      <c r="M42" s="211">
        <v>31718.63</v>
      </c>
      <c r="N42" s="211">
        <v>588.43333333333226</v>
      </c>
      <c r="O42" s="211">
        <v>59145.603333333333</v>
      </c>
      <c r="P42" s="211">
        <v>40119.666666666664</v>
      </c>
      <c r="Q42" s="211">
        <v>0</v>
      </c>
      <c r="R42" s="211">
        <v>0</v>
      </c>
      <c r="S42" s="191">
        <v>0</v>
      </c>
      <c r="T42" s="191">
        <v>0</v>
      </c>
      <c r="U42" s="212">
        <f t="shared" si="12"/>
        <v>131572.33333333331</v>
      </c>
      <c r="W42" s="33">
        <f t="shared" si="3"/>
        <v>0</v>
      </c>
      <c r="X42" s="33">
        <f t="shared" si="9"/>
        <v>131572.33333333331</v>
      </c>
      <c r="Y42" s="33">
        <f t="shared" si="11"/>
        <v>0</v>
      </c>
      <c r="Z42" s="33">
        <f t="shared" si="11"/>
        <v>0</v>
      </c>
      <c r="AA42" s="33">
        <f t="shared" si="11"/>
        <v>0</v>
      </c>
      <c r="AB42" s="33">
        <f t="shared" si="11"/>
        <v>0</v>
      </c>
      <c r="AC42" s="33">
        <f t="shared" si="11"/>
        <v>0</v>
      </c>
      <c r="AD42" s="33">
        <f t="shared" si="11"/>
        <v>0</v>
      </c>
      <c r="AE42" s="33">
        <f t="shared" si="11"/>
        <v>0</v>
      </c>
      <c r="AF42" s="58">
        <f t="shared" si="6"/>
        <v>0</v>
      </c>
      <c r="AH42" s="33">
        <f t="shared" si="13"/>
        <v>0</v>
      </c>
      <c r="AI42" s="33">
        <f t="shared" si="7"/>
        <v>131572.33333333331</v>
      </c>
      <c r="AJ42" s="33"/>
      <c r="AK42" s="191"/>
      <c r="AL42" s="191"/>
      <c r="AM42" s="191">
        <v>0</v>
      </c>
    </row>
    <row r="43" spans="1:39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Mar 2026'!$A$8:$F$206,6,FALSE)</f>
        <v>Chq Bk</v>
      </c>
      <c r="H43" s="211"/>
      <c r="I43" s="211"/>
      <c r="J43" s="211">
        <v>0</v>
      </c>
      <c r="K43" s="211">
        <v>0</v>
      </c>
      <c r="L43" s="211">
        <v>0</v>
      </c>
      <c r="M43" s="211">
        <v>47104.75</v>
      </c>
      <c r="N43" s="211">
        <v>871.6666666666647</v>
      </c>
      <c r="O43" s="211">
        <v>40720.339999999997</v>
      </c>
      <c r="P43" s="211">
        <v>60983.666666666664</v>
      </c>
      <c r="Q43" s="211">
        <v>0</v>
      </c>
      <c r="R43" s="211">
        <v>0</v>
      </c>
      <c r="S43" s="191">
        <v>0</v>
      </c>
      <c r="T43" s="191">
        <v>0</v>
      </c>
      <c r="U43" s="212">
        <f t="shared" si="12"/>
        <v>149680.42333333331</v>
      </c>
      <c r="W43" s="33">
        <f t="shared" si="3"/>
        <v>0</v>
      </c>
      <c r="X43" s="33">
        <f t="shared" si="9"/>
        <v>149680.42333333331</v>
      </c>
      <c r="Y43" s="33">
        <f t="shared" si="11"/>
        <v>0</v>
      </c>
      <c r="Z43" s="33">
        <f t="shared" si="11"/>
        <v>0</v>
      </c>
      <c r="AA43" s="33">
        <f t="shared" si="11"/>
        <v>0</v>
      </c>
      <c r="AB43" s="33">
        <f t="shared" si="11"/>
        <v>0</v>
      </c>
      <c r="AC43" s="33">
        <f t="shared" si="11"/>
        <v>0</v>
      </c>
      <c r="AD43" s="33">
        <f t="shared" si="11"/>
        <v>0</v>
      </c>
      <c r="AE43" s="33">
        <f t="shared" si="11"/>
        <v>0</v>
      </c>
      <c r="AF43" s="58">
        <f t="shared" si="6"/>
        <v>0</v>
      </c>
      <c r="AH43" s="33">
        <f t="shared" si="13"/>
        <v>0</v>
      </c>
      <c r="AI43" s="33">
        <f t="shared" si="7"/>
        <v>149680.42333333331</v>
      </c>
      <c r="AJ43" s="33"/>
      <c r="AK43" s="191"/>
      <c r="AL43" s="191"/>
      <c r="AM43" s="191">
        <v>0</v>
      </c>
    </row>
    <row r="44" spans="1:39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Mar 2026'!$A$8:$F$206,6,FALSE)</f>
        <v>Chq Bk</v>
      </c>
      <c r="H44" s="211"/>
      <c r="I44" s="211"/>
      <c r="J44" s="211">
        <v>0</v>
      </c>
      <c r="K44" s="211">
        <v>0</v>
      </c>
      <c r="L44" s="211">
        <v>0</v>
      </c>
      <c r="M44" s="211">
        <v>22039.71</v>
      </c>
      <c r="N44" s="211">
        <v>444.28999999999951</v>
      </c>
      <c r="O44" s="211">
        <v>42117.990000000005</v>
      </c>
      <c r="P44" s="211">
        <v>46018</v>
      </c>
      <c r="Q44" s="211">
        <v>0</v>
      </c>
      <c r="R44" s="211">
        <v>0</v>
      </c>
      <c r="S44" s="191">
        <v>0</v>
      </c>
      <c r="T44" s="191">
        <v>0</v>
      </c>
      <c r="U44" s="212">
        <f t="shared" si="12"/>
        <v>110619.99</v>
      </c>
      <c r="W44" s="33">
        <f t="shared" si="3"/>
        <v>0</v>
      </c>
      <c r="X44" s="33">
        <f t="shared" si="9"/>
        <v>110619.99</v>
      </c>
      <c r="Y44" s="33">
        <f t="shared" si="11"/>
        <v>0</v>
      </c>
      <c r="Z44" s="33">
        <f t="shared" si="11"/>
        <v>0</v>
      </c>
      <c r="AA44" s="33">
        <f t="shared" si="11"/>
        <v>0</v>
      </c>
      <c r="AB44" s="33">
        <f t="shared" si="11"/>
        <v>0</v>
      </c>
      <c r="AC44" s="33">
        <f t="shared" si="11"/>
        <v>0</v>
      </c>
      <c r="AD44" s="33">
        <f t="shared" si="11"/>
        <v>0</v>
      </c>
      <c r="AE44" s="33">
        <f t="shared" si="11"/>
        <v>0</v>
      </c>
      <c r="AF44" s="58">
        <f t="shared" si="6"/>
        <v>0</v>
      </c>
      <c r="AH44" s="33">
        <f t="shared" si="13"/>
        <v>0</v>
      </c>
      <c r="AI44" s="33">
        <f t="shared" si="7"/>
        <v>110619.99</v>
      </c>
      <c r="AJ44" s="33"/>
      <c r="AK44" s="191"/>
      <c r="AL44" s="191"/>
      <c r="AM44" s="191">
        <v>0</v>
      </c>
    </row>
    <row r="45" spans="1:39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Mar 2026'!$A$8:$F$206,6,FALSE)</f>
        <v>Chq Bk</v>
      </c>
      <c r="H45" s="211"/>
      <c r="I45" s="211"/>
      <c r="J45" s="211">
        <v>0</v>
      </c>
      <c r="K45" s="211">
        <v>0</v>
      </c>
      <c r="L45" s="211">
        <v>0</v>
      </c>
      <c r="M45" s="211">
        <v>86525.95</v>
      </c>
      <c r="N45" s="211">
        <v>1471.3299999999977</v>
      </c>
      <c r="O45" s="211">
        <v>74288.63</v>
      </c>
      <c r="P45" s="211">
        <v>93938.666666666672</v>
      </c>
      <c r="Q45" s="211">
        <v>0</v>
      </c>
      <c r="R45" s="211">
        <v>0</v>
      </c>
      <c r="S45" s="191">
        <v>0</v>
      </c>
      <c r="T45" s="191">
        <v>0</v>
      </c>
      <c r="U45" s="212">
        <f t="shared" si="12"/>
        <v>256224.57666666666</v>
      </c>
      <c r="W45" s="33">
        <f t="shared" si="3"/>
        <v>0</v>
      </c>
      <c r="X45" s="33">
        <f t="shared" si="9"/>
        <v>256224.57666666666</v>
      </c>
      <c r="Y45" s="33">
        <f t="shared" si="11"/>
        <v>0</v>
      </c>
      <c r="Z45" s="33">
        <f t="shared" si="11"/>
        <v>0</v>
      </c>
      <c r="AA45" s="33">
        <f t="shared" si="11"/>
        <v>0</v>
      </c>
      <c r="AB45" s="33">
        <f t="shared" si="11"/>
        <v>0</v>
      </c>
      <c r="AC45" s="33">
        <f t="shared" si="11"/>
        <v>0</v>
      </c>
      <c r="AD45" s="33">
        <f t="shared" si="11"/>
        <v>0</v>
      </c>
      <c r="AE45" s="33">
        <f t="shared" si="11"/>
        <v>0</v>
      </c>
      <c r="AF45" s="58">
        <f t="shared" si="6"/>
        <v>0</v>
      </c>
      <c r="AH45" s="33">
        <f t="shared" si="13"/>
        <v>0</v>
      </c>
      <c r="AI45" s="33">
        <f t="shared" si="7"/>
        <v>256224.57666666666</v>
      </c>
      <c r="AJ45" s="33"/>
      <c r="AK45" s="191"/>
      <c r="AL45" s="191"/>
      <c r="AM45" s="191">
        <v>0</v>
      </c>
    </row>
    <row r="46" spans="1:39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Mar 2026'!$A$8:$F$206,6,FALSE)</f>
        <v>Chq Bk</v>
      </c>
      <c r="H46" s="211"/>
      <c r="I46" s="211"/>
      <c r="J46" s="211">
        <v>0</v>
      </c>
      <c r="K46" s="211">
        <v>0</v>
      </c>
      <c r="L46" s="211">
        <v>0</v>
      </c>
      <c r="M46" s="211">
        <v>36570.239999999998</v>
      </c>
      <c r="N46" s="211">
        <v>723.75999999999885</v>
      </c>
      <c r="O46" s="211">
        <v>67157.33666666667</v>
      </c>
      <c r="P46" s="211">
        <v>80724</v>
      </c>
      <c r="Q46" s="211">
        <v>0</v>
      </c>
      <c r="R46" s="211">
        <v>0</v>
      </c>
      <c r="S46" s="191">
        <v>0</v>
      </c>
      <c r="T46" s="191">
        <v>0</v>
      </c>
      <c r="U46" s="212">
        <f t="shared" si="12"/>
        <v>185175.33666666667</v>
      </c>
      <c r="W46" s="33">
        <f t="shared" si="3"/>
        <v>0</v>
      </c>
      <c r="X46" s="33">
        <f t="shared" si="9"/>
        <v>185175.33666666667</v>
      </c>
      <c r="Y46" s="33">
        <f t="shared" si="11"/>
        <v>0</v>
      </c>
      <c r="Z46" s="33">
        <f t="shared" si="11"/>
        <v>0</v>
      </c>
      <c r="AA46" s="33">
        <f t="shared" si="11"/>
        <v>0</v>
      </c>
      <c r="AB46" s="33">
        <f t="shared" si="11"/>
        <v>0</v>
      </c>
      <c r="AC46" s="33">
        <f t="shared" si="11"/>
        <v>0</v>
      </c>
      <c r="AD46" s="33">
        <f t="shared" si="11"/>
        <v>0</v>
      </c>
      <c r="AE46" s="33">
        <f t="shared" si="11"/>
        <v>0</v>
      </c>
      <c r="AF46" s="58">
        <f t="shared" si="6"/>
        <v>0</v>
      </c>
      <c r="AH46" s="33">
        <f t="shared" si="13"/>
        <v>0</v>
      </c>
      <c r="AI46" s="33">
        <f t="shared" si="7"/>
        <v>185175.33666666667</v>
      </c>
      <c r="AJ46" s="33"/>
      <c r="AK46" s="191"/>
      <c r="AL46" s="191"/>
      <c r="AM46" s="191">
        <v>0</v>
      </c>
    </row>
    <row r="47" spans="1:39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Mar 2026'!$A$8:$F$206,6,FALSE)</f>
        <v>Chq Bk</v>
      </c>
      <c r="H47" s="211"/>
      <c r="I47" s="211"/>
      <c r="J47" s="211">
        <v>0</v>
      </c>
      <c r="K47" s="211">
        <v>0</v>
      </c>
      <c r="L47" s="211">
        <v>0</v>
      </c>
      <c r="M47" s="211">
        <v>37699.360000000001</v>
      </c>
      <c r="N47" s="211">
        <v>711.55099999999902</v>
      </c>
      <c r="O47" s="211">
        <v>45529.67</v>
      </c>
      <c r="P47" s="211">
        <v>56022.003333333334</v>
      </c>
      <c r="Q47" s="211">
        <v>0</v>
      </c>
      <c r="R47" s="211">
        <v>0</v>
      </c>
      <c r="S47" s="191">
        <v>0</v>
      </c>
      <c r="T47" s="191">
        <v>0</v>
      </c>
      <c r="U47" s="212">
        <f t="shared" si="12"/>
        <v>139962.58433333333</v>
      </c>
      <c r="W47" s="33">
        <f t="shared" si="3"/>
        <v>0</v>
      </c>
      <c r="X47" s="33">
        <f t="shared" si="9"/>
        <v>139962.58433333333</v>
      </c>
      <c r="Y47" s="33">
        <f t="shared" si="11"/>
        <v>0</v>
      </c>
      <c r="Z47" s="33">
        <f t="shared" si="11"/>
        <v>0</v>
      </c>
      <c r="AA47" s="33">
        <f t="shared" si="11"/>
        <v>0</v>
      </c>
      <c r="AB47" s="33">
        <f t="shared" si="11"/>
        <v>0</v>
      </c>
      <c r="AC47" s="33">
        <f t="shared" si="11"/>
        <v>0</v>
      </c>
      <c r="AD47" s="33">
        <f t="shared" si="11"/>
        <v>0</v>
      </c>
      <c r="AE47" s="33">
        <f t="shared" si="11"/>
        <v>0</v>
      </c>
      <c r="AF47" s="58">
        <f t="shared" si="6"/>
        <v>0</v>
      </c>
      <c r="AH47" s="33">
        <f t="shared" si="13"/>
        <v>0</v>
      </c>
      <c r="AI47" s="33">
        <f t="shared" si="7"/>
        <v>139962.58433333333</v>
      </c>
      <c r="AJ47" s="33"/>
      <c r="AK47" s="191"/>
      <c r="AL47" s="191"/>
      <c r="AM47" s="191">
        <v>0</v>
      </c>
    </row>
    <row r="48" spans="1:39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Mar 2026'!$A$8:$F$206,6,FALSE)</f>
        <v>Chq Bk</v>
      </c>
      <c r="H48" s="211"/>
      <c r="I48" s="211"/>
      <c r="J48" s="211">
        <v>0</v>
      </c>
      <c r="K48" s="211">
        <v>0</v>
      </c>
      <c r="L48" s="211">
        <v>0</v>
      </c>
      <c r="M48" s="211">
        <v>34265.980000000003</v>
      </c>
      <c r="N48" s="211">
        <v>613.1633333333325</v>
      </c>
      <c r="O48" s="211">
        <v>37876.013333333329</v>
      </c>
      <c r="P48" s="211">
        <v>34996.666666666664</v>
      </c>
      <c r="Q48" s="211">
        <v>0</v>
      </c>
      <c r="R48" s="211">
        <v>0</v>
      </c>
      <c r="S48" s="191">
        <v>0</v>
      </c>
      <c r="T48" s="191">
        <v>0</v>
      </c>
      <c r="U48" s="212">
        <f t="shared" si="12"/>
        <v>107751.82333333333</v>
      </c>
      <c r="W48" s="33">
        <f t="shared" si="3"/>
        <v>0</v>
      </c>
      <c r="X48" s="33">
        <f t="shared" ref="X48:X67" si="14">SUMIF($H$3:$T$3,X$6,$H48:$T48)</f>
        <v>107751.82333333333</v>
      </c>
      <c r="Y48" s="33">
        <f t="shared" ref="Y48:AE57" si="15">SUMIF($H$3:$S$3,Y$6,$H48:$S48)</f>
        <v>0</v>
      </c>
      <c r="Z48" s="33">
        <f t="shared" si="15"/>
        <v>0</v>
      </c>
      <c r="AA48" s="33">
        <f t="shared" si="15"/>
        <v>0</v>
      </c>
      <c r="AB48" s="33">
        <f t="shared" si="15"/>
        <v>0</v>
      </c>
      <c r="AC48" s="33">
        <f t="shared" si="15"/>
        <v>0</v>
      </c>
      <c r="AD48" s="33">
        <f t="shared" si="15"/>
        <v>0</v>
      </c>
      <c r="AE48" s="33">
        <f t="shared" si="15"/>
        <v>0</v>
      </c>
      <c r="AF48" s="58">
        <f t="shared" si="6"/>
        <v>0</v>
      </c>
      <c r="AH48" s="33">
        <f t="shared" si="13"/>
        <v>0</v>
      </c>
      <c r="AI48" s="33">
        <f t="shared" si="7"/>
        <v>107751.82333333333</v>
      </c>
      <c r="AJ48" s="33"/>
      <c r="AK48" s="191"/>
      <c r="AL48" s="191"/>
      <c r="AM48" s="191">
        <v>0</v>
      </c>
    </row>
    <row r="49" spans="1:39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Mar 2026'!$A$8:$F$206,6,FALSE)</f>
        <v>Chq Bk</v>
      </c>
      <c r="H49" s="211"/>
      <c r="I49" s="211"/>
      <c r="J49" s="211">
        <v>0</v>
      </c>
      <c r="K49" s="211">
        <v>0</v>
      </c>
      <c r="L49" s="211">
        <v>0</v>
      </c>
      <c r="M49" s="211">
        <v>26283.79</v>
      </c>
      <c r="N49" s="211">
        <v>518.8766666666661</v>
      </c>
      <c r="O49" s="211">
        <v>45324.67</v>
      </c>
      <c r="P49" s="211">
        <v>64126.329999999987</v>
      </c>
      <c r="Q49" s="211">
        <v>0</v>
      </c>
      <c r="R49" s="211">
        <v>0</v>
      </c>
      <c r="S49" s="191">
        <v>0</v>
      </c>
      <c r="T49" s="191">
        <v>0</v>
      </c>
      <c r="U49" s="212">
        <f t="shared" si="12"/>
        <v>136253.66666666666</v>
      </c>
      <c r="W49" s="33">
        <f t="shared" si="3"/>
        <v>0</v>
      </c>
      <c r="X49" s="33">
        <f t="shared" si="14"/>
        <v>136253.66666666666</v>
      </c>
      <c r="Y49" s="33">
        <f t="shared" si="15"/>
        <v>0</v>
      </c>
      <c r="Z49" s="33">
        <f t="shared" si="15"/>
        <v>0</v>
      </c>
      <c r="AA49" s="33">
        <f t="shared" si="15"/>
        <v>0</v>
      </c>
      <c r="AB49" s="33">
        <f t="shared" si="15"/>
        <v>0</v>
      </c>
      <c r="AC49" s="33">
        <f t="shared" si="15"/>
        <v>0</v>
      </c>
      <c r="AD49" s="33">
        <f t="shared" si="15"/>
        <v>0</v>
      </c>
      <c r="AE49" s="33">
        <f t="shared" si="15"/>
        <v>0</v>
      </c>
      <c r="AF49" s="58">
        <f t="shared" si="6"/>
        <v>0</v>
      </c>
      <c r="AH49" s="33">
        <f t="shared" si="13"/>
        <v>0</v>
      </c>
      <c r="AI49" s="33">
        <f t="shared" si="7"/>
        <v>136253.66666666666</v>
      </c>
      <c r="AJ49" s="33"/>
      <c r="AK49" s="191"/>
      <c r="AL49" s="191"/>
      <c r="AM49" s="191">
        <v>0</v>
      </c>
    </row>
    <row r="50" spans="1:39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Mar 2026'!$A$8:$F$206,6,FALSE)</f>
        <v>Chq Bk</v>
      </c>
      <c r="H50" s="211"/>
      <c r="I50" s="211"/>
      <c r="J50" s="211">
        <v>0</v>
      </c>
      <c r="K50" s="211">
        <v>0</v>
      </c>
      <c r="L50" s="211">
        <v>0</v>
      </c>
      <c r="M50" s="211">
        <v>50058.87</v>
      </c>
      <c r="N50" s="211">
        <v>904.11666666666451</v>
      </c>
      <c r="O50" s="211">
        <v>52968.009999999995</v>
      </c>
      <c r="P50" s="211">
        <v>39514.225555555553</v>
      </c>
      <c r="Q50" s="211">
        <v>0</v>
      </c>
      <c r="R50" s="211">
        <v>0</v>
      </c>
      <c r="S50" s="191">
        <v>0</v>
      </c>
      <c r="T50" s="191">
        <v>0</v>
      </c>
      <c r="U50" s="212">
        <f t="shared" si="12"/>
        <v>143445.22222222222</v>
      </c>
      <c r="W50" s="33">
        <f t="shared" si="3"/>
        <v>0</v>
      </c>
      <c r="X50" s="33">
        <f t="shared" si="14"/>
        <v>143445.22222222222</v>
      </c>
      <c r="Y50" s="33">
        <f t="shared" si="15"/>
        <v>0</v>
      </c>
      <c r="Z50" s="33">
        <f t="shared" si="15"/>
        <v>0</v>
      </c>
      <c r="AA50" s="33">
        <f t="shared" si="15"/>
        <v>0</v>
      </c>
      <c r="AB50" s="33">
        <f t="shared" si="15"/>
        <v>0</v>
      </c>
      <c r="AC50" s="33">
        <f t="shared" si="15"/>
        <v>0</v>
      </c>
      <c r="AD50" s="33">
        <f t="shared" si="15"/>
        <v>0</v>
      </c>
      <c r="AE50" s="33">
        <f t="shared" si="15"/>
        <v>0</v>
      </c>
      <c r="AF50" s="58">
        <f t="shared" si="6"/>
        <v>0</v>
      </c>
      <c r="AH50" s="33">
        <f t="shared" si="13"/>
        <v>0</v>
      </c>
      <c r="AI50" s="33">
        <f t="shared" si="7"/>
        <v>143445.22222222222</v>
      </c>
      <c r="AJ50" s="33"/>
      <c r="AK50" s="191"/>
      <c r="AL50" s="191"/>
      <c r="AM50" s="191">
        <v>0</v>
      </c>
    </row>
    <row r="51" spans="1:39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Mar 2026'!$A$8:$F$206,6,FALSE)</f>
        <v>Chq Bk</v>
      </c>
      <c r="H51" s="211"/>
      <c r="I51" s="211"/>
      <c r="J51" s="211">
        <v>0</v>
      </c>
      <c r="K51" s="211">
        <v>0</v>
      </c>
      <c r="L51" s="211">
        <v>0</v>
      </c>
      <c r="M51" s="211">
        <v>34532.82</v>
      </c>
      <c r="N51" s="211">
        <v>493.78679999999986</v>
      </c>
      <c r="O51" s="211">
        <v>0</v>
      </c>
      <c r="P51" s="211">
        <v>0</v>
      </c>
      <c r="Q51" s="211">
        <v>0</v>
      </c>
      <c r="R51" s="211">
        <v>0</v>
      </c>
      <c r="S51" s="191">
        <v>0</v>
      </c>
      <c r="T51" s="191">
        <v>0</v>
      </c>
      <c r="U51" s="212">
        <f t="shared" si="12"/>
        <v>35026.606800000001</v>
      </c>
      <c r="W51" s="33">
        <f t="shared" si="3"/>
        <v>0</v>
      </c>
      <c r="X51" s="33">
        <f t="shared" si="14"/>
        <v>35026.606800000001</v>
      </c>
      <c r="Y51" s="33">
        <f t="shared" si="15"/>
        <v>0</v>
      </c>
      <c r="Z51" s="33">
        <f t="shared" si="15"/>
        <v>0</v>
      </c>
      <c r="AA51" s="33">
        <f t="shared" si="15"/>
        <v>0</v>
      </c>
      <c r="AB51" s="33">
        <f t="shared" si="15"/>
        <v>0</v>
      </c>
      <c r="AC51" s="33">
        <f t="shared" si="15"/>
        <v>0</v>
      </c>
      <c r="AD51" s="33">
        <f t="shared" si="15"/>
        <v>0</v>
      </c>
      <c r="AE51" s="33">
        <f t="shared" si="15"/>
        <v>0</v>
      </c>
      <c r="AF51" s="58">
        <f t="shared" si="6"/>
        <v>0</v>
      </c>
      <c r="AH51" s="33">
        <f t="shared" si="13"/>
        <v>0</v>
      </c>
      <c r="AI51" s="33">
        <f t="shared" si="7"/>
        <v>35026.606800000001</v>
      </c>
      <c r="AJ51" s="33"/>
      <c r="AK51" s="191"/>
      <c r="AL51" s="191"/>
      <c r="AM51" s="191">
        <v>0</v>
      </c>
    </row>
    <row r="52" spans="1:39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Mar 2026'!$A$8:$F$206,6,FALSE)</f>
        <v>Chq Bk</v>
      </c>
      <c r="H52" s="211"/>
      <c r="I52" s="211"/>
      <c r="J52" s="211">
        <v>0</v>
      </c>
      <c r="K52" s="211">
        <v>0</v>
      </c>
      <c r="L52" s="211">
        <v>0</v>
      </c>
      <c r="M52" s="211">
        <v>74000.77</v>
      </c>
      <c r="N52" s="211">
        <v>1237.4766666666642</v>
      </c>
      <c r="O52" s="211">
        <v>77702.663333333345</v>
      </c>
      <c r="P52" s="211">
        <v>114041.33333333334</v>
      </c>
      <c r="Q52" s="211">
        <v>0</v>
      </c>
      <c r="R52" s="211">
        <v>0</v>
      </c>
      <c r="S52" s="191">
        <v>0</v>
      </c>
      <c r="T52" s="191">
        <v>0</v>
      </c>
      <c r="U52" s="212">
        <f t="shared" si="12"/>
        <v>266982.2433333334</v>
      </c>
      <c r="W52" s="33">
        <f t="shared" si="3"/>
        <v>0</v>
      </c>
      <c r="X52" s="33">
        <f t="shared" si="14"/>
        <v>266982.2433333334</v>
      </c>
      <c r="Y52" s="33">
        <f t="shared" si="15"/>
        <v>0</v>
      </c>
      <c r="Z52" s="33">
        <f t="shared" si="15"/>
        <v>0</v>
      </c>
      <c r="AA52" s="33">
        <f t="shared" si="15"/>
        <v>0</v>
      </c>
      <c r="AB52" s="33">
        <f t="shared" si="15"/>
        <v>0</v>
      </c>
      <c r="AC52" s="33">
        <f t="shared" si="15"/>
        <v>0</v>
      </c>
      <c r="AD52" s="33">
        <f t="shared" si="15"/>
        <v>0</v>
      </c>
      <c r="AE52" s="33">
        <f t="shared" si="15"/>
        <v>0</v>
      </c>
      <c r="AF52" s="58">
        <f t="shared" si="6"/>
        <v>0</v>
      </c>
      <c r="AH52" s="33">
        <f t="shared" si="13"/>
        <v>0</v>
      </c>
      <c r="AI52" s="33">
        <f t="shared" si="7"/>
        <v>266982.2433333334</v>
      </c>
      <c r="AJ52" s="33"/>
      <c r="AK52" s="191"/>
      <c r="AL52" s="191"/>
      <c r="AM52" s="191">
        <v>0</v>
      </c>
    </row>
    <row r="53" spans="1:39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Mar 2026'!$A$8:$F$206,6,FALSE)</f>
        <v>Chq Bk</v>
      </c>
      <c r="H53" s="211"/>
      <c r="I53" s="211"/>
      <c r="J53" s="211">
        <v>0</v>
      </c>
      <c r="K53" s="211">
        <v>0</v>
      </c>
      <c r="L53" s="211">
        <v>0</v>
      </c>
      <c r="M53" s="211">
        <v>46576.61</v>
      </c>
      <c r="N53" s="211">
        <v>874.64999999999873</v>
      </c>
      <c r="O53" s="211">
        <v>51019.666666666664</v>
      </c>
      <c r="P53" s="211">
        <v>52348.666666666672</v>
      </c>
      <c r="Q53" s="211">
        <v>0</v>
      </c>
      <c r="R53" s="211">
        <v>0</v>
      </c>
      <c r="S53" s="191">
        <v>0</v>
      </c>
      <c r="T53" s="191">
        <v>0</v>
      </c>
      <c r="U53" s="212">
        <f t="shared" si="12"/>
        <v>150819.59333333332</v>
      </c>
      <c r="W53" s="33">
        <f t="shared" si="3"/>
        <v>0</v>
      </c>
      <c r="X53" s="33">
        <f t="shared" si="14"/>
        <v>150819.59333333332</v>
      </c>
      <c r="Y53" s="33">
        <f t="shared" si="15"/>
        <v>0</v>
      </c>
      <c r="Z53" s="33">
        <f t="shared" si="15"/>
        <v>0</v>
      </c>
      <c r="AA53" s="33">
        <f t="shared" si="15"/>
        <v>0</v>
      </c>
      <c r="AB53" s="33">
        <f t="shared" si="15"/>
        <v>0</v>
      </c>
      <c r="AC53" s="33">
        <f t="shared" si="15"/>
        <v>0</v>
      </c>
      <c r="AD53" s="33">
        <f t="shared" si="15"/>
        <v>0</v>
      </c>
      <c r="AE53" s="33">
        <f t="shared" si="15"/>
        <v>0</v>
      </c>
      <c r="AF53" s="58">
        <f t="shared" si="6"/>
        <v>0</v>
      </c>
      <c r="AH53" s="33">
        <f t="shared" si="13"/>
        <v>0</v>
      </c>
      <c r="AI53" s="33">
        <f t="shared" si="7"/>
        <v>150819.59333333332</v>
      </c>
      <c r="AJ53" s="33"/>
      <c r="AK53" s="191"/>
      <c r="AL53" s="191"/>
      <c r="AM53" s="191">
        <v>0</v>
      </c>
    </row>
    <row r="54" spans="1:39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Mar 2026'!$A$8:$F$206,6,FALSE)</f>
        <v>Chq Bk</v>
      </c>
      <c r="H54" s="211"/>
      <c r="I54" s="211"/>
      <c r="J54" s="211">
        <v>0</v>
      </c>
      <c r="K54" s="211">
        <v>0</v>
      </c>
      <c r="L54" s="211">
        <v>0</v>
      </c>
      <c r="M54" s="211">
        <v>93779.5</v>
      </c>
      <c r="N54" s="211">
        <v>1608.339999999997</v>
      </c>
      <c r="O54" s="211">
        <v>66706.67333333334</v>
      </c>
      <c r="P54" s="211">
        <v>96005.333333333328</v>
      </c>
      <c r="Q54" s="211">
        <v>0</v>
      </c>
      <c r="R54" s="211">
        <v>0</v>
      </c>
      <c r="S54" s="191">
        <v>0</v>
      </c>
      <c r="T54" s="191">
        <v>0</v>
      </c>
      <c r="U54" s="212">
        <f t="shared" si="12"/>
        <v>258099.84666666668</v>
      </c>
      <c r="W54" s="33">
        <f t="shared" si="3"/>
        <v>0</v>
      </c>
      <c r="X54" s="33">
        <f t="shared" si="14"/>
        <v>258099.84666666668</v>
      </c>
      <c r="Y54" s="33">
        <f t="shared" si="15"/>
        <v>0</v>
      </c>
      <c r="Z54" s="33">
        <f t="shared" si="15"/>
        <v>0</v>
      </c>
      <c r="AA54" s="33">
        <f t="shared" si="15"/>
        <v>0</v>
      </c>
      <c r="AB54" s="33">
        <f t="shared" si="15"/>
        <v>0</v>
      </c>
      <c r="AC54" s="33">
        <f t="shared" si="15"/>
        <v>0</v>
      </c>
      <c r="AD54" s="33">
        <f t="shared" si="15"/>
        <v>0</v>
      </c>
      <c r="AE54" s="33">
        <f t="shared" si="15"/>
        <v>0</v>
      </c>
      <c r="AF54" s="58">
        <f t="shared" si="6"/>
        <v>0</v>
      </c>
      <c r="AH54" s="33">
        <f t="shared" si="13"/>
        <v>0</v>
      </c>
      <c r="AI54" s="33">
        <f t="shared" si="7"/>
        <v>258099.84666666668</v>
      </c>
      <c r="AJ54" s="33"/>
      <c r="AK54" s="191"/>
      <c r="AL54" s="191"/>
      <c r="AM54" s="191">
        <v>0</v>
      </c>
    </row>
    <row r="55" spans="1:39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Mar 2026'!$A$8:$F$206,6,FALSE)</f>
        <v>Chq Bk</v>
      </c>
      <c r="H55" s="211"/>
      <c r="I55" s="211"/>
      <c r="J55" s="211">
        <v>0</v>
      </c>
      <c r="K55" s="211">
        <v>0</v>
      </c>
      <c r="L55" s="211">
        <v>6300</v>
      </c>
      <c r="M55" s="211">
        <v>0</v>
      </c>
      <c r="N55" s="211">
        <v>0</v>
      </c>
      <c r="O55" s="211">
        <v>0</v>
      </c>
      <c r="P55" s="211">
        <v>0</v>
      </c>
      <c r="Q55" s="211">
        <v>0</v>
      </c>
      <c r="R55" s="211">
        <v>0</v>
      </c>
      <c r="S55" s="191">
        <v>0</v>
      </c>
      <c r="T55" s="191">
        <v>0</v>
      </c>
      <c r="U55" s="212">
        <f t="shared" si="12"/>
        <v>6300</v>
      </c>
      <c r="W55" s="33">
        <f t="shared" si="3"/>
        <v>0</v>
      </c>
      <c r="X55" s="33">
        <f t="shared" si="14"/>
        <v>6300</v>
      </c>
      <c r="Y55" s="33">
        <f t="shared" si="15"/>
        <v>0</v>
      </c>
      <c r="Z55" s="33">
        <f t="shared" si="15"/>
        <v>0</v>
      </c>
      <c r="AA55" s="33">
        <f t="shared" si="15"/>
        <v>0</v>
      </c>
      <c r="AB55" s="33">
        <f t="shared" si="15"/>
        <v>0</v>
      </c>
      <c r="AC55" s="33">
        <f t="shared" si="15"/>
        <v>0</v>
      </c>
      <c r="AD55" s="33">
        <f t="shared" si="15"/>
        <v>0</v>
      </c>
      <c r="AE55" s="33">
        <f t="shared" si="15"/>
        <v>0</v>
      </c>
      <c r="AF55" s="58">
        <f t="shared" si="6"/>
        <v>0</v>
      </c>
      <c r="AH55" s="33">
        <f t="shared" si="13"/>
        <v>0</v>
      </c>
      <c r="AI55" s="33">
        <f t="shared" si="7"/>
        <v>6300</v>
      </c>
      <c r="AJ55" s="33"/>
      <c r="AK55" s="191"/>
      <c r="AL55" s="191"/>
      <c r="AM55" s="191">
        <v>0</v>
      </c>
    </row>
    <row r="56" spans="1:39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Mar 2026'!$A$8:$F$206,6,FALSE)</f>
        <v>Chq Bk</v>
      </c>
      <c r="H56" s="211"/>
      <c r="I56" s="211"/>
      <c r="J56" s="211">
        <v>0</v>
      </c>
      <c r="K56" s="211">
        <v>0</v>
      </c>
      <c r="L56" s="211">
        <v>0</v>
      </c>
      <c r="M56" s="211">
        <v>42025.59</v>
      </c>
      <c r="N56" s="211">
        <v>579.49999999999909</v>
      </c>
      <c r="O56" s="211">
        <v>0</v>
      </c>
      <c r="P56" s="211">
        <v>0</v>
      </c>
      <c r="Q56" s="211">
        <v>0</v>
      </c>
      <c r="R56" s="211">
        <v>0</v>
      </c>
      <c r="S56" s="191">
        <v>0</v>
      </c>
      <c r="T56" s="191">
        <v>0</v>
      </c>
      <c r="U56" s="212">
        <f t="shared" si="12"/>
        <v>42605.09</v>
      </c>
      <c r="W56" s="33">
        <f t="shared" si="3"/>
        <v>0</v>
      </c>
      <c r="X56" s="33">
        <f t="shared" si="14"/>
        <v>42605.09</v>
      </c>
      <c r="Y56" s="33">
        <f t="shared" si="15"/>
        <v>0</v>
      </c>
      <c r="Z56" s="33">
        <f t="shared" si="15"/>
        <v>0</v>
      </c>
      <c r="AA56" s="33">
        <f t="shared" si="15"/>
        <v>0</v>
      </c>
      <c r="AB56" s="33">
        <f t="shared" si="15"/>
        <v>0</v>
      </c>
      <c r="AC56" s="33">
        <f t="shared" si="15"/>
        <v>0</v>
      </c>
      <c r="AD56" s="33">
        <f t="shared" si="15"/>
        <v>0</v>
      </c>
      <c r="AE56" s="33">
        <f t="shared" si="15"/>
        <v>0</v>
      </c>
      <c r="AF56" s="58">
        <f t="shared" si="6"/>
        <v>0</v>
      </c>
      <c r="AH56" s="33">
        <f t="shared" si="13"/>
        <v>0</v>
      </c>
      <c r="AI56" s="33">
        <f t="shared" si="7"/>
        <v>42605.09</v>
      </c>
      <c r="AJ56" s="33"/>
      <c r="AK56" s="191"/>
      <c r="AL56" s="191"/>
      <c r="AM56" s="191">
        <v>0</v>
      </c>
    </row>
    <row r="57" spans="1:39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Mar 2026'!$A$8:$F$206,6,FALSE)</f>
        <v>Chq Bk</v>
      </c>
      <c r="H57" s="211"/>
      <c r="I57" s="211"/>
      <c r="J57" s="211">
        <v>0</v>
      </c>
      <c r="K57" s="211">
        <v>0</v>
      </c>
      <c r="L57" s="211">
        <v>0</v>
      </c>
      <c r="M57" s="211">
        <v>55833.35</v>
      </c>
      <c r="N57" s="211">
        <v>925.32999999999879</v>
      </c>
      <c r="O57" s="211">
        <v>50508.34</v>
      </c>
      <c r="P57" s="211">
        <v>67114.496666666673</v>
      </c>
      <c r="Q57" s="211">
        <v>0</v>
      </c>
      <c r="R57" s="211">
        <v>0</v>
      </c>
      <c r="S57" s="191">
        <v>0</v>
      </c>
      <c r="T57" s="191">
        <v>0</v>
      </c>
      <c r="U57" s="212">
        <f t="shared" si="12"/>
        <v>174381.51666666666</v>
      </c>
      <c r="W57" s="33">
        <f t="shared" si="3"/>
        <v>0</v>
      </c>
      <c r="X57" s="33">
        <f t="shared" si="14"/>
        <v>174381.51666666666</v>
      </c>
      <c r="Y57" s="33">
        <f t="shared" si="15"/>
        <v>0</v>
      </c>
      <c r="Z57" s="33">
        <f t="shared" si="15"/>
        <v>0</v>
      </c>
      <c r="AA57" s="33">
        <f t="shared" si="15"/>
        <v>0</v>
      </c>
      <c r="AB57" s="33">
        <f t="shared" si="15"/>
        <v>0</v>
      </c>
      <c r="AC57" s="33">
        <f t="shared" si="15"/>
        <v>0</v>
      </c>
      <c r="AD57" s="33">
        <f t="shared" si="15"/>
        <v>0</v>
      </c>
      <c r="AE57" s="33">
        <f t="shared" si="15"/>
        <v>0</v>
      </c>
      <c r="AF57" s="58">
        <f t="shared" si="6"/>
        <v>0</v>
      </c>
      <c r="AH57" s="33">
        <f t="shared" si="13"/>
        <v>0</v>
      </c>
      <c r="AI57" s="33">
        <f t="shared" si="7"/>
        <v>174381.51666666666</v>
      </c>
      <c r="AJ57" s="33"/>
      <c r="AK57" s="191"/>
      <c r="AL57" s="191"/>
      <c r="AM57" s="191">
        <v>0</v>
      </c>
    </row>
    <row r="58" spans="1:39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Mar 2026'!$A$8:$F$206,6,FALSE)</f>
        <v>Chq bk</v>
      </c>
      <c r="H58" s="211"/>
      <c r="I58" s="211"/>
      <c r="J58" s="211">
        <v>0</v>
      </c>
      <c r="K58" s="211">
        <v>0</v>
      </c>
      <c r="L58" s="211">
        <v>0</v>
      </c>
      <c r="M58" s="211">
        <v>43535.03</v>
      </c>
      <c r="N58" s="211">
        <v>573.29333333333261</v>
      </c>
      <c r="O58" s="211">
        <v>35225.666666666672</v>
      </c>
      <c r="P58" s="211">
        <v>33669.666666666672</v>
      </c>
      <c r="Q58" s="211">
        <v>0</v>
      </c>
      <c r="R58" s="211">
        <v>0</v>
      </c>
      <c r="S58" s="191">
        <v>0</v>
      </c>
      <c r="T58" s="191">
        <v>0</v>
      </c>
      <c r="U58" s="212">
        <f t="shared" si="12"/>
        <v>113003.65666666668</v>
      </c>
      <c r="W58" s="33">
        <f t="shared" si="3"/>
        <v>0</v>
      </c>
      <c r="X58" s="33">
        <f t="shared" si="14"/>
        <v>113003.65666666668</v>
      </c>
      <c r="Y58" s="33">
        <f t="shared" ref="Y58:AE67" si="16">SUMIF($H$3:$S$3,Y$6,$H58:$S58)</f>
        <v>0</v>
      </c>
      <c r="Z58" s="33">
        <f t="shared" si="16"/>
        <v>0</v>
      </c>
      <c r="AA58" s="33">
        <f t="shared" si="16"/>
        <v>0</v>
      </c>
      <c r="AB58" s="33">
        <f t="shared" si="16"/>
        <v>0</v>
      </c>
      <c r="AC58" s="33">
        <f t="shared" si="16"/>
        <v>0</v>
      </c>
      <c r="AD58" s="33">
        <f t="shared" si="16"/>
        <v>0</v>
      </c>
      <c r="AE58" s="33">
        <f t="shared" si="16"/>
        <v>0</v>
      </c>
      <c r="AF58" s="58">
        <f t="shared" si="6"/>
        <v>0</v>
      </c>
      <c r="AH58" s="33">
        <f t="shared" si="13"/>
        <v>0</v>
      </c>
      <c r="AI58" s="33">
        <f t="shared" si="7"/>
        <v>113003.65666666668</v>
      </c>
      <c r="AJ58" s="33"/>
      <c r="AK58" s="191"/>
      <c r="AL58" s="191"/>
      <c r="AM58" s="191">
        <v>0</v>
      </c>
    </row>
    <row r="59" spans="1:39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Mar 2026'!$A$8:$F$206,6,FALSE)</f>
        <v>Chq Bk</v>
      </c>
      <c r="H59" s="211"/>
      <c r="I59" s="211"/>
      <c r="J59" s="211">
        <v>0</v>
      </c>
      <c r="K59" s="211">
        <v>0</v>
      </c>
      <c r="L59" s="211">
        <v>0</v>
      </c>
      <c r="M59" s="211">
        <v>31084.09</v>
      </c>
      <c r="N59" s="211">
        <v>492.96493333333251</v>
      </c>
      <c r="O59" s="211">
        <v>0</v>
      </c>
      <c r="P59" s="211">
        <v>8890.6666666666661</v>
      </c>
      <c r="Q59" s="211">
        <v>0</v>
      </c>
      <c r="R59" s="211">
        <v>0</v>
      </c>
      <c r="S59" s="191">
        <v>0</v>
      </c>
      <c r="T59" s="191">
        <v>0</v>
      </c>
      <c r="U59" s="212">
        <f t="shared" si="12"/>
        <v>40467.721599999997</v>
      </c>
      <c r="W59" s="33">
        <f t="shared" si="3"/>
        <v>0</v>
      </c>
      <c r="X59" s="33">
        <f t="shared" si="14"/>
        <v>40467.721599999997</v>
      </c>
      <c r="Y59" s="33">
        <f t="shared" si="16"/>
        <v>0</v>
      </c>
      <c r="Z59" s="33">
        <f t="shared" si="16"/>
        <v>0</v>
      </c>
      <c r="AA59" s="33">
        <f t="shared" si="16"/>
        <v>0</v>
      </c>
      <c r="AB59" s="33">
        <f t="shared" si="16"/>
        <v>0</v>
      </c>
      <c r="AC59" s="33">
        <f t="shared" si="16"/>
        <v>0</v>
      </c>
      <c r="AD59" s="33">
        <f t="shared" si="16"/>
        <v>0</v>
      </c>
      <c r="AE59" s="33">
        <f t="shared" si="16"/>
        <v>0</v>
      </c>
      <c r="AF59" s="58">
        <f t="shared" si="6"/>
        <v>0</v>
      </c>
      <c r="AH59" s="33">
        <f t="shared" si="13"/>
        <v>0</v>
      </c>
      <c r="AI59" s="33">
        <f t="shared" si="7"/>
        <v>40467.721599999997</v>
      </c>
      <c r="AJ59" s="33"/>
      <c r="AK59" s="191"/>
      <c r="AL59" s="191"/>
      <c r="AM59" s="191">
        <v>0</v>
      </c>
    </row>
    <row r="60" spans="1:39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Mar 2026'!$A$8:$F$206,6,FALSE)</f>
        <v>Chq Bk</v>
      </c>
      <c r="H60" s="211"/>
      <c r="I60" s="211"/>
      <c r="J60" s="211">
        <v>0</v>
      </c>
      <c r="K60" s="211">
        <v>0</v>
      </c>
      <c r="L60" s="211">
        <v>0</v>
      </c>
      <c r="M60" s="211">
        <v>20442.75</v>
      </c>
      <c r="N60" s="211">
        <v>316.94833333333258</v>
      </c>
      <c r="O60" s="211">
        <v>6430</v>
      </c>
      <c r="P60" s="211">
        <v>6430</v>
      </c>
      <c r="Q60" s="211">
        <v>0</v>
      </c>
      <c r="R60" s="211">
        <v>0</v>
      </c>
      <c r="S60" s="191">
        <v>0</v>
      </c>
      <c r="T60" s="191">
        <v>0</v>
      </c>
      <c r="U60" s="212">
        <f t="shared" si="12"/>
        <v>33619.698333333334</v>
      </c>
      <c r="W60" s="33">
        <f t="shared" si="3"/>
        <v>0</v>
      </c>
      <c r="X60" s="33">
        <f t="shared" si="14"/>
        <v>33619.698333333334</v>
      </c>
      <c r="Y60" s="33">
        <f t="shared" si="16"/>
        <v>0</v>
      </c>
      <c r="Z60" s="33">
        <f t="shared" si="16"/>
        <v>0</v>
      </c>
      <c r="AA60" s="33">
        <f t="shared" si="16"/>
        <v>0</v>
      </c>
      <c r="AB60" s="33">
        <f t="shared" si="16"/>
        <v>0</v>
      </c>
      <c r="AC60" s="33">
        <f t="shared" si="16"/>
        <v>0</v>
      </c>
      <c r="AD60" s="33">
        <f t="shared" si="16"/>
        <v>0</v>
      </c>
      <c r="AE60" s="33">
        <f t="shared" si="16"/>
        <v>0</v>
      </c>
      <c r="AF60" s="58">
        <f t="shared" si="6"/>
        <v>0</v>
      </c>
      <c r="AH60" s="33">
        <f t="shared" si="13"/>
        <v>0</v>
      </c>
      <c r="AI60" s="33">
        <f t="shared" si="7"/>
        <v>33619.698333333334</v>
      </c>
      <c r="AJ60" s="33"/>
      <c r="AK60" s="191"/>
      <c r="AL60" s="191"/>
      <c r="AM60" s="191">
        <v>0</v>
      </c>
    </row>
    <row r="61" spans="1:39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Mar 2026'!$A$8:$F$206,6,FALSE)</f>
        <v>Chq Bk</v>
      </c>
      <c r="H61" s="211"/>
      <c r="I61" s="211"/>
      <c r="J61" s="211">
        <v>0</v>
      </c>
      <c r="K61" s="211">
        <v>0</v>
      </c>
      <c r="L61" s="211">
        <v>0</v>
      </c>
      <c r="M61" s="211">
        <v>55790.7</v>
      </c>
      <c r="N61" s="211">
        <v>845.83999999999924</v>
      </c>
      <c r="O61" s="211">
        <v>41165</v>
      </c>
      <c r="P61" s="211">
        <v>63554.333333333336</v>
      </c>
      <c r="Q61" s="211">
        <v>0</v>
      </c>
      <c r="R61" s="211">
        <v>0</v>
      </c>
      <c r="S61" s="191">
        <v>0</v>
      </c>
      <c r="T61" s="191">
        <v>0</v>
      </c>
      <c r="U61" s="212">
        <f t="shared" si="12"/>
        <v>161355.87333333332</v>
      </c>
      <c r="W61" s="33">
        <f t="shared" si="3"/>
        <v>0</v>
      </c>
      <c r="X61" s="33">
        <f t="shared" si="14"/>
        <v>161355.87333333332</v>
      </c>
      <c r="Y61" s="33">
        <f t="shared" si="16"/>
        <v>0</v>
      </c>
      <c r="Z61" s="33">
        <f t="shared" si="16"/>
        <v>0</v>
      </c>
      <c r="AA61" s="33">
        <f t="shared" si="16"/>
        <v>0</v>
      </c>
      <c r="AB61" s="33">
        <f t="shared" si="16"/>
        <v>0</v>
      </c>
      <c r="AC61" s="33">
        <f t="shared" si="16"/>
        <v>0</v>
      </c>
      <c r="AD61" s="33">
        <f t="shared" si="16"/>
        <v>0</v>
      </c>
      <c r="AE61" s="33">
        <f t="shared" si="16"/>
        <v>0</v>
      </c>
      <c r="AF61" s="58">
        <f t="shared" si="6"/>
        <v>0</v>
      </c>
      <c r="AH61" s="33">
        <f t="shared" si="13"/>
        <v>0</v>
      </c>
      <c r="AI61" s="33">
        <f t="shared" si="7"/>
        <v>161355.87333333332</v>
      </c>
      <c r="AJ61" s="33"/>
      <c r="AK61" s="191"/>
      <c r="AL61" s="191"/>
      <c r="AM61" s="191">
        <v>0</v>
      </c>
    </row>
    <row r="62" spans="1:39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Mar 2026'!$A$8:$F$206,6,FALSE)</f>
        <v>Chq Bk</v>
      </c>
      <c r="H62" s="211"/>
      <c r="I62" s="211"/>
      <c r="J62" s="211">
        <v>0</v>
      </c>
      <c r="K62" s="211">
        <v>0</v>
      </c>
      <c r="L62" s="211">
        <v>0</v>
      </c>
      <c r="M62" s="211">
        <v>41823.879999999997</v>
      </c>
      <c r="N62" s="211">
        <v>450.57999999999902</v>
      </c>
      <c r="O62" s="211">
        <v>40946.016666666656</v>
      </c>
      <c r="P62" s="211">
        <v>65327.999999999993</v>
      </c>
      <c r="Q62" s="211">
        <v>0</v>
      </c>
      <c r="R62" s="211">
        <v>0</v>
      </c>
      <c r="S62" s="191">
        <v>0</v>
      </c>
      <c r="T62" s="191">
        <v>0</v>
      </c>
      <c r="U62" s="212">
        <f t="shared" si="12"/>
        <v>148548.47666666665</v>
      </c>
      <c r="W62" s="33">
        <f t="shared" si="3"/>
        <v>0</v>
      </c>
      <c r="X62" s="33">
        <f t="shared" si="14"/>
        <v>148548.47666666665</v>
      </c>
      <c r="Y62" s="33">
        <f t="shared" si="16"/>
        <v>0</v>
      </c>
      <c r="Z62" s="33">
        <f t="shared" si="16"/>
        <v>0</v>
      </c>
      <c r="AA62" s="33">
        <f t="shared" si="16"/>
        <v>0</v>
      </c>
      <c r="AB62" s="33">
        <f t="shared" si="16"/>
        <v>0</v>
      </c>
      <c r="AC62" s="33">
        <f t="shared" si="16"/>
        <v>0</v>
      </c>
      <c r="AD62" s="33">
        <f t="shared" si="16"/>
        <v>0</v>
      </c>
      <c r="AE62" s="33">
        <f t="shared" si="16"/>
        <v>0</v>
      </c>
      <c r="AF62" s="58">
        <f t="shared" si="6"/>
        <v>0</v>
      </c>
      <c r="AH62" s="33">
        <f t="shared" si="13"/>
        <v>0</v>
      </c>
      <c r="AI62" s="33">
        <f t="shared" si="7"/>
        <v>148548.47666666665</v>
      </c>
      <c r="AJ62" s="33"/>
      <c r="AK62" s="191"/>
      <c r="AL62" s="191"/>
      <c r="AM62" s="191">
        <v>0</v>
      </c>
    </row>
    <row r="63" spans="1:39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Mar 2026'!$A$8:$F$206,6,FALSE)</f>
        <v>Chq Bk</v>
      </c>
      <c r="H63" s="211"/>
      <c r="I63" s="211"/>
      <c r="J63" s="211">
        <v>0</v>
      </c>
      <c r="K63" s="211">
        <v>0</v>
      </c>
      <c r="L63" s="211">
        <v>0</v>
      </c>
      <c r="M63" s="211">
        <v>72081.58</v>
      </c>
      <c r="N63" s="211">
        <v>1109.6099999999983</v>
      </c>
      <c r="O63" s="211">
        <v>53504.666666666664</v>
      </c>
      <c r="P63" s="211">
        <v>73570</v>
      </c>
      <c r="Q63" s="211">
        <v>0</v>
      </c>
      <c r="R63" s="211">
        <v>0</v>
      </c>
      <c r="S63" s="191">
        <v>0</v>
      </c>
      <c r="T63" s="191">
        <v>0</v>
      </c>
      <c r="U63" s="212">
        <f t="shared" si="12"/>
        <v>200265.85666666666</v>
      </c>
      <c r="W63" s="33">
        <f t="shared" si="3"/>
        <v>0</v>
      </c>
      <c r="X63" s="33">
        <f t="shared" si="14"/>
        <v>200265.85666666666</v>
      </c>
      <c r="Y63" s="33">
        <f t="shared" si="16"/>
        <v>0</v>
      </c>
      <c r="Z63" s="33">
        <f t="shared" si="16"/>
        <v>0</v>
      </c>
      <c r="AA63" s="33">
        <f t="shared" si="16"/>
        <v>0</v>
      </c>
      <c r="AB63" s="33">
        <f t="shared" si="16"/>
        <v>0</v>
      </c>
      <c r="AC63" s="33">
        <f t="shared" si="16"/>
        <v>0</v>
      </c>
      <c r="AD63" s="33">
        <f t="shared" si="16"/>
        <v>0</v>
      </c>
      <c r="AE63" s="33">
        <f t="shared" si="16"/>
        <v>0</v>
      </c>
      <c r="AF63" s="58">
        <f t="shared" si="6"/>
        <v>0</v>
      </c>
      <c r="AH63" s="33">
        <f t="shared" si="13"/>
        <v>0</v>
      </c>
      <c r="AI63" s="33">
        <f t="shared" si="7"/>
        <v>200265.85666666666</v>
      </c>
      <c r="AJ63" s="33"/>
      <c r="AK63" s="191"/>
      <c r="AL63" s="191"/>
      <c r="AM63" s="191">
        <v>0</v>
      </c>
    </row>
    <row r="64" spans="1:39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Mar 2026'!$A$8:$F$206,6,FALSE)</f>
        <v>Chq Bk</v>
      </c>
      <c r="H64" s="211"/>
      <c r="I64" s="211"/>
      <c r="J64" s="211">
        <v>0</v>
      </c>
      <c r="K64" s="211">
        <v>0</v>
      </c>
      <c r="L64" s="211">
        <v>0</v>
      </c>
      <c r="M64" s="211">
        <v>34052.78</v>
      </c>
      <c r="N64" s="211">
        <v>577.48666666666622</v>
      </c>
      <c r="O64" s="211">
        <v>29518.666666666668</v>
      </c>
      <c r="P64" s="211">
        <v>33062.666666666672</v>
      </c>
      <c r="Q64" s="211">
        <v>0</v>
      </c>
      <c r="R64" s="211">
        <v>0</v>
      </c>
      <c r="S64" s="191">
        <v>0</v>
      </c>
      <c r="T64" s="191">
        <v>0</v>
      </c>
      <c r="U64" s="212">
        <f t="shared" si="12"/>
        <v>97211.6</v>
      </c>
      <c r="W64" s="33">
        <f t="shared" si="3"/>
        <v>0</v>
      </c>
      <c r="X64" s="33">
        <f t="shared" si="14"/>
        <v>97211.6</v>
      </c>
      <c r="Y64" s="33">
        <f t="shared" si="16"/>
        <v>0</v>
      </c>
      <c r="Z64" s="33">
        <f t="shared" si="16"/>
        <v>0</v>
      </c>
      <c r="AA64" s="33">
        <f t="shared" si="16"/>
        <v>0</v>
      </c>
      <c r="AB64" s="33">
        <f t="shared" si="16"/>
        <v>0</v>
      </c>
      <c r="AC64" s="33">
        <f t="shared" si="16"/>
        <v>0</v>
      </c>
      <c r="AD64" s="33">
        <f t="shared" si="16"/>
        <v>0</v>
      </c>
      <c r="AE64" s="33">
        <f t="shared" si="16"/>
        <v>0</v>
      </c>
      <c r="AF64" s="58">
        <f t="shared" si="6"/>
        <v>0</v>
      </c>
      <c r="AH64" s="33">
        <f t="shared" si="13"/>
        <v>0</v>
      </c>
      <c r="AI64" s="33">
        <f t="shared" si="7"/>
        <v>97211.6</v>
      </c>
      <c r="AJ64" s="33"/>
      <c r="AK64" s="191"/>
      <c r="AL64" s="191"/>
      <c r="AM64" s="191">
        <v>0</v>
      </c>
    </row>
    <row r="65" spans="1:39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Mar 2026'!$A$8:$F$206,6,FALSE)</f>
        <v>Chq Bk</v>
      </c>
      <c r="H65" s="211"/>
      <c r="I65" s="211"/>
      <c r="J65" s="211">
        <v>73500</v>
      </c>
      <c r="K65" s="211">
        <v>0</v>
      </c>
      <c r="L65" s="211">
        <v>42000</v>
      </c>
      <c r="M65" s="211">
        <v>0</v>
      </c>
      <c r="N65" s="211">
        <v>0</v>
      </c>
      <c r="O65" s="211">
        <v>0</v>
      </c>
      <c r="P65" s="211">
        <v>0</v>
      </c>
      <c r="Q65" s="211">
        <v>0</v>
      </c>
      <c r="R65" s="211">
        <v>0</v>
      </c>
      <c r="S65" s="191">
        <v>0</v>
      </c>
      <c r="T65" s="191">
        <v>0</v>
      </c>
      <c r="U65" s="212">
        <f t="shared" si="12"/>
        <v>115500</v>
      </c>
      <c r="W65" s="33">
        <f t="shared" si="3"/>
        <v>0</v>
      </c>
      <c r="X65" s="33">
        <f t="shared" si="14"/>
        <v>115500</v>
      </c>
      <c r="Y65" s="33">
        <f t="shared" si="16"/>
        <v>0</v>
      </c>
      <c r="Z65" s="33">
        <f t="shared" si="16"/>
        <v>0</v>
      </c>
      <c r="AA65" s="33">
        <f t="shared" si="16"/>
        <v>0</v>
      </c>
      <c r="AB65" s="33">
        <f t="shared" si="16"/>
        <v>0</v>
      </c>
      <c r="AC65" s="33">
        <f t="shared" si="16"/>
        <v>0</v>
      </c>
      <c r="AD65" s="33">
        <f t="shared" si="16"/>
        <v>0</v>
      </c>
      <c r="AE65" s="33">
        <f t="shared" si="16"/>
        <v>0</v>
      </c>
      <c r="AF65" s="58">
        <f t="shared" si="6"/>
        <v>0</v>
      </c>
      <c r="AH65" s="33">
        <f t="shared" si="13"/>
        <v>0</v>
      </c>
      <c r="AI65" s="33">
        <f t="shared" si="7"/>
        <v>115500</v>
      </c>
      <c r="AJ65" s="33"/>
      <c r="AK65" s="191"/>
      <c r="AL65" s="191"/>
      <c r="AM65" s="191">
        <v>0</v>
      </c>
    </row>
    <row r="66" spans="1:39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Mar 2026'!$A$8:$F$206,6,FALSE)</f>
        <v>Chq Bk</v>
      </c>
      <c r="H66" s="211"/>
      <c r="I66" s="211"/>
      <c r="J66" s="211">
        <v>0</v>
      </c>
      <c r="K66" s="211">
        <v>0</v>
      </c>
      <c r="L66" s="211">
        <v>0</v>
      </c>
      <c r="M66" s="211">
        <v>18258.22</v>
      </c>
      <c r="N66" s="211">
        <v>263.69666666666626</v>
      </c>
      <c r="O66" s="211">
        <v>14754.996666666666</v>
      </c>
      <c r="P66" s="211">
        <v>25114.499999999996</v>
      </c>
      <c r="Q66" s="211">
        <v>0</v>
      </c>
      <c r="R66" s="211">
        <v>0</v>
      </c>
      <c r="S66" s="191">
        <v>0</v>
      </c>
      <c r="T66" s="191">
        <v>0</v>
      </c>
      <c r="U66" s="212">
        <f t="shared" si="12"/>
        <v>58391.41333333333</v>
      </c>
      <c r="W66" s="33">
        <f t="shared" si="3"/>
        <v>0</v>
      </c>
      <c r="X66" s="33">
        <f t="shared" si="14"/>
        <v>58391.41333333333</v>
      </c>
      <c r="Y66" s="33">
        <f t="shared" si="16"/>
        <v>0</v>
      </c>
      <c r="Z66" s="33">
        <f t="shared" si="16"/>
        <v>0</v>
      </c>
      <c r="AA66" s="33">
        <f t="shared" si="16"/>
        <v>0</v>
      </c>
      <c r="AB66" s="33">
        <f t="shared" si="16"/>
        <v>0</v>
      </c>
      <c r="AC66" s="33">
        <f t="shared" si="16"/>
        <v>0</v>
      </c>
      <c r="AD66" s="33">
        <f t="shared" si="16"/>
        <v>0</v>
      </c>
      <c r="AE66" s="33">
        <f t="shared" si="16"/>
        <v>0</v>
      </c>
      <c r="AF66" s="58">
        <f t="shared" si="6"/>
        <v>0</v>
      </c>
      <c r="AH66" s="33">
        <f t="shared" si="13"/>
        <v>0</v>
      </c>
      <c r="AI66" s="33">
        <f t="shared" si="7"/>
        <v>58391.41333333333</v>
      </c>
      <c r="AJ66" s="33"/>
      <c r="AK66" s="191"/>
      <c r="AL66" s="191"/>
      <c r="AM66" s="191">
        <v>0</v>
      </c>
    </row>
    <row r="67" spans="1:39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Mar 2026'!$A$8:$F$206,6,FALSE)</f>
        <v>Chq Bk</v>
      </c>
      <c r="H67" s="211"/>
      <c r="I67" s="211"/>
      <c r="J67" s="211">
        <v>0</v>
      </c>
      <c r="K67" s="211">
        <v>0</v>
      </c>
      <c r="L67" s="211">
        <v>0</v>
      </c>
      <c r="M67" s="211">
        <v>23614.35</v>
      </c>
      <c r="N67" s="211">
        <v>365.71819999999911</v>
      </c>
      <c r="O67" s="211">
        <v>11338.666666666668</v>
      </c>
      <c r="P67" s="211">
        <v>11338.666666666668</v>
      </c>
      <c r="Q67" s="211">
        <v>0</v>
      </c>
      <c r="R67" s="211">
        <v>0</v>
      </c>
      <c r="S67" s="191">
        <v>0</v>
      </c>
      <c r="T67" s="191">
        <v>0</v>
      </c>
      <c r="U67" s="212">
        <f t="shared" si="12"/>
        <v>46657.401533333337</v>
      </c>
      <c r="W67" s="33">
        <f t="shared" si="3"/>
        <v>0</v>
      </c>
      <c r="X67" s="33">
        <f t="shared" si="14"/>
        <v>46657.401533333337</v>
      </c>
      <c r="Y67" s="33">
        <f t="shared" si="16"/>
        <v>0</v>
      </c>
      <c r="Z67" s="33">
        <f t="shared" si="16"/>
        <v>0</v>
      </c>
      <c r="AA67" s="33">
        <f t="shared" si="16"/>
        <v>0</v>
      </c>
      <c r="AB67" s="33">
        <f t="shared" si="16"/>
        <v>0</v>
      </c>
      <c r="AC67" s="33">
        <f t="shared" si="16"/>
        <v>0</v>
      </c>
      <c r="AD67" s="33">
        <f t="shared" si="16"/>
        <v>0</v>
      </c>
      <c r="AE67" s="33">
        <f t="shared" si="16"/>
        <v>0</v>
      </c>
      <c r="AF67" s="58">
        <f t="shared" si="6"/>
        <v>0</v>
      </c>
      <c r="AH67" s="33">
        <f t="shared" si="13"/>
        <v>0</v>
      </c>
      <c r="AI67" s="33">
        <f t="shared" si="7"/>
        <v>46657.401533333337</v>
      </c>
      <c r="AJ67" s="33"/>
      <c r="AK67" s="191"/>
      <c r="AL67" s="191"/>
      <c r="AM67" s="191">
        <v>0</v>
      </c>
    </row>
    <row r="68" spans="1:39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Mar 2026'!$A$8:$F$206,6,FALSE)</f>
        <v>Chq Bk</v>
      </c>
      <c r="H68" s="211"/>
      <c r="I68" s="211"/>
      <c r="J68" s="211">
        <v>0</v>
      </c>
      <c r="K68" s="211">
        <v>0</v>
      </c>
      <c r="L68" s="211">
        <v>0</v>
      </c>
      <c r="M68" s="211">
        <v>0</v>
      </c>
      <c r="N68" s="211">
        <v>0</v>
      </c>
      <c r="O68" s="211">
        <v>6500</v>
      </c>
      <c r="P68" s="211">
        <v>6500</v>
      </c>
      <c r="Q68" s="211">
        <v>0</v>
      </c>
      <c r="R68" s="211">
        <v>0</v>
      </c>
      <c r="S68" s="191">
        <v>0</v>
      </c>
      <c r="T68" s="191">
        <v>0</v>
      </c>
      <c r="U68" s="212">
        <f t="shared" si="12"/>
        <v>13000</v>
      </c>
      <c r="W68" s="33">
        <f t="shared" si="3"/>
        <v>0</v>
      </c>
      <c r="X68" s="33">
        <f t="shared" ref="X68:X87" si="17">SUMIF($H$3:$T$3,X$6,$H68:$T68)</f>
        <v>13000</v>
      </c>
      <c r="Y68" s="33">
        <f t="shared" ref="Y68:AE77" si="18">SUMIF($H$3:$S$3,Y$6,$H68:$S68)</f>
        <v>0</v>
      </c>
      <c r="Z68" s="33">
        <f t="shared" si="18"/>
        <v>0</v>
      </c>
      <c r="AA68" s="33">
        <f t="shared" si="18"/>
        <v>0</v>
      </c>
      <c r="AB68" s="33">
        <f t="shared" si="18"/>
        <v>0</v>
      </c>
      <c r="AC68" s="33">
        <f t="shared" si="18"/>
        <v>0</v>
      </c>
      <c r="AD68" s="33">
        <f t="shared" si="18"/>
        <v>0</v>
      </c>
      <c r="AE68" s="33">
        <f t="shared" si="18"/>
        <v>0</v>
      </c>
      <c r="AF68" s="58">
        <f t="shared" si="6"/>
        <v>0</v>
      </c>
      <c r="AH68" s="33">
        <f t="shared" si="13"/>
        <v>0</v>
      </c>
      <c r="AI68" s="33">
        <f t="shared" si="7"/>
        <v>13000</v>
      </c>
      <c r="AJ68" s="33"/>
      <c r="AK68" s="191"/>
      <c r="AL68" s="191"/>
      <c r="AM68" s="191">
        <v>0</v>
      </c>
    </row>
    <row r="69" spans="1:39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Mar 2026'!$A$8:$F$206,6,FALSE)</f>
        <v>Chq Bk</v>
      </c>
      <c r="H69" s="211"/>
      <c r="I69" s="211"/>
      <c r="J69" s="211">
        <v>0</v>
      </c>
      <c r="K69" s="211">
        <v>0</v>
      </c>
      <c r="L69" s="211">
        <v>0</v>
      </c>
      <c r="M69" s="211">
        <v>25163</v>
      </c>
      <c r="N69" s="211">
        <v>504.99666666666553</v>
      </c>
      <c r="O69" s="211">
        <v>30490.666666666668</v>
      </c>
      <c r="P69" s="211">
        <v>36028</v>
      </c>
      <c r="Q69" s="211">
        <v>0</v>
      </c>
      <c r="R69" s="211">
        <v>0</v>
      </c>
      <c r="S69" s="191">
        <v>0</v>
      </c>
      <c r="T69" s="191">
        <v>0</v>
      </c>
      <c r="U69" s="212">
        <f t="shared" si="12"/>
        <v>92186.66333333333</v>
      </c>
      <c r="W69" s="33">
        <f t="shared" si="3"/>
        <v>0</v>
      </c>
      <c r="X69" s="33">
        <f t="shared" si="17"/>
        <v>92186.66333333333</v>
      </c>
      <c r="Y69" s="33">
        <f t="shared" si="18"/>
        <v>0</v>
      </c>
      <c r="Z69" s="33">
        <f t="shared" si="18"/>
        <v>0</v>
      </c>
      <c r="AA69" s="33">
        <f t="shared" si="18"/>
        <v>0</v>
      </c>
      <c r="AB69" s="33">
        <f t="shared" si="18"/>
        <v>0</v>
      </c>
      <c r="AC69" s="33">
        <f t="shared" si="18"/>
        <v>0</v>
      </c>
      <c r="AD69" s="33">
        <f t="shared" si="18"/>
        <v>0</v>
      </c>
      <c r="AE69" s="33">
        <f t="shared" si="18"/>
        <v>0</v>
      </c>
      <c r="AF69" s="58">
        <f t="shared" si="6"/>
        <v>0</v>
      </c>
      <c r="AH69" s="33">
        <f t="shared" si="13"/>
        <v>0</v>
      </c>
      <c r="AI69" s="33">
        <f t="shared" si="7"/>
        <v>92186.66333333333</v>
      </c>
      <c r="AJ69" s="33"/>
      <c r="AK69" s="191"/>
      <c r="AL69" s="191"/>
      <c r="AM69" s="191">
        <v>0</v>
      </c>
    </row>
    <row r="70" spans="1:39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Mar 2026'!$A$8:$F$206,6,FALSE)</f>
        <v>Chq Bk</v>
      </c>
      <c r="H70" s="190"/>
      <c r="I70" s="190"/>
      <c r="J70" s="211">
        <v>0</v>
      </c>
      <c r="K70" s="211">
        <v>0</v>
      </c>
      <c r="L70" s="211">
        <v>0</v>
      </c>
      <c r="M70" s="211">
        <v>13028.4</v>
      </c>
      <c r="N70" s="211">
        <v>261.2666666666662</v>
      </c>
      <c r="O70" s="211">
        <v>15196.666666666666</v>
      </c>
      <c r="P70" s="211">
        <v>17932.716666666667</v>
      </c>
      <c r="Q70" s="211">
        <v>0</v>
      </c>
      <c r="R70" s="211">
        <v>0</v>
      </c>
      <c r="S70" s="191">
        <v>0</v>
      </c>
      <c r="T70" s="191">
        <v>0</v>
      </c>
      <c r="U70" s="212">
        <f t="shared" si="12"/>
        <v>46419.05</v>
      </c>
      <c r="W70" s="33">
        <f t="shared" si="3"/>
        <v>0</v>
      </c>
      <c r="X70" s="33">
        <f t="shared" si="17"/>
        <v>46419.05</v>
      </c>
      <c r="Y70" s="33">
        <f t="shared" si="18"/>
        <v>0</v>
      </c>
      <c r="Z70" s="33">
        <f t="shared" si="18"/>
        <v>0</v>
      </c>
      <c r="AA70" s="33">
        <f t="shared" si="18"/>
        <v>0</v>
      </c>
      <c r="AB70" s="33">
        <f t="shared" si="18"/>
        <v>0</v>
      </c>
      <c r="AC70" s="33">
        <f t="shared" si="18"/>
        <v>0</v>
      </c>
      <c r="AD70" s="33">
        <f t="shared" si="18"/>
        <v>0</v>
      </c>
      <c r="AE70" s="33">
        <f t="shared" si="18"/>
        <v>0</v>
      </c>
      <c r="AF70" s="58">
        <f t="shared" ref="AF70:AF133" si="19">SUM(W70:AE70)-U70</f>
        <v>0</v>
      </c>
      <c r="AH70" s="33">
        <f t="shared" si="13"/>
        <v>0</v>
      </c>
      <c r="AI70" s="33">
        <f t="shared" si="7"/>
        <v>46419.05</v>
      </c>
      <c r="AJ70" s="33"/>
      <c r="AK70" s="191"/>
      <c r="AL70" s="191"/>
      <c r="AM70" s="191">
        <v>0</v>
      </c>
    </row>
    <row r="71" spans="1:39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Mar 2026'!$A$8:$F$206,6,FALSE)</f>
        <v>Chq Bk</v>
      </c>
      <c r="H71" s="190"/>
      <c r="I71" s="190"/>
      <c r="J71" s="211">
        <v>0</v>
      </c>
      <c r="K71" s="211">
        <v>0</v>
      </c>
      <c r="L71" s="211">
        <v>0</v>
      </c>
      <c r="M71" s="211">
        <v>167799.65</v>
      </c>
      <c r="N71" s="211">
        <v>2262.6999999999966</v>
      </c>
      <c r="O71" s="211">
        <v>136902.67333333334</v>
      </c>
      <c r="P71" s="211">
        <v>137905</v>
      </c>
      <c r="Q71" s="211">
        <v>0</v>
      </c>
      <c r="R71" s="211">
        <v>0</v>
      </c>
      <c r="S71" s="191">
        <v>0</v>
      </c>
      <c r="T71" s="191">
        <v>0</v>
      </c>
      <c r="U71" s="212">
        <f t="shared" ref="U71:U102" si="20">SUM(H71:T71)</f>
        <v>444870.02333333332</v>
      </c>
      <c r="W71" s="33">
        <f t="shared" si="3"/>
        <v>0</v>
      </c>
      <c r="X71" s="33">
        <f t="shared" si="17"/>
        <v>444870.02333333332</v>
      </c>
      <c r="Y71" s="33">
        <f t="shared" si="18"/>
        <v>0</v>
      </c>
      <c r="Z71" s="33">
        <f t="shared" si="18"/>
        <v>0</v>
      </c>
      <c r="AA71" s="33">
        <f t="shared" si="18"/>
        <v>0</v>
      </c>
      <c r="AB71" s="33">
        <f t="shared" si="18"/>
        <v>0</v>
      </c>
      <c r="AC71" s="33">
        <f t="shared" si="18"/>
        <v>0</v>
      </c>
      <c r="AD71" s="33">
        <f t="shared" si="18"/>
        <v>0</v>
      </c>
      <c r="AE71" s="33">
        <f t="shared" si="18"/>
        <v>0</v>
      </c>
      <c r="AF71" s="58">
        <f t="shared" si="19"/>
        <v>0</v>
      </c>
      <c r="AH71" s="33">
        <f t="shared" ref="AH71:AH102" si="21">SUMIFS($H71:$T71,$H$3:$T$3,AH$6,$H$1:$T$1,$AH$5)+AK71+AL71</f>
        <v>0</v>
      </c>
      <c r="AI71" s="33">
        <f t="shared" si="7"/>
        <v>444870.02333333332</v>
      </c>
      <c r="AJ71" s="33"/>
      <c r="AK71" s="191"/>
      <c r="AL71" s="191"/>
      <c r="AM71" s="191">
        <v>0</v>
      </c>
    </row>
    <row r="72" spans="1:39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Mar 2026'!$A$8:$F$206,6,FALSE)</f>
        <v>Chq Bk</v>
      </c>
      <c r="H72" s="190"/>
      <c r="I72" s="190"/>
      <c r="J72" s="211">
        <v>0</v>
      </c>
      <c r="K72" s="211">
        <v>0</v>
      </c>
      <c r="L72" s="211">
        <v>0</v>
      </c>
      <c r="M72" s="211">
        <v>34575.26</v>
      </c>
      <c r="N72" s="211">
        <v>694.73999999999887</v>
      </c>
      <c r="O72" s="211">
        <v>36929.333333333336</v>
      </c>
      <c r="P72" s="211">
        <v>29453.666666666668</v>
      </c>
      <c r="Q72" s="211">
        <v>0</v>
      </c>
      <c r="R72" s="211">
        <v>0</v>
      </c>
      <c r="S72" s="191">
        <v>0</v>
      </c>
      <c r="T72" s="191">
        <v>0</v>
      </c>
      <c r="U72" s="212">
        <f t="shared" si="20"/>
        <v>101653.00000000001</v>
      </c>
      <c r="W72" s="33">
        <f t="shared" ref="W72:W135" si="22">SUMIF($H$3:$T$3,W$6,$H72:$T72)+AK72</f>
        <v>0</v>
      </c>
      <c r="X72" s="33">
        <f t="shared" si="17"/>
        <v>101653.00000000001</v>
      </c>
      <c r="Y72" s="33">
        <f t="shared" si="18"/>
        <v>0</v>
      </c>
      <c r="Z72" s="33">
        <f t="shared" si="18"/>
        <v>0</v>
      </c>
      <c r="AA72" s="33">
        <f t="shared" si="18"/>
        <v>0</v>
      </c>
      <c r="AB72" s="33">
        <f t="shared" si="18"/>
        <v>0</v>
      </c>
      <c r="AC72" s="33">
        <f t="shared" si="18"/>
        <v>0</v>
      </c>
      <c r="AD72" s="33">
        <f t="shared" si="18"/>
        <v>0</v>
      </c>
      <c r="AE72" s="33">
        <f t="shared" si="18"/>
        <v>0</v>
      </c>
      <c r="AF72" s="58">
        <f t="shared" si="19"/>
        <v>0</v>
      </c>
      <c r="AH72" s="33">
        <f t="shared" si="21"/>
        <v>0</v>
      </c>
      <c r="AI72" s="33">
        <f t="shared" ref="AI72:AI135" si="23">SUMIFS($H72:$T72,$H$3:$T$3,AI$6,$H$1:$T$1,$AH$5)+AM72</f>
        <v>101653.00000000001</v>
      </c>
      <c r="AJ72" s="33"/>
      <c r="AK72" s="191"/>
      <c r="AL72" s="191"/>
      <c r="AM72" s="191">
        <v>0</v>
      </c>
    </row>
    <row r="73" spans="1:39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Mar 2026'!$A$8:$F$206,6,FALSE)</f>
        <v>Chq Bk</v>
      </c>
      <c r="H73" s="190"/>
      <c r="I73" s="190"/>
      <c r="J73" s="211">
        <v>0</v>
      </c>
      <c r="K73" s="211">
        <v>0</v>
      </c>
      <c r="L73" s="211">
        <v>0</v>
      </c>
      <c r="M73" s="211">
        <v>19108.32</v>
      </c>
      <c r="N73" s="211">
        <v>331.35999999999967</v>
      </c>
      <c r="O73" s="211">
        <v>19713.336666666666</v>
      </c>
      <c r="P73" s="211">
        <v>32757.329999999998</v>
      </c>
      <c r="Q73" s="211">
        <v>0</v>
      </c>
      <c r="R73" s="211">
        <v>0</v>
      </c>
      <c r="S73" s="191">
        <v>0</v>
      </c>
      <c r="T73" s="191">
        <v>0</v>
      </c>
      <c r="U73" s="212">
        <f t="shared" si="20"/>
        <v>71910.346666666665</v>
      </c>
      <c r="W73" s="33">
        <f t="shared" si="22"/>
        <v>0</v>
      </c>
      <c r="X73" s="33">
        <f t="shared" si="17"/>
        <v>71910.346666666665</v>
      </c>
      <c r="Y73" s="33">
        <f t="shared" si="18"/>
        <v>0</v>
      </c>
      <c r="Z73" s="33">
        <f t="shared" si="18"/>
        <v>0</v>
      </c>
      <c r="AA73" s="33">
        <f t="shared" si="18"/>
        <v>0</v>
      </c>
      <c r="AB73" s="33">
        <f t="shared" si="18"/>
        <v>0</v>
      </c>
      <c r="AC73" s="33">
        <f t="shared" si="18"/>
        <v>0</v>
      </c>
      <c r="AD73" s="33">
        <f t="shared" si="18"/>
        <v>0</v>
      </c>
      <c r="AE73" s="33">
        <f t="shared" si="18"/>
        <v>0</v>
      </c>
      <c r="AF73" s="58">
        <f t="shared" si="19"/>
        <v>0</v>
      </c>
      <c r="AH73" s="33">
        <f t="shared" si="21"/>
        <v>0</v>
      </c>
      <c r="AI73" s="33">
        <f t="shared" si="23"/>
        <v>71910.346666666665</v>
      </c>
      <c r="AJ73" s="33"/>
      <c r="AK73" s="191"/>
      <c r="AL73" s="191"/>
      <c r="AM73" s="191">
        <v>0</v>
      </c>
    </row>
    <row r="74" spans="1:39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Mar 2026'!$A$8:$F$206,6,FALSE)</f>
        <v>Chq Bk</v>
      </c>
      <c r="H74" s="190"/>
      <c r="I74" s="190"/>
      <c r="J74" s="211">
        <v>0</v>
      </c>
      <c r="K74" s="211">
        <v>0</v>
      </c>
      <c r="L74" s="211">
        <v>0</v>
      </c>
      <c r="M74" s="211">
        <v>22339.1</v>
      </c>
      <c r="N74" s="211">
        <v>316.01666666666597</v>
      </c>
      <c r="O74" s="211">
        <v>6430</v>
      </c>
      <c r="P74" s="211">
        <v>6430</v>
      </c>
      <c r="Q74" s="211">
        <v>0</v>
      </c>
      <c r="R74" s="211">
        <v>0</v>
      </c>
      <c r="S74" s="191">
        <v>0</v>
      </c>
      <c r="T74" s="191">
        <v>0</v>
      </c>
      <c r="U74" s="212">
        <f t="shared" si="20"/>
        <v>35515.116666666669</v>
      </c>
      <c r="W74" s="33">
        <f t="shared" si="22"/>
        <v>0</v>
      </c>
      <c r="X74" s="33">
        <f t="shared" si="17"/>
        <v>35515.116666666669</v>
      </c>
      <c r="Y74" s="33">
        <f t="shared" si="18"/>
        <v>0</v>
      </c>
      <c r="Z74" s="33">
        <f t="shared" si="18"/>
        <v>0</v>
      </c>
      <c r="AA74" s="33">
        <f t="shared" si="18"/>
        <v>0</v>
      </c>
      <c r="AB74" s="33">
        <f t="shared" si="18"/>
        <v>0</v>
      </c>
      <c r="AC74" s="33">
        <f t="shared" si="18"/>
        <v>0</v>
      </c>
      <c r="AD74" s="33">
        <f t="shared" si="18"/>
        <v>0</v>
      </c>
      <c r="AE74" s="33">
        <f t="shared" si="18"/>
        <v>0</v>
      </c>
      <c r="AF74" s="58">
        <f t="shared" si="19"/>
        <v>0</v>
      </c>
      <c r="AH74" s="33">
        <f t="shared" si="21"/>
        <v>0</v>
      </c>
      <c r="AI74" s="33">
        <f t="shared" si="23"/>
        <v>35515.116666666669</v>
      </c>
      <c r="AJ74" s="33"/>
      <c r="AK74" s="191"/>
      <c r="AL74" s="191"/>
      <c r="AM74" s="191">
        <v>0</v>
      </c>
    </row>
    <row r="75" spans="1:39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Mar 2026'!$A$8:$F$206,6,FALSE)</f>
        <v>Chq Bk</v>
      </c>
      <c r="H75" s="190"/>
      <c r="I75" s="190"/>
      <c r="J75" s="211">
        <v>0</v>
      </c>
      <c r="K75" s="211">
        <v>0</v>
      </c>
      <c r="L75" s="211">
        <v>0</v>
      </c>
      <c r="M75" s="211">
        <v>44012.76</v>
      </c>
      <c r="N75" s="211">
        <v>635.85373333333246</v>
      </c>
      <c r="O75" s="211">
        <v>40780.006666666668</v>
      </c>
      <c r="P75" s="211">
        <v>38863</v>
      </c>
      <c r="Q75" s="211">
        <v>0</v>
      </c>
      <c r="R75" s="211">
        <v>0</v>
      </c>
      <c r="S75" s="191">
        <v>0</v>
      </c>
      <c r="T75" s="191">
        <v>0</v>
      </c>
      <c r="U75" s="212">
        <f t="shared" si="20"/>
        <v>124291.6204</v>
      </c>
      <c r="W75" s="33">
        <f t="shared" si="22"/>
        <v>0</v>
      </c>
      <c r="X75" s="33">
        <f t="shared" si="17"/>
        <v>124291.6204</v>
      </c>
      <c r="Y75" s="33">
        <f t="shared" si="18"/>
        <v>0</v>
      </c>
      <c r="Z75" s="33">
        <f t="shared" si="18"/>
        <v>0</v>
      </c>
      <c r="AA75" s="33">
        <f t="shared" si="18"/>
        <v>0</v>
      </c>
      <c r="AB75" s="33">
        <f t="shared" si="18"/>
        <v>0</v>
      </c>
      <c r="AC75" s="33">
        <f t="shared" si="18"/>
        <v>0</v>
      </c>
      <c r="AD75" s="33">
        <f t="shared" si="18"/>
        <v>0</v>
      </c>
      <c r="AE75" s="33">
        <f t="shared" si="18"/>
        <v>0</v>
      </c>
      <c r="AF75" s="58">
        <f t="shared" si="19"/>
        <v>0</v>
      </c>
      <c r="AH75" s="33">
        <f t="shared" si="21"/>
        <v>0</v>
      </c>
      <c r="AI75" s="33">
        <f t="shared" si="23"/>
        <v>124291.6204</v>
      </c>
      <c r="AJ75" s="33"/>
      <c r="AK75" s="191"/>
      <c r="AL75" s="191"/>
      <c r="AM75" s="191">
        <v>0</v>
      </c>
    </row>
    <row r="76" spans="1:39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Mar 2026'!$A$8:$F$206,6,FALSE)</f>
        <v>Chq Bk</v>
      </c>
      <c r="H76" s="190"/>
      <c r="I76" s="190"/>
      <c r="J76" s="211">
        <v>0</v>
      </c>
      <c r="K76" s="211">
        <v>0</v>
      </c>
      <c r="L76" s="211">
        <v>0</v>
      </c>
      <c r="M76" s="211">
        <v>43711.57</v>
      </c>
      <c r="N76" s="211">
        <v>874.09666666666499</v>
      </c>
      <c r="O76" s="211">
        <v>72318.666666666657</v>
      </c>
      <c r="P76" s="211">
        <v>76035.333333333328</v>
      </c>
      <c r="Q76" s="211">
        <v>0</v>
      </c>
      <c r="R76" s="211">
        <v>44239.568333333336</v>
      </c>
      <c r="S76" s="191">
        <v>0</v>
      </c>
      <c r="T76" s="191">
        <v>0</v>
      </c>
      <c r="U76" s="212">
        <f t="shared" si="20"/>
        <v>237179.23499999996</v>
      </c>
      <c r="W76" s="33">
        <f t="shared" si="22"/>
        <v>31599.688333333335</v>
      </c>
      <c r="X76" s="33">
        <f t="shared" si="17"/>
        <v>192939.66666666663</v>
      </c>
      <c r="Y76" s="33">
        <f t="shared" si="18"/>
        <v>0</v>
      </c>
      <c r="Z76" s="33">
        <f t="shared" si="18"/>
        <v>0</v>
      </c>
      <c r="AA76" s="33">
        <f t="shared" si="18"/>
        <v>0</v>
      </c>
      <c r="AB76" s="33">
        <f t="shared" si="18"/>
        <v>0</v>
      </c>
      <c r="AC76" s="33">
        <f t="shared" si="18"/>
        <v>0</v>
      </c>
      <c r="AD76" s="33">
        <f t="shared" si="18"/>
        <v>0</v>
      </c>
      <c r="AE76" s="33">
        <f t="shared" si="18"/>
        <v>0</v>
      </c>
      <c r="AF76" s="58">
        <f>SUM(W76:AE76)-U76-AK76</f>
        <v>0</v>
      </c>
      <c r="AH76" s="33">
        <f t="shared" si="21"/>
        <v>31599.688333333335</v>
      </c>
      <c r="AI76" s="33">
        <f t="shared" si="23"/>
        <v>204722.33666666664</v>
      </c>
      <c r="AJ76" s="33"/>
      <c r="AK76" s="191">
        <f>31599.69-44239.57</f>
        <v>-12639.880000000001</v>
      </c>
      <c r="AL76" s="191"/>
      <c r="AM76" s="191">
        <v>11782.67</v>
      </c>
    </row>
    <row r="77" spans="1:39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Mar 2026'!$A$8:$F$206,6,FALSE)</f>
        <v>Chq Bk</v>
      </c>
      <c r="H77" s="190"/>
      <c r="I77" s="190"/>
      <c r="J77" s="211">
        <v>0</v>
      </c>
      <c r="K77" s="211">
        <v>0</v>
      </c>
      <c r="L77" s="211">
        <v>0</v>
      </c>
      <c r="M77" s="211">
        <v>22199.8</v>
      </c>
      <c r="N77" s="211">
        <v>261.59999999999945</v>
      </c>
      <c r="O77" s="211">
        <v>8890.6666666666661</v>
      </c>
      <c r="P77" s="211">
        <v>8890.6666666666661</v>
      </c>
      <c r="Q77" s="211">
        <v>0</v>
      </c>
      <c r="R77" s="211">
        <v>0</v>
      </c>
      <c r="S77" s="191">
        <v>0</v>
      </c>
      <c r="T77" s="191">
        <v>0</v>
      </c>
      <c r="U77" s="212">
        <f t="shared" si="20"/>
        <v>40242.73333333333</v>
      </c>
      <c r="W77" s="33">
        <f t="shared" si="22"/>
        <v>0</v>
      </c>
      <c r="X77" s="33">
        <f t="shared" si="17"/>
        <v>40242.73333333333</v>
      </c>
      <c r="Y77" s="33">
        <f t="shared" si="18"/>
        <v>0</v>
      </c>
      <c r="Z77" s="33">
        <f t="shared" si="18"/>
        <v>0</v>
      </c>
      <c r="AA77" s="33">
        <f t="shared" si="18"/>
        <v>0</v>
      </c>
      <c r="AB77" s="33">
        <f t="shared" si="18"/>
        <v>0</v>
      </c>
      <c r="AC77" s="33">
        <f t="shared" si="18"/>
        <v>0</v>
      </c>
      <c r="AD77" s="33">
        <f t="shared" si="18"/>
        <v>0</v>
      </c>
      <c r="AE77" s="33">
        <f t="shared" si="18"/>
        <v>0</v>
      </c>
      <c r="AF77" s="58">
        <f t="shared" si="19"/>
        <v>0</v>
      </c>
      <c r="AH77" s="33">
        <f t="shared" si="21"/>
        <v>0</v>
      </c>
      <c r="AI77" s="33">
        <f t="shared" si="23"/>
        <v>40242.73333333333</v>
      </c>
      <c r="AJ77" s="33"/>
      <c r="AK77" s="191"/>
      <c r="AL77" s="191"/>
      <c r="AM77" s="191">
        <v>0</v>
      </c>
    </row>
    <row r="78" spans="1:39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Mar 2026'!$A$8:$F$206,6,FALSE)</f>
        <v>Chq Bk</v>
      </c>
      <c r="H78" s="190"/>
      <c r="I78" s="190"/>
      <c r="J78" s="211">
        <v>0</v>
      </c>
      <c r="K78" s="211">
        <v>0</v>
      </c>
      <c r="L78" s="211">
        <v>0</v>
      </c>
      <c r="M78" s="211">
        <v>35430.089999999997</v>
      </c>
      <c r="N78" s="211">
        <v>680.02999999999884</v>
      </c>
      <c r="O78" s="211">
        <v>40517</v>
      </c>
      <c r="P78" s="211">
        <v>34190.663333333338</v>
      </c>
      <c r="Q78" s="211">
        <v>0</v>
      </c>
      <c r="R78" s="211">
        <v>0</v>
      </c>
      <c r="S78" s="191">
        <v>0</v>
      </c>
      <c r="T78" s="191">
        <v>0</v>
      </c>
      <c r="U78" s="212">
        <f t="shared" si="20"/>
        <v>110817.78333333333</v>
      </c>
      <c r="W78" s="33">
        <f t="shared" si="22"/>
        <v>0</v>
      </c>
      <c r="X78" s="33">
        <f t="shared" si="17"/>
        <v>110817.78333333333</v>
      </c>
      <c r="Y78" s="33">
        <f t="shared" ref="Y78:AE87" si="24">SUMIF($H$3:$S$3,Y$6,$H78:$S78)</f>
        <v>0</v>
      </c>
      <c r="Z78" s="33">
        <f t="shared" si="24"/>
        <v>0</v>
      </c>
      <c r="AA78" s="33">
        <f t="shared" si="24"/>
        <v>0</v>
      </c>
      <c r="AB78" s="33">
        <f t="shared" si="24"/>
        <v>0</v>
      </c>
      <c r="AC78" s="33">
        <f t="shared" si="24"/>
        <v>0</v>
      </c>
      <c r="AD78" s="33">
        <f t="shared" si="24"/>
        <v>0</v>
      </c>
      <c r="AE78" s="33">
        <f t="shared" si="24"/>
        <v>0</v>
      </c>
      <c r="AF78" s="58">
        <f t="shared" si="19"/>
        <v>0</v>
      </c>
      <c r="AH78" s="33">
        <f t="shared" si="21"/>
        <v>0</v>
      </c>
      <c r="AI78" s="33">
        <f t="shared" si="23"/>
        <v>110817.78333333333</v>
      </c>
      <c r="AJ78" s="33"/>
      <c r="AK78" s="191"/>
      <c r="AL78" s="191"/>
      <c r="AM78" s="191">
        <v>0</v>
      </c>
    </row>
    <row r="79" spans="1:39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Mar 2026'!$A$8:$F$206,6,FALSE)</f>
        <v>Chq Bk</v>
      </c>
      <c r="H79" s="190"/>
      <c r="I79" s="190"/>
      <c r="J79" s="211">
        <v>0</v>
      </c>
      <c r="K79" s="211">
        <v>0</v>
      </c>
      <c r="L79" s="211">
        <v>0</v>
      </c>
      <c r="M79" s="211">
        <v>33518.769999999997</v>
      </c>
      <c r="N79" s="211">
        <v>609.11333333333232</v>
      </c>
      <c r="O79" s="211">
        <v>41369.673333333332</v>
      </c>
      <c r="P79" s="211">
        <v>51060.333333333336</v>
      </c>
      <c r="Q79" s="211">
        <v>0</v>
      </c>
      <c r="R79" s="211">
        <v>0</v>
      </c>
      <c r="S79" s="191">
        <v>0</v>
      </c>
      <c r="T79" s="191">
        <v>0</v>
      </c>
      <c r="U79" s="212">
        <f t="shared" si="20"/>
        <v>126557.89000000001</v>
      </c>
      <c r="W79" s="33">
        <f t="shared" si="22"/>
        <v>0</v>
      </c>
      <c r="X79" s="33">
        <f t="shared" si="17"/>
        <v>126557.89000000001</v>
      </c>
      <c r="Y79" s="33">
        <f t="shared" si="24"/>
        <v>0</v>
      </c>
      <c r="Z79" s="33">
        <f t="shared" si="24"/>
        <v>0</v>
      </c>
      <c r="AA79" s="33">
        <f t="shared" si="24"/>
        <v>0</v>
      </c>
      <c r="AB79" s="33">
        <f t="shared" si="24"/>
        <v>0</v>
      </c>
      <c r="AC79" s="33">
        <f t="shared" si="24"/>
        <v>0</v>
      </c>
      <c r="AD79" s="33">
        <f t="shared" si="24"/>
        <v>0</v>
      </c>
      <c r="AE79" s="33">
        <f t="shared" si="24"/>
        <v>0</v>
      </c>
      <c r="AF79" s="58">
        <f t="shared" si="19"/>
        <v>0</v>
      </c>
      <c r="AH79" s="33">
        <f t="shared" si="21"/>
        <v>0</v>
      </c>
      <c r="AI79" s="33">
        <f t="shared" si="23"/>
        <v>126557.89000000001</v>
      </c>
      <c r="AJ79" s="33"/>
      <c r="AK79" s="191"/>
      <c r="AL79" s="191"/>
      <c r="AM79" s="191">
        <v>0</v>
      </c>
    </row>
    <row r="80" spans="1:39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Mar 2026'!$A$8:$F$206,6,FALSE)</f>
        <v>Chq Bk</v>
      </c>
      <c r="H80" s="190"/>
      <c r="I80" s="190"/>
      <c r="J80" s="211">
        <v>0</v>
      </c>
      <c r="K80" s="211">
        <v>0</v>
      </c>
      <c r="L80" s="211">
        <v>0</v>
      </c>
      <c r="M80" s="211">
        <v>53244.160000000003</v>
      </c>
      <c r="N80" s="211">
        <v>1015.5866666666652</v>
      </c>
      <c r="O80" s="211">
        <v>54444.009999999995</v>
      </c>
      <c r="P80" s="211">
        <v>65050.999999999993</v>
      </c>
      <c r="Q80" s="211">
        <v>0</v>
      </c>
      <c r="R80" s="211">
        <v>0</v>
      </c>
      <c r="S80" s="191">
        <v>0</v>
      </c>
      <c r="T80" s="191">
        <v>0</v>
      </c>
      <c r="U80" s="212">
        <f t="shared" si="20"/>
        <v>173754.75666666665</v>
      </c>
      <c r="W80" s="33">
        <f t="shared" si="22"/>
        <v>0</v>
      </c>
      <c r="X80" s="33">
        <f t="shared" si="17"/>
        <v>173754.75666666665</v>
      </c>
      <c r="Y80" s="33">
        <f t="shared" si="24"/>
        <v>0</v>
      </c>
      <c r="Z80" s="33">
        <f t="shared" si="24"/>
        <v>0</v>
      </c>
      <c r="AA80" s="33">
        <f t="shared" si="24"/>
        <v>0</v>
      </c>
      <c r="AB80" s="33">
        <f t="shared" si="24"/>
        <v>0</v>
      </c>
      <c r="AC80" s="33">
        <f t="shared" si="24"/>
        <v>0</v>
      </c>
      <c r="AD80" s="33">
        <f t="shared" si="24"/>
        <v>0</v>
      </c>
      <c r="AE80" s="33">
        <f t="shared" si="24"/>
        <v>0</v>
      </c>
      <c r="AF80" s="58">
        <f t="shared" si="19"/>
        <v>0</v>
      </c>
      <c r="AH80" s="33">
        <f t="shared" si="21"/>
        <v>0</v>
      </c>
      <c r="AI80" s="33">
        <f t="shared" si="23"/>
        <v>173754.75666666665</v>
      </c>
      <c r="AJ80" s="33"/>
      <c r="AK80" s="191"/>
      <c r="AL80" s="191"/>
      <c r="AM80" s="191">
        <v>0</v>
      </c>
    </row>
    <row r="81" spans="1:39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Mar 2026'!$A$8:$F$206,6,FALSE)</f>
        <v>Chq Bk</v>
      </c>
      <c r="H81" s="190">
        <v>113400</v>
      </c>
      <c r="I81" s="190">
        <v>4200</v>
      </c>
      <c r="J81" s="211">
        <v>65100</v>
      </c>
      <c r="K81" s="211">
        <v>0</v>
      </c>
      <c r="L81" s="211">
        <v>107100</v>
      </c>
      <c r="M81" s="211">
        <v>0</v>
      </c>
      <c r="N81" s="211">
        <v>0</v>
      </c>
      <c r="O81" s="211">
        <v>0</v>
      </c>
      <c r="P81" s="211">
        <v>0</v>
      </c>
      <c r="Q81" s="211">
        <v>0</v>
      </c>
      <c r="R81" s="211">
        <v>0</v>
      </c>
      <c r="S81" s="191">
        <v>0</v>
      </c>
      <c r="T81" s="191">
        <v>0</v>
      </c>
      <c r="U81" s="212">
        <f t="shared" si="20"/>
        <v>289800</v>
      </c>
      <c r="W81" s="33">
        <f t="shared" si="22"/>
        <v>0</v>
      </c>
      <c r="X81" s="33">
        <f t="shared" si="17"/>
        <v>289800</v>
      </c>
      <c r="Y81" s="33">
        <f t="shared" si="24"/>
        <v>0</v>
      </c>
      <c r="Z81" s="33">
        <f t="shared" si="24"/>
        <v>0</v>
      </c>
      <c r="AA81" s="33">
        <f t="shared" si="24"/>
        <v>0</v>
      </c>
      <c r="AB81" s="33">
        <f t="shared" si="24"/>
        <v>0</v>
      </c>
      <c r="AC81" s="33">
        <f t="shared" si="24"/>
        <v>0</v>
      </c>
      <c r="AD81" s="33">
        <f t="shared" si="24"/>
        <v>0</v>
      </c>
      <c r="AE81" s="33">
        <f t="shared" si="24"/>
        <v>0</v>
      </c>
      <c r="AF81" s="58">
        <f t="shared" si="19"/>
        <v>0</v>
      </c>
      <c r="AH81" s="33">
        <f t="shared" si="21"/>
        <v>0</v>
      </c>
      <c r="AI81" s="33">
        <f t="shared" si="23"/>
        <v>393750</v>
      </c>
      <c r="AJ81" s="33"/>
      <c r="AK81" s="191"/>
      <c r="AL81" s="191"/>
      <c r="AM81" s="191">
        <v>103950</v>
      </c>
    </row>
    <row r="82" spans="1:39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Mar 2026'!$A$8:$F$206,6,FALSE)</f>
        <v>Chq Bk</v>
      </c>
      <c r="H82" s="190"/>
      <c r="I82" s="190"/>
      <c r="J82" s="211">
        <v>0</v>
      </c>
      <c r="K82" s="211">
        <v>0</v>
      </c>
      <c r="L82" s="211">
        <v>0</v>
      </c>
      <c r="M82" s="211">
        <v>15579.8</v>
      </c>
      <c r="N82" s="211">
        <v>285.32999999999947</v>
      </c>
      <c r="O82" s="211">
        <v>21811.670000000002</v>
      </c>
      <c r="P82" s="211">
        <v>23196</v>
      </c>
      <c r="Q82" s="211">
        <v>0</v>
      </c>
      <c r="R82" s="211">
        <v>0</v>
      </c>
      <c r="S82" s="191">
        <v>0</v>
      </c>
      <c r="T82" s="191">
        <v>0</v>
      </c>
      <c r="U82" s="212">
        <f t="shared" si="20"/>
        <v>60872.800000000003</v>
      </c>
      <c r="W82" s="33">
        <f t="shared" si="22"/>
        <v>0</v>
      </c>
      <c r="X82" s="33">
        <f t="shared" si="17"/>
        <v>60872.800000000003</v>
      </c>
      <c r="Y82" s="33">
        <f t="shared" si="24"/>
        <v>0</v>
      </c>
      <c r="Z82" s="33">
        <f t="shared" si="24"/>
        <v>0</v>
      </c>
      <c r="AA82" s="33">
        <f t="shared" si="24"/>
        <v>0</v>
      </c>
      <c r="AB82" s="33">
        <f t="shared" si="24"/>
        <v>0</v>
      </c>
      <c r="AC82" s="33">
        <f t="shared" si="24"/>
        <v>0</v>
      </c>
      <c r="AD82" s="33">
        <f t="shared" si="24"/>
        <v>0</v>
      </c>
      <c r="AE82" s="33">
        <f t="shared" si="24"/>
        <v>0</v>
      </c>
      <c r="AF82" s="58">
        <f t="shared" si="19"/>
        <v>0</v>
      </c>
      <c r="AH82" s="33">
        <f t="shared" si="21"/>
        <v>0</v>
      </c>
      <c r="AI82" s="33">
        <f t="shared" si="23"/>
        <v>60872.800000000003</v>
      </c>
      <c r="AJ82" s="33"/>
      <c r="AK82" s="191"/>
      <c r="AL82" s="191"/>
      <c r="AM82" s="191">
        <v>0</v>
      </c>
    </row>
    <row r="83" spans="1:39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Mar 2026'!$A$8:$F$206,6,FALSE)</f>
        <v>Chq Bk</v>
      </c>
      <c r="H83" s="190"/>
      <c r="I83" s="190"/>
      <c r="J83" s="211">
        <v>6300</v>
      </c>
      <c r="K83" s="211">
        <v>0</v>
      </c>
      <c r="L83" s="211">
        <v>6300</v>
      </c>
      <c r="M83" s="211">
        <v>0</v>
      </c>
      <c r="N83" s="211">
        <v>0</v>
      </c>
      <c r="O83" s="211">
        <v>0</v>
      </c>
      <c r="P83" s="211">
        <v>0</v>
      </c>
      <c r="Q83" s="211">
        <v>0</v>
      </c>
      <c r="R83" s="211">
        <v>0</v>
      </c>
      <c r="S83" s="191">
        <v>0</v>
      </c>
      <c r="T83" s="191">
        <v>0</v>
      </c>
      <c r="U83" s="212">
        <f t="shared" si="20"/>
        <v>12600</v>
      </c>
      <c r="W83" s="33">
        <f t="shared" si="22"/>
        <v>0</v>
      </c>
      <c r="X83" s="33">
        <f t="shared" si="17"/>
        <v>12600</v>
      </c>
      <c r="Y83" s="33">
        <f t="shared" si="24"/>
        <v>0</v>
      </c>
      <c r="Z83" s="33">
        <f t="shared" si="24"/>
        <v>0</v>
      </c>
      <c r="AA83" s="33">
        <f t="shared" si="24"/>
        <v>0</v>
      </c>
      <c r="AB83" s="33">
        <f t="shared" si="24"/>
        <v>0</v>
      </c>
      <c r="AC83" s="33">
        <f t="shared" si="24"/>
        <v>0</v>
      </c>
      <c r="AD83" s="33">
        <f t="shared" si="24"/>
        <v>0</v>
      </c>
      <c r="AE83" s="33">
        <f t="shared" si="24"/>
        <v>0</v>
      </c>
      <c r="AF83" s="58">
        <f t="shared" si="19"/>
        <v>0</v>
      </c>
      <c r="AH83" s="33">
        <f t="shared" si="21"/>
        <v>0</v>
      </c>
      <c r="AI83" s="33">
        <f t="shared" si="23"/>
        <v>37800</v>
      </c>
      <c r="AJ83" s="33"/>
      <c r="AK83" s="191"/>
      <c r="AL83" s="191"/>
      <c r="AM83" s="191">
        <v>25200</v>
      </c>
    </row>
    <row r="84" spans="1:39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Mar 2026'!$A$8:$F$206,6,FALSE)</f>
        <v>Chq Bk</v>
      </c>
      <c r="H84" s="190"/>
      <c r="I84" s="190"/>
      <c r="J84" s="211">
        <v>0</v>
      </c>
      <c r="K84" s="211">
        <v>0</v>
      </c>
      <c r="L84" s="211">
        <v>0</v>
      </c>
      <c r="M84" s="211">
        <v>69620.5</v>
      </c>
      <c r="N84" s="211">
        <v>1085.6233333333321</v>
      </c>
      <c r="O84" s="211">
        <v>85264</v>
      </c>
      <c r="P84" s="211">
        <v>117980.15666666668</v>
      </c>
      <c r="Q84" s="211">
        <v>0</v>
      </c>
      <c r="R84" s="211">
        <v>0</v>
      </c>
      <c r="S84" s="191">
        <v>0</v>
      </c>
      <c r="T84" s="191">
        <v>0</v>
      </c>
      <c r="U84" s="212">
        <f t="shared" si="20"/>
        <v>273950.28000000003</v>
      </c>
      <c r="W84" s="33">
        <f t="shared" si="22"/>
        <v>0</v>
      </c>
      <c r="X84" s="33">
        <f t="shared" si="17"/>
        <v>273950.28000000003</v>
      </c>
      <c r="Y84" s="33">
        <f t="shared" si="24"/>
        <v>0</v>
      </c>
      <c r="Z84" s="33">
        <f t="shared" si="24"/>
        <v>0</v>
      </c>
      <c r="AA84" s="33">
        <f t="shared" si="24"/>
        <v>0</v>
      </c>
      <c r="AB84" s="33">
        <f t="shared" si="24"/>
        <v>0</v>
      </c>
      <c r="AC84" s="33">
        <f t="shared" si="24"/>
        <v>0</v>
      </c>
      <c r="AD84" s="33">
        <f t="shared" si="24"/>
        <v>0</v>
      </c>
      <c r="AE84" s="33">
        <f t="shared" si="24"/>
        <v>0</v>
      </c>
      <c r="AF84" s="58">
        <f t="shared" si="19"/>
        <v>0</v>
      </c>
      <c r="AH84" s="33">
        <f t="shared" si="21"/>
        <v>0</v>
      </c>
      <c r="AI84" s="33">
        <f t="shared" si="23"/>
        <v>273950.28000000003</v>
      </c>
      <c r="AJ84" s="33"/>
      <c r="AK84" s="191"/>
      <c r="AL84" s="191"/>
      <c r="AM84" s="191">
        <v>0</v>
      </c>
    </row>
    <row r="85" spans="1:39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Mar 2026'!$A$8:$F$206,6,FALSE)</f>
        <v>Chq Bk</v>
      </c>
      <c r="H85" s="190"/>
      <c r="I85" s="190"/>
      <c r="J85" s="211">
        <v>0</v>
      </c>
      <c r="K85" s="211">
        <v>0</v>
      </c>
      <c r="L85" s="211">
        <v>0</v>
      </c>
      <c r="M85" s="211">
        <v>47644.23</v>
      </c>
      <c r="N85" s="211">
        <v>767.22999999999865</v>
      </c>
      <c r="O85" s="211">
        <v>16723.006666666668</v>
      </c>
      <c r="P85" s="211">
        <v>32750.333333333332</v>
      </c>
      <c r="Q85" s="211">
        <v>0</v>
      </c>
      <c r="R85" s="211">
        <v>0</v>
      </c>
      <c r="S85" s="191">
        <v>0</v>
      </c>
      <c r="T85" s="191">
        <v>0</v>
      </c>
      <c r="U85" s="212">
        <f t="shared" si="20"/>
        <v>97884.800000000003</v>
      </c>
      <c r="W85" s="33">
        <f t="shared" si="22"/>
        <v>0</v>
      </c>
      <c r="X85" s="33">
        <f t="shared" si="17"/>
        <v>97884.800000000003</v>
      </c>
      <c r="Y85" s="33">
        <f t="shared" si="24"/>
        <v>0</v>
      </c>
      <c r="Z85" s="33">
        <f t="shared" si="24"/>
        <v>0</v>
      </c>
      <c r="AA85" s="33">
        <f t="shared" si="24"/>
        <v>0</v>
      </c>
      <c r="AB85" s="33">
        <f t="shared" si="24"/>
        <v>0</v>
      </c>
      <c r="AC85" s="33">
        <f t="shared" si="24"/>
        <v>0</v>
      </c>
      <c r="AD85" s="33">
        <f t="shared" si="24"/>
        <v>0</v>
      </c>
      <c r="AE85" s="33">
        <f t="shared" si="24"/>
        <v>0</v>
      </c>
      <c r="AF85" s="58">
        <f t="shared" si="19"/>
        <v>0</v>
      </c>
      <c r="AH85" s="33">
        <f t="shared" si="21"/>
        <v>0</v>
      </c>
      <c r="AI85" s="33">
        <f t="shared" si="23"/>
        <v>97884.800000000003</v>
      </c>
      <c r="AJ85" s="33"/>
      <c r="AK85" s="191"/>
      <c r="AL85" s="191"/>
      <c r="AM85" s="191">
        <v>0</v>
      </c>
    </row>
    <row r="86" spans="1:39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Mar 2026'!$A$8:$F$206,6,FALSE)</f>
        <v>Chq Bk</v>
      </c>
      <c r="H86" s="190"/>
      <c r="I86" s="190"/>
      <c r="J86" s="211">
        <v>0</v>
      </c>
      <c r="K86" s="211">
        <v>0</v>
      </c>
      <c r="L86" s="211">
        <v>0</v>
      </c>
      <c r="M86" s="211">
        <v>18487.03</v>
      </c>
      <c r="N86" s="211">
        <v>108.83333333333303</v>
      </c>
      <c r="O86" s="211">
        <v>5537.333333333333</v>
      </c>
      <c r="P86" s="211">
        <v>5537.333333333333</v>
      </c>
      <c r="Q86" s="211">
        <v>0</v>
      </c>
      <c r="R86" s="211">
        <v>0</v>
      </c>
      <c r="S86" s="191">
        <v>0</v>
      </c>
      <c r="T86" s="191">
        <v>0</v>
      </c>
      <c r="U86" s="212">
        <f t="shared" si="20"/>
        <v>29670.529999999995</v>
      </c>
      <c r="W86" s="33">
        <f t="shared" si="22"/>
        <v>0</v>
      </c>
      <c r="X86" s="33">
        <f t="shared" si="17"/>
        <v>29670.529999999995</v>
      </c>
      <c r="Y86" s="33">
        <f t="shared" si="24"/>
        <v>0</v>
      </c>
      <c r="Z86" s="33">
        <f t="shared" si="24"/>
        <v>0</v>
      </c>
      <c r="AA86" s="33">
        <f t="shared" si="24"/>
        <v>0</v>
      </c>
      <c r="AB86" s="33">
        <f t="shared" si="24"/>
        <v>0</v>
      </c>
      <c r="AC86" s="33">
        <f t="shared" si="24"/>
        <v>0</v>
      </c>
      <c r="AD86" s="33">
        <f t="shared" si="24"/>
        <v>0</v>
      </c>
      <c r="AE86" s="33">
        <f t="shared" si="24"/>
        <v>0</v>
      </c>
      <c r="AF86" s="58">
        <f t="shared" si="19"/>
        <v>0</v>
      </c>
      <c r="AH86" s="33">
        <f t="shared" si="21"/>
        <v>0</v>
      </c>
      <c r="AI86" s="33">
        <f t="shared" si="23"/>
        <v>29670.529999999995</v>
      </c>
      <c r="AJ86" s="33"/>
      <c r="AK86" s="191"/>
      <c r="AL86" s="191"/>
      <c r="AM86" s="191">
        <v>0</v>
      </c>
    </row>
    <row r="87" spans="1:39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Mar 2026'!$A$8:$F$206,6,FALSE)</f>
        <v>Chq Bk</v>
      </c>
      <c r="H87" s="190"/>
      <c r="I87" s="190"/>
      <c r="J87" s="211">
        <v>0</v>
      </c>
      <c r="K87" s="211">
        <v>0</v>
      </c>
      <c r="L87" s="211">
        <v>0</v>
      </c>
      <c r="M87" s="211">
        <v>42089.13</v>
      </c>
      <c r="N87" s="211">
        <v>836.86333333333187</v>
      </c>
      <c r="O87" s="211">
        <v>45694.663333333338</v>
      </c>
      <c r="P87" s="211">
        <v>66552</v>
      </c>
      <c r="Q87" s="211">
        <v>0</v>
      </c>
      <c r="R87" s="211">
        <v>0</v>
      </c>
      <c r="S87" s="191">
        <v>0</v>
      </c>
      <c r="T87" s="191">
        <v>0</v>
      </c>
      <c r="U87" s="212">
        <f t="shared" si="20"/>
        <v>155172.65666666668</v>
      </c>
      <c r="W87" s="33">
        <f t="shared" si="22"/>
        <v>0</v>
      </c>
      <c r="X87" s="33">
        <f t="shared" si="17"/>
        <v>155172.65666666668</v>
      </c>
      <c r="Y87" s="33">
        <f t="shared" si="24"/>
        <v>0</v>
      </c>
      <c r="Z87" s="33">
        <f t="shared" si="24"/>
        <v>0</v>
      </c>
      <c r="AA87" s="33">
        <f t="shared" si="24"/>
        <v>0</v>
      </c>
      <c r="AB87" s="33">
        <f t="shared" si="24"/>
        <v>0</v>
      </c>
      <c r="AC87" s="33">
        <f t="shared" si="24"/>
        <v>0</v>
      </c>
      <c r="AD87" s="33">
        <f t="shared" si="24"/>
        <v>0</v>
      </c>
      <c r="AE87" s="33">
        <f t="shared" si="24"/>
        <v>0</v>
      </c>
      <c r="AF87" s="58">
        <f t="shared" si="19"/>
        <v>0</v>
      </c>
      <c r="AH87" s="33">
        <f t="shared" si="21"/>
        <v>0</v>
      </c>
      <c r="AI87" s="33">
        <f t="shared" si="23"/>
        <v>155172.65666666668</v>
      </c>
      <c r="AJ87" s="33"/>
      <c r="AK87" s="191"/>
      <c r="AL87" s="191"/>
      <c r="AM87" s="191">
        <v>0</v>
      </c>
    </row>
    <row r="88" spans="1:39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Mar 2026'!$A$8:$F$206,6,FALSE)</f>
        <v>Chq Bk</v>
      </c>
      <c r="H88" s="190"/>
      <c r="I88" s="190"/>
      <c r="J88" s="211">
        <v>0</v>
      </c>
      <c r="K88" s="211">
        <v>0</v>
      </c>
      <c r="L88" s="211">
        <v>0</v>
      </c>
      <c r="M88" s="211">
        <v>4225.82</v>
      </c>
      <c r="N88" s="211">
        <v>84.516399999999976</v>
      </c>
      <c r="O88" s="211">
        <v>0</v>
      </c>
      <c r="P88" s="211">
        <v>0</v>
      </c>
      <c r="Q88" s="211">
        <v>0</v>
      </c>
      <c r="R88" s="211">
        <v>0</v>
      </c>
      <c r="S88" s="191">
        <v>0</v>
      </c>
      <c r="T88" s="191">
        <v>0</v>
      </c>
      <c r="U88" s="212">
        <f t="shared" si="20"/>
        <v>4310.3364000000001</v>
      </c>
      <c r="W88" s="33">
        <f t="shared" si="22"/>
        <v>0</v>
      </c>
      <c r="X88" s="33">
        <f t="shared" ref="X88:X107" si="25">SUMIF($H$3:$T$3,X$6,$H88:$T88)</f>
        <v>4310.3364000000001</v>
      </c>
      <c r="Y88" s="33">
        <f t="shared" ref="Y88:AE97" si="26">SUMIF($H$3:$S$3,Y$6,$H88:$S88)</f>
        <v>0</v>
      </c>
      <c r="Z88" s="33">
        <f t="shared" si="26"/>
        <v>0</v>
      </c>
      <c r="AA88" s="33">
        <f t="shared" si="26"/>
        <v>0</v>
      </c>
      <c r="AB88" s="33">
        <f t="shared" si="26"/>
        <v>0</v>
      </c>
      <c r="AC88" s="33">
        <f t="shared" si="26"/>
        <v>0</v>
      </c>
      <c r="AD88" s="33">
        <f t="shared" si="26"/>
        <v>0</v>
      </c>
      <c r="AE88" s="33">
        <f t="shared" si="26"/>
        <v>0</v>
      </c>
      <c r="AF88" s="58">
        <f t="shared" si="19"/>
        <v>0</v>
      </c>
      <c r="AH88" s="33">
        <f t="shared" si="21"/>
        <v>0</v>
      </c>
      <c r="AI88" s="33">
        <f t="shared" si="23"/>
        <v>4310.3364000000001</v>
      </c>
      <c r="AJ88" s="33"/>
      <c r="AK88" s="191"/>
      <c r="AL88" s="191"/>
      <c r="AM88" s="191">
        <v>0</v>
      </c>
    </row>
    <row r="89" spans="1:39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Mar 2026'!$A$8:$F$206,6,FALSE)</f>
        <v>Chq Bk</v>
      </c>
      <c r="H89" s="190"/>
      <c r="I89" s="190"/>
      <c r="J89" s="211">
        <v>0</v>
      </c>
      <c r="K89" s="211">
        <v>0</v>
      </c>
      <c r="L89" s="211">
        <v>0</v>
      </c>
      <c r="M89" s="211">
        <v>39962.959999999999</v>
      </c>
      <c r="N89" s="211">
        <v>620.03666666666527</v>
      </c>
      <c r="O89" s="211">
        <v>45838.323333333326</v>
      </c>
      <c r="P89" s="211">
        <v>48789.996666666659</v>
      </c>
      <c r="Q89" s="211">
        <v>0</v>
      </c>
      <c r="R89" s="211">
        <v>0</v>
      </c>
      <c r="S89" s="191">
        <v>0</v>
      </c>
      <c r="T89" s="191">
        <v>0</v>
      </c>
      <c r="U89" s="212">
        <f t="shared" si="20"/>
        <v>135211.31666666665</v>
      </c>
      <c r="W89" s="33">
        <f t="shared" si="22"/>
        <v>0</v>
      </c>
      <c r="X89" s="33">
        <f t="shared" si="25"/>
        <v>135211.31666666665</v>
      </c>
      <c r="Y89" s="33">
        <f t="shared" si="26"/>
        <v>0</v>
      </c>
      <c r="Z89" s="33">
        <f t="shared" si="26"/>
        <v>0</v>
      </c>
      <c r="AA89" s="33">
        <f t="shared" si="26"/>
        <v>0</v>
      </c>
      <c r="AB89" s="33">
        <f t="shared" si="26"/>
        <v>0</v>
      </c>
      <c r="AC89" s="33">
        <f t="shared" si="26"/>
        <v>0</v>
      </c>
      <c r="AD89" s="33">
        <f t="shared" si="26"/>
        <v>0</v>
      </c>
      <c r="AE89" s="33">
        <f t="shared" si="26"/>
        <v>0</v>
      </c>
      <c r="AF89" s="58">
        <f t="shared" si="19"/>
        <v>0</v>
      </c>
      <c r="AH89" s="33">
        <f t="shared" si="21"/>
        <v>0</v>
      </c>
      <c r="AI89" s="33">
        <f t="shared" si="23"/>
        <v>135211.31666666665</v>
      </c>
      <c r="AJ89" s="33"/>
      <c r="AK89" s="191"/>
      <c r="AL89" s="191"/>
      <c r="AM89" s="191">
        <v>0</v>
      </c>
    </row>
    <row r="90" spans="1:39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Mar 2026'!$A$8:$F$207,6,FALSE)</f>
        <v>Academy</v>
      </c>
      <c r="H90" s="190"/>
      <c r="I90" s="190"/>
      <c r="J90" s="211">
        <v>0</v>
      </c>
      <c r="K90" s="211">
        <v>0</v>
      </c>
      <c r="L90" s="211"/>
      <c r="M90" s="211"/>
      <c r="N90" s="211"/>
      <c r="O90" s="211"/>
      <c r="P90" s="211"/>
      <c r="Q90" s="211">
        <v>0</v>
      </c>
      <c r="R90" s="211">
        <v>0</v>
      </c>
      <c r="S90" s="191">
        <v>0</v>
      </c>
      <c r="T90" s="191">
        <v>0</v>
      </c>
      <c r="U90" s="212">
        <f t="shared" si="20"/>
        <v>0</v>
      </c>
      <c r="W90" s="33">
        <f t="shared" si="22"/>
        <v>0</v>
      </c>
      <c r="X90" s="33">
        <f t="shared" si="25"/>
        <v>0</v>
      </c>
      <c r="Y90" s="33">
        <f t="shared" si="26"/>
        <v>0</v>
      </c>
      <c r="Z90" s="33">
        <f t="shared" si="26"/>
        <v>0</v>
      </c>
      <c r="AA90" s="33">
        <f t="shared" si="26"/>
        <v>0</v>
      </c>
      <c r="AB90" s="33">
        <f t="shared" si="26"/>
        <v>0</v>
      </c>
      <c r="AC90" s="33">
        <f t="shared" si="26"/>
        <v>0</v>
      </c>
      <c r="AD90" s="33">
        <f t="shared" si="26"/>
        <v>0</v>
      </c>
      <c r="AE90" s="33">
        <f t="shared" si="26"/>
        <v>0</v>
      </c>
      <c r="AF90" s="58">
        <f t="shared" si="19"/>
        <v>0</v>
      </c>
      <c r="AH90" s="33">
        <f t="shared" si="21"/>
        <v>0</v>
      </c>
      <c r="AI90" s="33">
        <f t="shared" si="23"/>
        <v>0</v>
      </c>
      <c r="AJ90" s="33"/>
      <c r="AK90" s="191"/>
      <c r="AL90" s="191"/>
      <c r="AM90" s="191">
        <v>0</v>
      </c>
    </row>
    <row r="91" spans="1:39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Mar 2026'!$A$8:$F$206,6,FALSE)</f>
        <v>Chq Bk</v>
      </c>
      <c r="H91" s="190"/>
      <c r="I91" s="190"/>
      <c r="J91" s="211">
        <v>0</v>
      </c>
      <c r="K91" s="211">
        <v>0</v>
      </c>
      <c r="L91" s="211">
        <v>0</v>
      </c>
      <c r="M91" s="211">
        <v>29776.29</v>
      </c>
      <c r="N91" s="211">
        <v>579.71333333333223</v>
      </c>
      <c r="O91" s="211">
        <v>23161</v>
      </c>
      <c r="P91" s="211">
        <v>20945.999999999996</v>
      </c>
      <c r="Q91" s="211">
        <v>0</v>
      </c>
      <c r="R91" s="211">
        <v>0</v>
      </c>
      <c r="S91" s="191">
        <v>0</v>
      </c>
      <c r="T91" s="191">
        <v>0</v>
      </c>
      <c r="U91" s="212">
        <f t="shared" si="20"/>
        <v>74463.003333333327</v>
      </c>
      <c r="W91" s="33">
        <f t="shared" si="22"/>
        <v>0</v>
      </c>
      <c r="X91" s="33">
        <f t="shared" si="25"/>
        <v>74463.003333333327</v>
      </c>
      <c r="Y91" s="33">
        <f t="shared" si="26"/>
        <v>0</v>
      </c>
      <c r="Z91" s="33">
        <f t="shared" si="26"/>
        <v>0</v>
      </c>
      <c r="AA91" s="33">
        <f t="shared" si="26"/>
        <v>0</v>
      </c>
      <c r="AB91" s="33">
        <f t="shared" si="26"/>
        <v>0</v>
      </c>
      <c r="AC91" s="33">
        <f t="shared" si="26"/>
        <v>0</v>
      </c>
      <c r="AD91" s="33">
        <f t="shared" si="26"/>
        <v>0</v>
      </c>
      <c r="AE91" s="33">
        <f t="shared" si="26"/>
        <v>0</v>
      </c>
      <c r="AF91" s="58">
        <f t="shared" si="19"/>
        <v>0</v>
      </c>
      <c r="AH91" s="33">
        <f t="shared" si="21"/>
        <v>0</v>
      </c>
      <c r="AI91" s="33">
        <f t="shared" si="23"/>
        <v>74463.003333333327</v>
      </c>
      <c r="AJ91" s="33"/>
      <c r="AK91" s="191"/>
      <c r="AL91" s="191"/>
      <c r="AM91" s="191">
        <v>0</v>
      </c>
    </row>
    <row r="92" spans="1:39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Mar 2026'!$A$8:$F$206,6,FALSE)</f>
        <v>Chq Bk</v>
      </c>
      <c r="H92" s="190"/>
      <c r="I92" s="190"/>
      <c r="J92" s="211">
        <v>0</v>
      </c>
      <c r="K92" s="211">
        <v>0</v>
      </c>
      <c r="L92" s="211">
        <v>0</v>
      </c>
      <c r="M92" s="211">
        <v>34100.269999999997</v>
      </c>
      <c r="N92" s="211">
        <v>658.39666666666562</v>
      </c>
      <c r="O92" s="211">
        <v>27443.666666666668</v>
      </c>
      <c r="P92" s="211">
        <v>32957</v>
      </c>
      <c r="Q92" s="211">
        <v>0</v>
      </c>
      <c r="R92" s="211">
        <v>0</v>
      </c>
      <c r="S92" s="191">
        <v>0</v>
      </c>
      <c r="T92" s="191">
        <v>0</v>
      </c>
      <c r="U92" s="212">
        <f t="shared" si="20"/>
        <v>95159.333333333328</v>
      </c>
      <c r="W92" s="33">
        <f t="shared" si="22"/>
        <v>0</v>
      </c>
      <c r="X92" s="33">
        <f t="shared" si="25"/>
        <v>95159.333333333328</v>
      </c>
      <c r="Y92" s="33">
        <f t="shared" si="26"/>
        <v>0</v>
      </c>
      <c r="Z92" s="33">
        <f t="shared" si="26"/>
        <v>0</v>
      </c>
      <c r="AA92" s="33">
        <f t="shared" si="26"/>
        <v>0</v>
      </c>
      <c r="AB92" s="33">
        <f t="shared" si="26"/>
        <v>0</v>
      </c>
      <c r="AC92" s="33">
        <f t="shared" si="26"/>
        <v>0</v>
      </c>
      <c r="AD92" s="33">
        <f t="shared" si="26"/>
        <v>0</v>
      </c>
      <c r="AE92" s="33">
        <f t="shared" si="26"/>
        <v>0</v>
      </c>
      <c r="AF92" s="58">
        <f t="shared" si="19"/>
        <v>0</v>
      </c>
      <c r="AH92" s="33">
        <f t="shared" si="21"/>
        <v>0</v>
      </c>
      <c r="AI92" s="33">
        <f t="shared" si="23"/>
        <v>95159.333333333328</v>
      </c>
      <c r="AJ92" s="33"/>
      <c r="AK92" s="191"/>
      <c r="AL92" s="191"/>
      <c r="AM92" s="191">
        <v>0</v>
      </c>
    </row>
    <row r="93" spans="1:39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Mar 2026'!$A$8:$F$206,6,FALSE)</f>
        <v>Chq Bk</v>
      </c>
      <c r="H93" s="190"/>
      <c r="I93" s="190"/>
      <c r="J93" s="211">
        <v>0</v>
      </c>
      <c r="K93" s="211">
        <v>0</v>
      </c>
      <c r="L93" s="211">
        <v>0</v>
      </c>
      <c r="M93" s="211">
        <v>27410.83</v>
      </c>
      <c r="N93" s="211">
        <v>457.6333333333323</v>
      </c>
      <c r="O93" s="211">
        <v>23525.666666666664</v>
      </c>
      <c r="P93" s="211">
        <v>20386.671666666665</v>
      </c>
      <c r="Q93" s="211">
        <v>0</v>
      </c>
      <c r="R93" s="211">
        <v>0</v>
      </c>
      <c r="S93" s="191">
        <v>0</v>
      </c>
      <c r="T93" s="191">
        <v>0</v>
      </c>
      <c r="U93" s="212">
        <f t="shared" si="20"/>
        <v>71780.801666666666</v>
      </c>
      <c r="W93" s="33">
        <f t="shared" si="22"/>
        <v>0</v>
      </c>
      <c r="X93" s="33">
        <f t="shared" si="25"/>
        <v>71780.801666666666</v>
      </c>
      <c r="Y93" s="33">
        <f t="shared" si="26"/>
        <v>0</v>
      </c>
      <c r="Z93" s="33">
        <f t="shared" si="26"/>
        <v>0</v>
      </c>
      <c r="AA93" s="33">
        <f t="shared" si="26"/>
        <v>0</v>
      </c>
      <c r="AB93" s="33">
        <f t="shared" si="26"/>
        <v>0</v>
      </c>
      <c r="AC93" s="33">
        <f t="shared" si="26"/>
        <v>0</v>
      </c>
      <c r="AD93" s="33">
        <f t="shared" si="26"/>
        <v>0</v>
      </c>
      <c r="AE93" s="33">
        <f t="shared" si="26"/>
        <v>0</v>
      </c>
      <c r="AF93" s="58">
        <f t="shared" si="19"/>
        <v>0</v>
      </c>
      <c r="AH93" s="33">
        <f t="shared" si="21"/>
        <v>0</v>
      </c>
      <c r="AI93" s="33">
        <f t="shared" si="23"/>
        <v>71780.801666666666</v>
      </c>
      <c r="AJ93" s="33"/>
      <c r="AK93" s="191"/>
      <c r="AL93" s="191"/>
      <c r="AM93" s="191">
        <v>0</v>
      </c>
    </row>
    <row r="94" spans="1:39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Mar 2026'!$A$8:$F$206,6,FALSE)</f>
        <v>Chq Bk</v>
      </c>
      <c r="H94" s="190"/>
      <c r="I94" s="190"/>
      <c r="J94" s="211">
        <v>0</v>
      </c>
      <c r="K94" s="211">
        <v>50634</v>
      </c>
      <c r="L94" s="211">
        <v>0</v>
      </c>
      <c r="M94" s="211">
        <v>47272.32</v>
      </c>
      <c r="N94" s="211">
        <v>892.59333333333166</v>
      </c>
      <c r="O94" s="211">
        <v>42229.33666666667</v>
      </c>
      <c r="P94" s="211">
        <v>46595.333333333336</v>
      </c>
      <c r="Q94" s="211">
        <v>0</v>
      </c>
      <c r="R94" s="211">
        <v>0</v>
      </c>
      <c r="S94" s="191">
        <v>0</v>
      </c>
      <c r="T94" s="191">
        <v>0</v>
      </c>
      <c r="U94" s="212">
        <f t="shared" si="20"/>
        <v>187623.58333333334</v>
      </c>
      <c r="W94" s="33">
        <f t="shared" si="22"/>
        <v>0</v>
      </c>
      <c r="X94" s="33">
        <f t="shared" si="25"/>
        <v>187623.58333333334</v>
      </c>
      <c r="Y94" s="33">
        <f t="shared" si="26"/>
        <v>0</v>
      </c>
      <c r="Z94" s="33">
        <f t="shared" si="26"/>
        <v>0</v>
      </c>
      <c r="AA94" s="33">
        <f t="shared" si="26"/>
        <v>0</v>
      </c>
      <c r="AB94" s="33">
        <f t="shared" si="26"/>
        <v>0</v>
      </c>
      <c r="AC94" s="33">
        <f t="shared" si="26"/>
        <v>0</v>
      </c>
      <c r="AD94" s="33">
        <f t="shared" si="26"/>
        <v>0</v>
      </c>
      <c r="AE94" s="33">
        <f t="shared" si="26"/>
        <v>0</v>
      </c>
      <c r="AF94" s="58">
        <f t="shared" si="19"/>
        <v>0</v>
      </c>
      <c r="AH94" s="33">
        <f t="shared" si="21"/>
        <v>0</v>
      </c>
      <c r="AI94" s="33">
        <f t="shared" si="23"/>
        <v>187623.58333333334</v>
      </c>
      <c r="AJ94" s="33"/>
      <c r="AK94" s="191"/>
      <c r="AL94" s="191"/>
      <c r="AM94" s="191">
        <v>0</v>
      </c>
    </row>
    <row r="95" spans="1:39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Mar 2026'!$A$8:$F$206,6,FALSE)</f>
        <v>Chq Bk</v>
      </c>
      <c r="H95" s="190"/>
      <c r="I95" s="190"/>
      <c r="J95" s="211">
        <v>0</v>
      </c>
      <c r="K95" s="211">
        <v>0</v>
      </c>
      <c r="L95" s="211">
        <v>0</v>
      </c>
      <c r="M95" s="211">
        <v>109355.27</v>
      </c>
      <c r="N95" s="211">
        <v>1508.0290666666647</v>
      </c>
      <c r="O95" s="211">
        <v>74020.67</v>
      </c>
      <c r="P95" s="211">
        <v>87411.333333333343</v>
      </c>
      <c r="Q95" s="211">
        <v>0</v>
      </c>
      <c r="R95" s="211">
        <v>0</v>
      </c>
      <c r="S95" s="191">
        <v>0</v>
      </c>
      <c r="T95" s="191">
        <v>0</v>
      </c>
      <c r="U95" s="212">
        <f t="shared" si="20"/>
        <v>272295.30240000004</v>
      </c>
      <c r="W95" s="33">
        <f t="shared" si="22"/>
        <v>0</v>
      </c>
      <c r="X95" s="33">
        <f t="shared" si="25"/>
        <v>272295.30240000004</v>
      </c>
      <c r="Y95" s="33">
        <f t="shared" si="26"/>
        <v>0</v>
      </c>
      <c r="Z95" s="33">
        <f t="shared" si="26"/>
        <v>0</v>
      </c>
      <c r="AA95" s="33">
        <f t="shared" si="26"/>
        <v>0</v>
      </c>
      <c r="AB95" s="33">
        <f t="shared" si="26"/>
        <v>0</v>
      </c>
      <c r="AC95" s="33">
        <f t="shared" si="26"/>
        <v>0</v>
      </c>
      <c r="AD95" s="33">
        <f t="shared" si="26"/>
        <v>0</v>
      </c>
      <c r="AE95" s="33">
        <f t="shared" si="26"/>
        <v>0</v>
      </c>
      <c r="AF95" s="58">
        <f t="shared" si="19"/>
        <v>0</v>
      </c>
      <c r="AH95" s="33">
        <f t="shared" si="21"/>
        <v>0</v>
      </c>
      <c r="AI95" s="33">
        <f t="shared" si="23"/>
        <v>272295.30240000004</v>
      </c>
      <c r="AJ95" s="33"/>
      <c r="AK95" s="191"/>
      <c r="AL95" s="191"/>
      <c r="AM95" s="191">
        <v>0</v>
      </c>
    </row>
    <row r="96" spans="1:39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Mar 2026'!$A$8:$F$206,6,FALSE)</f>
        <v>Chq Bk</v>
      </c>
      <c r="H96" s="190"/>
      <c r="I96" s="190"/>
      <c r="J96" s="211">
        <v>0</v>
      </c>
      <c r="K96" s="211">
        <v>0</v>
      </c>
      <c r="L96" s="211">
        <v>0</v>
      </c>
      <c r="M96" s="211">
        <v>62625.279999999999</v>
      </c>
      <c r="N96" s="211">
        <v>1207.7066666666651</v>
      </c>
      <c r="O96" s="211">
        <v>82747.33666666667</v>
      </c>
      <c r="P96" s="211">
        <v>130782.83333333336</v>
      </c>
      <c r="Q96" s="211">
        <v>0</v>
      </c>
      <c r="R96" s="211">
        <v>0</v>
      </c>
      <c r="S96" s="191">
        <v>0</v>
      </c>
      <c r="T96" s="191">
        <v>0</v>
      </c>
      <c r="U96" s="212">
        <f t="shared" si="20"/>
        <v>277363.15666666668</v>
      </c>
      <c r="W96" s="33">
        <f t="shared" si="22"/>
        <v>0</v>
      </c>
      <c r="X96" s="33">
        <f t="shared" si="25"/>
        <v>277363.15666666668</v>
      </c>
      <c r="Y96" s="33">
        <f t="shared" si="26"/>
        <v>0</v>
      </c>
      <c r="Z96" s="33">
        <f t="shared" si="26"/>
        <v>0</v>
      </c>
      <c r="AA96" s="33">
        <f t="shared" si="26"/>
        <v>0</v>
      </c>
      <c r="AB96" s="33">
        <f t="shared" si="26"/>
        <v>0</v>
      </c>
      <c r="AC96" s="33">
        <f t="shared" si="26"/>
        <v>0</v>
      </c>
      <c r="AD96" s="33">
        <f t="shared" si="26"/>
        <v>0</v>
      </c>
      <c r="AE96" s="33">
        <f t="shared" si="26"/>
        <v>0</v>
      </c>
      <c r="AF96" s="58">
        <f t="shared" si="19"/>
        <v>0</v>
      </c>
      <c r="AH96" s="33">
        <f t="shared" si="21"/>
        <v>0</v>
      </c>
      <c r="AI96" s="33">
        <f t="shared" si="23"/>
        <v>277363.15666666668</v>
      </c>
      <c r="AJ96" s="33"/>
      <c r="AK96" s="191"/>
      <c r="AL96" s="191"/>
      <c r="AM96" s="191">
        <v>0</v>
      </c>
    </row>
    <row r="97" spans="1:39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Mar 2026'!$A$8:$F$206,6,FALSE)</f>
        <v>Chq Bk</v>
      </c>
      <c r="H97" s="190"/>
      <c r="I97" s="190"/>
      <c r="J97" s="211">
        <v>0</v>
      </c>
      <c r="K97" s="211">
        <v>0</v>
      </c>
      <c r="L97" s="211">
        <v>0</v>
      </c>
      <c r="M97" s="211">
        <v>48467.39</v>
      </c>
      <c r="N97" s="211">
        <v>859.03333333333239</v>
      </c>
      <c r="O97" s="211">
        <v>71401.333333333343</v>
      </c>
      <c r="P97" s="211">
        <v>94966.666666666672</v>
      </c>
      <c r="Q97" s="211">
        <v>125107.5</v>
      </c>
      <c r="R97" s="211">
        <v>0</v>
      </c>
      <c r="S97" s="191">
        <v>0</v>
      </c>
      <c r="T97" s="191">
        <v>0</v>
      </c>
      <c r="U97" s="212">
        <f t="shared" si="20"/>
        <v>340801.92333333334</v>
      </c>
      <c r="W97" s="33">
        <f t="shared" si="22"/>
        <v>125107.5</v>
      </c>
      <c r="X97" s="33">
        <f t="shared" si="25"/>
        <v>215694.42333333334</v>
      </c>
      <c r="Y97" s="33">
        <f t="shared" si="26"/>
        <v>0</v>
      </c>
      <c r="Z97" s="33">
        <f t="shared" si="26"/>
        <v>0</v>
      </c>
      <c r="AA97" s="33">
        <f t="shared" si="26"/>
        <v>0</v>
      </c>
      <c r="AB97" s="33">
        <f t="shared" si="26"/>
        <v>0</v>
      </c>
      <c r="AC97" s="33">
        <f t="shared" si="26"/>
        <v>0</v>
      </c>
      <c r="AD97" s="33">
        <f t="shared" si="26"/>
        <v>0</v>
      </c>
      <c r="AE97" s="33">
        <f t="shared" si="26"/>
        <v>0</v>
      </c>
      <c r="AF97" s="58">
        <f t="shared" si="19"/>
        <v>0</v>
      </c>
      <c r="AH97" s="33">
        <f t="shared" si="21"/>
        <v>125107.5</v>
      </c>
      <c r="AI97" s="33">
        <f t="shared" si="23"/>
        <v>215694.42333333334</v>
      </c>
      <c r="AJ97" s="33"/>
      <c r="AK97" s="191"/>
      <c r="AL97" s="191"/>
      <c r="AM97" s="191">
        <v>0</v>
      </c>
    </row>
    <row r="98" spans="1:39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Mar 2026'!$A$8:$F$206,6,FALSE)</f>
        <v>Chq Bk</v>
      </c>
      <c r="H98" s="190"/>
      <c r="I98" s="190"/>
      <c r="J98" s="211">
        <v>0</v>
      </c>
      <c r="K98" s="211">
        <v>0</v>
      </c>
      <c r="L98" s="211">
        <v>0</v>
      </c>
      <c r="M98" s="211">
        <v>21267</v>
      </c>
      <c r="N98" s="211">
        <v>320.01633333333302</v>
      </c>
      <c r="O98" s="211">
        <v>0</v>
      </c>
      <c r="P98" s="211">
        <v>6430</v>
      </c>
      <c r="Q98" s="211">
        <v>0</v>
      </c>
      <c r="R98" s="211">
        <v>0</v>
      </c>
      <c r="S98" s="191">
        <v>0</v>
      </c>
      <c r="T98" s="191">
        <v>0</v>
      </c>
      <c r="U98" s="212">
        <f t="shared" si="20"/>
        <v>28017.016333333333</v>
      </c>
      <c r="W98" s="33">
        <f t="shared" si="22"/>
        <v>0</v>
      </c>
      <c r="X98" s="33">
        <f t="shared" si="25"/>
        <v>28017.016333333333</v>
      </c>
      <c r="Y98" s="33">
        <f t="shared" ref="Y98:AE107" si="27">SUMIF($H$3:$S$3,Y$6,$H98:$S98)</f>
        <v>0</v>
      </c>
      <c r="Z98" s="33">
        <f t="shared" si="27"/>
        <v>0</v>
      </c>
      <c r="AA98" s="33">
        <f t="shared" si="27"/>
        <v>0</v>
      </c>
      <c r="AB98" s="33">
        <f t="shared" si="27"/>
        <v>0</v>
      </c>
      <c r="AC98" s="33">
        <f t="shared" si="27"/>
        <v>0</v>
      </c>
      <c r="AD98" s="33">
        <f t="shared" si="27"/>
        <v>0</v>
      </c>
      <c r="AE98" s="33">
        <f t="shared" si="27"/>
        <v>0</v>
      </c>
      <c r="AF98" s="58">
        <f t="shared" si="19"/>
        <v>0</v>
      </c>
      <c r="AH98" s="33">
        <f t="shared" si="21"/>
        <v>0</v>
      </c>
      <c r="AI98" s="33">
        <f t="shared" si="23"/>
        <v>28017.016333333333</v>
      </c>
      <c r="AJ98" s="33"/>
      <c r="AK98" s="191"/>
      <c r="AL98" s="191"/>
      <c r="AM98" s="191">
        <v>0</v>
      </c>
    </row>
    <row r="99" spans="1:39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Mar 2026'!$A$8:$F$206,6,FALSE)</f>
        <v>Academy</v>
      </c>
      <c r="H99" s="190"/>
      <c r="I99" s="190"/>
      <c r="J99" s="211">
        <v>110250</v>
      </c>
      <c r="K99" s="211">
        <v>0</v>
      </c>
      <c r="L99" s="211"/>
      <c r="M99" s="211">
        <v>0</v>
      </c>
      <c r="N99" s="211">
        <v>0</v>
      </c>
      <c r="O99" s="211"/>
      <c r="P99" s="211"/>
      <c r="Q99" s="211">
        <v>0</v>
      </c>
      <c r="R99" s="211">
        <v>0</v>
      </c>
      <c r="S99" s="191">
        <v>0</v>
      </c>
      <c r="T99" s="191">
        <v>0</v>
      </c>
      <c r="U99" s="212">
        <f t="shared" si="20"/>
        <v>110250</v>
      </c>
      <c r="W99" s="33">
        <f t="shared" si="22"/>
        <v>0</v>
      </c>
      <c r="X99" s="33">
        <f t="shared" si="25"/>
        <v>110250</v>
      </c>
      <c r="Y99" s="33">
        <f t="shared" si="27"/>
        <v>0</v>
      </c>
      <c r="Z99" s="33">
        <f t="shared" si="27"/>
        <v>0</v>
      </c>
      <c r="AA99" s="33">
        <f t="shared" si="27"/>
        <v>0</v>
      </c>
      <c r="AB99" s="33">
        <f t="shared" si="27"/>
        <v>0</v>
      </c>
      <c r="AC99" s="33">
        <f t="shared" si="27"/>
        <v>0</v>
      </c>
      <c r="AD99" s="33">
        <f t="shared" si="27"/>
        <v>0</v>
      </c>
      <c r="AE99" s="33">
        <f t="shared" si="27"/>
        <v>0</v>
      </c>
      <c r="AF99" s="58">
        <f t="shared" si="19"/>
        <v>0</v>
      </c>
      <c r="AH99" s="33">
        <f t="shared" si="21"/>
        <v>0</v>
      </c>
      <c r="AI99" s="33">
        <f t="shared" si="23"/>
        <v>110250</v>
      </c>
      <c r="AJ99" s="33"/>
      <c r="AK99" s="191"/>
      <c r="AL99" s="191"/>
      <c r="AM99" s="191"/>
    </row>
    <row r="100" spans="1:39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Mar 2026'!$A$8:$F$206,6,FALSE)</f>
        <v>Chq Bk</v>
      </c>
      <c r="H100" s="190"/>
      <c r="I100" s="190"/>
      <c r="J100" s="211">
        <v>0</v>
      </c>
      <c r="K100" s="211">
        <v>0</v>
      </c>
      <c r="L100" s="211">
        <v>0</v>
      </c>
      <c r="M100" s="211">
        <v>23632.23</v>
      </c>
      <c r="N100" s="211">
        <v>466.42999999999938</v>
      </c>
      <c r="O100" s="211">
        <v>13712.333333333332</v>
      </c>
      <c r="P100" s="211">
        <v>32299</v>
      </c>
      <c r="Q100" s="211">
        <v>0</v>
      </c>
      <c r="R100" s="211">
        <v>0</v>
      </c>
      <c r="S100" s="191">
        <v>0</v>
      </c>
      <c r="T100" s="191">
        <v>0</v>
      </c>
      <c r="U100" s="212">
        <f t="shared" si="20"/>
        <v>70109.993333333332</v>
      </c>
      <c r="W100" s="33">
        <f t="shared" si="22"/>
        <v>0</v>
      </c>
      <c r="X100" s="33">
        <f t="shared" si="25"/>
        <v>70109.993333333332</v>
      </c>
      <c r="Y100" s="33">
        <f t="shared" si="27"/>
        <v>0</v>
      </c>
      <c r="Z100" s="33">
        <f t="shared" si="27"/>
        <v>0</v>
      </c>
      <c r="AA100" s="33">
        <f t="shared" si="27"/>
        <v>0</v>
      </c>
      <c r="AB100" s="33">
        <f t="shared" si="27"/>
        <v>0</v>
      </c>
      <c r="AC100" s="33">
        <f t="shared" si="27"/>
        <v>0</v>
      </c>
      <c r="AD100" s="33">
        <f t="shared" si="27"/>
        <v>0</v>
      </c>
      <c r="AE100" s="33">
        <f t="shared" si="27"/>
        <v>0</v>
      </c>
      <c r="AF100" s="58">
        <f t="shared" si="19"/>
        <v>0</v>
      </c>
      <c r="AH100" s="33">
        <f t="shared" si="21"/>
        <v>0</v>
      </c>
      <c r="AI100" s="33">
        <f t="shared" si="23"/>
        <v>70109.993333333332</v>
      </c>
      <c r="AJ100" s="33"/>
      <c r="AK100" s="191"/>
      <c r="AL100" s="191"/>
      <c r="AM100" s="191">
        <v>0</v>
      </c>
    </row>
    <row r="101" spans="1:39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Mar 2026'!$A$8:$F$206,6,FALSE)</f>
        <v>Chq Bk</v>
      </c>
      <c r="H101" s="190"/>
      <c r="I101" s="190"/>
      <c r="J101" s="211">
        <v>0</v>
      </c>
      <c r="K101" s="211">
        <v>0</v>
      </c>
      <c r="L101" s="211">
        <v>0</v>
      </c>
      <c r="M101" s="211">
        <v>33392.550000000003</v>
      </c>
      <c r="N101" s="211">
        <v>453.31333333333259</v>
      </c>
      <c r="O101" s="211">
        <v>27535</v>
      </c>
      <c r="P101" s="211">
        <v>14484</v>
      </c>
      <c r="Q101" s="211">
        <v>0</v>
      </c>
      <c r="R101" s="211">
        <v>0</v>
      </c>
      <c r="S101" s="191">
        <v>0</v>
      </c>
      <c r="T101" s="191">
        <v>0</v>
      </c>
      <c r="U101" s="212">
        <f t="shared" si="20"/>
        <v>75864.863333333342</v>
      </c>
      <c r="W101" s="33">
        <f t="shared" si="22"/>
        <v>0</v>
      </c>
      <c r="X101" s="33">
        <f t="shared" si="25"/>
        <v>75864.863333333342</v>
      </c>
      <c r="Y101" s="33">
        <f t="shared" si="27"/>
        <v>0</v>
      </c>
      <c r="Z101" s="33">
        <f t="shared" si="27"/>
        <v>0</v>
      </c>
      <c r="AA101" s="33">
        <f t="shared" si="27"/>
        <v>0</v>
      </c>
      <c r="AB101" s="33">
        <f t="shared" si="27"/>
        <v>0</v>
      </c>
      <c r="AC101" s="33">
        <f t="shared" si="27"/>
        <v>0</v>
      </c>
      <c r="AD101" s="33">
        <f t="shared" si="27"/>
        <v>0</v>
      </c>
      <c r="AE101" s="33">
        <f t="shared" si="27"/>
        <v>0</v>
      </c>
      <c r="AF101" s="58">
        <f t="shared" si="19"/>
        <v>0</v>
      </c>
      <c r="AH101" s="33">
        <f t="shared" si="21"/>
        <v>0</v>
      </c>
      <c r="AI101" s="33">
        <f t="shared" si="23"/>
        <v>75864.863333333342</v>
      </c>
      <c r="AJ101" s="33"/>
      <c r="AK101" s="191"/>
      <c r="AL101" s="191"/>
      <c r="AM101" s="191">
        <v>0</v>
      </c>
    </row>
    <row r="102" spans="1:39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Mar 2026'!$A$8:$F$206,6,FALSE)</f>
        <v>Chq Bk</v>
      </c>
      <c r="H102" s="190"/>
      <c r="I102" s="190"/>
      <c r="J102" s="211">
        <v>0</v>
      </c>
      <c r="K102" s="211">
        <v>0</v>
      </c>
      <c r="L102" s="211">
        <v>0</v>
      </c>
      <c r="M102" s="211">
        <v>0</v>
      </c>
      <c r="N102" s="211">
        <v>0</v>
      </c>
      <c r="O102" s="211">
        <v>0</v>
      </c>
      <c r="P102" s="211">
        <v>0</v>
      </c>
      <c r="Q102" s="211">
        <v>0</v>
      </c>
      <c r="R102" s="211">
        <v>0</v>
      </c>
      <c r="S102" s="191">
        <v>0</v>
      </c>
      <c r="T102" s="191">
        <v>0</v>
      </c>
      <c r="U102" s="212">
        <f t="shared" si="20"/>
        <v>0</v>
      </c>
      <c r="W102" s="33">
        <f t="shared" si="22"/>
        <v>0</v>
      </c>
      <c r="X102" s="33">
        <f t="shared" si="25"/>
        <v>0</v>
      </c>
      <c r="Y102" s="33">
        <f t="shared" si="27"/>
        <v>0</v>
      </c>
      <c r="Z102" s="33">
        <f t="shared" si="27"/>
        <v>0</v>
      </c>
      <c r="AA102" s="33">
        <f t="shared" si="27"/>
        <v>0</v>
      </c>
      <c r="AB102" s="33">
        <f t="shared" si="27"/>
        <v>0</v>
      </c>
      <c r="AC102" s="33">
        <f t="shared" si="27"/>
        <v>0</v>
      </c>
      <c r="AD102" s="33">
        <f t="shared" si="27"/>
        <v>0</v>
      </c>
      <c r="AE102" s="33">
        <f t="shared" si="27"/>
        <v>0</v>
      </c>
      <c r="AF102" s="58">
        <f t="shared" si="19"/>
        <v>0</v>
      </c>
      <c r="AH102" s="33">
        <f t="shared" si="21"/>
        <v>0</v>
      </c>
      <c r="AI102" s="33">
        <f t="shared" si="23"/>
        <v>0</v>
      </c>
      <c r="AJ102" s="33"/>
      <c r="AK102" s="191"/>
      <c r="AL102" s="191"/>
      <c r="AM102" s="191">
        <v>0</v>
      </c>
    </row>
    <row r="103" spans="1:39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Mar 2026'!$A$8:$F$206,6,FALSE)</f>
        <v>Chq Bk</v>
      </c>
      <c r="H103" s="190"/>
      <c r="I103" s="190"/>
      <c r="J103" s="211">
        <v>0</v>
      </c>
      <c r="K103" s="211">
        <v>3900</v>
      </c>
      <c r="L103" s="211">
        <v>0</v>
      </c>
      <c r="M103" s="211">
        <v>63754.720000000001</v>
      </c>
      <c r="N103" s="211">
        <v>1192.0833333333312</v>
      </c>
      <c r="O103" s="211">
        <v>80124.999999999985</v>
      </c>
      <c r="P103" s="211">
        <v>80622.746666666659</v>
      </c>
      <c r="Q103" s="211">
        <v>0</v>
      </c>
      <c r="R103" s="211">
        <v>0</v>
      </c>
      <c r="S103" s="191">
        <v>0</v>
      </c>
      <c r="T103" s="191">
        <v>0</v>
      </c>
      <c r="U103" s="212">
        <f t="shared" ref="U103:U134" si="28">SUM(H103:T103)</f>
        <v>229594.55</v>
      </c>
      <c r="W103" s="33">
        <f t="shared" si="22"/>
        <v>0</v>
      </c>
      <c r="X103" s="33">
        <f t="shared" si="25"/>
        <v>229594.55</v>
      </c>
      <c r="Y103" s="33">
        <f t="shared" si="27"/>
        <v>0</v>
      </c>
      <c r="Z103" s="33">
        <f t="shared" si="27"/>
        <v>0</v>
      </c>
      <c r="AA103" s="33">
        <f t="shared" si="27"/>
        <v>0</v>
      </c>
      <c r="AB103" s="33">
        <f t="shared" si="27"/>
        <v>0</v>
      </c>
      <c r="AC103" s="33">
        <f t="shared" si="27"/>
        <v>0</v>
      </c>
      <c r="AD103" s="33">
        <f t="shared" si="27"/>
        <v>0</v>
      </c>
      <c r="AE103" s="33">
        <f t="shared" si="27"/>
        <v>0</v>
      </c>
      <c r="AF103" s="58">
        <f t="shared" si="19"/>
        <v>0</v>
      </c>
      <c r="AH103" s="33">
        <f t="shared" ref="AH103:AH134" si="29">SUMIFS($H103:$T103,$H$3:$T$3,AH$6,$H$1:$T$1,$AH$5)+AK103+AL103</f>
        <v>0</v>
      </c>
      <c r="AI103" s="33">
        <f t="shared" si="23"/>
        <v>230569.55</v>
      </c>
      <c r="AJ103" s="33"/>
      <c r="AK103" s="191"/>
      <c r="AL103" s="191"/>
      <c r="AM103" s="191">
        <v>975</v>
      </c>
    </row>
    <row r="104" spans="1:39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Mar 2026'!$A$8:$F$206,6,FALSE)</f>
        <v>Chq Bk</v>
      </c>
      <c r="H104" s="190"/>
      <c r="I104" s="190"/>
      <c r="J104" s="211">
        <v>0</v>
      </c>
      <c r="K104" s="211">
        <v>0</v>
      </c>
      <c r="L104" s="211">
        <v>0</v>
      </c>
      <c r="M104" s="211">
        <v>21645.05</v>
      </c>
      <c r="N104" s="211">
        <v>141.61666666666633</v>
      </c>
      <c r="O104" s="211">
        <v>21585.83</v>
      </c>
      <c r="P104" s="211">
        <v>31729.166666666664</v>
      </c>
      <c r="Q104" s="211">
        <v>0</v>
      </c>
      <c r="R104" s="211">
        <v>0</v>
      </c>
      <c r="S104" s="191">
        <v>0</v>
      </c>
      <c r="T104" s="191">
        <v>0</v>
      </c>
      <c r="U104" s="212">
        <f t="shared" si="28"/>
        <v>75101.66333333333</v>
      </c>
      <c r="W104" s="33">
        <f t="shared" si="22"/>
        <v>0</v>
      </c>
      <c r="X104" s="33">
        <f t="shared" si="25"/>
        <v>75101.66333333333</v>
      </c>
      <c r="Y104" s="33">
        <f t="shared" si="27"/>
        <v>0</v>
      </c>
      <c r="Z104" s="33">
        <f t="shared" si="27"/>
        <v>0</v>
      </c>
      <c r="AA104" s="33">
        <f t="shared" si="27"/>
        <v>0</v>
      </c>
      <c r="AB104" s="33">
        <f t="shared" si="27"/>
        <v>0</v>
      </c>
      <c r="AC104" s="33">
        <f t="shared" si="27"/>
        <v>0</v>
      </c>
      <c r="AD104" s="33">
        <f t="shared" si="27"/>
        <v>0</v>
      </c>
      <c r="AE104" s="33">
        <f t="shared" si="27"/>
        <v>0</v>
      </c>
      <c r="AF104" s="58">
        <f t="shared" si="19"/>
        <v>0</v>
      </c>
      <c r="AH104" s="33">
        <f t="shared" si="29"/>
        <v>0</v>
      </c>
      <c r="AI104" s="33">
        <f t="shared" si="23"/>
        <v>75101.66333333333</v>
      </c>
      <c r="AJ104" s="33"/>
      <c r="AK104" s="191"/>
      <c r="AL104" s="191"/>
      <c r="AM104" s="191">
        <v>0</v>
      </c>
    </row>
    <row r="105" spans="1:39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Mar 2026'!$A$8:$F$206,6,FALSE)</f>
        <v>Chq Bk</v>
      </c>
      <c r="H105" s="190"/>
      <c r="I105" s="190"/>
      <c r="J105" s="211">
        <v>0</v>
      </c>
      <c r="K105" s="211">
        <v>0</v>
      </c>
      <c r="L105" s="211">
        <v>0</v>
      </c>
      <c r="M105" s="211">
        <v>58269.29</v>
      </c>
      <c r="N105" s="211">
        <v>1027.649999999998</v>
      </c>
      <c r="O105" s="211">
        <v>58392.003333333334</v>
      </c>
      <c r="P105" s="211">
        <v>62338.333333333336</v>
      </c>
      <c r="Q105" s="211">
        <v>0</v>
      </c>
      <c r="R105" s="211">
        <v>0</v>
      </c>
      <c r="S105" s="191">
        <v>0</v>
      </c>
      <c r="T105" s="191">
        <v>0</v>
      </c>
      <c r="U105" s="212">
        <f t="shared" si="28"/>
        <v>180027.27666666667</v>
      </c>
      <c r="W105" s="33">
        <f t="shared" si="22"/>
        <v>0</v>
      </c>
      <c r="X105" s="33">
        <f t="shared" si="25"/>
        <v>180027.27666666667</v>
      </c>
      <c r="Y105" s="33">
        <f t="shared" si="27"/>
        <v>0</v>
      </c>
      <c r="Z105" s="33">
        <f t="shared" si="27"/>
        <v>0</v>
      </c>
      <c r="AA105" s="33">
        <f t="shared" si="27"/>
        <v>0</v>
      </c>
      <c r="AB105" s="33">
        <f t="shared" si="27"/>
        <v>0</v>
      </c>
      <c r="AC105" s="33">
        <f t="shared" si="27"/>
        <v>0</v>
      </c>
      <c r="AD105" s="33">
        <f t="shared" si="27"/>
        <v>0</v>
      </c>
      <c r="AE105" s="33">
        <f t="shared" si="27"/>
        <v>0</v>
      </c>
      <c r="AF105" s="58">
        <f t="shared" si="19"/>
        <v>0</v>
      </c>
      <c r="AH105" s="33">
        <f t="shared" si="29"/>
        <v>0</v>
      </c>
      <c r="AI105" s="33">
        <f t="shared" si="23"/>
        <v>180027.27666666667</v>
      </c>
      <c r="AJ105" s="33"/>
      <c r="AK105" s="191"/>
      <c r="AL105" s="191"/>
      <c r="AM105" s="191">
        <v>0</v>
      </c>
    </row>
    <row r="106" spans="1:39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Mar 2026'!$A$8:$F$206,6,FALSE)</f>
        <v>Chq Bk</v>
      </c>
      <c r="H106" s="190"/>
      <c r="I106" s="190"/>
      <c r="J106" s="211">
        <v>0</v>
      </c>
      <c r="K106" s="211">
        <v>0</v>
      </c>
      <c r="L106" s="211">
        <v>0</v>
      </c>
      <c r="M106" s="211">
        <v>34199.9</v>
      </c>
      <c r="N106" s="211">
        <v>592.07433333333256</v>
      </c>
      <c r="O106" s="211">
        <v>40227.33666666667</v>
      </c>
      <c r="P106" s="211">
        <v>40558.666666666672</v>
      </c>
      <c r="Q106" s="211">
        <v>0</v>
      </c>
      <c r="R106" s="211">
        <v>0</v>
      </c>
      <c r="S106" s="191">
        <v>0</v>
      </c>
      <c r="T106" s="191">
        <v>0</v>
      </c>
      <c r="U106" s="212">
        <f t="shared" si="28"/>
        <v>115577.97766666667</v>
      </c>
      <c r="W106" s="33">
        <f t="shared" si="22"/>
        <v>0</v>
      </c>
      <c r="X106" s="33">
        <f t="shared" si="25"/>
        <v>115577.97766666667</v>
      </c>
      <c r="Y106" s="33">
        <f t="shared" si="27"/>
        <v>0</v>
      </c>
      <c r="Z106" s="33">
        <f t="shared" si="27"/>
        <v>0</v>
      </c>
      <c r="AA106" s="33">
        <f t="shared" si="27"/>
        <v>0</v>
      </c>
      <c r="AB106" s="33">
        <f t="shared" si="27"/>
        <v>0</v>
      </c>
      <c r="AC106" s="33">
        <f t="shared" si="27"/>
        <v>0</v>
      </c>
      <c r="AD106" s="33">
        <f t="shared" si="27"/>
        <v>0</v>
      </c>
      <c r="AE106" s="33">
        <f t="shared" si="27"/>
        <v>0</v>
      </c>
      <c r="AF106" s="58">
        <f t="shared" si="19"/>
        <v>0</v>
      </c>
      <c r="AH106" s="33">
        <f t="shared" si="29"/>
        <v>0</v>
      </c>
      <c r="AI106" s="33">
        <f t="shared" si="23"/>
        <v>115577.97766666667</v>
      </c>
      <c r="AJ106" s="33"/>
      <c r="AK106" s="191"/>
      <c r="AL106" s="191"/>
      <c r="AM106" s="191">
        <v>0</v>
      </c>
    </row>
    <row r="107" spans="1:39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Mar 2026'!$A$8:$F$206,6,FALSE)</f>
        <v>Chq Bk</v>
      </c>
      <c r="H107" s="190"/>
      <c r="I107" s="190"/>
      <c r="J107" s="211">
        <v>0</v>
      </c>
      <c r="K107" s="211">
        <v>0</v>
      </c>
      <c r="L107" s="211">
        <v>0</v>
      </c>
      <c r="M107" s="211">
        <v>46312.38</v>
      </c>
      <c r="N107" s="211">
        <v>490.41666666666561</v>
      </c>
      <c r="O107" s="211">
        <v>33619.333333333328</v>
      </c>
      <c r="P107" s="211">
        <v>49124.333333333328</v>
      </c>
      <c r="Q107" s="211">
        <v>0</v>
      </c>
      <c r="R107" s="211">
        <v>0</v>
      </c>
      <c r="S107" s="191">
        <v>0</v>
      </c>
      <c r="T107" s="191">
        <v>0</v>
      </c>
      <c r="U107" s="212">
        <f t="shared" si="28"/>
        <v>129546.46333333332</v>
      </c>
      <c r="W107" s="33">
        <f t="shared" si="22"/>
        <v>0</v>
      </c>
      <c r="X107" s="33">
        <f t="shared" si="25"/>
        <v>129546.46333333332</v>
      </c>
      <c r="Y107" s="33">
        <f t="shared" si="27"/>
        <v>0</v>
      </c>
      <c r="Z107" s="33">
        <f t="shared" si="27"/>
        <v>0</v>
      </c>
      <c r="AA107" s="33">
        <f t="shared" si="27"/>
        <v>0</v>
      </c>
      <c r="AB107" s="33">
        <f t="shared" si="27"/>
        <v>0</v>
      </c>
      <c r="AC107" s="33">
        <f t="shared" si="27"/>
        <v>0</v>
      </c>
      <c r="AD107" s="33">
        <f t="shared" si="27"/>
        <v>0</v>
      </c>
      <c r="AE107" s="33">
        <f t="shared" si="27"/>
        <v>0</v>
      </c>
      <c r="AF107" s="58">
        <f t="shared" si="19"/>
        <v>0</v>
      </c>
      <c r="AH107" s="33">
        <f t="shared" si="29"/>
        <v>0</v>
      </c>
      <c r="AI107" s="33">
        <f t="shared" si="23"/>
        <v>129546.46333333332</v>
      </c>
      <c r="AJ107" s="33"/>
      <c r="AK107" s="191"/>
      <c r="AL107" s="191"/>
      <c r="AM107" s="191">
        <v>0</v>
      </c>
    </row>
    <row r="108" spans="1:39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Mar 2026'!$A$8:$F$206,6,FALSE)</f>
        <v>Chq Bk</v>
      </c>
      <c r="H108" s="190"/>
      <c r="I108" s="190"/>
      <c r="J108" s="211">
        <v>0</v>
      </c>
      <c r="K108" s="211">
        <v>0</v>
      </c>
      <c r="L108" s="211">
        <v>0</v>
      </c>
      <c r="M108" s="211">
        <v>22647.4</v>
      </c>
      <c r="N108" s="211">
        <v>222.39666666666653</v>
      </c>
      <c r="O108" s="211">
        <v>0</v>
      </c>
      <c r="P108" s="211">
        <v>0</v>
      </c>
      <c r="Q108" s="211">
        <v>0</v>
      </c>
      <c r="R108" s="211">
        <v>0</v>
      </c>
      <c r="S108" s="191">
        <v>0</v>
      </c>
      <c r="T108" s="191">
        <v>0</v>
      </c>
      <c r="U108" s="212">
        <f t="shared" si="28"/>
        <v>22869.796666666669</v>
      </c>
      <c r="W108" s="33">
        <f t="shared" si="22"/>
        <v>0</v>
      </c>
      <c r="X108" s="33">
        <f t="shared" ref="X108:X127" si="30">SUMIF($H$3:$T$3,X$6,$H108:$T108)</f>
        <v>22869.796666666669</v>
      </c>
      <c r="Y108" s="33">
        <f t="shared" ref="Y108:AE117" si="31">SUMIF($H$3:$S$3,Y$6,$H108:$S108)</f>
        <v>0</v>
      </c>
      <c r="Z108" s="33">
        <f t="shared" si="31"/>
        <v>0</v>
      </c>
      <c r="AA108" s="33">
        <f t="shared" si="31"/>
        <v>0</v>
      </c>
      <c r="AB108" s="33">
        <f t="shared" si="31"/>
        <v>0</v>
      </c>
      <c r="AC108" s="33">
        <f t="shared" si="31"/>
        <v>0</v>
      </c>
      <c r="AD108" s="33">
        <f t="shared" si="31"/>
        <v>0</v>
      </c>
      <c r="AE108" s="33">
        <f t="shared" si="31"/>
        <v>0</v>
      </c>
      <c r="AF108" s="58">
        <f t="shared" si="19"/>
        <v>0</v>
      </c>
      <c r="AH108" s="33">
        <f t="shared" si="29"/>
        <v>0</v>
      </c>
      <c r="AI108" s="33">
        <f t="shared" si="23"/>
        <v>22869.796666666669</v>
      </c>
      <c r="AJ108" s="33"/>
      <c r="AK108" s="191"/>
      <c r="AL108" s="191"/>
      <c r="AM108" s="191">
        <v>0</v>
      </c>
    </row>
    <row r="109" spans="1:39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Mar 2026'!$A$8:$F$206,6,FALSE)</f>
        <v>Chq Bk</v>
      </c>
      <c r="H109" s="190"/>
      <c r="I109" s="190"/>
      <c r="J109" s="211">
        <v>60900</v>
      </c>
      <c r="K109" s="211">
        <v>0</v>
      </c>
      <c r="L109" s="211">
        <v>12600</v>
      </c>
      <c r="M109" s="211">
        <v>0</v>
      </c>
      <c r="N109" s="211">
        <v>0</v>
      </c>
      <c r="O109" s="211">
        <v>0</v>
      </c>
      <c r="P109" s="211">
        <v>0</v>
      </c>
      <c r="Q109" s="211">
        <v>0</v>
      </c>
      <c r="R109" s="211">
        <v>0</v>
      </c>
      <c r="S109" s="191">
        <v>0</v>
      </c>
      <c r="T109" s="191">
        <v>0</v>
      </c>
      <c r="U109" s="212">
        <f t="shared" si="28"/>
        <v>73500</v>
      </c>
      <c r="W109" s="33">
        <f t="shared" si="22"/>
        <v>0</v>
      </c>
      <c r="X109" s="33">
        <f t="shared" si="30"/>
        <v>73500</v>
      </c>
      <c r="Y109" s="33">
        <f t="shared" si="31"/>
        <v>0</v>
      </c>
      <c r="Z109" s="33">
        <f t="shared" si="31"/>
        <v>0</v>
      </c>
      <c r="AA109" s="33">
        <f t="shared" si="31"/>
        <v>0</v>
      </c>
      <c r="AB109" s="33">
        <f t="shared" si="31"/>
        <v>0</v>
      </c>
      <c r="AC109" s="33">
        <f t="shared" si="31"/>
        <v>0</v>
      </c>
      <c r="AD109" s="33">
        <f t="shared" si="31"/>
        <v>0</v>
      </c>
      <c r="AE109" s="33">
        <f t="shared" si="31"/>
        <v>0</v>
      </c>
      <c r="AF109" s="58">
        <f t="shared" si="19"/>
        <v>0</v>
      </c>
      <c r="AH109" s="33">
        <f t="shared" si="29"/>
        <v>0</v>
      </c>
      <c r="AI109" s="33">
        <f t="shared" si="23"/>
        <v>86100</v>
      </c>
      <c r="AJ109" s="33"/>
      <c r="AK109" s="191"/>
      <c r="AL109" s="191"/>
      <c r="AM109" s="191">
        <v>12600</v>
      </c>
    </row>
    <row r="110" spans="1:39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Mar 2026'!$A$8:$F$206,6,FALSE)</f>
        <v>Chq Bk</v>
      </c>
      <c r="H110" s="190"/>
      <c r="I110" s="190"/>
      <c r="J110" s="211">
        <v>0</v>
      </c>
      <c r="K110" s="211">
        <v>0</v>
      </c>
      <c r="L110" s="211">
        <v>0</v>
      </c>
      <c r="M110" s="211">
        <v>15448.6</v>
      </c>
      <c r="N110" s="211">
        <v>222.39999999999964</v>
      </c>
      <c r="O110" s="211">
        <v>29988.666666666668</v>
      </c>
      <c r="P110" s="211">
        <v>30002.555555555558</v>
      </c>
      <c r="Q110" s="211">
        <v>0</v>
      </c>
      <c r="R110" s="211">
        <v>63199.383333333346</v>
      </c>
      <c r="S110" s="191">
        <v>0</v>
      </c>
      <c r="T110" s="191">
        <v>0</v>
      </c>
      <c r="U110" s="212">
        <f t="shared" si="28"/>
        <v>138861.60555555558</v>
      </c>
      <c r="W110" s="33">
        <f t="shared" si="22"/>
        <v>63199.383333333346</v>
      </c>
      <c r="X110" s="33">
        <f t="shared" si="30"/>
        <v>75662.222222222234</v>
      </c>
      <c r="Y110" s="33">
        <f t="shared" si="31"/>
        <v>0</v>
      </c>
      <c r="Z110" s="33">
        <f t="shared" si="31"/>
        <v>0</v>
      </c>
      <c r="AA110" s="33">
        <f t="shared" si="31"/>
        <v>0</v>
      </c>
      <c r="AB110" s="33">
        <f t="shared" si="31"/>
        <v>0</v>
      </c>
      <c r="AC110" s="33">
        <f t="shared" si="31"/>
        <v>0</v>
      </c>
      <c r="AD110" s="33">
        <f t="shared" si="31"/>
        <v>0</v>
      </c>
      <c r="AE110" s="33">
        <f t="shared" si="31"/>
        <v>0</v>
      </c>
      <c r="AF110" s="58">
        <f t="shared" si="19"/>
        <v>0</v>
      </c>
      <c r="AH110" s="33">
        <f t="shared" si="29"/>
        <v>63199.383333333346</v>
      </c>
      <c r="AI110" s="33">
        <f t="shared" si="23"/>
        <v>75662.222222222234</v>
      </c>
      <c r="AJ110" s="33"/>
      <c r="AK110" s="191"/>
      <c r="AL110" s="191"/>
      <c r="AM110" s="191">
        <v>0</v>
      </c>
    </row>
    <row r="111" spans="1:39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Mar 2026'!$A$8:$F$206,6,FALSE)</f>
        <v>Chq Bk</v>
      </c>
      <c r="H111" s="190"/>
      <c r="I111" s="190"/>
      <c r="J111" s="211">
        <v>0</v>
      </c>
      <c r="K111" s="211">
        <v>0</v>
      </c>
      <c r="L111" s="211">
        <v>0</v>
      </c>
      <c r="M111" s="211">
        <v>6948.48</v>
      </c>
      <c r="N111" s="211">
        <v>104.64000000000033</v>
      </c>
      <c r="O111" s="211">
        <v>2658</v>
      </c>
      <c r="P111" s="211">
        <v>8700.6666666666661</v>
      </c>
      <c r="Q111" s="211">
        <v>0</v>
      </c>
      <c r="R111" s="211">
        <v>0</v>
      </c>
      <c r="S111" s="191">
        <v>0</v>
      </c>
      <c r="T111" s="191">
        <v>0</v>
      </c>
      <c r="U111" s="212">
        <f t="shared" si="28"/>
        <v>18411.786666666667</v>
      </c>
      <c r="W111" s="33">
        <f t="shared" si="22"/>
        <v>0</v>
      </c>
      <c r="X111" s="33">
        <f t="shared" si="30"/>
        <v>18411.786666666667</v>
      </c>
      <c r="Y111" s="33">
        <f t="shared" si="31"/>
        <v>0</v>
      </c>
      <c r="Z111" s="33">
        <f t="shared" si="31"/>
        <v>0</v>
      </c>
      <c r="AA111" s="33">
        <f t="shared" si="31"/>
        <v>0</v>
      </c>
      <c r="AB111" s="33">
        <f t="shared" si="31"/>
        <v>0</v>
      </c>
      <c r="AC111" s="33">
        <f t="shared" si="31"/>
        <v>0</v>
      </c>
      <c r="AD111" s="33">
        <f t="shared" si="31"/>
        <v>0</v>
      </c>
      <c r="AE111" s="33">
        <f t="shared" si="31"/>
        <v>0</v>
      </c>
      <c r="AF111" s="58">
        <f t="shared" si="19"/>
        <v>0</v>
      </c>
      <c r="AH111" s="33">
        <f t="shared" si="29"/>
        <v>0</v>
      </c>
      <c r="AI111" s="33">
        <f t="shared" si="23"/>
        <v>18411.786666666667</v>
      </c>
      <c r="AJ111" s="33"/>
      <c r="AK111" s="191"/>
      <c r="AL111" s="191"/>
      <c r="AM111" s="191">
        <v>0</v>
      </c>
    </row>
    <row r="112" spans="1:39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Mar 2026'!$A$8:$F$206,6,FALSE)</f>
        <v>Chq Bk</v>
      </c>
      <c r="H112" s="190"/>
      <c r="I112" s="190"/>
      <c r="J112" s="211">
        <v>0</v>
      </c>
      <c r="K112" s="211">
        <v>1360</v>
      </c>
      <c r="L112" s="211">
        <v>0</v>
      </c>
      <c r="M112" s="211">
        <v>17658.259999999998</v>
      </c>
      <c r="N112" s="211">
        <v>240.40999999999985</v>
      </c>
      <c r="O112" s="211">
        <v>42400.666666666664</v>
      </c>
      <c r="P112" s="211">
        <v>42400.666666666664</v>
      </c>
      <c r="Q112" s="211">
        <v>0</v>
      </c>
      <c r="R112" s="211">
        <v>0</v>
      </c>
      <c r="S112" s="191">
        <v>0</v>
      </c>
      <c r="T112" s="191">
        <v>0</v>
      </c>
      <c r="U112" s="212">
        <f t="shared" si="28"/>
        <v>104060.00333333333</v>
      </c>
      <c r="W112" s="33">
        <f t="shared" si="22"/>
        <v>0</v>
      </c>
      <c r="X112" s="33">
        <f t="shared" si="30"/>
        <v>104060.00333333333</v>
      </c>
      <c r="Y112" s="33">
        <f t="shared" si="31"/>
        <v>0</v>
      </c>
      <c r="Z112" s="33">
        <f t="shared" si="31"/>
        <v>0</v>
      </c>
      <c r="AA112" s="33">
        <f t="shared" si="31"/>
        <v>0</v>
      </c>
      <c r="AB112" s="33">
        <f t="shared" si="31"/>
        <v>0</v>
      </c>
      <c r="AC112" s="33">
        <f t="shared" si="31"/>
        <v>0</v>
      </c>
      <c r="AD112" s="33">
        <f t="shared" si="31"/>
        <v>0</v>
      </c>
      <c r="AE112" s="33">
        <f t="shared" si="31"/>
        <v>0</v>
      </c>
      <c r="AF112" s="58">
        <f t="shared" si="19"/>
        <v>0</v>
      </c>
      <c r="AH112" s="33">
        <f t="shared" si="29"/>
        <v>0</v>
      </c>
      <c r="AI112" s="33">
        <f t="shared" si="23"/>
        <v>105420.00333333333</v>
      </c>
      <c r="AJ112" s="33"/>
      <c r="AK112" s="191"/>
      <c r="AL112" s="191"/>
      <c r="AM112" s="191">
        <v>1360</v>
      </c>
    </row>
    <row r="113" spans="1:39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Mar 2026'!$A$8:$F$206,6,FALSE)</f>
        <v>Chq Bk</v>
      </c>
      <c r="H113" s="190"/>
      <c r="I113" s="190"/>
      <c r="J113" s="211">
        <v>0</v>
      </c>
      <c r="K113" s="211">
        <v>0</v>
      </c>
      <c r="L113" s="211">
        <v>0</v>
      </c>
      <c r="M113" s="211">
        <v>37787.56</v>
      </c>
      <c r="N113" s="211">
        <v>399.39999999999918</v>
      </c>
      <c r="O113" s="211">
        <v>0</v>
      </c>
      <c r="P113" s="211">
        <v>16255</v>
      </c>
      <c r="Q113" s="211">
        <v>0</v>
      </c>
      <c r="R113" s="211">
        <v>0</v>
      </c>
      <c r="S113" s="191">
        <v>0</v>
      </c>
      <c r="T113" s="191">
        <v>0</v>
      </c>
      <c r="U113" s="212">
        <f t="shared" si="28"/>
        <v>54441.96</v>
      </c>
      <c r="W113" s="33">
        <f t="shared" si="22"/>
        <v>0</v>
      </c>
      <c r="X113" s="33">
        <f t="shared" si="30"/>
        <v>54441.96</v>
      </c>
      <c r="Y113" s="33">
        <f t="shared" si="31"/>
        <v>0</v>
      </c>
      <c r="Z113" s="33">
        <f t="shared" si="31"/>
        <v>0</v>
      </c>
      <c r="AA113" s="33">
        <f t="shared" si="31"/>
        <v>0</v>
      </c>
      <c r="AB113" s="33">
        <f t="shared" si="31"/>
        <v>0</v>
      </c>
      <c r="AC113" s="33">
        <f t="shared" si="31"/>
        <v>0</v>
      </c>
      <c r="AD113" s="33">
        <f t="shared" si="31"/>
        <v>0</v>
      </c>
      <c r="AE113" s="33">
        <f t="shared" si="31"/>
        <v>0</v>
      </c>
      <c r="AF113" s="58">
        <f t="shared" si="19"/>
        <v>0</v>
      </c>
      <c r="AH113" s="33">
        <f t="shared" si="29"/>
        <v>0</v>
      </c>
      <c r="AI113" s="33">
        <f t="shared" si="23"/>
        <v>54441.96</v>
      </c>
      <c r="AJ113" s="33"/>
      <c r="AK113" s="191"/>
      <c r="AL113" s="191"/>
      <c r="AM113" s="191">
        <v>0</v>
      </c>
    </row>
    <row r="114" spans="1:39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Mar 2026'!$A$8:$F$206,6,FALSE)</f>
        <v>Chq Bk</v>
      </c>
      <c r="H114" s="190"/>
      <c r="I114" s="190"/>
      <c r="J114" s="211">
        <v>0</v>
      </c>
      <c r="K114" s="211">
        <v>0</v>
      </c>
      <c r="L114" s="211">
        <v>0</v>
      </c>
      <c r="M114" s="211">
        <v>48188.81</v>
      </c>
      <c r="N114" s="211">
        <v>669.2166666666626</v>
      </c>
      <c r="O114" s="211">
        <v>38005.666666666672</v>
      </c>
      <c r="P114" s="211">
        <v>91512.666666666657</v>
      </c>
      <c r="Q114" s="211">
        <v>0</v>
      </c>
      <c r="R114" s="211">
        <v>0</v>
      </c>
      <c r="S114" s="191">
        <v>0</v>
      </c>
      <c r="T114" s="191">
        <v>0</v>
      </c>
      <c r="U114" s="212">
        <f t="shared" si="28"/>
        <v>178376.36</v>
      </c>
      <c r="W114" s="33">
        <f t="shared" si="22"/>
        <v>0</v>
      </c>
      <c r="X114" s="33">
        <f t="shared" si="30"/>
        <v>178376.36</v>
      </c>
      <c r="Y114" s="33">
        <f t="shared" si="31"/>
        <v>0</v>
      </c>
      <c r="Z114" s="33">
        <f t="shared" si="31"/>
        <v>0</v>
      </c>
      <c r="AA114" s="33">
        <f t="shared" si="31"/>
        <v>0</v>
      </c>
      <c r="AB114" s="33">
        <f t="shared" si="31"/>
        <v>0</v>
      </c>
      <c r="AC114" s="33">
        <f t="shared" si="31"/>
        <v>0</v>
      </c>
      <c r="AD114" s="33">
        <f t="shared" si="31"/>
        <v>0</v>
      </c>
      <c r="AE114" s="33">
        <f t="shared" si="31"/>
        <v>0</v>
      </c>
      <c r="AF114" s="58">
        <f t="shared" si="19"/>
        <v>0</v>
      </c>
      <c r="AH114" s="33">
        <f t="shared" si="29"/>
        <v>0</v>
      </c>
      <c r="AI114" s="33">
        <f t="shared" si="23"/>
        <v>178376.36</v>
      </c>
      <c r="AJ114" s="33"/>
      <c r="AK114" s="191"/>
      <c r="AL114" s="191"/>
      <c r="AM114" s="191">
        <v>0</v>
      </c>
    </row>
    <row r="115" spans="1:39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Mar 2026'!$A$8:$F$206,6,FALSE)</f>
        <v>Chq Bk</v>
      </c>
      <c r="H115" s="190"/>
      <c r="I115" s="190"/>
      <c r="J115" s="211">
        <v>0</v>
      </c>
      <c r="K115" s="211">
        <v>0</v>
      </c>
      <c r="L115" s="211">
        <v>0</v>
      </c>
      <c r="M115" s="211">
        <v>117252.64</v>
      </c>
      <c r="N115" s="211">
        <v>1700.7076666666642</v>
      </c>
      <c r="O115" s="211">
        <v>63472.32666666666</v>
      </c>
      <c r="P115" s="211">
        <v>97230.000000000015</v>
      </c>
      <c r="Q115" s="211">
        <v>0</v>
      </c>
      <c r="R115" s="211">
        <v>0</v>
      </c>
      <c r="S115" s="191">
        <v>0</v>
      </c>
      <c r="T115" s="191">
        <v>0</v>
      </c>
      <c r="U115" s="212">
        <f t="shared" si="28"/>
        <v>279655.67433333333</v>
      </c>
      <c r="W115" s="33">
        <f t="shared" si="22"/>
        <v>0</v>
      </c>
      <c r="X115" s="33">
        <f t="shared" si="30"/>
        <v>279655.67433333333</v>
      </c>
      <c r="Y115" s="33">
        <f t="shared" si="31"/>
        <v>0</v>
      </c>
      <c r="Z115" s="33">
        <f t="shared" si="31"/>
        <v>0</v>
      </c>
      <c r="AA115" s="33">
        <f t="shared" si="31"/>
        <v>0</v>
      </c>
      <c r="AB115" s="33">
        <f t="shared" si="31"/>
        <v>0</v>
      </c>
      <c r="AC115" s="33">
        <f t="shared" si="31"/>
        <v>0</v>
      </c>
      <c r="AD115" s="33">
        <f t="shared" si="31"/>
        <v>0</v>
      </c>
      <c r="AE115" s="33">
        <f t="shared" si="31"/>
        <v>0</v>
      </c>
      <c r="AF115" s="58">
        <f t="shared" si="19"/>
        <v>0</v>
      </c>
      <c r="AH115" s="33">
        <f t="shared" si="29"/>
        <v>0</v>
      </c>
      <c r="AI115" s="33">
        <f t="shared" si="23"/>
        <v>279655.67433333333</v>
      </c>
      <c r="AJ115" s="33"/>
      <c r="AK115" s="191"/>
      <c r="AL115" s="191"/>
      <c r="AM115" s="191">
        <v>0</v>
      </c>
    </row>
    <row r="116" spans="1:39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Mar 2026'!$A$8:$F$206,6,FALSE)</f>
        <v>Chq Bk</v>
      </c>
      <c r="H116" s="190"/>
      <c r="I116" s="190"/>
      <c r="J116" s="211">
        <v>46660</v>
      </c>
      <c r="K116" s="211">
        <v>0</v>
      </c>
      <c r="L116" s="211">
        <v>91350</v>
      </c>
      <c r="M116" s="211">
        <v>0</v>
      </c>
      <c r="N116" s="211">
        <v>0</v>
      </c>
      <c r="O116" s="211">
        <v>0</v>
      </c>
      <c r="P116" s="211">
        <v>0</v>
      </c>
      <c r="Q116" s="211">
        <v>0</v>
      </c>
      <c r="R116" s="211">
        <v>0</v>
      </c>
      <c r="S116" s="191">
        <v>0</v>
      </c>
      <c r="T116" s="191">
        <v>0</v>
      </c>
      <c r="U116" s="212">
        <f t="shared" si="28"/>
        <v>138010</v>
      </c>
      <c r="W116" s="33">
        <f t="shared" si="22"/>
        <v>0</v>
      </c>
      <c r="X116" s="33">
        <f t="shared" si="30"/>
        <v>138010</v>
      </c>
      <c r="Y116" s="33">
        <f t="shared" si="31"/>
        <v>0</v>
      </c>
      <c r="Z116" s="33">
        <f t="shared" si="31"/>
        <v>0</v>
      </c>
      <c r="AA116" s="33">
        <f t="shared" si="31"/>
        <v>0</v>
      </c>
      <c r="AB116" s="33">
        <f t="shared" si="31"/>
        <v>0</v>
      </c>
      <c r="AC116" s="33">
        <f t="shared" si="31"/>
        <v>0</v>
      </c>
      <c r="AD116" s="33">
        <f t="shared" si="31"/>
        <v>0</v>
      </c>
      <c r="AE116" s="33">
        <f t="shared" si="31"/>
        <v>0</v>
      </c>
      <c r="AF116" s="58">
        <f t="shared" si="19"/>
        <v>0</v>
      </c>
      <c r="AH116" s="33">
        <f t="shared" si="29"/>
        <v>0</v>
      </c>
      <c r="AI116" s="33">
        <f t="shared" si="23"/>
        <v>194710</v>
      </c>
      <c r="AJ116" s="33"/>
      <c r="AK116" s="191"/>
      <c r="AL116" s="191"/>
      <c r="AM116" s="191">
        <v>56700</v>
      </c>
    </row>
    <row r="117" spans="1:39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Mar 2026'!$A$8:$F$206,6,FALSE)</f>
        <v>Chq Bk</v>
      </c>
      <c r="H117" s="190"/>
      <c r="I117" s="190"/>
      <c r="J117" s="211">
        <v>0</v>
      </c>
      <c r="K117" s="211">
        <v>0</v>
      </c>
      <c r="L117" s="211">
        <v>0</v>
      </c>
      <c r="M117" s="211">
        <v>55491.91</v>
      </c>
      <c r="N117" s="211">
        <v>583.68333333333203</v>
      </c>
      <c r="O117" s="211">
        <v>65189.996666666659</v>
      </c>
      <c r="P117" s="211">
        <v>61036.999999999993</v>
      </c>
      <c r="Q117" s="211">
        <v>0</v>
      </c>
      <c r="R117" s="211">
        <v>0</v>
      </c>
      <c r="S117" s="191">
        <v>0</v>
      </c>
      <c r="T117" s="191">
        <v>0</v>
      </c>
      <c r="U117" s="212">
        <f t="shared" si="28"/>
        <v>182302.59</v>
      </c>
      <c r="W117" s="33">
        <f t="shared" si="22"/>
        <v>0</v>
      </c>
      <c r="X117" s="33">
        <f t="shared" si="30"/>
        <v>182302.59</v>
      </c>
      <c r="Y117" s="33">
        <f t="shared" si="31"/>
        <v>0</v>
      </c>
      <c r="Z117" s="33">
        <f t="shared" si="31"/>
        <v>0</v>
      </c>
      <c r="AA117" s="33">
        <f t="shared" si="31"/>
        <v>0</v>
      </c>
      <c r="AB117" s="33">
        <f t="shared" si="31"/>
        <v>0</v>
      </c>
      <c r="AC117" s="33">
        <f t="shared" si="31"/>
        <v>0</v>
      </c>
      <c r="AD117" s="33">
        <f t="shared" si="31"/>
        <v>0</v>
      </c>
      <c r="AE117" s="33">
        <f t="shared" si="31"/>
        <v>0</v>
      </c>
      <c r="AF117" s="58">
        <f t="shared" si="19"/>
        <v>0</v>
      </c>
      <c r="AH117" s="33">
        <f t="shared" si="29"/>
        <v>0</v>
      </c>
      <c r="AI117" s="33">
        <f t="shared" si="23"/>
        <v>182302.59</v>
      </c>
      <c r="AJ117" s="33"/>
      <c r="AK117" s="191"/>
      <c r="AL117" s="191"/>
      <c r="AM117" s="191">
        <v>0</v>
      </c>
    </row>
    <row r="118" spans="1:39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Mar 2026'!$A$8:$F$206,6,FALSE)</f>
        <v>Chq Bk</v>
      </c>
      <c r="H118" s="190"/>
      <c r="I118" s="190"/>
      <c r="J118" s="211">
        <v>0</v>
      </c>
      <c r="K118" s="211">
        <v>0</v>
      </c>
      <c r="L118" s="211">
        <v>0</v>
      </c>
      <c r="M118" s="211">
        <v>11466.28</v>
      </c>
      <c r="N118" s="211">
        <v>209.27999999999975</v>
      </c>
      <c r="O118" s="211">
        <v>16123</v>
      </c>
      <c r="P118" s="211">
        <v>31136.336666666662</v>
      </c>
      <c r="Q118" s="211">
        <v>0</v>
      </c>
      <c r="R118" s="211">
        <v>0</v>
      </c>
      <c r="S118" s="191">
        <v>0</v>
      </c>
      <c r="T118" s="191">
        <v>0</v>
      </c>
      <c r="U118" s="212">
        <f t="shared" si="28"/>
        <v>58934.896666666667</v>
      </c>
      <c r="W118" s="33">
        <f t="shared" si="22"/>
        <v>0</v>
      </c>
      <c r="X118" s="33">
        <f t="shared" si="30"/>
        <v>58934.896666666667</v>
      </c>
      <c r="Y118" s="33">
        <f t="shared" ref="Y118:AE127" si="32">SUMIF($H$3:$S$3,Y$6,$H118:$S118)</f>
        <v>0</v>
      </c>
      <c r="Z118" s="33">
        <f t="shared" si="32"/>
        <v>0</v>
      </c>
      <c r="AA118" s="33">
        <f t="shared" si="32"/>
        <v>0</v>
      </c>
      <c r="AB118" s="33">
        <f t="shared" si="32"/>
        <v>0</v>
      </c>
      <c r="AC118" s="33">
        <f t="shared" si="32"/>
        <v>0</v>
      </c>
      <c r="AD118" s="33">
        <f t="shared" si="32"/>
        <v>0</v>
      </c>
      <c r="AE118" s="33">
        <f t="shared" si="32"/>
        <v>0</v>
      </c>
      <c r="AF118" s="58">
        <f t="shared" si="19"/>
        <v>0</v>
      </c>
      <c r="AH118" s="33">
        <f t="shared" si="29"/>
        <v>0</v>
      </c>
      <c r="AI118" s="33">
        <f t="shared" si="23"/>
        <v>58934.896666666667</v>
      </c>
      <c r="AJ118" s="33"/>
      <c r="AK118" s="191"/>
      <c r="AL118" s="191"/>
      <c r="AM118" s="191">
        <v>0</v>
      </c>
    </row>
    <row r="119" spans="1:39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Mar 2026'!$A$8:$F$206,6,FALSE)</f>
        <v>Chq Bk</v>
      </c>
      <c r="H119" s="190"/>
      <c r="I119" s="190"/>
      <c r="J119" s="211">
        <v>0</v>
      </c>
      <c r="K119" s="211">
        <v>0</v>
      </c>
      <c r="L119" s="211">
        <v>0</v>
      </c>
      <c r="M119" s="211">
        <v>29838.74</v>
      </c>
      <c r="N119" s="211">
        <v>594.92999999999893</v>
      </c>
      <c r="O119" s="211">
        <v>25450.000000000004</v>
      </c>
      <c r="P119" s="211">
        <v>36236.066666666666</v>
      </c>
      <c r="Q119" s="211">
        <v>0</v>
      </c>
      <c r="R119" s="211">
        <v>0</v>
      </c>
      <c r="S119" s="191">
        <v>0</v>
      </c>
      <c r="T119" s="191">
        <v>0</v>
      </c>
      <c r="U119" s="212">
        <f t="shared" si="28"/>
        <v>92119.736666666664</v>
      </c>
      <c r="W119" s="33">
        <f t="shared" si="22"/>
        <v>0</v>
      </c>
      <c r="X119" s="33">
        <f t="shared" si="30"/>
        <v>92119.736666666664</v>
      </c>
      <c r="Y119" s="33">
        <f t="shared" si="32"/>
        <v>0</v>
      </c>
      <c r="Z119" s="33">
        <f t="shared" si="32"/>
        <v>0</v>
      </c>
      <c r="AA119" s="33">
        <f t="shared" si="32"/>
        <v>0</v>
      </c>
      <c r="AB119" s="33">
        <f t="shared" si="32"/>
        <v>0</v>
      </c>
      <c r="AC119" s="33">
        <f t="shared" si="32"/>
        <v>0</v>
      </c>
      <c r="AD119" s="33">
        <f t="shared" si="32"/>
        <v>0</v>
      </c>
      <c r="AE119" s="33">
        <f t="shared" si="32"/>
        <v>0</v>
      </c>
      <c r="AF119" s="58">
        <f t="shared" si="19"/>
        <v>0</v>
      </c>
      <c r="AH119" s="33">
        <f t="shared" si="29"/>
        <v>0</v>
      </c>
      <c r="AI119" s="33">
        <f t="shared" si="23"/>
        <v>92119.736666666664</v>
      </c>
      <c r="AJ119" s="33"/>
      <c r="AK119" s="191"/>
      <c r="AL119" s="191"/>
      <c r="AM119" s="191">
        <v>0</v>
      </c>
    </row>
    <row r="120" spans="1:39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Mar 2026'!$A$8:$F$206,6,FALSE)</f>
        <v>Chq Bk</v>
      </c>
      <c r="H120" s="190"/>
      <c r="I120" s="190"/>
      <c r="J120" s="211">
        <v>0</v>
      </c>
      <c r="K120" s="211">
        <v>0</v>
      </c>
      <c r="L120" s="211">
        <v>0</v>
      </c>
      <c r="M120" s="211">
        <v>23320.29</v>
      </c>
      <c r="N120" s="211">
        <v>423.81333333333305</v>
      </c>
      <c r="O120" s="211">
        <v>13303</v>
      </c>
      <c r="P120" s="211">
        <v>11511.996666666666</v>
      </c>
      <c r="Q120" s="211">
        <v>0</v>
      </c>
      <c r="R120" s="211">
        <v>0</v>
      </c>
      <c r="S120" s="191">
        <v>0</v>
      </c>
      <c r="T120" s="191">
        <v>0</v>
      </c>
      <c r="U120" s="212">
        <f t="shared" si="28"/>
        <v>48559.1</v>
      </c>
      <c r="W120" s="33">
        <f t="shared" si="22"/>
        <v>0</v>
      </c>
      <c r="X120" s="33">
        <f t="shared" si="30"/>
        <v>48559.1</v>
      </c>
      <c r="Y120" s="33">
        <f t="shared" si="32"/>
        <v>0</v>
      </c>
      <c r="Z120" s="33">
        <f t="shared" si="32"/>
        <v>0</v>
      </c>
      <c r="AA120" s="33">
        <f t="shared" si="32"/>
        <v>0</v>
      </c>
      <c r="AB120" s="33">
        <f t="shared" si="32"/>
        <v>0</v>
      </c>
      <c r="AC120" s="33">
        <f t="shared" si="32"/>
        <v>0</v>
      </c>
      <c r="AD120" s="33">
        <f t="shared" si="32"/>
        <v>0</v>
      </c>
      <c r="AE120" s="33">
        <f t="shared" si="32"/>
        <v>0</v>
      </c>
      <c r="AF120" s="58">
        <f t="shared" si="19"/>
        <v>0</v>
      </c>
      <c r="AH120" s="33">
        <f t="shared" si="29"/>
        <v>0</v>
      </c>
      <c r="AI120" s="33">
        <f t="shared" si="23"/>
        <v>48559.1</v>
      </c>
      <c r="AJ120" s="33"/>
      <c r="AK120" s="191"/>
      <c r="AL120" s="191"/>
      <c r="AM120" s="191">
        <v>0</v>
      </c>
    </row>
    <row r="121" spans="1:39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Mar 2026'!$A$8:$F$206,6,FALSE)</f>
        <v>Chq Bk</v>
      </c>
      <c r="H121" s="190"/>
      <c r="I121" s="190"/>
      <c r="J121" s="211">
        <v>0</v>
      </c>
      <c r="K121" s="211">
        <v>0</v>
      </c>
      <c r="L121" s="211">
        <v>0</v>
      </c>
      <c r="M121" s="211">
        <v>46902.28</v>
      </c>
      <c r="N121" s="211">
        <v>752.01666666666551</v>
      </c>
      <c r="O121" s="211">
        <v>45235.666666666664</v>
      </c>
      <c r="P121" s="211">
        <v>67411</v>
      </c>
      <c r="Q121" s="211">
        <v>0</v>
      </c>
      <c r="R121" s="211">
        <v>0</v>
      </c>
      <c r="S121" s="191">
        <v>0</v>
      </c>
      <c r="T121" s="191">
        <v>0</v>
      </c>
      <c r="U121" s="212">
        <f t="shared" si="28"/>
        <v>160300.96333333332</v>
      </c>
      <c r="W121" s="33">
        <f t="shared" si="22"/>
        <v>0</v>
      </c>
      <c r="X121" s="33">
        <f t="shared" si="30"/>
        <v>160300.96333333332</v>
      </c>
      <c r="Y121" s="33">
        <f t="shared" si="32"/>
        <v>0</v>
      </c>
      <c r="Z121" s="33">
        <f t="shared" si="32"/>
        <v>0</v>
      </c>
      <c r="AA121" s="33">
        <f t="shared" si="32"/>
        <v>0</v>
      </c>
      <c r="AB121" s="33">
        <f t="shared" si="32"/>
        <v>0</v>
      </c>
      <c r="AC121" s="33">
        <f t="shared" si="32"/>
        <v>0</v>
      </c>
      <c r="AD121" s="33">
        <f t="shared" si="32"/>
        <v>0</v>
      </c>
      <c r="AE121" s="33">
        <f t="shared" si="32"/>
        <v>0</v>
      </c>
      <c r="AF121" s="58">
        <f t="shared" si="19"/>
        <v>0</v>
      </c>
      <c r="AH121" s="33">
        <f t="shared" si="29"/>
        <v>0</v>
      </c>
      <c r="AI121" s="33">
        <f t="shared" si="23"/>
        <v>160300.96333333332</v>
      </c>
      <c r="AJ121" s="33"/>
      <c r="AK121" s="191"/>
      <c r="AL121" s="191"/>
      <c r="AM121" s="191">
        <v>0</v>
      </c>
    </row>
    <row r="122" spans="1:39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Mar 2026'!$A$8:$F$206,6,FALSE)</f>
        <v>Chq Bk</v>
      </c>
      <c r="H122" s="190"/>
      <c r="I122" s="190"/>
      <c r="J122" s="211">
        <v>3596</v>
      </c>
      <c r="K122" s="211">
        <v>0</v>
      </c>
      <c r="L122" s="211">
        <v>0</v>
      </c>
      <c r="M122" s="211">
        <v>44835.6</v>
      </c>
      <c r="N122" s="211">
        <v>706.39666666666562</v>
      </c>
      <c r="O122" s="211">
        <v>34980.666666666664</v>
      </c>
      <c r="P122" s="211">
        <v>38024.333333333328</v>
      </c>
      <c r="Q122" s="211">
        <v>0</v>
      </c>
      <c r="R122" s="211">
        <v>0</v>
      </c>
      <c r="S122" s="191">
        <v>0</v>
      </c>
      <c r="T122" s="191">
        <v>0</v>
      </c>
      <c r="U122" s="212">
        <f t="shared" si="28"/>
        <v>122142.99666666666</v>
      </c>
      <c r="W122" s="33">
        <f t="shared" si="22"/>
        <v>0</v>
      </c>
      <c r="X122" s="33">
        <f t="shared" si="30"/>
        <v>122142.99666666666</v>
      </c>
      <c r="Y122" s="33">
        <f t="shared" si="32"/>
        <v>0</v>
      </c>
      <c r="Z122" s="33">
        <f t="shared" si="32"/>
        <v>0</v>
      </c>
      <c r="AA122" s="33">
        <f t="shared" si="32"/>
        <v>0</v>
      </c>
      <c r="AB122" s="33">
        <f t="shared" si="32"/>
        <v>0</v>
      </c>
      <c r="AC122" s="33">
        <f t="shared" si="32"/>
        <v>0</v>
      </c>
      <c r="AD122" s="33">
        <f t="shared" si="32"/>
        <v>0</v>
      </c>
      <c r="AE122" s="33">
        <f t="shared" si="32"/>
        <v>0</v>
      </c>
      <c r="AF122" s="58">
        <f t="shared" si="19"/>
        <v>0</v>
      </c>
      <c r="AH122" s="33">
        <f t="shared" si="29"/>
        <v>0</v>
      </c>
      <c r="AI122" s="33">
        <f t="shared" si="23"/>
        <v>122142.99666666666</v>
      </c>
      <c r="AJ122" s="33"/>
      <c r="AK122" s="191"/>
      <c r="AL122" s="191"/>
      <c r="AM122" s="191">
        <v>0</v>
      </c>
    </row>
    <row r="123" spans="1:39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Mar 2026'!$A$8:$F$206,6,FALSE)</f>
        <v>Chq Bk</v>
      </c>
      <c r="H123" s="190"/>
      <c r="I123" s="190"/>
      <c r="J123" s="211">
        <v>0</v>
      </c>
      <c r="K123" s="211">
        <v>0</v>
      </c>
      <c r="L123" s="211">
        <v>0</v>
      </c>
      <c r="M123" s="211">
        <v>11032</v>
      </c>
      <c r="N123" s="211">
        <v>174.39999999999964</v>
      </c>
      <c r="O123" s="211">
        <v>25484.333333333336</v>
      </c>
      <c r="P123" s="211">
        <v>38386.66333333333</v>
      </c>
      <c r="Q123" s="211">
        <v>0</v>
      </c>
      <c r="R123" s="211">
        <v>0</v>
      </c>
      <c r="S123" s="191">
        <v>0</v>
      </c>
      <c r="T123" s="191">
        <v>0</v>
      </c>
      <c r="U123" s="212">
        <f t="shared" si="28"/>
        <v>75077.396666666667</v>
      </c>
      <c r="W123" s="33">
        <f t="shared" si="22"/>
        <v>0</v>
      </c>
      <c r="X123" s="33">
        <f t="shared" si="30"/>
        <v>75077.396666666667</v>
      </c>
      <c r="Y123" s="33">
        <f t="shared" si="32"/>
        <v>0</v>
      </c>
      <c r="Z123" s="33">
        <f t="shared" si="32"/>
        <v>0</v>
      </c>
      <c r="AA123" s="33">
        <f t="shared" si="32"/>
        <v>0</v>
      </c>
      <c r="AB123" s="33">
        <f t="shared" si="32"/>
        <v>0</v>
      </c>
      <c r="AC123" s="33">
        <f t="shared" si="32"/>
        <v>0</v>
      </c>
      <c r="AD123" s="33">
        <f t="shared" si="32"/>
        <v>0</v>
      </c>
      <c r="AE123" s="33">
        <f t="shared" si="32"/>
        <v>0</v>
      </c>
      <c r="AF123" s="58">
        <f t="shared" si="19"/>
        <v>0</v>
      </c>
      <c r="AH123" s="33">
        <f t="shared" si="29"/>
        <v>0</v>
      </c>
      <c r="AI123" s="33">
        <f t="shared" si="23"/>
        <v>75077.396666666667</v>
      </c>
      <c r="AJ123" s="33"/>
      <c r="AK123" s="191"/>
      <c r="AL123" s="191"/>
      <c r="AM123" s="191">
        <v>0</v>
      </c>
    </row>
    <row r="124" spans="1:39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Mar 2026'!$A$8:$F$206,6,FALSE)</f>
        <v>Chq Bk</v>
      </c>
      <c r="H124" s="190"/>
      <c r="I124" s="190"/>
      <c r="J124" s="211">
        <v>0</v>
      </c>
      <c r="K124" s="211">
        <v>0</v>
      </c>
      <c r="L124" s="211">
        <v>0</v>
      </c>
      <c r="M124" s="211">
        <v>28306.78</v>
      </c>
      <c r="N124" s="211">
        <v>561.0076666666655</v>
      </c>
      <c r="O124" s="211">
        <v>23989</v>
      </c>
      <c r="P124" s="211">
        <v>47022</v>
      </c>
      <c r="Q124" s="211">
        <v>0</v>
      </c>
      <c r="R124" s="211">
        <v>0</v>
      </c>
      <c r="S124" s="191">
        <v>0</v>
      </c>
      <c r="T124" s="191">
        <v>0</v>
      </c>
      <c r="U124" s="212">
        <f t="shared" si="28"/>
        <v>99878.787666666671</v>
      </c>
      <c r="W124" s="33">
        <f t="shared" si="22"/>
        <v>0</v>
      </c>
      <c r="X124" s="33">
        <f t="shared" si="30"/>
        <v>99878.787666666671</v>
      </c>
      <c r="Y124" s="33">
        <f t="shared" si="32"/>
        <v>0</v>
      </c>
      <c r="Z124" s="33">
        <f t="shared" si="32"/>
        <v>0</v>
      </c>
      <c r="AA124" s="33">
        <f t="shared" si="32"/>
        <v>0</v>
      </c>
      <c r="AB124" s="33">
        <f t="shared" si="32"/>
        <v>0</v>
      </c>
      <c r="AC124" s="33">
        <f t="shared" si="32"/>
        <v>0</v>
      </c>
      <c r="AD124" s="33">
        <f t="shared" si="32"/>
        <v>0</v>
      </c>
      <c r="AE124" s="33">
        <f t="shared" si="32"/>
        <v>0</v>
      </c>
      <c r="AF124" s="58">
        <f t="shared" si="19"/>
        <v>0</v>
      </c>
      <c r="AH124" s="33">
        <f t="shared" si="29"/>
        <v>0</v>
      </c>
      <c r="AI124" s="33">
        <f t="shared" si="23"/>
        <v>99878.787666666671</v>
      </c>
      <c r="AJ124" s="33"/>
      <c r="AK124" s="191"/>
      <c r="AL124" s="191"/>
      <c r="AM124" s="191">
        <v>0</v>
      </c>
    </row>
    <row r="125" spans="1:39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Mar 2026'!$A$8:$F$206,6,FALSE)</f>
        <v>Chq Bk</v>
      </c>
      <c r="H125" s="190"/>
      <c r="I125" s="190"/>
      <c r="J125" s="211">
        <v>0</v>
      </c>
      <c r="K125" s="211">
        <v>0</v>
      </c>
      <c r="L125" s="211">
        <v>0</v>
      </c>
      <c r="M125" s="211">
        <v>17871.25</v>
      </c>
      <c r="N125" s="211">
        <v>316.65533333333269</v>
      </c>
      <c r="O125" s="211">
        <v>16719.003333333334</v>
      </c>
      <c r="P125" s="211">
        <v>28081.666666666668</v>
      </c>
      <c r="Q125" s="211">
        <v>0</v>
      </c>
      <c r="R125" s="211">
        <v>0</v>
      </c>
      <c r="S125" s="191">
        <v>0</v>
      </c>
      <c r="T125" s="191">
        <v>0</v>
      </c>
      <c r="U125" s="212">
        <f t="shared" si="28"/>
        <v>62988.575333333341</v>
      </c>
      <c r="W125" s="33">
        <f t="shared" si="22"/>
        <v>0</v>
      </c>
      <c r="X125" s="33">
        <f t="shared" si="30"/>
        <v>62988.575333333341</v>
      </c>
      <c r="Y125" s="33">
        <f t="shared" si="32"/>
        <v>0</v>
      </c>
      <c r="Z125" s="33">
        <f t="shared" si="32"/>
        <v>0</v>
      </c>
      <c r="AA125" s="33">
        <f t="shared" si="32"/>
        <v>0</v>
      </c>
      <c r="AB125" s="33">
        <f t="shared" si="32"/>
        <v>0</v>
      </c>
      <c r="AC125" s="33">
        <f t="shared" si="32"/>
        <v>0</v>
      </c>
      <c r="AD125" s="33">
        <f t="shared" si="32"/>
        <v>0</v>
      </c>
      <c r="AE125" s="33">
        <f t="shared" si="32"/>
        <v>0</v>
      </c>
      <c r="AF125" s="58">
        <f t="shared" si="19"/>
        <v>0</v>
      </c>
      <c r="AH125" s="33">
        <f t="shared" si="29"/>
        <v>0</v>
      </c>
      <c r="AI125" s="33">
        <f t="shared" si="23"/>
        <v>62988.575333333341</v>
      </c>
      <c r="AJ125" s="33"/>
      <c r="AK125" s="191"/>
      <c r="AL125" s="191"/>
      <c r="AM125" s="191">
        <v>0</v>
      </c>
    </row>
    <row r="126" spans="1:39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Mar 2026'!$A$8:$F$206,6,FALSE)</f>
        <v>Chq Bk</v>
      </c>
      <c r="H126" s="190"/>
      <c r="I126" s="190"/>
      <c r="J126" s="211">
        <v>0</v>
      </c>
      <c r="K126" s="211">
        <v>0</v>
      </c>
      <c r="L126" s="211">
        <v>0</v>
      </c>
      <c r="M126" s="211">
        <v>51136.08</v>
      </c>
      <c r="N126" s="211">
        <v>826.25333333333219</v>
      </c>
      <c r="O126" s="211">
        <v>46062.669999999991</v>
      </c>
      <c r="P126" s="211">
        <v>46775.669999999991</v>
      </c>
      <c r="Q126" s="211">
        <v>0</v>
      </c>
      <c r="R126" s="211">
        <v>0</v>
      </c>
      <c r="S126" s="191">
        <v>0</v>
      </c>
      <c r="T126" s="191">
        <v>0</v>
      </c>
      <c r="U126" s="212">
        <f t="shared" si="28"/>
        <v>144800.67333333331</v>
      </c>
      <c r="W126" s="33">
        <f t="shared" si="22"/>
        <v>0</v>
      </c>
      <c r="X126" s="33">
        <f t="shared" si="30"/>
        <v>144800.67333333331</v>
      </c>
      <c r="Y126" s="33">
        <f t="shared" si="32"/>
        <v>0</v>
      </c>
      <c r="Z126" s="33">
        <f t="shared" si="32"/>
        <v>0</v>
      </c>
      <c r="AA126" s="33">
        <f t="shared" si="32"/>
        <v>0</v>
      </c>
      <c r="AB126" s="33">
        <f t="shared" si="32"/>
        <v>0</v>
      </c>
      <c r="AC126" s="33">
        <f t="shared" si="32"/>
        <v>0</v>
      </c>
      <c r="AD126" s="33">
        <f t="shared" si="32"/>
        <v>0</v>
      </c>
      <c r="AE126" s="33">
        <f t="shared" si="32"/>
        <v>0</v>
      </c>
      <c r="AF126" s="58">
        <f t="shared" si="19"/>
        <v>0</v>
      </c>
      <c r="AH126" s="33">
        <f t="shared" si="29"/>
        <v>0</v>
      </c>
      <c r="AI126" s="33">
        <f t="shared" si="23"/>
        <v>144800.67333333331</v>
      </c>
      <c r="AJ126" s="33"/>
      <c r="AK126" s="191"/>
      <c r="AL126" s="191"/>
      <c r="AM126" s="191">
        <v>0</v>
      </c>
    </row>
    <row r="127" spans="1:39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Mar 2026'!$A$8:$F$206,6,FALSE)</f>
        <v>Chq Bk</v>
      </c>
      <c r="H127" s="190"/>
      <c r="I127" s="190"/>
      <c r="J127" s="211">
        <v>0</v>
      </c>
      <c r="K127" s="211">
        <v>0</v>
      </c>
      <c r="L127" s="211">
        <v>0</v>
      </c>
      <c r="M127" s="211">
        <v>13571.51</v>
      </c>
      <c r="N127" s="211">
        <v>209.27999999999975</v>
      </c>
      <c r="O127" s="211">
        <v>15983.666666666668</v>
      </c>
      <c r="P127" s="211">
        <v>12439.666666666668</v>
      </c>
      <c r="Q127" s="211">
        <v>0</v>
      </c>
      <c r="R127" s="211">
        <v>0</v>
      </c>
      <c r="S127" s="191">
        <v>0</v>
      </c>
      <c r="T127" s="191">
        <v>0</v>
      </c>
      <c r="U127" s="212">
        <f t="shared" si="28"/>
        <v>42204.123333333337</v>
      </c>
      <c r="W127" s="33">
        <f t="shared" si="22"/>
        <v>0</v>
      </c>
      <c r="X127" s="33">
        <f t="shared" si="30"/>
        <v>42204.123333333337</v>
      </c>
      <c r="Y127" s="33">
        <f t="shared" si="32"/>
        <v>0</v>
      </c>
      <c r="Z127" s="33">
        <f t="shared" si="32"/>
        <v>0</v>
      </c>
      <c r="AA127" s="33">
        <f t="shared" si="32"/>
        <v>0</v>
      </c>
      <c r="AB127" s="33">
        <f t="shared" si="32"/>
        <v>0</v>
      </c>
      <c r="AC127" s="33">
        <f t="shared" si="32"/>
        <v>0</v>
      </c>
      <c r="AD127" s="33">
        <f t="shared" si="32"/>
        <v>0</v>
      </c>
      <c r="AE127" s="33">
        <f t="shared" si="32"/>
        <v>0</v>
      </c>
      <c r="AF127" s="58">
        <f t="shared" si="19"/>
        <v>0</v>
      </c>
      <c r="AH127" s="33">
        <f t="shared" si="29"/>
        <v>0</v>
      </c>
      <c r="AI127" s="33">
        <f t="shared" si="23"/>
        <v>42204.123333333337</v>
      </c>
      <c r="AJ127" s="33"/>
      <c r="AK127" s="191"/>
      <c r="AL127" s="191"/>
      <c r="AM127" s="191">
        <v>0</v>
      </c>
    </row>
    <row r="128" spans="1:39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Mar 2026'!$A$8:$F$206,6,FALSE)</f>
        <v>Chq Bk</v>
      </c>
      <c r="H128" s="190"/>
      <c r="I128" s="190"/>
      <c r="J128" s="211">
        <v>0</v>
      </c>
      <c r="K128" s="211">
        <v>0</v>
      </c>
      <c r="L128" s="211">
        <v>0</v>
      </c>
      <c r="M128" s="211">
        <v>62886.31</v>
      </c>
      <c r="N128" s="211">
        <v>965.34999999999809</v>
      </c>
      <c r="O128" s="211">
        <v>56087.676666666652</v>
      </c>
      <c r="P128" s="211">
        <v>68148</v>
      </c>
      <c r="Q128" s="211">
        <v>0</v>
      </c>
      <c r="R128" s="211">
        <v>0</v>
      </c>
      <c r="S128" s="191">
        <v>0</v>
      </c>
      <c r="T128" s="191">
        <v>0</v>
      </c>
      <c r="U128" s="212">
        <f t="shared" si="28"/>
        <v>188087.33666666664</v>
      </c>
      <c r="W128" s="33">
        <f t="shared" si="22"/>
        <v>0</v>
      </c>
      <c r="X128" s="33">
        <f t="shared" ref="X128:X147" si="33">SUMIF($H$3:$T$3,X$6,$H128:$T128)</f>
        <v>188087.33666666664</v>
      </c>
      <c r="Y128" s="33">
        <f t="shared" ref="Y128:AE137" si="34">SUMIF($H$3:$S$3,Y$6,$H128:$S128)</f>
        <v>0</v>
      </c>
      <c r="Z128" s="33">
        <f t="shared" si="34"/>
        <v>0</v>
      </c>
      <c r="AA128" s="33">
        <f t="shared" si="34"/>
        <v>0</v>
      </c>
      <c r="AB128" s="33">
        <f t="shared" si="34"/>
        <v>0</v>
      </c>
      <c r="AC128" s="33">
        <f t="shared" si="34"/>
        <v>0</v>
      </c>
      <c r="AD128" s="33">
        <f t="shared" si="34"/>
        <v>0</v>
      </c>
      <c r="AE128" s="33">
        <f t="shared" si="34"/>
        <v>0</v>
      </c>
      <c r="AF128" s="58">
        <f t="shared" si="19"/>
        <v>0</v>
      </c>
      <c r="AH128" s="33">
        <f t="shared" si="29"/>
        <v>0</v>
      </c>
      <c r="AI128" s="33">
        <f t="shared" si="23"/>
        <v>188087.33666666664</v>
      </c>
      <c r="AJ128" s="33"/>
      <c r="AK128" s="191"/>
      <c r="AL128" s="191"/>
      <c r="AM128" s="191">
        <v>0</v>
      </c>
    </row>
    <row r="129" spans="1:39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Mar 2026'!$A$8:$F$206,6,FALSE)</f>
        <v>Chq Bk</v>
      </c>
      <c r="H129" s="190"/>
      <c r="I129" s="190"/>
      <c r="J129" s="211">
        <v>0</v>
      </c>
      <c r="K129" s="211">
        <v>0</v>
      </c>
      <c r="L129" s="211">
        <v>0</v>
      </c>
      <c r="M129" s="211">
        <v>25844.35</v>
      </c>
      <c r="N129" s="211">
        <v>455.30999999999949</v>
      </c>
      <c r="O129" s="211">
        <v>31013.666666666668</v>
      </c>
      <c r="P129" s="211">
        <v>44505.822222222225</v>
      </c>
      <c r="Q129" s="211">
        <v>0</v>
      </c>
      <c r="R129" s="211">
        <v>0</v>
      </c>
      <c r="S129" s="191">
        <v>0</v>
      </c>
      <c r="T129" s="191">
        <v>0</v>
      </c>
      <c r="U129" s="212">
        <f t="shared" si="28"/>
        <v>101819.14888888889</v>
      </c>
      <c r="W129" s="33">
        <f t="shared" si="22"/>
        <v>0</v>
      </c>
      <c r="X129" s="33">
        <f t="shared" si="33"/>
        <v>101819.14888888889</v>
      </c>
      <c r="Y129" s="33">
        <f t="shared" si="34"/>
        <v>0</v>
      </c>
      <c r="Z129" s="33">
        <f t="shared" si="34"/>
        <v>0</v>
      </c>
      <c r="AA129" s="33">
        <f t="shared" si="34"/>
        <v>0</v>
      </c>
      <c r="AB129" s="33">
        <f t="shared" si="34"/>
        <v>0</v>
      </c>
      <c r="AC129" s="33">
        <f t="shared" si="34"/>
        <v>0</v>
      </c>
      <c r="AD129" s="33">
        <f t="shared" si="34"/>
        <v>0</v>
      </c>
      <c r="AE129" s="33">
        <f t="shared" si="34"/>
        <v>0</v>
      </c>
      <c r="AF129" s="58">
        <f t="shared" si="19"/>
        <v>0</v>
      </c>
      <c r="AH129" s="33">
        <f t="shared" si="29"/>
        <v>0</v>
      </c>
      <c r="AI129" s="33">
        <f t="shared" si="23"/>
        <v>101819.14888888889</v>
      </c>
      <c r="AJ129" s="33"/>
      <c r="AK129" s="191"/>
      <c r="AL129" s="191"/>
      <c r="AM129" s="191">
        <v>0</v>
      </c>
    </row>
    <row r="130" spans="1:39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Mar 2026'!$A$8:$F$206,6,FALSE)</f>
        <v>Chq Bk</v>
      </c>
      <c r="H130" s="190"/>
      <c r="I130" s="190"/>
      <c r="J130" s="211">
        <v>0</v>
      </c>
      <c r="K130" s="211">
        <v>0</v>
      </c>
      <c r="L130" s="211">
        <v>0</v>
      </c>
      <c r="M130" s="211">
        <v>20941.63</v>
      </c>
      <c r="N130" s="211">
        <v>372.43333333333248</v>
      </c>
      <c r="O130" s="211">
        <v>16424.830000000002</v>
      </c>
      <c r="P130" s="211">
        <v>24339.666666666668</v>
      </c>
      <c r="Q130" s="211">
        <v>0</v>
      </c>
      <c r="R130" s="211">
        <v>0</v>
      </c>
      <c r="S130" s="191">
        <v>0</v>
      </c>
      <c r="T130" s="191">
        <v>0</v>
      </c>
      <c r="U130" s="212">
        <f t="shared" si="28"/>
        <v>62078.559999999998</v>
      </c>
      <c r="W130" s="33">
        <f t="shared" si="22"/>
        <v>0</v>
      </c>
      <c r="X130" s="33">
        <f t="shared" si="33"/>
        <v>62078.559999999998</v>
      </c>
      <c r="Y130" s="33">
        <f t="shared" si="34"/>
        <v>0</v>
      </c>
      <c r="Z130" s="33">
        <f t="shared" si="34"/>
        <v>0</v>
      </c>
      <c r="AA130" s="33">
        <f t="shared" si="34"/>
        <v>0</v>
      </c>
      <c r="AB130" s="33">
        <f t="shared" si="34"/>
        <v>0</v>
      </c>
      <c r="AC130" s="33">
        <f t="shared" si="34"/>
        <v>0</v>
      </c>
      <c r="AD130" s="33">
        <f t="shared" si="34"/>
        <v>0</v>
      </c>
      <c r="AE130" s="33">
        <f t="shared" si="34"/>
        <v>0</v>
      </c>
      <c r="AF130" s="58">
        <f t="shared" si="19"/>
        <v>0</v>
      </c>
      <c r="AH130" s="33">
        <f t="shared" si="29"/>
        <v>0</v>
      </c>
      <c r="AI130" s="33">
        <f t="shared" si="23"/>
        <v>62078.559999999998</v>
      </c>
      <c r="AJ130" s="33"/>
      <c r="AK130" s="191"/>
      <c r="AL130" s="191"/>
      <c r="AM130" s="191">
        <v>0</v>
      </c>
    </row>
    <row r="131" spans="1:39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Mar 2026'!$A$8:$F$206,6,FALSE)</f>
        <v>Chq Bk</v>
      </c>
      <c r="H131" s="190"/>
      <c r="I131" s="190"/>
      <c r="J131" s="211">
        <v>0</v>
      </c>
      <c r="K131" s="211">
        <v>0</v>
      </c>
      <c r="L131" s="211">
        <v>0</v>
      </c>
      <c r="M131" s="211">
        <v>29470.89</v>
      </c>
      <c r="N131" s="211">
        <v>498.9133333333325</v>
      </c>
      <c r="O131" s="211">
        <v>25726.66333333333</v>
      </c>
      <c r="P131" s="211">
        <v>39787.999999999993</v>
      </c>
      <c r="Q131" s="211">
        <v>0</v>
      </c>
      <c r="R131" s="211">
        <v>0</v>
      </c>
      <c r="S131" s="191">
        <v>0</v>
      </c>
      <c r="T131" s="191">
        <v>0</v>
      </c>
      <c r="U131" s="212">
        <f t="shared" si="28"/>
        <v>95484.466666666645</v>
      </c>
      <c r="W131" s="33">
        <f t="shared" si="22"/>
        <v>0</v>
      </c>
      <c r="X131" s="33">
        <f t="shared" si="33"/>
        <v>95484.466666666645</v>
      </c>
      <c r="Y131" s="33">
        <f t="shared" si="34"/>
        <v>0</v>
      </c>
      <c r="Z131" s="33">
        <f t="shared" si="34"/>
        <v>0</v>
      </c>
      <c r="AA131" s="33">
        <f t="shared" si="34"/>
        <v>0</v>
      </c>
      <c r="AB131" s="33">
        <f t="shared" si="34"/>
        <v>0</v>
      </c>
      <c r="AC131" s="33">
        <f t="shared" si="34"/>
        <v>0</v>
      </c>
      <c r="AD131" s="33">
        <f t="shared" si="34"/>
        <v>0</v>
      </c>
      <c r="AE131" s="33">
        <f t="shared" si="34"/>
        <v>0</v>
      </c>
      <c r="AF131" s="58">
        <f t="shared" si="19"/>
        <v>0</v>
      </c>
      <c r="AH131" s="33">
        <f t="shared" si="29"/>
        <v>0</v>
      </c>
      <c r="AI131" s="33">
        <f t="shared" si="23"/>
        <v>95484.466666666645</v>
      </c>
      <c r="AJ131" s="33"/>
      <c r="AK131" s="191"/>
      <c r="AL131" s="191"/>
      <c r="AM131" s="191">
        <v>0</v>
      </c>
    </row>
    <row r="132" spans="1:39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Mar 2026'!$A$8:$F$206,6,FALSE)</f>
        <v>Chq Bk</v>
      </c>
      <c r="H132" s="190"/>
      <c r="I132" s="190"/>
      <c r="J132" s="211">
        <v>0</v>
      </c>
      <c r="K132" s="211">
        <v>0</v>
      </c>
      <c r="L132" s="211">
        <v>0</v>
      </c>
      <c r="M132" s="211">
        <v>33330.99</v>
      </c>
      <c r="N132" s="211">
        <v>669.00999999999885</v>
      </c>
      <c r="O132" s="211">
        <v>27040.666666666664</v>
      </c>
      <c r="P132" s="211">
        <v>32467.333333333332</v>
      </c>
      <c r="Q132" s="211">
        <v>0</v>
      </c>
      <c r="R132" s="211">
        <v>0</v>
      </c>
      <c r="S132" s="191">
        <v>0</v>
      </c>
      <c r="T132" s="191">
        <v>0</v>
      </c>
      <c r="U132" s="212">
        <f t="shared" si="28"/>
        <v>93508</v>
      </c>
      <c r="W132" s="33">
        <f t="shared" si="22"/>
        <v>0</v>
      </c>
      <c r="X132" s="33">
        <f t="shared" si="33"/>
        <v>93508</v>
      </c>
      <c r="Y132" s="33">
        <f t="shared" si="34"/>
        <v>0</v>
      </c>
      <c r="Z132" s="33">
        <f t="shared" si="34"/>
        <v>0</v>
      </c>
      <c r="AA132" s="33">
        <f t="shared" si="34"/>
        <v>0</v>
      </c>
      <c r="AB132" s="33">
        <f t="shared" si="34"/>
        <v>0</v>
      </c>
      <c r="AC132" s="33">
        <f t="shared" si="34"/>
        <v>0</v>
      </c>
      <c r="AD132" s="33">
        <f t="shared" si="34"/>
        <v>0</v>
      </c>
      <c r="AE132" s="33">
        <f t="shared" si="34"/>
        <v>0</v>
      </c>
      <c r="AF132" s="58">
        <f t="shared" si="19"/>
        <v>0</v>
      </c>
      <c r="AH132" s="33">
        <f t="shared" si="29"/>
        <v>0</v>
      </c>
      <c r="AI132" s="33">
        <f t="shared" si="23"/>
        <v>93508</v>
      </c>
      <c r="AJ132" s="33"/>
      <c r="AK132" s="191"/>
      <c r="AL132" s="191"/>
      <c r="AM132" s="191">
        <v>0</v>
      </c>
    </row>
    <row r="133" spans="1:39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Mar 2026'!$A$8:$F$206,6,FALSE)</f>
        <v>Chq Bk</v>
      </c>
      <c r="H133" s="190"/>
      <c r="I133" s="190"/>
      <c r="J133" s="211">
        <v>0</v>
      </c>
      <c r="K133" s="211">
        <v>0</v>
      </c>
      <c r="L133" s="211">
        <v>0</v>
      </c>
      <c r="M133" s="211">
        <v>10380.58</v>
      </c>
      <c r="N133" s="211">
        <v>204.75333333333288</v>
      </c>
      <c r="O133" s="211">
        <v>14018.666666666666</v>
      </c>
      <c r="P133" s="211">
        <v>18114.333333333332</v>
      </c>
      <c r="Q133" s="211">
        <v>0</v>
      </c>
      <c r="R133" s="211">
        <v>0</v>
      </c>
      <c r="S133" s="191">
        <v>0</v>
      </c>
      <c r="T133" s="191">
        <v>0</v>
      </c>
      <c r="U133" s="212">
        <f t="shared" si="28"/>
        <v>42718.333333333328</v>
      </c>
      <c r="W133" s="33">
        <f t="shared" si="22"/>
        <v>0</v>
      </c>
      <c r="X133" s="33">
        <f t="shared" si="33"/>
        <v>42718.333333333328</v>
      </c>
      <c r="Y133" s="33">
        <f t="shared" si="34"/>
        <v>0</v>
      </c>
      <c r="Z133" s="33">
        <f t="shared" si="34"/>
        <v>0</v>
      </c>
      <c r="AA133" s="33">
        <f t="shared" si="34"/>
        <v>0</v>
      </c>
      <c r="AB133" s="33">
        <f t="shared" si="34"/>
        <v>0</v>
      </c>
      <c r="AC133" s="33">
        <f t="shared" si="34"/>
        <v>0</v>
      </c>
      <c r="AD133" s="33">
        <f t="shared" si="34"/>
        <v>0</v>
      </c>
      <c r="AE133" s="33">
        <f t="shared" si="34"/>
        <v>0</v>
      </c>
      <c r="AF133" s="58">
        <f t="shared" si="19"/>
        <v>0</v>
      </c>
      <c r="AH133" s="33">
        <f t="shared" si="29"/>
        <v>0</v>
      </c>
      <c r="AI133" s="33">
        <f t="shared" si="23"/>
        <v>42718.333333333328</v>
      </c>
      <c r="AJ133" s="33"/>
      <c r="AK133" s="191"/>
      <c r="AL133" s="191"/>
      <c r="AM133" s="191">
        <v>0</v>
      </c>
    </row>
    <row r="134" spans="1:39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Mar 2026'!$A$8:$F$206,6,FALSE)</f>
        <v>Chq Bk</v>
      </c>
      <c r="H134" s="190"/>
      <c r="I134" s="190"/>
      <c r="J134" s="211">
        <v>0</v>
      </c>
      <c r="K134" s="211">
        <v>0</v>
      </c>
      <c r="L134" s="211">
        <v>0</v>
      </c>
      <c r="M134" s="211">
        <v>24186.9</v>
      </c>
      <c r="N134" s="211">
        <v>479.43333333333248</v>
      </c>
      <c r="O134" s="211">
        <v>24674.666666666668</v>
      </c>
      <c r="P134" s="211">
        <v>56642.666666666672</v>
      </c>
      <c r="Q134" s="211">
        <v>0</v>
      </c>
      <c r="R134" s="211">
        <v>0</v>
      </c>
      <c r="S134" s="191">
        <v>0</v>
      </c>
      <c r="T134" s="191">
        <v>0</v>
      </c>
      <c r="U134" s="212">
        <f t="shared" si="28"/>
        <v>105983.66666666667</v>
      </c>
      <c r="W134" s="33">
        <f t="shared" si="22"/>
        <v>0</v>
      </c>
      <c r="X134" s="33">
        <f t="shared" si="33"/>
        <v>105983.66666666667</v>
      </c>
      <c r="Y134" s="33">
        <f t="shared" si="34"/>
        <v>0</v>
      </c>
      <c r="Z134" s="33">
        <f t="shared" si="34"/>
        <v>0</v>
      </c>
      <c r="AA134" s="33">
        <f t="shared" si="34"/>
        <v>0</v>
      </c>
      <c r="AB134" s="33">
        <f t="shared" si="34"/>
        <v>0</v>
      </c>
      <c r="AC134" s="33">
        <f t="shared" si="34"/>
        <v>0</v>
      </c>
      <c r="AD134" s="33">
        <f t="shared" si="34"/>
        <v>0</v>
      </c>
      <c r="AE134" s="33">
        <f t="shared" si="34"/>
        <v>0</v>
      </c>
      <c r="AF134" s="58">
        <f t="shared" ref="AF134:AF197" si="35">SUM(W134:AE134)-U134</f>
        <v>0</v>
      </c>
      <c r="AH134" s="33">
        <f t="shared" si="29"/>
        <v>0</v>
      </c>
      <c r="AI134" s="33">
        <f t="shared" si="23"/>
        <v>105983.66666666667</v>
      </c>
      <c r="AJ134" s="33"/>
      <c r="AK134" s="191"/>
      <c r="AL134" s="191"/>
      <c r="AM134" s="191">
        <v>0</v>
      </c>
    </row>
    <row r="135" spans="1:39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Mar 2026'!$A$8:$F$206,6,FALSE)</f>
        <v>Chq Bk</v>
      </c>
      <c r="H135" s="190"/>
      <c r="I135" s="190"/>
      <c r="J135" s="211">
        <v>0</v>
      </c>
      <c r="K135" s="211">
        <v>0</v>
      </c>
      <c r="L135" s="211">
        <v>0</v>
      </c>
      <c r="M135" s="211">
        <v>89223.99</v>
      </c>
      <c r="N135" s="211">
        <v>1396.9543333333318</v>
      </c>
      <c r="O135" s="211">
        <v>82832.333333333343</v>
      </c>
      <c r="P135" s="211">
        <v>102113.66666666666</v>
      </c>
      <c r="Q135" s="211">
        <v>0</v>
      </c>
      <c r="R135" s="211">
        <v>0</v>
      </c>
      <c r="S135" s="191">
        <v>0</v>
      </c>
      <c r="T135" s="191">
        <v>0</v>
      </c>
      <c r="U135" s="212">
        <f t="shared" ref="U135:U166" si="36">SUM(H135:T135)</f>
        <v>275566.94433333329</v>
      </c>
      <c r="W135" s="33">
        <f t="shared" si="22"/>
        <v>0</v>
      </c>
      <c r="X135" s="33">
        <f t="shared" si="33"/>
        <v>275566.94433333329</v>
      </c>
      <c r="Y135" s="33">
        <f t="shared" si="34"/>
        <v>0</v>
      </c>
      <c r="Z135" s="33">
        <f t="shared" si="34"/>
        <v>0</v>
      </c>
      <c r="AA135" s="33">
        <f t="shared" si="34"/>
        <v>0</v>
      </c>
      <c r="AB135" s="33">
        <f t="shared" si="34"/>
        <v>0</v>
      </c>
      <c r="AC135" s="33">
        <f t="shared" si="34"/>
        <v>0</v>
      </c>
      <c r="AD135" s="33">
        <f t="shared" si="34"/>
        <v>0</v>
      </c>
      <c r="AE135" s="33">
        <f t="shared" si="34"/>
        <v>0</v>
      </c>
      <c r="AF135" s="58">
        <f t="shared" si="35"/>
        <v>0</v>
      </c>
      <c r="AH135" s="33">
        <f t="shared" ref="AH135:AH166" si="37">SUMIFS($H135:$T135,$H$3:$T$3,AH$6,$H$1:$T$1,$AH$5)+AK135+AL135</f>
        <v>0</v>
      </c>
      <c r="AI135" s="33">
        <f t="shared" si="23"/>
        <v>275566.94433333329</v>
      </c>
      <c r="AJ135" s="33"/>
      <c r="AK135" s="191"/>
      <c r="AL135" s="191"/>
      <c r="AM135" s="191">
        <v>0</v>
      </c>
    </row>
    <row r="136" spans="1:39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Mar 2026'!$A$8:$F$206,6,FALSE)</f>
        <v>Chq Bk</v>
      </c>
      <c r="H136" s="190"/>
      <c r="I136" s="190"/>
      <c r="J136" s="211">
        <v>0</v>
      </c>
      <c r="K136" s="211">
        <v>0</v>
      </c>
      <c r="L136" s="211">
        <v>0</v>
      </c>
      <c r="M136" s="211">
        <v>48436.42</v>
      </c>
      <c r="N136" s="211">
        <v>599.24999999999864</v>
      </c>
      <c r="O136" s="211">
        <v>43323.333333333328</v>
      </c>
      <c r="P136" s="211">
        <v>43323.333333333328</v>
      </c>
      <c r="Q136" s="211">
        <v>0</v>
      </c>
      <c r="R136" s="211">
        <v>0</v>
      </c>
      <c r="S136" s="191">
        <v>0</v>
      </c>
      <c r="T136" s="191">
        <v>0</v>
      </c>
      <c r="U136" s="212">
        <f t="shared" si="36"/>
        <v>135682.33666666667</v>
      </c>
      <c r="W136" s="33">
        <f t="shared" ref="W136:W199" si="38">SUMIF($H$3:$T$3,W$6,$H136:$T136)+AK136</f>
        <v>0</v>
      </c>
      <c r="X136" s="33">
        <f t="shared" si="33"/>
        <v>135682.33666666667</v>
      </c>
      <c r="Y136" s="33">
        <f t="shared" si="34"/>
        <v>0</v>
      </c>
      <c r="Z136" s="33">
        <f t="shared" si="34"/>
        <v>0</v>
      </c>
      <c r="AA136" s="33">
        <f t="shared" si="34"/>
        <v>0</v>
      </c>
      <c r="AB136" s="33">
        <f t="shared" si="34"/>
        <v>0</v>
      </c>
      <c r="AC136" s="33">
        <f t="shared" si="34"/>
        <v>0</v>
      </c>
      <c r="AD136" s="33">
        <f t="shared" si="34"/>
        <v>0</v>
      </c>
      <c r="AE136" s="33">
        <f t="shared" si="34"/>
        <v>0</v>
      </c>
      <c r="AF136" s="58">
        <f t="shared" si="35"/>
        <v>0</v>
      </c>
      <c r="AH136" s="33">
        <f t="shared" si="37"/>
        <v>0</v>
      </c>
      <c r="AI136" s="33">
        <f t="shared" ref="AI136:AI199" si="39">SUMIFS($H136:$T136,$H$3:$T$3,AI$6,$H$1:$T$1,$AH$5)+AM136</f>
        <v>135682.33666666667</v>
      </c>
      <c r="AJ136" s="33"/>
      <c r="AK136" s="191"/>
      <c r="AL136" s="191"/>
      <c r="AM136" s="191">
        <v>0</v>
      </c>
    </row>
    <row r="137" spans="1:39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Mar 2026'!$A$8:$F$206,6,FALSE)</f>
        <v>Chq Bk</v>
      </c>
      <c r="H137" s="190"/>
      <c r="I137" s="190"/>
      <c r="J137" s="211">
        <v>0</v>
      </c>
      <c r="K137" s="211">
        <v>0</v>
      </c>
      <c r="L137" s="211">
        <v>0</v>
      </c>
      <c r="M137" s="211">
        <v>18131.189999999999</v>
      </c>
      <c r="N137" s="211">
        <v>363.80999999999972</v>
      </c>
      <c r="O137" s="211">
        <v>26469</v>
      </c>
      <c r="P137" s="211">
        <v>30899</v>
      </c>
      <c r="Q137" s="211">
        <v>0</v>
      </c>
      <c r="R137" s="211">
        <v>0</v>
      </c>
      <c r="S137" s="191">
        <v>0</v>
      </c>
      <c r="T137" s="191">
        <v>0</v>
      </c>
      <c r="U137" s="212">
        <f t="shared" si="36"/>
        <v>75863</v>
      </c>
      <c r="W137" s="33">
        <f t="shared" si="38"/>
        <v>0</v>
      </c>
      <c r="X137" s="33">
        <f t="shared" si="33"/>
        <v>75863</v>
      </c>
      <c r="Y137" s="33">
        <f t="shared" si="34"/>
        <v>0</v>
      </c>
      <c r="Z137" s="33">
        <f t="shared" si="34"/>
        <v>0</v>
      </c>
      <c r="AA137" s="33">
        <f t="shared" si="34"/>
        <v>0</v>
      </c>
      <c r="AB137" s="33">
        <f t="shared" si="34"/>
        <v>0</v>
      </c>
      <c r="AC137" s="33">
        <f t="shared" si="34"/>
        <v>0</v>
      </c>
      <c r="AD137" s="33">
        <f t="shared" si="34"/>
        <v>0</v>
      </c>
      <c r="AE137" s="33">
        <f t="shared" si="34"/>
        <v>0</v>
      </c>
      <c r="AF137" s="58">
        <f t="shared" si="35"/>
        <v>0</v>
      </c>
      <c r="AH137" s="33">
        <f t="shared" si="37"/>
        <v>0</v>
      </c>
      <c r="AI137" s="33">
        <f t="shared" si="39"/>
        <v>75863</v>
      </c>
      <c r="AJ137" s="33"/>
      <c r="AK137" s="191"/>
      <c r="AL137" s="191"/>
      <c r="AM137" s="191">
        <v>0</v>
      </c>
    </row>
    <row r="138" spans="1:39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Mar 2026'!$A$8:$F$206,6,FALSE)</f>
        <v>Chq Bk</v>
      </c>
      <c r="H138" s="190"/>
      <c r="I138" s="190"/>
      <c r="J138" s="211">
        <v>0</v>
      </c>
      <c r="K138" s="211">
        <v>0</v>
      </c>
      <c r="L138" s="211">
        <v>0</v>
      </c>
      <c r="M138" s="211">
        <v>52345.11</v>
      </c>
      <c r="N138" s="211">
        <v>995.61666666666474</v>
      </c>
      <c r="O138" s="211">
        <v>69066.266666666663</v>
      </c>
      <c r="P138" s="211">
        <v>75556.833333333328</v>
      </c>
      <c r="Q138" s="211">
        <v>0</v>
      </c>
      <c r="R138" s="211">
        <v>0</v>
      </c>
      <c r="S138" s="191">
        <v>0</v>
      </c>
      <c r="T138" s="191">
        <v>0</v>
      </c>
      <c r="U138" s="212">
        <f t="shared" si="36"/>
        <v>197963.82666666666</v>
      </c>
      <c r="W138" s="33">
        <f t="shared" si="38"/>
        <v>0</v>
      </c>
      <c r="X138" s="33">
        <f t="shared" si="33"/>
        <v>197963.82666666666</v>
      </c>
      <c r="Y138" s="33">
        <f t="shared" ref="Y138:AE147" si="40">SUMIF($H$3:$S$3,Y$6,$H138:$S138)</f>
        <v>0</v>
      </c>
      <c r="Z138" s="33">
        <f t="shared" si="40"/>
        <v>0</v>
      </c>
      <c r="AA138" s="33">
        <f t="shared" si="40"/>
        <v>0</v>
      </c>
      <c r="AB138" s="33">
        <f t="shared" si="40"/>
        <v>0</v>
      </c>
      <c r="AC138" s="33">
        <f t="shared" si="40"/>
        <v>0</v>
      </c>
      <c r="AD138" s="33">
        <f t="shared" si="40"/>
        <v>0</v>
      </c>
      <c r="AE138" s="33">
        <f t="shared" si="40"/>
        <v>0</v>
      </c>
      <c r="AF138" s="58">
        <f t="shared" si="35"/>
        <v>0</v>
      </c>
      <c r="AH138" s="33">
        <f t="shared" si="37"/>
        <v>0</v>
      </c>
      <c r="AI138" s="33">
        <f t="shared" si="39"/>
        <v>197963.82666666666</v>
      </c>
      <c r="AJ138" s="33"/>
      <c r="AK138" s="191"/>
      <c r="AL138" s="191"/>
      <c r="AM138" s="191">
        <v>0</v>
      </c>
    </row>
    <row r="139" spans="1:39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Mar 2026'!$A$8:$F$206,6,FALSE)</f>
        <v>Chq Bk</v>
      </c>
      <c r="H139" s="190"/>
      <c r="I139" s="190"/>
      <c r="J139" s="211">
        <v>0</v>
      </c>
      <c r="K139" s="211">
        <v>0</v>
      </c>
      <c r="L139" s="211">
        <v>0</v>
      </c>
      <c r="M139" s="211">
        <v>71882.78</v>
      </c>
      <c r="N139" s="211">
        <v>1214.3233333333324</v>
      </c>
      <c r="O139" s="211">
        <v>91817.66333333333</v>
      </c>
      <c r="P139" s="211">
        <v>114729.33333333334</v>
      </c>
      <c r="Q139" s="211">
        <v>0</v>
      </c>
      <c r="R139" s="211">
        <v>0</v>
      </c>
      <c r="S139" s="191">
        <v>0</v>
      </c>
      <c r="T139" s="191">
        <v>0</v>
      </c>
      <c r="U139" s="212">
        <f t="shared" si="36"/>
        <v>279644.09999999998</v>
      </c>
      <c r="W139" s="33">
        <f t="shared" si="38"/>
        <v>0</v>
      </c>
      <c r="X139" s="33">
        <f t="shared" si="33"/>
        <v>279644.09999999998</v>
      </c>
      <c r="Y139" s="33">
        <f t="shared" si="40"/>
        <v>0</v>
      </c>
      <c r="Z139" s="33">
        <f t="shared" si="40"/>
        <v>0</v>
      </c>
      <c r="AA139" s="33">
        <f t="shared" si="40"/>
        <v>0</v>
      </c>
      <c r="AB139" s="33">
        <f t="shared" si="40"/>
        <v>0</v>
      </c>
      <c r="AC139" s="33">
        <f t="shared" si="40"/>
        <v>0</v>
      </c>
      <c r="AD139" s="33">
        <f t="shared" si="40"/>
        <v>0</v>
      </c>
      <c r="AE139" s="33">
        <f t="shared" si="40"/>
        <v>0</v>
      </c>
      <c r="AF139" s="58">
        <f t="shared" si="35"/>
        <v>0</v>
      </c>
      <c r="AH139" s="33">
        <f t="shared" si="37"/>
        <v>0</v>
      </c>
      <c r="AI139" s="33">
        <f t="shared" si="39"/>
        <v>279644.09999999998</v>
      </c>
      <c r="AJ139" s="33"/>
      <c r="AK139" s="191"/>
      <c r="AL139" s="191"/>
      <c r="AM139" s="191">
        <v>0</v>
      </c>
    </row>
    <row r="140" spans="1:39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Mar 2026'!$A$8:$F$206,6,FALSE)</f>
        <v>Chq Bk</v>
      </c>
      <c r="H140" s="190"/>
      <c r="I140" s="190"/>
      <c r="J140" s="211">
        <v>0</v>
      </c>
      <c r="K140" s="211">
        <v>0</v>
      </c>
      <c r="L140" s="211">
        <v>0</v>
      </c>
      <c r="M140" s="211">
        <v>2714.25</v>
      </c>
      <c r="N140" s="211">
        <v>54.416666666666515</v>
      </c>
      <c r="O140" s="211">
        <v>2768.6666666666665</v>
      </c>
      <c r="P140" s="211">
        <v>2768.6666666666665</v>
      </c>
      <c r="Q140" s="211">
        <v>0</v>
      </c>
      <c r="R140" s="211">
        <v>0</v>
      </c>
      <c r="S140" s="191">
        <v>0</v>
      </c>
      <c r="T140" s="191">
        <v>0</v>
      </c>
      <c r="U140" s="212">
        <f t="shared" si="36"/>
        <v>8306</v>
      </c>
      <c r="W140" s="33">
        <f t="shared" si="38"/>
        <v>0</v>
      </c>
      <c r="X140" s="33">
        <f t="shared" si="33"/>
        <v>8306</v>
      </c>
      <c r="Y140" s="33">
        <f t="shared" si="40"/>
        <v>0</v>
      </c>
      <c r="Z140" s="33">
        <f t="shared" si="40"/>
        <v>0</v>
      </c>
      <c r="AA140" s="33">
        <f t="shared" si="40"/>
        <v>0</v>
      </c>
      <c r="AB140" s="33">
        <f t="shared" si="40"/>
        <v>0</v>
      </c>
      <c r="AC140" s="33">
        <f t="shared" si="40"/>
        <v>0</v>
      </c>
      <c r="AD140" s="33">
        <f t="shared" si="40"/>
        <v>0</v>
      </c>
      <c r="AE140" s="33">
        <f t="shared" si="40"/>
        <v>0</v>
      </c>
      <c r="AF140" s="58">
        <f t="shared" si="35"/>
        <v>0</v>
      </c>
      <c r="AH140" s="33">
        <f t="shared" si="37"/>
        <v>0</v>
      </c>
      <c r="AI140" s="33">
        <f t="shared" si="39"/>
        <v>8306</v>
      </c>
      <c r="AJ140" s="33"/>
      <c r="AK140" s="191"/>
      <c r="AL140" s="191"/>
      <c r="AM140" s="191">
        <v>0</v>
      </c>
    </row>
    <row r="141" spans="1:39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Mar 2026'!$A$8:$F$206,6,FALSE)</f>
        <v>Chq Bk</v>
      </c>
      <c r="H141" s="190"/>
      <c r="I141" s="190"/>
      <c r="J141" s="211">
        <v>0</v>
      </c>
      <c r="K141" s="211">
        <v>0</v>
      </c>
      <c r="L141" s="211">
        <v>0</v>
      </c>
      <c r="M141" s="211">
        <v>63670.28</v>
      </c>
      <c r="N141" s="211">
        <v>1075.4466666666647</v>
      </c>
      <c r="O141" s="211">
        <v>63120.33</v>
      </c>
      <c r="P141" s="211">
        <v>61514.333333333336</v>
      </c>
      <c r="Q141" s="211">
        <v>0</v>
      </c>
      <c r="R141" s="211">
        <v>0</v>
      </c>
      <c r="S141" s="191">
        <v>0</v>
      </c>
      <c r="T141" s="191">
        <v>0</v>
      </c>
      <c r="U141" s="212">
        <f t="shared" si="36"/>
        <v>189380.39</v>
      </c>
      <c r="W141" s="33">
        <f t="shared" si="38"/>
        <v>0</v>
      </c>
      <c r="X141" s="33">
        <f t="shared" si="33"/>
        <v>189380.39</v>
      </c>
      <c r="Y141" s="33">
        <f t="shared" si="40"/>
        <v>0</v>
      </c>
      <c r="Z141" s="33">
        <f t="shared" si="40"/>
        <v>0</v>
      </c>
      <c r="AA141" s="33">
        <f t="shared" si="40"/>
        <v>0</v>
      </c>
      <c r="AB141" s="33">
        <f t="shared" si="40"/>
        <v>0</v>
      </c>
      <c r="AC141" s="33">
        <f t="shared" si="40"/>
        <v>0</v>
      </c>
      <c r="AD141" s="33">
        <f t="shared" si="40"/>
        <v>0</v>
      </c>
      <c r="AE141" s="33">
        <f t="shared" si="40"/>
        <v>0</v>
      </c>
      <c r="AF141" s="58">
        <f t="shared" si="35"/>
        <v>0</v>
      </c>
      <c r="AH141" s="33">
        <f t="shared" si="37"/>
        <v>0</v>
      </c>
      <c r="AI141" s="33">
        <f t="shared" si="39"/>
        <v>189380.39</v>
      </c>
      <c r="AJ141" s="33"/>
      <c r="AK141" s="191"/>
      <c r="AL141" s="191"/>
      <c r="AM141" s="191">
        <v>0</v>
      </c>
    </row>
    <row r="142" spans="1:39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Mar 2026'!$A$8:$F$206,6,FALSE)</f>
        <v>Chq Bk</v>
      </c>
      <c r="H142" s="190"/>
      <c r="I142" s="190"/>
      <c r="J142" s="211">
        <v>0</v>
      </c>
      <c r="K142" s="211">
        <v>0</v>
      </c>
      <c r="L142" s="211">
        <v>0</v>
      </c>
      <c r="M142" s="211">
        <v>21702.05</v>
      </c>
      <c r="N142" s="211">
        <v>170.07666666666682</v>
      </c>
      <c r="O142" s="211">
        <v>10609.666666666668</v>
      </c>
      <c r="P142" s="211">
        <v>24438.666666666668</v>
      </c>
      <c r="Q142" s="211">
        <v>0</v>
      </c>
      <c r="R142" s="211">
        <v>0</v>
      </c>
      <c r="S142" s="191">
        <v>0</v>
      </c>
      <c r="T142" s="191">
        <v>0</v>
      </c>
      <c r="U142" s="212">
        <f t="shared" si="36"/>
        <v>56920.460000000006</v>
      </c>
      <c r="W142" s="33">
        <f t="shared" si="38"/>
        <v>0</v>
      </c>
      <c r="X142" s="33">
        <f t="shared" si="33"/>
        <v>56920.460000000006</v>
      </c>
      <c r="Y142" s="33">
        <f t="shared" si="40"/>
        <v>0</v>
      </c>
      <c r="Z142" s="33">
        <f t="shared" si="40"/>
        <v>0</v>
      </c>
      <c r="AA142" s="33">
        <f t="shared" si="40"/>
        <v>0</v>
      </c>
      <c r="AB142" s="33">
        <f t="shared" si="40"/>
        <v>0</v>
      </c>
      <c r="AC142" s="33">
        <f t="shared" si="40"/>
        <v>0</v>
      </c>
      <c r="AD142" s="33">
        <f t="shared" si="40"/>
        <v>0</v>
      </c>
      <c r="AE142" s="33">
        <f t="shared" si="40"/>
        <v>0</v>
      </c>
      <c r="AF142" s="58">
        <f t="shared" si="35"/>
        <v>0</v>
      </c>
      <c r="AH142" s="33">
        <f t="shared" si="37"/>
        <v>0</v>
      </c>
      <c r="AI142" s="33">
        <f t="shared" si="39"/>
        <v>56920.460000000006</v>
      </c>
      <c r="AJ142" s="33"/>
      <c r="AK142" s="191"/>
      <c r="AL142" s="191"/>
      <c r="AM142" s="191">
        <v>0</v>
      </c>
    </row>
    <row r="143" spans="1:39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Mar 2026'!$A$8:$F$206,6,FALSE)</f>
        <v>Chq Bk</v>
      </c>
      <c r="H143" s="190"/>
      <c r="I143" s="190"/>
      <c r="J143" s="211">
        <v>37800</v>
      </c>
      <c r="K143" s="211">
        <v>0</v>
      </c>
      <c r="L143" s="211">
        <v>18900</v>
      </c>
      <c r="M143" s="211">
        <v>0</v>
      </c>
      <c r="N143" s="211">
        <v>0</v>
      </c>
      <c r="O143" s="211">
        <v>0</v>
      </c>
      <c r="P143" s="211">
        <v>0</v>
      </c>
      <c r="Q143" s="211">
        <v>0</v>
      </c>
      <c r="R143" s="211">
        <v>0</v>
      </c>
      <c r="S143" s="191">
        <v>0</v>
      </c>
      <c r="T143" s="191">
        <v>0</v>
      </c>
      <c r="U143" s="212">
        <f t="shared" si="36"/>
        <v>56700</v>
      </c>
      <c r="W143" s="33">
        <f t="shared" si="38"/>
        <v>0</v>
      </c>
      <c r="X143" s="33">
        <f t="shared" si="33"/>
        <v>56700</v>
      </c>
      <c r="Y143" s="33">
        <f t="shared" si="40"/>
        <v>0</v>
      </c>
      <c r="Z143" s="33">
        <f t="shared" si="40"/>
        <v>0</v>
      </c>
      <c r="AA143" s="33">
        <f t="shared" si="40"/>
        <v>0</v>
      </c>
      <c r="AB143" s="33">
        <f t="shared" si="40"/>
        <v>0</v>
      </c>
      <c r="AC143" s="33">
        <f t="shared" si="40"/>
        <v>0</v>
      </c>
      <c r="AD143" s="33">
        <f t="shared" si="40"/>
        <v>0</v>
      </c>
      <c r="AE143" s="33">
        <f t="shared" si="40"/>
        <v>0</v>
      </c>
      <c r="AF143" s="58">
        <f t="shared" si="35"/>
        <v>0</v>
      </c>
      <c r="AH143" s="33">
        <f t="shared" si="37"/>
        <v>0</v>
      </c>
      <c r="AI143" s="33">
        <f t="shared" si="39"/>
        <v>63000</v>
      </c>
      <c r="AJ143" s="33"/>
      <c r="AK143" s="191"/>
      <c r="AL143" s="191"/>
      <c r="AM143" s="191">
        <v>6300</v>
      </c>
    </row>
    <row r="144" spans="1:39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Mar 2026'!$A$8:$F$206,6,FALSE)</f>
        <v>Academy</v>
      </c>
      <c r="H144" s="190"/>
      <c r="I144" s="190"/>
      <c r="J144" s="211">
        <v>0</v>
      </c>
      <c r="K144" s="211">
        <v>0</v>
      </c>
      <c r="L144" s="211"/>
      <c r="M144" s="211">
        <v>33020.35</v>
      </c>
      <c r="N144" s="211"/>
      <c r="O144" s="211"/>
      <c r="P144" s="211"/>
      <c r="Q144" s="211">
        <v>0</v>
      </c>
      <c r="R144" s="211">
        <v>0</v>
      </c>
      <c r="S144" s="191">
        <v>0</v>
      </c>
      <c r="T144" s="191">
        <v>0</v>
      </c>
      <c r="U144" s="212">
        <f t="shared" si="36"/>
        <v>33020.35</v>
      </c>
      <c r="W144" s="33">
        <f t="shared" si="38"/>
        <v>0</v>
      </c>
      <c r="X144" s="33">
        <f t="shared" si="33"/>
        <v>33020.35</v>
      </c>
      <c r="Y144" s="33">
        <f t="shared" si="40"/>
        <v>0</v>
      </c>
      <c r="Z144" s="33">
        <f t="shared" si="40"/>
        <v>0</v>
      </c>
      <c r="AA144" s="33">
        <f t="shared" si="40"/>
        <v>0</v>
      </c>
      <c r="AB144" s="33">
        <f t="shared" si="40"/>
        <v>0</v>
      </c>
      <c r="AC144" s="33">
        <f t="shared" si="40"/>
        <v>0</v>
      </c>
      <c r="AD144" s="33">
        <f t="shared" si="40"/>
        <v>0</v>
      </c>
      <c r="AE144" s="33">
        <f t="shared" si="40"/>
        <v>0</v>
      </c>
      <c r="AF144" s="58">
        <f t="shared" si="35"/>
        <v>0</v>
      </c>
      <c r="AH144" s="33">
        <f t="shared" si="37"/>
        <v>0</v>
      </c>
      <c r="AI144" s="33">
        <f t="shared" si="39"/>
        <v>33020.35</v>
      </c>
      <c r="AJ144" s="33"/>
      <c r="AK144" s="191"/>
      <c r="AL144" s="191"/>
      <c r="AM144" s="191">
        <v>0</v>
      </c>
    </row>
    <row r="145" spans="1:39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Mar 2026'!$A$8:$F$206,6,FALSE)</f>
        <v>Chq Bk</v>
      </c>
      <c r="H145" s="190"/>
      <c r="I145" s="190"/>
      <c r="J145" s="211">
        <v>45211.666666666664</v>
      </c>
      <c r="K145" s="211">
        <v>0</v>
      </c>
      <c r="L145" s="211">
        <v>55771.666666666664</v>
      </c>
      <c r="M145" s="211">
        <v>0</v>
      </c>
      <c r="N145" s="211">
        <v>0</v>
      </c>
      <c r="O145" s="211">
        <v>0</v>
      </c>
      <c r="P145" s="211">
        <v>0</v>
      </c>
      <c r="Q145" s="211">
        <v>0</v>
      </c>
      <c r="R145" s="211">
        <v>0</v>
      </c>
      <c r="S145" s="191">
        <v>0</v>
      </c>
      <c r="T145" s="191">
        <v>0</v>
      </c>
      <c r="U145" s="212">
        <f t="shared" si="36"/>
        <v>100983.33333333333</v>
      </c>
      <c r="W145" s="33">
        <f t="shared" si="38"/>
        <v>0</v>
      </c>
      <c r="X145" s="33">
        <f t="shared" si="33"/>
        <v>100983.33333333333</v>
      </c>
      <c r="Y145" s="33">
        <f t="shared" si="40"/>
        <v>0</v>
      </c>
      <c r="Z145" s="33">
        <f t="shared" si="40"/>
        <v>0</v>
      </c>
      <c r="AA145" s="33">
        <f t="shared" si="40"/>
        <v>0</v>
      </c>
      <c r="AB145" s="33">
        <f t="shared" si="40"/>
        <v>0</v>
      </c>
      <c r="AC145" s="33">
        <f t="shared" si="40"/>
        <v>0</v>
      </c>
      <c r="AD145" s="33">
        <f t="shared" si="40"/>
        <v>0</v>
      </c>
      <c r="AE145" s="33">
        <f t="shared" si="40"/>
        <v>0</v>
      </c>
      <c r="AF145" s="58">
        <f t="shared" si="35"/>
        <v>0</v>
      </c>
      <c r="AH145" s="33">
        <f t="shared" si="37"/>
        <v>0</v>
      </c>
      <c r="AI145" s="33">
        <f t="shared" si="39"/>
        <v>156754.99666666664</v>
      </c>
      <c r="AJ145" s="33"/>
      <c r="AK145" s="191"/>
      <c r="AL145" s="191"/>
      <c r="AM145" s="191">
        <v>55771.66333333333</v>
      </c>
    </row>
    <row r="146" spans="1:39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Mar 2026'!$A$8:$F$206,6,FALSE)</f>
        <v>Chq Bk</v>
      </c>
      <c r="H146" s="190"/>
      <c r="I146" s="190"/>
      <c r="J146" s="211">
        <v>0</v>
      </c>
      <c r="K146" s="211">
        <v>0</v>
      </c>
      <c r="L146" s="211">
        <v>0</v>
      </c>
      <c r="M146" s="211">
        <v>30122.31</v>
      </c>
      <c r="N146" s="211">
        <v>640.95666666666602</v>
      </c>
      <c r="O146" s="211">
        <v>15062</v>
      </c>
      <c r="P146" s="211">
        <v>33173</v>
      </c>
      <c r="Q146" s="211">
        <v>0</v>
      </c>
      <c r="R146" s="211">
        <v>0</v>
      </c>
      <c r="S146" s="191">
        <v>0</v>
      </c>
      <c r="T146" s="191">
        <v>0</v>
      </c>
      <c r="U146" s="212">
        <f t="shared" si="36"/>
        <v>78998.266666666663</v>
      </c>
      <c r="W146" s="33">
        <f t="shared" si="38"/>
        <v>0</v>
      </c>
      <c r="X146" s="33">
        <f t="shared" si="33"/>
        <v>78998.266666666663</v>
      </c>
      <c r="Y146" s="33">
        <f t="shared" si="40"/>
        <v>0</v>
      </c>
      <c r="Z146" s="33">
        <f t="shared" si="40"/>
        <v>0</v>
      </c>
      <c r="AA146" s="33">
        <f t="shared" si="40"/>
        <v>0</v>
      </c>
      <c r="AB146" s="33">
        <f t="shared" si="40"/>
        <v>0</v>
      </c>
      <c r="AC146" s="33">
        <f t="shared" si="40"/>
        <v>0</v>
      </c>
      <c r="AD146" s="33">
        <f t="shared" si="40"/>
        <v>0</v>
      </c>
      <c r="AE146" s="33">
        <f t="shared" si="40"/>
        <v>0</v>
      </c>
      <c r="AF146" s="58">
        <f t="shared" si="35"/>
        <v>0</v>
      </c>
      <c r="AH146" s="33">
        <f t="shared" si="37"/>
        <v>0</v>
      </c>
      <c r="AI146" s="33">
        <f t="shared" si="39"/>
        <v>78998.266666666663</v>
      </c>
      <c r="AJ146" s="33"/>
      <c r="AK146" s="191"/>
      <c r="AL146" s="191"/>
      <c r="AM146" s="191">
        <v>0</v>
      </c>
    </row>
    <row r="147" spans="1:39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Mar 2026'!$A$8:$F$206,6,FALSE)</f>
        <v>Chq Bk</v>
      </c>
      <c r="H147" s="190"/>
      <c r="I147" s="190"/>
      <c r="J147" s="211">
        <v>107100</v>
      </c>
      <c r="K147" s="211">
        <v>0</v>
      </c>
      <c r="L147" s="211">
        <v>46200</v>
      </c>
      <c r="M147" s="211">
        <v>0</v>
      </c>
      <c r="N147" s="211">
        <v>0</v>
      </c>
      <c r="O147" s="211">
        <v>0</v>
      </c>
      <c r="P147" s="211">
        <v>0</v>
      </c>
      <c r="Q147" s="211">
        <v>0</v>
      </c>
      <c r="R147" s="211">
        <v>0</v>
      </c>
      <c r="S147" s="191">
        <v>0</v>
      </c>
      <c r="T147" s="191">
        <v>0</v>
      </c>
      <c r="U147" s="212">
        <f t="shared" si="36"/>
        <v>153300</v>
      </c>
      <c r="W147" s="33">
        <f t="shared" si="38"/>
        <v>0</v>
      </c>
      <c r="X147" s="33">
        <f t="shared" si="33"/>
        <v>153300</v>
      </c>
      <c r="Y147" s="33">
        <f t="shared" si="40"/>
        <v>0</v>
      </c>
      <c r="Z147" s="33">
        <f t="shared" si="40"/>
        <v>0</v>
      </c>
      <c r="AA147" s="33">
        <f t="shared" si="40"/>
        <v>0</v>
      </c>
      <c r="AB147" s="33">
        <f t="shared" si="40"/>
        <v>0</v>
      </c>
      <c r="AC147" s="33">
        <f t="shared" si="40"/>
        <v>0</v>
      </c>
      <c r="AD147" s="33">
        <f t="shared" si="40"/>
        <v>0</v>
      </c>
      <c r="AE147" s="33">
        <f t="shared" si="40"/>
        <v>0</v>
      </c>
      <c r="AF147" s="58">
        <f t="shared" si="35"/>
        <v>0</v>
      </c>
      <c r="AH147" s="33">
        <f t="shared" si="37"/>
        <v>0</v>
      </c>
      <c r="AI147" s="33">
        <f t="shared" si="39"/>
        <v>165900</v>
      </c>
      <c r="AJ147" s="33"/>
      <c r="AK147" s="191"/>
      <c r="AL147" s="191"/>
      <c r="AM147" s="191">
        <v>12600</v>
      </c>
    </row>
    <row r="148" spans="1:39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Mar 2026'!$A$8:$F$206,6,FALSE)</f>
        <v>Chq Bk</v>
      </c>
      <c r="H148" s="190"/>
      <c r="I148" s="190"/>
      <c r="J148" s="211">
        <v>56700</v>
      </c>
      <c r="K148" s="211">
        <v>0</v>
      </c>
      <c r="L148" s="211">
        <v>41580</v>
      </c>
      <c r="M148" s="211">
        <v>0</v>
      </c>
      <c r="N148" s="211">
        <v>0</v>
      </c>
      <c r="O148" s="211">
        <v>0</v>
      </c>
      <c r="P148" s="211">
        <v>0</v>
      </c>
      <c r="Q148" s="211">
        <v>0</v>
      </c>
      <c r="R148" s="211">
        <v>0</v>
      </c>
      <c r="S148" s="191">
        <v>0</v>
      </c>
      <c r="T148" s="191">
        <v>0</v>
      </c>
      <c r="U148" s="212">
        <f t="shared" si="36"/>
        <v>98280</v>
      </c>
      <c r="W148" s="33">
        <f t="shared" si="38"/>
        <v>0</v>
      </c>
      <c r="X148" s="33">
        <f t="shared" ref="X148:X167" si="41">SUMIF($H$3:$T$3,X$6,$H148:$T148)</f>
        <v>98280</v>
      </c>
      <c r="Y148" s="33">
        <f t="shared" ref="Y148:AE157" si="42">SUMIF($H$3:$S$3,Y$6,$H148:$S148)</f>
        <v>0</v>
      </c>
      <c r="Z148" s="33">
        <f t="shared" si="42"/>
        <v>0</v>
      </c>
      <c r="AA148" s="33">
        <f t="shared" si="42"/>
        <v>0</v>
      </c>
      <c r="AB148" s="33">
        <f t="shared" si="42"/>
        <v>0</v>
      </c>
      <c r="AC148" s="33">
        <f t="shared" si="42"/>
        <v>0</v>
      </c>
      <c r="AD148" s="33">
        <f t="shared" si="42"/>
        <v>0</v>
      </c>
      <c r="AE148" s="33">
        <f t="shared" si="42"/>
        <v>0</v>
      </c>
      <c r="AF148" s="58">
        <f t="shared" si="35"/>
        <v>0</v>
      </c>
      <c r="AH148" s="33">
        <f t="shared" si="37"/>
        <v>0</v>
      </c>
      <c r="AI148" s="33">
        <f t="shared" si="39"/>
        <v>139860</v>
      </c>
      <c r="AJ148" s="33"/>
      <c r="AK148" s="191"/>
      <c r="AL148" s="191"/>
      <c r="AM148" s="191">
        <v>41580</v>
      </c>
    </row>
    <row r="149" spans="1:39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Mar 2026'!$A$8:$F$206,6,FALSE)</f>
        <v>Chq Bk</v>
      </c>
      <c r="H149" s="190"/>
      <c r="I149" s="190"/>
      <c r="J149" s="211">
        <v>0</v>
      </c>
      <c r="K149" s="211">
        <v>0</v>
      </c>
      <c r="L149" s="211">
        <v>0</v>
      </c>
      <c r="M149" s="211">
        <v>33057.269999999997</v>
      </c>
      <c r="N149" s="211">
        <v>606.07999999999902</v>
      </c>
      <c r="O149" s="211">
        <v>25951.666666666668</v>
      </c>
      <c r="P149" s="211">
        <v>19825.166666666668</v>
      </c>
      <c r="Q149" s="211">
        <v>0</v>
      </c>
      <c r="R149" s="211">
        <v>0</v>
      </c>
      <c r="S149" s="191">
        <v>0</v>
      </c>
      <c r="T149" s="191">
        <v>0</v>
      </c>
      <c r="U149" s="212">
        <f t="shared" si="36"/>
        <v>79440.183333333334</v>
      </c>
      <c r="W149" s="33">
        <f t="shared" si="38"/>
        <v>0</v>
      </c>
      <c r="X149" s="33">
        <f t="shared" si="41"/>
        <v>79440.183333333334</v>
      </c>
      <c r="Y149" s="33">
        <f t="shared" si="42"/>
        <v>0</v>
      </c>
      <c r="Z149" s="33">
        <f t="shared" si="42"/>
        <v>0</v>
      </c>
      <c r="AA149" s="33">
        <f t="shared" si="42"/>
        <v>0</v>
      </c>
      <c r="AB149" s="33">
        <f t="shared" si="42"/>
        <v>0</v>
      </c>
      <c r="AC149" s="33">
        <f t="shared" si="42"/>
        <v>0</v>
      </c>
      <c r="AD149" s="33">
        <f t="shared" si="42"/>
        <v>0</v>
      </c>
      <c r="AE149" s="33">
        <f t="shared" si="42"/>
        <v>0</v>
      </c>
      <c r="AF149" s="58">
        <f t="shared" si="35"/>
        <v>0</v>
      </c>
      <c r="AH149" s="33">
        <f t="shared" si="37"/>
        <v>0</v>
      </c>
      <c r="AI149" s="33">
        <f t="shared" si="39"/>
        <v>79440.183333333334</v>
      </c>
      <c r="AJ149" s="33"/>
      <c r="AK149" s="191"/>
      <c r="AL149" s="191"/>
      <c r="AM149" s="191">
        <v>0</v>
      </c>
    </row>
    <row r="150" spans="1:39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Mar 2026'!$A$8:$F$206,6,FALSE)</f>
        <v>Chq Bk</v>
      </c>
      <c r="H150" s="190"/>
      <c r="I150" s="190"/>
      <c r="J150" s="211">
        <v>0</v>
      </c>
      <c r="K150" s="211">
        <v>0</v>
      </c>
      <c r="L150" s="211">
        <v>0</v>
      </c>
      <c r="M150" s="211">
        <v>38232.129999999997</v>
      </c>
      <c r="N150" s="211">
        <v>619.19666666666581</v>
      </c>
      <c r="O150" s="211">
        <v>33755</v>
      </c>
      <c r="P150" s="211">
        <v>40240.666666666664</v>
      </c>
      <c r="Q150" s="211">
        <v>0</v>
      </c>
      <c r="R150" s="211">
        <v>0</v>
      </c>
      <c r="S150" s="191">
        <v>0</v>
      </c>
      <c r="T150" s="191">
        <v>0</v>
      </c>
      <c r="U150" s="212">
        <f t="shared" si="36"/>
        <v>112846.99333333332</v>
      </c>
      <c r="W150" s="33">
        <f t="shared" si="38"/>
        <v>0</v>
      </c>
      <c r="X150" s="33">
        <f t="shared" si="41"/>
        <v>112846.99333333332</v>
      </c>
      <c r="Y150" s="33">
        <f t="shared" si="42"/>
        <v>0</v>
      </c>
      <c r="Z150" s="33">
        <f t="shared" si="42"/>
        <v>0</v>
      </c>
      <c r="AA150" s="33">
        <f t="shared" si="42"/>
        <v>0</v>
      </c>
      <c r="AB150" s="33">
        <f t="shared" si="42"/>
        <v>0</v>
      </c>
      <c r="AC150" s="33">
        <f t="shared" si="42"/>
        <v>0</v>
      </c>
      <c r="AD150" s="33">
        <f t="shared" si="42"/>
        <v>0</v>
      </c>
      <c r="AE150" s="33">
        <f t="shared" si="42"/>
        <v>0</v>
      </c>
      <c r="AF150" s="58">
        <f t="shared" si="35"/>
        <v>0</v>
      </c>
      <c r="AH150" s="33">
        <f t="shared" si="37"/>
        <v>0</v>
      </c>
      <c r="AI150" s="33">
        <f t="shared" si="39"/>
        <v>112846.99333333332</v>
      </c>
      <c r="AJ150" s="33"/>
      <c r="AK150" s="191"/>
      <c r="AL150" s="191"/>
      <c r="AM150" s="191">
        <v>0</v>
      </c>
    </row>
    <row r="151" spans="1:39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Mar 2026'!$A$8:$F$206,6,FALSE)</f>
        <v>Chq Bk</v>
      </c>
      <c r="H151" s="190"/>
      <c r="I151" s="190"/>
      <c r="J151" s="211">
        <v>0</v>
      </c>
      <c r="K151" s="211">
        <v>0</v>
      </c>
      <c r="L151" s="211">
        <v>0</v>
      </c>
      <c r="M151" s="211">
        <v>85603.42</v>
      </c>
      <c r="N151" s="211">
        <v>1407.2133333333331</v>
      </c>
      <c r="O151" s="211">
        <v>91378.409999999989</v>
      </c>
      <c r="P151" s="211">
        <v>101299.16333333334</v>
      </c>
      <c r="Q151" s="211">
        <v>0</v>
      </c>
      <c r="R151" s="211">
        <v>0</v>
      </c>
      <c r="S151" s="191">
        <v>0</v>
      </c>
      <c r="T151" s="191">
        <v>0</v>
      </c>
      <c r="U151" s="212">
        <f t="shared" si="36"/>
        <v>279688.20666666667</v>
      </c>
      <c r="W151" s="33">
        <f t="shared" si="38"/>
        <v>0</v>
      </c>
      <c r="X151" s="33">
        <f t="shared" si="41"/>
        <v>279688.20666666667</v>
      </c>
      <c r="Y151" s="33">
        <f t="shared" si="42"/>
        <v>0</v>
      </c>
      <c r="Z151" s="33">
        <f t="shared" si="42"/>
        <v>0</v>
      </c>
      <c r="AA151" s="33">
        <f t="shared" si="42"/>
        <v>0</v>
      </c>
      <c r="AB151" s="33">
        <f t="shared" si="42"/>
        <v>0</v>
      </c>
      <c r="AC151" s="33">
        <f t="shared" si="42"/>
        <v>0</v>
      </c>
      <c r="AD151" s="33">
        <f t="shared" si="42"/>
        <v>0</v>
      </c>
      <c r="AE151" s="33">
        <f t="shared" si="42"/>
        <v>0</v>
      </c>
      <c r="AF151" s="58">
        <f t="shared" si="35"/>
        <v>0</v>
      </c>
      <c r="AH151" s="33">
        <f t="shared" si="37"/>
        <v>0</v>
      </c>
      <c r="AI151" s="33">
        <f t="shared" si="39"/>
        <v>279688.20666666667</v>
      </c>
      <c r="AJ151" s="33"/>
      <c r="AK151" s="191"/>
      <c r="AL151" s="191"/>
      <c r="AM151" s="191">
        <v>0</v>
      </c>
    </row>
    <row r="152" spans="1:39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Mar 2026'!$A$8:$F$206,6,FALSE)</f>
        <v>Chq Bk</v>
      </c>
      <c r="H152" s="190"/>
      <c r="I152" s="190"/>
      <c r="J152" s="211">
        <v>0</v>
      </c>
      <c r="K152" s="211">
        <v>0</v>
      </c>
      <c r="L152" s="211">
        <v>0</v>
      </c>
      <c r="M152" s="211">
        <v>11574.85</v>
      </c>
      <c r="N152" s="211">
        <v>228.81666666666615</v>
      </c>
      <c r="O152" s="211">
        <v>9035</v>
      </c>
      <c r="P152" s="211">
        <v>4500</v>
      </c>
      <c r="Q152" s="211">
        <v>0</v>
      </c>
      <c r="R152" s="211">
        <v>0</v>
      </c>
      <c r="S152" s="191">
        <v>0</v>
      </c>
      <c r="T152" s="191">
        <v>0</v>
      </c>
      <c r="U152" s="212">
        <f t="shared" si="36"/>
        <v>25338.666666666664</v>
      </c>
      <c r="W152" s="33">
        <f t="shared" si="38"/>
        <v>0</v>
      </c>
      <c r="X152" s="33">
        <f t="shared" si="41"/>
        <v>25338.666666666664</v>
      </c>
      <c r="Y152" s="33">
        <f t="shared" si="42"/>
        <v>0</v>
      </c>
      <c r="Z152" s="33">
        <f t="shared" si="42"/>
        <v>0</v>
      </c>
      <c r="AA152" s="33">
        <f t="shared" si="42"/>
        <v>0</v>
      </c>
      <c r="AB152" s="33">
        <f t="shared" si="42"/>
        <v>0</v>
      </c>
      <c r="AC152" s="33">
        <f t="shared" si="42"/>
        <v>0</v>
      </c>
      <c r="AD152" s="33">
        <f t="shared" si="42"/>
        <v>0</v>
      </c>
      <c r="AE152" s="33">
        <f t="shared" si="42"/>
        <v>0</v>
      </c>
      <c r="AF152" s="58">
        <f t="shared" si="35"/>
        <v>0</v>
      </c>
      <c r="AH152" s="33">
        <f t="shared" si="37"/>
        <v>0</v>
      </c>
      <c r="AI152" s="33">
        <f t="shared" si="39"/>
        <v>25338.666666666664</v>
      </c>
      <c r="AJ152" s="33"/>
      <c r="AK152" s="191"/>
      <c r="AL152" s="191"/>
      <c r="AM152" s="191">
        <v>0</v>
      </c>
    </row>
    <row r="153" spans="1:39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Mar 2026'!$A$8:$F$206,6,FALSE)</f>
        <v>Chq Bk</v>
      </c>
      <c r="H153" s="190"/>
      <c r="I153" s="190"/>
      <c r="J153" s="211">
        <v>0</v>
      </c>
      <c r="K153" s="211">
        <v>0</v>
      </c>
      <c r="L153" s="211">
        <v>0</v>
      </c>
      <c r="M153" s="211">
        <v>67518.05</v>
      </c>
      <c r="N153" s="211">
        <v>985.30666666666548</v>
      </c>
      <c r="O153" s="211">
        <v>47732.333333333343</v>
      </c>
      <c r="P153" s="211">
        <v>46623.000000000007</v>
      </c>
      <c r="Q153" s="211">
        <v>0</v>
      </c>
      <c r="R153" s="211">
        <v>0</v>
      </c>
      <c r="S153" s="191">
        <v>0</v>
      </c>
      <c r="T153" s="191">
        <v>0</v>
      </c>
      <c r="U153" s="212">
        <f t="shared" si="36"/>
        <v>162858.69000000003</v>
      </c>
      <c r="W153" s="33">
        <f t="shared" si="38"/>
        <v>0</v>
      </c>
      <c r="X153" s="33">
        <f t="shared" si="41"/>
        <v>162858.69000000003</v>
      </c>
      <c r="Y153" s="33">
        <f t="shared" si="42"/>
        <v>0</v>
      </c>
      <c r="Z153" s="33">
        <f t="shared" si="42"/>
        <v>0</v>
      </c>
      <c r="AA153" s="33">
        <f t="shared" si="42"/>
        <v>0</v>
      </c>
      <c r="AB153" s="33">
        <f t="shared" si="42"/>
        <v>0</v>
      </c>
      <c r="AC153" s="33">
        <f t="shared" si="42"/>
        <v>0</v>
      </c>
      <c r="AD153" s="33">
        <f t="shared" si="42"/>
        <v>0</v>
      </c>
      <c r="AE153" s="33">
        <f t="shared" si="42"/>
        <v>0</v>
      </c>
      <c r="AF153" s="58">
        <f t="shared" si="35"/>
        <v>0</v>
      </c>
      <c r="AH153" s="33">
        <f t="shared" si="37"/>
        <v>0</v>
      </c>
      <c r="AI153" s="33">
        <f t="shared" si="39"/>
        <v>162858.69000000003</v>
      </c>
      <c r="AJ153" s="33"/>
      <c r="AK153" s="191"/>
      <c r="AL153" s="191"/>
      <c r="AM153" s="191">
        <v>0</v>
      </c>
    </row>
    <row r="154" spans="1:39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Mar 2026'!$A$8:$F$206,6,FALSE)</f>
        <v>Chq Bk</v>
      </c>
      <c r="H154" s="190"/>
      <c r="I154" s="190"/>
      <c r="J154" s="211">
        <v>0</v>
      </c>
      <c r="K154" s="211">
        <v>0</v>
      </c>
      <c r="L154" s="211">
        <v>0</v>
      </c>
      <c r="M154" s="211">
        <v>25085.78</v>
      </c>
      <c r="N154" s="211">
        <v>499.21666666666579</v>
      </c>
      <c r="O154" s="211">
        <v>13535.666666666668</v>
      </c>
      <c r="P154" s="211">
        <v>37578.333333333336</v>
      </c>
      <c r="Q154" s="211">
        <v>0</v>
      </c>
      <c r="R154" s="211">
        <v>0</v>
      </c>
      <c r="S154" s="191">
        <v>0</v>
      </c>
      <c r="T154" s="191">
        <v>0</v>
      </c>
      <c r="U154" s="212">
        <f t="shared" si="36"/>
        <v>76698.996666666673</v>
      </c>
      <c r="W154" s="33">
        <f t="shared" si="38"/>
        <v>0</v>
      </c>
      <c r="X154" s="33">
        <f t="shared" si="41"/>
        <v>76698.996666666673</v>
      </c>
      <c r="Y154" s="33">
        <f t="shared" si="42"/>
        <v>0</v>
      </c>
      <c r="Z154" s="33">
        <f t="shared" si="42"/>
        <v>0</v>
      </c>
      <c r="AA154" s="33">
        <f t="shared" si="42"/>
        <v>0</v>
      </c>
      <c r="AB154" s="33">
        <f t="shared" si="42"/>
        <v>0</v>
      </c>
      <c r="AC154" s="33">
        <f t="shared" si="42"/>
        <v>0</v>
      </c>
      <c r="AD154" s="33">
        <f t="shared" si="42"/>
        <v>0</v>
      </c>
      <c r="AE154" s="33">
        <f t="shared" si="42"/>
        <v>0</v>
      </c>
      <c r="AF154" s="58">
        <f t="shared" si="35"/>
        <v>0</v>
      </c>
      <c r="AH154" s="33">
        <f t="shared" si="37"/>
        <v>0</v>
      </c>
      <c r="AI154" s="33">
        <f t="shared" si="39"/>
        <v>76698.996666666673</v>
      </c>
      <c r="AJ154" s="33"/>
      <c r="AK154" s="191"/>
      <c r="AL154" s="191"/>
      <c r="AM154" s="191">
        <v>0</v>
      </c>
    </row>
    <row r="155" spans="1:39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Mar 2026'!$A$8:$F$206,6,FALSE)</f>
        <v>Chq Bk</v>
      </c>
      <c r="H155" s="190"/>
      <c r="I155" s="190"/>
      <c r="J155" s="211">
        <v>0</v>
      </c>
      <c r="K155" s="211">
        <v>0</v>
      </c>
      <c r="L155" s="211">
        <v>0</v>
      </c>
      <c r="M155" s="211">
        <v>18755.54</v>
      </c>
      <c r="N155" s="211">
        <v>310.37679999999955</v>
      </c>
      <c r="O155" s="211">
        <v>0</v>
      </c>
      <c r="P155" s="211">
        <v>0</v>
      </c>
      <c r="Q155" s="211">
        <v>0</v>
      </c>
      <c r="R155" s="211">
        <v>0</v>
      </c>
      <c r="S155" s="191">
        <v>0</v>
      </c>
      <c r="T155" s="191">
        <v>0</v>
      </c>
      <c r="U155" s="212">
        <f t="shared" si="36"/>
        <v>19065.916799999999</v>
      </c>
      <c r="W155" s="33">
        <f t="shared" si="38"/>
        <v>0</v>
      </c>
      <c r="X155" s="33">
        <f t="shared" si="41"/>
        <v>19065.916799999999</v>
      </c>
      <c r="Y155" s="33">
        <f t="shared" si="42"/>
        <v>0</v>
      </c>
      <c r="Z155" s="33">
        <f t="shared" si="42"/>
        <v>0</v>
      </c>
      <c r="AA155" s="33">
        <f t="shared" si="42"/>
        <v>0</v>
      </c>
      <c r="AB155" s="33">
        <f t="shared" si="42"/>
        <v>0</v>
      </c>
      <c r="AC155" s="33">
        <f t="shared" si="42"/>
        <v>0</v>
      </c>
      <c r="AD155" s="33">
        <f t="shared" si="42"/>
        <v>0</v>
      </c>
      <c r="AE155" s="33">
        <f t="shared" si="42"/>
        <v>0</v>
      </c>
      <c r="AF155" s="58">
        <f t="shared" si="35"/>
        <v>0</v>
      </c>
      <c r="AH155" s="33">
        <f t="shared" si="37"/>
        <v>0</v>
      </c>
      <c r="AI155" s="33">
        <f t="shared" si="39"/>
        <v>19065.916799999999</v>
      </c>
      <c r="AJ155" s="33"/>
      <c r="AK155" s="191"/>
      <c r="AL155" s="191"/>
      <c r="AM155" s="191">
        <v>0</v>
      </c>
    </row>
    <row r="156" spans="1:39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Mar 2026'!$A$8:$F$206,6,FALSE)</f>
        <v>Chq Bk</v>
      </c>
      <c r="H156" s="190"/>
      <c r="I156" s="190"/>
      <c r="J156" s="211">
        <v>0</v>
      </c>
      <c r="K156" s="211">
        <v>0</v>
      </c>
      <c r="L156" s="211">
        <v>0</v>
      </c>
      <c r="M156" s="211">
        <v>79728.639999999999</v>
      </c>
      <c r="N156" s="211">
        <v>1553.4766666666637</v>
      </c>
      <c r="O156" s="211">
        <v>93633.33666666667</v>
      </c>
      <c r="P156" s="211">
        <v>103516</v>
      </c>
      <c r="Q156" s="211">
        <v>0</v>
      </c>
      <c r="R156" s="211">
        <v>0</v>
      </c>
      <c r="S156" s="191">
        <v>0</v>
      </c>
      <c r="T156" s="191">
        <v>0</v>
      </c>
      <c r="U156" s="212">
        <f t="shared" si="36"/>
        <v>278431.45333333337</v>
      </c>
      <c r="W156" s="33">
        <f t="shared" si="38"/>
        <v>0</v>
      </c>
      <c r="X156" s="33">
        <f t="shared" si="41"/>
        <v>278431.45333333337</v>
      </c>
      <c r="Y156" s="33">
        <f t="shared" si="42"/>
        <v>0</v>
      </c>
      <c r="Z156" s="33">
        <f t="shared" si="42"/>
        <v>0</v>
      </c>
      <c r="AA156" s="33">
        <f t="shared" si="42"/>
        <v>0</v>
      </c>
      <c r="AB156" s="33">
        <f t="shared" si="42"/>
        <v>0</v>
      </c>
      <c r="AC156" s="33">
        <f t="shared" si="42"/>
        <v>0</v>
      </c>
      <c r="AD156" s="33">
        <f t="shared" si="42"/>
        <v>0</v>
      </c>
      <c r="AE156" s="33">
        <f t="shared" si="42"/>
        <v>0</v>
      </c>
      <c r="AF156" s="58">
        <f t="shared" si="35"/>
        <v>0</v>
      </c>
      <c r="AH156" s="33">
        <f t="shared" si="37"/>
        <v>0</v>
      </c>
      <c r="AI156" s="33">
        <f t="shared" si="39"/>
        <v>278431.45333333337</v>
      </c>
      <c r="AJ156" s="33"/>
      <c r="AK156" s="191"/>
      <c r="AL156" s="191"/>
      <c r="AM156" s="191">
        <v>0</v>
      </c>
    </row>
    <row r="157" spans="1:39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Mar 2026'!$A$8:$F$206,6,FALSE)</f>
        <v>Chq Bk</v>
      </c>
      <c r="H157" s="190"/>
      <c r="I157" s="190"/>
      <c r="J157" s="211">
        <v>0</v>
      </c>
      <c r="K157" s="211">
        <v>0</v>
      </c>
      <c r="L157" s="211">
        <v>0</v>
      </c>
      <c r="M157" s="211">
        <v>62388.78</v>
      </c>
      <c r="N157" s="211">
        <v>1233.1099999999979</v>
      </c>
      <c r="O157" s="211">
        <v>63196.333333333336</v>
      </c>
      <c r="P157" s="211">
        <v>67546.666666666657</v>
      </c>
      <c r="Q157" s="211">
        <v>0</v>
      </c>
      <c r="R157" s="211">
        <v>0</v>
      </c>
      <c r="S157" s="191">
        <v>0</v>
      </c>
      <c r="T157" s="191">
        <v>0</v>
      </c>
      <c r="U157" s="212">
        <f t="shared" si="36"/>
        <v>194364.88999999998</v>
      </c>
      <c r="W157" s="33">
        <f t="shared" si="38"/>
        <v>0</v>
      </c>
      <c r="X157" s="33">
        <f t="shared" si="41"/>
        <v>194364.88999999998</v>
      </c>
      <c r="Y157" s="33">
        <f t="shared" si="42"/>
        <v>0</v>
      </c>
      <c r="Z157" s="33">
        <f t="shared" si="42"/>
        <v>0</v>
      </c>
      <c r="AA157" s="33">
        <f t="shared" si="42"/>
        <v>0</v>
      </c>
      <c r="AB157" s="33">
        <f t="shared" si="42"/>
        <v>0</v>
      </c>
      <c r="AC157" s="33">
        <f t="shared" si="42"/>
        <v>0</v>
      </c>
      <c r="AD157" s="33">
        <f t="shared" si="42"/>
        <v>0</v>
      </c>
      <c r="AE157" s="33">
        <f t="shared" si="42"/>
        <v>0</v>
      </c>
      <c r="AF157" s="58">
        <f t="shared" si="35"/>
        <v>0</v>
      </c>
      <c r="AH157" s="33">
        <f t="shared" si="37"/>
        <v>0</v>
      </c>
      <c r="AI157" s="33">
        <f t="shared" si="39"/>
        <v>194364.88999999998</v>
      </c>
      <c r="AJ157" s="33"/>
      <c r="AK157" s="191"/>
      <c r="AL157" s="191"/>
      <c r="AM157" s="191">
        <v>0</v>
      </c>
    </row>
    <row r="158" spans="1:39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Mar 2026'!$A$8:$F$206,6,FALSE)</f>
        <v>Chq Bk</v>
      </c>
      <c r="H158" s="190"/>
      <c r="I158" s="190"/>
      <c r="J158" s="211">
        <v>0</v>
      </c>
      <c r="K158" s="211">
        <v>0</v>
      </c>
      <c r="L158" s="211">
        <v>0</v>
      </c>
      <c r="M158" s="211">
        <v>11706.58</v>
      </c>
      <c r="N158" s="211">
        <v>54.416666666666515</v>
      </c>
      <c r="O158" s="211">
        <v>18959.666666666664</v>
      </c>
      <c r="P158" s="211">
        <v>25770.666666666668</v>
      </c>
      <c r="Q158" s="211">
        <v>0</v>
      </c>
      <c r="R158" s="211">
        <v>0</v>
      </c>
      <c r="S158" s="191">
        <v>0</v>
      </c>
      <c r="T158" s="191">
        <v>0</v>
      </c>
      <c r="U158" s="212">
        <f t="shared" si="36"/>
        <v>56491.33</v>
      </c>
      <c r="W158" s="33">
        <f t="shared" si="38"/>
        <v>0</v>
      </c>
      <c r="X158" s="33">
        <f t="shared" si="41"/>
        <v>56491.33</v>
      </c>
      <c r="Y158" s="33">
        <f t="shared" ref="Y158:AE167" si="43">SUMIF($H$3:$S$3,Y$6,$H158:$S158)</f>
        <v>0</v>
      </c>
      <c r="Z158" s="33">
        <f t="shared" si="43"/>
        <v>0</v>
      </c>
      <c r="AA158" s="33">
        <f t="shared" si="43"/>
        <v>0</v>
      </c>
      <c r="AB158" s="33">
        <f t="shared" si="43"/>
        <v>0</v>
      </c>
      <c r="AC158" s="33">
        <f t="shared" si="43"/>
        <v>0</v>
      </c>
      <c r="AD158" s="33">
        <f t="shared" si="43"/>
        <v>0</v>
      </c>
      <c r="AE158" s="33">
        <f t="shared" si="43"/>
        <v>0</v>
      </c>
      <c r="AF158" s="58">
        <f t="shared" si="35"/>
        <v>0</v>
      </c>
      <c r="AH158" s="33">
        <f t="shared" si="37"/>
        <v>0</v>
      </c>
      <c r="AI158" s="33">
        <f t="shared" si="39"/>
        <v>56491.33</v>
      </c>
      <c r="AJ158" s="33"/>
      <c r="AK158" s="191"/>
      <c r="AL158" s="191"/>
      <c r="AM158" s="191">
        <v>0</v>
      </c>
    </row>
    <row r="159" spans="1:39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Mar 2026'!$A$8:$F$206,6,FALSE)</f>
        <v>Chq Bk</v>
      </c>
      <c r="H159" s="190"/>
      <c r="I159" s="190"/>
      <c r="J159" s="211">
        <v>0</v>
      </c>
      <c r="K159" s="211">
        <v>0</v>
      </c>
      <c r="L159" s="211">
        <v>0</v>
      </c>
      <c r="M159" s="211">
        <v>23654.21</v>
      </c>
      <c r="N159" s="211">
        <v>379.35666666666657</v>
      </c>
      <c r="O159" s="211">
        <v>48431.666666666664</v>
      </c>
      <c r="P159" s="211">
        <v>53001.666666666664</v>
      </c>
      <c r="Q159" s="211">
        <v>0</v>
      </c>
      <c r="R159" s="211">
        <v>0</v>
      </c>
      <c r="S159" s="191">
        <v>0</v>
      </c>
      <c r="T159" s="191">
        <v>0</v>
      </c>
      <c r="U159" s="212">
        <f t="shared" si="36"/>
        <v>125466.9</v>
      </c>
      <c r="W159" s="33">
        <f t="shared" si="38"/>
        <v>0</v>
      </c>
      <c r="X159" s="33">
        <f t="shared" si="41"/>
        <v>125466.9</v>
      </c>
      <c r="Y159" s="33">
        <f t="shared" si="43"/>
        <v>0</v>
      </c>
      <c r="Z159" s="33">
        <f t="shared" si="43"/>
        <v>0</v>
      </c>
      <c r="AA159" s="33">
        <f t="shared" si="43"/>
        <v>0</v>
      </c>
      <c r="AB159" s="33">
        <f t="shared" si="43"/>
        <v>0</v>
      </c>
      <c r="AC159" s="33">
        <f t="shared" si="43"/>
        <v>0</v>
      </c>
      <c r="AD159" s="33">
        <f t="shared" si="43"/>
        <v>0</v>
      </c>
      <c r="AE159" s="33">
        <f t="shared" si="43"/>
        <v>0</v>
      </c>
      <c r="AF159" s="58">
        <f t="shared" si="35"/>
        <v>0</v>
      </c>
      <c r="AH159" s="33">
        <f t="shared" si="37"/>
        <v>0</v>
      </c>
      <c r="AI159" s="33">
        <f t="shared" si="39"/>
        <v>125466.9</v>
      </c>
      <c r="AJ159" s="33"/>
      <c r="AK159" s="191"/>
      <c r="AL159" s="191"/>
      <c r="AM159" s="191">
        <v>0</v>
      </c>
    </row>
    <row r="160" spans="1:39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Mar 2026'!$A$8:$F$206,6,FALSE)</f>
        <v>Chq Bk</v>
      </c>
      <c r="H160" s="190"/>
      <c r="I160" s="190"/>
      <c r="J160" s="211">
        <v>0</v>
      </c>
      <c r="K160" s="211">
        <v>0</v>
      </c>
      <c r="L160" s="211">
        <v>0</v>
      </c>
      <c r="M160" s="211">
        <v>108434.16</v>
      </c>
      <c r="N160" s="211">
        <v>1469.1033333333307</v>
      </c>
      <c r="O160" s="211">
        <v>96442.67</v>
      </c>
      <c r="P160" s="211">
        <v>134539.10333333333</v>
      </c>
      <c r="Q160" s="211">
        <v>0</v>
      </c>
      <c r="R160" s="211">
        <v>0</v>
      </c>
      <c r="S160" s="191">
        <v>0</v>
      </c>
      <c r="T160" s="191">
        <v>0</v>
      </c>
      <c r="U160" s="212">
        <f t="shared" si="36"/>
        <v>340885.03666666668</v>
      </c>
      <c r="W160" s="33">
        <f t="shared" si="38"/>
        <v>0</v>
      </c>
      <c r="X160" s="33">
        <f t="shared" si="41"/>
        <v>340885.03666666668</v>
      </c>
      <c r="Y160" s="33">
        <f t="shared" si="43"/>
        <v>0</v>
      </c>
      <c r="Z160" s="33">
        <f t="shared" si="43"/>
        <v>0</v>
      </c>
      <c r="AA160" s="33">
        <f t="shared" si="43"/>
        <v>0</v>
      </c>
      <c r="AB160" s="33">
        <f t="shared" si="43"/>
        <v>0</v>
      </c>
      <c r="AC160" s="33">
        <f t="shared" si="43"/>
        <v>0</v>
      </c>
      <c r="AD160" s="33">
        <f t="shared" si="43"/>
        <v>0</v>
      </c>
      <c r="AE160" s="33">
        <f t="shared" si="43"/>
        <v>0</v>
      </c>
      <c r="AF160" s="58">
        <f t="shared" si="35"/>
        <v>0</v>
      </c>
      <c r="AH160" s="33">
        <f t="shared" si="37"/>
        <v>0</v>
      </c>
      <c r="AI160" s="33">
        <f t="shared" si="39"/>
        <v>340885.03666666668</v>
      </c>
      <c r="AJ160" s="33"/>
      <c r="AK160" s="191"/>
      <c r="AL160" s="191"/>
      <c r="AM160" s="191">
        <v>0</v>
      </c>
    </row>
    <row r="161" spans="1:39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Mar 2026'!$A$8:$F$206,6,FALSE)</f>
        <v>Academy</v>
      </c>
      <c r="H161" s="190"/>
      <c r="I161" s="190"/>
      <c r="J161" s="211">
        <v>0</v>
      </c>
      <c r="K161" s="211">
        <v>0</v>
      </c>
      <c r="L161" s="211"/>
      <c r="M161" s="211">
        <v>22498.12</v>
      </c>
      <c r="N161" s="211"/>
      <c r="O161" s="211"/>
      <c r="P161" s="211"/>
      <c r="Q161" s="211">
        <v>0</v>
      </c>
      <c r="R161" s="211">
        <v>0</v>
      </c>
      <c r="S161" s="191">
        <v>0</v>
      </c>
      <c r="T161" s="191">
        <v>0</v>
      </c>
      <c r="U161" s="212">
        <f t="shared" si="36"/>
        <v>22498.12</v>
      </c>
      <c r="W161" s="33">
        <f t="shared" si="38"/>
        <v>0</v>
      </c>
      <c r="X161" s="33">
        <f t="shared" si="41"/>
        <v>22498.12</v>
      </c>
      <c r="Y161" s="33">
        <f t="shared" si="43"/>
        <v>0</v>
      </c>
      <c r="Z161" s="33">
        <f t="shared" si="43"/>
        <v>0</v>
      </c>
      <c r="AA161" s="33">
        <f t="shared" si="43"/>
        <v>0</v>
      </c>
      <c r="AB161" s="33">
        <f t="shared" si="43"/>
        <v>0</v>
      </c>
      <c r="AC161" s="33">
        <f t="shared" si="43"/>
        <v>0</v>
      </c>
      <c r="AD161" s="33">
        <f t="shared" si="43"/>
        <v>0</v>
      </c>
      <c r="AE161" s="33">
        <f t="shared" si="43"/>
        <v>0</v>
      </c>
      <c r="AF161" s="58">
        <f t="shared" si="35"/>
        <v>0</v>
      </c>
      <c r="AH161" s="33">
        <f t="shared" si="37"/>
        <v>0</v>
      </c>
      <c r="AI161" s="33">
        <f t="shared" si="39"/>
        <v>22498.12</v>
      </c>
      <c r="AJ161" s="33"/>
      <c r="AK161" s="191"/>
      <c r="AL161" s="191"/>
      <c r="AM161" s="191">
        <v>0</v>
      </c>
    </row>
    <row r="162" spans="1:39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Mar 2026'!$A$8:$F$206,6,FALSE)</f>
        <v>Chq Bk</v>
      </c>
      <c r="H162" s="190"/>
      <c r="I162" s="190"/>
      <c r="J162" s="211">
        <v>0</v>
      </c>
      <c r="K162" s="211">
        <v>0</v>
      </c>
      <c r="L162" s="211">
        <v>0</v>
      </c>
      <c r="M162" s="211">
        <v>18141.2</v>
      </c>
      <c r="N162" s="211">
        <v>348.79999999999927</v>
      </c>
      <c r="O162" s="211">
        <v>36050.5</v>
      </c>
      <c r="P162" s="211">
        <v>74431.944444444453</v>
      </c>
      <c r="Q162" s="211">
        <v>0</v>
      </c>
      <c r="R162" s="211">
        <v>0</v>
      </c>
      <c r="S162" s="191">
        <v>0</v>
      </c>
      <c r="T162" s="191">
        <v>0</v>
      </c>
      <c r="U162" s="212">
        <f t="shared" si="36"/>
        <v>128972.44444444445</v>
      </c>
      <c r="W162" s="33">
        <f t="shared" si="38"/>
        <v>0</v>
      </c>
      <c r="X162" s="33">
        <f t="shared" si="41"/>
        <v>128972.44444444445</v>
      </c>
      <c r="Y162" s="33">
        <f t="shared" si="43"/>
        <v>0</v>
      </c>
      <c r="Z162" s="33">
        <f t="shared" si="43"/>
        <v>0</v>
      </c>
      <c r="AA162" s="33">
        <f t="shared" si="43"/>
        <v>0</v>
      </c>
      <c r="AB162" s="33">
        <f t="shared" si="43"/>
        <v>0</v>
      </c>
      <c r="AC162" s="33">
        <f t="shared" si="43"/>
        <v>0</v>
      </c>
      <c r="AD162" s="33">
        <f t="shared" si="43"/>
        <v>0</v>
      </c>
      <c r="AE162" s="33">
        <f t="shared" si="43"/>
        <v>0</v>
      </c>
      <c r="AF162" s="58">
        <f t="shared" si="35"/>
        <v>0</v>
      </c>
      <c r="AH162" s="33">
        <f t="shared" si="37"/>
        <v>0</v>
      </c>
      <c r="AI162" s="33">
        <f t="shared" si="39"/>
        <v>128972.44444444445</v>
      </c>
      <c r="AJ162" s="33"/>
      <c r="AK162" s="191"/>
      <c r="AL162" s="191"/>
      <c r="AM162" s="191">
        <v>0</v>
      </c>
    </row>
    <row r="163" spans="1:39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Mar 2026'!$A$8:$F$206,6,FALSE)</f>
        <v>Chq Bk</v>
      </c>
      <c r="H163" s="190"/>
      <c r="I163" s="190"/>
      <c r="J163" s="211">
        <v>0</v>
      </c>
      <c r="K163" s="211">
        <v>0</v>
      </c>
      <c r="L163" s="211">
        <v>0</v>
      </c>
      <c r="M163" s="211">
        <v>54902.04</v>
      </c>
      <c r="N163" s="211">
        <v>742.96333333333178</v>
      </c>
      <c r="O163" s="211">
        <v>17562.666666666668</v>
      </c>
      <c r="P163" s="211">
        <v>24628.333333333336</v>
      </c>
      <c r="Q163" s="211">
        <v>0</v>
      </c>
      <c r="R163" s="211">
        <v>0</v>
      </c>
      <c r="S163" s="191">
        <v>0</v>
      </c>
      <c r="T163" s="191">
        <v>0</v>
      </c>
      <c r="U163" s="212">
        <f t="shared" si="36"/>
        <v>97836.003333333327</v>
      </c>
      <c r="W163" s="33">
        <f t="shared" si="38"/>
        <v>0</v>
      </c>
      <c r="X163" s="33">
        <f t="shared" si="41"/>
        <v>97836.003333333327</v>
      </c>
      <c r="Y163" s="33">
        <f t="shared" si="43"/>
        <v>0</v>
      </c>
      <c r="Z163" s="33">
        <f t="shared" si="43"/>
        <v>0</v>
      </c>
      <c r="AA163" s="33">
        <f t="shared" si="43"/>
        <v>0</v>
      </c>
      <c r="AB163" s="33">
        <f t="shared" si="43"/>
        <v>0</v>
      </c>
      <c r="AC163" s="33">
        <f t="shared" si="43"/>
        <v>0</v>
      </c>
      <c r="AD163" s="33">
        <f t="shared" si="43"/>
        <v>0</v>
      </c>
      <c r="AE163" s="33">
        <f t="shared" si="43"/>
        <v>0</v>
      </c>
      <c r="AF163" s="58">
        <f t="shared" si="35"/>
        <v>0</v>
      </c>
      <c r="AH163" s="33">
        <f t="shared" si="37"/>
        <v>0</v>
      </c>
      <c r="AI163" s="33">
        <f t="shared" si="39"/>
        <v>97836.003333333327</v>
      </c>
      <c r="AJ163" s="33"/>
      <c r="AK163" s="191"/>
      <c r="AL163" s="191"/>
      <c r="AM163" s="191">
        <v>0</v>
      </c>
    </row>
    <row r="164" spans="1:39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Mar 2026'!$A$8:$F$206,6,FALSE)</f>
        <v>Chq Bk</v>
      </c>
      <c r="H164" s="190"/>
      <c r="I164" s="190"/>
      <c r="J164" s="211">
        <v>0</v>
      </c>
      <c r="K164" s="211">
        <v>0</v>
      </c>
      <c r="L164" s="211">
        <v>0</v>
      </c>
      <c r="M164" s="211">
        <v>73432.98</v>
      </c>
      <c r="N164" s="211">
        <v>1196.4033333333314</v>
      </c>
      <c r="O164" s="211">
        <v>63870.716666666653</v>
      </c>
      <c r="P164" s="211">
        <v>78119.666666666672</v>
      </c>
      <c r="Q164" s="211">
        <v>0</v>
      </c>
      <c r="R164" s="211">
        <v>0</v>
      </c>
      <c r="S164" s="191">
        <v>0</v>
      </c>
      <c r="T164" s="191">
        <v>0</v>
      </c>
      <c r="U164" s="212">
        <f t="shared" si="36"/>
        <v>216619.76666666666</v>
      </c>
      <c r="W164" s="33">
        <f t="shared" si="38"/>
        <v>0</v>
      </c>
      <c r="X164" s="33">
        <f t="shared" si="41"/>
        <v>216619.76666666666</v>
      </c>
      <c r="Y164" s="33">
        <f t="shared" si="43"/>
        <v>0</v>
      </c>
      <c r="Z164" s="33">
        <f t="shared" si="43"/>
        <v>0</v>
      </c>
      <c r="AA164" s="33">
        <f t="shared" si="43"/>
        <v>0</v>
      </c>
      <c r="AB164" s="33">
        <f t="shared" si="43"/>
        <v>0</v>
      </c>
      <c r="AC164" s="33">
        <f t="shared" si="43"/>
        <v>0</v>
      </c>
      <c r="AD164" s="33">
        <f t="shared" si="43"/>
        <v>0</v>
      </c>
      <c r="AE164" s="33">
        <f t="shared" si="43"/>
        <v>0</v>
      </c>
      <c r="AF164" s="58">
        <f t="shared" si="35"/>
        <v>0</v>
      </c>
      <c r="AH164" s="33">
        <f t="shared" si="37"/>
        <v>0</v>
      </c>
      <c r="AI164" s="33">
        <f t="shared" si="39"/>
        <v>216619.76666666666</v>
      </c>
      <c r="AJ164" s="33"/>
      <c r="AK164" s="191"/>
      <c r="AL164" s="191"/>
      <c r="AM164" s="191">
        <v>0</v>
      </c>
    </row>
    <row r="165" spans="1:39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Mar 2026'!$A$8:$F$206,6,FALSE)</f>
        <v>Chq Bk</v>
      </c>
      <c r="H165" s="190"/>
      <c r="I165" s="190"/>
      <c r="J165" s="211">
        <v>0</v>
      </c>
      <c r="K165" s="211">
        <v>0</v>
      </c>
      <c r="L165" s="211">
        <v>0</v>
      </c>
      <c r="M165" s="211">
        <v>55632.85</v>
      </c>
      <c r="N165" s="211">
        <v>1084.9519999999984</v>
      </c>
      <c r="O165" s="211">
        <v>94487.32666666666</v>
      </c>
      <c r="P165" s="211">
        <v>87887.000000000015</v>
      </c>
      <c r="Q165" s="211">
        <v>0</v>
      </c>
      <c r="R165" s="211">
        <v>0</v>
      </c>
      <c r="S165" s="191">
        <v>0</v>
      </c>
      <c r="T165" s="191">
        <v>0</v>
      </c>
      <c r="U165" s="212">
        <f t="shared" si="36"/>
        <v>239092.12866666669</v>
      </c>
      <c r="W165" s="33">
        <f t="shared" si="38"/>
        <v>0</v>
      </c>
      <c r="X165" s="33">
        <f t="shared" si="41"/>
        <v>239092.12866666669</v>
      </c>
      <c r="Y165" s="33">
        <f t="shared" si="43"/>
        <v>0</v>
      </c>
      <c r="Z165" s="33">
        <f t="shared" si="43"/>
        <v>0</v>
      </c>
      <c r="AA165" s="33">
        <f t="shared" si="43"/>
        <v>0</v>
      </c>
      <c r="AB165" s="33">
        <f t="shared" si="43"/>
        <v>0</v>
      </c>
      <c r="AC165" s="33">
        <f t="shared" si="43"/>
        <v>0</v>
      </c>
      <c r="AD165" s="33">
        <f t="shared" si="43"/>
        <v>0</v>
      </c>
      <c r="AE165" s="33">
        <f t="shared" si="43"/>
        <v>0</v>
      </c>
      <c r="AF165" s="58">
        <f t="shared" si="35"/>
        <v>0</v>
      </c>
      <c r="AH165" s="33">
        <f t="shared" si="37"/>
        <v>0</v>
      </c>
      <c r="AI165" s="33">
        <f t="shared" si="39"/>
        <v>239092.12866666669</v>
      </c>
      <c r="AJ165" s="33"/>
      <c r="AK165" s="191"/>
      <c r="AL165" s="191"/>
      <c r="AM165" s="191">
        <v>0</v>
      </c>
    </row>
    <row r="166" spans="1:39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Mar 2026'!$A$8:$F$206,6,FALSE)</f>
        <v>Chq Bk</v>
      </c>
      <c r="H166" s="190"/>
      <c r="I166" s="190"/>
      <c r="J166" s="211">
        <v>0</v>
      </c>
      <c r="K166" s="211">
        <v>0</v>
      </c>
      <c r="L166" s="211">
        <v>0</v>
      </c>
      <c r="M166" s="211">
        <v>61186.26</v>
      </c>
      <c r="N166" s="211">
        <v>1037.7366666666642</v>
      </c>
      <c r="O166" s="211">
        <v>50585.326666666668</v>
      </c>
      <c r="P166" s="211">
        <v>68720.333333333343</v>
      </c>
      <c r="Q166" s="211">
        <v>0</v>
      </c>
      <c r="R166" s="211">
        <v>0</v>
      </c>
      <c r="S166" s="191">
        <v>0</v>
      </c>
      <c r="T166" s="191">
        <v>0</v>
      </c>
      <c r="U166" s="212">
        <f t="shared" si="36"/>
        <v>181529.65666666668</v>
      </c>
      <c r="W166" s="33">
        <f t="shared" si="38"/>
        <v>0</v>
      </c>
      <c r="X166" s="33">
        <f t="shared" si="41"/>
        <v>181529.65666666668</v>
      </c>
      <c r="Y166" s="33">
        <f t="shared" si="43"/>
        <v>0</v>
      </c>
      <c r="Z166" s="33">
        <f t="shared" si="43"/>
        <v>0</v>
      </c>
      <c r="AA166" s="33">
        <f t="shared" si="43"/>
        <v>0</v>
      </c>
      <c r="AB166" s="33">
        <f t="shared" si="43"/>
        <v>0</v>
      </c>
      <c r="AC166" s="33">
        <f t="shared" si="43"/>
        <v>0</v>
      </c>
      <c r="AD166" s="33">
        <f t="shared" si="43"/>
        <v>0</v>
      </c>
      <c r="AE166" s="33">
        <f t="shared" si="43"/>
        <v>0</v>
      </c>
      <c r="AF166" s="58">
        <f t="shared" si="35"/>
        <v>0</v>
      </c>
      <c r="AH166" s="33">
        <f t="shared" si="37"/>
        <v>0</v>
      </c>
      <c r="AI166" s="33">
        <f t="shared" si="39"/>
        <v>181529.65666666668</v>
      </c>
      <c r="AJ166" s="33"/>
      <c r="AK166" s="191"/>
      <c r="AL166" s="191"/>
      <c r="AM166" s="191">
        <v>0</v>
      </c>
    </row>
    <row r="167" spans="1:39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Mar 2026'!$A$8:$F$206,6,FALSE)</f>
        <v>Chq Bk</v>
      </c>
      <c r="H167" s="190"/>
      <c r="I167" s="190"/>
      <c r="J167" s="211">
        <v>0</v>
      </c>
      <c r="K167" s="211">
        <v>0</v>
      </c>
      <c r="L167" s="211">
        <v>0</v>
      </c>
      <c r="M167" s="211">
        <v>14289.1</v>
      </c>
      <c r="N167" s="211">
        <v>228.81666666666615</v>
      </c>
      <c r="O167" s="211">
        <v>19801.670000000002</v>
      </c>
      <c r="P167" s="211">
        <v>26723.333333333336</v>
      </c>
      <c r="Q167" s="211">
        <v>0</v>
      </c>
      <c r="R167" s="211">
        <v>0</v>
      </c>
      <c r="S167" s="191">
        <v>0</v>
      </c>
      <c r="T167" s="191">
        <v>0</v>
      </c>
      <c r="U167" s="212">
        <f t="shared" ref="U167:U198" si="44">SUM(H167:T167)</f>
        <v>61042.920000000006</v>
      </c>
      <c r="W167" s="33">
        <f t="shared" si="38"/>
        <v>0</v>
      </c>
      <c r="X167" s="33">
        <f t="shared" si="41"/>
        <v>61042.920000000006</v>
      </c>
      <c r="Y167" s="33">
        <f t="shared" si="43"/>
        <v>0</v>
      </c>
      <c r="Z167" s="33">
        <f t="shared" si="43"/>
        <v>0</v>
      </c>
      <c r="AA167" s="33">
        <f t="shared" si="43"/>
        <v>0</v>
      </c>
      <c r="AB167" s="33">
        <f t="shared" si="43"/>
        <v>0</v>
      </c>
      <c r="AC167" s="33">
        <f t="shared" si="43"/>
        <v>0</v>
      </c>
      <c r="AD167" s="33">
        <f t="shared" si="43"/>
        <v>0</v>
      </c>
      <c r="AE167" s="33">
        <f t="shared" si="43"/>
        <v>0</v>
      </c>
      <c r="AF167" s="58">
        <f t="shared" si="35"/>
        <v>0</v>
      </c>
      <c r="AH167" s="33">
        <f t="shared" ref="AH167:AH198" si="45">SUMIFS($H167:$T167,$H$3:$T$3,AH$6,$H$1:$T$1,$AH$5)+AK167+AL167</f>
        <v>0</v>
      </c>
      <c r="AI167" s="33">
        <f t="shared" si="39"/>
        <v>61042.920000000006</v>
      </c>
      <c r="AJ167" s="33"/>
      <c r="AK167" s="191"/>
      <c r="AL167" s="191"/>
      <c r="AM167" s="191">
        <v>0</v>
      </c>
    </row>
    <row r="168" spans="1:39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Mar 2026'!$A$8:$F$206,6,FALSE)</f>
        <v>Chq Bk</v>
      </c>
      <c r="H168" s="190"/>
      <c r="I168" s="190"/>
      <c r="J168" s="211">
        <v>0</v>
      </c>
      <c r="K168" s="211">
        <v>0</v>
      </c>
      <c r="L168" s="211">
        <v>0</v>
      </c>
      <c r="M168" s="211">
        <v>3171.4</v>
      </c>
      <c r="N168" s="211">
        <v>43.599999999999909</v>
      </c>
      <c r="O168" s="211">
        <v>0</v>
      </c>
      <c r="P168" s="211">
        <v>3285</v>
      </c>
      <c r="Q168" s="211">
        <v>0</v>
      </c>
      <c r="R168" s="211">
        <v>0</v>
      </c>
      <c r="S168" s="191">
        <v>0</v>
      </c>
      <c r="T168" s="191">
        <v>0</v>
      </c>
      <c r="U168" s="212">
        <f t="shared" si="44"/>
        <v>6500</v>
      </c>
      <c r="W168" s="33">
        <f t="shared" si="38"/>
        <v>0</v>
      </c>
      <c r="X168" s="33">
        <f t="shared" ref="X168:X187" si="46">SUMIF($H$3:$T$3,X$6,$H168:$T168)</f>
        <v>6500</v>
      </c>
      <c r="Y168" s="33">
        <f t="shared" ref="Y168:AE177" si="47">SUMIF($H$3:$S$3,Y$6,$H168:$S168)</f>
        <v>0</v>
      </c>
      <c r="Z168" s="33">
        <f t="shared" si="47"/>
        <v>0</v>
      </c>
      <c r="AA168" s="33">
        <f t="shared" si="47"/>
        <v>0</v>
      </c>
      <c r="AB168" s="33">
        <f t="shared" si="47"/>
        <v>0</v>
      </c>
      <c r="AC168" s="33">
        <f t="shared" si="47"/>
        <v>0</v>
      </c>
      <c r="AD168" s="33">
        <f t="shared" si="47"/>
        <v>0</v>
      </c>
      <c r="AE168" s="33">
        <f t="shared" si="47"/>
        <v>0</v>
      </c>
      <c r="AF168" s="58">
        <f t="shared" si="35"/>
        <v>0</v>
      </c>
      <c r="AH168" s="33">
        <f t="shared" si="45"/>
        <v>0</v>
      </c>
      <c r="AI168" s="33">
        <f t="shared" si="39"/>
        <v>6500</v>
      </c>
      <c r="AJ168" s="33"/>
      <c r="AK168" s="191"/>
      <c r="AL168" s="191"/>
      <c r="AM168" s="191">
        <v>0</v>
      </c>
    </row>
    <row r="169" spans="1:39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Mar 2026'!$A$8:$F$206,6,FALSE)</f>
        <v>Chq Bk</v>
      </c>
      <c r="H169" s="190"/>
      <c r="I169" s="190"/>
      <c r="J169" s="211">
        <v>0</v>
      </c>
      <c r="K169" s="211">
        <v>0</v>
      </c>
      <c r="L169" s="211">
        <v>0</v>
      </c>
      <c r="M169" s="211">
        <v>18062.63</v>
      </c>
      <c r="N169" s="211">
        <v>326.83333333333258</v>
      </c>
      <c r="O169" s="211">
        <v>24297.073333333334</v>
      </c>
      <c r="P169" s="211">
        <v>40606</v>
      </c>
      <c r="Q169" s="211">
        <v>0</v>
      </c>
      <c r="R169" s="211">
        <v>0</v>
      </c>
      <c r="S169" s="191">
        <v>0</v>
      </c>
      <c r="T169" s="191">
        <v>0</v>
      </c>
      <c r="U169" s="212">
        <f t="shared" si="44"/>
        <v>83292.536666666667</v>
      </c>
      <c r="W169" s="33">
        <f t="shared" si="38"/>
        <v>0</v>
      </c>
      <c r="X169" s="33">
        <f t="shared" si="46"/>
        <v>83292.536666666667</v>
      </c>
      <c r="Y169" s="33">
        <f t="shared" si="47"/>
        <v>0</v>
      </c>
      <c r="Z169" s="33">
        <f t="shared" si="47"/>
        <v>0</v>
      </c>
      <c r="AA169" s="33">
        <f t="shared" si="47"/>
        <v>0</v>
      </c>
      <c r="AB169" s="33">
        <f t="shared" si="47"/>
        <v>0</v>
      </c>
      <c r="AC169" s="33">
        <f t="shared" si="47"/>
        <v>0</v>
      </c>
      <c r="AD169" s="33">
        <f t="shared" si="47"/>
        <v>0</v>
      </c>
      <c r="AE169" s="33">
        <f t="shared" si="47"/>
        <v>0</v>
      </c>
      <c r="AF169" s="58">
        <f t="shared" si="35"/>
        <v>0</v>
      </c>
      <c r="AH169" s="33">
        <f t="shared" si="45"/>
        <v>0</v>
      </c>
      <c r="AI169" s="33">
        <f t="shared" si="39"/>
        <v>85254.536666666667</v>
      </c>
      <c r="AJ169" s="33"/>
      <c r="AK169" s="191"/>
      <c r="AL169" s="191"/>
      <c r="AM169" s="191">
        <v>1962</v>
      </c>
    </row>
    <row r="170" spans="1:39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Mar 2026'!$A$8:$F$206,6,FALSE)</f>
        <v>Chq Bk</v>
      </c>
      <c r="H170" s="190"/>
      <c r="I170" s="190"/>
      <c r="J170" s="211">
        <v>0</v>
      </c>
      <c r="K170" s="211">
        <v>0</v>
      </c>
      <c r="L170" s="211">
        <v>0</v>
      </c>
      <c r="M170" s="211">
        <v>24521.58</v>
      </c>
      <c r="N170" s="211">
        <v>403.21666666666579</v>
      </c>
      <c r="O170" s="211">
        <v>20582</v>
      </c>
      <c r="P170" s="211">
        <v>20582</v>
      </c>
      <c r="Q170" s="211">
        <v>0</v>
      </c>
      <c r="R170" s="211">
        <v>0</v>
      </c>
      <c r="S170" s="191">
        <v>0</v>
      </c>
      <c r="T170" s="191">
        <v>0</v>
      </c>
      <c r="U170" s="212">
        <f t="shared" si="44"/>
        <v>66088.796666666662</v>
      </c>
      <c r="W170" s="33">
        <f t="shared" si="38"/>
        <v>0</v>
      </c>
      <c r="X170" s="33">
        <f t="shared" si="46"/>
        <v>66088.796666666662</v>
      </c>
      <c r="Y170" s="33">
        <f t="shared" si="47"/>
        <v>0</v>
      </c>
      <c r="Z170" s="33">
        <f t="shared" si="47"/>
        <v>0</v>
      </c>
      <c r="AA170" s="33">
        <f t="shared" si="47"/>
        <v>0</v>
      </c>
      <c r="AB170" s="33">
        <f t="shared" si="47"/>
        <v>0</v>
      </c>
      <c r="AC170" s="33">
        <f t="shared" si="47"/>
        <v>0</v>
      </c>
      <c r="AD170" s="33">
        <f t="shared" si="47"/>
        <v>0</v>
      </c>
      <c r="AE170" s="33">
        <f t="shared" si="47"/>
        <v>0</v>
      </c>
      <c r="AF170" s="58">
        <f t="shared" si="35"/>
        <v>0</v>
      </c>
      <c r="AH170" s="33">
        <f t="shared" si="45"/>
        <v>0</v>
      </c>
      <c r="AI170" s="33">
        <f t="shared" si="39"/>
        <v>66088.796666666662</v>
      </c>
      <c r="AJ170" s="33"/>
      <c r="AK170" s="191"/>
      <c r="AL170" s="191"/>
      <c r="AM170" s="191">
        <v>0</v>
      </c>
    </row>
    <row r="171" spans="1:39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Mar 2026'!$A$8:$F$206,6,FALSE)</f>
        <v>Chq Bk</v>
      </c>
      <c r="H171" s="190"/>
      <c r="I171" s="190"/>
      <c r="J171" s="211">
        <v>29050</v>
      </c>
      <c r="K171" s="211">
        <v>0</v>
      </c>
      <c r="L171" s="211">
        <v>13300</v>
      </c>
      <c r="M171" s="211">
        <v>0</v>
      </c>
      <c r="N171" s="211">
        <v>0</v>
      </c>
      <c r="O171" s="211">
        <v>0</v>
      </c>
      <c r="P171" s="211">
        <v>0</v>
      </c>
      <c r="Q171" s="211">
        <v>0</v>
      </c>
      <c r="R171" s="211">
        <v>0</v>
      </c>
      <c r="S171" s="191">
        <v>0</v>
      </c>
      <c r="T171" s="191">
        <v>0</v>
      </c>
      <c r="U171" s="212">
        <f t="shared" si="44"/>
        <v>42350</v>
      </c>
      <c r="W171" s="33">
        <f t="shared" si="38"/>
        <v>0</v>
      </c>
      <c r="X171" s="33">
        <f t="shared" si="46"/>
        <v>42350</v>
      </c>
      <c r="Y171" s="33">
        <f t="shared" si="47"/>
        <v>0</v>
      </c>
      <c r="Z171" s="33">
        <f t="shared" si="47"/>
        <v>0</v>
      </c>
      <c r="AA171" s="33">
        <f t="shared" si="47"/>
        <v>0</v>
      </c>
      <c r="AB171" s="33">
        <f t="shared" si="47"/>
        <v>0</v>
      </c>
      <c r="AC171" s="33">
        <f t="shared" si="47"/>
        <v>0</v>
      </c>
      <c r="AD171" s="33">
        <f t="shared" si="47"/>
        <v>0</v>
      </c>
      <c r="AE171" s="33">
        <f t="shared" si="47"/>
        <v>0</v>
      </c>
      <c r="AF171" s="58">
        <f t="shared" si="35"/>
        <v>0</v>
      </c>
      <c r="AH171" s="33">
        <f t="shared" si="45"/>
        <v>0</v>
      </c>
      <c r="AI171" s="33">
        <f t="shared" si="39"/>
        <v>61650</v>
      </c>
      <c r="AJ171" s="33"/>
      <c r="AK171" s="191"/>
      <c r="AL171" s="191"/>
      <c r="AM171" s="191">
        <v>19300</v>
      </c>
    </row>
    <row r="172" spans="1:39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Mar 2026'!$A$8:$F$206,6,FALSE)</f>
        <v>Academy</v>
      </c>
      <c r="H172" s="190"/>
      <c r="I172" s="190"/>
      <c r="J172" s="211">
        <v>0</v>
      </c>
      <c r="K172" s="211">
        <v>0</v>
      </c>
      <c r="L172" s="211"/>
      <c r="M172" s="211">
        <v>36104.04</v>
      </c>
      <c r="N172" s="211">
        <v>451.55333333333328</v>
      </c>
      <c r="O172" s="211"/>
      <c r="P172" s="211"/>
      <c r="Q172" s="211">
        <v>0</v>
      </c>
      <c r="R172" s="211">
        <v>0</v>
      </c>
      <c r="S172" s="191">
        <v>0</v>
      </c>
      <c r="T172" s="191">
        <v>0</v>
      </c>
      <c r="U172" s="212">
        <f t="shared" si="44"/>
        <v>36555.593333333338</v>
      </c>
      <c r="W172" s="33">
        <f t="shared" si="38"/>
        <v>0</v>
      </c>
      <c r="X172" s="33">
        <f t="shared" si="46"/>
        <v>36555.593333333338</v>
      </c>
      <c r="Y172" s="33">
        <f t="shared" si="47"/>
        <v>0</v>
      </c>
      <c r="Z172" s="33">
        <f t="shared" si="47"/>
        <v>0</v>
      </c>
      <c r="AA172" s="33">
        <f t="shared" si="47"/>
        <v>0</v>
      </c>
      <c r="AB172" s="33">
        <f t="shared" si="47"/>
        <v>0</v>
      </c>
      <c r="AC172" s="33">
        <f t="shared" si="47"/>
        <v>0</v>
      </c>
      <c r="AD172" s="33">
        <f t="shared" si="47"/>
        <v>0</v>
      </c>
      <c r="AE172" s="33">
        <f t="shared" si="47"/>
        <v>0</v>
      </c>
      <c r="AF172" s="58">
        <f t="shared" si="35"/>
        <v>0</v>
      </c>
      <c r="AH172" s="33">
        <f t="shared" si="45"/>
        <v>0</v>
      </c>
      <c r="AI172" s="33">
        <f t="shared" si="39"/>
        <v>36555.593333333338</v>
      </c>
      <c r="AJ172" s="33"/>
      <c r="AK172" s="191"/>
      <c r="AL172" s="191"/>
      <c r="AM172" s="191">
        <v>0</v>
      </c>
    </row>
    <row r="173" spans="1:39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Mar 2026'!$A$8:$F$206,6,FALSE)</f>
        <v>Chq Bk</v>
      </c>
      <c r="H173" s="190"/>
      <c r="I173" s="190"/>
      <c r="J173" s="211">
        <v>0</v>
      </c>
      <c r="K173" s="211">
        <v>0</v>
      </c>
      <c r="L173" s="211">
        <v>0</v>
      </c>
      <c r="M173" s="211">
        <v>2537.12</v>
      </c>
      <c r="N173" s="211">
        <v>17.440000000000055</v>
      </c>
      <c r="O173" s="211">
        <v>0</v>
      </c>
      <c r="P173" s="211">
        <v>0</v>
      </c>
      <c r="Q173" s="211">
        <v>0</v>
      </c>
      <c r="R173" s="211">
        <v>0</v>
      </c>
      <c r="S173" s="191">
        <v>0</v>
      </c>
      <c r="T173" s="191">
        <v>0</v>
      </c>
      <c r="U173" s="212">
        <f t="shared" si="44"/>
        <v>2554.56</v>
      </c>
      <c r="W173" s="33">
        <f t="shared" si="38"/>
        <v>0</v>
      </c>
      <c r="X173" s="33">
        <f t="shared" si="46"/>
        <v>2554.56</v>
      </c>
      <c r="Y173" s="33">
        <f t="shared" si="47"/>
        <v>0</v>
      </c>
      <c r="Z173" s="33">
        <f t="shared" si="47"/>
        <v>0</v>
      </c>
      <c r="AA173" s="33">
        <f t="shared" si="47"/>
        <v>0</v>
      </c>
      <c r="AB173" s="33">
        <f t="shared" si="47"/>
        <v>0</v>
      </c>
      <c r="AC173" s="33">
        <f t="shared" si="47"/>
        <v>0</v>
      </c>
      <c r="AD173" s="33">
        <f t="shared" si="47"/>
        <v>0</v>
      </c>
      <c r="AE173" s="33">
        <f t="shared" si="47"/>
        <v>0</v>
      </c>
      <c r="AF173" s="58">
        <f t="shared" si="35"/>
        <v>0</v>
      </c>
      <c r="AH173" s="33">
        <f t="shared" si="45"/>
        <v>0</v>
      </c>
      <c r="AI173" s="33">
        <f t="shared" si="39"/>
        <v>2554.56</v>
      </c>
      <c r="AJ173" s="33"/>
      <c r="AK173" s="191"/>
      <c r="AL173" s="191"/>
      <c r="AM173" s="191">
        <v>0</v>
      </c>
    </row>
    <row r="174" spans="1:39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Mar 2026'!$A$8:$F$206,6,FALSE)</f>
        <v>Chq Bk</v>
      </c>
      <c r="H174" s="190"/>
      <c r="I174" s="190"/>
      <c r="J174" s="211">
        <v>0</v>
      </c>
      <c r="K174" s="211">
        <v>0</v>
      </c>
      <c r="L174" s="211">
        <v>0</v>
      </c>
      <c r="M174" s="211">
        <v>43162.37</v>
      </c>
      <c r="N174" s="211">
        <v>826.74333333333198</v>
      </c>
      <c r="O174" s="211">
        <v>45441.326666666675</v>
      </c>
      <c r="P174" s="211">
        <v>48040.166666666672</v>
      </c>
      <c r="Q174" s="211">
        <v>0</v>
      </c>
      <c r="R174" s="211">
        <v>0</v>
      </c>
      <c r="S174" s="191">
        <v>0</v>
      </c>
      <c r="T174" s="191">
        <v>0</v>
      </c>
      <c r="U174" s="212">
        <f t="shared" si="44"/>
        <v>137470.60666666669</v>
      </c>
      <c r="W174" s="33">
        <f t="shared" si="38"/>
        <v>0</v>
      </c>
      <c r="X174" s="33">
        <f t="shared" si="46"/>
        <v>137470.60666666669</v>
      </c>
      <c r="Y174" s="33">
        <f t="shared" si="47"/>
        <v>0</v>
      </c>
      <c r="Z174" s="33">
        <f t="shared" si="47"/>
        <v>0</v>
      </c>
      <c r="AA174" s="33">
        <f t="shared" si="47"/>
        <v>0</v>
      </c>
      <c r="AB174" s="33">
        <f t="shared" si="47"/>
        <v>0</v>
      </c>
      <c r="AC174" s="33">
        <f t="shared" si="47"/>
        <v>0</v>
      </c>
      <c r="AD174" s="33">
        <f t="shared" si="47"/>
        <v>0</v>
      </c>
      <c r="AE174" s="33">
        <f t="shared" si="47"/>
        <v>0</v>
      </c>
      <c r="AF174" s="58">
        <f t="shared" si="35"/>
        <v>0</v>
      </c>
      <c r="AH174" s="33">
        <f t="shared" si="45"/>
        <v>0</v>
      </c>
      <c r="AI174" s="33">
        <f t="shared" si="39"/>
        <v>137470.60666666669</v>
      </c>
      <c r="AJ174" s="33"/>
      <c r="AK174" s="191"/>
      <c r="AL174" s="191"/>
      <c r="AM174" s="191">
        <v>0</v>
      </c>
    </row>
    <row r="175" spans="1:39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Mar 2026'!$A$8:$F$206,6,FALSE)</f>
        <v>Chq Bk</v>
      </c>
      <c r="H175" s="190"/>
      <c r="I175" s="190"/>
      <c r="J175" s="211">
        <v>0</v>
      </c>
      <c r="K175" s="211">
        <v>0</v>
      </c>
      <c r="L175" s="211">
        <v>0</v>
      </c>
      <c r="M175" s="211">
        <v>19766.02</v>
      </c>
      <c r="N175" s="211">
        <v>387.64999999999918</v>
      </c>
      <c r="O175" s="211">
        <v>25935.000000000004</v>
      </c>
      <c r="P175" s="211">
        <v>15442.66666666667</v>
      </c>
      <c r="Q175" s="211">
        <v>0</v>
      </c>
      <c r="R175" s="211">
        <v>0</v>
      </c>
      <c r="S175" s="191">
        <v>0</v>
      </c>
      <c r="T175" s="191">
        <v>0</v>
      </c>
      <c r="U175" s="212">
        <f t="shared" si="44"/>
        <v>61531.33666666667</v>
      </c>
      <c r="W175" s="33">
        <f t="shared" si="38"/>
        <v>0</v>
      </c>
      <c r="X175" s="33">
        <f t="shared" si="46"/>
        <v>61531.33666666667</v>
      </c>
      <c r="Y175" s="33">
        <f t="shared" si="47"/>
        <v>0</v>
      </c>
      <c r="Z175" s="33">
        <f t="shared" si="47"/>
        <v>0</v>
      </c>
      <c r="AA175" s="33">
        <f t="shared" si="47"/>
        <v>0</v>
      </c>
      <c r="AB175" s="33">
        <f t="shared" si="47"/>
        <v>0</v>
      </c>
      <c r="AC175" s="33">
        <f t="shared" si="47"/>
        <v>0</v>
      </c>
      <c r="AD175" s="33">
        <f t="shared" si="47"/>
        <v>0</v>
      </c>
      <c r="AE175" s="33">
        <f t="shared" si="47"/>
        <v>0</v>
      </c>
      <c r="AF175" s="58">
        <f t="shared" si="35"/>
        <v>0</v>
      </c>
      <c r="AH175" s="33">
        <f t="shared" si="45"/>
        <v>0</v>
      </c>
      <c r="AI175" s="33">
        <f t="shared" si="39"/>
        <v>61531.33666666667</v>
      </c>
      <c r="AJ175" s="33"/>
      <c r="AK175" s="191"/>
      <c r="AL175" s="191"/>
      <c r="AM175" s="191">
        <v>0</v>
      </c>
    </row>
    <row r="176" spans="1:39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Mar 2026'!$A$8:$F$206,6,FALSE)</f>
        <v>Chq Bk</v>
      </c>
      <c r="H176" s="190"/>
      <c r="I176" s="190"/>
      <c r="J176" s="211">
        <v>29400</v>
      </c>
      <c r="K176" s="211">
        <v>0</v>
      </c>
      <c r="L176" s="211">
        <v>0</v>
      </c>
      <c r="M176" s="211">
        <v>0</v>
      </c>
      <c r="N176" s="211">
        <v>0</v>
      </c>
      <c r="O176" s="211">
        <v>0</v>
      </c>
      <c r="P176" s="211">
        <v>0</v>
      </c>
      <c r="Q176" s="211">
        <v>0</v>
      </c>
      <c r="R176" s="211">
        <v>0</v>
      </c>
      <c r="S176" s="191">
        <v>0</v>
      </c>
      <c r="T176" s="191">
        <v>0</v>
      </c>
      <c r="U176" s="212">
        <f t="shared" si="44"/>
        <v>29400</v>
      </c>
      <c r="W176" s="33">
        <f t="shared" si="38"/>
        <v>0</v>
      </c>
      <c r="X176" s="33">
        <f t="shared" si="46"/>
        <v>29400</v>
      </c>
      <c r="Y176" s="33">
        <f t="shared" si="47"/>
        <v>0</v>
      </c>
      <c r="Z176" s="33">
        <f t="shared" si="47"/>
        <v>0</v>
      </c>
      <c r="AA176" s="33">
        <f t="shared" si="47"/>
        <v>0</v>
      </c>
      <c r="AB176" s="33">
        <f t="shared" si="47"/>
        <v>0</v>
      </c>
      <c r="AC176" s="33">
        <f t="shared" si="47"/>
        <v>0</v>
      </c>
      <c r="AD176" s="33">
        <f t="shared" si="47"/>
        <v>0</v>
      </c>
      <c r="AE176" s="33">
        <f t="shared" si="47"/>
        <v>0</v>
      </c>
      <c r="AF176" s="58">
        <f t="shared" si="35"/>
        <v>0</v>
      </c>
      <c r="AH176" s="33">
        <f t="shared" si="45"/>
        <v>0</v>
      </c>
      <c r="AI176" s="33">
        <f t="shared" si="39"/>
        <v>42000</v>
      </c>
      <c r="AJ176" s="33"/>
      <c r="AK176" s="191"/>
      <c r="AL176" s="191"/>
      <c r="AM176" s="191">
        <v>12600</v>
      </c>
    </row>
    <row r="177" spans="1:39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Mar 2026'!$A$8:$F$206,6,FALSE)</f>
        <v>Chq Bk</v>
      </c>
      <c r="H177" s="190"/>
      <c r="I177" s="190"/>
      <c r="J177" s="211">
        <v>0</v>
      </c>
      <c r="K177" s="211">
        <v>0</v>
      </c>
      <c r="L177" s="211">
        <v>0</v>
      </c>
      <c r="M177" s="211">
        <v>35309.379999999997</v>
      </c>
      <c r="N177" s="211">
        <v>579.48666666666577</v>
      </c>
      <c r="O177" s="211">
        <v>40412</v>
      </c>
      <c r="P177" s="211">
        <v>41672.633333333339</v>
      </c>
      <c r="Q177" s="211">
        <v>0</v>
      </c>
      <c r="R177" s="211">
        <v>0</v>
      </c>
      <c r="S177" s="191">
        <v>0</v>
      </c>
      <c r="T177" s="191">
        <v>0</v>
      </c>
      <c r="U177" s="212">
        <f t="shared" si="44"/>
        <v>117973.5</v>
      </c>
      <c r="W177" s="33">
        <f t="shared" si="38"/>
        <v>0</v>
      </c>
      <c r="X177" s="33">
        <f t="shared" si="46"/>
        <v>117973.5</v>
      </c>
      <c r="Y177" s="33">
        <f t="shared" si="47"/>
        <v>0</v>
      </c>
      <c r="Z177" s="33">
        <f t="shared" si="47"/>
        <v>0</v>
      </c>
      <c r="AA177" s="33">
        <f t="shared" si="47"/>
        <v>0</v>
      </c>
      <c r="AB177" s="33">
        <f t="shared" si="47"/>
        <v>0</v>
      </c>
      <c r="AC177" s="33">
        <f t="shared" si="47"/>
        <v>0</v>
      </c>
      <c r="AD177" s="33">
        <f t="shared" si="47"/>
        <v>0</v>
      </c>
      <c r="AE177" s="33">
        <f t="shared" si="47"/>
        <v>0</v>
      </c>
      <c r="AF177" s="58">
        <f t="shared" si="35"/>
        <v>0</v>
      </c>
      <c r="AH177" s="33">
        <f t="shared" si="45"/>
        <v>0</v>
      </c>
      <c r="AI177" s="33">
        <f t="shared" si="39"/>
        <v>117973.5</v>
      </c>
      <c r="AJ177" s="33"/>
      <c r="AK177" s="191"/>
      <c r="AL177" s="191"/>
      <c r="AM177" s="191">
        <v>0</v>
      </c>
    </row>
    <row r="178" spans="1:39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Mar 2026'!$A$8:$F$206,6,FALSE)</f>
        <v>Chq Bk</v>
      </c>
      <c r="H178" s="190"/>
      <c r="I178" s="190"/>
      <c r="J178" s="211">
        <v>0</v>
      </c>
      <c r="K178" s="211">
        <v>0</v>
      </c>
      <c r="L178" s="211">
        <v>0</v>
      </c>
      <c r="M178" s="211">
        <v>43136.04</v>
      </c>
      <c r="N178" s="211">
        <v>703.55666666666502</v>
      </c>
      <c r="O178" s="211">
        <v>38429.33</v>
      </c>
      <c r="P178" s="211">
        <v>40645.333333333328</v>
      </c>
      <c r="Q178" s="211">
        <v>0</v>
      </c>
      <c r="R178" s="211">
        <v>0</v>
      </c>
      <c r="S178" s="191">
        <v>0</v>
      </c>
      <c r="T178" s="191">
        <v>0</v>
      </c>
      <c r="U178" s="212">
        <f t="shared" si="44"/>
        <v>122914.26</v>
      </c>
      <c r="W178" s="33">
        <f t="shared" si="38"/>
        <v>0</v>
      </c>
      <c r="X178" s="33">
        <f t="shared" si="46"/>
        <v>122914.26</v>
      </c>
      <c r="Y178" s="33">
        <f t="shared" ref="Y178:AE187" si="48">SUMIF($H$3:$S$3,Y$6,$H178:$S178)</f>
        <v>0</v>
      </c>
      <c r="Z178" s="33">
        <f t="shared" si="48"/>
        <v>0</v>
      </c>
      <c r="AA178" s="33">
        <f t="shared" si="48"/>
        <v>0</v>
      </c>
      <c r="AB178" s="33">
        <f t="shared" si="48"/>
        <v>0</v>
      </c>
      <c r="AC178" s="33">
        <f t="shared" si="48"/>
        <v>0</v>
      </c>
      <c r="AD178" s="33">
        <f t="shared" si="48"/>
        <v>0</v>
      </c>
      <c r="AE178" s="33">
        <f t="shared" si="48"/>
        <v>0</v>
      </c>
      <c r="AF178" s="58">
        <f t="shared" si="35"/>
        <v>0</v>
      </c>
      <c r="AH178" s="33">
        <f t="shared" si="45"/>
        <v>0</v>
      </c>
      <c r="AI178" s="33">
        <f t="shared" si="39"/>
        <v>126131.76</v>
      </c>
      <c r="AJ178" s="33"/>
      <c r="AK178" s="191"/>
      <c r="AL178" s="191"/>
      <c r="AM178" s="191">
        <v>3217.5</v>
      </c>
    </row>
    <row r="179" spans="1:39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Mar 2026'!$A$8:$F$206,6,FALSE)</f>
        <v>Chq Bk</v>
      </c>
      <c r="H179" s="190"/>
      <c r="I179" s="190"/>
      <c r="J179" s="211">
        <v>0</v>
      </c>
      <c r="K179" s="211">
        <v>0</v>
      </c>
      <c r="L179" s="211">
        <v>0</v>
      </c>
      <c r="M179" s="211">
        <v>15762.76</v>
      </c>
      <c r="N179" s="211">
        <v>242.67333333333318</v>
      </c>
      <c r="O179" s="211">
        <v>0</v>
      </c>
      <c r="P179" s="211">
        <v>0</v>
      </c>
      <c r="Q179" s="211">
        <v>0</v>
      </c>
      <c r="R179" s="211">
        <v>0</v>
      </c>
      <c r="S179" s="191">
        <v>0</v>
      </c>
      <c r="T179" s="191">
        <v>0</v>
      </c>
      <c r="U179" s="212">
        <f t="shared" si="44"/>
        <v>16005.433333333334</v>
      </c>
      <c r="W179" s="33">
        <f t="shared" si="38"/>
        <v>0</v>
      </c>
      <c r="X179" s="33">
        <f t="shared" si="46"/>
        <v>16005.433333333334</v>
      </c>
      <c r="Y179" s="33">
        <f t="shared" si="48"/>
        <v>0</v>
      </c>
      <c r="Z179" s="33">
        <f t="shared" si="48"/>
        <v>0</v>
      </c>
      <c r="AA179" s="33">
        <f t="shared" si="48"/>
        <v>0</v>
      </c>
      <c r="AB179" s="33">
        <f t="shared" si="48"/>
        <v>0</v>
      </c>
      <c r="AC179" s="33">
        <f t="shared" si="48"/>
        <v>0</v>
      </c>
      <c r="AD179" s="33">
        <f t="shared" si="48"/>
        <v>0</v>
      </c>
      <c r="AE179" s="33">
        <f t="shared" si="48"/>
        <v>0</v>
      </c>
      <c r="AF179" s="58">
        <f t="shared" si="35"/>
        <v>0</v>
      </c>
      <c r="AH179" s="33">
        <f t="shared" si="45"/>
        <v>0</v>
      </c>
      <c r="AI179" s="33">
        <f t="shared" si="39"/>
        <v>16005.433333333334</v>
      </c>
      <c r="AJ179" s="33"/>
      <c r="AK179" s="191"/>
      <c r="AL179" s="191"/>
      <c r="AM179" s="191">
        <v>0</v>
      </c>
    </row>
    <row r="180" spans="1:39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Mar 2026'!$A$8:$F$206,6,FALSE)</f>
        <v>Chq Bk</v>
      </c>
      <c r="H180" s="190"/>
      <c r="I180" s="190"/>
      <c r="J180" s="211">
        <v>0</v>
      </c>
      <c r="K180" s="211">
        <v>0</v>
      </c>
      <c r="L180" s="211">
        <v>0</v>
      </c>
      <c r="M180" s="211">
        <v>59882.6</v>
      </c>
      <c r="N180" s="211">
        <v>1171.7759999999976</v>
      </c>
      <c r="O180" s="211">
        <v>57262.67</v>
      </c>
      <c r="P180" s="211">
        <v>71314.106666666659</v>
      </c>
      <c r="Q180" s="211">
        <v>0</v>
      </c>
      <c r="R180" s="211">
        <v>0</v>
      </c>
      <c r="S180" s="191">
        <v>0</v>
      </c>
      <c r="T180" s="191">
        <v>0</v>
      </c>
      <c r="U180" s="212">
        <f t="shared" si="44"/>
        <v>189631.15266666666</v>
      </c>
      <c r="W180" s="33">
        <f t="shared" si="38"/>
        <v>0</v>
      </c>
      <c r="X180" s="33">
        <f t="shared" si="46"/>
        <v>189631.15266666666</v>
      </c>
      <c r="Y180" s="33">
        <f t="shared" si="48"/>
        <v>0</v>
      </c>
      <c r="Z180" s="33">
        <f t="shared" si="48"/>
        <v>0</v>
      </c>
      <c r="AA180" s="33">
        <f t="shared" si="48"/>
        <v>0</v>
      </c>
      <c r="AB180" s="33">
        <f t="shared" si="48"/>
        <v>0</v>
      </c>
      <c r="AC180" s="33">
        <f t="shared" si="48"/>
        <v>0</v>
      </c>
      <c r="AD180" s="33">
        <f t="shared" si="48"/>
        <v>0</v>
      </c>
      <c r="AE180" s="33">
        <f t="shared" si="48"/>
        <v>0</v>
      </c>
      <c r="AF180" s="58">
        <f t="shared" si="35"/>
        <v>0</v>
      </c>
      <c r="AH180" s="33">
        <f t="shared" si="45"/>
        <v>0</v>
      </c>
      <c r="AI180" s="33">
        <f t="shared" si="39"/>
        <v>189631.15266666666</v>
      </c>
      <c r="AJ180" s="33"/>
      <c r="AK180" s="191"/>
      <c r="AL180" s="191"/>
      <c r="AM180" s="191">
        <v>0</v>
      </c>
    </row>
    <row r="181" spans="1:39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Mar 2026'!$A$8:$F$206,6,FALSE)</f>
        <v>Chq Bk</v>
      </c>
      <c r="H181" s="190"/>
      <c r="I181" s="190"/>
      <c r="J181" s="211">
        <v>0</v>
      </c>
      <c r="K181" s="211">
        <v>0</v>
      </c>
      <c r="L181" s="211">
        <v>0</v>
      </c>
      <c r="M181" s="211">
        <v>34705.11</v>
      </c>
      <c r="N181" s="211">
        <v>612.36999999999944</v>
      </c>
      <c r="O181" s="211">
        <v>43828.673333333332</v>
      </c>
      <c r="P181" s="211">
        <v>103044.5</v>
      </c>
      <c r="Q181" s="211">
        <v>0</v>
      </c>
      <c r="R181" s="211">
        <v>0</v>
      </c>
      <c r="S181" s="191">
        <v>0</v>
      </c>
      <c r="T181" s="191">
        <v>0</v>
      </c>
      <c r="U181" s="212">
        <f t="shared" si="44"/>
        <v>182190.65333333332</v>
      </c>
      <c r="W181" s="33">
        <f t="shared" si="38"/>
        <v>0</v>
      </c>
      <c r="X181" s="33">
        <f t="shared" si="46"/>
        <v>182190.65333333332</v>
      </c>
      <c r="Y181" s="33">
        <f t="shared" si="48"/>
        <v>0</v>
      </c>
      <c r="Z181" s="33">
        <f t="shared" si="48"/>
        <v>0</v>
      </c>
      <c r="AA181" s="33">
        <f t="shared" si="48"/>
        <v>0</v>
      </c>
      <c r="AB181" s="33">
        <f t="shared" si="48"/>
        <v>0</v>
      </c>
      <c r="AC181" s="33">
        <f t="shared" si="48"/>
        <v>0</v>
      </c>
      <c r="AD181" s="33">
        <f t="shared" si="48"/>
        <v>0</v>
      </c>
      <c r="AE181" s="33">
        <f t="shared" si="48"/>
        <v>0</v>
      </c>
      <c r="AF181" s="58">
        <f t="shared" si="35"/>
        <v>0</v>
      </c>
      <c r="AH181" s="33">
        <f t="shared" si="45"/>
        <v>0</v>
      </c>
      <c r="AI181" s="33">
        <f t="shared" si="39"/>
        <v>182190.65333333332</v>
      </c>
      <c r="AJ181" s="33"/>
      <c r="AK181" s="191"/>
      <c r="AL181" s="191"/>
      <c r="AM181" s="191">
        <v>0</v>
      </c>
    </row>
    <row r="182" spans="1:39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Mar 2026'!$A$8:$F$206,6,FALSE)</f>
        <v>Chq Bk</v>
      </c>
      <c r="H182" s="190"/>
      <c r="I182" s="190"/>
      <c r="J182" s="211">
        <v>0</v>
      </c>
      <c r="K182" s="211">
        <v>0</v>
      </c>
      <c r="L182" s="211">
        <v>0</v>
      </c>
      <c r="M182" s="211">
        <v>48083.39</v>
      </c>
      <c r="N182" s="211">
        <v>862.9466666666649</v>
      </c>
      <c r="O182" s="211">
        <v>84038.25</v>
      </c>
      <c r="P182" s="211">
        <v>146559.16333333333</v>
      </c>
      <c r="Q182" s="211">
        <v>0</v>
      </c>
      <c r="R182" s="211">
        <v>0</v>
      </c>
      <c r="S182" s="191">
        <v>0</v>
      </c>
      <c r="T182" s="191">
        <v>0</v>
      </c>
      <c r="U182" s="212">
        <f t="shared" si="44"/>
        <v>279543.75</v>
      </c>
      <c r="W182" s="33">
        <f t="shared" si="38"/>
        <v>0</v>
      </c>
      <c r="X182" s="33">
        <f t="shared" si="46"/>
        <v>279543.75</v>
      </c>
      <c r="Y182" s="33">
        <f t="shared" si="48"/>
        <v>0</v>
      </c>
      <c r="Z182" s="33">
        <f t="shared" si="48"/>
        <v>0</v>
      </c>
      <c r="AA182" s="33">
        <f t="shared" si="48"/>
        <v>0</v>
      </c>
      <c r="AB182" s="33">
        <f t="shared" si="48"/>
        <v>0</v>
      </c>
      <c r="AC182" s="33">
        <f t="shared" si="48"/>
        <v>0</v>
      </c>
      <c r="AD182" s="33">
        <f t="shared" si="48"/>
        <v>0</v>
      </c>
      <c r="AE182" s="33">
        <f t="shared" si="48"/>
        <v>0</v>
      </c>
      <c r="AF182" s="58">
        <f t="shared" si="35"/>
        <v>0</v>
      </c>
      <c r="AH182" s="33">
        <f t="shared" si="45"/>
        <v>0</v>
      </c>
      <c r="AI182" s="33">
        <f t="shared" si="39"/>
        <v>279543.75</v>
      </c>
      <c r="AJ182" s="33"/>
      <c r="AK182" s="191"/>
      <c r="AL182" s="191"/>
      <c r="AM182" s="191">
        <v>0</v>
      </c>
    </row>
    <row r="183" spans="1:39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Mar 2026'!$A$8:$F$206,6,FALSE)</f>
        <v>Chq Bk</v>
      </c>
      <c r="H183" s="190"/>
      <c r="I183" s="190"/>
      <c r="J183" s="211">
        <v>0</v>
      </c>
      <c r="K183" s="211">
        <v>0</v>
      </c>
      <c r="L183" s="211">
        <v>0</v>
      </c>
      <c r="M183" s="211">
        <v>13378.4</v>
      </c>
      <c r="N183" s="211">
        <v>261.59999999999945</v>
      </c>
      <c r="O183" s="211">
        <v>13640</v>
      </c>
      <c r="P183" s="211">
        <v>13640</v>
      </c>
      <c r="Q183" s="211">
        <v>0</v>
      </c>
      <c r="R183" s="211">
        <v>0</v>
      </c>
      <c r="S183" s="191">
        <v>27106.625</v>
      </c>
      <c r="T183" s="191">
        <v>19361.875</v>
      </c>
      <c r="U183" s="212">
        <f t="shared" si="44"/>
        <v>87388.5</v>
      </c>
      <c r="W183" s="33">
        <f t="shared" si="38"/>
        <v>46468.5</v>
      </c>
      <c r="X183" s="33">
        <f t="shared" si="46"/>
        <v>40920</v>
      </c>
      <c r="Y183" s="33">
        <f t="shared" si="48"/>
        <v>0</v>
      </c>
      <c r="Z183" s="33">
        <f t="shared" si="48"/>
        <v>0</v>
      </c>
      <c r="AA183" s="33">
        <f t="shared" si="48"/>
        <v>0</v>
      </c>
      <c r="AB183" s="33">
        <f t="shared" si="48"/>
        <v>0</v>
      </c>
      <c r="AC183" s="33">
        <f t="shared" si="48"/>
        <v>0</v>
      </c>
      <c r="AD183" s="33">
        <f t="shared" si="48"/>
        <v>0</v>
      </c>
      <c r="AE183" s="33">
        <f t="shared" si="48"/>
        <v>0</v>
      </c>
      <c r="AF183" s="58">
        <f t="shared" si="35"/>
        <v>0</v>
      </c>
      <c r="AH183" s="33">
        <f t="shared" si="45"/>
        <v>46468.5</v>
      </c>
      <c r="AI183" s="33">
        <f t="shared" si="39"/>
        <v>40920</v>
      </c>
      <c r="AJ183" s="33"/>
      <c r="AK183" s="191"/>
      <c r="AL183" s="191"/>
      <c r="AM183" s="191">
        <v>0</v>
      </c>
    </row>
    <row r="184" spans="1:39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Mar 2026'!$A$8:$F$206,6,FALSE)</f>
        <v>Chq Bk</v>
      </c>
      <c r="H184" s="190"/>
      <c r="I184" s="190"/>
      <c r="J184" s="211">
        <v>0</v>
      </c>
      <c r="K184" s="211">
        <v>0</v>
      </c>
      <c r="L184" s="211">
        <v>0</v>
      </c>
      <c r="M184" s="211">
        <v>11357.71</v>
      </c>
      <c r="N184" s="211">
        <v>269.88999999999942</v>
      </c>
      <c r="O184" s="211">
        <v>16346.33</v>
      </c>
      <c r="P184" s="211">
        <v>16346.333333333334</v>
      </c>
      <c r="Q184" s="211">
        <v>0</v>
      </c>
      <c r="R184" s="211">
        <v>0</v>
      </c>
      <c r="S184" s="191">
        <v>0</v>
      </c>
      <c r="T184" s="191">
        <v>0</v>
      </c>
      <c r="U184" s="212">
        <f t="shared" si="44"/>
        <v>44320.263333333336</v>
      </c>
      <c r="W184" s="33">
        <f t="shared" si="38"/>
        <v>0</v>
      </c>
      <c r="X184" s="33">
        <f t="shared" si="46"/>
        <v>44320.263333333336</v>
      </c>
      <c r="Y184" s="33">
        <f t="shared" si="48"/>
        <v>0</v>
      </c>
      <c r="Z184" s="33">
        <f t="shared" si="48"/>
        <v>0</v>
      </c>
      <c r="AA184" s="33">
        <f t="shared" si="48"/>
        <v>0</v>
      </c>
      <c r="AB184" s="33">
        <f t="shared" si="48"/>
        <v>0</v>
      </c>
      <c r="AC184" s="33">
        <f t="shared" si="48"/>
        <v>0</v>
      </c>
      <c r="AD184" s="33">
        <f t="shared" si="48"/>
        <v>0</v>
      </c>
      <c r="AE184" s="33">
        <f t="shared" si="48"/>
        <v>0</v>
      </c>
      <c r="AF184" s="58">
        <f t="shared" si="35"/>
        <v>0</v>
      </c>
      <c r="AH184" s="33">
        <f t="shared" si="45"/>
        <v>0</v>
      </c>
      <c r="AI184" s="33">
        <f t="shared" si="39"/>
        <v>44320.263333333336</v>
      </c>
      <c r="AJ184" s="33"/>
      <c r="AK184" s="191"/>
      <c r="AL184" s="191"/>
      <c r="AM184" s="191">
        <v>0</v>
      </c>
    </row>
    <row r="185" spans="1:39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Mar 2026'!$A$8:$F$206,6,FALSE)</f>
        <v>Chq Bk</v>
      </c>
      <c r="H185" s="190"/>
      <c r="I185" s="190"/>
      <c r="J185" s="211">
        <v>0</v>
      </c>
      <c r="K185" s="211">
        <v>0</v>
      </c>
      <c r="L185" s="211">
        <v>0</v>
      </c>
      <c r="M185" s="211">
        <v>35870.800000000003</v>
      </c>
      <c r="N185" s="211">
        <v>444.79666666666617</v>
      </c>
      <c r="O185" s="211">
        <v>22804.666666666668</v>
      </c>
      <c r="P185" s="211">
        <v>15914</v>
      </c>
      <c r="Q185" s="211">
        <v>0</v>
      </c>
      <c r="R185" s="211">
        <v>0</v>
      </c>
      <c r="S185" s="191">
        <v>15638.4375</v>
      </c>
      <c r="T185" s="191">
        <v>11170.3125</v>
      </c>
      <c r="U185" s="212">
        <f t="shared" si="44"/>
        <v>101843.01333333334</v>
      </c>
      <c r="W185" s="33">
        <f t="shared" si="38"/>
        <v>26808.75</v>
      </c>
      <c r="X185" s="33">
        <f t="shared" si="46"/>
        <v>75034.263333333336</v>
      </c>
      <c r="Y185" s="33">
        <f t="shared" si="48"/>
        <v>0</v>
      </c>
      <c r="Z185" s="33">
        <f t="shared" si="48"/>
        <v>0</v>
      </c>
      <c r="AA185" s="33">
        <f t="shared" si="48"/>
        <v>0</v>
      </c>
      <c r="AB185" s="33">
        <f t="shared" si="48"/>
        <v>0</v>
      </c>
      <c r="AC185" s="33">
        <f t="shared" si="48"/>
        <v>0</v>
      </c>
      <c r="AD185" s="33">
        <f t="shared" si="48"/>
        <v>0</v>
      </c>
      <c r="AE185" s="33">
        <f t="shared" si="48"/>
        <v>0</v>
      </c>
      <c r="AF185" s="58">
        <f t="shared" si="35"/>
        <v>0</v>
      </c>
      <c r="AH185" s="33">
        <f t="shared" si="45"/>
        <v>26808.75</v>
      </c>
      <c r="AI185" s="33">
        <f t="shared" si="39"/>
        <v>75034.263333333336</v>
      </c>
      <c r="AJ185" s="33"/>
      <c r="AK185" s="191"/>
      <c r="AL185" s="191"/>
      <c r="AM185" s="191">
        <v>0</v>
      </c>
    </row>
    <row r="186" spans="1:39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Mar 2026'!$A$8:$F$206,6,FALSE)</f>
        <v>Chq Bk</v>
      </c>
      <c r="H186" s="190"/>
      <c r="I186" s="190"/>
      <c r="J186" s="211">
        <v>0</v>
      </c>
      <c r="K186" s="211">
        <v>0</v>
      </c>
      <c r="L186" s="211">
        <v>0</v>
      </c>
      <c r="M186" s="211">
        <v>20955.3</v>
      </c>
      <c r="N186" s="211">
        <v>416.95633333333262</v>
      </c>
      <c r="O186" s="211">
        <v>34560.203333333331</v>
      </c>
      <c r="P186" s="211">
        <v>47617.53333333334</v>
      </c>
      <c r="Q186" s="211">
        <v>0</v>
      </c>
      <c r="R186" s="211">
        <v>0</v>
      </c>
      <c r="S186" s="191">
        <v>0</v>
      </c>
      <c r="T186" s="191">
        <v>0</v>
      </c>
      <c r="U186" s="212">
        <f t="shared" si="44"/>
        <v>103549.993</v>
      </c>
      <c r="W186" s="33">
        <f t="shared" si="38"/>
        <v>0</v>
      </c>
      <c r="X186" s="33">
        <f t="shared" si="46"/>
        <v>103549.993</v>
      </c>
      <c r="Y186" s="33">
        <f t="shared" si="48"/>
        <v>0</v>
      </c>
      <c r="Z186" s="33">
        <f t="shared" si="48"/>
        <v>0</v>
      </c>
      <c r="AA186" s="33">
        <f t="shared" si="48"/>
        <v>0</v>
      </c>
      <c r="AB186" s="33">
        <f t="shared" si="48"/>
        <v>0</v>
      </c>
      <c r="AC186" s="33">
        <f t="shared" si="48"/>
        <v>0</v>
      </c>
      <c r="AD186" s="33">
        <f t="shared" si="48"/>
        <v>0</v>
      </c>
      <c r="AE186" s="33">
        <f t="shared" si="48"/>
        <v>0</v>
      </c>
      <c r="AF186" s="58">
        <f t="shared" si="35"/>
        <v>0</v>
      </c>
      <c r="AH186" s="33">
        <f t="shared" si="45"/>
        <v>0</v>
      </c>
      <c r="AI186" s="33">
        <f t="shared" si="39"/>
        <v>103549.993</v>
      </c>
      <c r="AJ186" s="33"/>
      <c r="AK186" s="191"/>
      <c r="AL186" s="191"/>
      <c r="AM186" s="191">
        <v>0</v>
      </c>
    </row>
    <row r="187" spans="1:39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Mar 2026'!$A$8:$F$206,6,FALSE)</f>
        <v>Chq Bk</v>
      </c>
      <c r="H187" s="190"/>
      <c r="I187" s="190"/>
      <c r="J187" s="211">
        <v>0</v>
      </c>
      <c r="K187" s="211">
        <v>0</v>
      </c>
      <c r="L187" s="211">
        <v>0</v>
      </c>
      <c r="M187" s="211">
        <v>8241.42</v>
      </c>
      <c r="N187" s="211">
        <v>157.74339999999984</v>
      </c>
      <c r="O187" s="211">
        <v>0</v>
      </c>
      <c r="P187" s="211">
        <v>0</v>
      </c>
      <c r="Q187" s="211">
        <v>0</v>
      </c>
      <c r="R187" s="211">
        <v>0</v>
      </c>
      <c r="S187" s="191">
        <v>0</v>
      </c>
      <c r="T187" s="191">
        <v>0</v>
      </c>
      <c r="U187" s="212">
        <f t="shared" si="44"/>
        <v>8399.1633999999995</v>
      </c>
      <c r="W187" s="33">
        <f t="shared" si="38"/>
        <v>0</v>
      </c>
      <c r="X187" s="33">
        <f t="shared" si="46"/>
        <v>8399.1633999999995</v>
      </c>
      <c r="Y187" s="33">
        <f t="shared" si="48"/>
        <v>0</v>
      </c>
      <c r="Z187" s="33">
        <f t="shared" si="48"/>
        <v>0</v>
      </c>
      <c r="AA187" s="33">
        <f t="shared" si="48"/>
        <v>0</v>
      </c>
      <c r="AB187" s="33">
        <f t="shared" si="48"/>
        <v>0</v>
      </c>
      <c r="AC187" s="33">
        <f t="shared" si="48"/>
        <v>0</v>
      </c>
      <c r="AD187" s="33">
        <f t="shared" si="48"/>
        <v>0</v>
      </c>
      <c r="AE187" s="33">
        <f t="shared" si="48"/>
        <v>0</v>
      </c>
      <c r="AF187" s="58">
        <f t="shared" si="35"/>
        <v>0</v>
      </c>
      <c r="AH187" s="33">
        <f t="shared" si="45"/>
        <v>0</v>
      </c>
      <c r="AI187" s="33">
        <f t="shared" si="39"/>
        <v>8399.1633999999995</v>
      </c>
      <c r="AJ187" s="33"/>
      <c r="AK187" s="191"/>
      <c r="AL187" s="191"/>
      <c r="AM187" s="191">
        <v>0</v>
      </c>
    </row>
    <row r="188" spans="1:39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Mar 2026'!$A$8:$F$206,6,FALSE)</f>
        <v>Chq Bk</v>
      </c>
      <c r="H188" s="190"/>
      <c r="I188" s="190"/>
      <c r="J188" s="211">
        <v>0</v>
      </c>
      <c r="K188" s="211">
        <v>0</v>
      </c>
      <c r="L188" s="211">
        <v>0</v>
      </c>
      <c r="M188" s="211">
        <v>15661.47</v>
      </c>
      <c r="N188" s="211">
        <v>312.53333333333262</v>
      </c>
      <c r="O188" s="211">
        <v>23560.336666666666</v>
      </c>
      <c r="P188" s="211">
        <v>19130.333333333332</v>
      </c>
      <c r="Q188" s="211">
        <v>0</v>
      </c>
      <c r="R188" s="211">
        <v>0</v>
      </c>
      <c r="S188" s="191">
        <v>0</v>
      </c>
      <c r="T188" s="191">
        <v>0</v>
      </c>
      <c r="U188" s="212">
        <f t="shared" si="44"/>
        <v>58664.673333333325</v>
      </c>
      <c r="W188" s="33">
        <f t="shared" si="38"/>
        <v>0</v>
      </c>
      <c r="X188" s="33">
        <f t="shared" ref="X188:X199" si="49">SUMIF($H$3:$T$3,X$6,$H188:$T188)</f>
        <v>58664.673333333325</v>
      </c>
      <c r="Y188" s="33">
        <f t="shared" ref="Y188:AE199" si="50">SUMIF($H$3:$S$3,Y$6,$H188:$S188)</f>
        <v>0</v>
      </c>
      <c r="Z188" s="33">
        <f t="shared" si="50"/>
        <v>0</v>
      </c>
      <c r="AA188" s="33">
        <f t="shared" si="50"/>
        <v>0</v>
      </c>
      <c r="AB188" s="33">
        <f t="shared" si="50"/>
        <v>0</v>
      </c>
      <c r="AC188" s="33">
        <f t="shared" si="50"/>
        <v>0</v>
      </c>
      <c r="AD188" s="33">
        <f t="shared" si="50"/>
        <v>0</v>
      </c>
      <c r="AE188" s="33">
        <f t="shared" si="50"/>
        <v>0</v>
      </c>
      <c r="AF188" s="58">
        <f t="shared" si="35"/>
        <v>0</v>
      </c>
      <c r="AH188" s="33">
        <f t="shared" si="45"/>
        <v>0</v>
      </c>
      <c r="AI188" s="33">
        <f t="shared" si="39"/>
        <v>58664.673333333325</v>
      </c>
      <c r="AJ188" s="33"/>
      <c r="AK188" s="191"/>
      <c r="AL188" s="191"/>
      <c r="AM188" s="191">
        <v>0</v>
      </c>
    </row>
    <row r="189" spans="1:39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Mar 2026'!$A$8:$F$206,6,FALSE)</f>
        <v>Academy</v>
      </c>
      <c r="H189" s="190"/>
      <c r="I189" s="190"/>
      <c r="J189" s="211">
        <v>0</v>
      </c>
      <c r="K189" s="211">
        <v>0</v>
      </c>
      <c r="L189" s="211"/>
      <c r="M189" s="211">
        <v>101880.76</v>
      </c>
      <c r="N189" s="211"/>
      <c r="O189" s="211"/>
      <c r="P189" s="211"/>
      <c r="Q189" s="211">
        <v>0</v>
      </c>
      <c r="R189" s="211">
        <v>0</v>
      </c>
      <c r="S189" s="191">
        <v>0</v>
      </c>
      <c r="T189" s="191">
        <v>0</v>
      </c>
      <c r="U189" s="212">
        <f t="shared" si="44"/>
        <v>101880.76</v>
      </c>
      <c r="W189" s="33">
        <f t="shared" si="38"/>
        <v>0</v>
      </c>
      <c r="X189" s="33">
        <f t="shared" si="49"/>
        <v>101880.76</v>
      </c>
      <c r="Y189" s="33">
        <f t="shared" si="50"/>
        <v>0</v>
      </c>
      <c r="Z189" s="33">
        <f t="shared" si="50"/>
        <v>0</v>
      </c>
      <c r="AA189" s="33">
        <f t="shared" si="50"/>
        <v>0</v>
      </c>
      <c r="AB189" s="33">
        <f t="shared" si="50"/>
        <v>0</v>
      </c>
      <c r="AC189" s="33">
        <f t="shared" si="50"/>
        <v>0</v>
      </c>
      <c r="AD189" s="33">
        <f t="shared" si="50"/>
        <v>0</v>
      </c>
      <c r="AE189" s="33">
        <f t="shared" si="50"/>
        <v>0</v>
      </c>
      <c r="AF189" s="58">
        <f t="shared" si="35"/>
        <v>0</v>
      </c>
      <c r="AH189" s="33">
        <f t="shared" si="45"/>
        <v>0</v>
      </c>
      <c r="AI189" s="33">
        <f t="shared" si="39"/>
        <v>101880.76</v>
      </c>
      <c r="AJ189" s="33"/>
      <c r="AK189" s="191"/>
      <c r="AL189" s="191"/>
      <c r="AM189" s="191">
        <v>0</v>
      </c>
    </row>
    <row r="190" spans="1:39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Mar 2026'!$A$8:$F$206,6,FALSE)</f>
        <v>Chq Bk</v>
      </c>
      <c r="H190" s="190"/>
      <c r="I190" s="190"/>
      <c r="J190" s="211">
        <v>0</v>
      </c>
      <c r="K190" s="211">
        <v>0</v>
      </c>
      <c r="L190" s="211">
        <v>0</v>
      </c>
      <c r="M190" s="211">
        <v>6342.8</v>
      </c>
      <c r="N190" s="211">
        <v>87.199999999999818</v>
      </c>
      <c r="O190" s="211">
        <v>6430</v>
      </c>
      <c r="P190" s="211">
        <v>6430</v>
      </c>
      <c r="Q190" s="211">
        <v>0</v>
      </c>
      <c r="R190" s="211">
        <v>0</v>
      </c>
      <c r="S190" s="191">
        <v>0</v>
      </c>
      <c r="T190" s="191">
        <v>0</v>
      </c>
      <c r="U190" s="212">
        <f t="shared" si="44"/>
        <v>19290</v>
      </c>
      <c r="W190" s="33">
        <f t="shared" si="38"/>
        <v>0</v>
      </c>
      <c r="X190" s="33">
        <f t="shared" si="49"/>
        <v>19290</v>
      </c>
      <c r="Y190" s="33">
        <f t="shared" si="50"/>
        <v>0</v>
      </c>
      <c r="Z190" s="33">
        <f t="shared" si="50"/>
        <v>0</v>
      </c>
      <c r="AA190" s="33">
        <f t="shared" si="50"/>
        <v>0</v>
      </c>
      <c r="AB190" s="33">
        <f t="shared" si="50"/>
        <v>0</v>
      </c>
      <c r="AC190" s="33">
        <f t="shared" si="50"/>
        <v>0</v>
      </c>
      <c r="AD190" s="33">
        <f t="shared" si="50"/>
        <v>0</v>
      </c>
      <c r="AE190" s="33">
        <f t="shared" si="50"/>
        <v>0</v>
      </c>
      <c r="AF190" s="58">
        <f t="shared" si="35"/>
        <v>0</v>
      </c>
      <c r="AH190" s="33">
        <f t="shared" si="45"/>
        <v>0</v>
      </c>
      <c r="AI190" s="33">
        <f t="shared" si="39"/>
        <v>19290</v>
      </c>
      <c r="AJ190" s="33"/>
      <c r="AK190" s="191"/>
      <c r="AL190" s="191"/>
      <c r="AM190" s="191">
        <v>0</v>
      </c>
    </row>
    <row r="191" spans="1:39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Mar 2026'!$A$8:$F$206,6,FALSE)</f>
        <v>Chq Bk</v>
      </c>
      <c r="H191" s="190"/>
      <c r="I191" s="190"/>
      <c r="J191" s="211">
        <v>0</v>
      </c>
      <c r="K191" s="211">
        <v>0</v>
      </c>
      <c r="L191" s="211">
        <v>0</v>
      </c>
      <c r="M191" s="211">
        <v>45195.519999999997</v>
      </c>
      <c r="N191" s="211">
        <v>843.48999999999887</v>
      </c>
      <c r="O191" s="211">
        <v>35703.333333333336</v>
      </c>
      <c r="P191" s="211">
        <v>48020.666666666672</v>
      </c>
      <c r="Q191" s="211">
        <v>0</v>
      </c>
      <c r="R191" s="211">
        <v>0</v>
      </c>
      <c r="S191" s="191">
        <v>0</v>
      </c>
      <c r="T191" s="191">
        <v>0</v>
      </c>
      <c r="U191" s="212">
        <f t="shared" si="44"/>
        <v>129763.01</v>
      </c>
      <c r="W191" s="33">
        <f t="shared" si="38"/>
        <v>0</v>
      </c>
      <c r="X191" s="33">
        <f t="shared" si="49"/>
        <v>129763.01</v>
      </c>
      <c r="Y191" s="33">
        <f t="shared" si="50"/>
        <v>0</v>
      </c>
      <c r="Z191" s="33">
        <f t="shared" si="50"/>
        <v>0</v>
      </c>
      <c r="AA191" s="33">
        <f t="shared" si="50"/>
        <v>0</v>
      </c>
      <c r="AB191" s="33">
        <f t="shared" si="50"/>
        <v>0</v>
      </c>
      <c r="AC191" s="33">
        <f t="shared" si="50"/>
        <v>0</v>
      </c>
      <c r="AD191" s="33">
        <f t="shared" si="50"/>
        <v>0</v>
      </c>
      <c r="AE191" s="33">
        <f t="shared" si="50"/>
        <v>0</v>
      </c>
      <c r="AF191" s="58">
        <f t="shared" si="35"/>
        <v>0</v>
      </c>
      <c r="AH191" s="33">
        <f t="shared" si="45"/>
        <v>0</v>
      </c>
      <c r="AI191" s="33">
        <f t="shared" si="39"/>
        <v>129763.01</v>
      </c>
      <c r="AJ191" s="33"/>
      <c r="AK191" s="191"/>
      <c r="AL191" s="191"/>
      <c r="AM191" s="191">
        <v>0</v>
      </c>
    </row>
    <row r="192" spans="1:39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Mar 2026'!$A$8:$F$206,6,FALSE)</f>
        <v>Chq Bk</v>
      </c>
      <c r="H192" s="190"/>
      <c r="I192" s="190"/>
      <c r="J192" s="211">
        <v>0</v>
      </c>
      <c r="K192" s="211">
        <v>0</v>
      </c>
      <c r="L192" s="211">
        <v>0</v>
      </c>
      <c r="M192" s="211">
        <v>30671.03</v>
      </c>
      <c r="N192" s="211">
        <v>544.83333333333212</v>
      </c>
      <c r="O192" s="211">
        <v>26303</v>
      </c>
      <c r="P192" s="211">
        <v>31937.67</v>
      </c>
      <c r="Q192" s="211">
        <v>0</v>
      </c>
      <c r="R192" s="211">
        <v>0</v>
      </c>
      <c r="S192" s="191">
        <v>0</v>
      </c>
      <c r="T192" s="191">
        <v>0</v>
      </c>
      <c r="U192" s="212">
        <f t="shared" si="44"/>
        <v>89456.533333333326</v>
      </c>
      <c r="W192" s="33">
        <f t="shared" si="38"/>
        <v>0</v>
      </c>
      <c r="X192" s="33">
        <f t="shared" si="49"/>
        <v>89456.533333333326</v>
      </c>
      <c r="Y192" s="33">
        <f t="shared" si="50"/>
        <v>0</v>
      </c>
      <c r="Z192" s="33">
        <f t="shared" si="50"/>
        <v>0</v>
      </c>
      <c r="AA192" s="33">
        <f t="shared" si="50"/>
        <v>0</v>
      </c>
      <c r="AB192" s="33">
        <f t="shared" si="50"/>
        <v>0</v>
      </c>
      <c r="AC192" s="33">
        <f t="shared" si="50"/>
        <v>0</v>
      </c>
      <c r="AD192" s="33">
        <f t="shared" si="50"/>
        <v>0</v>
      </c>
      <c r="AE192" s="33">
        <f t="shared" si="50"/>
        <v>0</v>
      </c>
      <c r="AF192" s="58">
        <f t="shared" si="35"/>
        <v>0</v>
      </c>
      <c r="AH192" s="33">
        <f t="shared" si="45"/>
        <v>0</v>
      </c>
      <c r="AI192" s="33">
        <f t="shared" si="39"/>
        <v>89456.533333333326</v>
      </c>
      <c r="AJ192" s="33"/>
      <c r="AK192" s="191"/>
      <c r="AL192" s="191"/>
      <c r="AM192" s="191">
        <v>0</v>
      </c>
    </row>
    <row r="193" spans="1:39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Mar 2026'!$A$8:$F$206,6,FALSE)</f>
        <v>Chq Bk</v>
      </c>
      <c r="H193" s="190"/>
      <c r="I193" s="190">
        <v>14250</v>
      </c>
      <c r="J193" s="211">
        <v>27600</v>
      </c>
      <c r="K193" s="211">
        <v>0</v>
      </c>
      <c r="L193" s="211">
        <v>12600</v>
      </c>
      <c r="M193" s="211">
        <v>0</v>
      </c>
      <c r="N193" s="211">
        <v>0</v>
      </c>
      <c r="O193" s="211">
        <v>0</v>
      </c>
      <c r="P193" s="211">
        <v>0</v>
      </c>
      <c r="Q193" s="211">
        <v>0</v>
      </c>
      <c r="R193" s="211">
        <v>0</v>
      </c>
      <c r="S193" s="191">
        <v>0</v>
      </c>
      <c r="T193" s="191">
        <v>0</v>
      </c>
      <c r="U193" s="212">
        <f t="shared" si="44"/>
        <v>54450</v>
      </c>
      <c r="W193" s="33">
        <f t="shared" si="38"/>
        <v>0</v>
      </c>
      <c r="X193" s="33">
        <f t="shared" si="49"/>
        <v>54450</v>
      </c>
      <c r="Y193" s="33">
        <f t="shared" si="50"/>
        <v>0</v>
      </c>
      <c r="Z193" s="33">
        <f t="shared" si="50"/>
        <v>0</v>
      </c>
      <c r="AA193" s="33">
        <f t="shared" si="50"/>
        <v>0</v>
      </c>
      <c r="AB193" s="33">
        <f t="shared" si="50"/>
        <v>0</v>
      </c>
      <c r="AC193" s="33">
        <f t="shared" si="50"/>
        <v>0</v>
      </c>
      <c r="AD193" s="33">
        <f t="shared" si="50"/>
        <v>0</v>
      </c>
      <c r="AE193" s="33">
        <f t="shared" si="50"/>
        <v>0</v>
      </c>
      <c r="AF193" s="58">
        <f t="shared" si="35"/>
        <v>0</v>
      </c>
      <c r="AH193" s="33">
        <f t="shared" si="45"/>
        <v>0</v>
      </c>
      <c r="AI193" s="33">
        <f t="shared" si="39"/>
        <v>67050</v>
      </c>
      <c r="AJ193" s="33"/>
      <c r="AK193" s="191"/>
      <c r="AL193" s="191"/>
      <c r="AM193" s="191">
        <v>12600</v>
      </c>
    </row>
    <row r="194" spans="1:39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Mar 2026'!$A$8:$F$206,6,FALSE)</f>
        <v>Chq Bk</v>
      </c>
      <c r="H194" s="190"/>
      <c r="I194" s="190"/>
      <c r="J194" s="211">
        <v>0</v>
      </c>
      <c r="K194" s="211">
        <v>0</v>
      </c>
      <c r="L194" s="211">
        <v>0</v>
      </c>
      <c r="M194" s="211">
        <v>22130.73</v>
      </c>
      <c r="N194" s="211">
        <v>372.52999999999929</v>
      </c>
      <c r="O194" s="211">
        <v>18955.666666666664</v>
      </c>
      <c r="P194" s="211">
        <v>16074.333333333332</v>
      </c>
      <c r="Q194" s="211">
        <v>0</v>
      </c>
      <c r="R194" s="211">
        <v>0</v>
      </c>
      <c r="S194" s="191">
        <v>0</v>
      </c>
      <c r="T194" s="191">
        <v>0</v>
      </c>
      <c r="U194" s="212">
        <f t="shared" si="44"/>
        <v>57533.259999999995</v>
      </c>
      <c r="W194" s="33">
        <f t="shared" si="38"/>
        <v>0</v>
      </c>
      <c r="X194" s="33">
        <f t="shared" si="49"/>
        <v>57533.259999999995</v>
      </c>
      <c r="Y194" s="33">
        <f t="shared" si="50"/>
        <v>0</v>
      </c>
      <c r="Z194" s="33">
        <f t="shared" si="50"/>
        <v>0</v>
      </c>
      <c r="AA194" s="33">
        <f t="shared" si="50"/>
        <v>0</v>
      </c>
      <c r="AB194" s="33">
        <f t="shared" si="50"/>
        <v>0</v>
      </c>
      <c r="AC194" s="33">
        <f t="shared" si="50"/>
        <v>0</v>
      </c>
      <c r="AD194" s="33">
        <f t="shared" si="50"/>
        <v>0</v>
      </c>
      <c r="AE194" s="33">
        <f t="shared" si="50"/>
        <v>0</v>
      </c>
      <c r="AF194" s="58">
        <f t="shared" si="35"/>
        <v>0</v>
      </c>
      <c r="AH194" s="33">
        <f t="shared" si="45"/>
        <v>0</v>
      </c>
      <c r="AI194" s="33">
        <f t="shared" si="39"/>
        <v>57533.259999999995</v>
      </c>
      <c r="AJ194" s="33"/>
      <c r="AK194" s="191"/>
      <c r="AL194" s="191"/>
      <c r="AM194" s="191">
        <v>0</v>
      </c>
    </row>
    <row r="195" spans="1:39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Mar 2026'!$A$8:$F$206,6,FALSE)</f>
        <v>Chq Bk</v>
      </c>
      <c r="H195" s="190"/>
      <c r="I195" s="190"/>
      <c r="J195" s="211">
        <v>0</v>
      </c>
      <c r="K195" s="211">
        <v>0</v>
      </c>
      <c r="L195" s="211">
        <v>0</v>
      </c>
      <c r="M195" s="211">
        <v>6989.64</v>
      </c>
      <c r="N195" s="211">
        <v>119.03139999999985</v>
      </c>
      <c r="O195" s="211">
        <v>0</v>
      </c>
      <c r="P195" s="211">
        <v>0</v>
      </c>
      <c r="Q195" s="211">
        <v>0</v>
      </c>
      <c r="R195" s="211">
        <v>0</v>
      </c>
      <c r="S195" s="191">
        <v>0</v>
      </c>
      <c r="T195" s="191">
        <v>0</v>
      </c>
      <c r="U195" s="212">
        <f t="shared" si="44"/>
        <v>7108.6714000000002</v>
      </c>
      <c r="W195" s="33">
        <f t="shared" si="38"/>
        <v>0</v>
      </c>
      <c r="X195" s="33">
        <f t="shared" si="49"/>
        <v>7108.6714000000002</v>
      </c>
      <c r="Y195" s="33">
        <f t="shared" si="50"/>
        <v>0</v>
      </c>
      <c r="Z195" s="33">
        <f t="shared" si="50"/>
        <v>0</v>
      </c>
      <c r="AA195" s="33">
        <f t="shared" si="50"/>
        <v>0</v>
      </c>
      <c r="AB195" s="33">
        <f t="shared" si="50"/>
        <v>0</v>
      </c>
      <c r="AC195" s="33">
        <f t="shared" si="50"/>
        <v>0</v>
      </c>
      <c r="AD195" s="33">
        <f t="shared" si="50"/>
        <v>0</v>
      </c>
      <c r="AE195" s="33">
        <f t="shared" si="50"/>
        <v>0</v>
      </c>
      <c r="AF195" s="58">
        <f t="shared" si="35"/>
        <v>0</v>
      </c>
      <c r="AH195" s="33">
        <f t="shared" si="45"/>
        <v>0</v>
      </c>
      <c r="AI195" s="33">
        <f t="shared" si="39"/>
        <v>7108.6714000000002</v>
      </c>
      <c r="AJ195" s="33"/>
      <c r="AK195" s="191"/>
      <c r="AL195" s="191"/>
      <c r="AM195" s="191">
        <v>0</v>
      </c>
    </row>
    <row r="196" spans="1:39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Mar 2026'!$A$8:$F$206,6,FALSE)</f>
        <v>Academy</v>
      </c>
      <c r="H196" s="190"/>
      <c r="I196" s="190"/>
      <c r="J196" s="211">
        <v>0</v>
      </c>
      <c r="K196" s="211">
        <v>0</v>
      </c>
      <c r="L196" s="211"/>
      <c r="M196" s="211">
        <v>46353.33</v>
      </c>
      <c r="N196" s="211">
        <v>579.99999999999909</v>
      </c>
      <c r="O196" s="211"/>
      <c r="P196" s="211"/>
      <c r="Q196" s="211">
        <v>0</v>
      </c>
      <c r="R196" s="211">
        <v>0</v>
      </c>
      <c r="S196" s="191">
        <v>0</v>
      </c>
      <c r="T196" s="191">
        <v>0</v>
      </c>
      <c r="U196" s="212">
        <f t="shared" si="44"/>
        <v>46933.33</v>
      </c>
      <c r="W196" s="33">
        <f t="shared" si="38"/>
        <v>0</v>
      </c>
      <c r="X196" s="33">
        <f t="shared" si="49"/>
        <v>46933.33</v>
      </c>
      <c r="Y196" s="33">
        <f t="shared" si="50"/>
        <v>0</v>
      </c>
      <c r="Z196" s="33">
        <f t="shared" si="50"/>
        <v>0</v>
      </c>
      <c r="AA196" s="33">
        <f t="shared" si="50"/>
        <v>0</v>
      </c>
      <c r="AB196" s="33">
        <f t="shared" si="50"/>
        <v>0</v>
      </c>
      <c r="AC196" s="33">
        <f t="shared" si="50"/>
        <v>0</v>
      </c>
      <c r="AD196" s="33">
        <f t="shared" si="50"/>
        <v>0</v>
      </c>
      <c r="AE196" s="33">
        <f t="shared" si="50"/>
        <v>0</v>
      </c>
      <c r="AF196" s="58">
        <f t="shared" si="35"/>
        <v>0</v>
      </c>
      <c r="AH196" s="33">
        <f t="shared" si="45"/>
        <v>0</v>
      </c>
      <c r="AI196" s="33">
        <f t="shared" si="39"/>
        <v>46933.33</v>
      </c>
      <c r="AJ196" s="33"/>
      <c r="AK196" s="191"/>
      <c r="AL196" s="191"/>
      <c r="AM196" s="191">
        <v>0</v>
      </c>
    </row>
    <row r="197" spans="1:39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Mar 2026'!$A$8:$F$206,6,FALSE)</f>
        <v>Academy</v>
      </c>
      <c r="H197" s="190"/>
      <c r="I197" s="190"/>
      <c r="J197" s="211">
        <v>0</v>
      </c>
      <c r="K197" s="211">
        <v>0</v>
      </c>
      <c r="L197" s="211"/>
      <c r="M197" s="211">
        <v>13696.01</v>
      </c>
      <c r="N197" s="211">
        <v>237.10666666666657</v>
      </c>
      <c r="O197" s="211"/>
      <c r="P197" s="211"/>
      <c r="Q197" s="211">
        <v>0</v>
      </c>
      <c r="R197" s="211">
        <v>0</v>
      </c>
      <c r="S197" s="191">
        <v>0</v>
      </c>
      <c r="T197" s="191">
        <v>0</v>
      </c>
      <c r="U197" s="212">
        <f t="shared" si="44"/>
        <v>13933.116666666667</v>
      </c>
      <c r="W197" s="33">
        <f t="shared" si="38"/>
        <v>0</v>
      </c>
      <c r="X197" s="33">
        <f t="shared" si="49"/>
        <v>13933.116666666667</v>
      </c>
      <c r="Y197" s="33">
        <f t="shared" si="50"/>
        <v>0</v>
      </c>
      <c r="Z197" s="33">
        <f t="shared" si="50"/>
        <v>0</v>
      </c>
      <c r="AA197" s="33">
        <f t="shared" si="50"/>
        <v>0</v>
      </c>
      <c r="AB197" s="33">
        <f t="shared" si="50"/>
        <v>0</v>
      </c>
      <c r="AC197" s="33">
        <f t="shared" si="50"/>
        <v>0</v>
      </c>
      <c r="AD197" s="33">
        <f t="shared" si="50"/>
        <v>0</v>
      </c>
      <c r="AE197" s="33">
        <f t="shared" si="50"/>
        <v>0</v>
      </c>
      <c r="AF197" s="58">
        <f t="shared" si="35"/>
        <v>0</v>
      </c>
      <c r="AH197" s="33">
        <f t="shared" si="45"/>
        <v>0</v>
      </c>
      <c r="AI197" s="33">
        <f t="shared" si="39"/>
        <v>13933.116666666667</v>
      </c>
      <c r="AJ197" s="33"/>
      <c r="AK197" s="191"/>
      <c r="AL197" s="191"/>
      <c r="AM197" s="191">
        <v>0</v>
      </c>
    </row>
    <row r="198" spans="1:39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Mar 2026'!$A$8:$F$206,6,FALSE)</f>
        <v>Academy</v>
      </c>
      <c r="H198" s="190"/>
      <c r="I198" s="190"/>
      <c r="J198" s="211">
        <v>0</v>
      </c>
      <c r="K198" s="211">
        <v>0</v>
      </c>
      <c r="L198" s="211"/>
      <c r="M198" s="211">
        <v>66197.95</v>
      </c>
      <c r="N198" s="211">
        <v>1152.4535999999989</v>
      </c>
      <c r="O198" s="211"/>
      <c r="P198" s="211"/>
      <c r="Q198" s="211">
        <v>0</v>
      </c>
      <c r="R198" s="211">
        <v>0</v>
      </c>
      <c r="S198" s="191">
        <v>0</v>
      </c>
      <c r="T198" s="191">
        <v>0</v>
      </c>
      <c r="U198" s="212">
        <f t="shared" si="44"/>
        <v>67350.403599999991</v>
      </c>
      <c r="W198" s="33">
        <f t="shared" si="38"/>
        <v>0</v>
      </c>
      <c r="X198" s="33">
        <f t="shared" si="49"/>
        <v>67350.403599999991</v>
      </c>
      <c r="Y198" s="33">
        <f t="shared" si="50"/>
        <v>0</v>
      </c>
      <c r="Z198" s="33">
        <f t="shared" si="50"/>
        <v>0</v>
      </c>
      <c r="AA198" s="33">
        <f t="shared" si="50"/>
        <v>0</v>
      </c>
      <c r="AB198" s="33">
        <f t="shared" si="50"/>
        <v>0</v>
      </c>
      <c r="AC198" s="33">
        <f t="shared" si="50"/>
        <v>0</v>
      </c>
      <c r="AD198" s="33">
        <f t="shared" si="50"/>
        <v>0</v>
      </c>
      <c r="AE198" s="33">
        <f t="shared" si="50"/>
        <v>0</v>
      </c>
      <c r="AF198" s="58">
        <f t="shared" ref="AF198:AF206" si="51">SUM(W198:AE198)-U198</f>
        <v>0</v>
      </c>
      <c r="AH198" s="33">
        <f t="shared" si="45"/>
        <v>0</v>
      </c>
      <c r="AI198" s="33">
        <f t="shared" si="39"/>
        <v>67350.403599999991</v>
      </c>
      <c r="AJ198" s="33"/>
      <c r="AK198" s="191"/>
      <c r="AL198" s="191"/>
      <c r="AM198" s="191">
        <v>0</v>
      </c>
    </row>
    <row r="199" spans="1:39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Mar 2026'!$A$8:$F$206,6,FALSE)</f>
        <v>Chq Bk</v>
      </c>
      <c r="H199" s="190"/>
      <c r="I199" s="190"/>
      <c r="J199" s="211">
        <v>0</v>
      </c>
      <c r="K199" s="211">
        <v>0</v>
      </c>
      <c r="L199" s="211">
        <v>0</v>
      </c>
      <c r="M199" s="211">
        <v>23559.69</v>
      </c>
      <c r="N199" s="211">
        <v>474.64333333333252</v>
      </c>
      <c r="O199" s="211">
        <v>27214.99666666667</v>
      </c>
      <c r="P199" s="211">
        <v>35211.333333333336</v>
      </c>
      <c r="Q199" s="211">
        <v>0</v>
      </c>
      <c r="R199" s="211">
        <v>0</v>
      </c>
      <c r="S199" s="191">
        <v>0</v>
      </c>
      <c r="T199" s="191">
        <v>0</v>
      </c>
      <c r="U199" s="212">
        <f t="shared" ref="U199:U206" si="52">SUM(H199:T199)</f>
        <v>86460.66333333333</v>
      </c>
      <c r="W199" s="33">
        <f t="shared" si="38"/>
        <v>0</v>
      </c>
      <c r="X199" s="33">
        <f t="shared" si="49"/>
        <v>86460.66333333333</v>
      </c>
      <c r="Y199" s="33">
        <f t="shared" si="50"/>
        <v>0</v>
      </c>
      <c r="Z199" s="33">
        <f t="shared" si="50"/>
        <v>0</v>
      </c>
      <c r="AA199" s="33">
        <f t="shared" si="50"/>
        <v>0</v>
      </c>
      <c r="AB199" s="33">
        <f t="shared" si="50"/>
        <v>0</v>
      </c>
      <c r="AC199" s="33">
        <f t="shared" si="50"/>
        <v>0</v>
      </c>
      <c r="AD199" s="33">
        <f t="shared" si="50"/>
        <v>0</v>
      </c>
      <c r="AE199" s="33">
        <f t="shared" si="50"/>
        <v>0</v>
      </c>
      <c r="AF199" s="58">
        <f t="shared" si="51"/>
        <v>0</v>
      </c>
      <c r="AH199" s="33">
        <f t="shared" ref="AH199:AH206" si="53">SUMIFS($H199:$T199,$H$3:$T$3,AH$6,$H$1:$T$1,$AH$5)+AK199+AL199</f>
        <v>0</v>
      </c>
      <c r="AI199" s="33">
        <f t="shared" si="39"/>
        <v>86460.66333333333</v>
      </c>
      <c r="AJ199" s="33"/>
      <c r="AK199" s="191"/>
      <c r="AL199" s="191"/>
      <c r="AM199" s="191">
        <v>0</v>
      </c>
    </row>
    <row r="200" spans="1:39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Mar 2026'!$A$8:$F$206,6,FALSE)</f>
        <v>Chq Bk</v>
      </c>
      <c r="H200" s="190"/>
      <c r="I200" s="190"/>
      <c r="J200" s="211">
        <v>0</v>
      </c>
      <c r="K200" s="211">
        <v>0</v>
      </c>
      <c r="L200" s="211">
        <v>0</v>
      </c>
      <c r="M200" s="211">
        <v>53768.3</v>
      </c>
      <c r="N200" s="211">
        <v>1050.5933333333314</v>
      </c>
      <c r="O200" s="211">
        <v>55059.67</v>
      </c>
      <c r="P200" s="211">
        <v>66279.666666666657</v>
      </c>
      <c r="Q200" s="211">
        <v>0</v>
      </c>
      <c r="R200" s="211">
        <v>0</v>
      </c>
      <c r="S200" s="191">
        <v>0</v>
      </c>
      <c r="T200" s="191">
        <v>0</v>
      </c>
      <c r="U200" s="212">
        <f t="shared" si="52"/>
        <v>176158.22999999998</v>
      </c>
      <c r="W200" s="33">
        <f t="shared" ref="W200:W206" si="54">SUMIF($H$3:$T$3,W$6,$H200:$T200)+AK200</f>
        <v>0</v>
      </c>
      <c r="X200" s="33">
        <f t="shared" ref="X200:X206" si="55">SUMIF($H$3:$T$3,X$6,$H200:$T200)</f>
        <v>176158.22999999998</v>
      </c>
      <c r="Y200" s="33">
        <f t="shared" ref="Y200:AE206" si="56">SUMIF($H$3:$S$3,Y$6,$H200:$S200)</f>
        <v>0</v>
      </c>
      <c r="Z200" s="33">
        <f t="shared" si="56"/>
        <v>0</v>
      </c>
      <c r="AA200" s="33">
        <f t="shared" si="56"/>
        <v>0</v>
      </c>
      <c r="AB200" s="33">
        <f t="shared" si="56"/>
        <v>0</v>
      </c>
      <c r="AC200" s="33">
        <f t="shared" si="56"/>
        <v>0</v>
      </c>
      <c r="AD200" s="33">
        <f t="shared" si="56"/>
        <v>0</v>
      </c>
      <c r="AE200" s="33">
        <f t="shared" si="56"/>
        <v>0</v>
      </c>
      <c r="AF200" s="58">
        <f t="shared" si="51"/>
        <v>0</v>
      </c>
      <c r="AH200" s="33">
        <f t="shared" si="53"/>
        <v>0</v>
      </c>
      <c r="AI200" s="33">
        <f t="shared" ref="AI200:AI206" si="57">SUMIFS($H200:$T200,$H$3:$T$3,AI$6,$H$1:$T$1,$AH$5)+AM200</f>
        <v>176158.22999999998</v>
      </c>
      <c r="AJ200" s="33"/>
      <c r="AK200" s="191"/>
      <c r="AL200" s="191"/>
      <c r="AM200" s="191">
        <v>0</v>
      </c>
    </row>
    <row r="201" spans="1:39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Mar 2026'!$A$8:$F$206,6,FALSE)</f>
        <v>Academy</v>
      </c>
      <c r="H201" s="190"/>
      <c r="I201" s="190"/>
      <c r="J201" s="211">
        <v>0</v>
      </c>
      <c r="K201" s="211">
        <v>0</v>
      </c>
      <c r="L201" s="211"/>
      <c r="M201" s="211">
        <v>51816.3</v>
      </c>
      <c r="N201" s="211">
        <v>523.19999999999891</v>
      </c>
      <c r="O201" s="211"/>
      <c r="P201" s="211"/>
      <c r="Q201" s="211">
        <v>0</v>
      </c>
      <c r="R201" s="211">
        <v>0</v>
      </c>
      <c r="S201" s="191">
        <v>0</v>
      </c>
      <c r="T201" s="191">
        <v>0</v>
      </c>
      <c r="U201" s="212">
        <f t="shared" si="52"/>
        <v>52339.5</v>
      </c>
      <c r="W201" s="33">
        <f t="shared" si="54"/>
        <v>0</v>
      </c>
      <c r="X201" s="33">
        <f t="shared" si="55"/>
        <v>52339.5</v>
      </c>
      <c r="Y201" s="33">
        <f t="shared" si="56"/>
        <v>0</v>
      </c>
      <c r="Z201" s="33">
        <f t="shared" si="56"/>
        <v>0</v>
      </c>
      <c r="AA201" s="33">
        <f t="shared" si="56"/>
        <v>0</v>
      </c>
      <c r="AB201" s="33">
        <f t="shared" si="56"/>
        <v>0</v>
      </c>
      <c r="AC201" s="33">
        <f t="shared" si="56"/>
        <v>0</v>
      </c>
      <c r="AD201" s="33">
        <f t="shared" si="56"/>
        <v>0</v>
      </c>
      <c r="AE201" s="33">
        <f t="shared" si="56"/>
        <v>0</v>
      </c>
      <c r="AF201" s="58">
        <f t="shared" si="51"/>
        <v>0</v>
      </c>
      <c r="AH201" s="33">
        <f t="shared" si="53"/>
        <v>0</v>
      </c>
      <c r="AI201" s="33">
        <f t="shared" si="57"/>
        <v>52339.5</v>
      </c>
      <c r="AJ201" s="33"/>
      <c r="AK201" s="191"/>
      <c r="AL201" s="191"/>
      <c r="AM201" s="191">
        <v>0</v>
      </c>
    </row>
    <row r="202" spans="1:39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Mar 2026'!$A$8:$F$206,6,FALSE)</f>
        <v>Chq Bk</v>
      </c>
      <c r="H202" s="190"/>
      <c r="I202" s="190"/>
      <c r="J202" s="211">
        <v>0</v>
      </c>
      <c r="K202" s="211">
        <v>0</v>
      </c>
      <c r="L202" s="211">
        <v>0</v>
      </c>
      <c r="M202" s="211">
        <v>11871.46</v>
      </c>
      <c r="N202" s="211">
        <v>197.77319999999963</v>
      </c>
      <c r="O202" s="211">
        <v>0</v>
      </c>
      <c r="P202" s="211">
        <v>10802.5</v>
      </c>
      <c r="Q202" s="211">
        <v>0</v>
      </c>
      <c r="R202" s="211">
        <v>0</v>
      </c>
      <c r="S202" s="191">
        <v>0</v>
      </c>
      <c r="T202" s="191">
        <v>0</v>
      </c>
      <c r="U202" s="212">
        <f t="shared" si="52"/>
        <v>22871.733199999999</v>
      </c>
      <c r="W202" s="33">
        <f t="shared" si="54"/>
        <v>0</v>
      </c>
      <c r="X202" s="33">
        <f t="shared" si="55"/>
        <v>22871.733199999999</v>
      </c>
      <c r="Y202" s="33">
        <f t="shared" si="56"/>
        <v>0</v>
      </c>
      <c r="Z202" s="33">
        <f t="shared" si="56"/>
        <v>0</v>
      </c>
      <c r="AA202" s="33">
        <f t="shared" si="56"/>
        <v>0</v>
      </c>
      <c r="AB202" s="33">
        <f t="shared" si="56"/>
        <v>0</v>
      </c>
      <c r="AC202" s="33">
        <f t="shared" si="56"/>
        <v>0</v>
      </c>
      <c r="AD202" s="33">
        <f t="shared" si="56"/>
        <v>0</v>
      </c>
      <c r="AE202" s="33">
        <f t="shared" si="56"/>
        <v>0</v>
      </c>
      <c r="AF202" s="58">
        <f t="shared" si="51"/>
        <v>0</v>
      </c>
      <c r="AH202" s="33">
        <f t="shared" si="53"/>
        <v>0</v>
      </c>
      <c r="AI202" s="33">
        <f t="shared" si="57"/>
        <v>22871.733199999999</v>
      </c>
      <c r="AJ202" s="33"/>
      <c r="AK202" s="191"/>
      <c r="AL202" s="191"/>
      <c r="AM202" s="191">
        <v>0</v>
      </c>
    </row>
    <row r="203" spans="1:39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Mar 2026'!$A$8:$F$206,6,FALSE)</f>
        <v>Academy</v>
      </c>
      <c r="H203" s="190"/>
      <c r="I203" s="190"/>
      <c r="J203" s="211">
        <v>0</v>
      </c>
      <c r="K203" s="211">
        <v>0</v>
      </c>
      <c r="L203" s="211"/>
      <c r="M203" s="211">
        <v>25975.45</v>
      </c>
      <c r="N203" s="211">
        <v>316.01666666666597</v>
      </c>
      <c r="O203" s="211"/>
      <c r="P203" s="211"/>
      <c r="Q203" s="211">
        <v>0</v>
      </c>
      <c r="R203" s="211">
        <v>0</v>
      </c>
      <c r="S203" s="191">
        <v>0</v>
      </c>
      <c r="T203" s="191">
        <v>0</v>
      </c>
      <c r="U203" s="212">
        <f t="shared" si="52"/>
        <v>26291.466666666667</v>
      </c>
      <c r="W203" s="33">
        <f t="shared" si="54"/>
        <v>0</v>
      </c>
      <c r="X203" s="33">
        <f t="shared" si="55"/>
        <v>26291.466666666667</v>
      </c>
      <c r="Y203" s="33">
        <f t="shared" si="56"/>
        <v>0</v>
      </c>
      <c r="Z203" s="33">
        <f t="shared" si="56"/>
        <v>0</v>
      </c>
      <c r="AA203" s="33">
        <f t="shared" si="56"/>
        <v>0</v>
      </c>
      <c r="AB203" s="33">
        <f t="shared" si="56"/>
        <v>0</v>
      </c>
      <c r="AC203" s="33">
        <f t="shared" si="56"/>
        <v>0</v>
      </c>
      <c r="AD203" s="33">
        <f t="shared" si="56"/>
        <v>0</v>
      </c>
      <c r="AE203" s="33">
        <f t="shared" si="56"/>
        <v>0</v>
      </c>
      <c r="AF203" s="58">
        <f t="shared" si="51"/>
        <v>0</v>
      </c>
      <c r="AH203" s="33">
        <f t="shared" si="53"/>
        <v>0</v>
      </c>
      <c r="AI203" s="33">
        <f t="shared" si="57"/>
        <v>26291.466666666667</v>
      </c>
      <c r="AJ203" s="33"/>
      <c r="AK203" s="191"/>
      <c r="AL203" s="191"/>
      <c r="AM203" s="191">
        <v>0</v>
      </c>
    </row>
    <row r="204" spans="1:39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Mar 2026'!$A$8:$F$206,6,FALSE)</f>
        <v>Academy</v>
      </c>
      <c r="H204" s="190"/>
      <c r="I204" s="190"/>
      <c r="J204" s="211">
        <v>0</v>
      </c>
      <c r="K204" s="211">
        <v>0</v>
      </c>
      <c r="L204" s="211"/>
      <c r="M204" s="211"/>
      <c r="N204" s="211"/>
      <c r="O204" s="211"/>
      <c r="P204" s="211"/>
      <c r="Q204" s="211">
        <v>0</v>
      </c>
      <c r="R204" s="211">
        <v>0</v>
      </c>
      <c r="S204" s="191">
        <v>0</v>
      </c>
      <c r="T204" s="191">
        <v>0</v>
      </c>
      <c r="U204" s="212">
        <f t="shared" si="52"/>
        <v>0</v>
      </c>
      <c r="W204" s="33">
        <f t="shared" si="54"/>
        <v>0</v>
      </c>
      <c r="X204" s="33">
        <f t="shared" si="55"/>
        <v>0</v>
      </c>
      <c r="Y204" s="33">
        <f t="shared" si="56"/>
        <v>0</v>
      </c>
      <c r="Z204" s="33">
        <f t="shared" si="56"/>
        <v>0</v>
      </c>
      <c r="AA204" s="33">
        <f t="shared" si="56"/>
        <v>0</v>
      </c>
      <c r="AB204" s="33">
        <f t="shared" si="56"/>
        <v>0</v>
      </c>
      <c r="AC204" s="33">
        <f t="shared" si="56"/>
        <v>0</v>
      </c>
      <c r="AD204" s="33">
        <f t="shared" si="56"/>
        <v>0</v>
      </c>
      <c r="AE204" s="33">
        <f t="shared" si="56"/>
        <v>0</v>
      </c>
      <c r="AF204" s="58">
        <f t="shared" si="51"/>
        <v>0</v>
      </c>
      <c r="AH204" s="33">
        <f t="shared" si="53"/>
        <v>0</v>
      </c>
      <c r="AI204" s="33">
        <f t="shared" si="57"/>
        <v>0</v>
      </c>
      <c r="AJ204" s="33"/>
      <c r="AK204" s="191"/>
      <c r="AL204" s="191"/>
      <c r="AM204" s="191">
        <v>0</v>
      </c>
    </row>
    <row r="205" spans="1:39">
      <c r="A205" s="2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Mar 2026'!$A$8:$F$206,6,FALSE)</f>
        <v>Chq Bk</v>
      </c>
      <c r="H205" s="190"/>
      <c r="I205" s="190"/>
      <c r="J205" s="211">
        <v>0</v>
      </c>
      <c r="K205" s="211">
        <v>0</v>
      </c>
      <c r="L205" s="211">
        <v>0</v>
      </c>
      <c r="M205" s="211">
        <v>69809.14</v>
      </c>
      <c r="N205" s="211">
        <v>992.81733333333227</v>
      </c>
      <c r="O205" s="211">
        <v>0</v>
      </c>
      <c r="P205" s="211">
        <v>0</v>
      </c>
      <c r="Q205" s="211">
        <v>0</v>
      </c>
      <c r="R205" s="211">
        <v>0</v>
      </c>
      <c r="S205" s="191">
        <v>0</v>
      </c>
      <c r="T205" s="191">
        <v>0</v>
      </c>
      <c r="U205" s="212">
        <f t="shared" si="52"/>
        <v>70801.957333333325</v>
      </c>
      <c r="W205" s="33">
        <f t="shared" si="54"/>
        <v>0</v>
      </c>
      <c r="X205" s="33">
        <f t="shared" si="55"/>
        <v>70801.957333333325</v>
      </c>
      <c r="Y205" s="33">
        <f t="shared" si="56"/>
        <v>0</v>
      </c>
      <c r="Z205" s="33">
        <f t="shared" si="56"/>
        <v>0</v>
      </c>
      <c r="AA205" s="33">
        <f t="shared" si="56"/>
        <v>0</v>
      </c>
      <c r="AB205" s="33">
        <f t="shared" si="56"/>
        <v>0</v>
      </c>
      <c r="AC205" s="33">
        <f t="shared" si="56"/>
        <v>0</v>
      </c>
      <c r="AD205" s="33">
        <f t="shared" si="56"/>
        <v>0</v>
      </c>
      <c r="AE205" s="33">
        <f t="shared" si="56"/>
        <v>0</v>
      </c>
      <c r="AF205" s="58">
        <f t="shared" si="51"/>
        <v>0</v>
      </c>
      <c r="AH205" s="33">
        <f t="shared" si="53"/>
        <v>0</v>
      </c>
      <c r="AI205" s="33">
        <f t="shared" si="57"/>
        <v>70801.957333333325</v>
      </c>
      <c r="AJ205" s="33"/>
      <c r="AK205" s="191"/>
      <c r="AL205" s="191"/>
      <c r="AM205" s="191">
        <v>0</v>
      </c>
    </row>
    <row r="206" spans="1:39">
      <c r="A206" s="2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Mar 2026'!$A$8:$F$206,6,FALSE)</f>
        <v>Chq Bk</v>
      </c>
      <c r="H206" s="190"/>
      <c r="I206" s="190"/>
      <c r="J206" s="211">
        <v>0</v>
      </c>
      <c r="K206" s="211">
        <v>0</v>
      </c>
      <c r="L206" s="211">
        <v>0</v>
      </c>
      <c r="M206" s="211">
        <v>77030.850000000006</v>
      </c>
      <c r="N206" s="211">
        <v>1399.2666666666646</v>
      </c>
      <c r="O206" s="211">
        <v>92098.33</v>
      </c>
      <c r="P206" s="211">
        <v>91379.333333333328</v>
      </c>
      <c r="Q206" s="211">
        <v>0</v>
      </c>
      <c r="R206" s="211">
        <v>0</v>
      </c>
      <c r="S206" s="191">
        <v>0</v>
      </c>
      <c r="T206" s="191">
        <v>0</v>
      </c>
      <c r="U206" s="212">
        <f t="shared" si="52"/>
        <v>261907.77999999997</v>
      </c>
      <c r="W206" s="33">
        <f t="shared" si="54"/>
        <v>0</v>
      </c>
      <c r="X206" s="33">
        <f t="shared" si="55"/>
        <v>261907.77999999997</v>
      </c>
      <c r="Y206" s="33">
        <f t="shared" si="56"/>
        <v>0</v>
      </c>
      <c r="Z206" s="33">
        <f t="shared" si="56"/>
        <v>0</v>
      </c>
      <c r="AA206" s="33">
        <f t="shared" si="56"/>
        <v>0</v>
      </c>
      <c r="AB206" s="33">
        <f t="shared" si="56"/>
        <v>0</v>
      </c>
      <c r="AC206" s="33">
        <f t="shared" si="56"/>
        <v>0</v>
      </c>
      <c r="AD206" s="33">
        <f t="shared" si="56"/>
        <v>0</v>
      </c>
      <c r="AE206" s="33">
        <f t="shared" si="56"/>
        <v>0</v>
      </c>
      <c r="AF206" s="58">
        <f t="shared" si="51"/>
        <v>0</v>
      </c>
      <c r="AH206" s="33">
        <f t="shared" si="53"/>
        <v>0</v>
      </c>
      <c r="AI206" s="33">
        <f t="shared" si="57"/>
        <v>261907.77999999997</v>
      </c>
      <c r="AJ206" s="33"/>
      <c r="AK206" s="191"/>
      <c r="AL206" s="191"/>
      <c r="AM206" s="191">
        <v>0</v>
      </c>
    </row>
    <row r="207" spans="1:39"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187"/>
      <c r="W207" s="33"/>
      <c r="X207" s="33"/>
      <c r="Y207" s="33"/>
      <c r="Z207" s="33"/>
      <c r="AA207" s="33"/>
      <c r="AB207" s="33"/>
      <c r="AC207" s="33"/>
      <c r="AD207" s="33"/>
      <c r="AE207" s="33"/>
      <c r="AF207" s="58"/>
    </row>
    <row r="208" spans="1:39" ht="15" thickBot="1">
      <c r="D208" s="1"/>
      <c r="H208" s="198">
        <f>SUM(H7:H206)</f>
        <v>113400</v>
      </c>
      <c r="I208" s="198">
        <f t="shared" ref="I208:J208" si="58">SUM(I7:I206)</f>
        <v>18450</v>
      </c>
      <c r="J208" s="198">
        <f t="shared" si="58"/>
        <v>807183.66666666663</v>
      </c>
      <c r="K208" s="198">
        <f t="shared" ref="K208:U208" si="59">SUM(K7:K206)</f>
        <v>61441</v>
      </c>
      <c r="L208" s="198">
        <f t="shared" si="59"/>
        <v>540101.66666666674</v>
      </c>
      <c r="M208" s="198">
        <f t="shared" si="59"/>
        <v>7052426.2099999953</v>
      </c>
      <c r="N208" s="198">
        <f t="shared" si="59"/>
        <v>112248.7031999998</v>
      </c>
      <c r="O208" s="198">
        <f t="shared" si="59"/>
        <v>6094004.4466666682</v>
      </c>
      <c r="P208" s="198">
        <f t="shared" si="59"/>
        <v>7661363.1294444464</v>
      </c>
      <c r="Q208" s="198">
        <f t="shared" si="59"/>
        <v>125107.5</v>
      </c>
      <c r="R208" s="198">
        <f t="shared" si="59"/>
        <v>139038.64333333337</v>
      </c>
      <c r="S208" s="198">
        <f t="shared" si="59"/>
        <v>108426.5</v>
      </c>
      <c r="T208" s="198">
        <f t="shared" si="59"/>
        <v>77447.5</v>
      </c>
      <c r="U208" s="198">
        <f t="shared" si="59"/>
        <v>22910638.965977773</v>
      </c>
      <c r="W208" s="435">
        <f t="shared" ref="W208:AF208" si="60">SUM(W70:W206)</f>
        <v>293183.82166666666</v>
      </c>
      <c r="X208" s="435">
        <f t="shared" si="60"/>
        <v>14890089.532155562</v>
      </c>
      <c r="Y208" s="435">
        <f t="shared" si="60"/>
        <v>0</v>
      </c>
      <c r="Z208" s="435">
        <f t="shared" si="60"/>
        <v>0</v>
      </c>
      <c r="AA208" s="435">
        <f t="shared" si="60"/>
        <v>0</v>
      </c>
      <c r="AB208" s="435">
        <f t="shared" si="60"/>
        <v>0</v>
      </c>
      <c r="AC208" s="435">
        <f t="shared" si="60"/>
        <v>0</v>
      </c>
      <c r="AD208" s="435">
        <f t="shared" si="60"/>
        <v>0</v>
      </c>
      <c r="AE208" s="435">
        <f t="shared" si="60"/>
        <v>0</v>
      </c>
      <c r="AF208" s="435">
        <f t="shared" si="60"/>
        <v>0</v>
      </c>
      <c r="AJ208" s="33"/>
      <c r="AK208" s="435">
        <f t="shared" ref="AK208:AL208" si="61">SUM(AK7:AK206)</f>
        <v>-12639.880000000001</v>
      </c>
      <c r="AL208" s="435">
        <f t="shared" si="61"/>
        <v>31599.691666666673</v>
      </c>
      <c r="AM208" s="435">
        <f>SUM(AM7:AM206)</f>
        <v>434445.83333333331</v>
      </c>
    </row>
    <row r="209" spans="32:32" ht="15" thickTop="1">
      <c r="AF209" s="33"/>
    </row>
    <row r="210" spans="32:32">
      <c r="AF210" s="33"/>
    </row>
    <row r="211" spans="32:32">
      <c r="AF211" s="33"/>
    </row>
    <row r="212" spans="32:32">
      <c r="AF212" s="33"/>
    </row>
    <row r="213" spans="32:32">
      <c r="AF213" s="33"/>
    </row>
    <row r="214" spans="32:32">
      <c r="AF214" s="33"/>
    </row>
    <row r="215" spans="32:32">
      <c r="AF215" s="33"/>
    </row>
    <row r="216" spans="32:32">
      <c r="AF216" s="33"/>
    </row>
  </sheetData>
  <sheetProtection algorithmName="SHA-512" hashValue="m2QDVi6GkYEWTFB2DTUmK9j7OUgtHpVcxrtdOkM8crVExi7dlvVYmTobirJJ+V+3/nEEbAyJzPQ9HUmy8lmCdA==" saltValue="1kKb/oDasa7XHi615Yn5og==" spinCount="100000" sheet="1" autoFilter="0"/>
  <autoFilter ref="A6:AF206" xr:uid="{9984FC59-A7D2-4F54-8D8D-8CE8D025D01A}"/>
  <conditionalFormatting sqref="M6:T6 A6:G7 F8:F206 H208:U208">
    <cfRule type="cellIs" dxfId="24" priority="4" operator="lessThan">
      <formula>0</formula>
    </cfRule>
  </conditionalFormatting>
  <conditionalFormatting sqref="U6:U207">
    <cfRule type="cellIs" dxfId="23" priority="3" operator="lessThan">
      <formula>0</formula>
    </cfRule>
  </conditionalFormatting>
  <conditionalFormatting sqref="AK6:AM6">
    <cfRule type="cellIs" dxfId="22" priority="1" operator="lessThan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AC25-0319-43A5-9108-6C8C7348D185}">
  <sheetPr codeName="Sheet2"/>
  <dimension ref="A1:FI217"/>
  <sheetViews>
    <sheetView topLeftCell="V1" zoomScale="80" zoomScaleNormal="80" workbookViewId="0">
      <selection activeCell="N4" sqref="N4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" customWidth="1"/>
    <col min="6" max="6" width="14.54296875" customWidth="1"/>
    <col min="7" max="10" width="14.7265625" customWidth="1"/>
    <col min="11" max="11" width="20" customWidth="1"/>
    <col min="12" max="17" width="14.7265625" customWidth="1"/>
    <col min="18" max="18" width="17.26953125" bestFit="1" customWidth="1"/>
    <col min="19" max="47" width="14.7265625" customWidth="1"/>
    <col min="48" max="48" width="16.26953125" bestFit="1" customWidth="1"/>
    <col min="49" max="49" width="3.26953125" bestFit="1" customWidth="1"/>
    <col min="50" max="50" width="16.26953125" bestFit="1" customWidth="1"/>
    <col min="51" max="52" width="14.7265625" customWidth="1"/>
    <col min="53" max="53" width="16.26953125" bestFit="1" customWidth="1"/>
    <col min="54" max="57" width="14.7265625" customWidth="1"/>
  </cols>
  <sheetData>
    <row r="1" spans="1:165">
      <c r="A1" s="1" t="s">
        <v>976</v>
      </c>
      <c r="B1" s="1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  <c r="AK1" s="369"/>
      <c r="AL1" s="369"/>
      <c r="AN1" s="369"/>
      <c r="AO1" s="369"/>
      <c r="AP1" s="369"/>
      <c r="AQ1" s="369"/>
      <c r="AR1" s="369"/>
      <c r="AS1" s="369"/>
      <c r="AT1" s="369"/>
      <c r="AU1" s="369"/>
    </row>
    <row r="2" spans="1:16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59</v>
      </c>
      <c r="BG2">
        <v>60</v>
      </c>
      <c r="BH2">
        <v>61</v>
      </c>
      <c r="BI2">
        <v>62</v>
      </c>
      <c r="BJ2">
        <v>63</v>
      </c>
      <c r="BK2">
        <v>64</v>
      </c>
      <c r="BL2">
        <v>65</v>
      </c>
      <c r="BM2">
        <v>66</v>
      </c>
      <c r="BN2">
        <v>67</v>
      </c>
      <c r="BO2">
        <v>68</v>
      </c>
      <c r="BP2">
        <v>69</v>
      </c>
      <c r="BQ2">
        <v>70</v>
      </c>
      <c r="BR2">
        <v>71</v>
      </c>
      <c r="BS2">
        <v>72</v>
      </c>
      <c r="BT2">
        <v>73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114</v>
      </c>
      <c r="DL2">
        <v>115</v>
      </c>
      <c r="DM2">
        <v>116</v>
      </c>
      <c r="DN2">
        <v>117</v>
      </c>
      <c r="DO2">
        <v>118</v>
      </c>
      <c r="DP2">
        <v>119</v>
      </c>
      <c r="DQ2">
        <v>120</v>
      </c>
      <c r="DR2">
        <v>121</v>
      </c>
      <c r="DS2">
        <v>122</v>
      </c>
      <c r="DT2">
        <v>123</v>
      </c>
      <c r="DU2">
        <v>124</v>
      </c>
      <c r="DV2">
        <v>125</v>
      </c>
      <c r="DW2">
        <v>126</v>
      </c>
      <c r="DX2">
        <v>127</v>
      </c>
      <c r="DY2">
        <v>128</v>
      </c>
      <c r="DZ2">
        <v>129</v>
      </c>
      <c r="EA2">
        <v>130</v>
      </c>
      <c r="EB2">
        <v>131</v>
      </c>
      <c r="EC2">
        <v>132</v>
      </c>
      <c r="ED2">
        <v>133</v>
      </c>
      <c r="EE2">
        <v>134</v>
      </c>
      <c r="EF2">
        <v>135</v>
      </c>
      <c r="EG2">
        <v>136</v>
      </c>
      <c r="EH2">
        <v>137</v>
      </c>
      <c r="EI2">
        <v>138</v>
      </c>
      <c r="EJ2">
        <v>139</v>
      </c>
      <c r="EK2">
        <v>140</v>
      </c>
      <c r="EL2">
        <v>141</v>
      </c>
      <c r="EM2">
        <v>142</v>
      </c>
      <c r="EN2">
        <v>143</v>
      </c>
      <c r="EO2">
        <v>144</v>
      </c>
      <c r="EP2">
        <v>145</v>
      </c>
      <c r="EQ2">
        <v>146</v>
      </c>
      <c r="ER2">
        <v>147</v>
      </c>
      <c r="ES2">
        <v>148</v>
      </c>
      <c r="ET2">
        <v>149</v>
      </c>
      <c r="EU2">
        <v>150</v>
      </c>
      <c r="EV2">
        <v>151</v>
      </c>
      <c r="EW2">
        <v>152</v>
      </c>
      <c r="EX2">
        <v>153</v>
      </c>
      <c r="EY2">
        <v>154</v>
      </c>
      <c r="EZ2">
        <v>155</v>
      </c>
      <c r="FA2">
        <v>156</v>
      </c>
      <c r="FB2">
        <v>157</v>
      </c>
      <c r="FC2">
        <v>158</v>
      </c>
      <c r="FD2">
        <v>159</v>
      </c>
      <c r="FE2">
        <v>160</v>
      </c>
      <c r="FF2">
        <v>161</v>
      </c>
      <c r="FG2">
        <v>162</v>
      </c>
      <c r="FH2">
        <v>163</v>
      </c>
      <c r="FI2">
        <v>164</v>
      </c>
    </row>
    <row r="3" spans="1:165">
      <c r="G3" s="66" t="s">
        <v>958</v>
      </c>
      <c r="H3" s="2" t="s">
        <v>515</v>
      </c>
      <c r="I3" s="2" t="s">
        <v>515</v>
      </c>
      <c r="J3" s="2" t="s">
        <v>24</v>
      </c>
      <c r="K3" s="2" t="s">
        <v>512</v>
      </c>
      <c r="L3" s="2" t="s">
        <v>515</v>
      </c>
      <c r="M3" s="2" t="s">
        <v>515</v>
      </c>
      <c r="N3" s="2" t="s">
        <v>25</v>
      </c>
      <c r="O3" s="2" t="s">
        <v>25</v>
      </c>
      <c r="P3" s="2" t="s">
        <v>21</v>
      </c>
      <c r="Q3" s="2" t="s">
        <v>530</v>
      </c>
      <c r="R3" s="2" t="s">
        <v>512</v>
      </c>
      <c r="S3" s="2" t="s">
        <v>25</v>
      </c>
      <c r="T3" s="2" t="s">
        <v>21</v>
      </c>
      <c r="U3" s="2" t="s">
        <v>21</v>
      </c>
      <c r="V3" s="2" t="s">
        <v>515</v>
      </c>
      <c r="W3" s="2" t="s">
        <v>24</v>
      </c>
      <c r="X3" s="2" t="s">
        <v>515</v>
      </c>
      <c r="Y3" s="2" t="s">
        <v>25</v>
      </c>
      <c r="Z3" s="2" t="s">
        <v>21</v>
      </c>
      <c r="AA3" s="2" t="s">
        <v>24</v>
      </c>
      <c r="AB3" s="2" t="s">
        <v>21</v>
      </c>
      <c r="AC3" s="2" t="s">
        <v>21</v>
      </c>
      <c r="AD3" s="2" t="s">
        <v>515</v>
      </c>
      <c r="AE3" s="2" t="s">
        <v>515</v>
      </c>
      <c r="AF3" s="2" t="s">
        <v>515</v>
      </c>
      <c r="AG3" s="2" t="s">
        <v>515</v>
      </c>
      <c r="AH3" s="2" t="s">
        <v>512</v>
      </c>
      <c r="AI3" s="2" t="s">
        <v>530</v>
      </c>
      <c r="AJ3" s="2" t="s">
        <v>25</v>
      </c>
      <c r="AK3" s="2" t="s">
        <v>515</v>
      </c>
      <c r="AL3" s="2" t="s">
        <v>512</v>
      </c>
      <c r="AM3" s="2" t="s">
        <v>530</v>
      </c>
      <c r="AN3" s="2"/>
      <c r="AO3" s="2"/>
      <c r="AP3" s="2"/>
      <c r="AQ3" s="2"/>
      <c r="AR3" s="2"/>
      <c r="AS3" s="2"/>
      <c r="AT3" s="2"/>
      <c r="AU3" s="2"/>
      <c r="AV3" s="2"/>
    </row>
    <row r="4" spans="1:165">
      <c r="G4" s="66" t="s">
        <v>959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165" ht="15" thickBot="1"/>
    <row r="6" spans="1:165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977</v>
      </c>
      <c r="I6" s="177" t="s">
        <v>528</v>
      </c>
      <c r="J6" s="179" t="s">
        <v>978</v>
      </c>
      <c r="K6" s="179" t="s">
        <v>979</v>
      </c>
      <c r="L6" s="179" t="s">
        <v>980</v>
      </c>
      <c r="M6" s="179" t="s">
        <v>981</v>
      </c>
      <c r="N6" s="179" t="s">
        <v>982</v>
      </c>
      <c r="O6" s="179" t="s">
        <v>983</v>
      </c>
      <c r="P6" s="179" t="s">
        <v>984</v>
      </c>
      <c r="Q6" s="179" t="s">
        <v>985</v>
      </c>
      <c r="R6" s="179" t="s">
        <v>1183</v>
      </c>
      <c r="S6" s="179" t="s">
        <v>1184</v>
      </c>
      <c r="T6" s="179" t="s">
        <v>1186</v>
      </c>
      <c r="U6" s="179" t="s">
        <v>1187</v>
      </c>
      <c r="V6" s="179" t="s">
        <v>1188</v>
      </c>
      <c r="W6" s="179" t="s">
        <v>1191</v>
      </c>
      <c r="X6" s="177" t="s">
        <v>1198</v>
      </c>
      <c r="Y6" s="179" t="s">
        <v>1199</v>
      </c>
      <c r="Z6" s="179" t="s">
        <v>1200</v>
      </c>
      <c r="AA6" s="179" t="s">
        <v>1202</v>
      </c>
      <c r="AB6" s="179" t="s">
        <v>1203</v>
      </c>
      <c r="AC6" s="179" t="s">
        <v>1204</v>
      </c>
      <c r="AD6" s="179" t="s">
        <v>528</v>
      </c>
      <c r="AE6" s="179" t="s">
        <v>1209</v>
      </c>
      <c r="AF6" s="179" t="s">
        <v>1220</v>
      </c>
      <c r="AG6" s="179" t="s">
        <v>1227</v>
      </c>
      <c r="AH6" s="179" t="s">
        <v>1228</v>
      </c>
      <c r="AI6" s="179" t="s">
        <v>1233</v>
      </c>
      <c r="AJ6" s="179" t="s">
        <v>1241</v>
      </c>
      <c r="AK6" s="179" t="s">
        <v>1245</v>
      </c>
      <c r="AL6" s="179" t="s">
        <v>1246</v>
      </c>
      <c r="AM6" s="179" t="s">
        <v>1247</v>
      </c>
      <c r="AN6" s="197"/>
      <c r="AO6" s="197"/>
      <c r="AP6" s="197"/>
      <c r="AQ6" s="197"/>
      <c r="AR6" s="197"/>
      <c r="AS6" s="197"/>
      <c r="AT6" s="197"/>
      <c r="AU6" s="197"/>
      <c r="AV6" s="180" t="s">
        <v>452</v>
      </c>
      <c r="AX6" s="181" t="s">
        <v>21</v>
      </c>
      <c r="AY6" s="182" t="s">
        <v>25</v>
      </c>
      <c r="AZ6" s="182" t="s">
        <v>24</v>
      </c>
      <c r="BA6" s="182" t="s">
        <v>512</v>
      </c>
      <c r="BB6" s="182" t="s">
        <v>515</v>
      </c>
      <c r="BC6" s="182" t="s">
        <v>634</v>
      </c>
      <c r="BD6" s="183" t="s">
        <v>530</v>
      </c>
      <c r="BE6" s="184" t="s">
        <v>975</v>
      </c>
    </row>
    <row r="7" spans="1:165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Mar 2026'!$A$8:$F$206,6,FALSE)</f>
        <v>Chq Bk</v>
      </c>
      <c r="G7" s="209"/>
      <c r="H7" s="191">
        <v>0</v>
      </c>
      <c r="I7" s="191">
        <v>0</v>
      </c>
      <c r="J7" s="191">
        <v>0</v>
      </c>
      <c r="K7" s="191">
        <v>0</v>
      </c>
      <c r="L7" s="191">
        <v>0</v>
      </c>
      <c r="M7" s="191">
        <v>0</v>
      </c>
      <c r="N7" s="191">
        <v>0</v>
      </c>
      <c r="O7" s="191">
        <v>0</v>
      </c>
      <c r="P7" s="211">
        <v>2835</v>
      </c>
      <c r="Q7" s="211">
        <v>4897.75</v>
      </c>
      <c r="R7" s="211">
        <v>0</v>
      </c>
      <c r="S7" s="211">
        <v>0</v>
      </c>
      <c r="T7" s="211">
        <v>0</v>
      </c>
      <c r="U7" s="211">
        <v>14050.8</v>
      </c>
      <c r="V7" s="211">
        <v>0</v>
      </c>
      <c r="W7" s="211">
        <v>0</v>
      </c>
      <c r="X7" s="191">
        <v>0</v>
      </c>
      <c r="Y7" s="191">
        <v>0</v>
      </c>
      <c r="Z7" s="191">
        <v>0</v>
      </c>
      <c r="AA7" s="191">
        <v>0</v>
      </c>
      <c r="AB7" s="191">
        <v>0</v>
      </c>
      <c r="AC7" s="191">
        <v>0</v>
      </c>
      <c r="AD7" s="191">
        <v>0</v>
      </c>
      <c r="AE7" s="191">
        <v>0</v>
      </c>
      <c r="AF7" s="211">
        <v>0</v>
      </c>
      <c r="AG7" s="211">
        <v>0</v>
      </c>
      <c r="AH7" s="211">
        <v>0</v>
      </c>
      <c r="AI7" s="370"/>
      <c r="AJ7" s="211">
        <v>0</v>
      </c>
      <c r="AK7" s="211">
        <v>0</v>
      </c>
      <c r="AL7" s="191">
        <v>0</v>
      </c>
      <c r="AM7" s="191">
        <v>0</v>
      </c>
      <c r="AN7" s="191"/>
      <c r="AO7" s="191"/>
      <c r="AP7" s="191"/>
      <c r="AQ7" s="374"/>
      <c r="AR7" s="374"/>
      <c r="AS7" s="383"/>
      <c r="AT7" s="383"/>
      <c r="AU7" s="383"/>
      <c r="AV7" s="212">
        <f>SUM(H7:AU7)</f>
        <v>21783.55</v>
      </c>
      <c r="AX7" s="33">
        <f>SUMIF($H$3:$AU$3,AX$6,$H7:$AU7)</f>
        <v>16885.8</v>
      </c>
      <c r="AY7" s="33">
        <f t="shared" ref="AY7:BD22" si="0">SUMIF($H$3:$AU$3,AY$6,$H7:$AU7)</f>
        <v>0</v>
      </c>
      <c r="AZ7" s="33">
        <f t="shared" si="0"/>
        <v>0</v>
      </c>
      <c r="BA7" s="33">
        <f t="shared" si="0"/>
        <v>0</v>
      </c>
      <c r="BB7" s="33">
        <f t="shared" si="0"/>
        <v>0</v>
      </c>
      <c r="BC7" s="33">
        <f t="shared" si="0"/>
        <v>0</v>
      </c>
      <c r="BD7" s="33">
        <f t="shared" si="0"/>
        <v>4897.75</v>
      </c>
      <c r="BE7" s="58">
        <f t="shared" ref="BE7:BE38" si="1">SUM(AX7:BD7)-AV7</f>
        <v>0</v>
      </c>
    </row>
    <row r="8" spans="1:165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Mar 2026'!$A$8:$F$206,6,FALSE)</f>
        <v>Chq Bk</v>
      </c>
      <c r="H8" s="191">
        <v>8221</v>
      </c>
      <c r="I8" s="191">
        <v>0</v>
      </c>
      <c r="J8" s="191">
        <v>0</v>
      </c>
      <c r="K8" s="191">
        <v>92793</v>
      </c>
      <c r="L8" s="191">
        <v>7399</v>
      </c>
      <c r="M8" s="191">
        <v>17936</v>
      </c>
      <c r="N8" s="191">
        <v>0</v>
      </c>
      <c r="O8" s="191">
        <v>0</v>
      </c>
      <c r="P8" s="211">
        <v>0</v>
      </c>
      <c r="Q8" s="211">
        <v>8736.25</v>
      </c>
      <c r="R8" s="211">
        <v>92793</v>
      </c>
      <c r="S8" s="211">
        <v>0</v>
      </c>
      <c r="T8" s="211">
        <v>53642</v>
      </c>
      <c r="U8" s="211">
        <v>0</v>
      </c>
      <c r="V8" s="211">
        <v>0</v>
      </c>
      <c r="W8" s="211">
        <v>0</v>
      </c>
      <c r="X8" s="191">
        <v>9825</v>
      </c>
      <c r="Y8" s="191">
        <v>0</v>
      </c>
      <c r="Z8" s="191">
        <v>25567</v>
      </c>
      <c r="AA8" s="191">
        <v>0</v>
      </c>
      <c r="AB8" s="191">
        <v>0</v>
      </c>
      <c r="AC8" s="191">
        <v>0</v>
      </c>
      <c r="AD8" s="191">
        <v>0</v>
      </c>
      <c r="AE8" s="191">
        <v>1713.86</v>
      </c>
      <c r="AF8" s="211">
        <v>14400</v>
      </c>
      <c r="AG8" s="211">
        <v>0</v>
      </c>
      <c r="AH8" s="211">
        <v>92793</v>
      </c>
      <c r="AI8" s="370"/>
      <c r="AJ8" s="211">
        <v>0</v>
      </c>
      <c r="AK8" s="211">
        <v>0</v>
      </c>
      <c r="AL8" s="191">
        <v>92796</v>
      </c>
      <c r="AM8" s="191">
        <v>0</v>
      </c>
      <c r="AN8" s="191"/>
      <c r="AO8" s="191"/>
      <c r="AP8" s="191"/>
      <c r="AQ8" s="374"/>
      <c r="AR8" s="374"/>
      <c r="AS8" s="383"/>
      <c r="AT8" s="383"/>
      <c r="AU8" s="383"/>
      <c r="AV8" s="212">
        <f t="shared" ref="AV8:AV69" si="2">SUM(H8:AU8)</f>
        <v>518615.11</v>
      </c>
      <c r="AX8" s="33">
        <f t="shared" ref="AX8:BD39" si="3">SUMIF($H$3:$AU$3,AX$6,$H8:$AU8)</f>
        <v>79209</v>
      </c>
      <c r="AY8" s="33">
        <f t="shared" si="0"/>
        <v>0</v>
      </c>
      <c r="AZ8" s="33">
        <f t="shared" si="0"/>
        <v>0</v>
      </c>
      <c r="BA8" s="33">
        <f t="shared" si="0"/>
        <v>371175</v>
      </c>
      <c r="BB8" s="33">
        <f t="shared" si="0"/>
        <v>59494.86</v>
      </c>
      <c r="BC8" s="33">
        <f t="shared" si="0"/>
        <v>0</v>
      </c>
      <c r="BD8" s="33">
        <f t="shared" si="0"/>
        <v>8736.25</v>
      </c>
      <c r="BE8" s="58">
        <f t="shared" si="1"/>
        <v>0</v>
      </c>
    </row>
    <row r="9" spans="1:165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Mar 2026'!$A$8:$F$206,6,FALSE)</f>
        <v>Chq Bk</v>
      </c>
      <c r="H9" s="191">
        <v>8908</v>
      </c>
      <c r="I9" s="191">
        <v>0</v>
      </c>
      <c r="J9" s="191">
        <v>0</v>
      </c>
      <c r="K9" s="191">
        <v>111631</v>
      </c>
      <c r="L9" s="191">
        <v>29670</v>
      </c>
      <c r="M9" s="191">
        <v>49033</v>
      </c>
      <c r="N9" s="191">
        <v>0</v>
      </c>
      <c r="O9" s="191">
        <v>0</v>
      </c>
      <c r="P9" s="211">
        <v>0</v>
      </c>
      <c r="Q9" s="211">
        <v>11065</v>
      </c>
      <c r="R9" s="211">
        <v>111631</v>
      </c>
      <c r="S9" s="211">
        <v>0</v>
      </c>
      <c r="T9" s="211">
        <v>73848</v>
      </c>
      <c r="U9" s="211">
        <v>0</v>
      </c>
      <c r="V9" s="211">
        <v>0</v>
      </c>
      <c r="W9" s="211">
        <v>0</v>
      </c>
      <c r="X9" s="191">
        <v>10700</v>
      </c>
      <c r="Y9" s="191">
        <v>0</v>
      </c>
      <c r="Z9" s="191">
        <v>35124</v>
      </c>
      <c r="AA9" s="191">
        <v>0</v>
      </c>
      <c r="AB9" s="191">
        <v>0</v>
      </c>
      <c r="AC9" s="191">
        <v>0</v>
      </c>
      <c r="AD9" s="191">
        <v>0</v>
      </c>
      <c r="AE9" s="191">
        <v>285.64</v>
      </c>
      <c r="AF9" s="211">
        <v>7200</v>
      </c>
      <c r="AG9" s="211">
        <v>0</v>
      </c>
      <c r="AH9" s="211">
        <v>111631</v>
      </c>
      <c r="AI9" s="370"/>
      <c r="AJ9" s="211">
        <v>0</v>
      </c>
      <c r="AK9" s="211">
        <v>0</v>
      </c>
      <c r="AL9" s="191">
        <v>111632</v>
      </c>
      <c r="AM9" s="191">
        <v>0</v>
      </c>
      <c r="AN9" s="191"/>
      <c r="AO9" s="191"/>
      <c r="AP9" s="191"/>
      <c r="AQ9" s="374"/>
      <c r="AR9" s="374"/>
      <c r="AS9" s="383"/>
      <c r="AT9" s="383"/>
      <c r="AU9" s="383"/>
      <c r="AV9" s="212">
        <f t="shared" si="2"/>
        <v>672358.64</v>
      </c>
      <c r="AX9" s="33">
        <f t="shared" si="3"/>
        <v>108972</v>
      </c>
      <c r="AY9" s="33">
        <f t="shared" si="0"/>
        <v>0</v>
      </c>
      <c r="AZ9" s="33">
        <f t="shared" si="0"/>
        <v>0</v>
      </c>
      <c r="BA9" s="33">
        <f t="shared" si="0"/>
        <v>446525</v>
      </c>
      <c r="BB9" s="33">
        <f t="shared" si="0"/>
        <v>105796.64</v>
      </c>
      <c r="BC9" s="33">
        <f t="shared" si="0"/>
        <v>0</v>
      </c>
      <c r="BD9" s="33">
        <f t="shared" si="0"/>
        <v>11065</v>
      </c>
      <c r="BE9" s="58">
        <f t="shared" si="1"/>
        <v>0</v>
      </c>
    </row>
    <row r="10" spans="1:165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Mar 2026'!$A$8:$F$206,6,FALSE)</f>
        <v>Chq Bk</v>
      </c>
      <c r="H10" s="191">
        <v>0</v>
      </c>
      <c r="I10" s="191">
        <v>0</v>
      </c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0</v>
      </c>
      <c r="P10" s="211">
        <v>4095</v>
      </c>
      <c r="Q10" s="211"/>
      <c r="R10" s="211">
        <v>0</v>
      </c>
      <c r="S10" s="211">
        <v>0</v>
      </c>
      <c r="T10" s="211">
        <v>0</v>
      </c>
      <c r="U10" s="211">
        <v>20210</v>
      </c>
      <c r="V10" s="211">
        <v>0</v>
      </c>
      <c r="W10" s="211">
        <v>0</v>
      </c>
      <c r="X10" s="191">
        <v>0</v>
      </c>
      <c r="Y10" s="191">
        <v>0</v>
      </c>
      <c r="Z10" s="191">
        <v>0</v>
      </c>
      <c r="AA10" s="191">
        <v>0</v>
      </c>
      <c r="AB10" s="191">
        <v>0</v>
      </c>
      <c r="AC10" s="191">
        <v>0</v>
      </c>
      <c r="AD10" s="191">
        <v>0</v>
      </c>
      <c r="AE10" s="191">
        <v>0</v>
      </c>
      <c r="AF10" s="211">
        <v>0</v>
      </c>
      <c r="AG10" s="211">
        <v>0</v>
      </c>
      <c r="AH10" s="211">
        <v>0</v>
      </c>
      <c r="AI10" s="370"/>
      <c r="AJ10" s="211">
        <v>0</v>
      </c>
      <c r="AK10" s="211">
        <v>0</v>
      </c>
      <c r="AL10" s="191">
        <v>0</v>
      </c>
      <c r="AM10" s="191">
        <v>5174.5</v>
      </c>
      <c r="AN10" s="191"/>
      <c r="AO10" s="191"/>
      <c r="AP10" s="191"/>
      <c r="AQ10" s="374"/>
      <c r="AR10" s="374"/>
      <c r="AS10" s="383"/>
      <c r="AT10" s="383"/>
      <c r="AU10" s="383"/>
      <c r="AV10" s="212">
        <f t="shared" si="2"/>
        <v>29479.5</v>
      </c>
      <c r="AX10" s="33">
        <f t="shared" si="3"/>
        <v>24305</v>
      </c>
      <c r="AY10" s="33">
        <f t="shared" si="0"/>
        <v>0</v>
      </c>
      <c r="AZ10" s="33">
        <f t="shared" si="0"/>
        <v>0</v>
      </c>
      <c r="BA10" s="33">
        <f t="shared" si="0"/>
        <v>0</v>
      </c>
      <c r="BB10" s="33">
        <f t="shared" si="0"/>
        <v>0</v>
      </c>
      <c r="BC10" s="33">
        <f t="shared" si="0"/>
        <v>0</v>
      </c>
      <c r="BD10" s="33">
        <f t="shared" si="0"/>
        <v>5174.5</v>
      </c>
      <c r="BE10" s="58">
        <f t="shared" si="1"/>
        <v>0</v>
      </c>
    </row>
    <row r="11" spans="1:165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Mar 2026'!$A$8:$F$206,6,FALSE)</f>
        <v>Chq Bk</v>
      </c>
      <c r="H11" s="191">
        <v>8142</v>
      </c>
      <c r="I11" s="191">
        <v>0</v>
      </c>
      <c r="J11" s="191">
        <v>0</v>
      </c>
      <c r="K11" s="191">
        <v>94466</v>
      </c>
      <c r="L11" s="191">
        <v>11708</v>
      </c>
      <c r="M11" s="191">
        <v>18659</v>
      </c>
      <c r="N11" s="191">
        <v>0</v>
      </c>
      <c r="O11" s="191">
        <v>0</v>
      </c>
      <c r="P11" s="211">
        <v>0</v>
      </c>
      <c r="Q11" s="211"/>
      <c r="R11" s="211">
        <v>94466</v>
      </c>
      <c r="S11" s="211">
        <v>0</v>
      </c>
      <c r="T11" s="211">
        <v>56000</v>
      </c>
      <c r="U11" s="211">
        <v>0</v>
      </c>
      <c r="V11" s="211">
        <v>0</v>
      </c>
      <c r="W11" s="211">
        <v>0</v>
      </c>
      <c r="X11" s="191">
        <v>9780</v>
      </c>
      <c r="Y11" s="191">
        <v>0</v>
      </c>
      <c r="Z11" s="191">
        <v>25684</v>
      </c>
      <c r="AA11" s="191">
        <v>0</v>
      </c>
      <c r="AB11" s="191">
        <v>0</v>
      </c>
      <c r="AC11" s="191">
        <v>0</v>
      </c>
      <c r="AD11" s="191">
        <v>0</v>
      </c>
      <c r="AE11" s="191">
        <v>0</v>
      </c>
      <c r="AF11" s="211">
        <v>0</v>
      </c>
      <c r="AG11" s="211">
        <v>0</v>
      </c>
      <c r="AH11" s="211">
        <v>91058</v>
      </c>
      <c r="AI11" s="370"/>
      <c r="AJ11" s="211">
        <v>0</v>
      </c>
      <c r="AK11" s="211">
        <v>0</v>
      </c>
      <c r="AL11" s="191">
        <v>93330</v>
      </c>
      <c r="AM11" s="191">
        <v>8668.75</v>
      </c>
      <c r="AN11" s="191"/>
      <c r="AO11" s="191"/>
      <c r="AP11" s="191"/>
      <c r="AQ11" s="374"/>
      <c r="AR11" s="374"/>
      <c r="AS11" s="383"/>
      <c r="AT11" s="383"/>
      <c r="AU11" s="383"/>
      <c r="AV11" s="212">
        <f t="shared" si="2"/>
        <v>511961.75</v>
      </c>
      <c r="AX11" s="33">
        <f t="shared" si="3"/>
        <v>81684</v>
      </c>
      <c r="AY11" s="33">
        <f t="shared" si="0"/>
        <v>0</v>
      </c>
      <c r="AZ11" s="33">
        <f t="shared" si="0"/>
        <v>0</v>
      </c>
      <c r="BA11" s="33">
        <f t="shared" si="0"/>
        <v>373320</v>
      </c>
      <c r="BB11" s="33">
        <f t="shared" si="0"/>
        <v>48289</v>
      </c>
      <c r="BC11" s="33">
        <f t="shared" si="0"/>
        <v>0</v>
      </c>
      <c r="BD11" s="33">
        <f t="shared" si="0"/>
        <v>8668.75</v>
      </c>
      <c r="BE11" s="58">
        <f t="shared" si="1"/>
        <v>0</v>
      </c>
    </row>
    <row r="12" spans="1:165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Mar 2026'!$A$8:$F$206,6,FALSE)</f>
        <v>Chq Bk</v>
      </c>
      <c r="H12" s="191">
        <v>8108</v>
      </c>
      <c r="I12" s="191">
        <v>0</v>
      </c>
      <c r="J12" s="191">
        <v>0</v>
      </c>
      <c r="K12" s="191">
        <v>79995</v>
      </c>
      <c r="L12" s="191">
        <v>17901</v>
      </c>
      <c r="M12" s="191">
        <v>25457</v>
      </c>
      <c r="N12" s="191">
        <v>0</v>
      </c>
      <c r="O12" s="191">
        <v>0</v>
      </c>
      <c r="P12" s="211">
        <v>0</v>
      </c>
      <c r="Q12" s="211">
        <v>8835.25</v>
      </c>
      <c r="R12" s="211">
        <v>79995</v>
      </c>
      <c r="S12" s="211">
        <v>0</v>
      </c>
      <c r="T12" s="211">
        <v>48898</v>
      </c>
      <c r="U12" s="211">
        <v>4512</v>
      </c>
      <c r="V12" s="211">
        <v>0</v>
      </c>
      <c r="W12" s="211">
        <v>0</v>
      </c>
      <c r="X12" s="191">
        <v>9750</v>
      </c>
      <c r="Y12" s="191">
        <v>0</v>
      </c>
      <c r="Z12" s="191">
        <v>23337</v>
      </c>
      <c r="AA12" s="191">
        <v>0</v>
      </c>
      <c r="AB12" s="191">
        <v>0</v>
      </c>
      <c r="AC12" s="191">
        <v>0</v>
      </c>
      <c r="AD12" s="191">
        <v>0</v>
      </c>
      <c r="AE12" s="191">
        <v>1713.86</v>
      </c>
      <c r="AF12" s="211">
        <v>2400</v>
      </c>
      <c r="AG12" s="211">
        <v>0</v>
      </c>
      <c r="AH12" s="211">
        <v>79995</v>
      </c>
      <c r="AI12" s="370"/>
      <c r="AJ12" s="211">
        <v>0</v>
      </c>
      <c r="AK12" s="211">
        <v>0</v>
      </c>
      <c r="AL12" s="191">
        <v>79995</v>
      </c>
      <c r="AM12" s="191">
        <v>0</v>
      </c>
      <c r="AN12" s="191"/>
      <c r="AO12" s="191"/>
      <c r="AP12" s="191"/>
      <c r="AQ12" s="374"/>
      <c r="AR12" s="374"/>
      <c r="AS12" s="383"/>
      <c r="AT12" s="383"/>
      <c r="AU12" s="383"/>
      <c r="AV12" s="212">
        <f t="shared" si="2"/>
        <v>470892.11</v>
      </c>
      <c r="AX12" s="33">
        <f t="shared" si="3"/>
        <v>76747</v>
      </c>
      <c r="AY12" s="33">
        <f t="shared" si="0"/>
        <v>0</v>
      </c>
      <c r="AZ12" s="33">
        <f t="shared" si="0"/>
        <v>0</v>
      </c>
      <c r="BA12" s="33">
        <f t="shared" si="0"/>
        <v>319980</v>
      </c>
      <c r="BB12" s="33">
        <f t="shared" si="0"/>
        <v>65329.86</v>
      </c>
      <c r="BC12" s="33">
        <f t="shared" si="0"/>
        <v>0</v>
      </c>
      <c r="BD12" s="33">
        <f t="shared" si="0"/>
        <v>8835.25</v>
      </c>
      <c r="BE12" s="58">
        <f t="shared" si="1"/>
        <v>0</v>
      </c>
    </row>
    <row r="13" spans="1:165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Mar 2026'!$A$8:$F$206,6,FALSE)</f>
        <v>Chq Bk</v>
      </c>
      <c r="H13" s="191">
        <v>9058</v>
      </c>
      <c r="I13" s="191">
        <v>1602.93</v>
      </c>
      <c r="J13" s="191">
        <v>0</v>
      </c>
      <c r="K13" s="191">
        <v>136350</v>
      </c>
      <c r="L13" s="191">
        <v>30770</v>
      </c>
      <c r="M13" s="191">
        <v>41656</v>
      </c>
      <c r="N13" s="191">
        <v>0</v>
      </c>
      <c r="O13" s="191">
        <v>0</v>
      </c>
      <c r="P13" s="211">
        <v>0</v>
      </c>
      <c r="Q13" s="211">
        <v>11998.75</v>
      </c>
      <c r="R13" s="211">
        <v>136350</v>
      </c>
      <c r="S13" s="211">
        <v>0</v>
      </c>
      <c r="T13" s="211">
        <v>79693</v>
      </c>
      <c r="U13" s="211">
        <v>8554</v>
      </c>
      <c r="V13" s="211">
        <v>0</v>
      </c>
      <c r="W13" s="211">
        <v>0</v>
      </c>
      <c r="X13" s="191">
        <v>10695</v>
      </c>
      <c r="Y13" s="191">
        <v>0</v>
      </c>
      <c r="Z13" s="191">
        <v>39018</v>
      </c>
      <c r="AA13" s="191">
        <v>0</v>
      </c>
      <c r="AB13" s="191">
        <v>0</v>
      </c>
      <c r="AC13" s="191">
        <v>0</v>
      </c>
      <c r="AD13" s="191">
        <v>0</v>
      </c>
      <c r="AE13" s="191">
        <v>571.29</v>
      </c>
      <c r="AF13" s="211">
        <v>4800</v>
      </c>
      <c r="AG13" s="211">
        <v>876</v>
      </c>
      <c r="AH13" s="211">
        <v>136350</v>
      </c>
      <c r="AI13" s="370"/>
      <c r="AJ13" s="211">
        <v>0</v>
      </c>
      <c r="AK13" s="211">
        <v>0</v>
      </c>
      <c r="AL13" s="191">
        <v>136350</v>
      </c>
      <c r="AM13" s="191">
        <v>0</v>
      </c>
      <c r="AN13" s="191"/>
      <c r="AO13" s="191"/>
      <c r="AP13" s="191"/>
      <c r="AQ13" s="374"/>
      <c r="AR13" s="374"/>
      <c r="AS13" s="383"/>
      <c r="AT13" s="383"/>
      <c r="AU13" s="383"/>
      <c r="AV13" s="212">
        <f t="shared" si="2"/>
        <v>784692.97</v>
      </c>
      <c r="AX13" s="33">
        <f t="shared" si="3"/>
        <v>127265</v>
      </c>
      <c r="AY13" s="33">
        <f t="shared" si="0"/>
        <v>0</v>
      </c>
      <c r="AZ13" s="33">
        <f t="shared" si="0"/>
        <v>0</v>
      </c>
      <c r="BA13" s="33">
        <f t="shared" si="0"/>
        <v>545400</v>
      </c>
      <c r="BB13" s="33">
        <f t="shared" si="0"/>
        <v>100029.21999999999</v>
      </c>
      <c r="BC13" s="33">
        <f t="shared" si="0"/>
        <v>0</v>
      </c>
      <c r="BD13" s="33">
        <f t="shared" si="0"/>
        <v>11998.75</v>
      </c>
      <c r="BE13" s="58">
        <f t="shared" si="1"/>
        <v>0</v>
      </c>
    </row>
    <row r="14" spans="1:165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Mar 2026'!$A$8:$F$206,6,FALSE)</f>
        <v>Chq Bk</v>
      </c>
      <c r="H14" s="191">
        <v>8875</v>
      </c>
      <c r="I14" s="191">
        <v>0</v>
      </c>
      <c r="J14" s="191">
        <v>0</v>
      </c>
      <c r="K14" s="191">
        <v>131805</v>
      </c>
      <c r="L14" s="191">
        <v>31118</v>
      </c>
      <c r="M14" s="191">
        <v>43103</v>
      </c>
      <c r="N14" s="191">
        <v>0</v>
      </c>
      <c r="O14" s="191">
        <v>0</v>
      </c>
      <c r="P14" s="211">
        <v>0</v>
      </c>
      <c r="Q14" s="211"/>
      <c r="R14" s="211">
        <v>131805</v>
      </c>
      <c r="S14" s="211">
        <v>0</v>
      </c>
      <c r="T14" s="211">
        <v>78613</v>
      </c>
      <c r="U14" s="211">
        <v>7238</v>
      </c>
      <c r="V14" s="211">
        <v>876</v>
      </c>
      <c r="W14" s="211">
        <v>0</v>
      </c>
      <c r="X14" s="191">
        <v>10745</v>
      </c>
      <c r="Y14" s="191">
        <v>0</v>
      </c>
      <c r="Z14" s="191">
        <v>37353</v>
      </c>
      <c r="AA14" s="191">
        <v>0</v>
      </c>
      <c r="AB14" s="191">
        <v>0</v>
      </c>
      <c r="AC14" s="191">
        <v>0</v>
      </c>
      <c r="AD14" s="191">
        <v>0</v>
      </c>
      <c r="AE14" s="191">
        <v>571.29</v>
      </c>
      <c r="AF14" s="211">
        <v>0</v>
      </c>
      <c r="AG14" s="211">
        <v>0</v>
      </c>
      <c r="AH14" s="211">
        <v>131805</v>
      </c>
      <c r="AI14" s="370">
        <v>11686</v>
      </c>
      <c r="AJ14" s="211">
        <v>0</v>
      </c>
      <c r="AK14" s="211">
        <v>0</v>
      </c>
      <c r="AL14" s="191">
        <v>131805</v>
      </c>
      <c r="AM14" s="191"/>
      <c r="AN14" s="191"/>
      <c r="AO14" s="191"/>
      <c r="AP14" s="191"/>
      <c r="AQ14" s="374"/>
      <c r="AR14" s="374"/>
      <c r="AS14" s="383"/>
      <c r="AT14" s="383"/>
      <c r="AU14" s="383"/>
      <c r="AV14" s="212">
        <f t="shared" si="2"/>
        <v>757398.29</v>
      </c>
      <c r="AX14" s="33">
        <f t="shared" si="3"/>
        <v>123204</v>
      </c>
      <c r="AY14" s="33">
        <f t="shared" si="0"/>
        <v>0</v>
      </c>
      <c r="AZ14" s="33">
        <f t="shared" si="0"/>
        <v>0</v>
      </c>
      <c r="BA14" s="33">
        <f t="shared" si="0"/>
        <v>527220</v>
      </c>
      <c r="BB14" s="33">
        <f t="shared" si="0"/>
        <v>95288.29</v>
      </c>
      <c r="BC14" s="33">
        <f t="shared" si="0"/>
        <v>0</v>
      </c>
      <c r="BD14" s="33">
        <f t="shared" si="0"/>
        <v>11686</v>
      </c>
      <c r="BE14" s="58">
        <f t="shared" si="1"/>
        <v>0</v>
      </c>
    </row>
    <row r="15" spans="1:165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Mar 2026'!$A$8:$F$206,6,FALSE)</f>
        <v>Chq Bk</v>
      </c>
      <c r="H15" s="191">
        <v>0</v>
      </c>
      <c r="I15" s="191">
        <v>0</v>
      </c>
      <c r="J15" s="191">
        <v>388192.5329806431</v>
      </c>
      <c r="K15" s="191">
        <v>18362</v>
      </c>
      <c r="L15" s="191">
        <v>0</v>
      </c>
      <c r="M15" s="191">
        <v>0</v>
      </c>
      <c r="N15" s="191">
        <v>0</v>
      </c>
      <c r="O15" s="191">
        <v>0</v>
      </c>
      <c r="P15" s="211">
        <v>0</v>
      </c>
      <c r="Q15" s="211">
        <v>13365.63</v>
      </c>
      <c r="R15" s="211">
        <v>18362</v>
      </c>
      <c r="S15" s="211">
        <v>0</v>
      </c>
      <c r="T15" s="211">
        <v>0</v>
      </c>
      <c r="U15" s="211">
        <v>0</v>
      </c>
      <c r="V15" s="211">
        <v>0</v>
      </c>
      <c r="W15" s="211">
        <v>93740.757333879868</v>
      </c>
      <c r="X15" s="191">
        <v>0</v>
      </c>
      <c r="Y15" s="191">
        <v>0</v>
      </c>
      <c r="Z15" s="191">
        <v>0</v>
      </c>
      <c r="AA15" s="191">
        <v>64068.77</v>
      </c>
      <c r="AB15" s="191">
        <v>-3378.2268115942034</v>
      </c>
      <c r="AC15" s="191">
        <v>-4506.8157971014489</v>
      </c>
      <c r="AD15" s="191">
        <v>0</v>
      </c>
      <c r="AE15" s="191">
        <v>0</v>
      </c>
      <c r="AF15" s="211">
        <v>0</v>
      </c>
      <c r="AG15" s="211">
        <v>0</v>
      </c>
      <c r="AH15" s="211">
        <v>18362</v>
      </c>
      <c r="AI15" s="370"/>
      <c r="AJ15" s="211">
        <v>60048.577419554851</v>
      </c>
      <c r="AK15" s="211">
        <v>0</v>
      </c>
      <c r="AL15" s="191">
        <v>18364</v>
      </c>
      <c r="AM15" s="191">
        <v>0</v>
      </c>
      <c r="AN15" s="191"/>
      <c r="AO15" s="191"/>
      <c r="AP15" s="191"/>
      <c r="AQ15" s="374"/>
      <c r="AR15" s="374"/>
      <c r="AS15" s="383"/>
      <c r="AT15" s="383"/>
      <c r="AU15" s="383"/>
      <c r="AV15" s="212">
        <f t="shared" si="2"/>
        <v>684981.22512538207</v>
      </c>
      <c r="AX15" s="33">
        <f t="shared" si="3"/>
        <v>-7885.0426086956522</v>
      </c>
      <c r="AY15" s="33">
        <f t="shared" si="0"/>
        <v>60048.577419554851</v>
      </c>
      <c r="AZ15" s="33">
        <f t="shared" si="0"/>
        <v>546002.06031452294</v>
      </c>
      <c r="BA15" s="33">
        <f t="shared" si="0"/>
        <v>73450</v>
      </c>
      <c r="BB15" s="33">
        <f t="shared" si="0"/>
        <v>0</v>
      </c>
      <c r="BC15" s="33">
        <f t="shared" si="0"/>
        <v>0</v>
      </c>
      <c r="BD15" s="33">
        <f t="shared" si="0"/>
        <v>13365.63</v>
      </c>
      <c r="BE15" s="58">
        <f t="shared" si="1"/>
        <v>0</v>
      </c>
    </row>
    <row r="16" spans="1:165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Mar 2026'!$A$8:$F$206,6,FALSE)</f>
        <v>Chq Bk</v>
      </c>
      <c r="H16" s="191">
        <v>7417</v>
      </c>
      <c r="I16" s="191">
        <v>0</v>
      </c>
      <c r="J16" s="191">
        <v>0</v>
      </c>
      <c r="K16" s="191">
        <v>35602</v>
      </c>
      <c r="L16" s="191">
        <v>22193</v>
      </c>
      <c r="M16" s="191">
        <v>36015</v>
      </c>
      <c r="N16" s="191">
        <v>0</v>
      </c>
      <c r="O16" s="191">
        <v>0</v>
      </c>
      <c r="P16" s="211">
        <v>0</v>
      </c>
      <c r="Q16" s="211"/>
      <c r="R16" s="211">
        <v>35602</v>
      </c>
      <c r="S16" s="211">
        <v>0</v>
      </c>
      <c r="T16" s="211">
        <v>30676</v>
      </c>
      <c r="U16" s="211">
        <v>0</v>
      </c>
      <c r="V16" s="211">
        <v>2058.6</v>
      </c>
      <c r="W16" s="211">
        <v>0</v>
      </c>
      <c r="X16" s="191">
        <v>8890</v>
      </c>
      <c r="Y16" s="191">
        <v>0</v>
      </c>
      <c r="Z16" s="191">
        <v>14756</v>
      </c>
      <c r="AA16" s="191">
        <v>0</v>
      </c>
      <c r="AB16" s="191">
        <v>0</v>
      </c>
      <c r="AC16" s="191">
        <v>0</v>
      </c>
      <c r="AD16" s="191">
        <v>0</v>
      </c>
      <c r="AE16" s="191">
        <v>0</v>
      </c>
      <c r="AF16" s="211">
        <v>0</v>
      </c>
      <c r="AG16" s="211">
        <v>0</v>
      </c>
      <c r="AH16" s="211">
        <v>35602</v>
      </c>
      <c r="AI16" s="370"/>
      <c r="AJ16" s="211">
        <v>0</v>
      </c>
      <c r="AK16" s="211">
        <v>0</v>
      </c>
      <c r="AL16" s="191">
        <v>35604</v>
      </c>
      <c r="AM16" s="191">
        <v>7026.25</v>
      </c>
      <c r="AN16" s="191"/>
      <c r="AO16" s="191"/>
      <c r="AP16" s="191"/>
      <c r="AQ16" s="374"/>
      <c r="AR16" s="374"/>
      <c r="AS16" s="383"/>
      <c r="AT16" s="383"/>
      <c r="AU16" s="383"/>
      <c r="AV16" s="212">
        <f t="shared" si="2"/>
        <v>271441.84999999998</v>
      </c>
      <c r="AX16" s="33">
        <f t="shared" si="3"/>
        <v>45432</v>
      </c>
      <c r="AY16" s="33">
        <f t="shared" si="0"/>
        <v>0</v>
      </c>
      <c r="AZ16" s="33">
        <f t="shared" si="0"/>
        <v>0</v>
      </c>
      <c r="BA16" s="33">
        <f t="shared" si="0"/>
        <v>142410</v>
      </c>
      <c r="BB16" s="33">
        <f t="shared" si="0"/>
        <v>76573.600000000006</v>
      </c>
      <c r="BC16" s="33">
        <f t="shared" si="0"/>
        <v>0</v>
      </c>
      <c r="BD16" s="33">
        <f t="shared" si="0"/>
        <v>7026.25</v>
      </c>
      <c r="BE16" s="58">
        <f t="shared" si="1"/>
        <v>0</v>
      </c>
    </row>
    <row r="17" spans="1:57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Mar 2026'!$A$8:$F$206,6,FALSE)</f>
        <v>Chq Bk</v>
      </c>
      <c r="H17" s="191">
        <v>8167</v>
      </c>
      <c r="I17" s="191">
        <v>0</v>
      </c>
      <c r="J17" s="191">
        <v>0</v>
      </c>
      <c r="K17" s="191">
        <v>61915</v>
      </c>
      <c r="L17" s="191">
        <v>0</v>
      </c>
      <c r="M17" s="191">
        <v>0</v>
      </c>
      <c r="N17" s="191">
        <v>0</v>
      </c>
      <c r="O17" s="191">
        <v>0</v>
      </c>
      <c r="P17" s="211">
        <v>0</v>
      </c>
      <c r="Q17" s="211"/>
      <c r="R17" s="211">
        <v>61915</v>
      </c>
      <c r="S17" s="211">
        <v>0</v>
      </c>
      <c r="T17" s="211">
        <v>43001</v>
      </c>
      <c r="U17" s="211">
        <v>0</v>
      </c>
      <c r="V17" s="211">
        <v>1752</v>
      </c>
      <c r="W17" s="211">
        <v>0</v>
      </c>
      <c r="X17" s="191">
        <v>9800</v>
      </c>
      <c r="Y17" s="191">
        <v>0</v>
      </c>
      <c r="Z17" s="191">
        <v>20565</v>
      </c>
      <c r="AA17" s="191">
        <v>0</v>
      </c>
      <c r="AB17" s="191">
        <v>0</v>
      </c>
      <c r="AC17" s="191">
        <v>0</v>
      </c>
      <c r="AD17" s="191">
        <v>0</v>
      </c>
      <c r="AE17" s="191">
        <v>1713.86</v>
      </c>
      <c r="AF17" s="211">
        <v>4800</v>
      </c>
      <c r="AG17" s="211">
        <v>0</v>
      </c>
      <c r="AH17" s="211">
        <v>61915</v>
      </c>
      <c r="AI17" s="370"/>
      <c r="AJ17" s="211">
        <v>0</v>
      </c>
      <c r="AK17" s="211">
        <v>0</v>
      </c>
      <c r="AL17" s="191">
        <v>61915</v>
      </c>
      <c r="AM17" s="191">
        <v>8044.38</v>
      </c>
      <c r="AN17" s="191"/>
      <c r="AO17" s="191"/>
      <c r="AP17" s="191"/>
      <c r="AQ17" s="374"/>
      <c r="AR17" s="374"/>
      <c r="AS17" s="383"/>
      <c r="AT17" s="383"/>
      <c r="AU17" s="383"/>
      <c r="AV17" s="212">
        <f t="shared" si="2"/>
        <v>345503.24</v>
      </c>
      <c r="AX17" s="33">
        <f t="shared" si="3"/>
        <v>63566</v>
      </c>
      <c r="AY17" s="33">
        <f t="shared" si="0"/>
        <v>0</v>
      </c>
      <c r="AZ17" s="33">
        <f t="shared" si="0"/>
        <v>0</v>
      </c>
      <c r="BA17" s="33">
        <f t="shared" si="0"/>
        <v>247660</v>
      </c>
      <c r="BB17" s="33">
        <f t="shared" si="0"/>
        <v>26232.86</v>
      </c>
      <c r="BC17" s="33">
        <f t="shared" si="0"/>
        <v>0</v>
      </c>
      <c r="BD17" s="33">
        <f t="shared" si="0"/>
        <v>8044.38</v>
      </c>
      <c r="BE17" s="58">
        <f t="shared" si="1"/>
        <v>0</v>
      </c>
    </row>
    <row r="18" spans="1:57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Mar 2026'!$A$8:$F$206,6,FALSE)</f>
        <v>Chq Bk</v>
      </c>
      <c r="H18" s="191">
        <v>7167</v>
      </c>
      <c r="I18" s="191">
        <v>0</v>
      </c>
      <c r="J18" s="191">
        <v>0</v>
      </c>
      <c r="K18" s="191">
        <v>27736</v>
      </c>
      <c r="L18" s="191">
        <v>8342</v>
      </c>
      <c r="M18" s="191">
        <v>19816</v>
      </c>
      <c r="N18" s="191">
        <v>0</v>
      </c>
      <c r="O18" s="191">
        <v>0</v>
      </c>
      <c r="P18" s="211">
        <v>0</v>
      </c>
      <c r="Q18" s="211">
        <v>6191.5</v>
      </c>
      <c r="R18" s="211">
        <v>27736</v>
      </c>
      <c r="S18" s="211">
        <v>0</v>
      </c>
      <c r="T18" s="211">
        <v>19408</v>
      </c>
      <c r="U18" s="211">
        <v>4042</v>
      </c>
      <c r="V18" s="211">
        <v>0</v>
      </c>
      <c r="W18" s="211">
        <v>0</v>
      </c>
      <c r="X18" s="191">
        <v>8500</v>
      </c>
      <c r="Y18" s="191">
        <v>0</v>
      </c>
      <c r="Z18" s="191">
        <v>9427</v>
      </c>
      <c r="AA18" s="191">
        <v>0</v>
      </c>
      <c r="AB18" s="191">
        <v>0</v>
      </c>
      <c r="AC18" s="191">
        <v>0</v>
      </c>
      <c r="AD18" s="191">
        <v>0</v>
      </c>
      <c r="AE18" s="191">
        <v>1142.57</v>
      </c>
      <c r="AF18" s="211">
        <v>0</v>
      </c>
      <c r="AG18" s="211">
        <v>0</v>
      </c>
      <c r="AH18" s="211">
        <v>27736</v>
      </c>
      <c r="AI18" s="370"/>
      <c r="AJ18" s="211">
        <v>0</v>
      </c>
      <c r="AK18" s="211">
        <v>0</v>
      </c>
      <c r="AL18" s="191">
        <v>27737</v>
      </c>
      <c r="AM18" s="191">
        <v>0</v>
      </c>
      <c r="AN18" s="191"/>
      <c r="AO18" s="191"/>
      <c r="AP18" s="191"/>
      <c r="AQ18" s="374"/>
      <c r="AR18" s="374"/>
      <c r="AS18" s="383"/>
      <c r="AT18" s="383"/>
      <c r="AU18" s="383"/>
      <c r="AV18" s="212">
        <f t="shared" si="2"/>
        <v>194981.07</v>
      </c>
      <c r="AX18" s="33">
        <f t="shared" si="3"/>
        <v>32877</v>
      </c>
      <c r="AY18" s="33">
        <f t="shared" si="0"/>
        <v>0</v>
      </c>
      <c r="AZ18" s="33">
        <f t="shared" si="0"/>
        <v>0</v>
      </c>
      <c r="BA18" s="33">
        <f t="shared" si="0"/>
        <v>110945</v>
      </c>
      <c r="BB18" s="33">
        <f t="shared" si="0"/>
        <v>44967.57</v>
      </c>
      <c r="BC18" s="33">
        <f t="shared" si="0"/>
        <v>0</v>
      </c>
      <c r="BD18" s="33">
        <f t="shared" si="0"/>
        <v>6191.5</v>
      </c>
      <c r="BE18" s="58">
        <f t="shared" si="1"/>
        <v>0</v>
      </c>
    </row>
    <row r="19" spans="1:57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Mar 2026'!$A$8:$F$206,6,FALSE)</f>
        <v>Chq Bk</v>
      </c>
      <c r="H19" s="191">
        <v>7687</v>
      </c>
      <c r="I19" s="191">
        <v>1602.93</v>
      </c>
      <c r="J19" s="191">
        <v>0</v>
      </c>
      <c r="K19" s="191">
        <v>55168</v>
      </c>
      <c r="L19" s="191">
        <v>0</v>
      </c>
      <c r="M19" s="191">
        <v>0</v>
      </c>
      <c r="N19" s="191">
        <v>0</v>
      </c>
      <c r="O19" s="191">
        <v>0</v>
      </c>
      <c r="P19" s="211">
        <v>0</v>
      </c>
      <c r="Q19" s="211">
        <v>6756.25</v>
      </c>
      <c r="R19" s="211">
        <v>55168</v>
      </c>
      <c r="S19" s="211">
        <v>0</v>
      </c>
      <c r="T19" s="211">
        <v>32344</v>
      </c>
      <c r="U19" s="211">
        <v>0</v>
      </c>
      <c r="V19" s="211">
        <v>0</v>
      </c>
      <c r="W19" s="211">
        <v>0</v>
      </c>
      <c r="X19" s="191">
        <v>9165</v>
      </c>
      <c r="Y19" s="191">
        <v>0</v>
      </c>
      <c r="Z19" s="191">
        <v>15522</v>
      </c>
      <c r="AA19" s="191">
        <v>0</v>
      </c>
      <c r="AB19" s="191">
        <v>0</v>
      </c>
      <c r="AC19" s="191">
        <v>0</v>
      </c>
      <c r="AD19" s="191">
        <v>7670.42</v>
      </c>
      <c r="AE19" s="191">
        <v>0</v>
      </c>
      <c r="AF19" s="211">
        <v>0</v>
      </c>
      <c r="AG19" s="211">
        <v>0</v>
      </c>
      <c r="AH19" s="211">
        <v>55168</v>
      </c>
      <c r="AI19" s="370"/>
      <c r="AJ19" s="211">
        <v>0</v>
      </c>
      <c r="AK19" s="211">
        <v>7320.91</v>
      </c>
      <c r="AL19" s="191">
        <v>55171</v>
      </c>
      <c r="AM19" s="191">
        <v>0</v>
      </c>
      <c r="AN19" s="191"/>
      <c r="AO19" s="191"/>
      <c r="AP19" s="191"/>
      <c r="AQ19" s="374"/>
      <c r="AR19" s="374"/>
      <c r="AS19" s="383"/>
      <c r="AT19" s="383"/>
      <c r="AU19" s="383"/>
      <c r="AV19" s="212">
        <f t="shared" si="2"/>
        <v>308743.51</v>
      </c>
      <c r="AX19" s="33">
        <f t="shared" si="3"/>
        <v>47866</v>
      </c>
      <c r="AY19" s="33">
        <f t="shared" si="0"/>
        <v>0</v>
      </c>
      <c r="AZ19" s="33">
        <f t="shared" si="0"/>
        <v>0</v>
      </c>
      <c r="BA19" s="33">
        <f t="shared" si="0"/>
        <v>220675</v>
      </c>
      <c r="BB19" s="33">
        <f t="shared" si="0"/>
        <v>33446.259999999995</v>
      </c>
      <c r="BC19" s="33">
        <f t="shared" si="0"/>
        <v>0</v>
      </c>
      <c r="BD19" s="33">
        <f t="shared" si="0"/>
        <v>6756.25</v>
      </c>
      <c r="BE19" s="58">
        <f t="shared" si="1"/>
        <v>0</v>
      </c>
    </row>
    <row r="20" spans="1:57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Mar 2026'!$A$8:$F$206,6,FALSE)</f>
        <v>Chq Bk</v>
      </c>
      <c r="H20" s="191">
        <v>0</v>
      </c>
      <c r="I20" s="191">
        <v>0</v>
      </c>
      <c r="J20" s="191">
        <v>0</v>
      </c>
      <c r="K20" s="191">
        <v>105322</v>
      </c>
      <c r="L20" s="191">
        <v>0</v>
      </c>
      <c r="M20" s="191">
        <v>0</v>
      </c>
      <c r="N20" s="191">
        <v>33184</v>
      </c>
      <c r="O20" s="191">
        <v>16268.53</v>
      </c>
      <c r="P20" s="211">
        <v>0</v>
      </c>
      <c r="Q20" s="211">
        <v>0</v>
      </c>
      <c r="R20" s="211">
        <v>105322</v>
      </c>
      <c r="S20" s="211">
        <v>21969.24</v>
      </c>
      <c r="T20" s="211">
        <v>96777</v>
      </c>
      <c r="U20" s="211">
        <v>0</v>
      </c>
      <c r="V20" s="211">
        <v>10643.4</v>
      </c>
      <c r="W20" s="211">
        <v>0</v>
      </c>
      <c r="X20" s="191">
        <v>0</v>
      </c>
      <c r="Y20" s="191">
        <v>49223</v>
      </c>
      <c r="Z20" s="191">
        <v>76201</v>
      </c>
      <c r="AA20" s="191">
        <v>0</v>
      </c>
      <c r="AB20" s="191">
        <v>0</v>
      </c>
      <c r="AC20" s="191">
        <v>0</v>
      </c>
      <c r="AD20" s="191">
        <v>0</v>
      </c>
      <c r="AE20" s="191">
        <v>3142.08</v>
      </c>
      <c r="AF20" s="211">
        <v>12000</v>
      </c>
      <c r="AG20" s="211">
        <v>0</v>
      </c>
      <c r="AH20" s="211">
        <v>104515</v>
      </c>
      <c r="AI20" s="370"/>
      <c r="AJ20" s="211">
        <v>0</v>
      </c>
      <c r="AK20" s="211">
        <v>0</v>
      </c>
      <c r="AL20" s="191">
        <v>105056</v>
      </c>
      <c r="AM20" s="191">
        <v>0</v>
      </c>
      <c r="AN20" s="191"/>
      <c r="AO20" s="191"/>
      <c r="AP20" s="191"/>
      <c r="AQ20" s="374"/>
      <c r="AR20" s="374"/>
      <c r="AS20" s="383"/>
      <c r="AT20" s="383"/>
      <c r="AU20" s="383"/>
      <c r="AV20" s="212">
        <f t="shared" si="2"/>
        <v>739623.25</v>
      </c>
      <c r="AX20" s="33">
        <f t="shared" si="3"/>
        <v>172978</v>
      </c>
      <c r="AY20" s="33">
        <f t="shared" si="0"/>
        <v>120644.77</v>
      </c>
      <c r="AZ20" s="33">
        <f t="shared" si="0"/>
        <v>0</v>
      </c>
      <c r="BA20" s="33">
        <f t="shared" si="0"/>
        <v>420215</v>
      </c>
      <c r="BB20" s="33">
        <f t="shared" si="0"/>
        <v>25785.48</v>
      </c>
      <c r="BC20" s="33">
        <f t="shared" si="0"/>
        <v>0</v>
      </c>
      <c r="BD20" s="33">
        <f t="shared" si="0"/>
        <v>0</v>
      </c>
      <c r="BE20" s="58">
        <f t="shared" si="1"/>
        <v>0</v>
      </c>
    </row>
    <row r="21" spans="1:57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Mar 2026'!$A$8:$F$206,6,FALSE)</f>
        <v>Chq Bk</v>
      </c>
      <c r="H21" s="191">
        <v>0</v>
      </c>
      <c r="I21" s="191">
        <v>0</v>
      </c>
      <c r="J21" s="191">
        <v>0</v>
      </c>
      <c r="K21" s="191">
        <v>0</v>
      </c>
      <c r="L21" s="191">
        <v>0</v>
      </c>
      <c r="M21" s="191">
        <v>0</v>
      </c>
      <c r="N21" s="191">
        <v>0</v>
      </c>
      <c r="O21" s="191">
        <v>0</v>
      </c>
      <c r="P21" s="211">
        <v>4725</v>
      </c>
      <c r="Q21" s="211">
        <v>4924.75</v>
      </c>
      <c r="R21" s="211">
        <v>0</v>
      </c>
      <c r="S21" s="211">
        <v>0</v>
      </c>
      <c r="T21" s="211">
        <v>0</v>
      </c>
      <c r="U21" s="211">
        <v>15116</v>
      </c>
      <c r="V21" s="211">
        <v>0</v>
      </c>
      <c r="W21" s="211">
        <v>0</v>
      </c>
      <c r="X21" s="191">
        <v>0</v>
      </c>
      <c r="Y21" s="191">
        <v>0</v>
      </c>
      <c r="Z21" s="191">
        <v>0</v>
      </c>
      <c r="AA21" s="191">
        <v>0</v>
      </c>
      <c r="AB21" s="191">
        <v>0</v>
      </c>
      <c r="AC21" s="191">
        <v>0</v>
      </c>
      <c r="AD21" s="191">
        <v>0</v>
      </c>
      <c r="AE21" s="191">
        <v>0</v>
      </c>
      <c r="AF21" s="211">
        <v>0</v>
      </c>
      <c r="AG21" s="211">
        <v>0</v>
      </c>
      <c r="AH21" s="211">
        <v>0</v>
      </c>
      <c r="AI21" s="370"/>
      <c r="AJ21" s="211">
        <v>0</v>
      </c>
      <c r="AK21" s="211">
        <v>0</v>
      </c>
      <c r="AL21" s="191">
        <v>0</v>
      </c>
      <c r="AM21" s="191">
        <v>0</v>
      </c>
      <c r="AN21" s="191"/>
      <c r="AO21" s="191"/>
      <c r="AP21" s="191"/>
      <c r="AQ21" s="374"/>
      <c r="AR21" s="374"/>
      <c r="AS21" s="383"/>
      <c r="AT21" s="383"/>
      <c r="AU21" s="383"/>
      <c r="AV21" s="212">
        <f t="shared" si="2"/>
        <v>24765.75</v>
      </c>
      <c r="AX21" s="33">
        <f t="shared" si="3"/>
        <v>19841</v>
      </c>
      <c r="AY21" s="33">
        <f t="shared" si="0"/>
        <v>0</v>
      </c>
      <c r="AZ21" s="33">
        <f t="shared" si="0"/>
        <v>0</v>
      </c>
      <c r="BA21" s="33">
        <f t="shared" si="0"/>
        <v>0</v>
      </c>
      <c r="BB21" s="33">
        <f t="shared" si="0"/>
        <v>0</v>
      </c>
      <c r="BC21" s="33">
        <f t="shared" si="0"/>
        <v>0</v>
      </c>
      <c r="BD21" s="33">
        <f t="shared" si="0"/>
        <v>4924.75</v>
      </c>
      <c r="BE21" s="58">
        <f t="shared" si="1"/>
        <v>0</v>
      </c>
    </row>
    <row r="22" spans="1:57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Mar 2026'!$A$8:$F$206,6,FALSE)</f>
        <v>Chq Bk</v>
      </c>
      <c r="H22" s="191">
        <v>7450</v>
      </c>
      <c r="I22" s="191">
        <v>0</v>
      </c>
      <c r="J22" s="191">
        <v>0</v>
      </c>
      <c r="K22" s="191">
        <v>20388</v>
      </c>
      <c r="L22" s="191">
        <v>43417</v>
      </c>
      <c r="M22" s="191">
        <v>65087</v>
      </c>
      <c r="N22" s="191">
        <v>0</v>
      </c>
      <c r="O22" s="191">
        <v>0</v>
      </c>
      <c r="P22" s="211">
        <v>0</v>
      </c>
      <c r="Q22" s="211">
        <v>7497.63</v>
      </c>
      <c r="R22" s="211">
        <v>20388</v>
      </c>
      <c r="S22" s="211">
        <v>0</v>
      </c>
      <c r="T22" s="211">
        <v>29113</v>
      </c>
      <c r="U22" s="211">
        <v>4888</v>
      </c>
      <c r="V22" s="211">
        <v>0</v>
      </c>
      <c r="W22" s="211">
        <v>0</v>
      </c>
      <c r="X22" s="191">
        <v>8925</v>
      </c>
      <c r="Y22" s="191">
        <v>0</v>
      </c>
      <c r="Z22" s="191">
        <v>16603</v>
      </c>
      <c r="AA22" s="191">
        <v>0</v>
      </c>
      <c r="AB22" s="191">
        <v>0</v>
      </c>
      <c r="AC22" s="191">
        <v>0</v>
      </c>
      <c r="AD22" s="191">
        <v>0</v>
      </c>
      <c r="AE22" s="191">
        <v>0</v>
      </c>
      <c r="AF22" s="211">
        <v>0</v>
      </c>
      <c r="AG22" s="211">
        <v>0</v>
      </c>
      <c r="AH22" s="211">
        <v>20388</v>
      </c>
      <c r="AI22" s="370"/>
      <c r="AJ22" s="211">
        <v>0</v>
      </c>
      <c r="AK22" s="211">
        <v>0</v>
      </c>
      <c r="AL22" s="191">
        <v>20391</v>
      </c>
      <c r="AM22" s="191">
        <v>0</v>
      </c>
      <c r="AN22" s="191"/>
      <c r="AO22" s="191"/>
      <c r="AP22" s="191"/>
      <c r="AQ22" s="374"/>
      <c r="AR22" s="374"/>
      <c r="AS22" s="383"/>
      <c r="AT22" s="383"/>
      <c r="AU22" s="383"/>
      <c r="AV22" s="212">
        <f t="shared" si="2"/>
        <v>264535.63</v>
      </c>
      <c r="AX22" s="33">
        <f t="shared" si="3"/>
        <v>50604</v>
      </c>
      <c r="AY22" s="33">
        <f t="shared" si="0"/>
        <v>0</v>
      </c>
      <c r="AZ22" s="33">
        <f t="shared" si="0"/>
        <v>0</v>
      </c>
      <c r="BA22" s="33">
        <f t="shared" si="0"/>
        <v>81555</v>
      </c>
      <c r="BB22" s="33">
        <f t="shared" si="0"/>
        <v>124879</v>
      </c>
      <c r="BC22" s="33">
        <f t="shared" si="0"/>
        <v>0</v>
      </c>
      <c r="BD22" s="33">
        <f t="shared" si="0"/>
        <v>7497.63</v>
      </c>
      <c r="BE22" s="58">
        <f t="shared" si="1"/>
        <v>0</v>
      </c>
    </row>
    <row r="23" spans="1:57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Mar 2026'!$A$8:$F$206,6,FALSE)</f>
        <v>Chq Bk</v>
      </c>
      <c r="H23" s="191">
        <v>8254</v>
      </c>
      <c r="I23" s="191">
        <v>0</v>
      </c>
      <c r="J23" s="191">
        <v>0</v>
      </c>
      <c r="K23" s="191">
        <v>28338</v>
      </c>
      <c r="L23" s="191">
        <v>0</v>
      </c>
      <c r="M23" s="191">
        <v>0</v>
      </c>
      <c r="N23" s="191">
        <v>0</v>
      </c>
      <c r="O23" s="191">
        <v>0</v>
      </c>
      <c r="P23" s="211">
        <v>0</v>
      </c>
      <c r="Q23" s="211">
        <v>8286.25</v>
      </c>
      <c r="R23" s="211">
        <v>28338</v>
      </c>
      <c r="S23" s="211">
        <v>0</v>
      </c>
      <c r="T23" s="211">
        <v>36820</v>
      </c>
      <c r="U23" s="211">
        <v>0</v>
      </c>
      <c r="V23" s="211">
        <v>0</v>
      </c>
      <c r="W23" s="211">
        <v>0</v>
      </c>
      <c r="X23" s="191">
        <v>9905</v>
      </c>
      <c r="Y23" s="191">
        <v>0</v>
      </c>
      <c r="Z23" s="191">
        <v>17694</v>
      </c>
      <c r="AA23" s="191">
        <v>0</v>
      </c>
      <c r="AB23" s="191">
        <v>0</v>
      </c>
      <c r="AC23" s="191">
        <v>0</v>
      </c>
      <c r="AD23" s="191">
        <v>0</v>
      </c>
      <c r="AE23" s="191">
        <v>856.93</v>
      </c>
      <c r="AF23" s="211">
        <v>0</v>
      </c>
      <c r="AG23" s="211">
        <v>0</v>
      </c>
      <c r="AH23" s="211">
        <v>28338</v>
      </c>
      <c r="AI23" s="370"/>
      <c r="AJ23" s="211">
        <v>0</v>
      </c>
      <c r="AK23" s="211">
        <v>0</v>
      </c>
      <c r="AL23" s="191">
        <v>28341</v>
      </c>
      <c r="AM23" s="191">
        <v>0</v>
      </c>
      <c r="AN23" s="191"/>
      <c r="AO23" s="191"/>
      <c r="AP23" s="191"/>
      <c r="AQ23" s="374"/>
      <c r="AR23" s="374"/>
      <c r="AS23" s="383"/>
      <c r="AT23" s="383"/>
      <c r="AU23" s="383"/>
      <c r="AV23" s="212">
        <f t="shared" si="2"/>
        <v>195171.18</v>
      </c>
      <c r="AX23" s="33">
        <f t="shared" si="3"/>
        <v>54514</v>
      </c>
      <c r="AY23" s="33">
        <f t="shared" si="3"/>
        <v>0</v>
      </c>
      <c r="AZ23" s="33">
        <f t="shared" si="3"/>
        <v>0</v>
      </c>
      <c r="BA23" s="33">
        <f t="shared" si="3"/>
        <v>113355</v>
      </c>
      <c r="BB23" s="33">
        <f t="shared" si="3"/>
        <v>19015.93</v>
      </c>
      <c r="BC23" s="33">
        <f t="shared" si="3"/>
        <v>0</v>
      </c>
      <c r="BD23" s="33">
        <f t="shared" si="3"/>
        <v>8286.25</v>
      </c>
      <c r="BE23" s="58">
        <f t="shared" si="1"/>
        <v>0</v>
      </c>
    </row>
    <row r="24" spans="1:57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Mar 2026'!$A$8:$F$206,6,FALSE)</f>
        <v>Chq Bk</v>
      </c>
      <c r="H24" s="191">
        <v>0</v>
      </c>
      <c r="I24" s="191">
        <v>0</v>
      </c>
      <c r="J24" s="191">
        <v>0</v>
      </c>
      <c r="K24" s="191">
        <v>96212</v>
      </c>
      <c r="L24" s="191">
        <v>0</v>
      </c>
      <c r="M24" s="191">
        <v>0</v>
      </c>
      <c r="N24" s="191">
        <v>43655</v>
      </c>
      <c r="O24" s="191">
        <v>24626.51</v>
      </c>
      <c r="P24" s="211">
        <v>0</v>
      </c>
      <c r="Q24" s="211">
        <v>22126.560000000001</v>
      </c>
      <c r="R24" s="211">
        <v>96212</v>
      </c>
      <c r="S24" s="211">
        <v>33255.980000000003</v>
      </c>
      <c r="T24" s="211">
        <v>70864</v>
      </c>
      <c r="U24" s="211">
        <v>0</v>
      </c>
      <c r="V24" s="211">
        <v>0</v>
      </c>
      <c r="W24" s="211">
        <v>0</v>
      </c>
      <c r="X24" s="191">
        <v>0</v>
      </c>
      <c r="Y24" s="191">
        <v>65292</v>
      </c>
      <c r="Z24" s="191">
        <v>56879</v>
      </c>
      <c r="AA24" s="191">
        <v>0</v>
      </c>
      <c r="AB24" s="191">
        <v>0</v>
      </c>
      <c r="AC24" s="191">
        <v>0</v>
      </c>
      <c r="AD24" s="191">
        <v>0</v>
      </c>
      <c r="AE24" s="191">
        <v>2285.15</v>
      </c>
      <c r="AF24" s="211">
        <v>9600</v>
      </c>
      <c r="AG24" s="211">
        <v>4467.6000000000004</v>
      </c>
      <c r="AH24" s="211">
        <v>96212</v>
      </c>
      <c r="AI24" s="370"/>
      <c r="AJ24" s="211">
        <v>0</v>
      </c>
      <c r="AK24" s="211">
        <v>0</v>
      </c>
      <c r="AL24" s="191">
        <v>96214</v>
      </c>
      <c r="AM24" s="191">
        <v>0</v>
      </c>
      <c r="AN24" s="191"/>
      <c r="AO24" s="191"/>
      <c r="AP24" s="191"/>
      <c r="AQ24" s="374"/>
      <c r="AR24" s="374"/>
      <c r="AS24" s="383"/>
      <c r="AT24" s="383"/>
      <c r="AU24" s="383"/>
      <c r="AV24" s="212">
        <f t="shared" si="2"/>
        <v>717901.8</v>
      </c>
      <c r="AX24" s="33">
        <f t="shared" si="3"/>
        <v>127743</v>
      </c>
      <c r="AY24" s="33">
        <f t="shared" si="3"/>
        <v>166829.49</v>
      </c>
      <c r="AZ24" s="33">
        <f t="shared" si="3"/>
        <v>0</v>
      </c>
      <c r="BA24" s="33">
        <f t="shared" si="3"/>
        <v>384850</v>
      </c>
      <c r="BB24" s="33">
        <f t="shared" si="3"/>
        <v>16352.75</v>
      </c>
      <c r="BC24" s="33">
        <f t="shared" si="3"/>
        <v>0</v>
      </c>
      <c r="BD24" s="33">
        <f t="shared" si="3"/>
        <v>22126.560000000001</v>
      </c>
      <c r="BE24" s="58">
        <f t="shared" si="1"/>
        <v>0</v>
      </c>
    </row>
    <row r="25" spans="1:57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Mar 2026'!$A$8:$F$206,6,FALSE)</f>
        <v>Chq Bk</v>
      </c>
      <c r="H25" s="191">
        <v>8908</v>
      </c>
      <c r="I25" s="191">
        <v>0</v>
      </c>
      <c r="J25" s="191">
        <v>0</v>
      </c>
      <c r="K25" s="191">
        <v>112488</v>
      </c>
      <c r="L25" s="191">
        <v>20823</v>
      </c>
      <c r="M25" s="191">
        <v>37606</v>
      </c>
      <c r="N25" s="191">
        <v>0</v>
      </c>
      <c r="O25" s="191">
        <v>0</v>
      </c>
      <c r="P25" s="211">
        <v>0</v>
      </c>
      <c r="Q25" s="211">
        <v>11416</v>
      </c>
      <c r="R25" s="211">
        <v>112488</v>
      </c>
      <c r="S25" s="211">
        <v>0</v>
      </c>
      <c r="T25" s="211">
        <v>73360</v>
      </c>
      <c r="U25" s="211">
        <v>4888</v>
      </c>
      <c r="V25" s="211">
        <v>0</v>
      </c>
      <c r="W25" s="211">
        <v>0</v>
      </c>
      <c r="X25" s="191">
        <v>10660</v>
      </c>
      <c r="Y25" s="191">
        <v>0</v>
      </c>
      <c r="Z25" s="191">
        <v>34889</v>
      </c>
      <c r="AA25" s="191">
        <v>0</v>
      </c>
      <c r="AB25" s="191">
        <v>0</v>
      </c>
      <c r="AC25" s="191">
        <v>0</v>
      </c>
      <c r="AD25" s="191">
        <v>0</v>
      </c>
      <c r="AE25" s="191">
        <v>0</v>
      </c>
      <c r="AF25" s="211">
        <v>0</v>
      </c>
      <c r="AG25" s="211">
        <v>0</v>
      </c>
      <c r="AH25" s="211">
        <v>112488</v>
      </c>
      <c r="AI25" s="370"/>
      <c r="AJ25" s="211">
        <v>0</v>
      </c>
      <c r="AK25" s="211">
        <v>0</v>
      </c>
      <c r="AL25" s="191">
        <v>112491</v>
      </c>
      <c r="AM25" s="191">
        <v>0</v>
      </c>
      <c r="AN25" s="191"/>
      <c r="AO25" s="191"/>
      <c r="AP25" s="191"/>
      <c r="AQ25" s="374"/>
      <c r="AR25" s="374"/>
      <c r="AS25" s="383"/>
      <c r="AT25" s="383"/>
      <c r="AU25" s="383"/>
      <c r="AV25" s="212">
        <f t="shared" si="2"/>
        <v>652505</v>
      </c>
      <c r="AX25" s="33">
        <f t="shared" si="3"/>
        <v>113137</v>
      </c>
      <c r="AY25" s="33">
        <f t="shared" si="3"/>
        <v>0</v>
      </c>
      <c r="AZ25" s="33">
        <f t="shared" si="3"/>
        <v>0</v>
      </c>
      <c r="BA25" s="33">
        <f t="shared" si="3"/>
        <v>449955</v>
      </c>
      <c r="BB25" s="33">
        <f t="shared" si="3"/>
        <v>77997</v>
      </c>
      <c r="BC25" s="33">
        <f t="shared" si="3"/>
        <v>0</v>
      </c>
      <c r="BD25" s="33">
        <f t="shared" si="3"/>
        <v>11416</v>
      </c>
      <c r="BE25" s="58">
        <f t="shared" si="1"/>
        <v>0</v>
      </c>
    </row>
    <row r="26" spans="1:57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Mar 2026'!$A$8:$F$206,6,FALSE)</f>
        <v>Chq Bk</v>
      </c>
      <c r="H26" s="191">
        <v>9021</v>
      </c>
      <c r="I26" s="191">
        <v>0</v>
      </c>
      <c r="J26" s="191">
        <v>0</v>
      </c>
      <c r="K26" s="191">
        <v>46376</v>
      </c>
      <c r="L26" s="191">
        <v>54902</v>
      </c>
      <c r="M26" s="191">
        <v>72030</v>
      </c>
      <c r="N26" s="191">
        <v>0</v>
      </c>
      <c r="O26" s="191">
        <v>0</v>
      </c>
      <c r="P26" s="211">
        <v>0</v>
      </c>
      <c r="Q26" s="211">
        <v>0</v>
      </c>
      <c r="R26" s="211">
        <v>46376</v>
      </c>
      <c r="S26" s="211">
        <v>0</v>
      </c>
      <c r="T26" s="211">
        <v>60133</v>
      </c>
      <c r="U26" s="211">
        <v>0</v>
      </c>
      <c r="V26" s="211">
        <v>0</v>
      </c>
      <c r="W26" s="211">
        <v>0</v>
      </c>
      <c r="X26" s="191">
        <v>10820</v>
      </c>
      <c r="Y26" s="191">
        <v>0</v>
      </c>
      <c r="Z26" s="191">
        <v>28735</v>
      </c>
      <c r="AA26" s="191">
        <v>0</v>
      </c>
      <c r="AB26" s="191">
        <v>0</v>
      </c>
      <c r="AC26" s="191">
        <v>0</v>
      </c>
      <c r="AD26" s="191">
        <v>0</v>
      </c>
      <c r="AE26" s="191">
        <v>856.93</v>
      </c>
      <c r="AF26" s="211">
        <v>0</v>
      </c>
      <c r="AG26" s="211">
        <v>0</v>
      </c>
      <c r="AH26" s="211">
        <v>45239</v>
      </c>
      <c r="AI26" s="370"/>
      <c r="AJ26" s="211">
        <v>0</v>
      </c>
      <c r="AK26" s="211">
        <v>0</v>
      </c>
      <c r="AL26" s="191">
        <v>45999</v>
      </c>
      <c r="AM26" s="191">
        <v>0</v>
      </c>
      <c r="AN26" s="191"/>
      <c r="AO26" s="191"/>
      <c r="AP26" s="191"/>
      <c r="AQ26" s="374"/>
      <c r="AR26" s="374"/>
      <c r="AS26" s="383"/>
      <c r="AT26" s="383"/>
      <c r="AU26" s="383"/>
      <c r="AV26" s="212">
        <f t="shared" si="2"/>
        <v>420487.93</v>
      </c>
      <c r="AX26" s="33">
        <f t="shared" si="3"/>
        <v>88868</v>
      </c>
      <c r="AY26" s="33">
        <f t="shared" si="3"/>
        <v>0</v>
      </c>
      <c r="AZ26" s="33">
        <f t="shared" si="3"/>
        <v>0</v>
      </c>
      <c r="BA26" s="33">
        <f t="shared" si="3"/>
        <v>183990</v>
      </c>
      <c r="BB26" s="33">
        <f t="shared" si="3"/>
        <v>147629.93</v>
      </c>
      <c r="BC26" s="33">
        <f t="shared" si="3"/>
        <v>0</v>
      </c>
      <c r="BD26" s="33">
        <f t="shared" si="3"/>
        <v>0</v>
      </c>
      <c r="BE26" s="58">
        <f t="shared" si="1"/>
        <v>0</v>
      </c>
    </row>
    <row r="27" spans="1:57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Mar 2026'!$A$8:$F$206,6,FALSE)</f>
        <v>Chq Bk</v>
      </c>
      <c r="H27" s="191">
        <v>0</v>
      </c>
      <c r="I27" s="191">
        <v>0</v>
      </c>
      <c r="J27" s="191">
        <v>156928.89631132383</v>
      </c>
      <c r="K27" s="191">
        <v>13020</v>
      </c>
      <c r="L27" s="191">
        <v>0</v>
      </c>
      <c r="M27" s="191">
        <v>0</v>
      </c>
      <c r="N27" s="191">
        <v>0</v>
      </c>
      <c r="O27" s="191">
        <v>0</v>
      </c>
      <c r="P27" s="211">
        <v>0</v>
      </c>
      <c r="Q27" s="211">
        <v>8201.8799999999992</v>
      </c>
      <c r="R27" s="211">
        <v>13020</v>
      </c>
      <c r="S27" s="211">
        <v>0</v>
      </c>
      <c r="T27" s="211">
        <v>0</v>
      </c>
      <c r="U27" s="211">
        <v>0</v>
      </c>
      <c r="V27" s="211">
        <v>0</v>
      </c>
      <c r="W27" s="211">
        <v>37895.199773270586</v>
      </c>
      <c r="X27" s="191">
        <v>0</v>
      </c>
      <c r="Y27" s="191">
        <v>0</v>
      </c>
      <c r="Z27" s="191">
        <v>0</v>
      </c>
      <c r="AA27" s="191">
        <v>25900.14</v>
      </c>
      <c r="AB27" s="191">
        <v>-1365.6627536231886</v>
      </c>
      <c r="AC27" s="191">
        <v>-1821.906811594203</v>
      </c>
      <c r="AD27" s="191">
        <v>0</v>
      </c>
      <c r="AE27" s="191">
        <v>856.93</v>
      </c>
      <c r="AF27" s="211">
        <v>0</v>
      </c>
      <c r="AG27" s="211">
        <v>0</v>
      </c>
      <c r="AH27" s="211">
        <v>13020</v>
      </c>
      <c r="AI27" s="370"/>
      <c r="AJ27" s="211">
        <v>13358.369663282592</v>
      </c>
      <c r="AK27" s="211">
        <v>0</v>
      </c>
      <c r="AL27" s="191">
        <v>13020</v>
      </c>
      <c r="AM27" s="191">
        <v>0</v>
      </c>
      <c r="AN27" s="191"/>
      <c r="AO27" s="191"/>
      <c r="AP27" s="191"/>
      <c r="AQ27" s="374"/>
      <c r="AR27" s="374"/>
      <c r="AS27" s="383"/>
      <c r="AT27" s="383"/>
      <c r="AU27" s="383"/>
      <c r="AV27" s="212">
        <f t="shared" si="2"/>
        <v>292033.84618265956</v>
      </c>
      <c r="AX27" s="33">
        <f t="shared" si="3"/>
        <v>-3187.5695652173918</v>
      </c>
      <c r="AY27" s="33">
        <f t="shared" si="3"/>
        <v>13358.369663282592</v>
      </c>
      <c r="AZ27" s="33">
        <f t="shared" si="3"/>
        <v>220724.23608459439</v>
      </c>
      <c r="BA27" s="33">
        <f t="shared" si="3"/>
        <v>52080</v>
      </c>
      <c r="BB27" s="33">
        <f t="shared" si="3"/>
        <v>856.93</v>
      </c>
      <c r="BC27" s="33">
        <f t="shared" si="3"/>
        <v>0</v>
      </c>
      <c r="BD27" s="33">
        <f t="shared" si="3"/>
        <v>8201.8799999999992</v>
      </c>
      <c r="BE27" s="58">
        <f t="shared" si="1"/>
        <v>0</v>
      </c>
    </row>
    <row r="28" spans="1:57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Mar 2026'!$A$8:$F$206,6,FALSE)</f>
        <v>Chq Bk</v>
      </c>
      <c r="H28" s="191">
        <v>0</v>
      </c>
      <c r="I28" s="191">
        <v>0</v>
      </c>
      <c r="J28" s="191">
        <v>0</v>
      </c>
      <c r="K28" s="191">
        <v>0</v>
      </c>
      <c r="L28" s="191">
        <v>0</v>
      </c>
      <c r="M28" s="191">
        <v>0</v>
      </c>
      <c r="N28" s="191">
        <v>0</v>
      </c>
      <c r="O28" s="191">
        <v>0</v>
      </c>
      <c r="P28" s="211">
        <v>4200</v>
      </c>
      <c r="Q28" s="211">
        <v>4850.5</v>
      </c>
      <c r="R28" s="211">
        <v>0</v>
      </c>
      <c r="S28" s="211">
        <v>0</v>
      </c>
      <c r="T28" s="211">
        <v>0</v>
      </c>
      <c r="U28" s="211">
        <v>13116</v>
      </c>
      <c r="V28" s="211">
        <v>0</v>
      </c>
      <c r="W28" s="211">
        <v>0</v>
      </c>
      <c r="X28" s="191">
        <v>0</v>
      </c>
      <c r="Y28" s="191">
        <v>0</v>
      </c>
      <c r="Z28" s="191">
        <v>0</v>
      </c>
      <c r="AA28" s="191">
        <v>0</v>
      </c>
      <c r="AB28" s="191">
        <v>0</v>
      </c>
      <c r="AC28" s="191">
        <v>0</v>
      </c>
      <c r="AD28" s="191">
        <v>0</v>
      </c>
      <c r="AE28" s="191">
        <v>0</v>
      </c>
      <c r="AF28" s="211">
        <v>0</v>
      </c>
      <c r="AG28" s="211">
        <v>0</v>
      </c>
      <c r="AH28" s="211">
        <v>0</v>
      </c>
      <c r="AI28" s="370"/>
      <c r="AJ28" s="211">
        <v>0</v>
      </c>
      <c r="AK28" s="211">
        <v>0</v>
      </c>
      <c r="AL28" s="191">
        <v>0</v>
      </c>
      <c r="AM28" s="191">
        <v>0</v>
      </c>
      <c r="AN28" s="191"/>
      <c r="AO28" s="191"/>
      <c r="AP28" s="191"/>
      <c r="AQ28" s="374"/>
      <c r="AR28" s="374"/>
      <c r="AS28" s="383"/>
      <c r="AT28" s="383"/>
      <c r="AU28" s="383"/>
      <c r="AV28" s="212">
        <f t="shared" si="2"/>
        <v>22166.5</v>
      </c>
      <c r="AX28" s="33">
        <f t="shared" si="3"/>
        <v>17316</v>
      </c>
      <c r="AY28" s="33">
        <f t="shared" si="3"/>
        <v>0</v>
      </c>
      <c r="AZ28" s="33">
        <f t="shared" si="3"/>
        <v>0</v>
      </c>
      <c r="BA28" s="33">
        <f t="shared" si="3"/>
        <v>0</v>
      </c>
      <c r="BB28" s="33">
        <f t="shared" si="3"/>
        <v>0</v>
      </c>
      <c r="BC28" s="33">
        <f t="shared" si="3"/>
        <v>0</v>
      </c>
      <c r="BD28" s="33">
        <f t="shared" si="3"/>
        <v>4850.5</v>
      </c>
      <c r="BE28" s="58">
        <f t="shared" si="1"/>
        <v>0</v>
      </c>
    </row>
    <row r="29" spans="1:57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Mar 2026'!$A$8:$F$206,6,FALSE)</f>
        <v>Academy</v>
      </c>
      <c r="H29" s="191">
        <v>7108</v>
      </c>
      <c r="I29" s="191">
        <v>0</v>
      </c>
      <c r="J29" s="191">
        <v>0</v>
      </c>
      <c r="K29" s="191">
        <v>22900</v>
      </c>
      <c r="L29" s="191">
        <v>11215</v>
      </c>
      <c r="M29" s="191">
        <v>20105</v>
      </c>
      <c r="N29" s="191">
        <v>0</v>
      </c>
      <c r="O29" s="191">
        <v>0</v>
      </c>
      <c r="P29" s="211">
        <v>0</v>
      </c>
      <c r="Q29" s="211">
        <v>6099.25</v>
      </c>
      <c r="R29" s="211">
        <v>15266.67</v>
      </c>
      <c r="S29" s="211">
        <v>0</v>
      </c>
      <c r="T29" s="211">
        <v>0</v>
      </c>
      <c r="U29" s="211"/>
      <c r="V29" s="211">
        <v>0</v>
      </c>
      <c r="W29" s="211">
        <v>0</v>
      </c>
      <c r="X29" s="191">
        <v>0</v>
      </c>
      <c r="Y29" s="191">
        <v>0</v>
      </c>
      <c r="Z29" s="191">
        <v>0</v>
      </c>
      <c r="AA29" s="191">
        <v>0</v>
      </c>
      <c r="AB29" s="191">
        <v>0</v>
      </c>
      <c r="AC29" s="191">
        <v>0</v>
      </c>
      <c r="AD29" s="191">
        <v>0</v>
      </c>
      <c r="AE29" s="191">
        <v>0</v>
      </c>
      <c r="AF29" s="211">
        <v>0</v>
      </c>
      <c r="AG29" s="211">
        <v>0</v>
      </c>
      <c r="AH29" s="211">
        <v>0</v>
      </c>
      <c r="AI29" s="370"/>
      <c r="AJ29" s="211">
        <v>0</v>
      </c>
      <c r="AK29" s="211">
        <v>0</v>
      </c>
      <c r="AL29" s="191">
        <v>0</v>
      </c>
      <c r="AM29" s="191">
        <v>0</v>
      </c>
      <c r="AN29" s="191"/>
      <c r="AO29" s="191"/>
      <c r="AP29" s="191"/>
      <c r="AQ29" s="374"/>
      <c r="AR29" s="374"/>
      <c r="AS29" s="383"/>
      <c r="AT29" s="383"/>
      <c r="AU29" s="383"/>
      <c r="AV29" s="212">
        <f t="shared" si="2"/>
        <v>82693.919999999998</v>
      </c>
      <c r="AX29" s="33">
        <f t="shared" si="3"/>
        <v>0</v>
      </c>
      <c r="AY29" s="33">
        <f t="shared" si="3"/>
        <v>0</v>
      </c>
      <c r="AZ29" s="33">
        <f t="shared" si="3"/>
        <v>0</v>
      </c>
      <c r="BA29" s="33">
        <f t="shared" si="3"/>
        <v>38166.67</v>
      </c>
      <c r="BB29" s="33">
        <f t="shared" si="3"/>
        <v>38428</v>
      </c>
      <c r="BC29" s="33">
        <f t="shared" si="3"/>
        <v>0</v>
      </c>
      <c r="BD29" s="33">
        <f t="shared" si="3"/>
        <v>6099.25</v>
      </c>
      <c r="BE29" s="58">
        <f t="shared" si="1"/>
        <v>0</v>
      </c>
    </row>
    <row r="30" spans="1:57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Mar 2026'!$A$8:$F$206,6,FALSE)</f>
        <v>Academy</v>
      </c>
      <c r="H30" s="191">
        <v>7587</v>
      </c>
      <c r="I30" s="191">
        <v>0</v>
      </c>
      <c r="J30" s="191">
        <v>0</v>
      </c>
      <c r="K30" s="191">
        <v>46091</v>
      </c>
      <c r="L30" s="191">
        <v>0</v>
      </c>
      <c r="M30" s="191">
        <v>0</v>
      </c>
      <c r="N30" s="191">
        <v>0</v>
      </c>
      <c r="O30" s="191">
        <v>0</v>
      </c>
      <c r="P30" s="211">
        <v>0</v>
      </c>
      <c r="Q30" s="211">
        <v>6486.25</v>
      </c>
      <c r="R30" s="211">
        <v>30727.75</v>
      </c>
      <c r="S30" s="211">
        <v>0</v>
      </c>
      <c r="T30" s="211">
        <v>0</v>
      </c>
      <c r="U30" s="211"/>
      <c r="V30" s="211">
        <v>0</v>
      </c>
      <c r="W30" s="211">
        <v>0</v>
      </c>
      <c r="X30" s="191">
        <v>0</v>
      </c>
      <c r="Y30" s="191">
        <v>0</v>
      </c>
      <c r="Z30" s="191">
        <v>0</v>
      </c>
      <c r="AA30" s="191">
        <v>0</v>
      </c>
      <c r="AB30" s="191">
        <v>0</v>
      </c>
      <c r="AC30" s="191">
        <v>0</v>
      </c>
      <c r="AD30" s="191">
        <v>0</v>
      </c>
      <c r="AE30" s="191">
        <v>0</v>
      </c>
      <c r="AF30" s="211">
        <v>0</v>
      </c>
      <c r="AG30" s="211">
        <v>0</v>
      </c>
      <c r="AH30" s="211">
        <v>0</v>
      </c>
      <c r="AI30" s="370"/>
      <c r="AJ30" s="211">
        <v>0</v>
      </c>
      <c r="AK30" s="211">
        <v>0</v>
      </c>
      <c r="AL30" s="191">
        <v>0</v>
      </c>
      <c r="AM30" s="191">
        <v>0</v>
      </c>
      <c r="AN30" s="191"/>
      <c r="AO30" s="191"/>
      <c r="AP30" s="191"/>
      <c r="AQ30" s="374"/>
      <c r="AR30" s="374"/>
      <c r="AS30" s="383"/>
      <c r="AT30" s="383"/>
      <c r="AU30" s="383"/>
      <c r="AV30" s="212">
        <f t="shared" si="2"/>
        <v>90892</v>
      </c>
      <c r="AX30" s="33">
        <f t="shared" si="3"/>
        <v>0</v>
      </c>
      <c r="AY30" s="33">
        <f t="shared" si="3"/>
        <v>0</v>
      </c>
      <c r="AZ30" s="33">
        <f t="shared" si="3"/>
        <v>0</v>
      </c>
      <c r="BA30" s="33">
        <f t="shared" si="3"/>
        <v>76818.75</v>
      </c>
      <c r="BB30" s="33">
        <f t="shared" si="3"/>
        <v>7587</v>
      </c>
      <c r="BC30" s="33">
        <f t="shared" si="3"/>
        <v>0</v>
      </c>
      <c r="BD30" s="33">
        <f t="shared" si="3"/>
        <v>6486.25</v>
      </c>
      <c r="BE30" s="58">
        <f t="shared" si="1"/>
        <v>0</v>
      </c>
    </row>
    <row r="31" spans="1:57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Mar 2026'!$A$8:$F$206,6,FALSE)</f>
        <v>Chq Bk</v>
      </c>
      <c r="H31" s="191">
        <v>8162</v>
      </c>
      <c r="I31" s="191">
        <v>0</v>
      </c>
      <c r="J31" s="191">
        <v>0</v>
      </c>
      <c r="K31" s="191">
        <v>54240</v>
      </c>
      <c r="L31" s="191">
        <v>26851</v>
      </c>
      <c r="M31" s="191">
        <v>38185</v>
      </c>
      <c r="N31" s="191">
        <v>0</v>
      </c>
      <c r="O31" s="191">
        <v>0</v>
      </c>
      <c r="P31" s="211">
        <v>0</v>
      </c>
      <c r="Q31" s="211"/>
      <c r="R31" s="211">
        <v>54240</v>
      </c>
      <c r="S31" s="211">
        <v>0</v>
      </c>
      <c r="T31" s="211">
        <v>46038</v>
      </c>
      <c r="U31" s="211">
        <v>3666</v>
      </c>
      <c r="V31" s="211">
        <v>0</v>
      </c>
      <c r="W31" s="211">
        <v>0</v>
      </c>
      <c r="X31" s="191">
        <v>9800</v>
      </c>
      <c r="Y31" s="191">
        <v>0</v>
      </c>
      <c r="Z31" s="191">
        <v>22018</v>
      </c>
      <c r="AA31" s="191">
        <v>0</v>
      </c>
      <c r="AB31" s="191">
        <v>0</v>
      </c>
      <c r="AC31" s="191">
        <v>0</v>
      </c>
      <c r="AD31" s="191">
        <v>0</v>
      </c>
      <c r="AE31" s="191">
        <v>0</v>
      </c>
      <c r="AF31" s="211">
        <v>0</v>
      </c>
      <c r="AG31" s="211">
        <v>0</v>
      </c>
      <c r="AH31" s="211">
        <v>54240</v>
      </c>
      <c r="AI31" s="370"/>
      <c r="AJ31" s="211">
        <v>0</v>
      </c>
      <c r="AK31" s="211">
        <v>0</v>
      </c>
      <c r="AL31" s="191">
        <v>54240</v>
      </c>
      <c r="AM31" s="191">
        <v>8977</v>
      </c>
      <c r="AN31" s="191"/>
      <c r="AO31" s="191"/>
      <c r="AP31" s="191"/>
      <c r="AQ31" s="374"/>
      <c r="AR31" s="374"/>
      <c r="AS31" s="383"/>
      <c r="AT31" s="383"/>
      <c r="AU31" s="383"/>
      <c r="AV31" s="212">
        <f t="shared" si="2"/>
        <v>380657</v>
      </c>
      <c r="AX31" s="33">
        <f t="shared" si="3"/>
        <v>71722</v>
      </c>
      <c r="AY31" s="33">
        <f t="shared" si="3"/>
        <v>0</v>
      </c>
      <c r="AZ31" s="33">
        <f t="shared" si="3"/>
        <v>0</v>
      </c>
      <c r="BA31" s="33">
        <f t="shared" si="3"/>
        <v>216960</v>
      </c>
      <c r="BB31" s="33">
        <f t="shared" si="3"/>
        <v>82998</v>
      </c>
      <c r="BC31" s="33">
        <f t="shared" si="3"/>
        <v>0</v>
      </c>
      <c r="BD31" s="33">
        <f t="shared" si="3"/>
        <v>8977</v>
      </c>
      <c r="BE31" s="58">
        <f t="shared" si="1"/>
        <v>0</v>
      </c>
    </row>
    <row r="32" spans="1:57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Mar 2026'!$A$8:$F$206,6,FALSE)</f>
        <v>Chq Bk</v>
      </c>
      <c r="H32" s="191">
        <v>0</v>
      </c>
      <c r="I32" s="191">
        <v>0</v>
      </c>
      <c r="J32" s="191">
        <v>0</v>
      </c>
      <c r="K32" s="191">
        <v>108381</v>
      </c>
      <c r="L32" s="191">
        <v>0</v>
      </c>
      <c r="M32" s="191">
        <v>0</v>
      </c>
      <c r="N32" s="191">
        <v>0</v>
      </c>
      <c r="O32" s="191">
        <v>0</v>
      </c>
      <c r="P32" s="211">
        <v>0</v>
      </c>
      <c r="Q32" s="211">
        <v>0</v>
      </c>
      <c r="R32" s="211">
        <v>108381</v>
      </c>
      <c r="S32" s="211">
        <v>0</v>
      </c>
      <c r="T32" s="211">
        <v>83092</v>
      </c>
      <c r="U32" s="211">
        <v>0</v>
      </c>
      <c r="V32" s="211">
        <v>3854.4</v>
      </c>
      <c r="W32" s="211">
        <v>0</v>
      </c>
      <c r="X32" s="191">
        <v>0</v>
      </c>
      <c r="Y32" s="191">
        <v>0</v>
      </c>
      <c r="Z32" s="191">
        <v>65601</v>
      </c>
      <c r="AA32" s="191">
        <v>0</v>
      </c>
      <c r="AB32" s="191">
        <v>0</v>
      </c>
      <c r="AC32" s="191">
        <v>0</v>
      </c>
      <c r="AD32" s="191">
        <v>0</v>
      </c>
      <c r="AE32" s="191">
        <v>1713.86</v>
      </c>
      <c r="AF32" s="211">
        <v>7200</v>
      </c>
      <c r="AG32" s="211">
        <v>0</v>
      </c>
      <c r="AH32" s="211">
        <v>107574</v>
      </c>
      <c r="AI32" s="370"/>
      <c r="AJ32" s="211">
        <v>0</v>
      </c>
      <c r="AK32" s="211">
        <v>0</v>
      </c>
      <c r="AL32" s="191">
        <v>108114</v>
      </c>
      <c r="AM32" s="191">
        <v>0</v>
      </c>
      <c r="AN32" s="191"/>
      <c r="AO32" s="191"/>
      <c r="AP32" s="191"/>
      <c r="AQ32" s="374"/>
      <c r="AR32" s="374"/>
      <c r="AS32" s="383"/>
      <c r="AT32" s="383"/>
      <c r="AU32" s="383"/>
      <c r="AV32" s="212">
        <f t="shared" si="2"/>
        <v>593911.26</v>
      </c>
      <c r="AX32" s="33">
        <f t="shared" si="3"/>
        <v>148693</v>
      </c>
      <c r="AY32" s="33">
        <f t="shared" si="3"/>
        <v>0</v>
      </c>
      <c r="AZ32" s="33">
        <f t="shared" si="3"/>
        <v>0</v>
      </c>
      <c r="BA32" s="33">
        <f t="shared" si="3"/>
        <v>432450</v>
      </c>
      <c r="BB32" s="33">
        <f t="shared" si="3"/>
        <v>12768.26</v>
      </c>
      <c r="BC32" s="33">
        <f t="shared" si="3"/>
        <v>0</v>
      </c>
      <c r="BD32" s="33">
        <f t="shared" si="3"/>
        <v>0</v>
      </c>
      <c r="BE32" s="58">
        <f t="shared" si="1"/>
        <v>0</v>
      </c>
    </row>
    <row r="33" spans="1:57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Mar 2026'!$A$8:$F$206,6,FALSE)</f>
        <v>Chq Bk</v>
      </c>
      <c r="H33" s="191">
        <v>0</v>
      </c>
      <c r="I33" s="191">
        <v>0</v>
      </c>
      <c r="J33" s="191">
        <v>0</v>
      </c>
      <c r="K33" s="191">
        <v>0</v>
      </c>
      <c r="L33" s="191">
        <v>0</v>
      </c>
      <c r="M33" s="191">
        <v>0</v>
      </c>
      <c r="N33" s="191">
        <v>0</v>
      </c>
      <c r="O33" s="191">
        <v>0</v>
      </c>
      <c r="P33" s="211">
        <v>6405</v>
      </c>
      <c r="Q33" s="211">
        <v>5228.5</v>
      </c>
      <c r="R33" s="211">
        <v>0</v>
      </c>
      <c r="S33" s="211">
        <v>0</v>
      </c>
      <c r="T33" s="211">
        <v>0</v>
      </c>
      <c r="U33" s="211">
        <v>18816</v>
      </c>
      <c r="V33" s="211">
        <v>0</v>
      </c>
      <c r="W33" s="211">
        <v>0</v>
      </c>
      <c r="X33" s="191">
        <v>0</v>
      </c>
      <c r="Y33" s="191">
        <v>0</v>
      </c>
      <c r="Z33" s="191">
        <v>0</v>
      </c>
      <c r="AA33" s="191">
        <v>0</v>
      </c>
      <c r="AB33" s="191">
        <v>0</v>
      </c>
      <c r="AC33" s="191">
        <v>0</v>
      </c>
      <c r="AD33" s="191">
        <v>0</v>
      </c>
      <c r="AE33" s="191">
        <v>0</v>
      </c>
      <c r="AF33" s="211">
        <v>0</v>
      </c>
      <c r="AG33" s="211">
        <v>0</v>
      </c>
      <c r="AH33" s="211">
        <v>0</v>
      </c>
      <c r="AI33" s="370"/>
      <c r="AJ33" s="211">
        <v>0</v>
      </c>
      <c r="AK33" s="211">
        <v>0</v>
      </c>
      <c r="AL33" s="191">
        <v>0</v>
      </c>
      <c r="AM33" s="191">
        <v>0</v>
      </c>
      <c r="AN33" s="191"/>
      <c r="AO33" s="191"/>
      <c r="AP33" s="191"/>
      <c r="AQ33" s="374"/>
      <c r="AR33" s="374"/>
      <c r="AS33" s="383"/>
      <c r="AT33" s="383"/>
      <c r="AU33" s="383"/>
      <c r="AV33" s="212">
        <f t="shared" si="2"/>
        <v>30449.5</v>
      </c>
      <c r="AX33" s="33">
        <f t="shared" si="3"/>
        <v>25221</v>
      </c>
      <c r="AY33" s="33">
        <f t="shared" si="3"/>
        <v>0</v>
      </c>
      <c r="AZ33" s="33">
        <f t="shared" si="3"/>
        <v>0</v>
      </c>
      <c r="BA33" s="33">
        <f t="shared" si="3"/>
        <v>0</v>
      </c>
      <c r="BB33" s="33">
        <f t="shared" si="3"/>
        <v>0</v>
      </c>
      <c r="BC33" s="33">
        <f t="shared" si="3"/>
        <v>0</v>
      </c>
      <c r="BD33" s="33">
        <f t="shared" si="3"/>
        <v>5228.5</v>
      </c>
      <c r="BE33" s="58">
        <f t="shared" si="1"/>
        <v>0</v>
      </c>
    </row>
    <row r="34" spans="1:57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Mar 2026'!$A$8:$F$206,6,FALSE)</f>
        <v>Chq Bk</v>
      </c>
      <c r="H34" s="191">
        <v>8167</v>
      </c>
      <c r="I34" s="191">
        <v>0</v>
      </c>
      <c r="J34" s="191">
        <v>0</v>
      </c>
      <c r="K34" s="191">
        <v>31968</v>
      </c>
      <c r="L34" s="191">
        <v>26707</v>
      </c>
      <c r="M34" s="191">
        <v>39921</v>
      </c>
      <c r="N34" s="191">
        <v>0</v>
      </c>
      <c r="O34" s="191">
        <v>0</v>
      </c>
      <c r="P34" s="211">
        <v>0</v>
      </c>
      <c r="Q34" s="211">
        <v>8725</v>
      </c>
      <c r="R34" s="211">
        <v>31968</v>
      </c>
      <c r="S34" s="211">
        <v>0</v>
      </c>
      <c r="T34" s="211">
        <v>41456</v>
      </c>
      <c r="U34" s="211">
        <v>0</v>
      </c>
      <c r="V34" s="211">
        <v>0</v>
      </c>
      <c r="W34" s="211">
        <v>0</v>
      </c>
      <c r="X34" s="191">
        <v>9805</v>
      </c>
      <c r="Y34" s="191">
        <v>0</v>
      </c>
      <c r="Z34" s="191">
        <v>19881</v>
      </c>
      <c r="AA34" s="191">
        <v>0</v>
      </c>
      <c r="AB34" s="191">
        <v>0</v>
      </c>
      <c r="AC34" s="191">
        <v>0</v>
      </c>
      <c r="AD34" s="191">
        <v>0</v>
      </c>
      <c r="AE34" s="191">
        <v>0</v>
      </c>
      <c r="AF34" s="211">
        <v>0</v>
      </c>
      <c r="AG34" s="211">
        <v>0</v>
      </c>
      <c r="AH34" s="211">
        <v>31968</v>
      </c>
      <c r="AI34" s="370"/>
      <c r="AJ34" s="211">
        <v>0</v>
      </c>
      <c r="AK34" s="211">
        <v>0</v>
      </c>
      <c r="AL34" s="191">
        <v>31971</v>
      </c>
      <c r="AM34" s="191">
        <v>0</v>
      </c>
      <c r="AN34" s="191"/>
      <c r="AO34" s="191"/>
      <c r="AP34" s="191"/>
      <c r="AQ34" s="374"/>
      <c r="AR34" s="374"/>
      <c r="AS34" s="383"/>
      <c r="AT34" s="383"/>
      <c r="AU34" s="383"/>
      <c r="AV34" s="212">
        <f t="shared" si="2"/>
        <v>282537</v>
      </c>
      <c r="AX34" s="33">
        <f t="shared" si="3"/>
        <v>61337</v>
      </c>
      <c r="AY34" s="33">
        <f t="shared" si="3"/>
        <v>0</v>
      </c>
      <c r="AZ34" s="33">
        <f t="shared" si="3"/>
        <v>0</v>
      </c>
      <c r="BA34" s="33">
        <f t="shared" si="3"/>
        <v>127875</v>
      </c>
      <c r="BB34" s="33">
        <f t="shared" si="3"/>
        <v>84600</v>
      </c>
      <c r="BC34" s="33">
        <f t="shared" si="3"/>
        <v>0</v>
      </c>
      <c r="BD34" s="33">
        <f t="shared" si="3"/>
        <v>8725</v>
      </c>
      <c r="BE34" s="58">
        <f t="shared" si="1"/>
        <v>0</v>
      </c>
    </row>
    <row r="35" spans="1:57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Mar 2026'!$A$8:$F$206,6,FALSE)</f>
        <v>Chq Bk</v>
      </c>
      <c r="H35" s="191">
        <v>7125</v>
      </c>
      <c r="I35" s="191">
        <v>0</v>
      </c>
      <c r="J35" s="191">
        <v>229198.78277048608</v>
      </c>
      <c r="K35" s="191">
        <v>27648</v>
      </c>
      <c r="L35" s="191">
        <v>731</v>
      </c>
      <c r="M35" s="191">
        <v>2749</v>
      </c>
      <c r="N35" s="191">
        <v>0</v>
      </c>
      <c r="O35" s="191">
        <v>0</v>
      </c>
      <c r="P35" s="211">
        <v>0</v>
      </c>
      <c r="Q35" s="211">
        <v>9771.25</v>
      </c>
      <c r="R35" s="211">
        <v>27648</v>
      </c>
      <c r="S35" s="211">
        <v>0</v>
      </c>
      <c r="T35" s="211">
        <v>0</v>
      </c>
      <c r="U35" s="211">
        <v>0</v>
      </c>
      <c r="V35" s="211">
        <v>876</v>
      </c>
      <c r="W35" s="211">
        <v>55346.936510960986</v>
      </c>
      <c r="X35" s="191">
        <v>8530</v>
      </c>
      <c r="Y35" s="191">
        <v>0</v>
      </c>
      <c r="Z35" s="191">
        <v>0</v>
      </c>
      <c r="AA35" s="191">
        <v>37827.839999999997</v>
      </c>
      <c r="AB35" s="191">
        <v>-1994.5865217391299</v>
      </c>
      <c r="AC35" s="191">
        <v>-2660.9358695652172</v>
      </c>
      <c r="AD35" s="191">
        <v>0</v>
      </c>
      <c r="AE35" s="191">
        <v>1713.86</v>
      </c>
      <c r="AF35" s="211">
        <v>2400</v>
      </c>
      <c r="AG35" s="211">
        <v>0</v>
      </c>
      <c r="AH35" s="211">
        <v>26514</v>
      </c>
      <c r="AI35" s="370"/>
      <c r="AJ35" s="211">
        <v>0</v>
      </c>
      <c r="AK35" s="211">
        <v>0</v>
      </c>
      <c r="AL35" s="191">
        <v>27270</v>
      </c>
      <c r="AM35" s="191">
        <v>0</v>
      </c>
      <c r="AN35" s="191"/>
      <c r="AO35" s="191"/>
      <c r="AP35" s="191"/>
      <c r="AQ35" s="374"/>
      <c r="AR35" s="374"/>
      <c r="AS35" s="383"/>
      <c r="AT35" s="383"/>
      <c r="AU35" s="383"/>
      <c r="AV35" s="212">
        <f t="shared" si="2"/>
        <v>460694.1468901427</v>
      </c>
      <c r="AX35" s="33">
        <f t="shared" si="3"/>
        <v>-4655.5223913043474</v>
      </c>
      <c r="AY35" s="33">
        <f t="shared" si="3"/>
        <v>0</v>
      </c>
      <c r="AZ35" s="33">
        <f t="shared" si="3"/>
        <v>322373.55928144709</v>
      </c>
      <c r="BA35" s="33">
        <f t="shared" si="3"/>
        <v>109080</v>
      </c>
      <c r="BB35" s="33">
        <f t="shared" si="3"/>
        <v>24124.86</v>
      </c>
      <c r="BC35" s="33">
        <f t="shared" si="3"/>
        <v>0</v>
      </c>
      <c r="BD35" s="33">
        <f t="shared" si="3"/>
        <v>9771.25</v>
      </c>
      <c r="BE35" s="58">
        <f t="shared" si="1"/>
        <v>0</v>
      </c>
    </row>
    <row r="36" spans="1:57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Mar 2026'!$A$8:$F$206,6,FALSE)</f>
        <v>Chq Bk</v>
      </c>
      <c r="H36" s="191">
        <v>8221</v>
      </c>
      <c r="I36" s="191">
        <v>0</v>
      </c>
      <c r="J36" s="191">
        <v>0</v>
      </c>
      <c r="K36" s="191">
        <v>45607</v>
      </c>
      <c r="L36" s="191">
        <v>24191</v>
      </c>
      <c r="M36" s="191">
        <v>36450</v>
      </c>
      <c r="N36" s="191">
        <v>0</v>
      </c>
      <c r="O36" s="191">
        <v>0</v>
      </c>
      <c r="P36" s="211">
        <v>0</v>
      </c>
      <c r="Q36" s="211">
        <v>9024.25</v>
      </c>
      <c r="R36" s="211">
        <v>45607</v>
      </c>
      <c r="S36" s="211">
        <v>0</v>
      </c>
      <c r="T36" s="211">
        <v>46465</v>
      </c>
      <c r="U36" s="211">
        <v>2444</v>
      </c>
      <c r="V36" s="211">
        <v>0</v>
      </c>
      <c r="W36" s="211">
        <v>0</v>
      </c>
      <c r="X36" s="191">
        <v>9820</v>
      </c>
      <c r="Y36" s="191">
        <v>0</v>
      </c>
      <c r="Z36" s="191">
        <v>24091</v>
      </c>
      <c r="AA36" s="191">
        <v>0</v>
      </c>
      <c r="AB36" s="191">
        <v>0</v>
      </c>
      <c r="AC36" s="191">
        <v>0</v>
      </c>
      <c r="AD36" s="191">
        <v>0</v>
      </c>
      <c r="AE36" s="191">
        <v>571.29</v>
      </c>
      <c r="AF36" s="211">
        <v>0</v>
      </c>
      <c r="AG36" s="211">
        <v>0</v>
      </c>
      <c r="AH36" s="211">
        <v>44470</v>
      </c>
      <c r="AI36" s="370"/>
      <c r="AJ36" s="211">
        <v>0</v>
      </c>
      <c r="AK36" s="211">
        <v>0</v>
      </c>
      <c r="AL36" s="191">
        <v>45231</v>
      </c>
      <c r="AM36" s="191">
        <v>0</v>
      </c>
      <c r="AN36" s="191"/>
      <c r="AO36" s="191"/>
      <c r="AP36" s="191"/>
      <c r="AQ36" s="374"/>
      <c r="AR36" s="374"/>
      <c r="AS36" s="383"/>
      <c r="AT36" s="383"/>
      <c r="AU36" s="383"/>
      <c r="AV36" s="212">
        <f t="shared" si="2"/>
        <v>342192.54000000004</v>
      </c>
      <c r="AX36" s="33">
        <f t="shared" si="3"/>
        <v>73000</v>
      </c>
      <c r="AY36" s="33">
        <f t="shared" si="3"/>
        <v>0</v>
      </c>
      <c r="AZ36" s="33">
        <f t="shared" si="3"/>
        <v>0</v>
      </c>
      <c r="BA36" s="33">
        <f t="shared" si="3"/>
        <v>180915</v>
      </c>
      <c r="BB36" s="33">
        <f t="shared" si="3"/>
        <v>79253.289999999994</v>
      </c>
      <c r="BC36" s="33">
        <f t="shared" si="3"/>
        <v>0</v>
      </c>
      <c r="BD36" s="33">
        <f t="shared" si="3"/>
        <v>9024.25</v>
      </c>
      <c r="BE36" s="58">
        <f t="shared" si="1"/>
        <v>0</v>
      </c>
    </row>
    <row r="37" spans="1:57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Mar 2026'!$A$8:$F$206,6,FALSE)</f>
        <v>Chq Bk</v>
      </c>
      <c r="H37" s="191">
        <v>8158</v>
      </c>
      <c r="I37" s="191">
        <v>0</v>
      </c>
      <c r="J37" s="191">
        <v>0</v>
      </c>
      <c r="K37" s="191">
        <v>31615</v>
      </c>
      <c r="L37" s="191">
        <v>34234</v>
      </c>
      <c r="M37" s="191">
        <v>45272</v>
      </c>
      <c r="N37" s="191">
        <v>0</v>
      </c>
      <c r="O37" s="191">
        <v>0</v>
      </c>
      <c r="P37" s="211">
        <v>0</v>
      </c>
      <c r="Q37" s="211"/>
      <c r="R37" s="211">
        <v>31615</v>
      </c>
      <c r="S37" s="211">
        <v>0</v>
      </c>
      <c r="T37" s="211">
        <v>41375</v>
      </c>
      <c r="U37" s="211">
        <v>4230</v>
      </c>
      <c r="V37" s="211">
        <v>0</v>
      </c>
      <c r="W37" s="211">
        <v>0</v>
      </c>
      <c r="X37" s="191">
        <v>9785</v>
      </c>
      <c r="Y37" s="191">
        <v>0</v>
      </c>
      <c r="Z37" s="191">
        <v>19842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211">
        <v>0</v>
      </c>
      <c r="AG37" s="211">
        <v>0</v>
      </c>
      <c r="AH37" s="211">
        <v>31615</v>
      </c>
      <c r="AI37" s="370"/>
      <c r="AJ37" s="211">
        <v>0</v>
      </c>
      <c r="AK37" s="211">
        <v>0</v>
      </c>
      <c r="AL37" s="191">
        <v>31615</v>
      </c>
      <c r="AM37" s="191">
        <v>9006.25</v>
      </c>
      <c r="AN37" s="191"/>
      <c r="AO37" s="191"/>
      <c r="AP37" s="191"/>
      <c r="AQ37" s="374"/>
      <c r="AR37" s="374"/>
      <c r="AS37" s="383"/>
      <c r="AT37" s="383"/>
      <c r="AU37" s="383"/>
      <c r="AV37" s="212">
        <f t="shared" si="2"/>
        <v>298362.25</v>
      </c>
      <c r="AX37" s="33">
        <f t="shared" si="3"/>
        <v>65447</v>
      </c>
      <c r="AY37" s="33">
        <f t="shared" si="3"/>
        <v>0</v>
      </c>
      <c r="AZ37" s="33">
        <f t="shared" si="3"/>
        <v>0</v>
      </c>
      <c r="BA37" s="33">
        <f t="shared" si="3"/>
        <v>126460</v>
      </c>
      <c r="BB37" s="33">
        <f t="shared" si="3"/>
        <v>97449</v>
      </c>
      <c r="BC37" s="33">
        <f t="shared" si="3"/>
        <v>0</v>
      </c>
      <c r="BD37" s="33">
        <f t="shared" si="3"/>
        <v>9006.25</v>
      </c>
      <c r="BE37" s="58">
        <f t="shared" si="1"/>
        <v>0</v>
      </c>
    </row>
    <row r="38" spans="1:57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Mar 2026'!$A$8:$F$206,6,FALSE)</f>
        <v>Chq Bk</v>
      </c>
      <c r="H38" s="191">
        <v>7396</v>
      </c>
      <c r="I38" s="191">
        <v>0</v>
      </c>
      <c r="J38" s="191">
        <v>0</v>
      </c>
      <c r="K38" s="191">
        <v>40526</v>
      </c>
      <c r="L38" s="191">
        <v>7237</v>
      </c>
      <c r="M38" s="191">
        <v>10559</v>
      </c>
      <c r="N38" s="191">
        <v>0</v>
      </c>
      <c r="O38" s="191">
        <v>0</v>
      </c>
      <c r="P38" s="211">
        <v>0</v>
      </c>
      <c r="Q38" s="211">
        <v>6440.8</v>
      </c>
      <c r="R38" s="211">
        <v>40526</v>
      </c>
      <c r="S38" s="211">
        <v>0</v>
      </c>
      <c r="T38" s="211">
        <v>26037</v>
      </c>
      <c r="U38" s="211">
        <v>2030.4</v>
      </c>
      <c r="V38" s="211">
        <v>0</v>
      </c>
      <c r="W38" s="211">
        <v>0</v>
      </c>
      <c r="X38" s="191">
        <v>8835</v>
      </c>
      <c r="Y38" s="191">
        <v>0</v>
      </c>
      <c r="Z38" s="191">
        <v>12552</v>
      </c>
      <c r="AA38" s="191">
        <v>0</v>
      </c>
      <c r="AB38" s="191">
        <v>0</v>
      </c>
      <c r="AC38" s="191">
        <v>0</v>
      </c>
      <c r="AD38" s="191">
        <v>0</v>
      </c>
      <c r="AE38" s="191">
        <v>285.64</v>
      </c>
      <c r="AF38" s="211">
        <v>0</v>
      </c>
      <c r="AG38" s="211">
        <v>0</v>
      </c>
      <c r="AH38" s="211">
        <v>40526</v>
      </c>
      <c r="AI38" s="370"/>
      <c r="AJ38" s="211">
        <v>0</v>
      </c>
      <c r="AK38" s="211">
        <v>0</v>
      </c>
      <c r="AL38" s="191">
        <v>40527</v>
      </c>
      <c r="AM38" s="191">
        <v>0</v>
      </c>
      <c r="AN38" s="191"/>
      <c r="AO38" s="191"/>
      <c r="AP38" s="191"/>
      <c r="AQ38" s="374"/>
      <c r="AR38" s="374"/>
      <c r="AS38" s="383"/>
      <c r="AT38" s="383"/>
      <c r="AU38" s="383"/>
      <c r="AV38" s="212">
        <f t="shared" si="2"/>
        <v>243477.84</v>
      </c>
      <c r="AX38" s="33">
        <f t="shared" si="3"/>
        <v>40619.4</v>
      </c>
      <c r="AY38" s="33">
        <f t="shared" si="3"/>
        <v>0</v>
      </c>
      <c r="AZ38" s="33">
        <f t="shared" si="3"/>
        <v>0</v>
      </c>
      <c r="BA38" s="33">
        <f t="shared" si="3"/>
        <v>162105</v>
      </c>
      <c r="BB38" s="33">
        <f t="shared" si="3"/>
        <v>34312.639999999999</v>
      </c>
      <c r="BC38" s="33">
        <f t="shared" si="3"/>
        <v>0</v>
      </c>
      <c r="BD38" s="33">
        <f t="shared" si="3"/>
        <v>6440.8</v>
      </c>
      <c r="BE38" s="58">
        <f t="shared" si="1"/>
        <v>0</v>
      </c>
    </row>
    <row r="39" spans="1:57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Mar 2026'!$A$8:$F$206,6,FALSE)</f>
        <v>Chq Bk</v>
      </c>
      <c r="H39" s="191">
        <v>7946</v>
      </c>
      <c r="I39" s="191">
        <v>0</v>
      </c>
      <c r="J39" s="191">
        <v>0</v>
      </c>
      <c r="K39" s="191">
        <v>62115</v>
      </c>
      <c r="L39" s="191">
        <v>15343</v>
      </c>
      <c r="M39" s="191">
        <v>24444</v>
      </c>
      <c r="N39" s="191">
        <v>0</v>
      </c>
      <c r="O39" s="191">
        <v>0</v>
      </c>
      <c r="P39" s="211">
        <v>0</v>
      </c>
      <c r="Q39" s="211">
        <v>0</v>
      </c>
      <c r="R39" s="211">
        <v>62115</v>
      </c>
      <c r="S39" s="211">
        <v>0</v>
      </c>
      <c r="T39" s="211">
        <v>43085</v>
      </c>
      <c r="U39" s="211">
        <v>4042</v>
      </c>
      <c r="V39" s="211">
        <v>0</v>
      </c>
      <c r="W39" s="211">
        <v>0</v>
      </c>
      <c r="X39" s="191">
        <v>9525</v>
      </c>
      <c r="Y39" s="191">
        <v>0</v>
      </c>
      <c r="Z39" s="191">
        <v>20606</v>
      </c>
      <c r="AA39" s="191">
        <v>0</v>
      </c>
      <c r="AB39" s="191">
        <v>0</v>
      </c>
      <c r="AC39" s="191">
        <v>0</v>
      </c>
      <c r="AD39" s="191">
        <v>0</v>
      </c>
      <c r="AE39" s="191">
        <v>0</v>
      </c>
      <c r="AF39" s="211">
        <v>2400</v>
      </c>
      <c r="AG39" s="211">
        <v>0</v>
      </c>
      <c r="AH39" s="211">
        <v>60978</v>
      </c>
      <c r="AI39" s="370"/>
      <c r="AJ39" s="211">
        <v>0</v>
      </c>
      <c r="AK39" s="211">
        <v>0</v>
      </c>
      <c r="AL39" s="191">
        <v>61737</v>
      </c>
      <c r="AM39" s="191">
        <v>0</v>
      </c>
      <c r="AN39" s="191"/>
      <c r="AO39" s="191"/>
      <c r="AP39" s="191"/>
      <c r="AQ39" s="374"/>
      <c r="AR39" s="374"/>
      <c r="AS39" s="383"/>
      <c r="AT39" s="383"/>
      <c r="AU39" s="383"/>
      <c r="AV39" s="212">
        <f t="shared" si="2"/>
        <v>374336</v>
      </c>
      <c r="AX39" s="33">
        <f t="shared" si="3"/>
        <v>67733</v>
      </c>
      <c r="AY39" s="33">
        <f t="shared" si="3"/>
        <v>0</v>
      </c>
      <c r="AZ39" s="33">
        <f t="shared" si="3"/>
        <v>0</v>
      </c>
      <c r="BA39" s="33">
        <f t="shared" si="3"/>
        <v>246945</v>
      </c>
      <c r="BB39" s="33">
        <f t="shared" si="3"/>
        <v>59658</v>
      </c>
      <c r="BC39" s="33">
        <f t="shared" si="3"/>
        <v>0</v>
      </c>
      <c r="BD39" s="33">
        <f t="shared" si="3"/>
        <v>0</v>
      </c>
      <c r="BE39" s="58">
        <f t="shared" ref="BE39:BE70" si="4">SUM(AX39:BD39)-AV39</f>
        <v>0</v>
      </c>
    </row>
    <row r="40" spans="1:57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Mar 2026'!$A$8:$F$206,6,FALSE)</f>
        <v>Chq Bk</v>
      </c>
      <c r="H40" s="191">
        <v>6917</v>
      </c>
      <c r="I40" s="191">
        <v>0</v>
      </c>
      <c r="J40" s="191">
        <v>1238912.3392999249</v>
      </c>
      <c r="K40" s="191">
        <v>115526</v>
      </c>
      <c r="L40" s="191">
        <v>-562</v>
      </c>
      <c r="M40" s="191">
        <v>0</v>
      </c>
      <c r="N40" s="191">
        <v>0</v>
      </c>
      <c r="O40" s="191">
        <v>0</v>
      </c>
      <c r="P40" s="211">
        <v>0</v>
      </c>
      <c r="Q40" s="211">
        <v>22832.5</v>
      </c>
      <c r="R40" s="211">
        <v>115526</v>
      </c>
      <c r="S40" s="211">
        <v>0</v>
      </c>
      <c r="T40" s="211">
        <v>0</v>
      </c>
      <c r="U40" s="211">
        <v>0</v>
      </c>
      <c r="V40" s="211">
        <v>0</v>
      </c>
      <c r="W40" s="211">
        <v>299172.62978897832</v>
      </c>
      <c r="X40" s="191">
        <v>8450</v>
      </c>
      <c r="Y40" s="191">
        <v>0</v>
      </c>
      <c r="Z40" s="191">
        <v>0</v>
      </c>
      <c r="AA40" s="191">
        <v>204474.81</v>
      </c>
      <c r="AB40" s="191">
        <v>7834.95</v>
      </c>
      <c r="AC40" s="191">
        <v>10452.42</v>
      </c>
      <c r="AD40" s="191">
        <v>0</v>
      </c>
      <c r="AE40" s="191">
        <v>5141.58</v>
      </c>
      <c r="AF40" s="211">
        <v>9600</v>
      </c>
      <c r="AG40" s="211">
        <v>0</v>
      </c>
      <c r="AH40" s="211">
        <v>109223</v>
      </c>
      <c r="AI40" s="370"/>
      <c r="AJ40" s="211">
        <v>0</v>
      </c>
      <c r="AK40" s="211">
        <v>0</v>
      </c>
      <c r="AL40" s="191">
        <v>113425</v>
      </c>
      <c r="AM40" s="191">
        <v>0</v>
      </c>
      <c r="AN40" s="191"/>
      <c r="AO40" s="191"/>
      <c r="AP40" s="191"/>
      <c r="AQ40" s="374"/>
      <c r="AR40" s="374"/>
      <c r="AS40" s="383"/>
      <c r="AT40" s="383"/>
      <c r="AU40" s="383"/>
      <c r="AV40" s="212">
        <f t="shared" si="2"/>
        <v>2266926.2290889034</v>
      </c>
      <c r="AX40" s="33">
        <f t="shared" ref="AX40:BD65" si="5">SUMIF($H$3:$AU$3,AX$6,$H40:$AU40)</f>
        <v>18287.37</v>
      </c>
      <c r="AY40" s="33">
        <f t="shared" si="5"/>
        <v>0</v>
      </c>
      <c r="AZ40" s="33">
        <f t="shared" si="5"/>
        <v>1742559.7790889032</v>
      </c>
      <c r="BA40" s="33">
        <f t="shared" si="5"/>
        <v>453700</v>
      </c>
      <c r="BB40" s="33">
        <f t="shared" si="5"/>
        <v>29546.58</v>
      </c>
      <c r="BC40" s="33">
        <f t="shared" si="5"/>
        <v>0</v>
      </c>
      <c r="BD40" s="33">
        <f t="shared" si="5"/>
        <v>22832.5</v>
      </c>
      <c r="BE40" s="58">
        <f t="shared" si="4"/>
        <v>0</v>
      </c>
    </row>
    <row r="41" spans="1:57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Mar 2026'!$A$8:$F$206,6,FALSE)</f>
        <v>Chq Bk</v>
      </c>
      <c r="H41" s="191">
        <v>9579</v>
      </c>
      <c r="I41" s="191">
        <v>0</v>
      </c>
      <c r="J41" s="191">
        <v>0</v>
      </c>
      <c r="K41" s="191">
        <v>168722</v>
      </c>
      <c r="L41" s="191">
        <v>30214</v>
      </c>
      <c r="M41" s="191">
        <v>39342</v>
      </c>
      <c r="N41" s="191">
        <v>0</v>
      </c>
      <c r="O41" s="191">
        <v>0</v>
      </c>
      <c r="P41" s="211">
        <v>0</v>
      </c>
      <c r="Q41" s="211"/>
      <c r="R41" s="211">
        <v>168722</v>
      </c>
      <c r="S41" s="211">
        <v>0</v>
      </c>
      <c r="T41" s="211">
        <v>99301</v>
      </c>
      <c r="U41" s="211">
        <v>8178</v>
      </c>
      <c r="V41" s="211">
        <v>0</v>
      </c>
      <c r="W41" s="211">
        <v>0</v>
      </c>
      <c r="X41" s="191">
        <v>11530</v>
      </c>
      <c r="Y41" s="191">
        <v>0</v>
      </c>
      <c r="Z41" s="191">
        <v>47111</v>
      </c>
      <c r="AA41" s="191">
        <v>0</v>
      </c>
      <c r="AB41" s="191">
        <v>0</v>
      </c>
      <c r="AC41" s="191">
        <v>0</v>
      </c>
      <c r="AD41" s="191">
        <v>0</v>
      </c>
      <c r="AE41" s="191">
        <v>571.29</v>
      </c>
      <c r="AF41" s="211">
        <v>9600</v>
      </c>
      <c r="AG41" s="211">
        <v>0</v>
      </c>
      <c r="AH41" s="211">
        <v>168722</v>
      </c>
      <c r="AI41" s="370"/>
      <c r="AJ41" s="211">
        <v>0</v>
      </c>
      <c r="AK41" s="211">
        <v>0</v>
      </c>
      <c r="AL41" s="191">
        <v>168724</v>
      </c>
      <c r="AM41" s="191">
        <v>13688.5</v>
      </c>
      <c r="AN41" s="191"/>
      <c r="AO41" s="191"/>
      <c r="AP41" s="191"/>
      <c r="AQ41" s="374"/>
      <c r="AR41" s="374"/>
      <c r="AS41" s="383"/>
      <c r="AT41" s="383"/>
      <c r="AU41" s="383"/>
      <c r="AV41" s="212">
        <f t="shared" si="2"/>
        <v>944004.79</v>
      </c>
      <c r="AX41" s="33">
        <f t="shared" si="5"/>
        <v>154590</v>
      </c>
      <c r="AY41" s="33">
        <f t="shared" si="5"/>
        <v>0</v>
      </c>
      <c r="AZ41" s="33">
        <f t="shared" si="5"/>
        <v>0</v>
      </c>
      <c r="BA41" s="33">
        <f t="shared" si="5"/>
        <v>674890</v>
      </c>
      <c r="BB41" s="33">
        <f t="shared" si="5"/>
        <v>100836.29</v>
      </c>
      <c r="BC41" s="33">
        <f t="shared" si="5"/>
        <v>0</v>
      </c>
      <c r="BD41" s="33">
        <f t="shared" si="5"/>
        <v>13688.5</v>
      </c>
      <c r="BE41" s="58">
        <f t="shared" si="4"/>
        <v>0</v>
      </c>
    </row>
    <row r="42" spans="1:57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Mar 2026'!$A$8:$F$206,6,FALSE)</f>
        <v>Chq Bk</v>
      </c>
      <c r="H42" s="191">
        <v>8133</v>
      </c>
      <c r="I42" s="191">
        <v>0</v>
      </c>
      <c r="J42" s="191">
        <v>0</v>
      </c>
      <c r="K42" s="191">
        <v>50173</v>
      </c>
      <c r="L42" s="191">
        <v>25806</v>
      </c>
      <c r="M42" s="191">
        <v>35003</v>
      </c>
      <c r="N42" s="191">
        <v>0</v>
      </c>
      <c r="O42" s="191">
        <v>0</v>
      </c>
      <c r="P42" s="211">
        <v>0</v>
      </c>
      <c r="Q42" s="211">
        <v>8623.75</v>
      </c>
      <c r="R42" s="211">
        <v>50173</v>
      </c>
      <c r="S42" s="211">
        <v>0</v>
      </c>
      <c r="T42" s="211">
        <v>44518</v>
      </c>
      <c r="U42" s="211">
        <v>0</v>
      </c>
      <c r="V42" s="211">
        <v>0</v>
      </c>
      <c r="W42" s="211">
        <v>0</v>
      </c>
      <c r="X42" s="191">
        <v>9775</v>
      </c>
      <c r="Y42" s="191">
        <v>0</v>
      </c>
      <c r="Z42" s="191">
        <v>21305</v>
      </c>
      <c r="AA42" s="191">
        <v>0</v>
      </c>
      <c r="AB42" s="191">
        <v>0</v>
      </c>
      <c r="AC42" s="191">
        <v>0</v>
      </c>
      <c r="AD42" s="191">
        <v>0</v>
      </c>
      <c r="AE42" s="191">
        <v>0</v>
      </c>
      <c r="AF42" s="211">
        <v>0</v>
      </c>
      <c r="AG42" s="211">
        <v>0</v>
      </c>
      <c r="AH42" s="211">
        <v>50173</v>
      </c>
      <c r="AI42" s="370"/>
      <c r="AJ42" s="211">
        <v>0</v>
      </c>
      <c r="AK42" s="211">
        <v>0</v>
      </c>
      <c r="AL42" s="191">
        <v>50176</v>
      </c>
      <c r="AM42" s="191">
        <v>0</v>
      </c>
      <c r="AN42" s="191"/>
      <c r="AO42" s="191"/>
      <c r="AP42" s="191"/>
      <c r="AQ42" s="374"/>
      <c r="AR42" s="374"/>
      <c r="AS42" s="383"/>
      <c r="AT42" s="383"/>
      <c r="AU42" s="383"/>
      <c r="AV42" s="212">
        <f t="shared" si="2"/>
        <v>353858.75</v>
      </c>
      <c r="AX42" s="33">
        <f t="shared" si="5"/>
        <v>65823</v>
      </c>
      <c r="AY42" s="33">
        <f t="shared" si="5"/>
        <v>0</v>
      </c>
      <c r="AZ42" s="33">
        <f t="shared" si="5"/>
        <v>0</v>
      </c>
      <c r="BA42" s="33">
        <f t="shared" si="5"/>
        <v>200695</v>
      </c>
      <c r="BB42" s="33">
        <f t="shared" si="5"/>
        <v>78717</v>
      </c>
      <c r="BC42" s="33">
        <f t="shared" si="5"/>
        <v>0</v>
      </c>
      <c r="BD42" s="33">
        <f t="shared" si="5"/>
        <v>8623.75</v>
      </c>
      <c r="BE42" s="58">
        <f t="shared" si="4"/>
        <v>0</v>
      </c>
    </row>
    <row r="43" spans="1:57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Mar 2026'!$A$8:$F$206,6,FALSE)</f>
        <v>Chq Bk</v>
      </c>
      <c r="H43" s="191">
        <v>8162</v>
      </c>
      <c r="I43" s="191">
        <v>0</v>
      </c>
      <c r="J43" s="191">
        <v>0</v>
      </c>
      <c r="K43" s="191">
        <v>56891</v>
      </c>
      <c r="L43" s="191">
        <v>26611</v>
      </c>
      <c r="M43" s="191">
        <v>35148</v>
      </c>
      <c r="N43" s="191">
        <v>0</v>
      </c>
      <c r="O43" s="191">
        <v>0</v>
      </c>
      <c r="P43" s="211">
        <v>0</v>
      </c>
      <c r="Q43" s="211">
        <v>9051.25</v>
      </c>
      <c r="R43" s="211">
        <v>56891</v>
      </c>
      <c r="S43" s="211">
        <v>0</v>
      </c>
      <c r="T43" s="211">
        <v>46502</v>
      </c>
      <c r="U43" s="211">
        <v>4700</v>
      </c>
      <c r="V43" s="211">
        <v>876</v>
      </c>
      <c r="W43" s="211">
        <v>0</v>
      </c>
      <c r="X43" s="191">
        <v>9800</v>
      </c>
      <c r="Y43" s="191">
        <v>0</v>
      </c>
      <c r="Z43" s="191">
        <v>22236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211">
        <v>4800</v>
      </c>
      <c r="AG43" s="211">
        <v>0</v>
      </c>
      <c r="AH43" s="211">
        <v>56891</v>
      </c>
      <c r="AI43" s="370"/>
      <c r="AJ43" s="211">
        <v>0</v>
      </c>
      <c r="AK43" s="211">
        <v>0</v>
      </c>
      <c r="AL43" s="191">
        <v>56892</v>
      </c>
      <c r="AM43" s="191">
        <v>0</v>
      </c>
      <c r="AN43" s="191"/>
      <c r="AO43" s="191"/>
      <c r="AP43" s="191"/>
      <c r="AQ43" s="374"/>
      <c r="AR43" s="374"/>
      <c r="AS43" s="383"/>
      <c r="AT43" s="383"/>
      <c r="AU43" s="383"/>
      <c r="AV43" s="212">
        <f t="shared" si="2"/>
        <v>395451.25</v>
      </c>
      <c r="AX43" s="33">
        <f t="shared" si="5"/>
        <v>73438</v>
      </c>
      <c r="AY43" s="33">
        <f t="shared" si="5"/>
        <v>0</v>
      </c>
      <c r="AZ43" s="33">
        <f t="shared" si="5"/>
        <v>0</v>
      </c>
      <c r="BA43" s="33">
        <f t="shared" si="5"/>
        <v>227565</v>
      </c>
      <c r="BB43" s="33">
        <f t="shared" si="5"/>
        <v>85397</v>
      </c>
      <c r="BC43" s="33">
        <f t="shared" si="5"/>
        <v>0</v>
      </c>
      <c r="BD43" s="33">
        <f t="shared" si="5"/>
        <v>9051.25</v>
      </c>
      <c r="BE43" s="58">
        <f t="shared" si="4"/>
        <v>0</v>
      </c>
    </row>
    <row r="44" spans="1:57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Mar 2026'!$A$8:$F$206,6,FALSE)</f>
        <v>Chq Bk</v>
      </c>
      <c r="H44" s="191">
        <v>0</v>
      </c>
      <c r="I44" s="191">
        <v>0</v>
      </c>
      <c r="J44" s="191">
        <v>0</v>
      </c>
      <c r="K44" s="191">
        <v>168112</v>
      </c>
      <c r="L44" s="191">
        <v>0</v>
      </c>
      <c r="M44" s="191">
        <v>0</v>
      </c>
      <c r="N44" s="191">
        <v>7635</v>
      </c>
      <c r="O44" s="191">
        <v>3790.97</v>
      </c>
      <c r="P44" s="211">
        <v>0</v>
      </c>
      <c r="Q44" s="211">
        <v>25150</v>
      </c>
      <c r="R44" s="211">
        <v>168112</v>
      </c>
      <c r="S44" s="211">
        <v>5119.37</v>
      </c>
      <c r="T44" s="211">
        <v>122685</v>
      </c>
      <c r="U44" s="211">
        <v>0</v>
      </c>
      <c r="V44" s="211">
        <v>2233.8000000000002</v>
      </c>
      <c r="W44" s="211">
        <v>0</v>
      </c>
      <c r="X44" s="191">
        <v>0</v>
      </c>
      <c r="Y44" s="191">
        <v>10631</v>
      </c>
      <c r="Z44" s="191">
        <v>97167</v>
      </c>
      <c r="AA44" s="191">
        <v>0</v>
      </c>
      <c r="AB44" s="191">
        <v>0</v>
      </c>
      <c r="AC44" s="191">
        <v>0</v>
      </c>
      <c r="AD44" s="191">
        <v>0</v>
      </c>
      <c r="AE44" s="191">
        <v>3713.36</v>
      </c>
      <c r="AF44" s="211">
        <v>9600</v>
      </c>
      <c r="AG44" s="211">
        <v>0</v>
      </c>
      <c r="AH44" s="211">
        <v>168112</v>
      </c>
      <c r="AI44" s="370"/>
      <c r="AJ44" s="211">
        <v>0</v>
      </c>
      <c r="AK44" s="211">
        <v>0</v>
      </c>
      <c r="AL44" s="191">
        <v>168114</v>
      </c>
      <c r="AM44" s="191">
        <v>0</v>
      </c>
      <c r="AN44" s="191"/>
      <c r="AO44" s="191"/>
      <c r="AP44" s="191"/>
      <c r="AQ44" s="374"/>
      <c r="AR44" s="374"/>
      <c r="AS44" s="383"/>
      <c r="AT44" s="383"/>
      <c r="AU44" s="383"/>
      <c r="AV44" s="212">
        <f t="shared" si="2"/>
        <v>960175.49999999988</v>
      </c>
      <c r="AX44" s="33">
        <f t="shared" si="5"/>
        <v>219852</v>
      </c>
      <c r="AY44" s="33">
        <f t="shared" si="5"/>
        <v>27176.34</v>
      </c>
      <c r="AZ44" s="33">
        <f t="shared" si="5"/>
        <v>0</v>
      </c>
      <c r="BA44" s="33">
        <f t="shared" si="5"/>
        <v>672450</v>
      </c>
      <c r="BB44" s="33">
        <f t="shared" si="5"/>
        <v>15547.16</v>
      </c>
      <c r="BC44" s="33">
        <f t="shared" si="5"/>
        <v>0</v>
      </c>
      <c r="BD44" s="33">
        <f t="shared" si="5"/>
        <v>25150</v>
      </c>
      <c r="BE44" s="58">
        <f t="shared" si="4"/>
        <v>0</v>
      </c>
    </row>
    <row r="45" spans="1:57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Mar 2026'!$A$8:$F$206,6,FALSE)</f>
        <v>Chq Bk</v>
      </c>
      <c r="H45" s="191">
        <v>7667</v>
      </c>
      <c r="I45" s="191">
        <v>0</v>
      </c>
      <c r="J45" s="191">
        <v>0</v>
      </c>
      <c r="K45" s="191">
        <v>29600</v>
      </c>
      <c r="L45" s="191">
        <v>50097</v>
      </c>
      <c r="M45" s="191">
        <v>73332</v>
      </c>
      <c r="N45" s="191">
        <v>0</v>
      </c>
      <c r="O45" s="191">
        <v>0</v>
      </c>
      <c r="P45" s="211">
        <v>0</v>
      </c>
      <c r="Q45" s="211">
        <v>8369.5</v>
      </c>
      <c r="R45" s="211">
        <v>29600</v>
      </c>
      <c r="S45" s="211">
        <v>0</v>
      </c>
      <c r="T45" s="211">
        <v>35628</v>
      </c>
      <c r="U45" s="211">
        <v>4606</v>
      </c>
      <c r="V45" s="211">
        <v>1314</v>
      </c>
      <c r="W45" s="211">
        <v>0</v>
      </c>
      <c r="X45" s="191">
        <v>9200</v>
      </c>
      <c r="Y45" s="191">
        <v>0</v>
      </c>
      <c r="Z45" s="191">
        <v>17125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211">
        <v>2400</v>
      </c>
      <c r="AG45" s="211">
        <v>0</v>
      </c>
      <c r="AH45" s="211">
        <v>29600</v>
      </c>
      <c r="AI45" s="370"/>
      <c r="AJ45" s="211">
        <v>0</v>
      </c>
      <c r="AK45" s="211">
        <v>0</v>
      </c>
      <c r="AL45" s="191">
        <v>29600</v>
      </c>
      <c r="AM45" s="191">
        <v>0</v>
      </c>
      <c r="AN45" s="191"/>
      <c r="AO45" s="191"/>
      <c r="AP45" s="191"/>
      <c r="AQ45" s="374"/>
      <c r="AR45" s="374"/>
      <c r="AS45" s="383"/>
      <c r="AT45" s="383"/>
      <c r="AU45" s="383"/>
      <c r="AV45" s="212">
        <f t="shared" si="2"/>
        <v>328138.5</v>
      </c>
      <c r="AX45" s="33">
        <f t="shared" si="5"/>
        <v>57359</v>
      </c>
      <c r="AY45" s="33">
        <f t="shared" si="5"/>
        <v>0</v>
      </c>
      <c r="AZ45" s="33">
        <f t="shared" si="5"/>
        <v>0</v>
      </c>
      <c r="BA45" s="33">
        <f t="shared" si="5"/>
        <v>118400</v>
      </c>
      <c r="BB45" s="33">
        <f t="shared" si="5"/>
        <v>144010</v>
      </c>
      <c r="BC45" s="33">
        <f t="shared" si="5"/>
        <v>0</v>
      </c>
      <c r="BD45" s="33">
        <f t="shared" si="5"/>
        <v>8369.5</v>
      </c>
      <c r="BE45" s="58">
        <f t="shared" si="4"/>
        <v>0</v>
      </c>
    </row>
    <row r="46" spans="1:57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Mar 2026'!$A$8:$F$206,6,FALSE)</f>
        <v>Chq Bk</v>
      </c>
      <c r="H46" s="191">
        <v>8654</v>
      </c>
      <c r="I46" s="191">
        <v>0</v>
      </c>
      <c r="J46" s="191">
        <v>0</v>
      </c>
      <c r="K46" s="191">
        <v>55700</v>
      </c>
      <c r="L46" s="191">
        <v>0</v>
      </c>
      <c r="M46" s="191">
        <v>0</v>
      </c>
      <c r="N46" s="191">
        <v>0</v>
      </c>
      <c r="O46" s="191">
        <v>0</v>
      </c>
      <c r="P46" s="211">
        <v>0</v>
      </c>
      <c r="Q46" s="211">
        <v>9366.25</v>
      </c>
      <c r="R46" s="211">
        <v>55700</v>
      </c>
      <c r="S46" s="211">
        <v>0</v>
      </c>
      <c r="T46" s="211">
        <v>49687</v>
      </c>
      <c r="U46" s="211">
        <v>0</v>
      </c>
      <c r="V46" s="211">
        <v>0</v>
      </c>
      <c r="W46" s="211">
        <v>0</v>
      </c>
      <c r="X46" s="191">
        <v>10395</v>
      </c>
      <c r="Y46" s="191">
        <v>0</v>
      </c>
      <c r="Z46" s="191">
        <v>23758</v>
      </c>
      <c r="AA46" s="191">
        <v>0</v>
      </c>
      <c r="AB46" s="191">
        <v>0</v>
      </c>
      <c r="AC46" s="191">
        <v>0</v>
      </c>
      <c r="AD46" s="191">
        <v>0</v>
      </c>
      <c r="AE46" s="191">
        <v>0</v>
      </c>
      <c r="AF46" s="211">
        <v>2400</v>
      </c>
      <c r="AG46" s="211">
        <v>0</v>
      </c>
      <c r="AH46" s="211">
        <v>55700</v>
      </c>
      <c r="AI46" s="370"/>
      <c r="AJ46" s="211">
        <v>0</v>
      </c>
      <c r="AK46" s="211">
        <v>0</v>
      </c>
      <c r="AL46" s="191">
        <v>55700</v>
      </c>
      <c r="AM46" s="191">
        <v>0</v>
      </c>
      <c r="AN46" s="191"/>
      <c r="AO46" s="191"/>
      <c r="AP46" s="191"/>
      <c r="AQ46" s="374"/>
      <c r="AR46" s="374"/>
      <c r="AS46" s="383"/>
      <c r="AT46" s="383"/>
      <c r="AU46" s="383"/>
      <c r="AV46" s="212">
        <f t="shared" si="2"/>
        <v>327060.25</v>
      </c>
      <c r="AX46" s="33">
        <f t="shared" si="5"/>
        <v>73445</v>
      </c>
      <c r="AY46" s="33">
        <f t="shared" si="5"/>
        <v>0</v>
      </c>
      <c r="AZ46" s="33">
        <f t="shared" si="5"/>
        <v>0</v>
      </c>
      <c r="BA46" s="33">
        <f t="shared" si="5"/>
        <v>222800</v>
      </c>
      <c r="BB46" s="33">
        <f t="shared" si="5"/>
        <v>21449</v>
      </c>
      <c r="BC46" s="33">
        <f t="shared" si="5"/>
        <v>0</v>
      </c>
      <c r="BD46" s="33">
        <f t="shared" si="5"/>
        <v>9366.25</v>
      </c>
      <c r="BE46" s="58">
        <f t="shared" si="4"/>
        <v>0</v>
      </c>
    </row>
    <row r="47" spans="1:57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Mar 2026'!$A$8:$F$206,6,FALSE)</f>
        <v>Chq Bk</v>
      </c>
      <c r="H47" s="191">
        <v>8162</v>
      </c>
      <c r="I47" s="191">
        <v>0</v>
      </c>
      <c r="J47" s="191">
        <v>0</v>
      </c>
      <c r="K47" s="191">
        <v>85018</v>
      </c>
      <c r="L47" s="191">
        <v>16608</v>
      </c>
      <c r="M47" s="191">
        <v>22709</v>
      </c>
      <c r="N47" s="191">
        <v>0</v>
      </c>
      <c r="O47" s="191">
        <v>0</v>
      </c>
      <c r="P47" s="211">
        <v>0</v>
      </c>
      <c r="Q47" s="211">
        <v>0</v>
      </c>
      <c r="R47" s="211">
        <v>85018</v>
      </c>
      <c r="S47" s="211">
        <v>0</v>
      </c>
      <c r="T47" s="211">
        <v>51108</v>
      </c>
      <c r="U47" s="211">
        <v>0</v>
      </c>
      <c r="V47" s="211">
        <v>0</v>
      </c>
      <c r="W47" s="211">
        <v>0</v>
      </c>
      <c r="X47" s="191">
        <v>9760</v>
      </c>
      <c r="Y47" s="191">
        <v>0</v>
      </c>
      <c r="Z47" s="191">
        <v>24374</v>
      </c>
      <c r="AA47" s="191">
        <v>0</v>
      </c>
      <c r="AB47" s="191">
        <v>0</v>
      </c>
      <c r="AC47" s="191">
        <v>0</v>
      </c>
      <c r="AD47" s="191">
        <v>0</v>
      </c>
      <c r="AE47" s="191">
        <v>0</v>
      </c>
      <c r="AF47" s="211">
        <v>4800</v>
      </c>
      <c r="AG47" s="211">
        <v>0</v>
      </c>
      <c r="AH47" s="211">
        <v>82747</v>
      </c>
      <c r="AI47" s="370"/>
      <c r="AJ47" s="211">
        <v>0</v>
      </c>
      <c r="AK47" s="211">
        <v>0</v>
      </c>
      <c r="AL47" s="191">
        <v>84262</v>
      </c>
      <c r="AM47" s="191">
        <v>0</v>
      </c>
      <c r="AN47" s="191"/>
      <c r="AO47" s="191"/>
      <c r="AP47" s="191"/>
      <c r="AQ47" s="374"/>
      <c r="AR47" s="374"/>
      <c r="AS47" s="383"/>
      <c r="AT47" s="383"/>
      <c r="AU47" s="383"/>
      <c r="AV47" s="212">
        <f t="shared" si="2"/>
        <v>474566</v>
      </c>
      <c r="AX47" s="33">
        <f t="shared" si="5"/>
        <v>75482</v>
      </c>
      <c r="AY47" s="33">
        <f t="shared" si="5"/>
        <v>0</v>
      </c>
      <c r="AZ47" s="33">
        <f t="shared" si="5"/>
        <v>0</v>
      </c>
      <c r="BA47" s="33">
        <f t="shared" si="5"/>
        <v>337045</v>
      </c>
      <c r="BB47" s="33">
        <f t="shared" si="5"/>
        <v>62039</v>
      </c>
      <c r="BC47" s="33">
        <f t="shared" si="5"/>
        <v>0</v>
      </c>
      <c r="BD47" s="33">
        <f t="shared" si="5"/>
        <v>0</v>
      </c>
      <c r="BE47" s="58">
        <f t="shared" si="4"/>
        <v>0</v>
      </c>
    </row>
    <row r="48" spans="1:57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Mar 2026'!$A$8:$F$206,6,FALSE)</f>
        <v>Chq Bk</v>
      </c>
      <c r="H48" s="191">
        <v>8150</v>
      </c>
      <c r="I48" s="191">
        <v>0</v>
      </c>
      <c r="J48" s="191">
        <v>0</v>
      </c>
      <c r="K48" s="191">
        <v>41271</v>
      </c>
      <c r="L48" s="191">
        <v>28005</v>
      </c>
      <c r="M48" s="191">
        <v>39776</v>
      </c>
      <c r="N48" s="191">
        <v>0</v>
      </c>
      <c r="O48" s="191">
        <v>0</v>
      </c>
      <c r="P48" s="211">
        <v>0</v>
      </c>
      <c r="Q48" s="211">
        <v>8977.9</v>
      </c>
      <c r="R48" s="211">
        <v>41271</v>
      </c>
      <c r="S48" s="211">
        <v>0</v>
      </c>
      <c r="T48" s="211">
        <v>43016</v>
      </c>
      <c r="U48" s="211">
        <v>4305.2</v>
      </c>
      <c r="V48" s="211">
        <v>876</v>
      </c>
      <c r="W48" s="211">
        <v>0</v>
      </c>
      <c r="X48" s="191">
        <v>9785</v>
      </c>
      <c r="Y48" s="191">
        <v>0</v>
      </c>
      <c r="Z48" s="191">
        <v>20605</v>
      </c>
      <c r="AA48" s="191">
        <v>0</v>
      </c>
      <c r="AB48" s="191">
        <v>0</v>
      </c>
      <c r="AC48" s="191">
        <v>0</v>
      </c>
      <c r="AD48" s="191">
        <v>0</v>
      </c>
      <c r="AE48" s="191">
        <v>0</v>
      </c>
      <c r="AF48" s="211">
        <v>4800</v>
      </c>
      <c r="AG48" s="211">
        <v>0</v>
      </c>
      <c r="AH48" s="211">
        <v>40134</v>
      </c>
      <c r="AI48" s="370"/>
      <c r="AJ48" s="211">
        <v>0</v>
      </c>
      <c r="AK48" s="211">
        <v>0</v>
      </c>
      <c r="AL48" s="191">
        <v>40894</v>
      </c>
      <c r="AM48" s="191">
        <v>0</v>
      </c>
      <c r="AN48" s="191"/>
      <c r="AO48" s="191"/>
      <c r="AP48" s="191"/>
      <c r="AQ48" s="374"/>
      <c r="AR48" s="374"/>
      <c r="AS48" s="383"/>
      <c r="AT48" s="383"/>
      <c r="AU48" s="383"/>
      <c r="AV48" s="212">
        <f t="shared" si="2"/>
        <v>331866.09999999998</v>
      </c>
      <c r="AX48" s="33">
        <f t="shared" si="5"/>
        <v>67926.2</v>
      </c>
      <c r="AY48" s="33">
        <f t="shared" si="5"/>
        <v>0</v>
      </c>
      <c r="AZ48" s="33">
        <f t="shared" si="5"/>
        <v>0</v>
      </c>
      <c r="BA48" s="33">
        <f t="shared" si="5"/>
        <v>163570</v>
      </c>
      <c r="BB48" s="33">
        <f t="shared" si="5"/>
        <v>91392</v>
      </c>
      <c r="BC48" s="33">
        <f t="shared" si="5"/>
        <v>0</v>
      </c>
      <c r="BD48" s="33">
        <f t="shared" si="5"/>
        <v>8977.9</v>
      </c>
      <c r="BE48" s="58">
        <f t="shared" si="4"/>
        <v>0</v>
      </c>
    </row>
    <row r="49" spans="1:57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Mar 2026'!$A$8:$F$206,6,FALSE)</f>
        <v>Chq Bk</v>
      </c>
      <c r="H49" s="191">
        <v>7979</v>
      </c>
      <c r="I49" s="191">
        <v>0</v>
      </c>
      <c r="J49" s="191">
        <v>0</v>
      </c>
      <c r="K49" s="191">
        <v>89163</v>
      </c>
      <c r="L49" s="191">
        <v>17178</v>
      </c>
      <c r="M49" s="191">
        <v>18080</v>
      </c>
      <c r="N49" s="191">
        <v>0</v>
      </c>
      <c r="O49" s="191">
        <v>0</v>
      </c>
      <c r="P49" s="211">
        <v>0</v>
      </c>
      <c r="Q49" s="211">
        <v>8524.75</v>
      </c>
      <c r="R49" s="211">
        <v>89163</v>
      </c>
      <c r="S49" s="211">
        <v>0</v>
      </c>
      <c r="T49" s="211">
        <v>48835</v>
      </c>
      <c r="U49" s="211">
        <v>4888</v>
      </c>
      <c r="V49" s="211">
        <v>0</v>
      </c>
      <c r="W49" s="211">
        <v>0</v>
      </c>
      <c r="X49" s="191">
        <v>9605</v>
      </c>
      <c r="Y49" s="191">
        <v>0</v>
      </c>
      <c r="Z49" s="191">
        <v>23295</v>
      </c>
      <c r="AA49" s="191">
        <v>0</v>
      </c>
      <c r="AB49" s="191">
        <v>0</v>
      </c>
      <c r="AC49" s="191">
        <v>0</v>
      </c>
      <c r="AD49" s="191">
        <v>0</v>
      </c>
      <c r="AE49" s="191">
        <v>856.93</v>
      </c>
      <c r="AF49" s="211">
        <v>0</v>
      </c>
      <c r="AG49" s="211">
        <v>0</v>
      </c>
      <c r="AH49" s="211">
        <v>89163</v>
      </c>
      <c r="AI49" s="370"/>
      <c r="AJ49" s="211">
        <v>0</v>
      </c>
      <c r="AK49" s="211">
        <v>0</v>
      </c>
      <c r="AL49" s="191">
        <v>89166</v>
      </c>
      <c r="AM49" s="191">
        <v>0</v>
      </c>
      <c r="AN49" s="191"/>
      <c r="AO49" s="191"/>
      <c r="AP49" s="191"/>
      <c r="AQ49" s="374"/>
      <c r="AR49" s="374"/>
      <c r="AS49" s="383"/>
      <c r="AT49" s="383"/>
      <c r="AU49" s="383"/>
      <c r="AV49" s="212">
        <f t="shared" si="2"/>
        <v>495896.68</v>
      </c>
      <c r="AX49" s="33">
        <f t="shared" si="5"/>
        <v>77018</v>
      </c>
      <c r="AY49" s="33">
        <f t="shared" si="5"/>
        <v>0</v>
      </c>
      <c r="AZ49" s="33">
        <f t="shared" si="5"/>
        <v>0</v>
      </c>
      <c r="BA49" s="33">
        <f t="shared" si="5"/>
        <v>356655</v>
      </c>
      <c r="BB49" s="33">
        <f t="shared" si="5"/>
        <v>53698.93</v>
      </c>
      <c r="BC49" s="33">
        <f t="shared" si="5"/>
        <v>0</v>
      </c>
      <c r="BD49" s="33">
        <f t="shared" si="5"/>
        <v>8524.75</v>
      </c>
      <c r="BE49" s="58">
        <f t="shared" si="4"/>
        <v>0</v>
      </c>
    </row>
    <row r="50" spans="1:57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Mar 2026'!$A$8:$F$206,6,FALSE)</f>
        <v>Chq Bk</v>
      </c>
      <c r="H50" s="191">
        <v>7987</v>
      </c>
      <c r="I50" s="191">
        <v>0</v>
      </c>
      <c r="J50" s="191">
        <v>0</v>
      </c>
      <c r="K50" s="191">
        <v>59742</v>
      </c>
      <c r="L50" s="191">
        <v>12791</v>
      </c>
      <c r="M50" s="191">
        <v>21118</v>
      </c>
      <c r="N50" s="191">
        <v>0</v>
      </c>
      <c r="O50" s="191">
        <v>0</v>
      </c>
      <c r="P50" s="211">
        <v>0</v>
      </c>
      <c r="Q50" s="211">
        <v>0</v>
      </c>
      <c r="R50" s="211">
        <v>59742</v>
      </c>
      <c r="S50" s="211">
        <v>0</v>
      </c>
      <c r="T50" s="211">
        <v>41462</v>
      </c>
      <c r="U50" s="211">
        <v>0</v>
      </c>
      <c r="V50" s="211">
        <v>0</v>
      </c>
      <c r="W50" s="211">
        <v>0</v>
      </c>
      <c r="X50" s="191">
        <v>9515</v>
      </c>
      <c r="Y50" s="191">
        <v>0</v>
      </c>
      <c r="Z50" s="191">
        <v>19840</v>
      </c>
      <c r="AA50" s="191">
        <v>0</v>
      </c>
      <c r="AB50" s="191">
        <v>0</v>
      </c>
      <c r="AC50" s="191">
        <v>0</v>
      </c>
      <c r="AD50" s="191">
        <v>0</v>
      </c>
      <c r="AE50" s="191">
        <v>856.93</v>
      </c>
      <c r="AF50" s="211">
        <v>2400</v>
      </c>
      <c r="AG50" s="211">
        <v>0</v>
      </c>
      <c r="AH50" s="211">
        <v>59742</v>
      </c>
      <c r="AI50" s="370"/>
      <c r="AJ50" s="211">
        <v>0</v>
      </c>
      <c r="AK50" s="211">
        <v>0</v>
      </c>
      <c r="AL50" s="191">
        <v>59744</v>
      </c>
      <c r="AM50" s="191">
        <v>0</v>
      </c>
      <c r="AN50" s="191"/>
      <c r="AO50" s="191"/>
      <c r="AP50" s="191"/>
      <c r="AQ50" s="374"/>
      <c r="AR50" s="374"/>
      <c r="AS50" s="383"/>
      <c r="AT50" s="383"/>
      <c r="AU50" s="383"/>
      <c r="AV50" s="212">
        <f t="shared" si="2"/>
        <v>354939.93</v>
      </c>
      <c r="AX50" s="33">
        <f t="shared" si="5"/>
        <v>61302</v>
      </c>
      <c r="AY50" s="33">
        <f t="shared" si="5"/>
        <v>0</v>
      </c>
      <c r="AZ50" s="33">
        <f t="shared" si="5"/>
        <v>0</v>
      </c>
      <c r="BA50" s="33">
        <f t="shared" si="5"/>
        <v>238970</v>
      </c>
      <c r="BB50" s="33">
        <f t="shared" si="5"/>
        <v>54667.93</v>
      </c>
      <c r="BC50" s="33">
        <f t="shared" si="5"/>
        <v>0</v>
      </c>
      <c r="BD50" s="33">
        <f t="shared" si="5"/>
        <v>0</v>
      </c>
      <c r="BE50" s="58">
        <f t="shared" si="4"/>
        <v>0</v>
      </c>
    </row>
    <row r="51" spans="1:57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Mar 2026'!$A$8:$F$206,6,FALSE)</f>
        <v>Chq Bk</v>
      </c>
      <c r="H51" s="191">
        <v>0</v>
      </c>
      <c r="I51" s="191">
        <v>0</v>
      </c>
      <c r="J51" s="191"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211">
        <v>2919</v>
      </c>
      <c r="Q51" s="211">
        <v>4891</v>
      </c>
      <c r="R51" s="211">
        <v>0</v>
      </c>
      <c r="S51" s="211">
        <v>0</v>
      </c>
      <c r="T51" s="211">
        <v>0</v>
      </c>
      <c r="U51" s="211">
        <v>14770</v>
      </c>
      <c r="V51" s="211">
        <v>0</v>
      </c>
      <c r="W51" s="21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>
        <v>0</v>
      </c>
      <c r="AE51" s="191">
        <v>0</v>
      </c>
      <c r="AF51" s="211">
        <v>0</v>
      </c>
      <c r="AG51" s="211">
        <v>0</v>
      </c>
      <c r="AH51" s="211">
        <v>0</v>
      </c>
      <c r="AI51" s="370"/>
      <c r="AJ51" s="211">
        <v>0</v>
      </c>
      <c r="AK51" s="211">
        <v>0</v>
      </c>
      <c r="AL51" s="191">
        <v>0</v>
      </c>
      <c r="AM51" s="191">
        <v>0</v>
      </c>
      <c r="AN51" s="191"/>
      <c r="AO51" s="191"/>
      <c r="AP51" s="191"/>
      <c r="AQ51" s="374"/>
      <c r="AR51" s="374"/>
      <c r="AS51" s="383"/>
      <c r="AT51" s="383"/>
      <c r="AU51" s="383"/>
      <c r="AV51" s="212">
        <f t="shared" si="2"/>
        <v>22580</v>
      </c>
      <c r="AX51" s="33">
        <f t="shared" si="5"/>
        <v>17689</v>
      </c>
      <c r="AY51" s="33">
        <f t="shared" si="5"/>
        <v>0</v>
      </c>
      <c r="AZ51" s="33">
        <f t="shared" si="5"/>
        <v>0</v>
      </c>
      <c r="BA51" s="33">
        <f t="shared" si="5"/>
        <v>0</v>
      </c>
      <c r="BB51" s="33">
        <f t="shared" si="5"/>
        <v>0</v>
      </c>
      <c r="BC51" s="33">
        <f t="shared" si="5"/>
        <v>0</v>
      </c>
      <c r="BD51" s="33">
        <f t="shared" si="5"/>
        <v>4891</v>
      </c>
      <c r="BE51" s="58">
        <f t="shared" si="4"/>
        <v>0</v>
      </c>
    </row>
    <row r="52" spans="1:57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Mar 2026'!$A$8:$F$206,6,FALSE)</f>
        <v>Chq Bk</v>
      </c>
      <c r="H52" s="191">
        <v>8154</v>
      </c>
      <c r="I52" s="191">
        <v>0</v>
      </c>
      <c r="J52" s="191">
        <v>0</v>
      </c>
      <c r="K52" s="191">
        <v>74992</v>
      </c>
      <c r="L52" s="191">
        <v>19509</v>
      </c>
      <c r="M52" s="191">
        <v>27482</v>
      </c>
      <c r="N52" s="191">
        <v>0</v>
      </c>
      <c r="O52" s="191">
        <v>0</v>
      </c>
      <c r="P52" s="211">
        <v>0</v>
      </c>
      <c r="Q52" s="211">
        <v>8680</v>
      </c>
      <c r="R52" s="211">
        <v>74992</v>
      </c>
      <c r="S52" s="211">
        <v>0</v>
      </c>
      <c r="T52" s="211">
        <v>50259</v>
      </c>
      <c r="U52" s="211">
        <v>0</v>
      </c>
      <c r="V52" s="211">
        <v>0</v>
      </c>
      <c r="W52" s="211">
        <v>0</v>
      </c>
      <c r="X52" s="191">
        <v>9800</v>
      </c>
      <c r="Y52" s="191">
        <v>0</v>
      </c>
      <c r="Z52" s="191">
        <v>23988</v>
      </c>
      <c r="AA52" s="191">
        <v>0</v>
      </c>
      <c r="AB52" s="191">
        <v>0</v>
      </c>
      <c r="AC52" s="191">
        <v>0</v>
      </c>
      <c r="AD52" s="191">
        <v>0</v>
      </c>
      <c r="AE52" s="191">
        <v>0</v>
      </c>
      <c r="AF52" s="211">
        <v>4800</v>
      </c>
      <c r="AG52" s="211">
        <v>0</v>
      </c>
      <c r="AH52" s="211">
        <v>74992</v>
      </c>
      <c r="AI52" s="370"/>
      <c r="AJ52" s="211">
        <v>0</v>
      </c>
      <c r="AK52" s="211">
        <v>0</v>
      </c>
      <c r="AL52" s="191">
        <v>74994</v>
      </c>
      <c r="AM52" s="191">
        <v>0</v>
      </c>
      <c r="AN52" s="191"/>
      <c r="AO52" s="191"/>
      <c r="AP52" s="191"/>
      <c r="AQ52" s="374"/>
      <c r="AR52" s="374"/>
      <c r="AS52" s="383"/>
      <c r="AT52" s="383"/>
      <c r="AU52" s="383"/>
      <c r="AV52" s="212">
        <f t="shared" si="2"/>
        <v>452642</v>
      </c>
      <c r="AX52" s="33">
        <f t="shared" si="5"/>
        <v>74247</v>
      </c>
      <c r="AY52" s="33">
        <f t="shared" si="5"/>
        <v>0</v>
      </c>
      <c r="AZ52" s="33">
        <f t="shared" si="5"/>
        <v>0</v>
      </c>
      <c r="BA52" s="33">
        <f t="shared" si="5"/>
        <v>299970</v>
      </c>
      <c r="BB52" s="33">
        <f t="shared" si="5"/>
        <v>69745</v>
      </c>
      <c r="BC52" s="33">
        <f t="shared" si="5"/>
        <v>0</v>
      </c>
      <c r="BD52" s="33">
        <f t="shared" si="5"/>
        <v>8680</v>
      </c>
      <c r="BE52" s="58">
        <f t="shared" si="4"/>
        <v>0</v>
      </c>
    </row>
    <row r="53" spans="1:57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Mar 2026'!$A$8:$F$206,6,FALSE)</f>
        <v>Chq Bk</v>
      </c>
      <c r="H53" s="191">
        <v>7392</v>
      </c>
      <c r="I53" s="191">
        <v>0</v>
      </c>
      <c r="J53" s="191">
        <v>0</v>
      </c>
      <c r="K53" s="191">
        <v>47768</v>
      </c>
      <c r="L53" s="191">
        <v>8605</v>
      </c>
      <c r="M53" s="191">
        <v>9547</v>
      </c>
      <c r="N53" s="191">
        <v>0</v>
      </c>
      <c r="O53" s="191">
        <v>0</v>
      </c>
      <c r="P53" s="211">
        <v>0</v>
      </c>
      <c r="Q53" s="211">
        <v>6337.75</v>
      </c>
      <c r="R53" s="211">
        <v>47768</v>
      </c>
      <c r="S53" s="211">
        <v>0</v>
      </c>
      <c r="T53" s="211">
        <v>26528</v>
      </c>
      <c r="U53" s="211">
        <v>1692</v>
      </c>
      <c r="V53" s="211">
        <v>1752</v>
      </c>
      <c r="W53" s="211">
        <v>0</v>
      </c>
      <c r="X53" s="191">
        <v>8820</v>
      </c>
      <c r="Y53" s="191">
        <v>0</v>
      </c>
      <c r="Z53" s="191">
        <v>12773</v>
      </c>
      <c r="AA53" s="191">
        <v>0</v>
      </c>
      <c r="AB53" s="191">
        <v>0</v>
      </c>
      <c r="AC53" s="191">
        <v>0</v>
      </c>
      <c r="AD53" s="191">
        <v>0</v>
      </c>
      <c r="AE53" s="191">
        <v>0</v>
      </c>
      <c r="AF53" s="211">
        <v>0</v>
      </c>
      <c r="AG53" s="211">
        <v>0</v>
      </c>
      <c r="AH53" s="211">
        <v>47768</v>
      </c>
      <c r="AI53" s="370"/>
      <c r="AJ53" s="211">
        <v>0</v>
      </c>
      <c r="AK53" s="211">
        <v>0</v>
      </c>
      <c r="AL53" s="191">
        <v>47771</v>
      </c>
      <c r="AM53" s="191">
        <v>0</v>
      </c>
      <c r="AN53" s="191"/>
      <c r="AO53" s="191"/>
      <c r="AP53" s="191"/>
      <c r="AQ53" s="374"/>
      <c r="AR53" s="374"/>
      <c r="AS53" s="383"/>
      <c r="AT53" s="383"/>
      <c r="AU53" s="383"/>
      <c r="AV53" s="212">
        <f t="shared" si="2"/>
        <v>274521.75</v>
      </c>
      <c r="AX53" s="33">
        <f t="shared" si="5"/>
        <v>40993</v>
      </c>
      <c r="AY53" s="33">
        <f t="shared" si="5"/>
        <v>0</v>
      </c>
      <c r="AZ53" s="33">
        <f t="shared" si="5"/>
        <v>0</v>
      </c>
      <c r="BA53" s="33">
        <f t="shared" si="5"/>
        <v>191075</v>
      </c>
      <c r="BB53" s="33">
        <f t="shared" si="5"/>
        <v>36116</v>
      </c>
      <c r="BC53" s="33">
        <f t="shared" si="5"/>
        <v>0</v>
      </c>
      <c r="BD53" s="33">
        <f t="shared" si="5"/>
        <v>6337.75</v>
      </c>
      <c r="BE53" s="58">
        <f t="shared" si="4"/>
        <v>0</v>
      </c>
    </row>
    <row r="54" spans="1:57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Mar 2026'!$A$8:$F$206,6,FALSE)</f>
        <v>Chq Bk</v>
      </c>
      <c r="H54" s="191">
        <v>8179</v>
      </c>
      <c r="I54" s="191">
        <v>0</v>
      </c>
      <c r="J54" s="191">
        <v>0</v>
      </c>
      <c r="K54" s="191">
        <v>12477</v>
      </c>
      <c r="L54" s="191">
        <v>35595</v>
      </c>
      <c r="M54" s="191">
        <v>48888</v>
      </c>
      <c r="N54" s="191">
        <v>0</v>
      </c>
      <c r="O54" s="191">
        <v>0</v>
      </c>
      <c r="P54" s="211">
        <v>0</v>
      </c>
      <c r="Q54" s="211">
        <v>8758.75</v>
      </c>
      <c r="R54" s="211">
        <v>12477</v>
      </c>
      <c r="S54" s="211">
        <v>0</v>
      </c>
      <c r="T54" s="211">
        <v>37239</v>
      </c>
      <c r="U54" s="211">
        <v>0</v>
      </c>
      <c r="V54" s="211">
        <v>0</v>
      </c>
      <c r="W54" s="211">
        <v>0</v>
      </c>
      <c r="X54" s="191">
        <v>9795</v>
      </c>
      <c r="Y54" s="191">
        <v>0</v>
      </c>
      <c r="Z54" s="191">
        <v>17913</v>
      </c>
      <c r="AA54" s="191">
        <v>0</v>
      </c>
      <c r="AB54" s="191">
        <v>0</v>
      </c>
      <c r="AC54" s="191">
        <v>0</v>
      </c>
      <c r="AD54" s="191">
        <v>0</v>
      </c>
      <c r="AE54" s="191">
        <v>856.93</v>
      </c>
      <c r="AF54" s="211">
        <v>0</v>
      </c>
      <c r="AG54" s="211">
        <v>0</v>
      </c>
      <c r="AH54" s="211">
        <v>12477</v>
      </c>
      <c r="AI54" s="370"/>
      <c r="AJ54" s="211">
        <v>0</v>
      </c>
      <c r="AK54" s="211">
        <v>0</v>
      </c>
      <c r="AL54" s="191">
        <v>12479</v>
      </c>
      <c r="AM54" s="191">
        <v>0</v>
      </c>
      <c r="AN54" s="191"/>
      <c r="AO54" s="191"/>
      <c r="AP54" s="191"/>
      <c r="AQ54" s="374"/>
      <c r="AR54" s="374"/>
      <c r="AS54" s="383"/>
      <c r="AT54" s="383"/>
      <c r="AU54" s="383"/>
      <c r="AV54" s="212">
        <f t="shared" si="2"/>
        <v>217134.68</v>
      </c>
      <c r="AX54" s="33">
        <f t="shared" si="5"/>
        <v>55152</v>
      </c>
      <c r="AY54" s="33">
        <f t="shared" si="5"/>
        <v>0</v>
      </c>
      <c r="AZ54" s="33">
        <f t="shared" si="5"/>
        <v>0</v>
      </c>
      <c r="BA54" s="33">
        <f t="shared" si="5"/>
        <v>49910</v>
      </c>
      <c r="BB54" s="33">
        <f t="shared" si="5"/>
        <v>103313.93</v>
      </c>
      <c r="BC54" s="33">
        <f t="shared" si="5"/>
        <v>0</v>
      </c>
      <c r="BD54" s="33">
        <f t="shared" si="5"/>
        <v>8758.75</v>
      </c>
      <c r="BE54" s="58">
        <f t="shared" si="4"/>
        <v>0</v>
      </c>
    </row>
    <row r="55" spans="1:57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Mar 2026'!$A$8:$F$206,6,FALSE)</f>
        <v>Chq Bk</v>
      </c>
      <c r="H55" s="191">
        <v>0</v>
      </c>
      <c r="I55" s="191">
        <v>0</v>
      </c>
      <c r="J55" s="191">
        <v>227133.9288716529</v>
      </c>
      <c r="K55" s="191">
        <v>13706</v>
      </c>
      <c r="L55" s="191">
        <v>0</v>
      </c>
      <c r="M55" s="191">
        <v>0</v>
      </c>
      <c r="N55" s="191">
        <v>0</v>
      </c>
      <c r="O55" s="191">
        <v>0</v>
      </c>
      <c r="P55" s="211">
        <v>0</v>
      </c>
      <c r="Q55" s="211">
        <v>9568.75</v>
      </c>
      <c r="R55" s="211">
        <v>13706</v>
      </c>
      <c r="S55" s="211">
        <v>0</v>
      </c>
      <c r="T55" s="211">
        <v>0</v>
      </c>
      <c r="U55" s="211">
        <v>0</v>
      </c>
      <c r="V55" s="211">
        <v>0</v>
      </c>
      <c r="W55" s="211">
        <v>54848.31546131269</v>
      </c>
      <c r="X55" s="191">
        <v>0</v>
      </c>
      <c r="Y55" s="191">
        <v>0</v>
      </c>
      <c r="Z55" s="191">
        <v>0</v>
      </c>
      <c r="AA55" s="191">
        <v>37827.839999999997</v>
      </c>
      <c r="AB55" s="191">
        <v>-1976.618985507246</v>
      </c>
      <c r="AC55" s="191">
        <v>-2636.9627536231883</v>
      </c>
      <c r="AD55" s="191">
        <v>0</v>
      </c>
      <c r="AE55" s="191">
        <v>0</v>
      </c>
      <c r="AF55" s="211">
        <v>0</v>
      </c>
      <c r="AG55" s="211">
        <v>0</v>
      </c>
      <c r="AH55" s="211">
        <v>13706</v>
      </c>
      <c r="AI55" s="370"/>
      <c r="AJ55" s="211">
        <v>33256.899632097804</v>
      </c>
      <c r="AK55" s="211">
        <v>0</v>
      </c>
      <c r="AL55" s="191">
        <v>13707</v>
      </c>
      <c r="AM55" s="191">
        <v>0</v>
      </c>
      <c r="AN55" s="191"/>
      <c r="AO55" s="191"/>
      <c r="AP55" s="191"/>
      <c r="AQ55" s="374"/>
      <c r="AR55" s="374"/>
      <c r="AS55" s="383"/>
      <c r="AT55" s="383"/>
      <c r="AU55" s="383"/>
      <c r="AV55" s="212">
        <f t="shared" si="2"/>
        <v>412847.15222593304</v>
      </c>
      <c r="AX55" s="33">
        <f t="shared" si="5"/>
        <v>-4613.5817391304345</v>
      </c>
      <c r="AY55" s="33">
        <f t="shared" si="5"/>
        <v>33256.899632097804</v>
      </c>
      <c r="AZ55" s="33">
        <f t="shared" si="5"/>
        <v>319810.08433296555</v>
      </c>
      <c r="BA55" s="33">
        <f t="shared" si="5"/>
        <v>54825</v>
      </c>
      <c r="BB55" s="33">
        <f t="shared" si="5"/>
        <v>0</v>
      </c>
      <c r="BC55" s="33">
        <f t="shared" si="5"/>
        <v>0</v>
      </c>
      <c r="BD55" s="33">
        <f t="shared" si="5"/>
        <v>9568.75</v>
      </c>
      <c r="BE55" s="58">
        <f t="shared" si="4"/>
        <v>0</v>
      </c>
    </row>
    <row r="56" spans="1:57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Mar 2026'!$A$8:$F$206,6,FALSE)</f>
        <v>Chq Bk</v>
      </c>
      <c r="H56" s="191">
        <v>0</v>
      </c>
      <c r="I56" s="191">
        <v>0</v>
      </c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211">
        <v>0</v>
      </c>
      <c r="Q56" s="211">
        <v>4708.75</v>
      </c>
      <c r="R56" s="211">
        <v>0</v>
      </c>
      <c r="S56" s="211">
        <v>0</v>
      </c>
      <c r="T56" s="211">
        <v>0</v>
      </c>
      <c r="U56" s="211">
        <v>10398</v>
      </c>
      <c r="V56" s="211">
        <v>0</v>
      </c>
      <c r="W56" s="211">
        <v>0</v>
      </c>
      <c r="X56" s="191">
        <v>0</v>
      </c>
      <c r="Y56" s="191">
        <v>0</v>
      </c>
      <c r="Z56" s="191">
        <v>0</v>
      </c>
      <c r="AA56" s="191">
        <v>0</v>
      </c>
      <c r="AB56" s="191">
        <v>0</v>
      </c>
      <c r="AC56" s="191">
        <v>0</v>
      </c>
      <c r="AD56" s="191">
        <v>0</v>
      </c>
      <c r="AE56" s="191">
        <v>0</v>
      </c>
      <c r="AF56" s="211">
        <v>0</v>
      </c>
      <c r="AG56" s="211">
        <v>0</v>
      </c>
      <c r="AH56" s="211">
        <v>0</v>
      </c>
      <c r="AI56" s="370"/>
      <c r="AJ56" s="211">
        <v>0</v>
      </c>
      <c r="AK56" s="211">
        <v>0</v>
      </c>
      <c r="AL56" s="191">
        <v>0</v>
      </c>
      <c r="AM56" s="191">
        <v>0</v>
      </c>
      <c r="AN56" s="191"/>
      <c r="AO56" s="191"/>
      <c r="AP56" s="191"/>
      <c r="AQ56" s="374"/>
      <c r="AR56" s="374"/>
      <c r="AS56" s="383"/>
      <c r="AT56" s="383"/>
      <c r="AU56" s="383"/>
      <c r="AV56" s="212">
        <f t="shared" si="2"/>
        <v>15106.75</v>
      </c>
      <c r="AX56" s="33">
        <f t="shared" si="5"/>
        <v>10398</v>
      </c>
      <c r="AY56" s="33">
        <f t="shared" si="5"/>
        <v>0</v>
      </c>
      <c r="AZ56" s="33">
        <f t="shared" si="5"/>
        <v>0</v>
      </c>
      <c r="BA56" s="33">
        <f t="shared" si="5"/>
        <v>0</v>
      </c>
      <c r="BB56" s="33">
        <f t="shared" si="5"/>
        <v>0</v>
      </c>
      <c r="BC56" s="33">
        <f t="shared" si="5"/>
        <v>0</v>
      </c>
      <c r="BD56" s="33">
        <f t="shared" si="5"/>
        <v>4708.75</v>
      </c>
      <c r="BE56" s="58">
        <f t="shared" si="4"/>
        <v>0</v>
      </c>
    </row>
    <row r="57" spans="1:57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Mar 2026'!$A$8:$F$206,6,FALSE)</f>
        <v>Chq Bk</v>
      </c>
      <c r="H57" s="191">
        <v>8162</v>
      </c>
      <c r="I57" s="191">
        <v>0</v>
      </c>
      <c r="J57" s="191">
        <v>0</v>
      </c>
      <c r="K57" s="191">
        <v>59730</v>
      </c>
      <c r="L57" s="191">
        <v>21922</v>
      </c>
      <c r="M57" s="191">
        <v>30809</v>
      </c>
      <c r="N57" s="191">
        <v>0</v>
      </c>
      <c r="O57" s="191">
        <v>0</v>
      </c>
      <c r="P57" s="211">
        <v>0</v>
      </c>
      <c r="Q57" s="211">
        <v>8713.75</v>
      </c>
      <c r="R57" s="211">
        <v>59730</v>
      </c>
      <c r="S57" s="211">
        <v>0</v>
      </c>
      <c r="T57" s="211">
        <v>46712</v>
      </c>
      <c r="U57" s="211">
        <v>0</v>
      </c>
      <c r="V57" s="211">
        <v>0</v>
      </c>
      <c r="W57" s="211">
        <v>0</v>
      </c>
      <c r="X57" s="191">
        <v>9770</v>
      </c>
      <c r="Y57" s="191">
        <v>0</v>
      </c>
      <c r="Z57" s="191">
        <v>22332</v>
      </c>
      <c r="AA57" s="191">
        <v>0</v>
      </c>
      <c r="AB57" s="191">
        <v>0</v>
      </c>
      <c r="AC57" s="191">
        <v>0</v>
      </c>
      <c r="AD57" s="191">
        <v>0</v>
      </c>
      <c r="AE57" s="191">
        <v>0</v>
      </c>
      <c r="AF57" s="211">
        <v>2400</v>
      </c>
      <c r="AG57" s="211">
        <v>0</v>
      </c>
      <c r="AH57" s="211">
        <v>59730</v>
      </c>
      <c r="AI57" s="370"/>
      <c r="AJ57" s="211">
        <v>0</v>
      </c>
      <c r="AK57" s="211">
        <v>0</v>
      </c>
      <c r="AL57" s="191">
        <v>59730</v>
      </c>
      <c r="AM57" s="191">
        <v>0</v>
      </c>
      <c r="AN57" s="191"/>
      <c r="AO57" s="191"/>
      <c r="AP57" s="191"/>
      <c r="AQ57" s="374"/>
      <c r="AR57" s="374"/>
      <c r="AS57" s="383"/>
      <c r="AT57" s="383"/>
      <c r="AU57" s="383"/>
      <c r="AV57" s="212">
        <f t="shared" si="2"/>
        <v>389740.75</v>
      </c>
      <c r="AX57" s="33">
        <f t="shared" si="5"/>
        <v>69044</v>
      </c>
      <c r="AY57" s="33">
        <f t="shared" si="5"/>
        <v>0</v>
      </c>
      <c r="AZ57" s="33">
        <f t="shared" si="5"/>
        <v>0</v>
      </c>
      <c r="BA57" s="33">
        <f t="shared" si="5"/>
        <v>238920</v>
      </c>
      <c r="BB57" s="33">
        <f t="shared" si="5"/>
        <v>73063</v>
      </c>
      <c r="BC57" s="33">
        <f t="shared" si="5"/>
        <v>0</v>
      </c>
      <c r="BD57" s="33">
        <f t="shared" si="5"/>
        <v>8713.75</v>
      </c>
      <c r="BE57" s="58">
        <f t="shared" si="4"/>
        <v>0</v>
      </c>
    </row>
    <row r="58" spans="1:57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Mar 2026'!$A$8:$F$206,6,FALSE)</f>
        <v>Chq bk</v>
      </c>
      <c r="H58" s="191">
        <v>7750</v>
      </c>
      <c r="I58" s="191">
        <v>1602.93</v>
      </c>
      <c r="J58" s="191">
        <v>0</v>
      </c>
      <c r="K58" s="191">
        <v>38053</v>
      </c>
      <c r="L58" s="191">
        <v>12867</v>
      </c>
      <c r="M58" s="191">
        <v>17357</v>
      </c>
      <c r="N58" s="191">
        <v>0</v>
      </c>
      <c r="O58" s="191">
        <v>0</v>
      </c>
      <c r="P58" s="211">
        <v>0</v>
      </c>
      <c r="Q58" s="211">
        <v>7262.5</v>
      </c>
      <c r="R58" s="211">
        <v>38053</v>
      </c>
      <c r="S58" s="211">
        <v>0</v>
      </c>
      <c r="T58" s="211">
        <v>30056</v>
      </c>
      <c r="U58" s="211">
        <v>0</v>
      </c>
      <c r="V58" s="211">
        <v>0</v>
      </c>
      <c r="W58" s="211">
        <v>0</v>
      </c>
      <c r="X58" s="191">
        <v>9170</v>
      </c>
      <c r="Y58" s="191">
        <v>0</v>
      </c>
      <c r="Z58" s="191">
        <v>14463</v>
      </c>
      <c r="AA58" s="191">
        <v>0</v>
      </c>
      <c r="AB58" s="191">
        <v>0</v>
      </c>
      <c r="AC58" s="191">
        <v>0</v>
      </c>
      <c r="AD58" s="191">
        <v>6353.98</v>
      </c>
      <c r="AE58" s="191">
        <v>0</v>
      </c>
      <c r="AF58" s="211">
        <v>2400</v>
      </c>
      <c r="AG58" s="211">
        <v>0</v>
      </c>
      <c r="AH58" s="211">
        <v>38053</v>
      </c>
      <c r="AI58" s="370"/>
      <c r="AJ58" s="211">
        <v>0</v>
      </c>
      <c r="AK58" s="211">
        <v>3918.27</v>
      </c>
      <c r="AL58" s="191">
        <v>38056</v>
      </c>
      <c r="AM58" s="191">
        <v>0</v>
      </c>
      <c r="AN58" s="191"/>
      <c r="AO58" s="191"/>
      <c r="AP58" s="191"/>
      <c r="AQ58" s="374"/>
      <c r="AR58" s="374"/>
      <c r="AS58" s="383"/>
      <c r="AT58" s="383"/>
      <c r="AU58" s="383"/>
      <c r="AV58" s="212">
        <f t="shared" si="2"/>
        <v>265415.67999999999</v>
      </c>
      <c r="AX58" s="33">
        <f t="shared" si="5"/>
        <v>44519</v>
      </c>
      <c r="AY58" s="33">
        <f t="shared" si="5"/>
        <v>0</v>
      </c>
      <c r="AZ58" s="33">
        <f t="shared" si="5"/>
        <v>0</v>
      </c>
      <c r="BA58" s="33">
        <f t="shared" si="5"/>
        <v>152215</v>
      </c>
      <c r="BB58" s="33">
        <f t="shared" si="5"/>
        <v>61419.18</v>
      </c>
      <c r="BC58" s="33">
        <f t="shared" si="5"/>
        <v>0</v>
      </c>
      <c r="BD58" s="33">
        <f t="shared" si="5"/>
        <v>7262.5</v>
      </c>
      <c r="BE58" s="58">
        <f t="shared" si="4"/>
        <v>0</v>
      </c>
    </row>
    <row r="59" spans="1:57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Mar 2026'!$A$8:$F$206,6,FALSE)</f>
        <v>Chq Bk</v>
      </c>
      <c r="H59" s="191">
        <v>0</v>
      </c>
      <c r="I59" s="191">
        <v>0</v>
      </c>
      <c r="J59" s="191">
        <v>0</v>
      </c>
      <c r="K59" s="191">
        <v>0</v>
      </c>
      <c r="L59" s="191">
        <v>0</v>
      </c>
      <c r="M59" s="191">
        <v>0</v>
      </c>
      <c r="N59" s="191">
        <v>0</v>
      </c>
      <c r="O59" s="191">
        <v>0</v>
      </c>
      <c r="P59" s="211">
        <v>1680</v>
      </c>
      <c r="Q59" s="211">
        <v>4918</v>
      </c>
      <c r="R59" s="211">
        <v>0</v>
      </c>
      <c r="S59" s="211">
        <v>0</v>
      </c>
      <c r="T59" s="211">
        <v>0</v>
      </c>
      <c r="U59" s="211">
        <v>15070</v>
      </c>
      <c r="V59" s="211">
        <v>0</v>
      </c>
      <c r="W59" s="211">
        <v>0</v>
      </c>
      <c r="X59" s="191">
        <v>0</v>
      </c>
      <c r="Y59" s="191">
        <v>0</v>
      </c>
      <c r="Z59" s="191">
        <v>0</v>
      </c>
      <c r="AA59" s="191">
        <v>0</v>
      </c>
      <c r="AB59" s="191">
        <v>0</v>
      </c>
      <c r="AC59" s="191">
        <v>0</v>
      </c>
      <c r="AD59" s="191">
        <v>0</v>
      </c>
      <c r="AE59" s="191">
        <v>0</v>
      </c>
      <c r="AF59" s="211">
        <v>0</v>
      </c>
      <c r="AG59" s="211">
        <v>0</v>
      </c>
      <c r="AH59" s="211">
        <v>0</v>
      </c>
      <c r="AI59" s="370"/>
      <c r="AJ59" s="211">
        <v>0</v>
      </c>
      <c r="AK59" s="211">
        <v>0</v>
      </c>
      <c r="AL59" s="191">
        <v>0</v>
      </c>
      <c r="AM59" s="191">
        <v>0</v>
      </c>
      <c r="AN59" s="191"/>
      <c r="AO59" s="191"/>
      <c r="AP59" s="191"/>
      <c r="AQ59" s="374"/>
      <c r="AR59" s="374"/>
      <c r="AS59" s="383"/>
      <c r="AT59" s="383"/>
      <c r="AU59" s="383"/>
      <c r="AV59" s="212">
        <f t="shared" si="2"/>
        <v>21668</v>
      </c>
      <c r="AX59" s="33">
        <f t="shared" si="5"/>
        <v>16750</v>
      </c>
      <c r="AY59" s="33">
        <f t="shared" si="5"/>
        <v>0</v>
      </c>
      <c r="AZ59" s="33">
        <f t="shared" si="5"/>
        <v>0</v>
      </c>
      <c r="BA59" s="33">
        <f t="shared" si="5"/>
        <v>0</v>
      </c>
      <c r="BB59" s="33">
        <f t="shared" si="5"/>
        <v>0</v>
      </c>
      <c r="BC59" s="33">
        <f t="shared" si="5"/>
        <v>0</v>
      </c>
      <c r="BD59" s="33">
        <f t="shared" si="5"/>
        <v>4918</v>
      </c>
      <c r="BE59" s="58">
        <f t="shared" si="4"/>
        <v>0</v>
      </c>
    </row>
    <row r="60" spans="1:57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Mar 2026'!$A$8:$F$206,6,FALSE)</f>
        <v>Chq Bk</v>
      </c>
      <c r="H60" s="191">
        <v>0</v>
      </c>
      <c r="I60" s="191">
        <v>0</v>
      </c>
      <c r="J60" s="191">
        <v>0</v>
      </c>
      <c r="K60" s="191">
        <v>0</v>
      </c>
      <c r="L60" s="191">
        <v>0</v>
      </c>
      <c r="M60" s="191">
        <v>0</v>
      </c>
      <c r="N60" s="191">
        <v>0</v>
      </c>
      <c r="O60" s="191">
        <v>0</v>
      </c>
      <c r="P60" s="211">
        <v>3465</v>
      </c>
      <c r="Q60" s="211">
        <v>4708.75</v>
      </c>
      <c r="R60" s="211">
        <v>0</v>
      </c>
      <c r="S60" s="211">
        <v>0</v>
      </c>
      <c r="T60" s="211">
        <v>0</v>
      </c>
      <c r="U60" s="211">
        <v>12236</v>
      </c>
      <c r="V60" s="211">
        <v>0</v>
      </c>
      <c r="W60" s="211">
        <v>0</v>
      </c>
      <c r="X60" s="191">
        <v>0</v>
      </c>
      <c r="Y60" s="191">
        <v>0</v>
      </c>
      <c r="Z60" s="191">
        <v>0</v>
      </c>
      <c r="AA60" s="191">
        <v>0</v>
      </c>
      <c r="AB60" s="191">
        <v>0</v>
      </c>
      <c r="AC60" s="191">
        <v>0</v>
      </c>
      <c r="AD60" s="191">
        <v>0</v>
      </c>
      <c r="AE60" s="191">
        <v>856.93</v>
      </c>
      <c r="AF60" s="211">
        <v>0</v>
      </c>
      <c r="AG60" s="211">
        <v>0</v>
      </c>
      <c r="AH60" s="211">
        <v>0</v>
      </c>
      <c r="AI60" s="370"/>
      <c r="AJ60" s="211">
        <v>0</v>
      </c>
      <c r="AK60" s="211">
        <v>0</v>
      </c>
      <c r="AL60" s="191">
        <v>0</v>
      </c>
      <c r="AM60" s="191">
        <v>0</v>
      </c>
      <c r="AN60" s="191"/>
      <c r="AO60" s="191"/>
      <c r="AP60" s="191"/>
      <c r="AQ60" s="374"/>
      <c r="AR60" s="374"/>
      <c r="AS60" s="383"/>
      <c r="AT60" s="383"/>
      <c r="AU60" s="383"/>
      <c r="AV60" s="212">
        <f t="shared" si="2"/>
        <v>21266.68</v>
      </c>
      <c r="AX60" s="33">
        <f t="shared" si="5"/>
        <v>15701</v>
      </c>
      <c r="AY60" s="33">
        <f t="shared" si="5"/>
        <v>0</v>
      </c>
      <c r="AZ60" s="33">
        <f t="shared" si="5"/>
        <v>0</v>
      </c>
      <c r="BA60" s="33">
        <f t="shared" si="5"/>
        <v>0</v>
      </c>
      <c r="BB60" s="33">
        <f t="shared" si="5"/>
        <v>856.93</v>
      </c>
      <c r="BC60" s="33">
        <f t="shared" si="5"/>
        <v>0</v>
      </c>
      <c r="BD60" s="33">
        <f t="shared" si="5"/>
        <v>4708.75</v>
      </c>
      <c r="BE60" s="58">
        <f t="shared" si="4"/>
        <v>0</v>
      </c>
    </row>
    <row r="61" spans="1:57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Mar 2026'!$A$8:$F$206,6,FALSE)</f>
        <v>Chq Bk</v>
      </c>
      <c r="H61" s="191">
        <v>8062</v>
      </c>
      <c r="I61" s="191">
        <v>0</v>
      </c>
      <c r="J61" s="191">
        <v>0</v>
      </c>
      <c r="K61" s="191">
        <v>70826</v>
      </c>
      <c r="L61" s="191">
        <v>9750</v>
      </c>
      <c r="M61" s="191">
        <v>16345</v>
      </c>
      <c r="N61" s="191">
        <v>0</v>
      </c>
      <c r="O61" s="191">
        <v>0</v>
      </c>
      <c r="P61" s="211">
        <v>0</v>
      </c>
      <c r="Q61" s="211">
        <v>8106.25</v>
      </c>
      <c r="R61" s="211">
        <v>70826</v>
      </c>
      <c r="S61" s="211">
        <v>0</v>
      </c>
      <c r="T61" s="211">
        <v>43016</v>
      </c>
      <c r="U61" s="211">
        <v>0</v>
      </c>
      <c r="V61" s="211">
        <v>0</v>
      </c>
      <c r="W61" s="211">
        <v>0</v>
      </c>
      <c r="X61" s="191">
        <v>9525</v>
      </c>
      <c r="Y61" s="191">
        <v>0</v>
      </c>
      <c r="Z61" s="191">
        <v>20559</v>
      </c>
      <c r="AA61" s="191">
        <v>0</v>
      </c>
      <c r="AB61" s="191">
        <v>0</v>
      </c>
      <c r="AC61" s="191">
        <v>0</v>
      </c>
      <c r="AD61" s="191">
        <v>0</v>
      </c>
      <c r="AE61" s="191">
        <v>0</v>
      </c>
      <c r="AF61" s="211">
        <v>2400</v>
      </c>
      <c r="AG61" s="211">
        <v>0</v>
      </c>
      <c r="AH61" s="211">
        <v>70826</v>
      </c>
      <c r="AI61" s="370"/>
      <c r="AJ61" s="211">
        <v>0</v>
      </c>
      <c r="AK61" s="211">
        <v>0</v>
      </c>
      <c r="AL61" s="191">
        <v>70827</v>
      </c>
      <c r="AM61" s="191">
        <v>0</v>
      </c>
      <c r="AN61" s="191"/>
      <c r="AO61" s="191"/>
      <c r="AP61" s="191"/>
      <c r="AQ61" s="374"/>
      <c r="AR61" s="374"/>
      <c r="AS61" s="383"/>
      <c r="AT61" s="383"/>
      <c r="AU61" s="383"/>
      <c r="AV61" s="212">
        <f t="shared" si="2"/>
        <v>401068.25</v>
      </c>
      <c r="AX61" s="33">
        <f t="shared" si="5"/>
        <v>63575</v>
      </c>
      <c r="AY61" s="33">
        <f t="shared" si="5"/>
        <v>0</v>
      </c>
      <c r="AZ61" s="33">
        <f t="shared" si="5"/>
        <v>0</v>
      </c>
      <c r="BA61" s="33">
        <f t="shared" si="5"/>
        <v>283305</v>
      </c>
      <c r="BB61" s="33">
        <f t="shared" si="5"/>
        <v>46082</v>
      </c>
      <c r="BC61" s="33">
        <f t="shared" si="5"/>
        <v>0</v>
      </c>
      <c r="BD61" s="33">
        <f t="shared" si="5"/>
        <v>8106.25</v>
      </c>
      <c r="BE61" s="58">
        <f t="shared" si="4"/>
        <v>0</v>
      </c>
    </row>
    <row r="62" spans="1:57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Mar 2026'!$A$8:$F$206,6,FALSE)</f>
        <v>Chq Bk</v>
      </c>
      <c r="H62" s="191">
        <v>8862</v>
      </c>
      <c r="I62" s="191">
        <v>0</v>
      </c>
      <c r="J62" s="191">
        <v>0</v>
      </c>
      <c r="K62" s="191">
        <v>122336</v>
      </c>
      <c r="L62" s="191">
        <v>15577</v>
      </c>
      <c r="M62" s="191">
        <v>30953</v>
      </c>
      <c r="N62" s="191">
        <v>0</v>
      </c>
      <c r="O62" s="191">
        <v>0</v>
      </c>
      <c r="P62" s="211">
        <v>0</v>
      </c>
      <c r="Q62" s="211">
        <v>11222.5</v>
      </c>
      <c r="R62" s="211">
        <v>122336</v>
      </c>
      <c r="S62" s="211">
        <v>0</v>
      </c>
      <c r="T62" s="211">
        <v>74068</v>
      </c>
      <c r="U62" s="211">
        <v>5640</v>
      </c>
      <c r="V62" s="211">
        <v>0</v>
      </c>
      <c r="W62" s="211">
        <v>0</v>
      </c>
      <c r="X62" s="191">
        <v>10625</v>
      </c>
      <c r="Y62" s="191">
        <v>0</v>
      </c>
      <c r="Z62" s="191">
        <v>35210</v>
      </c>
      <c r="AA62" s="191">
        <v>0</v>
      </c>
      <c r="AB62" s="191">
        <v>0</v>
      </c>
      <c r="AC62" s="191">
        <v>0</v>
      </c>
      <c r="AD62" s="191">
        <v>0</v>
      </c>
      <c r="AE62" s="191">
        <v>3427.72</v>
      </c>
      <c r="AF62" s="211">
        <v>7200</v>
      </c>
      <c r="AG62" s="211">
        <v>0</v>
      </c>
      <c r="AH62" s="211">
        <v>122336</v>
      </c>
      <c r="AI62" s="370"/>
      <c r="AJ62" s="211">
        <v>0</v>
      </c>
      <c r="AK62" s="211">
        <v>0</v>
      </c>
      <c r="AL62" s="191">
        <v>122337</v>
      </c>
      <c r="AM62" s="191">
        <v>0</v>
      </c>
      <c r="AN62" s="191"/>
      <c r="AO62" s="191"/>
      <c r="AP62" s="191"/>
      <c r="AQ62" s="374"/>
      <c r="AR62" s="374"/>
      <c r="AS62" s="383"/>
      <c r="AT62" s="383"/>
      <c r="AU62" s="383"/>
      <c r="AV62" s="212">
        <f t="shared" si="2"/>
        <v>692130.22</v>
      </c>
      <c r="AX62" s="33">
        <f t="shared" si="5"/>
        <v>114918</v>
      </c>
      <c r="AY62" s="33">
        <f t="shared" si="5"/>
        <v>0</v>
      </c>
      <c r="AZ62" s="33">
        <f t="shared" si="5"/>
        <v>0</v>
      </c>
      <c r="BA62" s="33">
        <f t="shared" si="5"/>
        <v>489345</v>
      </c>
      <c r="BB62" s="33">
        <f t="shared" si="5"/>
        <v>76644.72</v>
      </c>
      <c r="BC62" s="33">
        <f t="shared" si="5"/>
        <v>0</v>
      </c>
      <c r="BD62" s="33">
        <f t="shared" si="5"/>
        <v>11222.5</v>
      </c>
      <c r="BE62" s="58">
        <f t="shared" si="4"/>
        <v>0</v>
      </c>
    </row>
    <row r="63" spans="1:57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Mar 2026'!$A$8:$F$206,6,FALSE)</f>
        <v>Chq Bk</v>
      </c>
      <c r="H63" s="191">
        <v>7671</v>
      </c>
      <c r="I63" s="191">
        <v>1602.93</v>
      </c>
      <c r="J63" s="191">
        <v>0</v>
      </c>
      <c r="K63" s="191">
        <v>28027</v>
      </c>
      <c r="L63" s="191">
        <v>58884</v>
      </c>
      <c r="M63" s="191">
        <v>79262</v>
      </c>
      <c r="N63" s="191">
        <v>0</v>
      </c>
      <c r="O63" s="191">
        <v>0</v>
      </c>
      <c r="P63" s="211">
        <v>0</v>
      </c>
      <c r="Q63" s="211">
        <v>8344.75</v>
      </c>
      <c r="R63" s="211">
        <v>28027</v>
      </c>
      <c r="S63" s="211">
        <v>0</v>
      </c>
      <c r="T63" s="211">
        <v>36155</v>
      </c>
      <c r="U63" s="211">
        <v>4888</v>
      </c>
      <c r="V63" s="211">
        <v>0</v>
      </c>
      <c r="W63" s="211">
        <v>0</v>
      </c>
      <c r="X63" s="191">
        <v>9200</v>
      </c>
      <c r="Y63" s="191">
        <v>0</v>
      </c>
      <c r="Z63" s="191">
        <v>17371</v>
      </c>
      <c r="AA63" s="191">
        <v>0</v>
      </c>
      <c r="AB63" s="191">
        <v>0</v>
      </c>
      <c r="AC63" s="191">
        <v>0</v>
      </c>
      <c r="AD63" s="191">
        <v>7028.76</v>
      </c>
      <c r="AE63" s="191">
        <v>571.29</v>
      </c>
      <c r="AF63" s="211">
        <v>2400</v>
      </c>
      <c r="AG63" s="211">
        <v>0</v>
      </c>
      <c r="AH63" s="211">
        <v>28027</v>
      </c>
      <c r="AI63" s="370"/>
      <c r="AJ63" s="211">
        <v>0</v>
      </c>
      <c r="AK63" s="211">
        <v>3437.42</v>
      </c>
      <c r="AL63" s="191">
        <v>28029</v>
      </c>
      <c r="AM63" s="191">
        <v>0</v>
      </c>
      <c r="AN63" s="191"/>
      <c r="AO63" s="191"/>
      <c r="AP63" s="191"/>
      <c r="AQ63" s="374"/>
      <c r="AR63" s="374"/>
      <c r="AS63" s="383"/>
      <c r="AT63" s="383"/>
      <c r="AU63" s="383"/>
      <c r="AV63" s="212">
        <f t="shared" si="2"/>
        <v>348926.14999999997</v>
      </c>
      <c r="AX63" s="33">
        <f t="shared" si="5"/>
        <v>58414</v>
      </c>
      <c r="AY63" s="33">
        <f t="shared" si="5"/>
        <v>0</v>
      </c>
      <c r="AZ63" s="33">
        <f t="shared" si="5"/>
        <v>0</v>
      </c>
      <c r="BA63" s="33">
        <f t="shared" si="5"/>
        <v>112110</v>
      </c>
      <c r="BB63" s="33">
        <f t="shared" si="5"/>
        <v>170057.40000000002</v>
      </c>
      <c r="BC63" s="33">
        <f t="shared" si="5"/>
        <v>0</v>
      </c>
      <c r="BD63" s="33">
        <f t="shared" si="5"/>
        <v>8344.75</v>
      </c>
      <c r="BE63" s="58">
        <f t="shared" si="4"/>
        <v>0</v>
      </c>
    </row>
    <row r="64" spans="1:57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Mar 2026'!$A$8:$F$206,6,FALSE)</f>
        <v>Chq Bk</v>
      </c>
      <c r="H64" s="191">
        <v>8675</v>
      </c>
      <c r="I64" s="191">
        <v>0</v>
      </c>
      <c r="J64" s="191">
        <v>0</v>
      </c>
      <c r="K64" s="191">
        <v>65411</v>
      </c>
      <c r="L64" s="191">
        <v>0</v>
      </c>
      <c r="M64" s="191">
        <v>0</v>
      </c>
      <c r="N64" s="191">
        <v>0</v>
      </c>
      <c r="O64" s="191">
        <v>0</v>
      </c>
      <c r="P64" s="211">
        <v>0</v>
      </c>
      <c r="Q64" s="211">
        <v>9422.5</v>
      </c>
      <c r="R64" s="211">
        <v>65411</v>
      </c>
      <c r="S64" s="211">
        <v>0</v>
      </c>
      <c r="T64" s="211">
        <v>53085</v>
      </c>
      <c r="U64" s="211">
        <v>0</v>
      </c>
      <c r="V64" s="211">
        <v>0</v>
      </c>
      <c r="W64" s="211">
        <v>0</v>
      </c>
      <c r="X64" s="191">
        <v>10395</v>
      </c>
      <c r="Y64" s="191">
        <v>0</v>
      </c>
      <c r="Z64" s="191">
        <v>25346</v>
      </c>
      <c r="AA64" s="191">
        <v>0</v>
      </c>
      <c r="AB64" s="191">
        <v>0</v>
      </c>
      <c r="AC64" s="191">
        <v>0</v>
      </c>
      <c r="AD64" s="191">
        <v>0</v>
      </c>
      <c r="AE64" s="191">
        <v>0</v>
      </c>
      <c r="AF64" s="211">
        <v>4800</v>
      </c>
      <c r="AG64" s="211">
        <v>0</v>
      </c>
      <c r="AH64" s="211">
        <v>65411</v>
      </c>
      <c r="AI64" s="370"/>
      <c r="AJ64" s="211">
        <v>0</v>
      </c>
      <c r="AK64" s="211">
        <v>0</v>
      </c>
      <c r="AL64" s="191">
        <v>65412</v>
      </c>
      <c r="AM64" s="191">
        <v>0</v>
      </c>
      <c r="AN64" s="191"/>
      <c r="AO64" s="191"/>
      <c r="AP64" s="191"/>
      <c r="AQ64" s="374"/>
      <c r="AR64" s="374"/>
      <c r="AS64" s="383"/>
      <c r="AT64" s="383"/>
      <c r="AU64" s="383"/>
      <c r="AV64" s="212">
        <f t="shared" si="2"/>
        <v>373368.5</v>
      </c>
      <c r="AX64" s="33">
        <f t="shared" si="5"/>
        <v>78431</v>
      </c>
      <c r="AY64" s="33">
        <f t="shared" si="5"/>
        <v>0</v>
      </c>
      <c r="AZ64" s="33">
        <f t="shared" si="5"/>
        <v>0</v>
      </c>
      <c r="BA64" s="33">
        <f t="shared" si="5"/>
        <v>261645</v>
      </c>
      <c r="BB64" s="33">
        <f t="shared" si="5"/>
        <v>23870</v>
      </c>
      <c r="BC64" s="33">
        <f t="shared" si="5"/>
        <v>0</v>
      </c>
      <c r="BD64" s="33">
        <f t="shared" si="5"/>
        <v>9422.5</v>
      </c>
      <c r="BE64" s="58">
        <f t="shared" si="4"/>
        <v>0</v>
      </c>
    </row>
    <row r="65" spans="1:57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Mar 2026'!$A$8:$F$206,6,FALSE)</f>
        <v>Chq Bk</v>
      </c>
      <c r="H65" s="191">
        <v>7187</v>
      </c>
      <c r="I65" s="191">
        <v>0</v>
      </c>
      <c r="J65" s="191">
        <v>361349.43229581142</v>
      </c>
      <c r="K65" s="191">
        <v>36808</v>
      </c>
      <c r="L65" s="191">
        <v>1917</v>
      </c>
      <c r="M65" s="191">
        <v>5931</v>
      </c>
      <c r="N65" s="191">
        <v>0</v>
      </c>
      <c r="O65" s="191">
        <v>0</v>
      </c>
      <c r="P65" s="211">
        <v>0</v>
      </c>
      <c r="Q65" s="211">
        <v>11796.25</v>
      </c>
      <c r="R65" s="211">
        <v>36808</v>
      </c>
      <c r="S65" s="211">
        <v>0</v>
      </c>
      <c r="T65" s="211">
        <v>0</v>
      </c>
      <c r="U65" s="211">
        <v>0</v>
      </c>
      <c r="V65" s="211">
        <v>0</v>
      </c>
      <c r="W65" s="211">
        <v>87258.683688452016</v>
      </c>
      <c r="X65" s="191">
        <v>8615</v>
      </c>
      <c r="Y65" s="191">
        <v>0</v>
      </c>
      <c r="Z65" s="191">
        <v>0</v>
      </c>
      <c r="AA65" s="191">
        <v>67817.48</v>
      </c>
      <c r="AB65" s="191">
        <v>-3144.6288405797109</v>
      </c>
      <c r="AC65" s="191">
        <v>-4195.1752898550731</v>
      </c>
      <c r="AD65" s="191">
        <v>0</v>
      </c>
      <c r="AE65" s="191">
        <v>1428.22</v>
      </c>
      <c r="AF65" s="211">
        <v>2400</v>
      </c>
      <c r="AG65" s="211">
        <v>0</v>
      </c>
      <c r="AH65" s="211">
        <v>36808</v>
      </c>
      <c r="AI65" s="370"/>
      <c r="AJ65" s="211">
        <v>0</v>
      </c>
      <c r="AK65" s="211">
        <v>0</v>
      </c>
      <c r="AL65" s="191">
        <v>36811</v>
      </c>
      <c r="AM65" s="191">
        <v>0</v>
      </c>
      <c r="AN65" s="191"/>
      <c r="AO65" s="191"/>
      <c r="AP65" s="191"/>
      <c r="AQ65" s="374"/>
      <c r="AR65" s="374"/>
      <c r="AS65" s="383"/>
      <c r="AT65" s="383"/>
      <c r="AU65" s="383"/>
      <c r="AV65" s="212">
        <f t="shared" si="2"/>
        <v>695595.26185382856</v>
      </c>
      <c r="AX65" s="33">
        <f t="shared" si="5"/>
        <v>-7339.8041304347844</v>
      </c>
      <c r="AY65" s="33">
        <f t="shared" si="5"/>
        <v>0</v>
      </c>
      <c r="AZ65" s="33">
        <f t="shared" si="5"/>
        <v>516425.5959842634</v>
      </c>
      <c r="BA65" s="33">
        <f t="shared" si="5"/>
        <v>147235</v>
      </c>
      <c r="BB65" s="33">
        <f t="shared" si="5"/>
        <v>27478.22</v>
      </c>
      <c r="BC65" s="33">
        <f t="shared" ref="AY65:BD69" si="6">SUMIF($H$3:$AU$3,BC$6,$H65:$AU65)</f>
        <v>0</v>
      </c>
      <c r="BD65" s="33">
        <f t="shared" si="6"/>
        <v>11796.25</v>
      </c>
      <c r="BE65" s="58">
        <f t="shared" si="4"/>
        <v>0</v>
      </c>
    </row>
    <row r="66" spans="1:57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Mar 2026'!$A$8:$F$206,6,FALSE)</f>
        <v>Chq Bk</v>
      </c>
      <c r="H66" s="191">
        <v>7412</v>
      </c>
      <c r="I66" s="191">
        <v>0</v>
      </c>
      <c r="J66" s="191">
        <v>0</v>
      </c>
      <c r="K66" s="191">
        <v>48101</v>
      </c>
      <c r="L66" s="191">
        <v>8076</v>
      </c>
      <c r="M66" s="191">
        <v>11717</v>
      </c>
      <c r="N66" s="191">
        <v>0</v>
      </c>
      <c r="O66" s="191">
        <v>0</v>
      </c>
      <c r="P66" s="211">
        <v>0</v>
      </c>
      <c r="Q66" s="211">
        <v>6486.25</v>
      </c>
      <c r="R66" s="211">
        <v>48101</v>
      </c>
      <c r="S66" s="211">
        <v>0</v>
      </c>
      <c r="T66" s="211">
        <v>29670</v>
      </c>
      <c r="U66" s="211">
        <v>2350</v>
      </c>
      <c r="V66" s="211">
        <v>0</v>
      </c>
      <c r="W66" s="211">
        <v>0</v>
      </c>
      <c r="X66" s="191">
        <v>8875</v>
      </c>
      <c r="Y66" s="191">
        <v>0</v>
      </c>
      <c r="Z66" s="191">
        <v>15422</v>
      </c>
      <c r="AA66" s="191">
        <v>0</v>
      </c>
      <c r="AB66" s="191">
        <v>0</v>
      </c>
      <c r="AC66" s="191">
        <v>0</v>
      </c>
      <c r="AD66" s="191">
        <v>2287.5500000000002</v>
      </c>
      <c r="AE66" s="191">
        <v>0</v>
      </c>
      <c r="AF66" s="211">
        <v>0</v>
      </c>
      <c r="AG66" s="211">
        <v>0</v>
      </c>
      <c r="AH66" s="211">
        <v>44693</v>
      </c>
      <c r="AI66" s="370"/>
      <c r="AJ66" s="211">
        <v>0</v>
      </c>
      <c r="AK66" s="211">
        <v>1537.2</v>
      </c>
      <c r="AL66" s="191">
        <v>46965</v>
      </c>
      <c r="AM66" s="191">
        <v>0</v>
      </c>
      <c r="AN66" s="191"/>
      <c r="AO66" s="191"/>
      <c r="AP66" s="191"/>
      <c r="AQ66" s="374"/>
      <c r="AR66" s="374"/>
      <c r="AS66" s="383"/>
      <c r="AT66" s="383"/>
      <c r="AU66" s="383"/>
      <c r="AV66" s="212">
        <f t="shared" si="2"/>
        <v>281693</v>
      </c>
      <c r="AX66" s="33">
        <f t="shared" ref="AX66:AX69" si="7">SUMIF($H$3:$AU$3,AX$6,$H66:$AU66)</f>
        <v>47442</v>
      </c>
      <c r="AY66" s="33">
        <f t="shared" si="6"/>
        <v>0</v>
      </c>
      <c r="AZ66" s="33">
        <f t="shared" si="6"/>
        <v>0</v>
      </c>
      <c r="BA66" s="33">
        <f t="shared" si="6"/>
        <v>187860</v>
      </c>
      <c r="BB66" s="33">
        <f t="shared" si="6"/>
        <v>39904.75</v>
      </c>
      <c r="BC66" s="33">
        <f t="shared" si="6"/>
        <v>0</v>
      </c>
      <c r="BD66" s="33">
        <f t="shared" si="6"/>
        <v>6486.25</v>
      </c>
      <c r="BE66" s="58">
        <f t="shared" si="4"/>
        <v>0</v>
      </c>
    </row>
    <row r="67" spans="1:57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Mar 2026'!$A$8:$F$206,6,FALSE)</f>
        <v>Chq Bk</v>
      </c>
      <c r="H67" s="191">
        <v>0</v>
      </c>
      <c r="I67" s="191">
        <v>0</v>
      </c>
      <c r="J67" s="191">
        <v>0</v>
      </c>
      <c r="K67" s="191">
        <v>0</v>
      </c>
      <c r="L67" s="191">
        <v>0</v>
      </c>
      <c r="M67" s="191">
        <v>0</v>
      </c>
      <c r="N67" s="191">
        <v>0</v>
      </c>
      <c r="O67" s="191">
        <v>0</v>
      </c>
      <c r="P67" s="211">
        <v>4830</v>
      </c>
      <c r="Q67" s="211">
        <v>5120.5</v>
      </c>
      <c r="R67" s="211">
        <v>0</v>
      </c>
      <c r="S67" s="211">
        <v>0</v>
      </c>
      <c r="T67" s="211">
        <v>0</v>
      </c>
      <c r="U67" s="211">
        <v>17974</v>
      </c>
      <c r="V67" s="211">
        <v>0</v>
      </c>
      <c r="W67" s="211">
        <v>0</v>
      </c>
      <c r="X67" s="191">
        <v>0</v>
      </c>
      <c r="Y67" s="191">
        <v>0</v>
      </c>
      <c r="Z67" s="191">
        <v>0</v>
      </c>
      <c r="AA67" s="191">
        <v>0</v>
      </c>
      <c r="AB67" s="191">
        <v>0</v>
      </c>
      <c r="AC67" s="191">
        <v>0</v>
      </c>
      <c r="AD67" s="191">
        <v>0</v>
      </c>
      <c r="AE67" s="191">
        <v>0</v>
      </c>
      <c r="AF67" s="211">
        <v>0</v>
      </c>
      <c r="AG67" s="211">
        <v>0</v>
      </c>
      <c r="AH67" s="211">
        <v>0</v>
      </c>
      <c r="AI67" s="370"/>
      <c r="AJ67" s="211">
        <v>0</v>
      </c>
      <c r="AK67" s="211">
        <v>0</v>
      </c>
      <c r="AL67" s="191">
        <v>0</v>
      </c>
      <c r="AM67" s="191">
        <v>0</v>
      </c>
      <c r="AN67" s="191"/>
      <c r="AO67" s="191"/>
      <c r="AP67" s="191"/>
      <c r="AQ67" s="374"/>
      <c r="AR67" s="374"/>
      <c r="AS67" s="383"/>
      <c r="AT67" s="383"/>
      <c r="AU67" s="383"/>
      <c r="AV67" s="212">
        <f t="shared" si="2"/>
        <v>27924.5</v>
      </c>
      <c r="AX67" s="33">
        <f t="shared" si="7"/>
        <v>22804</v>
      </c>
      <c r="AY67" s="33">
        <f t="shared" si="6"/>
        <v>0</v>
      </c>
      <c r="AZ67" s="33">
        <f t="shared" si="6"/>
        <v>0</v>
      </c>
      <c r="BA67" s="33">
        <f t="shared" si="6"/>
        <v>0</v>
      </c>
      <c r="BB67" s="33">
        <f t="shared" si="6"/>
        <v>0</v>
      </c>
      <c r="BC67" s="33">
        <f t="shared" si="6"/>
        <v>0</v>
      </c>
      <c r="BD67" s="33">
        <f t="shared" si="6"/>
        <v>5120.5</v>
      </c>
      <c r="BE67" s="58">
        <f t="shared" si="4"/>
        <v>0</v>
      </c>
    </row>
    <row r="68" spans="1:57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Mar 2026'!$A$8:$F$206,6,FALSE)</f>
        <v>Chq Bk</v>
      </c>
      <c r="H68" s="191">
        <v>0</v>
      </c>
      <c r="I68" s="191">
        <v>0</v>
      </c>
      <c r="J68" s="191">
        <v>0</v>
      </c>
      <c r="K68" s="191">
        <v>0</v>
      </c>
      <c r="L68" s="191">
        <v>0</v>
      </c>
      <c r="M68" s="191">
        <v>0</v>
      </c>
      <c r="N68" s="191">
        <v>0</v>
      </c>
      <c r="O68" s="191">
        <v>0</v>
      </c>
      <c r="P68" s="211">
        <v>1995</v>
      </c>
      <c r="Q68" s="211">
        <v>4465.75</v>
      </c>
      <c r="R68" s="211">
        <v>0</v>
      </c>
      <c r="S68" s="211">
        <v>0</v>
      </c>
      <c r="T68" s="211">
        <v>0</v>
      </c>
      <c r="U68" s="211">
        <v>7452</v>
      </c>
      <c r="V68" s="211">
        <v>0</v>
      </c>
      <c r="W68" s="211">
        <v>0</v>
      </c>
      <c r="X68" s="191">
        <v>0</v>
      </c>
      <c r="Y68" s="191">
        <v>0</v>
      </c>
      <c r="Z68" s="191">
        <v>0</v>
      </c>
      <c r="AA68" s="191">
        <v>0</v>
      </c>
      <c r="AB68" s="191">
        <v>0</v>
      </c>
      <c r="AC68" s="191">
        <v>0</v>
      </c>
      <c r="AD68" s="191">
        <v>0</v>
      </c>
      <c r="AE68" s="191">
        <v>0</v>
      </c>
      <c r="AF68" s="211">
        <v>0</v>
      </c>
      <c r="AG68" s="211">
        <v>0</v>
      </c>
      <c r="AH68" s="211">
        <v>0</v>
      </c>
      <c r="AI68" s="370"/>
      <c r="AJ68" s="211">
        <v>0</v>
      </c>
      <c r="AK68" s="211">
        <v>0</v>
      </c>
      <c r="AL68" s="191">
        <v>0</v>
      </c>
      <c r="AM68" s="191">
        <v>0</v>
      </c>
      <c r="AN68" s="191"/>
      <c r="AO68" s="191"/>
      <c r="AP68" s="191"/>
      <c r="AQ68" s="374"/>
      <c r="AR68" s="374"/>
      <c r="AS68" s="383"/>
      <c r="AT68" s="383"/>
      <c r="AU68" s="383"/>
      <c r="AV68" s="212">
        <f t="shared" si="2"/>
        <v>13912.75</v>
      </c>
      <c r="AX68" s="33">
        <f t="shared" si="7"/>
        <v>9447</v>
      </c>
      <c r="AY68" s="33">
        <f t="shared" si="6"/>
        <v>0</v>
      </c>
      <c r="AZ68" s="33">
        <f t="shared" si="6"/>
        <v>0</v>
      </c>
      <c r="BA68" s="33">
        <f t="shared" si="6"/>
        <v>0</v>
      </c>
      <c r="BB68" s="33">
        <f t="shared" si="6"/>
        <v>0</v>
      </c>
      <c r="BC68" s="33">
        <f t="shared" si="6"/>
        <v>0</v>
      </c>
      <c r="BD68" s="33">
        <f t="shared" si="6"/>
        <v>4465.75</v>
      </c>
      <c r="BE68" s="58">
        <f t="shared" si="4"/>
        <v>0</v>
      </c>
    </row>
    <row r="69" spans="1:57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Mar 2026'!$A$8:$F$206,6,FALSE)</f>
        <v>Chq Bk</v>
      </c>
      <c r="H69" s="191">
        <v>0</v>
      </c>
      <c r="I69" s="191">
        <v>0</v>
      </c>
      <c r="J69" s="191">
        <v>0</v>
      </c>
      <c r="K69" s="191">
        <v>170925</v>
      </c>
      <c r="L69" s="191">
        <v>0</v>
      </c>
      <c r="M69" s="191">
        <v>0</v>
      </c>
      <c r="N69" s="191">
        <v>0</v>
      </c>
      <c r="O69" s="191">
        <v>0</v>
      </c>
      <c r="P69" s="211">
        <v>0</v>
      </c>
      <c r="Q69" s="211">
        <v>24503.13</v>
      </c>
      <c r="R69" s="211">
        <v>170925</v>
      </c>
      <c r="S69" s="211">
        <v>0</v>
      </c>
      <c r="T69" s="211">
        <v>127300</v>
      </c>
      <c r="U69" s="211">
        <v>0</v>
      </c>
      <c r="V69" s="211">
        <v>0</v>
      </c>
      <c r="W69" s="211">
        <v>0</v>
      </c>
      <c r="X69" s="191">
        <v>0</v>
      </c>
      <c r="Y69" s="191">
        <v>0</v>
      </c>
      <c r="Z69" s="191">
        <v>100816</v>
      </c>
      <c r="AA69" s="191">
        <v>0</v>
      </c>
      <c r="AB69" s="191">
        <v>0</v>
      </c>
      <c r="AC69" s="191">
        <v>0</v>
      </c>
      <c r="AD69" s="191">
        <v>0</v>
      </c>
      <c r="AE69" s="191">
        <v>8283.66</v>
      </c>
      <c r="AF69" s="211">
        <v>9600</v>
      </c>
      <c r="AG69" s="211">
        <v>788.4</v>
      </c>
      <c r="AH69" s="211">
        <v>170925</v>
      </c>
      <c r="AI69" s="370"/>
      <c r="AJ69" s="211">
        <v>0</v>
      </c>
      <c r="AK69" s="211">
        <v>0</v>
      </c>
      <c r="AL69" s="191">
        <v>170925</v>
      </c>
      <c r="AM69" s="191">
        <v>0</v>
      </c>
      <c r="AN69" s="191"/>
      <c r="AO69" s="191"/>
      <c r="AP69" s="191"/>
      <c r="AQ69" s="374"/>
      <c r="AR69" s="374"/>
      <c r="AS69" s="383"/>
      <c r="AT69" s="383"/>
      <c r="AU69" s="383"/>
      <c r="AV69" s="212">
        <f t="shared" si="2"/>
        <v>954991.19000000006</v>
      </c>
      <c r="AX69" s="33">
        <f t="shared" si="7"/>
        <v>228116</v>
      </c>
      <c r="AY69" s="33">
        <f t="shared" si="6"/>
        <v>0</v>
      </c>
      <c r="AZ69" s="33">
        <f t="shared" si="6"/>
        <v>0</v>
      </c>
      <c r="BA69" s="33">
        <f t="shared" si="6"/>
        <v>683700</v>
      </c>
      <c r="BB69" s="33">
        <f t="shared" si="6"/>
        <v>18672.060000000001</v>
      </c>
      <c r="BC69" s="33">
        <f t="shared" si="6"/>
        <v>0</v>
      </c>
      <c r="BD69" s="33">
        <f t="shared" si="6"/>
        <v>24503.13</v>
      </c>
      <c r="BE69" s="58">
        <f t="shared" si="4"/>
        <v>0</v>
      </c>
    </row>
    <row r="70" spans="1:57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Mar 2026'!$A$8:$F$206,6,FALSE)</f>
        <v>Chq Bk</v>
      </c>
      <c r="H70" s="191">
        <v>0</v>
      </c>
      <c r="I70" s="191">
        <v>0</v>
      </c>
      <c r="J70" s="191">
        <v>0</v>
      </c>
      <c r="K70" s="191">
        <v>103440</v>
      </c>
      <c r="L70" s="191">
        <v>0</v>
      </c>
      <c r="M70" s="191">
        <v>0</v>
      </c>
      <c r="N70" s="191">
        <v>0</v>
      </c>
      <c r="O70" s="191">
        <v>0</v>
      </c>
      <c r="P70" s="211">
        <v>0</v>
      </c>
      <c r="Q70" s="211">
        <v>16571.88</v>
      </c>
      <c r="R70" s="211">
        <v>103440</v>
      </c>
      <c r="S70" s="211">
        <v>0</v>
      </c>
      <c r="T70" s="211">
        <v>79563</v>
      </c>
      <c r="U70" s="211">
        <v>0</v>
      </c>
      <c r="V70" s="211">
        <v>0</v>
      </c>
      <c r="W70" s="211">
        <v>0</v>
      </c>
      <c r="X70" s="191">
        <v>0</v>
      </c>
      <c r="Y70" s="191">
        <v>0</v>
      </c>
      <c r="Z70" s="191">
        <v>62782</v>
      </c>
      <c r="AA70" s="191">
        <v>0</v>
      </c>
      <c r="AB70" s="191">
        <v>0</v>
      </c>
      <c r="AC70" s="191">
        <v>0</v>
      </c>
      <c r="AD70" s="191">
        <v>0</v>
      </c>
      <c r="AE70" s="191">
        <v>856.93</v>
      </c>
      <c r="AF70" s="211">
        <v>2400</v>
      </c>
      <c r="AG70" s="211">
        <v>0</v>
      </c>
      <c r="AH70" s="211">
        <v>103440</v>
      </c>
      <c r="AI70" s="67"/>
      <c r="AJ70" s="211">
        <v>0</v>
      </c>
      <c r="AK70" s="211">
        <v>0</v>
      </c>
      <c r="AL70" s="191">
        <v>103440</v>
      </c>
      <c r="AM70" s="191">
        <v>0</v>
      </c>
      <c r="AN70" s="190"/>
      <c r="AO70" s="190"/>
      <c r="AP70" s="190"/>
      <c r="AQ70" s="375"/>
      <c r="AR70" s="375"/>
      <c r="AS70" s="382"/>
      <c r="AT70" s="382"/>
      <c r="AU70" s="382"/>
      <c r="AV70" s="198">
        <f t="shared" ref="AV70:AV133" si="8">SUM(H70:AU70)</f>
        <v>575933.81000000006</v>
      </c>
      <c r="AX70" s="33">
        <f t="shared" ref="AX70:BD85" si="9">SUMIF($H$3:$AU$3,AX$6,$H70:$AU70)</f>
        <v>142345</v>
      </c>
      <c r="AY70" s="33">
        <f t="shared" si="9"/>
        <v>0</v>
      </c>
      <c r="AZ70" s="33">
        <f t="shared" si="9"/>
        <v>0</v>
      </c>
      <c r="BA70" s="33">
        <f t="shared" si="9"/>
        <v>413760</v>
      </c>
      <c r="BB70" s="33">
        <f t="shared" si="9"/>
        <v>3256.93</v>
      </c>
      <c r="BC70" s="33">
        <f t="shared" si="9"/>
        <v>0</v>
      </c>
      <c r="BD70" s="33">
        <f t="shared" si="9"/>
        <v>16571.88</v>
      </c>
      <c r="BE70" s="58">
        <f t="shared" si="4"/>
        <v>0</v>
      </c>
    </row>
    <row r="71" spans="1:57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Mar 2026'!$A$8:$F$206,6,FALSE)</f>
        <v>Chq Bk</v>
      </c>
      <c r="H71" s="191">
        <v>7054</v>
      </c>
      <c r="I71" s="191">
        <v>0</v>
      </c>
      <c r="J71" s="191">
        <v>0</v>
      </c>
      <c r="K71" s="191">
        <v>37192</v>
      </c>
      <c r="L71" s="191">
        <v>9337</v>
      </c>
      <c r="M71" s="191">
        <v>12295</v>
      </c>
      <c r="N71" s="191">
        <v>0</v>
      </c>
      <c r="O71" s="191">
        <v>0</v>
      </c>
      <c r="P71" s="211">
        <v>0</v>
      </c>
      <c r="Q71" s="211">
        <v>0</v>
      </c>
      <c r="R71" s="211">
        <v>37192</v>
      </c>
      <c r="S71" s="211">
        <v>0</v>
      </c>
      <c r="T71" s="211">
        <v>20898</v>
      </c>
      <c r="U71" s="211">
        <v>3196</v>
      </c>
      <c r="V71" s="211">
        <v>0</v>
      </c>
      <c r="W71" s="211">
        <v>0</v>
      </c>
      <c r="X71" s="191">
        <v>8485</v>
      </c>
      <c r="Y71" s="191">
        <v>0</v>
      </c>
      <c r="Z71" s="191">
        <v>10119</v>
      </c>
      <c r="AA71" s="191">
        <v>0</v>
      </c>
      <c r="AB71" s="191">
        <v>0</v>
      </c>
      <c r="AC71" s="191">
        <v>0</v>
      </c>
      <c r="AD71" s="191">
        <v>0</v>
      </c>
      <c r="AE71" s="191">
        <v>0</v>
      </c>
      <c r="AF71" s="211">
        <v>0</v>
      </c>
      <c r="AG71" s="211">
        <v>0</v>
      </c>
      <c r="AH71" s="211">
        <v>34921</v>
      </c>
      <c r="AI71" s="67"/>
      <c r="AJ71" s="211">
        <v>0</v>
      </c>
      <c r="AK71" s="211">
        <v>0</v>
      </c>
      <c r="AL71" s="191">
        <v>36435</v>
      </c>
      <c r="AM71" s="191">
        <v>0</v>
      </c>
      <c r="AN71" s="190"/>
      <c r="AO71" s="190"/>
      <c r="AP71" s="190"/>
      <c r="AQ71" s="375"/>
      <c r="AR71" s="375"/>
      <c r="AS71" s="382"/>
      <c r="AT71" s="382"/>
      <c r="AU71" s="382"/>
      <c r="AV71" s="198">
        <f t="shared" si="8"/>
        <v>217124</v>
      </c>
      <c r="AX71" s="33">
        <f t="shared" si="9"/>
        <v>34213</v>
      </c>
      <c r="AY71" s="33">
        <f t="shared" si="9"/>
        <v>0</v>
      </c>
      <c r="AZ71" s="33">
        <f t="shared" si="9"/>
        <v>0</v>
      </c>
      <c r="BA71" s="33">
        <f t="shared" si="9"/>
        <v>145740</v>
      </c>
      <c r="BB71" s="33">
        <f t="shared" si="9"/>
        <v>37171</v>
      </c>
      <c r="BC71" s="33">
        <f t="shared" si="9"/>
        <v>0</v>
      </c>
      <c r="BD71" s="33">
        <f t="shared" si="9"/>
        <v>0</v>
      </c>
      <c r="BE71" s="58">
        <f t="shared" ref="BE71:BE102" si="10">SUM(AX71:BD71)-AV71</f>
        <v>0</v>
      </c>
    </row>
    <row r="72" spans="1:57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Mar 2026'!$A$8:$F$206,6,FALSE)</f>
        <v>Chq Bk</v>
      </c>
      <c r="H72" s="191">
        <v>0</v>
      </c>
      <c r="I72" s="191">
        <v>0</v>
      </c>
      <c r="J72" s="191">
        <v>0</v>
      </c>
      <c r="K72" s="191">
        <v>162318</v>
      </c>
      <c r="L72" s="191">
        <v>0</v>
      </c>
      <c r="M72" s="191">
        <v>0</v>
      </c>
      <c r="N72" s="191">
        <v>17331</v>
      </c>
      <c r="O72" s="191">
        <v>10583.65</v>
      </c>
      <c r="P72" s="211">
        <v>0</v>
      </c>
      <c r="Q72" s="211"/>
      <c r="R72" s="211">
        <v>162318</v>
      </c>
      <c r="S72" s="211">
        <v>14292.31</v>
      </c>
      <c r="T72" s="211">
        <v>110570</v>
      </c>
      <c r="U72" s="211">
        <v>0</v>
      </c>
      <c r="V72" s="211">
        <v>0</v>
      </c>
      <c r="W72" s="211">
        <v>0</v>
      </c>
      <c r="X72" s="191">
        <v>0</v>
      </c>
      <c r="Y72" s="191">
        <v>35697</v>
      </c>
      <c r="Z72" s="191">
        <v>87663</v>
      </c>
      <c r="AA72" s="191">
        <v>0</v>
      </c>
      <c r="AB72" s="191">
        <v>0</v>
      </c>
      <c r="AC72" s="191">
        <v>0</v>
      </c>
      <c r="AD72" s="191">
        <v>0</v>
      </c>
      <c r="AE72" s="191">
        <v>8283.66</v>
      </c>
      <c r="AF72" s="211">
        <v>16800</v>
      </c>
      <c r="AG72" s="211">
        <v>13972.2</v>
      </c>
      <c r="AH72" s="211">
        <v>161514</v>
      </c>
      <c r="AI72" s="67"/>
      <c r="AJ72" s="211">
        <v>0</v>
      </c>
      <c r="AK72" s="211">
        <v>0</v>
      </c>
      <c r="AL72" s="191">
        <v>162050</v>
      </c>
      <c r="AM72" s="191">
        <v>24410.31</v>
      </c>
      <c r="AN72" s="190"/>
      <c r="AO72" s="190"/>
      <c r="AP72" s="190"/>
      <c r="AQ72" s="375"/>
      <c r="AR72" s="375"/>
      <c r="AS72" s="382"/>
      <c r="AT72" s="382"/>
      <c r="AU72" s="382"/>
      <c r="AV72" s="198">
        <f t="shared" si="8"/>
        <v>987803.13</v>
      </c>
      <c r="AX72" s="33">
        <f t="shared" si="9"/>
        <v>198233</v>
      </c>
      <c r="AY72" s="33">
        <f t="shared" si="9"/>
        <v>77903.959999999992</v>
      </c>
      <c r="AZ72" s="33">
        <f t="shared" si="9"/>
        <v>0</v>
      </c>
      <c r="BA72" s="33">
        <f t="shared" si="9"/>
        <v>648200</v>
      </c>
      <c r="BB72" s="33">
        <f t="shared" si="9"/>
        <v>39055.86</v>
      </c>
      <c r="BC72" s="33">
        <f t="shared" si="9"/>
        <v>0</v>
      </c>
      <c r="BD72" s="33">
        <f t="shared" si="9"/>
        <v>24410.31</v>
      </c>
      <c r="BE72" s="58">
        <f t="shared" si="10"/>
        <v>0</v>
      </c>
    </row>
    <row r="73" spans="1:57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Mar 2026'!$A$8:$F$206,6,FALSE)</f>
        <v>Chq Bk</v>
      </c>
      <c r="H73" s="191">
        <v>7404</v>
      </c>
      <c r="I73" s="191">
        <v>0</v>
      </c>
      <c r="J73" s="191">
        <v>0</v>
      </c>
      <c r="K73" s="191">
        <v>41462</v>
      </c>
      <c r="L73" s="191">
        <v>9230</v>
      </c>
      <c r="M73" s="191">
        <v>12729</v>
      </c>
      <c r="N73" s="191">
        <v>0</v>
      </c>
      <c r="O73" s="191">
        <v>0</v>
      </c>
      <c r="P73" s="211">
        <v>0</v>
      </c>
      <c r="Q73" s="211">
        <v>0</v>
      </c>
      <c r="R73" s="211">
        <v>41462</v>
      </c>
      <c r="S73" s="211">
        <v>0</v>
      </c>
      <c r="T73" s="211">
        <v>26663</v>
      </c>
      <c r="U73" s="211">
        <v>2726</v>
      </c>
      <c r="V73" s="211">
        <v>0</v>
      </c>
      <c r="W73" s="211">
        <v>0</v>
      </c>
      <c r="X73" s="191">
        <v>8885</v>
      </c>
      <c r="Y73" s="191">
        <v>0</v>
      </c>
      <c r="Z73" s="191">
        <v>12849</v>
      </c>
      <c r="AA73" s="191">
        <v>0</v>
      </c>
      <c r="AB73" s="191">
        <v>0</v>
      </c>
      <c r="AC73" s="191">
        <v>0</v>
      </c>
      <c r="AD73" s="191">
        <v>0</v>
      </c>
      <c r="AE73" s="191">
        <v>1999.5</v>
      </c>
      <c r="AF73" s="211">
        <v>2400</v>
      </c>
      <c r="AG73" s="211">
        <v>0</v>
      </c>
      <c r="AH73" s="211">
        <v>41462</v>
      </c>
      <c r="AI73" s="67"/>
      <c r="AJ73" s="211">
        <v>0</v>
      </c>
      <c r="AK73" s="211">
        <v>0</v>
      </c>
      <c r="AL73" s="191">
        <v>41464</v>
      </c>
      <c r="AM73" s="191">
        <v>0</v>
      </c>
      <c r="AN73" s="190"/>
      <c r="AO73" s="190"/>
      <c r="AP73" s="190"/>
      <c r="AQ73" s="375"/>
      <c r="AR73" s="375"/>
      <c r="AS73" s="382"/>
      <c r="AT73" s="382"/>
      <c r="AU73" s="382"/>
      <c r="AV73" s="198">
        <f t="shared" si="8"/>
        <v>250735.5</v>
      </c>
      <c r="AX73" s="33">
        <f t="shared" si="9"/>
        <v>42238</v>
      </c>
      <c r="AY73" s="33">
        <f t="shared" si="9"/>
        <v>0</v>
      </c>
      <c r="AZ73" s="33">
        <f t="shared" si="9"/>
        <v>0</v>
      </c>
      <c r="BA73" s="33">
        <f t="shared" si="9"/>
        <v>165850</v>
      </c>
      <c r="BB73" s="33">
        <f t="shared" si="9"/>
        <v>42647.5</v>
      </c>
      <c r="BC73" s="33">
        <f t="shared" si="9"/>
        <v>0</v>
      </c>
      <c r="BD73" s="33">
        <f t="shared" si="9"/>
        <v>0</v>
      </c>
      <c r="BE73" s="58">
        <f t="shared" si="10"/>
        <v>0</v>
      </c>
    </row>
    <row r="74" spans="1:57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Mar 2026'!$A$8:$F$206,6,FALSE)</f>
        <v>Chq Bk</v>
      </c>
      <c r="H74" s="191">
        <v>0</v>
      </c>
      <c r="I74" s="191">
        <v>0</v>
      </c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211">
        <v>2415</v>
      </c>
      <c r="Q74" s="211">
        <v>4540</v>
      </c>
      <c r="R74" s="211">
        <v>0</v>
      </c>
      <c r="S74" s="211">
        <v>0</v>
      </c>
      <c r="T74" s="211">
        <v>0</v>
      </c>
      <c r="U74" s="211">
        <v>9240</v>
      </c>
      <c r="V74" s="211">
        <v>0</v>
      </c>
      <c r="W74" s="211">
        <v>0</v>
      </c>
      <c r="X74" s="191">
        <v>0</v>
      </c>
      <c r="Y74" s="191">
        <v>0</v>
      </c>
      <c r="Z74" s="191">
        <v>0</v>
      </c>
      <c r="AA74" s="191">
        <v>0</v>
      </c>
      <c r="AB74" s="191">
        <v>0</v>
      </c>
      <c r="AC74" s="191">
        <v>0</v>
      </c>
      <c r="AD74" s="191">
        <v>0</v>
      </c>
      <c r="AE74" s="191">
        <v>0</v>
      </c>
      <c r="AF74" s="211">
        <v>0</v>
      </c>
      <c r="AG74" s="211">
        <v>0</v>
      </c>
      <c r="AH74" s="211">
        <v>0</v>
      </c>
      <c r="AI74" s="67"/>
      <c r="AJ74" s="211">
        <v>0</v>
      </c>
      <c r="AK74" s="211">
        <v>0</v>
      </c>
      <c r="AL74" s="191">
        <v>0</v>
      </c>
      <c r="AM74" s="191">
        <v>0</v>
      </c>
      <c r="AN74" s="190"/>
      <c r="AO74" s="190"/>
      <c r="AP74" s="190"/>
      <c r="AQ74" s="375"/>
      <c r="AR74" s="375"/>
      <c r="AS74" s="382"/>
      <c r="AT74" s="382"/>
      <c r="AU74" s="382"/>
      <c r="AV74" s="198">
        <f t="shared" si="8"/>
        <v>16195</v>
      </c>
      <c r="AX74" s="33">
        <f t="shared" si="9"/>
        <v>11655</v>
      </c>
      <c r="AY74" s="33">
        <f t="shared" si="9"/>
        <v>0</v>
      </c>
      <c r="AZ74" s="33">
        <f t="shared" si="9"/>
        <v>0</v>
      </c>
      <c r="BA74" s="33">
        <f t="shared" si="9"/>
        <v>0</v>
      </c>
      <c r="BB74" s="33">
        <f t="shared" si="9"/>
        <v>0</v>
      </c>
      <c r="BC74" s="33">
        <f t="shared" si="9"/>
        <v>0</v>
      </c>
      <c r="BD74" s="33">
        <f t="shared" si="9"/>
        <v>4540</v>
      </c>
      <c r="BE74" s="58">
        <f t="shared" si="10"/>
        <v>0</v>
      </c>
    </row>
    <row r="75" spans="1:57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Mar 2026'!$A$8:$F$206,6,FALSE)</f>
        <v>Chq Bk</v>
      </c>
      <c r="H75" s="191">
        <v>8154</v>
      </c>
      <c r="I75" s="191">
        <v>0</v>
      </c>
      <c r="J75" s="191">
        <v>0</v>
      </c>
      <c r="K75" s="191">
        <v>74992</v>
      </c>
      <c r="L75" s="191">
        <v>15552</v>
      </c>
      <c r="M75" s="191">
        <v>25312</v>
      </c>
      <c r="N75" s="191">
        <v>0</v>
      </c>
      <c r="O75" s="191">
        <v>0</v>
      </c>
      <c r="P75" s="211">
        <v>0</v>
      </c>
      <c r="Q75" s="211">
        <v>8845.3799999999992</v>
      </c>
      <c r="R75" s="211">
        <v>74992</v>
      </c>
      <c r="S75" s="211">
        <v>0</v>
      </c>
      <c r="T75" s="211">
        <v>48067</v>
      </c>
      <c r="U75" s="211">
        <v>3008</v>
      </c>
      <c r="V75" s="211">
        <v>0</v>
      </c>
      <c r="W75" s="211">
        <v>0</v>
      </c>
      <c r="X75" s="191">
        <v>9755</v>
      </c>
      <c r="Y75" s="191">
        <v>0</v>
      </c>
      <c r="Z75" s="191">
        <v>22949</v>
      </c>
      <c r="AA75" s="191">
        <v>0</v>
      </c>
      <c r="AB75" s="191">
        <v>0</v>
      </c>
      <c r="AC75" s="191">
        <v>0</v>
      </c>
      <c r="AD75" s="191">
        <v>0</v>
      </c>
      <c r="AE75" s="191">
        <v>0</v>
      </c>
      <c r="AF75" s="211">
        <v>2400</v>
      </c>
      <c r="AG75" s="211">
        <v>0</v>
      </c>
      <c r="AH75" s="211">
        <v>74992</v>
      </c>
      <c r="AI75" s="67"/>
      <c r="AJ75" s="211">
        <v>0</v>
      </c>
      <c r="AK75" s="211">
        <v>0</v>
      </c>
      <c r="AL75" s="191">
        <v>74994</v>
      </c>
      <c r="AM75" s="191">
        <v>0</v>
      </c>
      <c r="AN75" s="190"/>
      <c r="AO75" s="190"/>
      <c r="AP75" s="190"/>
      <c r="AQ75" s="375"/>
      <c r="AR75" s="375"/>
      <c r="AS75" s="382"/>
      <c r="AT75" s="382"/>
      <c r="AU75" s="382"/>
      <c r="AV75" s="198">
        <f t="shared" si="8"/>
        <v>444012.38</v>
      </c>
      <c r="AX75" s="33">
        <f t="shared" si="9"/>
        <v>74024</v>
      </c>
      <c r="AY75" s="33">
        <f t="shared" si="9"/>
        <v>0</v>
      </c>
      <c r="AZ75" s="33">
        <f t="shared" si="9"/>
        <v>0</v>
      </c>
      <c r="BA75" s="33">
        <f t="shared" si="9"/>
        <v>299970</v>
      </c>
      <c r="BB75" s="33">
        <f t="shared" si="9"/>
        <v>61173</v>
      </c>
      <c r="BC75" s="33">
        <f t="shared" si="9"/>
        <v>0</v>
      </c>
      <c r="BD75" s="33">
        <f t="shared" si="9"/>
        <v>8845.3799999999992</v>
      </c>
      <c r="BE75" s="58">
        <f t="shared" si="10"/>
        <v>0</v>
      </c>
    </row>
    <row r="76" spans="1:57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Mar 2026'!$A$8:$F$206,6,FALSE)</f>
        <v>Chq Bk</v>
      </c>
      <c r="H76" s="191">
        <v>0</v>
      </c>
      <c r="I76" s="191">
        <v>0</v>
      </c>
      <c r="J76" s="191">
        <v>0</v>
      </c>
      <c r="K76" s="191">
        <v>104543</v>
      </c>
      <c r="L76" s="191">
        <v>0</v>
      </c>
      <c r="M76" s="191">
        <v>0</v>
      </c>
      <c r="N76" s="191">
        <v>0</v>
      </c>
      <c r="O76" s="191">
        <v>0</v>
      </c>
      <c r="P76" s="211">
        <v>0</v>
      </c>
      <c r="Q76" s="211">
        <v>17066.87</v>
      </c>
      <c r="R76" s="211">
        <v>104543</v>
      </c>
      <c r="S76" s="211">
        <v>0</v>
      </c>
      <c r="T76" s="211">
        <v>82178</v>
      </c>
      <c r="U76" s="211">
        <v>0</v>
      </c>
      <c r="V76" s="211">
        <v>0</v>
      </c>
      <c r="W76" s="211">
        <v>0</v>
      </c>
      <c r="X76" s="191">
        <v>0</v>
      </c>
      <c r="Y76" s="191">
        <v>0</v>
      </c>
      <c r="Z76" s="191">
        <v>64843</v>
      </c>
      <c r="AA76" s="191">
        <v>0</v>
      </c>
      <c r="AB76" s="191">
        <v>0</v>
      </c>
      <c r="AC76" s="191">
        <v>0</v>
      </c>
      <c r="AD76" s="191">
        <v>0</v>
      </c>
      <c r="AE76" s="191">
        <v>1999.5</v>
      </c>
      <c r="AF76" s="211">
        <v>7200</v>
      </c>
      <c r="AG76" s="211">
        <v>0</v>
      </c>
      <c r="AH76" s="211">
        <v>104543</v>
      </c>
      <c r="AI76" s="67"/>
      <c r="AJ76" s="211">
        <v>0</v>
      </c>
      <c r="AK76" s="211">
        <v>0</v>
      </c>
      <c r="AL76" s="191">
        <v>104546</v>
      </c>
      <c r="AM76" s="191">
        <v>0</v>
      </c>
      <c r="AN76" s="190"/>
      <c r="AO76" s="190"/>
      <c r="AP76" s="190"/>
      <c r="AQ76" s="375"/>
      <c r="AR76" s="375"/>
      <c r="AS76" s="382"/>
      <c r="AT76" s="382"/>
      <c r="AU76" s="382"/>
      <c r="AV76" s="198">
        <f t="shared" si="8"/>
        <v>591462.37</v>
      </c>
      <c r="AX76" s="33">
        <f t="shared" si="9"/>
        <v>147021</v>
      </c>
      <c r="AY76" s="33">
        <f t="shared" si="9"/>
        <v>0</v>
      </c>
      <c r="AZ76" s="33">
        <f t="shared" si="9"/>
        <v>0</v>
      </c>
      <c r="BA76" s="33">
        <f t="shared" si="9"/>
        <v>418175</v>
      </c>
      <c r="BB76" s="33">
        <f t="shared" si="9"/>
        <v>9199.5</v>
      </c>
      <c r="BC76" s="33">
        <f t="shared" si="9"/>
        <v>0</v>
      </c>
      <c r="BD76" s="33">
        <f t="shared" si="9"/>
        <v>17066.87</v>
      </c>
      <c r="BE76" s="58">
        <f t="shared" si="10"/>
        <v>0</v>
      </c>
    </row>
    <row r="77" spans="1:57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Mar 2026'!$A$8:$F$206,6,FALSE)</f>
        <v>Chq Bk</v>
      </c>
      <c r="H77" s="191">
        <v>0</v>
      </c>
      <c r="I77" s="191">
        <v>0</v>
      </c>
      <c r="J77" s="191">
        <v>0</v>
      </c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211">
        <v>1785</v>
      </c>
      <c r="Q77" s="211">
        <v>4810</v>
      </c>
      <c r="R77" s="211">
        <v>0</v>
      </c>
      <c r="S77" s="211">
        <v>0</v>
      </c>
      <c r="T77" s="211">
        <v>0</v>
      </c>
      <c r="U77" s="211">
        <v>13096</v>
      </c>
      <c r="V77" s="211">
        <v>0</v>
      </c>
      <c r="W77" s="211">
        <v>0</v>
      </c>
      <c r="X77" s="191">
        <v>0</v>
      </c>
      <c r="Y77" s="191">
        <v>0</v>
      </c>
      <c r="Z77" s="191">
        <v>0</v>
      </c>
      <c r="AA77" s="191">
        <v>0</v>
      </c>
      <c r="AB77" s="191">
        <v>0</v>
      </c>
      <c r="AC77" s="191">
        <v>0</v>
      </c>
      <c r="AD77" s="191">
        <v>0</v>
      </c>
      <c r="AE77" s="191">
        <v>0</v>
      </c>
      <c r="AF77" s="211">
        <v>0</v>
      </c>
      <c r="AG77" s="211">
        <v>0</v>
      </c>
      <c r="AH77" s="211">
        <v>0</v>
      </c>
      <c r="AI77" s="67"/>
      <c r="AJ77" s="211">
        <v>0</v>
      </c>
      <c r="AK77" s="211">
        <v>0</v>
      </c>
      <c r="AL77" s="191">
        <v>0</v>
      </c>
      <c r="AM77" s="191">
        <v>0</v>
      </c>
      <c r="AN77" s="190"/>
      <c r="AO77" s="190"/>
      <c r="AP77" s="190"/>
      <c r="AQ77" s="375"/>
      <c r="AR77" s="375"/>
      <c r="AS77" s="382"/>
      <c r="AT77" s="382"/>
      <c r="AU77" s="382"/>
      <c r="AV77" s="198">
        <f t="shared" si="8"/>
        <v>19691</v>
      </c>
      <c r="AX77" s="33">
        <f t="shared" si="9"/>
        <v>14881</v>
      </c>
      <c r="AY77" s="33">
        <f t="shared" si="9"/>
        <v>0</v>
      </c>
      <c r="AZ77" s="33">
        <f t="shared" si="9"/>
        <v>0</v>
      </c>
      <c r="BA77" s="33">
        <f t="shared" si="9"/>
        <v>0</v>
      </c>
      <c r="BB77" s="33">
        <f t="shared" si="9"/>
        <v>0</v>
      </c>
      <c r="BC77" s="33">
        <f t="shared" si="9"/>
        <v>0</v>
      </c>
      <c r="BD77" s="33">
        <f t="shared" si="9"/>
        <v>4810</v>
      </c>
      <c r="BE77" s="58">
        <f t="shared" si="10"/>
        <v>0</v>
      </c>
    </row>
    <row r="78" spans="1:57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Mar 2026'!$A$8:$F$206,6,FALSE)</f>
        <v>Chq Bk</v>
      </c>
      <c r="H78" s="191">
        <v>7742</v>
      </c>
      <c r="I78" s="191">
        <v>0</v>
      </c>
      <c r="J78" s="191">
        <v>0</v>
      </c>
      <c r="K78" s="191">
        <v>58872</v>
      </c>
      <c r="L78" s="191">
        <v>7019</v>
      </c>
      <c r="M78" s="191">
        <v>14320</v>
      </c>
      <c r="N78" s="191">
        <v>0</v>
      </c>
      <c r="O78" s="191">
        <v>0</v>
      </c>
      <c r="P78" s="211">
        <v>0</v>
      </c>
      <c r="Q78" s="211"/>
      <c r="R78" s="211">
        <v>58872</v>
      </c>
      <c r="S78" s="211">
        <v>0</v>
      </c>
      <c r="T78" s="211">
        <v>35685</v>
      </c>
      <c r="U78" s="211">
        <v>3948</v>
      </c>
      <c r="V78" s="211">
        <v>0</v>
      </c>
      <c r="W78" s="211">
        <v>0</v>
      </c>
      <c r="X78" s="191">
        <v>9265</v>
      </c>
      <c r="Y78" s="191">
        <v>0</v>
      </c>
      <c r="Z78" s="191">
        <v>17102</v>
      </c>
      <c r="AA78" s="191">
        <v>0</v>
      </c>
      <c r="AB78" s="191">
        <v>0</v>
      </c>
      <c r="AC78" s="191">
        <v>0</v>
      </c>
      <c r="AD78" s="191">
        <v>0</v>
      </c>
      <c r="AE78" s="191">
        <v>285.64</v>
      </c>
      <c r="AF78" s="211">
        <v>2400</v>
      </c>
      <c r="AG78" s="211">
        <v>0</v>
      </c>
      <c r="AH78" s="211">
        <v>57735</v>
      </c>
      <c r="AI78" s="67"/>
      <c r="AJ78" s="211">
        <v>0</v>
      </c>
      <c r="AK78" s="211">
        <v>0</v>
      </c>
      <c r="AL78" s="191">
        <v>58496</v>
      </c>
      <c r="AM78" s="191">
        <v>7737.25</v>
      </c>
      <c r="AN78" s="190"/>
      <c r="AO78" s="190"/>
      <c r="AP78" s="190"/>
      <c r="AQ78" s="375"/>
      <c r="AR78" s="375"/>
      <c r="AS78" s="382"/>
      <c r="AT78" s="382"/>
      <c r="AU78" s="382"/>
      <c r="AV78" s="198">
        <f t="shared" si="8"/>
        <v>339478.89</v>
      </c>
      <c r="AX78" s="33">
        <f t="shared" si="9"/>
        <v>56735</v>
      </c>
      <c r="AY78" s="33">
        <f t="shared" si="9"/>
        <v>0</v>
      </c>
      <c r="AZ78" s="33">
        <f t="shared" si="9"/>
        <v>0</v>
      </c>
      <c r="BA78" s="33">
        <f t="shared" si="9"/>
        <v>233975</v>
      </c>
      <c r="BB78" s="33">
        <f t="shared" si="9"/>
        <v>41031.64</v>
      </c>
      <c r="BC78" s="33">
        <f t="shared" si="9"/>
        <v>0</v>
      </c>
      <c r="BD78" s="33">
        <f t="shared" si="9"/>
        <v>7737.25</v>
      </c>
      <c r="BE78" s="58">
        <f t="shared" si="10"/>
        <v>0</v>
      </c>
    </row>
    <row r="79" spans="1:57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Mar 2026'!$A$8:$F$206,6,FALSE)</f>
        <v>Chq Bk</v>
      </c>
      <c r="H79" s="191">
        <v>7987</v>
      </c>
      <c r="I79" s="191">
        <v>0</v>
      </c>
      <c r="J79" s="191">
        <v>0</v>
      </c>
      <c r="K79" s="191">
        <v>77922</v>
      </c>
      <c r="L79" s="191">
        <v>7968</v>
      </c>
      <c r="M79" s="191">
        <v>13308</v>
      </c>
      <c r="N79" s="191">
        <v>0</v>
      </c>
      <c r="O79" s="191">
        <v>0</v>
      </c>
      <c r="P79" s="211">
        <v>0</v>
      </c>
      <c r="Q79" s="211">
        <v>8136.63</v>
      </c>
      <c r="R79" s="211">
        <v>77922</v>
      </c>
      <c r="S79" s="211">
        <v>0</v>
      </c>
      <c r="T79" s="211">
        <v>44906</v>
      </c>
      <c r="U79" s="211">
        <v>2068</v>
      </c>
      <c r="V79" s="211">
        <v>0</v>
      </c>
      <c r="W79" s="211">
        <v>0</v>
      </c>
      <c r="X79" s="191">
        <v>9535</v>
      </c>
      <c r="Y79" s="191">
        <v>0</v>
      </c>
      <c r="Z79" s="191">
        <v>21443</v>
      </c>
      <c r="AA79" s="191">
        <v>0</v>
      </c>
      <c r="AB79" s="191">
        <v>0</v>
      </c>
      <c r="AC79" s="191">
        <v>0</v>
      </c>
      <c r="AD79" s="191">
        <v>0</v>
      </c>
      <c r="AE79" s="191">
        <v>856.93</v>
      </c>
      <c r="AF79" s="211">
        <v>2400</v>
      </c>
      <c r="AG79" s="211">
        <v>0</v>
      </c>
      <c r="AH79" s="211">
        <v>75651</v>
      </c>
      <c r="AI79" s="67"/>
      <c r="AJ79" s="211">
        <v>0</v>
      </c>
      <c r="AK79" s="211">
        <v>0</v>
      </c>
      <c r="AL79" s="191">
        <v>77165</v>
      </c>
      <c r="AM79" s="191">
        <v>0</v>
      </c>
      <c r="AN79" s="190"/>
      <c r="AO79" s="190"/>
      <c r="AP79" s="190"/>
      <c r="AQ79" s="375"/>
      <c r="AR79" s="375"/>
      <c r="AS79" s="382"/>
      <c r="AT79" s="382"/>
      <c r="AU79" s="382"/>
      <c r="AV79" s="198">
        <f t="shared" si="8"/>
        <v>427268.56</v>
      </c>
      <c r="AX79" s="33">
        <f t="shared" si="9"/>
        <v>68417</v>
      </c>
      <c r="AY79" s="33">
        <f t="shared" si="9"/>
        <v>0</v>
      </c>
      <c r="AZ79" s="33">
        <f t="shared" si="9"/>
        <v>0</v>
      </c>
      <c r="BA79" s="33">
        <f t="shared" si="9"/>
        <v>308660</v>
      </c>
      <c r="BB79" s="33">
        <f t="shared" si="9"/>
        <v>42054.93</v>
      </c>
      <c r="BC79" s="33">
        <f t="shared" si="9"/>
        <v>0</v>
      </c>
      <c r="BD79" s="33">
        <f t="shared" si="9"/>
        <v>8136.63</v>
      </c>
      <c r="BE79" s="58">
        <f t="shared" si="10"/>
        <v>0</v>
      </c>
    </row>
    <row r="80" spans="1:57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Mar 2026'!$A$8:$F$206,6,FALSE)</f>
        <v>Chq Bk</v>
      </c>
      <c r="H80" s="191">
        <v>7333</v>
      </c>
      <c r="I80" s="191">
        <v>0</v>
      </c>
      <c r="J80" s="191">
        <v>0</v>
      </c>
      <c r="K80" s="191">
        <v>44213</v>
      </c>
      <c r="L80" s="191">
        <v>906</v>
      </c>
      <c r="M80" s="191">
        <v>2604</v>
      </c>
      <c r="N80" s="191">
        <v>0</v>
      </c>
      <c r="O80" s="191">
        <v>0</v>
      </c>
      <c r="P80" s="211">
        <v>0</v>
      </c>
      <c r="Q80" s="211">
        <v>6047.5</v>
      </c>
      <c r="R80" s="211">
        <v>44213</v>
      </c>
      <c r="S80" s="211">
        <v>0</v>
      </c>
      <c r="T80" s="211">
        <v>25525</v>
      </c>
      <c r="U80" s="211">
        <v>0</v>
      </c>
      <c r="V80" s="211">
        <v>0</v>
      </c>
      <c r="W80" s="211">
        <v>0</v>
      </c>
      <c r="X80" s="191">
        <v>8830</v>
      </c>
      <c r="Y80" s="191">
        <v>0</v>
      </c>
      <c r="Z80" s="191">
        <v>12301</v>
      </c>
      <c r="AA80" s="191">
        <v>0</v>
      </c>
      <c r="AB80" s="191">
        <v>0</v>
      </c>
      <c r="AC80" s="191">
        <v>0</v>
      </c>
      <c r="AD80" s="191">
        <v>0</v>
      </c>
      <c r="AE80" s="191">
        <v>571.29</v>
      </c>
      <c r="AF80" s="211">
        <v>2400</v>
      </c>
      <c r="AG80" s="211">
        <v>0</v>
      </c>
      <c r="AH80" s="211">
        <v>44213</v>
      </c>
      <c r="AI80" s="67"/>
      <c r="AJ80" s="211">
        <v>0</v>
      </c>
      <c r="AK80" s="211">
        <v>0</v>
      </c>
      <c r="AL80" s="191">
        <v>44216</v>
      </c>
      <c r="AM80" s="191">
        <v>0</v>
      </c>
      <c r="AN80" s="190"/>
      <c r="AO80" s="190"/>
      <c r="AP80" s="190"/>
      <c r="AQ80" s="375"/>
      <c r="AR80" s="375"/>
      <c r="AS80" s="382"/>
      <c r="AT80" s="382"/>
      <c r="AU80" s="382"/>
      <c r="AV80" s="198">
        <f t="shared" si="8"/>
        <v>243372.79</v>
      </c>
      <c r="AX80" s="33">
        <f t="shared" si="9"/>
        <v>37826</v>
      </c>
      <c r="AY80" s="33">
        <f t="shared" si="9"/>
        <v>0</v>
      </c>
      <c r="AZ80" s="33">
        <f t="shared" si="9"/>
        <v>0</v>
      </c>
      <c r="BA80" s="33">
        <f t="shared" si="9"/>
        <v>176855</v>
      </c>
      <c r="BB80" s="33">
        <f t="shared" si="9"/>
        <v>22644.29</v>
      </c>
      <c r="BC80" s="33">
        <f t="shared" si="9"/>
        <v>0</v>
      </c>
      <c r="BD80" s="33">
        <f t="shared" si="9"/>
        <v>6047.5</v>
      </c>
      <c r="BE80" s="58">
        <f t="shared" si="10"/>
        <v>0</v>
      </c>
    </row>
    <row r="81" spans="1:57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Mar 2026'!$A$8:$F$206,6,FALSE)</f>
        <v>Chq Bk</v>
      </c>
      <c r="H81" s="191">
        <v>6754</v>
      </c>
      <c r="I81" s="191">
        <v>0</v>
      </c>
      <c r="J81" s="191">
        <v>289079.54583664914</v>
      </c>
      <c r="K81" s="191">
        <v>32068</v>
      </c>
      <c r="L81" s="191">
        <v>0</v>
      </c>
      <c r="M81" s="191">
        <v>0</v>
      </c>
      <c r="N81" s="191">
        <v>0</v>
      </c>
      <c r="O81" s="191">
        <v>0</v>
      </c>
      <c r="P81" s="211">
        <v>0</v>
      </c>
      <c r="Q81" s="211">
        <v>10935.63</v>
      </c>
      <c r="R81" s="211">
        <v>32068</v>
      </c>
      <c r="S81" s="211">
        <v>0</v>
      </c>
      <c r="T81" s="211">
        <v>0</v>
      </c>
      <c r="U81" s="211">
        <v>0</v>
      </c>
      <c r="V81" s="211">
        <v>0</v>
      </c>
      <c r="W81" s="211">
        <v>69806.946950761616</v>
      </c>
      <c r="X81" s="191">
        <v>8095</v>
      </c>
      <c r="Y81" s="191">
        <v>0</v>
      </c>
      <c r="Z81" s="191">
        <v>0</v>
      </c>
      <c r="AA81" s="191">
        <v>48392.37</v>
      </c>
      <c r="AB81" s="191">
        <v>-2515.7050724637679</v>
      </c>
      <c r="AC81" s="191">
        <v>-3356.1362318840579</v>
      </c>
      <c r="AD81" s="191">
        <v>0</v>
      </c>
      <c r="AE81" s="191">
        <v>0</v>
      </c>
      <c r="AF81" s="211">
        <v>0</v>
      </c>
      <c r="AG81" s="211">
        <v>0</v>
      </c>
      <c r="AH81" s="211">
        <v>30457</v>
      </c>
      <c r="AI81" s="67"/>
      <c r="AJ81" s="211">
        <v>0</v>
      </c>
      <c r="AK81" s="211">
        <v>0</v>
      </c>
      <c r="AL81" s="191">
        <v>31532</v>
      </c>
      <c r="AM81" s="191">
        <v>0</v>
      </c>
      <c r="AN81" s="190"/>
      <c r="AO81" s="190"/>
      <c r="AP81" s="190"/>
      <c r="AQ81" s="375"/>
      <c r="AR81" s="375"/>
      <c r="AS81" s="382"/>
      <c r="AT81" s="382"/>
      <c r="AU81" s="382"/>
      <c r="AV81" s="198">
        <f t="shared" si="8"/>
        <v>553316.65148306289</v>
      </c>
      <c r="AX81" s="33">
        <f t="shared" si="9"/>
        <v>-5871.8413043478258</v>
      </c>
      <c r="AY81" s="33">
        <f t="shared" si="9"/>
        <v>0</v>
      </c>
      <c r="AZ81" s="33">
        <f t="shared" si="9"/>
        <v>407278.86278741073</v>
      </c>
      <c r="BA81" s="33">
        <f t="shared" si="9"/>
        <v>126125</v>
      </c>
      <c r="BB81" s="33">
        <f t="shared" si="9"/>
        <v>14849</v>
      </c>
      <c r="BC81" s="33">
        <f t="shared" si="9"/>
        <v>0</v>
      </c>
      <c r="BD81" s="33">
        <f t="shared" si="9"/>
        <v>10935.63</v>
      </c>
      <c r="BE81" s="58">
        <f t="shared" si="10"/>
        <v>0</v>
      </c>
    </row>
    <row r="82" spans="1:57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Mar 2026'!$A$8:$F$206,6,FALSE)</f>
        <v>Chq Bk</v>
      </c>
      <c r="H82" s="191">
        <v>8183</v>
      </c>
      <c r="I82" s="191">
        <v>0</v>
      </c>
      <c r="J82" s="191">
        <v>0</v>
      </c>
      <c r="K82" s="191">
        <v>12361</v>
      </c>
      <c r="L82" s="191">
        <v>38255</v>
      </c>
      <c r="M82" s="191">
        <v>50624</v>
      </c>
      <c r="N82" s="191">
        <v>0</v>
      </c>
      <c r="O82" s="191">
        <v>0</v>
      </c>
      <c r="P82" s="211">
        <v>0</v>
      </c>
      <c r="Q82" s="211">
        <v>8770</v>
      </c>
      <c r="R82" s="211">
        <v>12361</v>
      </c>
      <c r="S82" s="211">
        <v>0</v>
      </c>
      <c r="T82" s="211">
        <v>37470</v>
      </c>
      <c r="U82" s="211">
        <v>0</v>
      </c>
      <c r="V82" s="211">
        <v>0</v>
      </c>
      <c r="W82" s="211">
        <v>0</v>
      </c>
      <c r="X82" s="191">
        <v>9810</v>
      </c>
      <c r="Y82" s="191">
        <v>0</v>
      </c>
      <c r="Z82" s="191">
        <v>18022</v>
      </c>
      <c r="AA82" s="191">
        <v>0</v>
      </c>
      <c r="AB82" s="191">
        <v>0</v>
      </c>
      <c r="AC82" s="191">
        <v>0</v>
      </c>
      <c r="AD82" s="191">
        <v>0</v>
      </c>
      <c r="AE82" s="191">
        <v>0</v>
      </c>
      <c r="AF82" s="211">
        <v>0</v>
      </c>
      <c r="AG82" s="211">
        <v>0</v>
      </c>
      <c r="AH82" s="211">
        <v>12361</v>
      </c>
      <c r="AI82" s="67"/>
      <c r="AJ82" s="211">
        <v>0</v>
      </c>
      <c r="AK82" s="211">
        <v>0</v>
      </c>
      <c r="AL82" s="191">
        <v>12362</v>
      </c>
      <c r="AM82" s="191">
        <v>0</v>
      </c>
      <c r="AN82" s="190"/>
      <c r="AO82" s="190"/>
      <c r="AP82" s="190"/>
      <c r="AQ82" s="375"/>
      <c r="AR82" s="375"/>
      <c r="AS82" s="382"/>
      <c r="AT82" s="382"/>
      <c r="AU82" s="382"/>
      <c r="AV82" s="198">
        <f t="shared" si="8"/>
        <v>220579</v>
      </c>
      <c r="AX82" s="33">
        <f t="shared" si="9"/>
        <v>55492</v>
      </c>
      <c r="AY82" s="33">
        <f t="shared" si="9"/>
        <v>0</v>
      </c>
      <c r="AZ82" s="33">
        <f t="shared" si="9"/>
        <v>0</v>
      </c>
      <c r="BA82" s="33">
        <f t="shared" si="9"/>
        <v>49445</v>
      </c>
      <c r="BB82" s="33">
        <f t="shared" si="9"/>
        <v>106872</v>
      </c>
      <c r="BC82" s="33">
        <f t="shared" si="9"/>
        <v>0</v>
      </c>
      <c r="BD82" s="33">
        <f t="shared" si="9"/>
        <v>8770</v>
      </c>
      <c r="BE82" s="58">
        <f t="shared" si="10"/>
        <v>0</v>
      </c>
    </row>
    <row r="83" spans="1:57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Mar 2026'!$A$8:$F$206,6,FALSE)</f>
        <v>Chq Bk</v>
      </c>
      <c r="H83" s="191">
        <v>6875</v>
      </c>
      <c r="I83" s="191">
        <v>0</v>
      </c>
      <c r="J83" s="191">
        <v>134215.50342415855</v>
      </c>
      <c r="K83" s="191">
        <v>12877</v>
      </c>
      <c r="L83" s="191">
        <v>1117</v>
      </c>
      <c r="M83" s="191">
        <v>2315</v>
      </c>
      <c r="N83" s="191">
        <v>0</v>
      </c>
      <c r="O83" s="191">
        <v>0</v>
      </c>
      <c r="P83" s="211">
        <v>0</v>
      </c>
      <c r="Q83" s="211">
        <v>7098.25</v>
      </c>
      <c r="R83" s="211">
        <v>12877</v>
      </c>
      <c r="S83" s="211">
        <v>0</v>
      </c>
      <c r="T83" s="211">
        <v>0</v>
      </c>
      <c r="U83" s="211">
        <v>188</v>
      </c>
      <c r="V83" s="211">
        <v>0</v>
      </c>
      <c r="W83" s="211">
        <v>32410.368227139323</v>
      </c>
      <c r="X83" s="191">
        <v>8225</v>
      </c>
      <c r="Y83" s="191">
        <v>0</v>
      </c>
      <c r="Z83" s="191">
        <v>0</v>
      </c>
      <c r="AA83" s="191">
        <v>22151.439999999999</v>
      </c>
      <c r="AB83" s="191">
        <v>-1167.9998550724638</v>
      </c>
      <c r="AC83" s="191">
        <v>-1558.2025362318841</v>
      </c>
      <c r="AD83" s="191">
        <v>0</v>
      </c>
      <c r="AE83" s="191">
        <v>0</v>
      </c>
      <c r="AF83" s="211">
        <v>0</v>
      </c>
      <c r="AG83" s="211">
        <v>0</v>
      </c>
      <c r="AH83" s="211">
        <v>12877</v>
      </c>
      <c r="AI83" s="67"/>
      <c r="AJ83" s="211">
        <v>0</v>
      </c>
      <c r="AK83" s="211">
        <v>0</v>
      </c>
      <c r="AL83" s="191">
        <v>12879</v>
      </c>
      <c r="AM83" s="191">
        <v>0</v>
      </c>
      <c r="AN83" s="190"/>
      <c r="AO83" s="190"/>
      <c r="AP83" s="190"/>
      <c r="AQ83" s="375"/>
      <c r="AR83" s="375"/>
      <c r="AS83" s="382"/>
      <c r="AT83" s="382"/>
      <c r="AU83" s="382"/>
      <c r="AV83" s="198">
        <f t="shared" si="8"/>
        <v>263379.35925999354</v>
      </c>
      <c r="AX83" s="33">
        <f t="shared" si="9"/>
        <v>-2538.2023913043477</v>
      </c>
      <c r="AY83" s="33">
        <f t="shared" si="9"/>
        <v>0</v>
      </c>
      <c r="AZ83" s="33">
        <f t="shared" si="9"/>
        <v>188777.31165129787</v>
      </c>
      <c r="BA83" s="33">
        <f t="shared" si="9"/>
        <v>51510</v>
      </c>
      <c r="BB83" s="33">
        <f t="shared" si="9"/>
        <v>18532</v>
      </c>
      <c r="BC83" s="33">
        <f t="shared" si="9"/>
        <v>0</v>
      </c>
      <c r="BD83" s="33">
        <f t="shared" si="9"/>
        <v>7098.25</v>
      </c>
      <c r="BE83" s="58">
        <f t="shared" si="10"/>
        <v>0</v>
      </c>
    </row>
    <row r="84" spans="1:57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Mar 2026'!$A$8:$F$206,6,FALSE)</f>
        <v>Chq Bk</v>
      </c>
      <c r="H84" s="191">
        <v>8171</v>
      </c>
      <c r="I84" s="191">
        <v>1602.93</v>
      </c>
      <c r="J84" s="191">
        <v>0</v>
      </c>
      <c r="K84" s="191">
        <v>101683</v>
      </c>
      <c r="L84" s="191">
        <v>14402</v>
      </c>
      <c r="M84" s="191">
        <v>21986</v>
      </c>
      <c r="N84" s="191">
        <v>0</v>
      </c>
      <c r="O84" s="191">
        <v>0</v>
      </c>
      <c r="P84" s="211">
        <v>0</v>
      </c>
      <c r="Q84" s="211"/>
      <c r="R84" s="211">
        <v>101683</v>
      </c>
      <c r="S84" s="211">
        <v>0</v>
      </c>
      <c r="T84" s="211">
        <v>55301</v>
      </c>
      <c r="U84" s="211">
        <v>4888</v>
      </c>
      <c r="V84" s="211">
        <v>2628</v>
      </c>
      <c r="W84" s="211">
        <v>0</v>
      </c>
      <c r="X84" s="191">
        <v>9790</v>
      </c>
      <c r="Y84" s="191">
        <v>0</v>
      </c>
      <c r="Z84" s="191">
        <v>26341</v>
      </c>
      <c r="AA84" s="191">
        <v>0</v>
      </c>
      <c r="AB84" s="191">
        <v>0</v>
      </c>
      <c r="AC84" s="191">
        <v>0</v>
      </c>
      <c r="AD84" s="191">
        <v>16849.400000000001</v>
      </c>
      <c r="AE84" s="191">
        <v>0</v>
      </c>
      <c r="AF84" s="211">
        <v>0</v>
      </c>
      <c r="AG84" s="211">
        <v>0</v>
      </c>
      <c r="AH84" s="211">
        <v>101683</v>
      </c>
      <c r="AI84" s="67"/>
      <c r="AJ84" s="211">
        <v>0</v>
      </c>
      <c r="AK84" s="211">
        <v>6810.49</v>
      </c>
      <c r="AL84" s="191">
        <v>101686</v>
      </c>
      <c r="AM84" s="191">
        <v>9059.1299999999992</v>
      </c>
      <c r="AN84" s="190"/>
      <c r="AO84" s="190"/>
      <c r="AP84" s="190"/>
      <c r="AQ84" s="375"/>
      <c r="AR84" s="375"/>
      <c r="AS84" s="382"/>
      <c r="AT84" s="382"/>
      <c r="AU84" s="382"/>
      <c r="AV84" s="198">
        <f t="shared" si="8"/>
        <v>584563.95000000007</v>
      </c>
      <c r="AX84" s="33">
        <f t="shared" si="9"/>
        <v>86530</v>
      </c>
      <c r="AY84" s="33">
        <f t="shared" si="9"/>
        <v>0</v>
      </c>
      <c r="AZ84" s="33">
        <f t="shared" si="9"/>
        <v>0</v>
      </c>
      <c r="BA84" s="33">
        <f t="shared" si="9"/>
        <v>406735</v>
      </c>
      <c r="BB84" s="33">
        <f t="shared" si="9"/>
        <v>82239.820000000007</v>
      </c>
      <c r="BC84" s="33">
        <f t="shared" si="9"/>
        <v>0</v>
      </c>
      <c r="BD84" s="33">
        <f t="shared" si="9"/>
        <v>9059.1299999999992</v>
      </c>
      <c r="BE84" s="58">
        <f t="shared" si="10"/>
        <v>0</v>
      </c>
    </row>
    <row r="85" spans="1:57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Mar 2026'!$A$8:$F$206,6,FALSE)</f>
        <v>Chq Bk</v>
      </c>
      <c r="H85" s="191">
        <v>7458</v>
      </c>
      <c r="I85" s="191">
        <v>0</v>
      </c>
      <c r="J85" s="191">
        <v>0</v>
      </c>
      <c r="K85" s="191">
        <v>28015</v>
      </c>
      <c r="L85" s="191">
        <v>36959</v>
      </c>
      <c r="M85" s="191">
        <v>50769</v>
      </c>
      <c r="N85" s="191">
        <v>0</v>
      </c>
      <c r="O85" s="191">
        <v>0</v>
      </c>
      <c r="P85" s="211">
        <v>0</v>
      </c>
      <c r="Q85" s="211">
        <v>6970</v>
      </c>
      <c r="R85" s="211">
        <v>28015</v>
      </c>
      <c r="S85" s="211">
        <v>0</v>
      </c>
      <c r="T85" s="211">
        <v>29999</v>
      </c>
      <c r="U85" s="211">
        <v>0</v>
      </c>
      <c r="V85" s="211">
        <v>0</v>
      </c>
      <c r="W85" s="211">
        <v>0</v>
      </c>
      <c r="X85" s="191">
        <v>8850</v>
      </c>
      <c r="Y85" s="191">
        <v>0</v>
      </c>
      <c r="Z85" s="191">
        <v>15842</v>
      </c>
      <c r="AA85" s="191">
        <v>0</v>
      </c>
      <c r="AB85" s="191">
        <v>0</v>
      </c>
      <c r="AC85" s="191">
        <v>0</v>
      </c>
      <c r="AD85" s="191">
        <v>0</v>
      </c>
      <c r="AE85" s="191">
        <v>1713.86</v>
      </c>
      <c r="AF85" s="211">
        <v>0</v>
      </c>
      <c r="AG85" s="211">
        <v>0</v>
      </c>
      <c r="AH85" s="211">
        <v>28015</v>
      </c>
      <c r="AI85" s="67"/>
      <c r="AJ85" s="211">
        <v>0</v>
      </c>
      <c r="AK85" s="211">
        <v>0</v>
      </c>
      <c r="AL85" s="191">
        <v>28015</v>
      </c>
      <c r="AM85" s="191">
        <v>0</v>
      </c>
      <c r="AN85" s="190"/>
      <c r="AO85" s="190"/>
      <c r="AP85" s="190"/>
      <c r="AQ85" s="375"/>
      <c r="AR85" s="375"/>
      <c r="AS85" s="382"/>
      <c r="AT85" s="382"/>
      <c r="AU85" s="382"/>
      <c r="AV85" s="198">
        <f t="shared" si="8"/>
        <v>270620.86</v>
      </c>
      <c r="AX85" s="33">
        <f t="shared" si="9"/>
        <v>45841</v>
      </c>
      <c r="AY85" s="33">
        <f t="shared" si="9"/>
        <v>0</v>
      </c>
      <c r="AZ85" s="33">
        <f t="shared" si="9"/>
        <v>0</v>
      </c>
      <c r="BA85" s="33">
        <f t="shared" si="9"/>
        <v>112060</v>
      </c>
      <c r="BB85" s="33">
        <f t="shared" si="9"/>
        <v>105749.86</v>
      </c>
      <c r="BC85" s="33">
        <f t="shared" si="9"/>
        <v>0</v>
      </c>
      <c r="BD85" s="33">
        <f t="shared" si="9"/>
        <v>6970</v>
      </c>
      <c r="BE85" s="58">
        <f t="shared" si="10"/>
        <v>0</v>
      </c>
    </row>
    <row r="86" spans="1:57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Mar 2026'!$A$8:$F$206,6,FALSE)</f>
        <v>Chq Bk</v>
      </c>
      <c r="H86" s="191">
        <v>8196</v>
      </c>
      <c r="I86" s="191">
        <v>0</v>
      </c>
      <c r="J86" s="191">
        <v>0</v>
      </c>
      <c r="K86" s="191">
        <v>54427</v>
      </c>
      <c r="L86" s="191">
        <v>0</v>
      </c>
      <c r="M86" s="191">
        <v>0</v>
      </c>
      <c r="N86" s="191">
        <v>0</v>
      </c>
      <c r="O86" s="191">
        <v>0</v>
      </c>
      <c r="P86" s="211">
        <v>0</v>
      </c>
      <c r="Q86" s="211">
        <v>8128.75</v>
      </c>
      <c r="R86" s="211">
        <v>54427</v>
      </c>
      <c r="S86" s="211">
        <v>0</v>
      </c>
      <c r="T86" s="211">
        <v>43335</v>
      </c>
      <c r="U86" s="211">
        <v>0</v>
      </c>
      <c r="V86" s="211">
        <v>0</v>
      </c>
      <c r="W86" s="211">
        <v>0</v>
      </c>
      <c r="X86" s="191">
        <v>9830</v>
      </c>
      <c r="Y86" s="191">
        <v>0</v>
      </c>
      <c r="Z86" s="191">
        <v>22129</v>
      </c>
      <c r="AA86" s="191">
        <v>0</v>
      </c>
      <c r="AB86" s="191">
        <v>0</v>
      </c>
      <c r="AC86" s="191">
        <v>0</v>
      </c>
      <c r="AD86" s="191">
        <v>0</v>
      </c>
      <c r="AE86" s="191">
        <v>856.93</v>
      </c>
      <c r="AF86" s="211">
        <v>0</v>
      </c>
      <c r="AG86" s="211">
        <v>0</v>
      </c>
      <c r="AH86" s="211">
        <v>54427</v>
      </c>
      <c r="AI86" s="67"/>
      <c r="AJ86" s="211">
        <v>0</v>
      </c>
      <c r="AK86" s="211">
        <v>0</v>
      </c>
      <c r="AL86" s="191">
        <v>54429</v>
      </c>
      <c r="AM86" s="191">
        <v>0</v>
      </c>
      <c r="AN86" s="190"/>
      <c r="AO86" s="190"/>
      <c r="AP86" s="190"/>
      <c r="AQ86" s="375"/>
      <c r="AR86" s="375"/>
      <c r="AS86" s="382"/>
      <c r="AT86" s="382"/>
      <c r="AU86" s="382"/>
      <c r="AV86" s="198">
        <f t="shared" si="8"/>
        <v>310185.68</v>
      </c>
      <c r="AX86" s="33">
        <f t="shared" ref="AX86:BD111" si="11">SUMIF($H$3:$AU$3,AX$6,$H86:$AU86)</f>
        <v>65464</v>
      </c>
      <c r="AY86" s="33">
        <f t="shared" si="11"/>
        <v>0</v>
      </c>
      <c r="AZ86" s="33">
        <f t="shared" si="11"/>
        <v>0</v>
      </c>
      <c r="BA86" s="33">
        <f t="shared" si="11"/>
        <v>217710</v>
      </c>
      <c r="BB86" s="33">
        <f t="shared" si="11"/>
        <v>18882.93</v>
      </c>
      <c r="BC86" s="33">
        <f t="shared" si="11"/>
        <v>0</v>
      </c>
      <c r="BD86" s="33">
        <f t="shared" si="11"/>
        <v>8128.75</v>
      </c>
      <c r="BE86" s="58">
        <f t="shared" si="10"/>
        <v>0</v>
      </c>
    </row>
    <row r="87" spans="1:57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Mar 2026'!$A$8:$F$206,6,FALSE)</f>
        <v>Chq Bk</v>
      </c>
      <c r="H87" s="191">
        <v>8179</v>
      </c>
      <c r="I87" s="191">
        <v>0</v>
      </c>
      <c r="J87" s="191">
        <v>0</v>
      </c>
      <c r="K87" s="191">
        <v>9556</v>
      </c>
      <c r="L87" s="191">
        <v>34194</v>
      </c>
      <c r="M87" s="191">
        <v>47731</v>
      </c>
      <c r="N87" s="191">
        <v>0</v>
      </c>
      <c r="O87" s="191">
        <v>0</v>
      </c>
      <c r="P87" s="211">
        <v>0</v>
      </c>
      <c r="Q87" s="211">
        <v>8736.25</v>
      </c>
      <c r="R87" s="211">
        <v>9556</v>
      </c>
      <c r="S87" s="211">
        <v>0</v>
      </c>
      <c r="T87" s="211">
        <v>37546</v>
      </c>
      <c r="U87" s="211">
        <v>0</v>
      </c>
      <c r="V87" s="211">
        <v>0</v>
      </c>
      <c r="W87" s="211">
        <v>0</v>
      </c>
      <c r="X87" s="191">
        <v>9805</v>
      </c>
      <c r="Y87" s="191">
        <v>0</v>
      </c>
      <c r="Z87" s="191">
        <v>18057</v>
      </c>
      <c r="AA87" s="191">
        <v>0</v>
      </c>
      <c r="AB87" s="191">
        <v>0</v>
      </c>
      <c r="AC87" s="191">
        <v>0</v>
      </c>
      <c r="AD87" s="191">
        <v>0</v>
      </c>
      <c r="AE87" s="191">
        <v>1142.57</v>
      </c>
      <c r="AF87" s="211">
        <v>2400</v>
      </c>
      <c r="AG87" s="211">
        <v>700.8</v>
      </c>
      <c r="AH87" s="211">
        <v>9556</v>
      </c>
      <c r="AI87" s="67"/>
      <c r="AJ87" s="211">
        <v>0</v>
      </c>
      <c r="AK87" s="211">
        <v>0</v>
      </c>
      <c r="AL87" s="191">
        <v>9557</v>
      </c>
      <c r="AM87" s="191">
        <v>0</v>
      </c>
      <c r="AN87" s="190"/>
      <c r="AO87" s="190"/>
      <c r="AP87" s="190"/>
      <c r="AQ87" s="375"/>
      <c r="AR87" s="375"/>
      <c r="AS87" s="382"/>
      <c r="AT87" s="382"/>
      <c r="AU87" s="382"/>
      <c r="AV87" s="198">
        <f t="shared" si="8"/>
        <v>206716.62</v>
      </c>
      <c r="AX87" s="33">
        <f t="shared" si="11"/>
        <v>55603</v>
      </c>
      <c r="AY87" s="33">
        <f t="shared" si="11"/>
        <v>0</v>
      </c>
      <c r="AZ87" s="33">
        <f t="shared" si="11"/>
        <v>0</v>
      </c>
      <c r="BA87" s="33">
        <f t="shared" si="11"/>
        <v>38225</v>
      </c>
      <c r="BB87" s="33">
        <f t="shared" si="11"/>
        <v>104152.37000000001</v>
      </c>
      <c r="BC87" s="33">
        <f t="shared" si="11"/>
        <v>0</v>
      </c>
      <c r="BD87" s="33">
        <f t="shared" si="11"/>
        <v>8736.25</v>
      </c>
      <c r="BE87" s="58">
        <f t="shared" si="10"/>
        <v>0</v>
      </c>
    </row>
    <row r="88" spans="1:57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Mar 2026'!$A$8:$F$206,6,FALSE)</f>
        <v>Chq Bk</v>
      </c>
      <c r="H88" s="191">
        <v>0</v>
      </c>
      <c r="I88" s="191">
        <v>0</v>
      </c>
      <c r="J88" s="191">
        <v>0</v>
      </c>
      <c r="K88" s="191">
        <v>0</v>
      </c>
      <c r="L88" s="191">
        <v>0</v>
      </c>
      <c r="M88" s="191">
        <v>0</v>
      </c>
      <c r="N88" s="191">
        <v>0</v>
      </c>
      <c r="O88" s="191">
        <v>0</v>
      </c>
      <c r="P88" s="211">
        <v>4095</v>
      </c>
      <c r="Q88" s="211">
        <v>4938.25</v>
      </c>
      <c r="R88" s="211">
        <v>0</v>
      </c>
      <c r="S88" s="211">
        <v>0</v>
      </c>
      <c r="T88" s="211">
        <v>0</v>
      </c>
      <c r="U88" s="211">
        <v>14904</v>
      </c>
      <c r="V88" s="211">
        <v>0</v>
      </c>
      <c r="W88" s="211">
        <v>0</v>
      </c>
      <c r="X88" s="191">
        <v>0</v>
      </c>
      <c r="Y88" s="191">
        <v>0</v>
      </c>
      <c r="Z88" s="191">
        <v>0</v>
      </c>
      <c r="AA88" s="191">
        <v>0</v>
      </c>
      <c r="AB88" s="191">
        <v>0</v>
      </c>
      <c r="AC88" s="191">
        <v>0</v>
      </c>
      <c r="AD88" s="191">
        <v>0</v>
      </c>
      <c r="AE88" s="191">
        <v>0</v>
      </c>
      <c r="AF88" s="211">
        <v>0</v>
      </c>
      <c r="AG88" s="211">
        <v>0</v>
      </c>
      <c r="AH88" s="211">
        <v>0</v>
      </c>
      <c r="AI88" s="67"/>
      <c r="AJ88" s="211">
        <v>0</v>
      </c>
      <c r="AK88" s="211">
        <v>0</v>
      </c>
      <c r="AL88" s="191">
        <v>0</v>
      </c>
      <c r="AM88" s="191">
        <v>0</v>
      </c>
      <c r="AN88" s="190"/>
      <c r="AO88" s="375"/>
      <c r="AP88" s="190"/>
      <c r="AQ88" s="375"/>
      <c r="AR88" s="375"/>
      <c r="AS88" s="382"/>
      <c r="AT88" s="382"/>
      <c r="AU88" s="382"/>
      <c r="AV88" s="198">
        <f t="shared" si="8"/>
        <v>23937.25</v>
      </c>
      <c r="AX88" s="33">
        <f t="shared" si="11"/>
        <v>18999</v>
      </c>
      <c r="AY88" s="33">
        <f t="shared" si="11"/>
        <v>0</v>
      </c>
      <c r="AZ88" s="33">
        <f t="shared" si="11"/>
        <v>0</v>
      </c>
      <c r="BA88" s="33">
        <f t="shared" si="11"/>
        <v>0</v>
      </c>
      <c r="BB88" s="33">
        <f t="shared" si="11"/>
        <v>0</v>
      </c>
      <c r="BC88" s="33">
        <f t="shared" si="11"/>
        <v>0</v>
      </c>
      <c r="BD88" s="33">
        <f t="shared" si="11"/>
        <v>4938.25</v>
      </c>
      <c r="BE88" s="58">
        <f t="shared" si="10"/>
        <v>0</v>
      </c>
    </row>
    <row r="89" spans="1:57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Mar 2026'!$A$8:$F$206,6,FALSE)</f>
        <v>Chq Bk</v>
      </c>
      <c r="H89" s="191">
        <v>8129</v>
      </c>
      <c r="I89" s="191">
        <v>0</v>
      </c>
      <c r="J89" s="191">
        <v>0</v>
      </c>
      <c r="K89" s="191">
        <v>80831</v>
      </c>
      <c r="L89" s="191">
        <v>18838</v>
      </c>
      <c r="M89" s="191">
        <v>30230</v>
      </c>
      <c r="N89" s="191">
        <v>0</v>
      </c>
      <c r="O89" s="191">
        <v>0</v>
      </c>
      <c r="P89" s="211">
        <v>0</v>
      </c>
      <c r="Q89" s="211"/>
      <c r="R89" s="211">
        <v>80831</v>
      </c>
      <c r="S89" s="211">
        <v>0</v>
      </c>
      <c r="T89" s="211">
        <v>50782</v>
      </c>
      <c r="U89" s="211">
        <v>0</v>
      </c>
      <c r="V89" s="211">
        <v>0</v>
      </c>
      <c r="W89" s="211">
        <v>0</v>
      </c>
      <c r="X89" s="191">
        <v>9795</v>
      </c>
      <c r="Y89" s="191">
        <v>0</v>
      </c>
      <c r="Z89" s="191">
        <v>24232</v>
      </c>
      <c r="AA89" s="191">
        <v>0</v>
      </c>
      <c r="AB89" s="191">
        <v>0</v>
      </c>
      <c r="AC89" s="191">
        <v>0</v>
      </c>
      <c r="AD89" s="191">
        <v>0</v>
      </c>
      <c r="AE89" s="191">
        <v>2570.79</v>
      </c>
      <c r="AF89" s="211">
        <v>7200</v>
      </c>
      <c r="AG89" s="211">
        <v>0</v>
      </c>
      <c r="AH89" s="211">
        <v>77423</v>
      </c>
      <c r="AI89" s="67"/>
      <c r="AJ89" s="211">
        <v>0</v>
      </c>
      <c r="AK89" s="211">
        <v>0</v>
      </c>
      <c r="AL89" s="191">
        <v>79695</v>
      </c>
      <c r="AM89" s="191">
        <v>8601.25</v>
      </c>
      <c r="AN89" s="190"/>
      <c r="AO89" s="190"/>
      <c r="AP89" s="190"/>
      <c r="AQ89" s="375"/>
      <c r="AR89" s="375"/>
      <c r="AS89" s="382"/>
      <c r="AT89" s="382"/>
      <c r="AU89" s="382"/>
      <c r="AV89" s="198">
        <f t="shared" si="8"/>
        <v>479158.04</v>
      </c>
      <c r="AX89" s="33">
        <f t="shared" si="11"/>
        <v>75014</v>
      </c>
      <c r="AY89" s="33">
        <f t="shared" si="11"/>
        <v>0</v>
      </c>
      <c r="AZ89" s="33">
        <f t="shared" si="11"/>
        <v>0</v>
      </c>
      <c r="BA89" s="33">
        <f t="shared" si="11"/>
        <v>318780</v>
      </c>
      <c r="BB89" s="33">
        <f t="shared" si="11"/>
        <v>76762.789999999994</v>
      </c>
      <c r="BC89" s="33">
        <f t="shared" si="11"/>
        <v>0</v>
      </c>
      <c r="BD89" s="33">
        <f t="shared" si="11"/>
        <v>8601.25</v>
      </c>
      <c r="BE89" s="58">
        <f t="shared" si="10"/>
        <v>0</v>
      </c>
    </row>
    <row r="90" spans="1:57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Mar 2026'!$A$8:$F$207,6,FALSE)</f>
        <v>Academy</v>
      </c>
      <c r="H90" s="191"/>
      <c r="I90" s="191">
        <v>0</v>
      </c>
      <c r="J90" s="191">
        <v>0</v>
      </c>
      <c r="K90" s="191">
        <v>12425</v>
      </c>
      <c r="L90" s="191">
        <v>0</v>
      </c>
      <c r="M90" s="191">
        <v>0</v>
      </c>
      <c r="N90" s="191">
        <v>0</v>
      </c>
      <c r="O90" s="191">
        <v>0</v>
      </c>
      <c r="P90" s="211">
        <v>0</v>
      </c>
      <c r="Q90" s="211">
        <v>0</v>
      </c>
      <c r="R90" s="211">
        <v>12425</v>
      </c>
      <c r="S90" s="211">
        <v>0</v>
      </c>
      <c r="T90" s="211">
        <v>0</v>
      </c>
      <c r="U90" s="211"/>
      <c r="V90" s="211">
        <v>0</v>
      </c>
      <c r="W90" s="211">
        <v>0</v>
      </c>
      <c r="X90" s="191">
        <v>0</v>
      </c>
      <c r="Y90" s="191">
        <v>0</v>
      </c>
      <c r="Z90" s="191">
        <v>0</v>
      </c>
      <c r="AA90" s="191">
        <v>0</v>
      </c>
      <c r="AB90" s="191">
        <v>0</v>
      </c>
      <c r="AC90" s="191">
        <v>0</v>
      </c>
      <c r="AD90" s="191">
        <v>0</v>
      </c>
      <c r="AE90" s="191">
        <v>0</v>
      </c>
      <c r="AF90" s="211">
        <v>0</v>
      </c>
      <c r="AG90" s="211">
        <v>0</v>
      </c>
      <c r="AH90" s="211"/>
      <c r="AI90" s="67"/>
      <c r="AJ90" s="211">
        <v>0</v>
      </c>
      <c r="AK90" s="211">
        <v>0</v>
      </c>
      <c r="AL90" s="191">
        <v>0</v>
      </c>
      <c r="AM90" s="191">
        <v>0</v>
      </c>
      <c r="AN90" s="190"/>
      <c r="AO90" s="190"/>
      <c r="AP90" s="190"/>
      <c r="AQ90" s="375"/>
      <c r="AR90" s="375"/>
      <c r="AS90" s="382"/>
      <c r="AT90" s="382"/>
      <c r="AU90" s="382"/>
      <c r="AV90" s="198">
        <f t="shared" si="8"/>
        <v>24850</v>
      </c>
      <c r="AX90" s="33">
        <f t="shared" si="11"/>
        <v>0</v>
      </c>
      <c r="AY90" s="33">
        <f t="shared" si="11"/>
        <v>0</v>
      </c>
      <c r="AZ90" s="33">
        <f t="shared" si="11"/>
        <v>0</v>
      </c>
      <c r="BA90" s="33">
        <f t="shared" si="11"/>
        <v>24850</v>
      </c>
      <c r="BB90" s="33">
        <f t="shared" si="11"/>
        <v>0</v>
      </c>
      <c r="BC90" s="33">
        <f t="shared" si="11"/>
        <v>0</v>
      </c>
      <c r="BD90" s="33">
        <f t="shared" si="11"/>
        <v>0</v>
      </c>
      <c r="BE90" s="58">
        <f t="shared" si="10"/>
        <v>0</v>
      </c>
    </row>
    <row r="91" spans="1:57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Mar 2026'!$A$8:$F$206,6,FALSE)</f>
        <v>Chq Bk</v>
      </c>
      <c r="H91" s="191">
        <v>7396</v>
      </c>
      <c r="I91" s="191">
        <v>0</v>
      </c>
      <c r="J91" s="191">
        <v>0</v>
      </c>
      <c r="K91" s="191">
        <v>37675</v>
      </c>
      <c r="L91" s="191">
        <v>10000</v>
      </c>
      <c r="M91" s="191">
        <v>13597</v>
      </c>
      <c r="N91" s="191">
        <v>0</v>
      </c>
      <c r="O91" s="191">
        <v>0</v>
      </c>
      <c r="P91" s="211">
        <v>0</v>
      </c>
      <c r="Q91" s="211">
        <v>6283.75</v>
      </c>
      <c r="R91" s="211">
        <v>37675</v>
      </c>
      <c r="S91" s="211">
        <v>0</v>
      </c>
      <c r="T91" s="211">
        <v>25444</v>
      </c>
      <c r="U91" s="211">
        <v>0</v>
      </c>
      <c r="V91" s="211">
        <v>0</v>
      </c>
      <c r="W91" s="211">
        <v>0</v>
      </c>
      <c r="X91" s="191">
        <v>8880</v>
      </c>
      <c r="Y91" s="191">
        <v>0</v>
      </c>
      <c r="Z91" s="191">
        <v>12277</v>
      </c>
      <c r="AA91" s="191">
        <v>0</v>
      </c>
      <c r="AB91" s="191">
        <v>0</v>
      </c>
      <c r="AC91" s="191">
        <v>0</v>
      </c>
      <c r="AD91" s="191">
        <v>0</v>
      </c>
      <c r="AE91" s="191">
        <v>856.93</v>
      </c>
      <c r="AF91" s="211">
        <v>0</v>
      </c>
      <c r="AG91" s="211">
        <v>0</v>
      </c>
      <c r="AH91" s="211">
        <v>37675</v>
      </c>
      <c r="AI91" s="67"/>
      <c r="AJ91" s="211">
        <v>0</v>
      </c>
      <c r="AK91" s="211">
        <v>0</v>
      </c>
      <c r="AL91" s="191">
        <v>37675</v>
      </c>
      <c r="AM91" s="191">
        <v>0</v>
      </c>
      <c r="AN91" s="190"/>
      <c r="AO91" s="190"/>
      <c r="AP91" s="190"/>
      <c r="AQ91" s="375"/>
      <c r="AR91" s="375"/>
      <c r="AS91" s="382"/>
      <c r="AT91" s="382"/>
      <c r="AU91" s="382"/>
      <c r="AV91" s="198">
        <f t="shared" si="8"/>
        <v>235434.68</v>
      </c>
      <c r="AX91" s="33">
        <f t="shared" si="11"/>
        <v>37721</v>
      </c>
      <c r="AY91" s="33">
        <f t="shared" si="11"/>
        <v>0</v>
      </c>
      <c r="AZ91" s="33">
        <f t="shared" si="11"/>
        <v>0</v>
      </c>
      <c r="BA91" s="33">
        <f t="shared" si="11"/>
        <v>150700</v>
      </c>
      <c r="BB91" s="33">
        <f t="shared" si="11"/>
        <v>40729.93</v>
      </c>
      <c r="BC91" s="33">
        <f t="shared" si="11"/>
        <v>0</v>
      </c>
      <c r="BD91" s="33">
        <f t="shared" si="11"/>
        <v>6283.75</v>
      </c>
      <c r="BE91" s="58">
        <f t="shared" si="10"/>
        <v>0</v>
      </c>
    </row>
    <row r="92" spans="1:57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Mar 2026'!$A$8:$F$206,6,FALSE)</f>
        <v>Chq Bk</v>
      </c>
      <c r="H92" s="191">
        <v>8071</v>
      </c>
      <c r="I92" s="191">
        <v>0</v>
      </c>
      <c r="J92" s="191">
        <v>0</v>
      </c>
      <c r="K92" s="191">
        <v>16631</v>
      </c>
      <c r="L92" s="191">
        <v>32199</v>
      </c>
      <c r="M92" s="191">
        <v>46140</v>
      </c>
      <c r="N92" s="191">
        <v>0</v>
      </c>
      <c r="O92" s="191">
        <v>0</v>
      </c>
      <c r="P92" s="211">
        <v>0</v>
      </c>
      <c r="Q92" s="211">
        <v>8466.25</v>
      </c>
      <c r="R92" s="211">
        <v>16631</v>
      </c>
      <c r="S92" s="211">
        <v>0</v>
      </c>
      <c r="T92" s="211">
        <v>38229</v>
      </c>
      <c r="U92" s="211">
        <v>0</v>
      </c>
      <c r="V92" s="211">
        <v>0</v>
      </c>
      <c r="W92" s="211">
        <v>0</v>
      </c>
      <c r="X92" s="191">
        <v>9815</v>
      </c>
      <c r="Y92" s="191">
        <v>0</v>
      </c>
      <c r="Z92" s="191">
        <v>18377</v>
      </c>
      <c r="AA92" s="191">
        <v>0</v>
      </c>
      <c r="AB92" s="191">
        <v>0</v>
      </c>
      <c r="AC92" s="191">
        <v>0</v>
      </c>
      <c r="AD92" s="191">
        <v>0</v>
      </c>
      <c r="AE92" s="191">
        <v>0</v>
      </c>
      <c r="AF92" s="211">
        <v>0</v>
      </c>
      <c r="AG92" s="211">
        <v>0</v>
      </c>
      <c r="AH92" s="211">
        <v>16631</v>
      </c>
      <c r="AI92" s="67"/>
      <c r="AJ92" s="211">
        <v>0</v>
      </c>
      <c r="AK92" s="211">
        <v>0</v>
      </c>
      <c r="AL92" s="191">
        <v>16632</v>
      </c>
      <c r="AM92" s="191">
        <v>0</v>
      </c>
      <c r="AN92" s="190"/>
      <c r="AO92" s="190"/>
      <c r="AP92" s="190"/>
      <c r="AQ92" s="375"/>
      <c r="AR92" s="375"/>
      <c r="AS92" s="382"/>
      <c r="AT92" s="382"/>
      <c r="AU92" s="382"/>
      <c r="AV92" s="198">
        <f t="shared" si="8"/>
        <v>227822.25</v>
      </c>
      <c r="AX92" s="33">
        <f t="shared" si="11"/>
        <v>56606</v>
      </c>
      <c r="AY92" s="33">
        <f t="shared" si="11"/>
        <v>0</v>
      </c>
      <c r="AZ92" s="33">
        <f t="shared" si="11"/>
        <v>0</v>
      </c>
      <c r="BA92" s="33">
        <f t="shared" si="11"/>
        <v>66525</v>
      </c>
      <c r="BB92" s="33">
        <f t="shared" si="11"/>
        <v>96225</v>
      </c>
      <c r="BC92" s="33">
        <f t="shared" si="11"/>
        <v>0</v>
      </c>
      <c r="BD92" s="33">
        <f t="shared" si="11"/>
        <v>8466.25</v>
      </c>
      <c r="BE92" s="58">
        <f t="shared" si="10"/>
        <v>0</v>
      </c>
    </row>
    <row r="93" spans="1:57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Mar 2026'!$A$8:$F$206,6,FALSE)</f>
        <v>Chq Bk</v>
      </c>
      <c r="H93" s="191">
        <v>7417</v>
      </c>
      <c r="I93" s="191">
        <v>0</v>
      </c>
      <c r="J93" s="191">
        <v>0</v>
      </c>
      <c r="K93" s="191">
        <v>14355</v>
      </c>
      <c r="L93" s="191">
        <v>16294</v>
      </c>
      <c r="M93" s="191">
        <v>21696</v>
      </c>
      <c r="N93" s="191">
        <v>0</v>
      </c>
      <c r="O93" s="191">
        <v>0</v>
      </c>
      <c r="P93" s="211">
        <v>0</v>
      </c>
      <c r="Q93" s="211">
        <v>0</v>
      </c>
      <c r="R93" s="211">
        <v>14355</v>
      </c>
      <c r="S93" s="211">
        <v>0</v>
      </c>
      <c r="T93" s="211">
        <v>21404</v>
      </c>
      <c r="U93" s="211">
        <v>0</v>
      </c>
      <c r="V93" s="211">
        <v>0</v>
      </c>
      <c r="W93" s="211">
        <v>0</v>
      </c>
      <c r="X93" s="191">
        <v>8895</v>
      </c>
      <c r="Y93" s="191">
        <v>0</v>
      </c>
      <c r="Z93" s="191">
        <v>10396</v>
      </c>
      <c r="AA93" s="191">
        <v>0</v>
      </c>
      <c r="AB93" s="191">
        <v>0</v>
      </c>
      <c r="AC93" s="191">
        <v>0</v>
      </c>
      <c r="AD93" s="191">
        <v>0</v>
      </c>
      <c r="AE93" s="191">
        <v>0</v>
      </c>
      <c r="AF93" s="211">
        <v>0</v>
      </c>
      <c r="AG93" s="211">
        <v>0</v>
      </c>
      <c r="AH93" s="211">
        <v>14355</v>
      </c>
      <c r="AI93" s="67"/>
      <c r="AJ93" s="211">
        <v>0</v>
      </c>
      <c r="AK93" s="211">
        <v>0</v>
      </c>
      <c r="AL93" s="191">
        <v>14355</v>
      </c>
      <c r="AM93" s="191">
        <v>0</v>
      </c>
      <c r="AN93" s="190"/>
      <c r="AO93" s="190"/>
      <c r="AP93" s="190"/>
      <c r="AQ93" s="375"/>
      <c r="AR93" s="375"/>
      <c r="AS93" s="382"/>
      <c r="AT93" s="382"/>
      <c r="AU93" s="382"/>
      <c r="AV93" s="198">
        <f t="shared" si="8"/>
        <v>143522</v>
      </c>
      <c r="AX93" s="33">
        <f t="shared" si="11"/>
        <v>31800</v>
      </c>
      <c r="AY93" s="33">
        <f t="shared" si="11"/>
        <v>0</v>
      </c>
      <c r="AZ93" s="33">
        <f t="shared" si="11"/>
        <v>0</v>
      </c>
      <c r="BA93" s="33">
        <f t="shared" si="11"/>
        <v>57420</v>
      </c>
      <c r="BB93" s="33">
        <f t="shared" si="11"/>
        <v>54302</v>
      </c>
      <c r="BC93" s="33">
        <f t="shared" si="11"/>
        <v>0</v>
      </c>
      <c r="BD93" s="33">
        <f t="shared" si="11"/>
        <v>0</v>
      </c>
      <c r="BE93" s="58">
        <f t="shared" si="10"/>
        <v>0</v>
      </c>
    </row>
    <row r="94" spans="1:57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Mar 2026'!$A$8:$F$206,6,FALSE)</f>
        <v>Chq Bk</v>
      </c>
      <c r="H94" s="191">
        <v>0</v>
      </c>
      <c r="I94" s="191">
        <v>0</v>
      </c>
      <c r="J94" s="191">
        <v>0</v>
      </c>
      <c r="K94" s="191">
        <v>206668</v>
      </c>
      <c r="L94" s="191">
        <v>0</v>
      </c>
      <c r="M94" s="191">
        <v>0</v>
      </c>
      <c r="N94" s="191">
        <v>26082</v>
      </c>
      <c r="O94" s="191">
        <v>15273.18</v>
      </c>
      <c r="P94" s="211">
        <v>0</v>
      </c>
      <c r="Q94" s="211">
        <v>29633.13</v>
      </c>
      <c r="R94" s="211">
        <v>206668</v>
      </c>
      <c r="S94" s="211">
        <v>20625.11</v>
      </c>
      <c r="T94" s="211">
        <v>139877</v>
      </c>
      <c r="U94" s="211">
        <v>0</v>
      </c>
      <c r="V94" s="211">
        <v>3241.2</v>
      </c>
      <c r="W94" s="211">
        <v>0</v>
      </c>
      <c r="X94" s="191">
        <v>0</v>
      </c>
      <c r="Y94" s="191">
        <v>35613</v>
      </c>
      <c r="Z94" s="191">
        <v>111061</v>
      </c>
      <c r="AA94" s="191">
        <v>0</v>
      </c>
      <c r="AB94" s="191">
        <v>0</v>
      </c>
      <c r="AC94" s="191">
        <v>0</v>
      </c>
      <c r="AD94" s="191">
        <v>0</v>
      </c>
      <c r="AE94" s="191">
        <v>4570.29</v>
      </c>
      <c r="AF94" s="211">
        <v>2400</v>
      </c>
      <c r="AG94" s="211">
        <v>2014.8</v>
      </c>
      <c r="AH94" s="211">
        <v>205864</v>
      </c>
      <c r="AI94" s="67"/>
      <c r="AJ94" s="211">
        <v>0</v>
      </c>
      <c r="AK94" s="211">
        <v>0</v>
      </c>
      <c r="AL94" s="191">
        <v>206400</v>
      </c>
      <c r="AM94" s="191">
        <v>0</v>
      </c>
      <c r="AN94" s="190"/>
      <c r="AO94" s="190"/>
      <c r="AP94" s="190"/>
      <c r="AQ94" s="375"/>
      <c r="AR94" s="375"/>
      <c r="AS94" s="382"/>
      <c r="AT94" s="382"/>
      <c r="AU94" s="382"/>
      <c r="AV94" s="198">
        <f t="shared" si="8"/>
        <v>1215990.71</v>
      </c>
      <c r="AX94" s="33">
        <f t="shared" si="11"/>
        <v>250938</v>
      </c>
      <c r="AY94" s="33">
        <f t="shared" si="11"/>
        <v>97593.290000000008</v>
      </c>
      <c r="AZ94" s="33">
        <f t="shared" si="11"/>
        <v>0</v>
      </c>
      <c r="BA94" s="33">
        <f t="shared" si="11"/>
        <v>825600</v>
      </c>
      <c r="BB94" s="33">
        <f t="shared" si="11"/>
        <v>12226.289999999999</v>
      </c>
      <c r="BC94" s="33">
        <f t="shared" si="11"/>
        <v>0</v>
      </c>
      <c r="BD94" s="33">
        <f t="shared" si="11"/>
        <v>29633.13</v>
      </c>
      <c r="BE94" s="58">
        <f t="shared" si="10"/>
        <v>0</v>
      </c>
    </row>
    <row r="95" spans="1:57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Mar 2026'!$A$8:$F$206,6,FALSE)</f>
        <v>Chq Bk</v>
      </c>
      <c r="H95" s="191">
        <v>8146</v>
      </c>
      <c r="I95" s="191">
        <v>0</v>
      </c>
      <c r="J95" s="191">
        <v>0</v>
      </c>
      <c r="K95" s="191">
        <v>74992</v>
      </c>
      <c r="L95" s="191">
        <v>20169</v>
      </c>
      <c r="M95" s="191">
        <v>31098</v>
      </c>
      <c r="N95" s="191">
        <v>0</v>
      </c>
      <c r="O95" s="191">
        <v>0</v>
      </c>
      <c r="P95" s="211">
        <v>0</v>
      </c>
      <c r="Q95" s="211">
        <v>8938.75</v>
      </c>
      <c r="R95" s="211">
        <v>74992</v>
      </c>
      <c r="S95" s="211">
        <v>0</v>
      </c>
      <c r="T95" s="211">
        <v>50065</v>
      </c>
      <c r="U95" s="211">
        <v>4230</v>
      </c>
      <c r="V95" s="211">
        <v>0</v>
      </c>
      <c r="W95" s="211">
        <v>0</v>
      </c>
      <c r="X95" s="191">
        <v>9780</v>
      </c>
      <c r="Y95" s="191">
        <v>0</v>
      </c>
      <c r="Z95" s="191">
        <v>23840</v>
      </c>
      <c r="AA95" s="191">
        <v>0</v>
      </c>
      <c r="AB95" s="191">
        <v>0</v>
      </c>
      <c r="AC95" s="191">
        <v>0</v>
      </c>
      <c r="AD95" s="191">
        <v>0</v>
      </c>
      <c r="AE95" s="191">
        <v>1713.86</v>
      </c>
      <c r="AF95" s="211">
        <v>2400</v>
      </c>
      <c r="AG95" s="211">
        <v>0</v>
      </c>
      <c r="AH95" s="211">
        <v>74992</v>
      </c>
      <c r="AI95" s="67"/>
      <c r="AJ95" s="211">
        <v>0</v>
      </c>
      <c r="AK95" s="211">
        <v>0</v>
      </c>
      <c r="AL95" s="191">
        <v>74994</v>
      </c>
      <c r="AM95" s="191">
        <v>0</v>
      </c>
      <c r="AN95" s="190"/>
      <c r="AO95" s="190"/>
      <c r="AP95" s="190"/>
      <c r="AQ95" s="375"/>
      <c r="AR95" s="375"/>
      <c r="AS95" s="382"/>
      <c r="AT95" s="382"/>
      <c r="AU95" s="382"/>
      <c r="AV95" s="198">
        <f t="shared" si="8"/>
        <v>460350.61</v>
      </c>
      <c r="AX95" s="33">
        <f t="shared" si="11"/>
        <v>78135</v>
      </c>
      <c r="AY95" s="33">
        <f t="shared" si="11"/>
        <v>0</v>
      </c>
      <c r="AZ95" s="33">
        <f t="shared" si="11"/>
        <v>0</v>
      </c>
      <c r="BA95" s="33">
        <f t="shared" si="11"/>
        <v>299970</v>
      </c>
      <c r="BB95" s="33">
        <f t="shared" si="11"/>
        <v>73306.86</v>
      </c>
      <c r="BC95" s="33">
        <f t="shared" si="11"/>
        <v>0</v>
      </c>
      <c r="BD95" s="33">
        <f t="shared" si="11"/>
        <v>8938.75</v>
      </c>
      <c r="BE95" s="58">
        <f t="shared" si="10"/>
        <v>0</v>
      </c>
    </row>
    <row r="96" spans="1:57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Mar 2026'!$A$8:$F$206,6,FALSE)</f>
        <v>Chq Bk</v>
      </c>
      <c r="H96" s="191">
        <v>8162</v>
      </c>
      <c r="I96" s="191">
        <v>0</v>
      </c>
      <c r="J96" s="191">
        <v>0</v>
      </c>
      <c r="K96" s="191">
        <v>71962</v>
      </c>
      <c r="L96" s="191">
        <v>26932</v>
      </c>
      <c r="M96" s="191">
        <v>31532</v>
      </c>
      <c r="N96" s="191">
        <v>0</v>
      </c>
      <c r="O96" s="191">
        <v>0</v>
      </c>
      <c r="P96" s="211">
        <v>0</v>
      </c>
      <c r="Q96" s="211">
        <v>8866.75</v>
      </c>
      <c r="R96" s="211">
        <v>71962</v>
      </c>
      <c r="S96" s="211">
        <v>0</v>
      </c>
      <c r="T96" s="211">
        <v>49112</v>
      </c>
      <c r="U96" s="211">
        <v>2444</v>
      </c>
      <c r="V96" s="211">
        <v>876</v>
      </c>
      <c r="W96" s="211">
        <v>0</v>
      </c>
      <c r="X96" s="191">
        <v>9775</v>
      </c>
      <c r="Y96" s="191">
        <v>0</v>
      </c>
      <c r="Z96" s="191">
        <v>23450</v>
      </c>
      <c r="AA96" s="191">
        <v>0</v>
      </c>
      <c r="AB96" s="191">
        <v>0</v>
      </c>
      <c r="AC96" s="191">
        <v>0</v>
      </c>
      <c r="AD96" s="191">
        <v>0</v>
      </c>
      <c r="AE96" s="191">
        <v>285.64</v>
      </c>
      <c r="AF96" s="211">
        <v>2400</v>
      </c>
      <c r="AG96" s="211">
        <v>0</v>
      </c>
      <c r="AH96" s="211">
        <v>71962</v>
      </c>
      <c r="AI96" s="67"/>
      <c r="AJ96" s="211">
        <v>0</v>
      </c>
      <c r="AK96" s="211">
        <v>0</v>
      </c>
      <c r="AL96" s="191">
        <v>71964</v>
      </c>
      <c r="AM96" s="191">
        <v>0</v>
      </c>
      <c r="AN96" s="190"/>
      <c r="AO96" s="190"/>
      <c r="AP96" s="190"/>
      <c r="AQ96" s="375"/>
      <c r="AR96" s="375"/>
      <c r="AS96" s="382"/>
      <c r="AT96" s="382"/>
      <c r="AU96" s="382"/>
      <c r="AV96" s="198">
        <f t="shared" si="8"/>
        <v>451685.39</v>
      </c>
      <c r="AX96" s="33">
        <f t="shared" si="11"/>
        <v>75006</v>
      </c>
      <c r="AY96" s="33">
        <f t="shared" si="11"/>
        <v>0</v>
      </c>
      <c r="AZ96" s="33">
        <f t="shared" si="11"/>
        <v>0</v>
      </c>
      <c r="BA96" s="33">
        <f t="shared" si="11"/>
        <v>287850</v>
      </c>
      <c r="BB96" s="33">
        <f t="shared" si="11"/>
        <v>79962.64</v>
      </c>
      <c r="BC96" s="33">
        <f t="shared" si="11"/>
        <v>0</v>
      </c>
      <c r="BD96" s="33">
        <f t="shared" si="11"/>
        <v>8866.75</v>
      </c>
      <c r="BE96" s="58">
        <f t="shared" si="10"/>
        <v>0</v>
      </c>
    </row>
    <row r="97" spans="1:57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Mar 2026'!$A$8:$F$206,6,FALSE)</f>
        <v>Chq Bk</v>
      </c>
      <c r="H97" s="191">
        <v>7900</v>
      </c>
      <c r="I97" s="191">
        <v>0</v>
      </c>
      <c r="J97" s="191">
        <v>0</v>
      </c>
      <c r="K97" s="191">
        <v>50336</v>
      </c>
      <c r="L97" s="191">
        <v>8732</v>
      </c>
      <c r="M97" s="191">
        <v>17068</v>
      </c>
      <c r="N97" s="191">
        <v>0</v>
      </c>
      <c r="O97" s="191">
        <v>0</v>
      </c>
      <c r="P97" s="211">
        <v>0</v>
      </c>
      <c r="Q97" s="211">
        <v>7768.75</v>
      </c>
      <c r="R97" s="211">
        <v>50336</v>
      </c>
      <c r="S97" s="211">
        <v>0</v>
      </c>
      <c r="T97" s="211">
        <v>37004</v>
      </c>
      <c r="U97" s="211">
        <v>0</v>
      </c>
      <c r="V97" s="211">
        <v>0</v>
      </c>
      <c r="W97" s="211">
        <v>0</v>
      </c>
      <c r="X97" s="191">
        <v>9435</v>
      </c>
      <c r="Y97" s="191">
        <v>0</v>
      </c>
      <c r="Z97" s="191">
        <v>17741</v>
      </c>
      <c r="AA97" s="191">
        <v>0</v>
      </c>
      <c r="AB97" s="191">
        <v>0</v>
      </c>
      <c r="AC97" s="191">
        <v>0</v>
      </c>
      <c r="AD97" s="191">
        <v>0</v>
      </c>
      <c r="AE97" s="191">
        <v>0</v>
      </c>
      <c r="AF97" s="211">
        <v>0</v>
      </c>
      <c r="AG97" s="211">
        <v>876</v>
      </c>
      <c r="AH97" s="211">
        <v>50336</v>
      </c>
      <c r="AI97" s="67"/>
      <c r="AJ97" s="211">
        <v>0</v>
      </c>
      <c r="AK97" s="211">
        <v>0</v>
      </c>
      <c r="AL97" s="191">
        <v>50337</v>
      </c>
      <c r="AM97" s="191">
        <v>0</v>
      </c>
      <c r="AN97" s="190"/>
      <c r="AO97" s="190"/>
      <c r="AP97" s="190"/>
      <c r="AQ97" s="375"/>
      <c r="AR97" s="375"/>
      <c r="AS97" s="382"/>
      <c r="AT97" s="382"/>
      <c r="AU97" s="382"/>
      <c r="AV97" s="198">
        <f t="shared" si="8"/>
        <v>307869.75</v>
      </c>
      <c r="AX97" s="33">
        <f t="shared" si="11"/>
        <v>54745</v>
      </c>
      <c r="AY97" s="33">
        <f t="shared" si="11"/>
        <v>0</v>
      </c>
      <c r="AZ97" s="33">
        <f t="shared" si="11"/>
        <v>0</v>
      </c>
      <c r="BA97" s="33">
        <f t="shared" si="11"/>
        <v>201345</v>
      </c>
      <c r="BB97" s="33">
        <f t="shared" si="11"/>
        <v>44011</v>
      </c>
      <c r="BC97" s="33">
        <f t="shared" si="11"/>
        <v>0</v>
      </c>
      <c r="BD97" s="33">
        <f t="shared" si="11"/>
        <v>7768.75</v>
      </c>
      <c r="BE97" s="58">
        <f t="shared" si="10"/>
        <v>0</v>
      </c>
    </row>
    <row r="98" spans="1:57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Mar 2026'!$A$8:$F$206,6,FALSE)</f>
        <v>Chq Bk</v>
      </c>
      <c r="H98" s="191">
        <v>0</v>
      </c>
      <c r="I98" s="191">
        <v>0</v>
      </c>
      <c r="J98" s="191">
        <v>0</v>
      </c>
      <c r="K98" s="191">
        <v>0</v>
      </c>
      <c r="L98" s="191">
        <v>0</v>
      </c>
      <c r="M98" s="191">
        <v>0</v>
      </c>
      <c r="N98" s="191">
        <v>0</v>
      </c>
      <c r="O98" s="191">
        <v>0</v>
      </c>
      <c r="P98" s="211">
        <v>4305</v>
      </c>
      <c r="Q98" s="211">
        <v>5005.75</v>
      </c>
      <c r="R98" s="211">
        <v>0</v>
      </c>
      <c r="S98" s="211">
        <v>0</v>
      </c>
      <c r="T98" s="211">
        <v>0</v>
      </c>
      <c r="U98" s="211">
        <v>15824</v>
      </c>
      <c r="V98" s="211">
        <v>0</v>
      </c>
      <c r="W98" s="211">
        <v>0</v>
      </c>
      <c r="X98" s="191">
        <v>0</v>
      </c>
      <c r="Y98" s="191">
        <v>0</v>
      </c>
      <c r="Z98" s="191">
        <v>0</v>
      </c>
      <c r="AA98" s="191">
        <v>0</v>
      </c>
      <c r="AB98" s="191">
        <v>0</v>
      </c>
      <c r="AC98" s="191">
        <v>0</v>
      </c>
      <c r="AD98" s="191">
        <v>0</v>
      </c>
      <c r="AE98" s="191">
        <v>0</v>
      </c>
      <c r="AF98" s="211">
        <v>0</v>
      </c>
      <c r="AG98" s="211">
        <v>0</v>
      </c>
      <c r="AH98" s="211">
        <v>0</v>
      </c>
      <c r="AI98" s="67"/>
      <c r="AJ98" s="211">
        <v>0</v>
      </c>
      <c r="AK98" s="211">
        <v>0</v>
      </c>
      <c r="AL98" s="191">
        <v>0</v>
      </c>
      <c r="AM98" s="191">
        <v>0</v>
      </c>
      <c r="AN98" s="190"/>
      <c r="AO98" s="190"/>
      <c r="AP98" s="190"/>
      <c r="AQ98" s="375"/>
      <c r="AR98" s="375"/>
      <c r="AS98" s="382"/>
      <c r="AT98" s="382"/>
      <c r="AU98" s="382"/>
      <c r="AV98" s="198">
        <f t="shared" si="8"/>
        <v>25134.75</v>
      </c>
      <c r="AX98" s="33">
        <f t="shared" si="11"/>
        <v>20129</v>
      </c>
      <c r="AY98" s="33">
        <f t="shared" si="11"/>
        <v>0</v>
      </c>
      <c r="AZ98" s="33">
        <f t="shared" si="11"/>
        <v>0</v>
      </c>
      <c r="BA98" s="33">
        <f t="shared" si="11"/>
        <v>0</v>
      </c>
      <c r="BB98" s="33">
        <f t="shared" si="11"/>
        <v>0</v>
      </c>
      <c r="BC98" s="33">
        <f t="shared" si="11"/>
        <v>0</v>
      </c>
      <c r="BD98" s="33">
        <f t="shared" si="11"/>
        <v>5005.75</v>
      </c>
      <c r="BE98" s="58">
        <f t="shared" si="10"/>
        <v>0</v>
      </c>
    </row>
    <row r="99" spans="1:57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Mar 2026'!$A$8:$F$206,6,FALSE)</f>
        <v>Academy</v>
      </c>
      <c r="H99" s="191">
        <v>0</v>
      </c>
      <c r="I99" s="191">
        <v>0</v>
      </c>
      <c r="J99" s="191">
        <v>371673.70178997744</v>
      </c>
      <c r="K99" s="191">
        <v>23381</v>
      </c>
      <c r="L99" s="191">
        <v>0</v>
      </c>
      <c r="M99" s="191">
        <v>0</v>
      </c>
      <c r="N99" s="191">
        <v>0</v>
      </c>
      <c r="O99" s="191">
        <v>0</v>
      </c>
      <c r="P99" s="211">
        <v>0</v>
      </c>
      <c r="Q99" s="211">
        <v>13315</v>
      </c>
      <c r="R99" s="211">
        <v>23381</v>
      </c>
      <c r="S99" s="211">
        <v>0</v>
      </c>
      <c r="T99" s="211">
        <v>0</v>
      </c>
      <c r="U99" s="211"/>
      <c r="V99" s="211">
        <v>0</v>
      </c>
      <c r="W99" s="211"/>
      <c r="X99" s="191">
        <v>0</v>
      </c>
      <c r="Y99" s="191">
        <v>0</v>
      </c>
      <c r="Z99" s="191">
        <v>0</v>
      </c>
      <c r="AA99" s="191"/>
      <c r="AB99" s="191"/>
      <c r="AC99" s="191"/>
      <c r="AD99" s="191">
        <v>0</v>
      </c>
      <c r="AE99" s="191">
        <v>0</v>
      </c>
      <c r="AF99" s="211">
        <v>0</v>
      </c>
      <c r="AG99" s="211">
        <v>0</v>
      </c>
      <c r="AH99" s="211"/>
      <c r="AI99" s="67"/>
      <c r="AJ99" s="211">
        <v>32132.671140708415</v>
      </c>
      <c r="AK99" s="211">
        <v>0</v>
      </c>
      <c r="AL99" s="191">
        <v>0</v>
      </c>
      <c r="AM99" s="191">
        <v>0</v>
      </c>
      <c r="AN99" s="190"/>
      <c r="AO99" s="190"/>
      <c r="AP99" s="190"/>
      <c r="AQ99" s="375"/>
      <c r="AR99" s="375"/>
      <c r="AS99" s="382"/>
      <c r="AT99" s="382"/>
      <c r="AU99" s="382"/>
      <c r="AV99" s="198">
        <f t="shared" si="8"/>
        <v>463883.37293068587</v>
      </c>
      <c r="AX99" s="33">
        <f t="shared" si="11"/>
        <v>0</v>
      </c>
      <c r="AY99" s="33">
        <f t="shared" si="11"/>
        <v>32132.671140708415</v>
      </c>
      <c r="AZ99" s="33">
        <f t="shared" si="11"/>
        <v>371673.70178997744</v>
      </c>
      <c r="BA99" s="33">
        <f t="shared" si="11"/>
        <v>46762</v>
      </c>
      <c r="BB99" s="33">
        <f t="shared" si="11"/>
        <v>0</v>
      </c>
      <c r="BC99" s="33">
        <f t="shared" si="11"/>
        <v>0</v>
      </c>
      <c r="BD99" s="33">
        <f t="shared" si="11"/>
        <v>13315</v>
      </c>
      <c r="BE99" s="58">
        <f t="shared" si="10"/>
        <v>0</v>
      </c>
    </row>
    <row r="100" spans="1:57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Mar 2026'!$A$8:$F$206,6,FALSE)</f>
        <v>Chq Bk</v>
      </c>
      <c r="H100" s="191">
        <v>7412</v>
      </c>
      <c r="I100" s="191">
        <v>0</v>
      </c>
      <c r="J100" s="191">
        <v>0</v>
      </c>
      <c r="K100" s="191">
        <v>40501</v>
      </c>
      <c r="L100" s="191">
        <v>9969</v>
      </c>
      <c r="M100" s="191">
        <v>11427</v>
      </c>
      <c r="N100" s="191">
        <v>0</v>
      </c>
      <c r="O100" s="191">
        <v>0</v>
      </c>
      <c r="P100" s="211">
        <v>0</v>
      </c>
      <c r="Q100" s="211">
        <v>0</v>
      </c>
      <c r="R100" s="211">
        <v>40501</v>
      </c>
      <c r="S100" s="211">
        <v>0</v>
      </c>
      <c r="T100" s="211">
        <v>26516</v>
      </c>
      <c r="U100" s="211">
        <v>2506.666666666667</v>
      </c>
      <c r="V100" s="211">
        <v>0</v>
      </c>
      <c r="W100" s="211">
        <v>0</v>
      </c>
      <c r="X100" s="191">
        <v>8895</v>
      </c>
      <c r="Y100" s="191">
        <v>0</v>
      </c>
      <c r="Z100" s="191">
        <v>12780</v>
      </c>
      <c r="AA100" s="191">
        <v>0</v>
      </c>
      <c r="AB100" s="191">
        <v>0</v>
      </c>
      <c r="AC100" s="191">
        <v>0</v>
      </c>
      <c r="AD100" s="191">
        <v>0</v>
      </c>
      <c r="AE100" s="191">
        <v>0</v>
      </c>
      <c r="AF100" s="211">
        <v>2400</v>
      </c>
      <c r="AG100" s="211">
        <v>0</v>
      </c>
      <c r="AH100" s="211">
        <v>38227</v>
      </c>
      <c r="AI100" s="67"/>
      <c r="AJ100" s="211">
        <v>0</v>
      </c>
      <c r="AK100" s="211">
        <v>0</v>
      </c>
      <c r="AL100" s="191">
        <v>39746</v>
      </c>
      <c r="AM100" s="191">
        <v>0</v>
      </c>
      <c r="AN100" s="190"/>
      <c r="AO100" s="190"/>
      <c r="AP100" s="190"/>
      <c r="AQ100" s="375"/>
      <c r="AR100" s="375"/>
      <c r="AS100" s="382"/>
      <c r="AT100" s="382"/>
      <c r="AU100" s="382"/>
      <c r="AV100" s="198">
        <f t="shared" si="8"/>
        <v>240880.66666666666</v>
      </c>
      <c r="AX100" s="33">
        <f t="shared" si="11"/>
        <v>41802.666666666672</v>
      </c>
      <c r="AY100" s="33">
        <f t="shared" si="11"/>
        <v>0</v>
      </c>
      <c r="AZ100" s="33">
        <f t="shared" si="11"/>
        <v>0</v>
      </c>
      <c r="BA100" s="33">
        <f t="shared" si="11"/>
        <v>158975</v>
      </c>
      <c r="BB100" s="33">
        <f t="shared" si="11"/>
        <v>40103</v>
      </c>
      <c r="BC100" s="33">
        <f t="shared" si="11"/>
        <v>0</v>
      </c>
      <c r="BD100" s="33">
        <f t="shared" si="11"/>
        <v>0</v>
      </c>
      <c r="BE100" s="58">
        <f t="shared" si="10"/>
        <v>0</v>
      </c>
    </row>
    <row r="101" spans="1:57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Mar 2026'!$A$8:$F$206,6,FALSE)</f>
        <v>Chq Bk</v>
      </c>
      <c r="H101" s="191">
        <v>7412</v>
      </c>
      <c r="I101" s="191">
        <v>0</v>
      </c>
      <c r="J101" s="191">
        <v>0</v>
      </c>
      <c r="K101" s="191">
        <v>21867</v>
      </c>
      <c r="L101" s="191">
        <v>13005</v>
      </c>
      <c r="M101" s="191">
        <v>19093</v>
      </c>
      <c r="N101" s="191">
        <v>0</v>
      </c>
      <c r="O101" s="191">
        <v>0</v>
      </c>
      <c r="P101" s="211">
        <v>0</v>
      </c>
      <c r="Q101" s="211">
        <v>0</v>
      </c>
      <c r="R101" s="211">
        <v>21867</v>
      </c>
      <c r="S101" s="211">
        <v>0</v>
      </c>
      <c r="T101" s="211">
        <v>23057</v>
      </c>
      <c r="U101" s="211">
        <v>2068</v>
      </c>
      <c r="V101" s="211">
        <v>0</v>
      </c>
      <c r="W101" s="211">
        <v>0</v>
      </c>
      <c r="X101" s="191">
        <v>8890</v>
      </c>
      <c r="Y101" s="191">
        <v>0</v>
      </c>
      <c r="Z101" s="191">
        <v>11167</v>
      </c>
      <c r="AA101" s="191">
        <v>0</v>
      </c>
      <c r="AB101" s="191">
        <v>0</v>
      </c>
      <c r="AC101" s="191">
        <v>0</v>
      </c>
      <c r="AD101" s="191">
        <v>0</v>
      </c>
      <c r="AE101" s="191">
        <v>0</v>
      </c>
      <c r="AF101" s="211">
        <v>0</v>
      </c>
      <c r="AG101" s="211">
        <v>306.60000000000002</v>
      </c>
      <c r="AH101" s="211">
        <v>21867</v>
      </c>
      <c r="AI101" s="67"/>
      <c r="AJ101" s="211">
        <v>0</v>
      </c>
      <c r="AK101" s="211">
        <v>0</v>
      </c>
      <c r="AL101" s="191">
        <v>21869</v>
      </c>
      <c r="AM101" s="191">
        <v>0</v>
      </c>
      <c r="AN101" s="190"/>
      <c r="AO101" s="190"/>
      <c r="AP101" s="190"/>
      <c r="AQ101" s="375"/>
      <c r="AR101" s="375"/>
      <c r="AS101" s="382"/>
      <c r="AT101" s="382"/>
      <c r="AU101" s="382"/>
      <c r="AV101" s="198">
        <f t="shared" si="8"/>
        <v>172468.6</v>
      </c>
      <c r="AX101" s="33">
        <f t="shared" si="11"/>
        <v>36292</v>
      </c>
      <c r="AY101" s="33">
        <f t="shared" si="11"/>
        <v>0</v>
      </c>
      <c r="AZ101" s="33">
        <f t="shared" si="11"/>
        <v>0</v>
      </c>
      <c r="BA101" s="33">
        <f t="shared" si="11"/>
        <v>87470</v>
      </c>
      <c r="BB101" s="33">
        <f t="shared" si="11"/>
        <v>48706.6</v>
      </c>
      <c r="BC101" s="33">
        <f t="shared" si="11"/>
        <v>0</v>
      </c>
      <c r="BD101" s="33">
        <f t="shared" si="11"/>
        <v>0</v>
      </c>
      <c r="BE101" s="58">
        <f t="shared" si="10"/>
        <v>0</v>
      </c>
    </row>
    <row r="102" spans="1:57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Mar 2026'!$A$8:$F$206,6,FALSE)</f>
        <v>Chq Bk</v>
      </c>
      <c r="H102" s="191">
        <v>0</v>
      </c>
      <c r="I102" s="191">
        <v>0</v>
      </c>
      <c r="J102" s="191">
        <v>0</v>
      </c>
      <c r="K102" s="191">
        <v>0</v>
      </c>
      <c r="L102" s="191">
        <v>0</v>
      </c>
      <c r="M102" s="191">
        <v>0</v>
      </c>
      <c r="N102" s="191">
        <v>0</v>
      </c>
      <c r="O102" s="191">
        <v>0</v>
      </c>
      <c r="P102" s="211">
        <v>0</v>
      </c>
      <c r="Q102" s="211"/>
      <c r="R102" s="211">
        <v>0</v>
      </c>
      <c r="S102" s="211">
        <v>0</v>
      </c>
      <c r="T102" s="211">
        <v>0</v>
      </c>
      <c r="U102" s="211">
        <v>9400</v>
      </c>
      <c r="V102" s="211">
        <v>0</v>
      </c>
      <c r="W102" s="211">
        <v>0</v>
      </c>
      <c r="X102" s="191">
        <v>0</v>
      </c>
      <c r="Y102" s="191">
        <v>0</v>
      </c>
      <c r="Z102" s="191">
        <v>0</v>
      </c>
      <c r="AA102" s="191">
        <v>0</v>
      </c>
      <c r="AB102" s="191">
        <v>0</v>
      </c>
      <c r="AC102" s="191">
        <v>0</v>
      </c>
      <c r="AD102" s="191">
        <v>0</v>
      </c>
      <c r="AE102" s="191">
        <v>0</v>
      </c>
      <c r="AF102" s="211">
        <v>0</v>
      </c>
      <c r="AG102" s="211">
        <v>0</v>
      </c>
      <c r="AH102" s="211">
        <v>0</v>
      </c>
      <c r="AI102" s="67"/>
      <c r="AJ102" s="211">
        <v>0</v>
      </c>
      <c r="AK102" s="211">
        <v>0</v>
      </c>
      <c r="AL102" s="191">
        <v>0</v>
      </c>
      <c r="AM102" s="191">
        <v>4675</v>
      </c>
      <c r="AN102" s="190"/>
      <c r="AO102" s="190"/>
      <c r="AP102" s="190"/>
      <c r="AQ102" s="375"/>
      <c r="AR102" s="375"/>
      <c r="AS102" s="382"/>
      <c r="AT102" s="382"/>
      <c r="AU102" s="382"/>
      <c r="AV102" s="198">
        <f t="shared" si="8"/>
        <v>14075</v>
      </c>
      <c r="AX102" s="33">
        <f t="shared" si="11"/>
        <v>9400</v>
      </c>
      <c r="AY102" s="33">
        <f t="shared" si="11"/>
        <v>0</v>
      </c>
      <c r="AZ102" s="33">
        <f t="shared" si="11"/>
        <v>0</v>
      </c>
      <c r="BA102" s="33">
        <f t="shared" si="11"/>
        <v>0</v>
      </c>
      <c r="BB102" s="33">
        <f t="shared" si="11"/>
        <v>0</v>
      </c>
      <c r="BC102" s="33">
        <f t="shared" si="11"/>
        <v>0</v>
      </c>
      <c r="BD102" s="33">
        <f t="shared" si="11"/>
        <v>4675</v>
      </c>
      <c r="BE102" s="58">
        <f t="shared" si="10"/>
        <v>0</v>
      </c>
    </row>
    <row r="103" spans="1:57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Mar 2026'!$A$8:$F$206,6,FALSE)</f>
        <v>Chq Bk</v>
      </c>
      <c r="H103" s="191">
        <v>0</v>
      </c>
      <c r="I103" s="191">
        <v>0</v>
      </c>
      <c r="J103" s="191">
        <v>0</v>
      </c>
      <c r="K103" s="191">
        <v>93296</v>
      </c>
      <c r="L103" s="191">
        <v>0</v>
      </c>
      <c r="M103" s="191">
        <v>0</v>
      </c>
      <c r="N103" s="191">
        <v>0</v>
      </c>
      <c r="O103" s="191">
        <v>0</v>
      </c>
      <c r="P103" s="211">
        <v>0</v>
      </c>
      <c r="Q103" s="211">
        <v>19246.560000000001</v>
      </c>
      <c r="R103" s="211">
        <v>93296</v>
      </c>
      <c r="S103" s="211">
        <v>0</v>
      </c>
      <c r="T103" s="211">
        <v>86235</v>
      </c>
      <c r="U103" s="211">
        <v>0</v>
      </c>
      <c r="V103" s="211">
        <v>5869.2</v>
      </c>
      <c r="W103" s="211">
        <v>0</v>
      </c>
      <c r="X103" s="191">
        <v>0</v>
      </c>
      <c r="Y103" s="191">
        <v>0</v>
      </c>
      <c r="Z103" s="191">
        <v>67741</v>
      </c>
      <c r="AA103" s="191">
        <v>0</v>
      </c>
      <c r="AB103" s="191">
        <v>0</v>
      </c>
      <c r="AC103" s="191">
        <v>0</v>
      </c>
      <c r="AD103" s="191">
        <v>0</v>
      </c>
      <c r="AE103" s="191">
        <v>1713.86</v>
      </c>
      <c r="AF103" s="211">
        <v>7200</v>
      </c>
      <c r="AG103" s="211">
        <v>0</v>
      </c>
      <c r="AH103" s="211">
        <v>92489</v>
      </c>
      <c r="AI103" s="67"/>
      <c r="AJ103" s="211">
        <v>0</v>
      </c>
      <c r="AK103" s="211">
        <v>0</v>
      </c>
      <c r="AL103" s="191">
        <v>93029</v>
      </c>
      <c r="AM103" s="191">
        <v>0</v>
      </c>
      <c r="AN103" s="190"/>
      <c r="AO103" s="190"/>
      <c r="AP103" s="190"/>
      <c r="AQ103" s="375"/>
      <c r="AR103" s="375"/>
      <c r="AS103" s="382"/>
      <c r="AT103" s="382"/>
      <c r="AU103" s="382"/>
      <c r="AV103" s="198">
        <f t="shared" si="8"/>
        <v>560115.62</v>
      </c>
      <c r="AX103" s="33">
        <f t="shared" si="11"/>
        <v>153976</v>
      </c>
      <c r="AY103" s="33">
        <f t="shared" si="11"/>
        <v>0</v>
      </c>
      <c r="AZ103" s="33">
        <f t="shared" si="11"/>
        <v>0</v>
      </c>
      <c r="BA103" s="33">
        <f t="shared" si="11"/>
        <v>372110</v>
      </c>
      <c r="BB103" s="33">
        <f t="shared" si="11"/>
        <v>14783.06</v>
      </c>
      <c r="BC103" s="33">
        <f t="shared" si="11"/>
        <v>0</v>
      </c>
      <c r="BD103" s="33">
        <f t="shared" si="11"/>
        <v>19246.560000000001</v>
      </c>
      <c r="BE103" s="58">
        <f t="shared" ref="BE103:BE134" si="12">SUM(AX103:BD103)-AV103</f>
        <v>0</v>
      </c>
    </row>
    <row r="104" spans="1:57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Mar 2026'!$A$8:$F$206,6,FALSE)</f>
        <v>Chq Bk</v>
      </c>
      <c r="H104" s="191">
        <v>7417</v>
      </c>
      <c r="I104" s="191">
        <v>0</v>
      </c>
      <c r="J104" s="191">
        <v>0</v>
      </c>
      <c r="K104" s="191">
        <v>37117</v>
      </c>
      <c r="L104" s="191">
        <v>7583</v>
      </c>
      <c r="M104" s="191">
        <v>12584</v>
      </c>
      <c r="N104" s="191">
        <v>0</v>
      </c>
      <c r="O104" s="191">
        <v>0</v>
      </c>
      <c r="P104" s="211">
        <v>0</v>
      </c>
      <c r="Q104" s="211">
        <v>6328.75</v>
      </c>
      <c r="R104" s="211">
        <v>37117</v>
      </c>
      <c r="S104" s="211">
        <v>0</v>
      </c>
      <c r="T104" s="211">
        <v>26064</v>
      </c>
      <c r="U104" s="211">
        <v>0</v>
      </c>
      <c r="V104" s="211">
        <v>0</v>
      </c>
      <c r="W104" s="211">
        <v>0</v>
      </c>
      <c r="X104" s="191">
        <v>8860</v>
      </c>
      <c r="Y104" s="191">
        <v>0</v>
      </c>
      <c r="Z104" s="191">
        <v>12570</v>
      </c>
      <c r="AA104" s="191">
        <v>0</v>
      </c>
      <c r="AB104" s="191">
        <v>0</v>
      </c>
      <c r="AC104" s="191">
        <v>0</v>
      </c>
      <c r="AD104" s="191">
        <v>0</v>
      </c>
      <c r="AE104" s="191">
        <v>0</v>
      </c>
      <c r="AF104" s="211">
        <v>0</v>
      </c>
      <c r="AG104" s="211">
        <v>0</v>
      </c>
      <c r="AH104" s="211">
        <v>37117</v>
      </c>
      <c r="AI104" s="67"/>
      <c r="AJ104" s="211">
        <v>0</v>
      </c>
      <c r="AK104" s="211">
        <v>0</v>
      </c>
      <c r="AL104" s="191">
        <v>37119</v>
      </c>
      <c r="AM104" s="191">
        <v>0</v>
      </c>
      <c r="AN104" s="190"/>
      <c r="AO104" s="190"/>
      <c r="AP104" s="190"/>
      <c r="AQ104" s="375"/>
      <c r="AR104" s="375"/>
      <c r="AS104" s="382"/>
      <c r="AT104" s="382"/>
      <c r="AU104" s="382"/>
      <c r="AV104" s="198">
        <f t="shared" si="8"/>
        <v>229876.75</v>
      </c>
      <c r="AX104" s="33">
        <f t="shared" si="11"/>
        <v>38634</v>
      </c>
      <c r="AY104" s="33">
        <f t="shared" si="11"/>
        <v>0</v>
      </c>
      <c r="AZ104" s="33">
        <f t="shared" si="11"/>
        <v>0</v>
      </c>
      <c r="BA104" s="33">
        <f t="shared" si="11"/>
        <v>148470</v>
      </c>
      <c r="BB104" s="33">
        <f t="shared" si="11"/>
        <v>36444</v>
      </c>
      <c r="BC104" s="33">
        <f t="shared" si="11"/>
        <v>0</v>
      </c>
      <c r="BD104" s="33">
        <f t="shared" si="11"/>
        <v>6328.75</v>
      </c>
      <c r="BE104" s="58">
        <f t="shared" si="12"/>
        <v>0</v>
      </c>
    </row>
    <row r="105" spans="1:57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Mar 2026'!$A$8:$F$206,6,FALSE)</f>
        <v>Chq Bk</v>
      </c>
      <c r="H105" s="191">
        <v>7392</v>
      </c>
      <c r="I105" s="191">
        <v>0</v>
      </c>
      <c r="J105" s="191">
        <v>0</v>
      </c>
      <c r="K105" s="191">
        <v>38341</v>
      </c>
      <c r="L105" s="191">
        <v>28459</v>
      </c>
      <c r="M105" s="191">
        <v>40210</v>
      </c>
      <c r="N105" s="191">
        <v>0</v>
      </c>
      <c r="O105" s="191">
        <v>0</v>
      </c>
      <c r="P105" s="211">
        <v>0</v>
      </c>
      <c r="Q105" s="211">
        <v>7255.75</v>
      </c>
      <c r="R105" s="211">
        <v>38341</v>
      </c>
      <c r="S105" s="211">
        <v>0</v>
      </c>
      <c r="T105" s="211">
        <v>28870</v>
      </c>
      <c r="U105" s="211">
        <v>4606</v>
      </c>
      <c r="V105" s="211">
        <v>0</v>
      </c>
      <c r="W105" s="211">
        <v>0</v>
      </c>
      <c r="X105" s="191">
        <v>8875</v>
      </c>
      <c r="Y105" s="191">
        <v>0</v>
      </c>
      <c r="Z105" s="191">
        <v>13898</v>
      </c>
      <c r="AA105" s="191">
        <v>0</v>
      </c>
      <c r="AB105" s="191">
        <v>0</v>
      </c>
      <c r="AC105" s="191">
        <v>0</v>
      </c>
      <c r="AD105" s="191">
        <v>0</v>
      </c>
      <c r="AE105" s="191">
        <v>571.29</v>
      </c>
      <c r="AF105" s="211">
        <v>2400</v>
      </c>
      <c r="AG105" s="211">
        <v>0</v>
      </c>
      <c r="AH105" s="211">
        <v>36067</v>
      </c>
      <c r="AI105" s="67"/>
      <c r="AJ105" s="211">
        <v>0</v>
      </c>
      <c r="AK105" s="211">
        <v>0</v>
      </c>
      <c r="AL105" s="191">
        <v>37586</v>
      </c>
      <c r="AM105" s="191">
        <v>0</v>
      </c>
      <c r="AN105" s="190"/>
      <c r="AO105" s="190"/>
      <c r="AP105" s="190"/>
      <c r="AQ105" s="375"/>
      <c r="AR105" s="375"/>
      <c r="AS105" s="382"/>
      <c r="AT105" s="382"/>
      <c r="AU105" s="382"/>
      <c r="AV105" s="198">
        <f t="shared" si="8"/>
        <v>292872.04000000004</v>
      </c>
      <c r="AX105" s="33">
        <f t="shared" si="11"/>
        <v>47374</v>
      </c>
      <c r="AY105" s="33">
        <f t="shared" si="11"/>
        <v>0</v>
      </c>
      <c r="AZ105" s="33">
        <f t="shared" si="11"/>
        <v>0</v>
      </c>
      <c r="BA105" s="33">
        <f t="shared" si="11"/>
        <v>150335</v>
      </c>
      <c r="BB105" s="33">
        <f t="shared" si="11"/>
        <v>87907.29</v>
      </c>
      <c r="BC105" s="33">
        <f t="shared" si="11"/>
        <v>0</v>
      </c>
      <c r="BD105" s="33">
        <f t="shared" si="11"/>
        <v>7255.75</v>
      </c>
      <c r="BE105" s="58">
        <f t="shared" si="12"/>
        <v>0</v>
      </c>
    </row>
    <row r="106" spans="1:57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Mar 2026'!$A$8:$F$206,6,FALSE)</f>
        <v>Chq Bk</v>
      </c>
      <c r="H106" s="191">
        <v>8108</v>
      </c>
      <c r="I106" s="191">
        <v>0</v>
      </c>
      <c r="J106" s="191">
        <v>0</v>
      </c>
      <c r="K106" s="191">
        <v>75650</v>
      </c>
      <c r="L106" s="191">
        <v>0</v>
      </c>
      <c r="M106" s="191">
        <v>0</v>
      </c>
      <c r="N106" s="191">
        <v>0</v>
      </c>
      <c r="O106" s="191">
        <v>0</v>
      </c>
      <c r="P106" s="211">
        <v>0</v>
      </c>
      <c r="Q106" s="211">
        <v>7892.5</v>
      </c>
      <c r="R106" s="211">
        <v>75650</v>
      </c>
      <c r="S106" s="211">
        <v>0</v>
      </c>
      <c r="T106" s="211">
        <v>44232</v>
      </c>
      <c r="U106" s="211">
        <v>0</v>
      </c>
      <c r="V106" s="211">
        <v>0</v>
      </c>
      <c r="W106" s="211">
        <v>0</v>
      </c>
      <c r="X106" s="191">
        <v>9675</v>
      </c>
      <c r="Y106" s="191">
        <v>0</v>
      </c>
      <c r="Z106" s="191">
        <v>21129</v>
      </c>
      <c r="AA106" s="191">
        <v>0</v>
      </c>
      <c r="AB106" s="191">
        <v>0</v>
      </c>
      <c r="AC106" s="191">
        <v>0</v>
      </c>
      <c r="AD106" s="191">
        <v>0</v>
      </c>
      <c r="AE106" s="191">
        <v>856.93</v>
      </c>
      <c r="AF106" s="211">
        <v>0</v>
      </c>
      <c r="AG106" s="211">
        <v>0</v>
      </c>
      <c r="AH106" s="211">
        <v>74513</v>
      </c>
      <c r="AI106" s="67"/>
      <c r="AJ106" s="211">
        <v>0</v>
      </c>
      <c r="AK106" s="211">
        <v>0</v>
      </c>
      <c r="AL106" s="191">
        <v>75272</v>
      </c>
      <c r="AM106" s="191">
        <v>0</v>
      </c>
      <c r="AN106" s="190"/>
      <c r="AO106" s="190"/>
      <c r="AP106" s="190"/>
      <c r="AQ106" s="375"/>
      <c r="AR106" s="375"/>
      <c r="AS106" s="382"/>
      <c r="AT106" s="382"/>
      <c r="AU106" s="382"/>
      <c r="AV106" s="198">
        <f t="shared" si="8"/>
        <v>392978.43</v>
      </c>
      <c r="AX106" s="33">
        <f t="shared" si="11"/>
        <v>65361</v>
      </c>
      <c r="AY106" s="33">
        <f t="shared" si="11"/>
        <v>0</v>
      </c>
      <c r="AZ106" s="33">
        <f t="shared" si="11"/>
        <v>0</v>
      </c>
      <c r="BA106" s="33">
        <f t="shared" si="11"/>
        <v>301085</v>
      </c>
      <c r="BB106" s="33">
        <f t="shared" si="11"/>
        <v>18639.93</v>
      </c>
      <c r="BC106" s="33">
        <f t="shared" si="11"/>
        <v>0</v>
      </c>
      <c r="BD106" s="33">
        <f t="shared" si="11"/>
        <v>7892.5</v>
      </c>
      <c r="BE106" s="58">
        <f t="shared" si="12"/>
        <v>0</v>
      </c>
    </row>
    <row r="107" spans="1:57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Mar 2026'!$A$8:$F$206,6,FALSE)</f>
        <v>Chq Bk</v>
      </c>
      <c r="H107" s="191">
        <v>8187</v>
      </c>
      <c r="I107" s="191">
        <v>0</v>
      </c>
      <c r="J107" s="191">
        <v>0</v>
      </c>
      <c r="K107" s="191">
        <v>94308</v>
      </c>
      <c r="L107" s="191">
        <v>4813</v>
      </c>
      <c r="M107" s="191">
        <v>13018</v>
      </c>
      <c r="N107" s="191">
        <v>0</v>
      </c>
      <c r="O107" s="191">
        <v>0</v>
      </c>
      <c r="P107" s="211">
        <v>0</v>
      </c>
      <c r="Q107" s="211">
        <v>8819.5</v>
      </c>
      <c r="R107" s="211">
        <v>94308</v>
      </c>
      <c r="S107" s="211">
        <v>0</v>
      </c>
      <c r="T107" s="211">
        <v>50813</v>
      </c>
      <c r="U107" s="211">
        <v>2726</v>
      </c>
      <c r="V107" s="211">
        <v>0</v>
      </c>
      <c r="W107" s="211">
        <v>0</v>
      </c>
      <c r="X107" s="191">
        <v>9675</v>
      </c>
      <c r="Y107" s="191">
        <v>0</v>
      </c>
      <c r="Z107" s="191">
        <v>24222</v>
      </c>
      <c r="AA107" s="191">
        <v>0</v>
      </c>
      <c r="AB107" s="191">
        <v>0</v>
      </c>
      <c r="AC107" s="191">
        <v>0</v>
      </c>
      <c r="AD107" s="191">
        <v>0</v>
      </c>
      <c r="AE107" s="191">
        <v>1428.22</v>
      </c>
      <c r="AF107" s="211">
        <v>0</v>
      </c>
      <c r="AG107" s="211">
        <v>0</v>
      </c>
      <c r="AH107" s="211">
        <v>94308</v>
      </c>
      <c r="AI107" s="67"/>
      <c r="AJ107" s="211">
        <v>0</v>
      </c>
      <c r="AK107" s="211">
        <v>0</v>
      </c>
      <c r="AL107" s="191">
        <v>94311</v>
      </c>
      <c r="AM107" s="191">
        <v>0</v>
      </c>
      <c r="AN107" s="190"/>
      <c r="AO107" s="190"/>
      <c r="AP107" s="190"/>
      <c r="AQ107" s="375"/>
      <c r="AR107" s="375"/>
      <c r="AS107" s="382"/>
      <c r="AT107" s="382"/>
      <c r="AU107" s="382"/>
      <c r="AV107" s="198">
        <f t="shared" si="8"/>
        <v>500936.72</v>
      </c>
      <c r="AX107" s="33">
        <f t="shared" si="11"/>
        <v>77761</v>
      </c>
      <c r="AY107" s="33">
        <f t="shared" si="11"/>
        <v>0</v>
      </c>
      <c r="AZ107" s="33">
        <f t="shared" si="11"/>
        <v>0</v>
      </c>
      <c r="BA107" s="33">
        <f t="shared" si="11"/>
        <v>377235</v>
      </c>
      <c r="BB107" s="33">
        <f t="shared" si="11"/>
        <v>37121.22</v>
      </c>
      <c r="BC107" s="33">
        <f t="shared" si="11"/>
        <v>0</v>
      </c>
      <c r="BD107" s="33">
        <f t="shared" si="11"/>
        <v>8819.5</v>
      </c>
      <c r="BE107" s="58">
        <f t="shared" si="12"/>
        <v>0</v>
      </c>
    </row>
    <row r="108" spans="1:57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Mar 2026'!$A$8:$F$206,6,FALSE)</f>
        <v>Chq Bk</v>
      </c>
      <c r="H108" s="191">
        <v>0</v>
      </c>
      <c r="I108" s="191">
        <v>0</v>
      </c>
      <c r="J108" s="191"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211">
        <v>5040</v>
      </c>
      <c r="Q108" s="211">
        <v>5235.25</v>
      </c>
      <c r="R108" s="211">
        <v>0</v>
      </c>
      <c r="S108" s="211">
        <v>0</v>
      </c>
      <c r="T108" s="211">
        <v>0</v>
      </c>
      <c r="U108" s="211">
        <v>19436</v>
      </c>
      <c r="V108" s="211">
        <v>0</v>
      </c>
      <c r="W108" s="211">
        <v>0</v>
      </c>
      <c r="X108" s="191">
        <v>0</v>
      </c>
      <c r="Y108" s="191">
        <v>0</v>
      </c>
      <c r="Z108" s="191">
        <v>0</v>
      </c>
      <c r="AA108" s="191">
        <v>0</v>
      </c>
      <c r="AB108" s="191">
        <v>0</v>
      </c>
      <c r="AC108" s="191">
        <v>0</v>
      </c>
      <c r="AD108" s="191">
        <v>0</v>
      </c>
      <c r="AE108" s="191">
        <v>0</v>
      </c>
      <c r="AF108" s="211">
        <v>0</v>
      </c>
      <c r="AG108" s="211">
        <v>0</v>
      </c>
      <c r="AH108" s="211">
        <v>0</v>
      </c>
      <c r="AI108" s="67"/>
      <c r="AJ108" s="211">
        <v>0</v>
      </c>
      <c r="AK108" s="211">
        <v>0</v>
      </c>
      <c r="AL108" s="191">
        <v>0</v>
      </c>
      <c r="AM108" s="191">
        <v>0</v>
      </c>
      <c r="AN108" s="190"/>
      <c r="AO108" s="190"/>
      <c r="AP108" s="190"/>
      <c r="AQ108" s="375"/>
      <c r="AR108" s="375"/>
      <c r="AS108" s="382"/>
      <c r="AT108" s="382"/>
      <c r="AU108" s="382"/>
      <c r="AV108" s="198">
        <f t="shared" si="8"/>
        <v>29711.25</v>
      </c>
      <c r="AX108" s="33">
        <f t="shared" si="11"/>
        <v>24476</v>
      </c>
      <c r="AY108" s="33">
        <f t="shared" si="11"/>
        <v>0</v>
      </c>
      <c r="AZ108" s="33">
        <f t="shared" si="11"/>
        <v>0</v>
      </c>
      <c r="BA108" s="33">
        <f t="shared" si="11"/>
        <v>0</v>
      </c>
      <c r="BB108" s="33">
        <f t="shared" si="11"/>
        <v>0</v>
      </c>
      <c r="BC108" s="33">
        <f t="shared" si="11"/>
        <v>0</v>
      </c>
      <c r="BD108" s="33">
        <f t="shared" si="11"/>
        <v>5235.25</v>
      </c>
      <c r="BE108" s="58">
        <f t="shared" si="12"/>
        <v>0</v>
      </c>
    </row>
    <row r="109" spans="1:57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Mar 2026'!$A$8:$F$206,6,FALSE)</f>
        <v>Chq Bk</v>
      </c>
      <c r="H109" s="191">
        <v>0</v>
      </c>
      <c r="I109" s="191">
        <v>0</v>
      </c>
      <c r="J109" s="191">
        <v>815617.29003911722</v>
      </c>
      <c r="K109" s="191">
        <v>52766</v>
      </c>
      <c r="L109" s="191">
        <v>0</v>
      </c>
      <c r="M109" s="191">
        <v>0</v>
      </c>
      <c r="N109" s="191">
        <v>0</v>
      </c>
      <c r="O109" s="191">
        <v>0</v>
      </c>
      <c r="P109" s="211">
        <v>0</v>
      </c>
      <c r="Q109" s="211">
        <v>24503.13</v>
      </c>
      <c r="R109" s="211">
        <v>52766</v>
      </c>
      <c r="S109" s="211">
        <v>0</v>
      </c>
      <c r="T109" s="211">
        <v>0</v>
      </c>
      <c r="U109" s="211">
        <v>0</v>
      </c>
      <c r="V109" s="211">
        <v>876</v>
      </c>
      <c r="W109" s="211">
        <v>196955.3146110774</v>
      </c>
      <c r="X109" s="191">
        <v>0</v>
      </c>
      <c r="Y109" s="191">
        <v>0</v>
      </c>
      <c r="Z109" s="191">
        <v>0</v>
      </c>
      <c r="AA109" s="191">
        <v>134612.57999999999</v>
      </c>
      <c r="AB109" s="191">
        <v>-7097.8668115942019</v>
      </c>
      <c r="AC109" s="191">
        <v>-9469.1007971014478</v>
      </c>
      <c r="AD109" s="191">
        <v>0</v>
      </c>
      <c r="AE109" s="191">
        <v>856.93</v>
      </c>
      <c r="AF109" s="211">
        <v>0</v>
      </c>
      <c r="AG109" s="211">
        <v>0</v>
      </c>
      <c r="AH109" s="211">
        <v>52766</v>
      </c>
      <c r="AI109" s="67"/>
      <c r="AJ109" s="211">
        <v>97706.482384016446</v>
      </c>
      <c r="AK109" s="211">
        <v>0</v>
      </c>
      <c r="AL109" s="191">
        <v>52767</v>
      </c>
      <c r="AM109" s="191">
        <v>0</v>
      </c>
      <c r="AN109" s="190"/>
      <c r="AO109" s="190"/>
      <c r="AP109" s="190"/>
      <c r="AQ109" s="375"/>
      <c r="AR109" s="375"/>
      <c r="AS109" s="382"/>
      <c r="AT109" s="382"/>
      <c r="AU109" s="382"/>
      <c r="AV109" s="198">
        <f t="shared" si="8"/>
        <v>1465625.7594255155</v>
      </c>
      <c r="AX109" s="33">
        <f t="shared" si="11"/>
        <v>-16566.96760869565</v>
      </c>
      <c r="AY109" s="33">
        <f t="shared" si="11"/>
        <v>97706.482384016446</v>
      </c>
      <c r="AZ109" s="33">
        <f t="shared" si="11"/>
        <v>1147185.1846501946</v>
      </c>
      <c r="BA109" s="33">
        <f t="shared" si="11"/>
        <v>211065</v>
      </c>
      <c r="BB109" s="33">
        <f t="shared" si="11"/>
        <v>1732.9299999999998</v>
      </c>
      <c r="BC109" s="33">
        <f t="shared" si="11"/>
        <v>0</v>
      </c>
      <c r="BD109" s="33">
        <f t="shared" si="11"/>
        <v>24503.13</v>
      </c>
      <c r="BE109" s="58">
        <f t="shared" si="12"/>
        <v>0</v>
      </c>
    </row>
    <row r="110" spans="1:57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Mar 2026'!$A$8:$F$206,6,FALSE)</f>
        <v>Chq Bk</v>
      </c>
      <c r="H110" s="191">
        <v>0</v>
      </c>
      <c r="I110" s="191">
        <v>0</v>
      </c>
      <c r="J110" s="191">
        <v>0</v>
      </c>
      <c r="K110" s="191">
        <v>118250</v>
      </c>
      <c r="L110" s="191">
        <v>0</v>
      </c>
      <c r="M110" s="191">
        <v>0</v>
      </c>
      <c r="N110" s="191">
        <v>0</v>
      </c>
      <c r="O110" s="191">
        <v>0</v>
      </c>
      <c r="P110" s="211">
        <v>0</v>
      </c>
      <c r="Q110" s="211">
        <v>17592.810000000001</v>
      </c>
      <c r="R110" s="211">
        <v>118250</v>
      </c>
      <c r="S110" s="211">
        <v>0</v>
      </c>
      <c r="T110" s="211">
        <v>88140</v>
      </c>
      <c r="U110" s="211">
        <v>0</v>
      </c>
      <c r="V110" s="211">
        <v>0</v>
      </c>
      <c r="W110" s="211">
        <v>0</v>
      </c>
      <c r="X110" s="191">
        <v>0</v>
      </c>
      <c r="Y110" s="191">
        <v>0</v>
      </c>
      <c r="Z110" s="191">
        <v>69655</v>
      </c>
      <c r="AA110" s="191">
        <v>0</v>
      </c>
      <c r="AB110" s="191">
        <v>0</v>
      </c>
      <c r="AC110" s="191">
        <v>0</v>
      </c>
      <c r="AD110" s="191">
        <v>0</v>
      </c>
      <c r="AE110" s="191">
        <v>285.64</v>
      </c>
      <c r="AF110" s="211">
        <v>2400</v>
      </c>
      <c r="AG110" s="211">
        <v>1927.2</v>
      </c>
      <c r="AH110" s="211">
        <v>118250</v>
      </c>
      <c r="AI110" s="67"/>
      <c r="AJ110" s="211">
        <v>0</v>
      </c>
      <c r="AK110" s="211">
        <v>0</v>
      </c>
      <c r="AL110" s="191">
        <v>118250</v>
      </c>
      <c r="AM110" s="191">
        <v>0</v>
      </c>
      <c r="AN110" s="190"/>
      <c r="AO110" s="190"/>
      <c r="AP110" s="190"/>
      <c r="AQ110" s="375"/>
      <c r="AR110" s="375"/>
      <c r="AS110" s="382"/>
      <c r="AT110" s="382"/>
      <c r="AU110" s="382"/>
      <c r="AV110" s="198">
        <f t="shared" si="8"/>
        <v>653000.65</v>
      </c>
      <c r="AX110" s="33">
        <f t="shared" si="11"/>
        <v>157795</v>
      </c>
      <c r="AY110" s="33">
        <f t="shared" si="11"/>
        <v>0</v>
      </c>
      <c r="AZ110" s="33">
        <f t="shared" si="11"/>
        <v>0</v>
      </c>
      <c r="BA110" s="33">
        <f t="shared" si="11"/>
        <v>473000</v>
      </c>
      <c r="BB110" s="33">
        <f t="shared" si="11"/>
        <v>4612.84</v>
      </c>
      <c r="BC110" s="33">
        <f t="shared" si="11"/>
        <v>0</v>
      </c>
      <c r="BD110" s="33">
        <f t="shared" si="11"/>
        <v>17592.810000000001</v>
      </c>
      <c r="BE110" s="58">
        <f t="shared" si="12"/>
        <v>0</v>
      </c>
    </row>
    <row r="111" spans="1:57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Mar 2026'!$A$8:$F$206,6,FALSE)</f>
        <v>Chq Bk</v>
      </c>
      <c r="H111" s="191">
        <v>8054</v>
      </c>
      <c r="I111" s="191">
        <v>0</v>
      </c>
      <c r="J111" s="191">
        <v>0</v>
      </c>
      <c r="K111" s="191">
        <v>92793</v>
      </c>
      <c r="L111" s="191">
        <v>757</v>
      </c>
      <c r="M111" s="191">
        <v>7811</v>
      </c>
      <c r="N111" s="191">
        <v>0</v>
      </c>
      <c r="O111" s="191">
        <v>0</v>
      </c>
      <c r="P111" s="211">
        <v>0</v>
      </c>
      <c r="Q111" s="211">
        <v>8491</v>
      </c>
      <c r="R111" s="211">
        <v>92793</v>
      </c>
      <c r="S111" s="211">
        <v>0</v>
      </c>
      <c r="T111" s="211">
        <v>49488</v>
      </c>
      <c r="U111" s="211">
        <v>3008</v>
      </c>
      <c r="V111" s="211">
        <v>0</v>
      </c>
      <c r="W111" s="211">
        <v>0</v>
      </c>
      <c r="X111" s="191">
        <v>9645</v>
      </c>
      <c r="Y111" s="191">
        <v>0</v>
      </c>
      <c r="Z111" s="191">
        <v>23595</v>
      </c>
      <c r="AA111" s="191">
        <v>0</v>
      </c>
      <c r="AB111" s="191">
        <v>0</v>
      </c>
      <c r="AC111" s="191">
        <v>0</v>
      </c>
      <c r="AD111" s="191">
        <v>0</v>
      </c>
      <c r="AE111" s="191">
        <v>1713.86</v>
      </c>
      <c r="AF111" s="211">
        <v>2400</v>
      </c>
      <c r="AG111" s="211">
        <v>0</v>
      </c>
      <c r="AH111" s="211">
        <v>91659</v>
      </c>
      <c r="AI111" s="67"/>
      <c r="AJ111" s="211">
        <v>0</v>
      </c>
      <c r="AK111" s="211">
        <v>0</v>
      </c>
      <c r="AL111" s="191">
        <v>92415</v>
      </c>
      <c r="AM111" s="191">
        <v>0</v>
      </c>
      <c r="AN111" s="190"/>
      <c r="AO111" s="190"/>
      <c r="AP111" s="190"/>
      <c r="AQ111" s="375"/>
      <c r="AR111" s="375"/>
      <c r="AS111" s="382"/>
      <c r="AT111" s="382"/>
      <c r="AU111" s="382"/>
      <c r="AV111" s="198">
        <f t="shared" si="8"/>
        <v>484622.86</v>
      </c>
      <c r="AX111" s="33">
        <f t="shared" si="11"/>
        <v>76091</v>
      </c>
      <c r="AY111" s="33">
        <f t="shared" si="11"/>
        <v>0</v>
      </c>
      <c r="AZ111" s="33">
        <f t="shared" si="11"/>
        <v>0</v>
      </c>
      <c r="BA111" s="33">
        <f t="shared" si="11"/>
        <v>369660</v>
      </c>
      <c r="BB111" s="33">
        <f t="shared" si="11"/>
        <v>30380.86</v>
      </c>
      <c r="BC111" s="33">
        <f t="shared" ref="AX111:BD136" si="13">SUMIF($H$3:$AU$3,BC$6,$H111:$AU111)</f>
        <v>0</v>
      </c>
      <c r="BD111" s="33">
        <f t="shared" si="13"/>
        <v>8491</v>
      </c>
      <c r="BE111" s="58">
        <f t="shared" si="12"/>
        <v>0</v>
      </c>
    </row>
    <row r="112" spans="1:57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Mar 2026'!$A$8:$F$206,6,FALSE)</f>
        <v>Chq Bk</v>
      </c>
      <c r="H112" s="191">
        <v>8171</v>
      </c>
      <c r="I112" s="191">
        <v>0</v>
      </c>
      <c r="J112" s="191">
        <v>0</v>
      </c>
      <c r="K112" s="191">
        <v>81810</v>
      </c>
      <c r="L112" s="191">
        <v>18633</v>
      </c>
      <c r="M112" s="191">
        <v>27627</v>
      </c>
      <c r="N112" s="191">
        <v>0</v>
      </c>
      <c r="O112" s="191">
        <v>0</v>
      </c>
      <c r="P112" s="211">
        <v>0</v>
      </c>
      <c r="Q112" s="211">
        <v>9141.25</v>
      </c>
      <c r="R112" s="211">
        <v>81810</v>
      </c>
      <c r="S112" s="211">
        <v>0</v>
      </c>
      <c r="T112" s="211">
        <v>52158</v>
      </c>
      <c r="U112" s="211">
        <v>5640</v>
      </c>
      <c r="V112" s="211">
        <v>0</v>
      </c>
      <c r="W112" s="211">
        <v>0</v>
      </c>
      <c r="X112" s="191">
        <v>9800</v>
      </c>
      <c r="Y112" s="191">
        <v>0</v>
      </c>
      <c r="Z112" s="191">
        <v>24878</v>
      </c>
      <c r="AA112" s="191">
        <v>0</v>
      </c>
      <c r="AB112" s="191">
        <v>0</v>
      </c>
      <c r="AC112" s="191">
        <v>0</v>
      </c>
      <c r="AD112" s="191">
        <v>0</v>
      </c>
      <c r="AE112" s="191">
        <v>1428.22</v>
      </c>
      <c r="AF112" s="211">
        <v>2400</v>
      </c>
      <c r="AG112" s="211">
        <v>0</v>
      </c>
      <c r="AH112" s="211">
        <v>80673</v>
      </c>
      <c r="AI112" s="67"/>
      <c r="AJ112" s="211">
        <v>0</v>
      </c>
      <c r="AK112" s="211">
        <v>0</v>
      </c>
      <c r="AL112" s="191">
        <v>81432</v>
      </c>
      <c r="AM112" s="191">
        <v>0</v>
      </c>
      <c r="AN112" s="190"/>
      <c r="AO112" s="190"/>
      <c r="AP112" s="190"/>
      <c r="AQ112" s="375"/>
      <c r="AR112" s="375"/>
      <c r="AS112" s="382"/>
      <c r="AT112" s="382"/>
      <c r="AU112" s="382"/>
      <c r="AV112" s="198">
        <f t="shared" si="8"/>
        <v>485601.47</v>
      </c>
      <c r="AX112" s="33">
        <f t="shared" si="13"/>
        <v>82676</v>
      </c>
      <c r="AY112" s="33">
        <f t="shared" si="13"/>
        <v>0</v>
      </c>
      <c r="AZ112" s="33">
        <f t="shared" si="13"/>
        <v>0</v>
      </c>
      <c r="BA112" s="33">
        <f t="shared" si="13"/>
        <v>325725</v>
      </c>
      <c r="BB112" s="33">
        <f t="shared" si="13"/>
        <v>68059.22</v>
      </c>
      <c r="BC112" s="33">
        <f t="shared" si="13"/>
        <v>0</v>
      </c>
      <c r="BD112" s="33">
        <f t="shared" si="13"/>
        <v>9141.25</v>
      </c>
      <c r="BE112" s="58">
        <f t="shared" si="12"/>
        <v>0</v>
      </c>
    </row>
    <row r="113" spans="1:57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Mar 2026'!$A$8:$F$206,6,FALSE)</f>
        <v>Chq Bk</v>
      </c>
      <c r="H113" s="191">
        <v>0</v>
      </c>
      <c r="I113" s="191">
        <v>0</v>
      </c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211">
        <v>4620</v>
      </c>
      <c r="Q113" s="211">
        <v>5154.25</v>
      </c>
      <c r="R113" s="211">
        <v>0</v>
      </c>
      <c r="S113" s="211">
        <v>0</v>
      </c>
      <c r="T113" s="211">
        <v>0</v>
      </c>
      <c r="U113" s="211">
        <v>21156</v>
      </c>
      <c r="V113" s="211">
        <v>0</v>
      </c>
      <c r="W113" s="211">
        <v>0</v>
      </c>
      <c r="X113" s="191">
        <v>0</v>
      </c>
      <c r="Y113" s="191">
        <v>0</v>
      </c>
      <c r="Z113" s="191">
        <v>0</v>
      </c>
      <c r="AA113" s="191">
        <v>0</v>
      </c>
      <c r="AB113" s="191">
        <v>0</v>
      </c>
      <c r="AC113" s="191">
        <v>0</v>
      </c>
      <c r="AD113" s="191">
        <v>0</v>
      </c>
      <c r="AE113" s="191">
        <v>0</v>
      </c>
      <c r="AF113" s="211">
        <v>0</v>
      </c>
      <c r="AG113" s="211">
        <v>0</v>
      </c>
      <c r="AH113" s="211">
        <v>0</v>
      </c>
      <c r="AI113" s="67"/>
      <c r="AJ113" s="211">
        <v>0</v>
      </c>
      <c r="AK113" s="211">
        <v>0</v>
      </c>
      <c r="AL113" s="191">
        <v>0</v>
      </c>
      <c r="AM113" s="191">
        <v>0</v>
      </c>
      <c r="AN113" s="190"/>
      <c r="AO113" s="190"/>
      <c r="AP113" s="190"/>
      <c r="AQ113" s="375"/>
      <c r="AR113" s="375"/>
      <c r="AS113" s="382"/>
      <c r="AT113" s="382"/>
      <c r="AU113" s="382"/>
      <c r="AV113" s="198">
        <f t="shared" si="8"/>
        <v>30930.25</v>
      </c>
      <c r="AX113" s="33">
        <f t="shared" si="13"/>
        <v>25776</v>
      </c>
      <c r="AY113" s="33">
        <f t="shared" si="13"/>
        <v>0</v>
      </c>
      <c r="AZ113" s="33">
        <f t="shared" si="13"/>
        <v>0</v>
      </c>
      <c r="BA113" s="33">
        <f t="shared" si="13"/>
        <v>0</v>
      </c>
      <c r="BB113" s="33">
        <f t="shared" si="13"/>
        <v>0</v>
      </c>
      <c r="BC113" s="33">
        <f t="shared" si="13"/>
        <v>0</v>
      </c>
      <c r="BD113" s="33">
        <f t="shared" si="13"/>
        <v>5154.25</v>
      </c>
      <c r="BE113" s="58">
        <f t="shared" si="12"/>
        <v>0</v>
      </c>
    </row>
    <row r="114" spans="1:57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Mar 2026'!$A$8:$F$206,6,FALSE)</f>
        <v>Chq Bk</v>
      </c>
      <c r="H114" s="191">
        <v>7654</v>
      </c>
      <c r="I114" s="191">
        <v>0</v>
      </c>
      <c r="J114" s="191">
        <v>0</v>
      </c>
      <c r="K114" s="191">
        <v>48480</v>
      </c>
      <c r="L114" s="191">
        <v>27572</v>
      </c>
      <c r="M114" s="191">
        <v>46719</v>
      </c>
      <c r="N114" s="191">
        <v>0</v>
      </c>
      <c r="O114" s="191">
        <v>0</v>
      </c>
      <c r="P114" s="211">
        <v>0</v>
      </c>
      <c r="Q114" s="211">
        <v>7712.5</v>
      </c>
      <c r="R114" s="211">
        <v>48480</v>
      </c>
      <c r="S114" s="211">
        <v>0</v>
      </c>
      <c r="T114" s="211">
        <v>35523</v>
      </c>
      <c r="U114" s="211">
        <v>0</v>
      </c>
      <c r="V114" s="211">
        <v>9636</v>
      </c>
      <c r="W114" s="211">
        <v>0</v>
      </c>
      <c r="X114" s="191">
        <v>9035</v>
      </c>
      <c r="Y114" s="191">
        <v>0</v>
      </c>
      <c r="Z114" s="191">
        <v>17039</v>
      </c>
      <c r="AA114" s="191">
        <v>0</v>
      </c>
      <c r="AB114" s="191">
        <v>0</v>
      </c>
      <c r="AC114" s="191">
        <v>0</v>
      </c>
      <c r="AD114" s="191">
        <v>0</v>
      </c>
      <c r="AE114" s="191">
        <v>0</v>
      </c>
      <c r="AF114" s="211">
        <v>2400</v>
      </c>
      <c r="AG114" s="211">
        <v>876</v>
      </c>
      <c r="AH114" s="211">
        <v>48480</v>
      </c>
      <c r="AI114" s="67"/>
      <c r="AJ114" s="211">
        <v>0</v>
      </c>
      <c r="AK114" s="211">
        <v>0</v>
      </c>
      <c r="AL114" s="191">
        <v>48480</v>
      </c>
      <c r="AM114" s="191">
        <v>0</v>
      </c>
      <c r="AN114" s="190"/>
      <c r="AO114" s="190"/>
      <c r="AP114" s="190"/>
      <c r="AQ114" s="375"/>
      <c r="AR114" s="375"/>
      <c r="AS114" s="382"/>
      <c r="AT114" s="382"/>
      <c r="AU114" s="382"/>
      <c r="AV114" s="198">
        <f t="shared" si="8"/>
        <v>358086.5</v>
      </c>
      <c r="AX114" s="33">
        <f t="shared" si="13"/>
        <v>52562</v>
      </c>
      <c r="AY114" s="33">
        <f t="shared" si="13"/>
        <v>0</v>
      </c>
      <c r="AZ114" s="33">
        <f t="shared" si="13"/>
        <v>0</v>
      </c>
      <c r="BA114" s="33">
        <f t="shared" si="13"/>
        <v>193920</v>
      </c>
      <c r="BB114" s="33">
        <f t="shared" si="13"/>
        <v>103892</v>
      </c>
      <c r="BC114" s="33">
        <f t="shared" si="13"/>
        <v>0</v>
      </c>
      <c r="BD114" s="33">
        <f t="shared" si="13"/>
        <v>7712.5</v>
      </c>
      <c r="BE114" s="58">
        <f t="shared" si="12"/>
        <v>0</v>
      </c>
    </row>
    <row r="115" spans="1:57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Mar 2026'!$A$8:$F$206,6,FALSE)</f>
        <v>Chq Bk</v>
      </c>
      <c r="H115" s="191">
        <v>9000</v>
      </c>
      <c r="I115" s="191">
        <v>0</v>
      </c>
      <c r="J115" s="191">
        <v>0</v>
      </c>
      <c r="K115" s="191">
        <v>134077</v>
      </c>
      <c r="L115" s="191">
        <v>18299</v>
      </c>
      <c r="M115" s="191">
        <v>38185</v>
      </c>
      <c r="N115" s="191">
        <v>0</v>
      </c>
      <c r="O115" s="191">
        <v>0</v>
      </c>
      <c r="P115" s="211">
        <v>0</v>
      </c>
      <c r="Q115" s="211">
        <v>11825.5</v>
      </c>
      <c r="R115" s="211">
        <v>134077</v>
      </c>
      <c r="S115" s="211">
        <v>0</v>
      </c>
      <c r="T115" s="211">
        <v>79926</v>
      </c>
      <c r="U115" s="211">
        <v>7144</v>
      </c>
      <c r="V115" s="211">
        <v>3504</v>
      </c>
      <c r="W115" s="211">
        <v>0</v>
      </c>
      <c r="X115" s="191">
        <v>10810</v>
      </c>
      <c r="Y115" s="191">
        <v>0</v>
      </c>
      <c r="Z115" s="191">
        <v>37972</v>
      </c>
      <c r="AA115" s="191">
        <v>0</v>
      </c>
      <c r="AB115" s="191">
        <v>0</v>
      </c>
      <c r="AC115" s="191">
        <v>0</v>
      </c>
      <c r="AD115" s="191">
        <v>0</v>
      </c>
      <c r="AE115" s="191">
        <v>1428.22</v>
      </c>
      <c r="AF115" s="211">
        <v>4800</v>
      </c>
      <c r="AG115" s="211">
        <v>0</v>
      </c>
      <c r="AH115" s="211">
        <v>134077</v>
      </c>
      <c r="AI115" s="67"/>
      <c r="AJ115" s="211">
        <v>0</v>
      </c>
      <c r="AK115" s="211">
        <v>0</v>
      </c>
      <c r="AL115" s="191">
        <v>134079</v>
      </c>
      <c r="AM115" s="191">
        <v>0</v>
      </c>
      <c r="AN115" s="190"/>
      <c r="AO115" s="190"/>
      <c r="AP115" s="190"/>
      <c r="AQ115" s="375"/>
      <c r="AR115" s="375"/>
      <c r="AS115" s="382"/>
      <c r="AT115" s="382"/>
      <c r="AU115" s="382"/>
      <c r="AV115" s="198">
        <f t="shared" si="8"/>
        <v>759203.72</v>
      </c>
      <c r="AX115" s="33">
        <f t="shared" si="13"/>
        <v>125042</v>
      </c>
      <c r="AY115" s="33">
        <f t="shared" si="13"/>
        <v>0</v>
      </c>
      <c r="AZ115" s="33">
        <f t="shared" si="13"/>
        <v>0</v>
      </c>
      <c r="BA115" s="33">
        <f t="shared" si="13"/>
        <v>536310</v>
      </c>
      <c r="BB115" s="33">
        <f t="shared" si="13"/>
        <v>86026.22</v>
      </c>
      <c r="BC115" s="33">
        <f t="shared" si="13"/>
        <v>0</v>
      </c>
      <c r="BD115" s="33">
        <f t="shared" si="13"/>
        <v>11825.5</v>
      </c>
      <c r="BE115" s="58">
        <f t="shared" si="12"/>
        <v>0</v>
      </c>
    </row>
    <row r="116" spans="1:57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Mar 2026'!$A$8:$F$206,6,FALSE)</f>
        <v>Chq Bk</v>
      </c>
      <c r="H116" s="191">
        <v>7062</v>
      </c>
      <c r="I116" s="191">
        <v>0</v>
      </c>
      <c r="J116" s="191">
        <v>200290.82818682119</v>
      </c>
      <c r="K116" s="191">
        <v>23748</v>
      </c>
      <c r="L116" s="191">
        <v>-491</v>
      </c>
      <c r="M116" s="191">
        <v>290</v>
      </c>
      <c r="N116" s="191">
        <v>0</v>
      </c>
      <c r="O116" s="191">
        <v>0</v>
      </c>
      <c r="P116" s="211">
        <v>0</v>
      </c>
      <c r="Q116" s="211">
        <v>8809.3799999999992</v>
      </c>
      <c r="R116" s="211">
        <v>23748</v>
      </c>
      <c r="S116" s="211">
        <v>0</v>
      </c>
      <c r="T116" s="211">
        <v>0</v>
      </c>
      <c r="U116" s="211">
        <v>0</v>
      </c>
      <c r="V116" s="211">
        <v>0</v>
      </c>
      <c r="W116" s="211">
        <v>48366.24181588483</v>
      </c>
      <c r="X116" s="191">
        <v>8495</v>
      </c>
      <c r="Y116" s="191">
        <v>0</v>
      </c>
      <c r="Z116" s="191">
        <v>0</v>
      </c>
      <c r="AA116" s="191">
        <v>39191.01</v>
      </c>
      <c r="AB116" s="191">
        <v>-1743.0210144927537</v>
      </c>
      <c r="AC116" s="191">
        <v>-2325.3222463768116</v>
      </c>
      <c r="AD116" s="191">
        <v>0</v>
      </c>
      <c r="AE116" s="191">
        <v>0</v>
      </c>
      <c r="AF116" s="211">
        <v>4800</v>
      </c>
      <c r="AG116" s="211">
        <v>0</v>
      </c>
      <c r="AH116" s="211">
        <v>20340</v>
      </c>
      <c r="AI116" s="67"/>
      <c r="AJ116" s="211">
        <v>0</v>
      </c>
      <c r="AK116" s="211">
        <v>0</v>
      </c>
      <c r="AL116" s="191">
        <v>22614</v>
      </c>
      <c r="AM116" s="191">
        <v>0</v>
      </c>
      <c r="AN116" s="190"/>
      <c r="AO116" s="190"/>
      <c r="AP116" s="190"/>
      <c r="AQ116" s="375"/>
      <c r="AR116" s="375"/>
      <c r="AS116" s="382"/>
      <c r="AT116" s="382"/>
      <c r="AU116" s="382"/>
      <c r="AV116" s="198">
        <f t="shared" si="8"/>
        <v>403195.11674183648</v>
      </c>
      <c r="AX116" s="33">
        <f t="shared" si="13"/>
        <v>-4068.3432608695653</v>
      </c>
      <c r="AY116" s="33">
        <f t="shared" si="13"/>
        <v>0</v>
      </c>
      <c r="AZ116" s="33">
        <f t="shared" si="13"/>
        <v>287848.08000270603</v>
      </c>
      <c r="BA116" s="33">
        <f t="shared" si="13"/>
        <v>90450</v>
      </c>
      <c r="BB116" s="33">
        <f t="shared" si="13"/>
        <v>20156</v>
      </c>
      <c r="BC116" s="33">
        <f t="shared" si="13"/>
        <v>0</v>
      </c>
      <c r="BD116" s="33">
        <f t="shared" si="13"/>
        <v>8809.3799999999992</v>
      </c>
      <c r="BE116" s="58">
        <f t="shared" si="12"/>
        <v>0</v>
      </c>
    </row>
    <row r="117" spans="1:57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Mar 2026'!$A$8:$F$206,6,FALSE)</f>
        <v>Chq Bk</v>
      </c>
      <c r="H117" s="191">
        <v>7400</v>
      </c>
      <c r="I117" s="191">
        <v>0</v>
      </c>
      <c r="J117" s="191">
        <v>0</v>
      </c>
      <c r="K117" s="191">
        <v>22725</v>
      </c>
      <c r="L117" s="191">
        <v>16402</v>
      </c>
      <c r="M117" s="191">
        <v>20684</v>
      </c>
      <c r="N117" s="191">
        <v>0</v>
      </c>
      <c r="O117" s="191">
        <v>0</v>
      </c>
      <c r="P117" s="211">
        <v>0</v>
      </c>
      <c r="Q117" s="211">
        <v>0</v>
      </c>
      <c r="R117" s="211">
        <v>22725</v>
      </c>
      <c r="S117" s="211">
        <v>0</v>
      </c>
      <c r="T117" s="211">
        <v>23201</v>
      </c>
      <c r="U117" s="211">
        <v>0</v>
      </c>
      <c r="V117" s="211">
        <v>0</v>
      </c>
      <c r="W117" s="211">
        <v>0</v>
      </c>
      <c r="X117" s="191">
        <v>8895</v>
      </c>
      <c r="Y117" s="191">
        <v>0</v>
      </c>
      <c r="Z117" s="191">
        <v>11233</v>
      </c>
      <c r="AA117" s="191">
        <v>0</v>
      </c>
      <c r="AB117" s="191">
        <v>0</v>
      </c>
      <c r="AC117" s="191">
        <v>0</v>
      </c>
      <c r="AD117" s="191">
        <v>0</v>
      </c>
      <c r="AE117" s="191">
        <v>1713.86</v>
      </c>
      <c r="AF117" s="211">
        <v>2400</v>
      </c>
      <c r="AG117" s="211">
        <v>0</v>
      </c>
      <c r="AH117" s="211">
        <v>22725</v>
      </c>
      <c r="AI117" s="67"/>
      <c r="AJ117" s="211">
        <v>0</v>
      </c>
      <c r="AK117" s="211">
        <v>0</v>
      </c>
      <c r="AL117" s="191">
        <v>22725</v>
      </c>
      <c r="AM117" s="191">
        <v>0</v>
      </c>
      <c r="AN117" s="190"/>
      <c r="AO117" s="190"/>
      <c r="AP117" s="190"/>
      <c r="AQ117" s="375"/>
      <c r="AR117" s="375"/>
      <c r="AS117" s="382"/>
      <c r="AT117" s="382"/>
      <c r="AU117" s="382"/>
      <c r="AV117" s="198">
        <f t="shared" si="8"/>
        <v>182828.86</v>
      </c>
      <c r="AX117" s="33">
        <f t="shared" si="13"/>
        <v>34434</v>
      </c>
      <c r="AY117" s="33">
        <f t="shared" si="13"/>
        <v>0</v>
      </c>
      <c r="AZ117" s="33">
        <f t="shared" si="13"/>
        <v>0</v>
      </c>
      <c r="BA117" s="33">
        <f t="shared" si="13"/>
        <v>90900</v>
      </c>
      <c r="BB117" s="33">
        <f t="shared" si="13"/>
        <v>57494.86</v>
      </c>
      <c r="BC117" s="33">
        <f t="shared" si="13"/>
        <v>0</v>
      </c>
      <c r="BD117" s="33">
        <f t="shared" si="13"/>
        <v>0</v>
      </c>
      <c r="BE117" s="58">
        <f t="shared" si="12"/>
        <v>0</v>
      </c>
    </row>
    <row r="118" spans="1:57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Mar 2026'!$A$8:$F$206,6,FALSE)</f>
        <v>Chq Bk</v>
      </c>
      <c r="H118" s="191">
        <v>7429</v>
      </c>
      <c r="I118" s="191">
        <v>0</v>
      </c>
      <c r="J118" s="191">
        <v>0</v>
      </c>
      <c r="K118" s="191">
        <v>24506</v>
      </c>
      <c r="L118" s="191">
        <v>11186</v>
      </c>
      <c r="M118" s="191">
        <v>16779</v>
      </c>
      <c r="N118" s="191">
        <v>0</v>
      </c>
      <c r="O118" s="191">
        <v>0</v>
      </c>
      <c r="P118" s="211">
        <v>0</v>
      </c>
      <c r="Q118" s="211">
        <v>0</v>
      </c>
      <c r="R118" s="211">
        <v>24506</v>
      </c>
      <c r="S118" s="211">
        <v>0</v>
      </c>
      <c r="T118" s="211">
        <v>23352</v>
      </c>
      <c r="U118" s="211">
        <v>0</v>
      </c>
      <c r="V118" s="211">
        <v>0</v>
      </c>
      <c r="W118" s="211">
        <v>0</v>
      </c>
      <c r="X118" s="191">
        <v>8895</v>
      </c>
      <c r="Y118" s="191">
        <v>0</v>
      </c>
      <c r="Z118" s="191">
        <v>11303</v>
      </c>
      <c r="AA118" s="191">
        <v>0</v>
      </c>
      <c r="AB118" s="191">
        <v>0</v>
      </c>
      <c r="AC118" s="191">
        <v>0</v>
      </c>
      <c r="AD118" s="191">
        <v>0</v>
      </c>
      <c r="AE118" s="191">
        <v>0</v>
      </c>
      <c r="AF118" s="211">
        <v>0</v>
      </c>
      <c r="AG118" s="211">
        <v>0</v>
      </c>
      <c r="AH118" s="211">
        <v>24506</v>
      </c>
      <c r="AI118" s="67"/>
      <c r="AJ118" s="211">
        <v>0</v>
      </c>
      <c r="AK118" s="211">
        <v>0</v>
      </c>
      <c r="AL118" s="191">
        <v>24507</v>
      </c>
      <c r="AM118" s="191">
        <v>0</v>
      </c>
      <c r="AN118" s="190"/>
      <c r="AO118" s="190"/>
      <c r="AP118" s="190"/>
      <c r="AQ118" s="375"/>
      <c r="AR118" s="375"/>
      <c r="AS118" s="382"/>
      <c r="AT118" s="382"/>
      <c r="AU118" s="382"/>
      <c r="AV118" s="198">
        <f t="shared" si="8"/>
        <v>176969</v>
      </c>
      <c r="AX118" s="33">
        <f t="shared" si="13"/>
        <v>34655</v>
      </c>
      <c r="AY118" s="33">
        <f t="shared" si="13"/>
        <v>0</v>
      </c>
      <c r="AZ118" s="33">
        <f t="shared" si="13"/>
        <v>0</v>
      </c>
      <c r="BA118" s="33">
        <f t="shared" si="13"/>
        <v>98025</v>
      </c>
      <c r="BB118" s="33">
        <f t="shared" si="13"/>
        <v>44289</v>
      </c>
      <c r="BC118" s="33">
        <f t="shared" si="13"/>
        <v>0</v>
      </c>
      <c r="BD118" s="33">
        <f t="shared" si="13"/>
        <v>0</v>
      </c>
      <c r="BE118" s="58">
        <f t="shared" si="12"/>
        <v>0</v>
      </c>
    </row>
    <row r="119" spans="1:57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Mar 2026'!$A$8:$F$206,6,FALSE)</f>
        <v>Chq Bk</v>
      </c>
      <c r="H119" s="191">
        <v>7387</v>
      </c>
      <c r="I119" s="191">
        <v>0</v>
      </c>
      <c r="J119" s="191">
        <v>0</v>
      </c>
      <c r="K119" s="191">
        <v>49237</v>
      </c>
      <c r="L119" s="191">
        <v>7097</v>
      </c>
      <c r="M119" s="191">
        <v>9981</v>
      </c>
      <c r="N119" s="191">
        <v>0</v>
      </c>
      <c r="O119" s="191">
        <v>0</v>
      </c>
      <c r="P119" s="211">
        <v>0</v>
      </c>
      <c r="Q119" s="211">
        <v>0</v>
      </c>
      <c r="R119" s="211">
        <v>49237</v>
      </c>
      <c r="S119" s="211">
        <v>0</v>
      </c>
      <c r="T119" s="211">
        <v>28159</v>
      </c>
      <c r="U119" s="211">
        <v>0</v>
      </c>
      <c r="V119" s="211">
        <v>0</v>
      </c>
      <c r="W119" s="211">
        <v>0</v>
      </c>
      <c r="X119" s="191">
        <v>8860</v>
      </c>
      <c r="Y119" s="191">
        <v>0</v>
      </c>
      <c r="Z119" s="191">
        <v>13545</v>
      </c>
      <c r="AA119" s="191">
        <v>0</v>
      </c>
      <c r="AB119" s="191">
        <v>0</v>
      </c>
      <c r="AC119" s="191">
        <v>0</v>
      </c>
      <c r="AD119" s="191">
        <v>0</v>
      </c>
      <c r="AE119" s="191">
        <v>0</v>
      </c>
      <c r="AF119" s="211">
        <v>2400</v>
      </c>
      <c r="AG119" s="211">
        <v>0</v>
      </c>
      <c r="AH119" s="211">
        <v>46966</v>
      </c>
      <c r="AI119" s="67"/>
      <c r="AJ119" s="211">
        <v>0</v>
      </c>
      <c r="AK119" s="211">
        <v>0</v>
      </c>
      <c r="AL119" s="191">
        <v>48480</v>
      </c>
      <c r="AM119" s="191">
        <v>0</v>
      </c>
      <c r="AN119" s="190"/>
      <c r="AO119" s="190"/>
      <c r="AP119" s="190"/>
      <c r="AQ119" s="375"/>
      <c r="AR119" s="375"/>
      <c r="AS119" s="382"/>
      <c r="AT119" s="382"/>
      <c r="AU119" s="382"/>
      <c r="AV119" s="198">
        <f t="shared" si="8"/>
        <v>271349</v>
      </c>
      <c r="AX119" s="33">
        <f t="shared" si="13"/>
        <v>41704</v>
      </c>
      <c r="AY119" s="33">
        <f t="shared" si="13"/>
        <v>0</v>
      </c>
      <c r="AZ119" s="33">
        <f t="shared" si="13"/>
        <v>0</v>
      </c>
      <c r="BA119" s="33">
        <f t="shared" si="13"/>
        <v>193920</v>
      </c>
      <c r="BB119" s="33">
        <f t="shared" si="13"/>
        <v>35725</v>
      </c>
      <c r="BC119" s="33">
        <f t="shared" si="13"/>
        <v>0</v>
      </c>
      <c r="BD119" s="33">
        <f t="shared" si="13"/>
        <v>0</v>
      </c>
      <c r="BE119" s="58">
        <f t="shared" si="12"/>
        <v>0</v>
      </c>
    </row>
    <row r="120" spans="1:57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Mar 2026'!$A$8:$F$206,6,FALSE)</f>
        <v>Chq Bk</v>
      </c>
      <c r="H120" s="191">
        <v>8046</v>
      </c>
      <c r="I120" s="191">
        <v>1602.93</v>
      </c>
      <c r="J120" s="191">
        <v>0</v>
      </c>
      <c r="K120" s="191">
        <v>71583</v>
      </c>
      <c r="L120" s="191">
        <v>5788</v>
      </c>
      <c r="M120" s="191">
        <v>17068</v>
      </c>
      <c r="N120" s="191">
        <v>0</v>
      </c>
      <c r="O120" s="191">
        <v>0</v>
      </c>
      <c r="P120" s="211">
        <v>0</v>
      </c>
      <c r="Q120" s="211">
        <v>8061.25</v>
      </c>
      <c r="R120" s="211">
        <v>71583</v>
      </c>
      <c r="S120" s="211">
        <v>0</v>
      </c>
      <c r="T120" s="211">
        <v>43401</v>
      </c>
      <c r="U120" s="211">
        <v>0</v>
      </c>
      <c r="V120" s="211">
        <v>0</v>
      </c>
      <c r="W120" s="211">
        <v>0</v>
      </c>
      <c r="X120" s="191">
        <v>9590</v>
      </c>
      <c r="Y120" s="191">
        <v>0</v>
      </c>
      <c r="Z120" s="191">
        <v>24538</v>
      </c>
      <c r="AA120" s="191">
        <v>0</v>
      </c>
      <c r="AB120" s="191">
        <v>0</v>
      </c>
      <c r="AC120" s="191">
        <v>0</v>
      </c>
      <c r="AD120" s="191">
        <v>12889.1</v>
      </c>
      <c r="AE120" s="191">
        <v>571.29</v>
      </c>
      <c r="AF120" s="211">
        <v>0</v>
      </c>
      <c r="AG120" s="211">
        <v>0</v>
      </c>
      <c r="AH120" s="211">
        <v>71583</v>
      </c>
      <c r="AI120" s="67"/>
      <c r="AJ120" s="211">
        <v>0</v>
      </c>
      <c r="AK120" s="211">
        <v>9711.93</v>
      </c>
      <c r="AL120" s="191">
        <v>71586</v>
      </c>
      <c r="AM120" s="191">
        <v>0</v>
      </c>
      <c r="AN120" s="190"/>
      <c r="AO120" s="190"/>
      <c r="AP120" s="190"/>
      <c r="AQ120" s="375"/>
      <c r="AR120" s="375"/>
      <c r="AS120" s="382"/>
      <c r="AT120" s="382"/>
      <c r="AU120" s="382"/>
      <c r="AV120" s="198">
        <f t="shared" si="8"/>
        <v>427602.49999999994</v>
      </c>
      <c r="AX120" s="33">
        <f t="shared" si="13"/>
        <v>67939</v>
      </c>
      <c r="AY120" s="33">
        <f t="shared" si="13"/>
        <v>0</v>
      </c>
      <c r="AZ120" s="33">
        <f t="shared" si="13"/>
        <v>0</v>
      </c>
      <c r="BA120" s="33">
        <f t="shared" si="13"/>
        <v>286335</v>
      </c>
      <c r="BB120" s="33">
        <f t="shared" si="13"/>
        <v>65267.25</v>
      </c>
      <c r="BC120" s="33">
        <f t="shared" si="13"/>
        <v>0</v>
      </c>
      <c r="BD120" s="33">
        <f t="shared" si="13"/>
        <v>8061.25</v>
      </c>
      <c r="BE120" s="58">
        <f t="shared" si="12"/>
        <v>0</v>
      </c>
    </row>
    <row r="121" spans="1:57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Mar 2026'!$A$8:$F$206,6,FALSE)</f>
        <v>Chq Bk</v>
      </c>
      <c r="H121" s="191">
        <v>8754</v>
      </c>
      <c r="I121" s="191">
        <v>0</v>
      </c>
      <c r="J121" s="191">
        <v>0</v>
      </c>
      <c r="K121" s="191">
        <v>97996</v>
      </c>
      <c r="L121" s="191">
        <v>23946</v>
      </c>
      <c r="M121" s="191">
        <v>35726</v>
      </c>
      <c r="N121" s="191">
        <v>0</v>
      </c>
      <c r="O121" s="191">
        <v>0</v>
      </c>
      <c r="P121" s="211">
        <v>0</v>
      </c>
      <c r="Q121" s="211">
        <v>0</v>
      </c>
      <c r="R121" s="211">
        <v>97996</v>
      </c>
      <c r="S121" s="211">
        <v>0</v>
      </c>
      <c r="T121" s="211">
        <v>64552</v>
      </c>
      <c r="U121" s="211">
        <v>5264</v>
      </c>
      <c r="V121" s="211">
        <v>0</v>
      </c>
      <c r="W121" s="211">
        <v>0</v>
      </c>
      <c r="X121" s="191">
        <v>10410</v>
      </c>
      <c r="Y121" s="191">
        <v>0</v>
      </c>
      <c r="Z121" s="191">
        <v>30733</v>
      </c>
      <c r="AA121" s="191">
        <v>0</v>
      </c>
      <c r="AB121" s="191">
        <v>0</v>
      </c>
      <c r="AC121" s="191">
        <v>0</v>
      </c>
      <c r="AD121" s="191">
        <v>0</v>
      </c>
      <c r="AE121" s="191">
        <v>2570.79</v>
      </c>
      <c r="AF121" s="211">
        <v>4800</v>
      </c>
      <c r="AG121" s="211">
        <v>0</v>
      </c>
      <c r="AH121" s="211">
        <v>96859</v>
      </c>
      <c r="AI121" s="67"/>
      <c r="AJ121" s="211">
        <v>0</v>
      </c>
      <c r="AK121" s="211">
        <v>0</v>
      </c>
      <c r="AL121" s="191">
        <v>97619</v>
      </c>
      <c r="AM121" s="191">
        <v>0</v>
      </c>
      <c r="AN121" s="190"/>
      <c r="AO121" s="190"/>
      <c r="AP121" s="190"/>
      <c r="AQ121" s="375"/>
      <c r="AR121" s="375"/>
      <c r="AS121" s="382"/>
      <c r="AT121" s="382"/>
      <c r="AU121" s="382"/>
      <c r="AV121" s="198">
        <f t="shared" si="8"/>
        <v>577225.79</v>
      </c>
      <c r="AX121" s="33">
        <f t="shared" si="13"/>
        <v>100549</v>
      </c>
      <c r="AY121" s="33">
        <f t="shared" si="13"/>
        <v>0</v>
      </c>
      <c r="AZ121" s="33">
        <f t="shared" si="13"/>
        <v>0</v>
      </c>
      <c r="BA121" s="33">
        <f t="shared" si="13"/>
        <v>390470</v>
      </c>
      <c r="BB121" s="33">
        <f t="shared" si="13"/>
        <v>86206.79</v>
      </c>
      <c r="BC121" s="33">
        <f t="shared" si="13"/>
        <v>0</v>
      </c>
      <c r="BD121" s="33">
        <f t="shared" si="13"/>
        <v>0</v>
      </c>
      <c r="BE121" s="58">
        <f t="shared" si="12"/>
        <v>0</v>
      </c>
    </row>
    <row r="122" spans="1:57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Mar 2026'!$A$8:$F$206,6,FALSE)</f>
        <v>Chq Bk</v>
      </c>
      <c r="H122" s="191">
        <v>8179</v>
      </c>
      <c r="I122" s="191">
        <v>0</v>
      </c>
      <c r="J122" s="191">
        <v>0</v>
      </c>
      <c r="K122" s="191">
        <v>53782</v>
      </c>
      <c r="L122" s="191">
        <v>19711</v>
      </c>
      <c r="M122" s="191">
        <v>31821</v>
      </c>
      <c r="N122" s="191">
        <v>0</v>
      </c>
      <c r="O122" s="191">
        <v>0</v>
      </c>
      <c r="P122" s="211">
        <v>0</v>
      </c>
      <c r="Q122" s="211">
        <v>0</v>
      </c>
      <c r="R122" s="211">
        <v>53782</v>
      </c>
      <c r="S122" s="211">
        <v>0</v>
      </c>
      <c r="T122" s="211">
        <v>45108</v>
      </c>
      <c r="U122" s="211">
        <v>0</v>
      </c>
      <c r="V122" s="211">
        <v>0</v>
      </c>
      <c r="W122" s="211">
        <v>0</v>
      </c>
      <c r="X122" s="191">
        <v>9755</v>
      </c>
      <c r="Y122" s="191">
        <v>0</v>
      </c>
      <c r="Z122" s="191">
        <v>21578</v>
      </c>
      <c r="AA122" s="191">
        <v>0</v>
      </c>
      <c r="AB122" s="191">
        <v>0</v>
      </c>
      <c r="AC122" s="191">
        <v>0</v>
      </c>
      <c r="AD122" s="191">
        <v>0</v>
      </c>
      <c r="AE122" s="191">
        <v>285.64</v>
      </c>
      <c r="AF122" s="211">
        <v>4800</v>
      </c>
      <c r="AG122" s="211">
        <v>0</v>
      </c>
      <c r="AH122" s="211">
        <v>53782</v>
      </c>
      <c r="AI122" s="67"/>
      <c r="AJ122" s="211">
        <v>0</v>
      </c>
      <c r="AK122" s="211">
        <v>0</v>
      </c>
      <c r="AL122" s="191">
        <v>53784</v>
      </c>
      <c r="AM122" s="191">
        <v>0</v>
      </c>
      <c r="AN122" s="190"/>
      <c r="AO122" s="190"/>
      <c r="AP122" s="190"/>
      <c r="AQ122" s="375"/>
      <c r="AR122" s="375"/>
      <c r="AS122" s="382"/>
      <c r="AT122" s="382"/>
      <c r="AU122" s="382"/>
      <c r="AV122" s="198">
        <f t="shared" si="8"/>
        <v>356367.64</v>
      </c>
      <c r="AX122" s="33">
        <f t="shared" si="13"/>
        <v>66686</v>
      </c>
      <c r="AY122" s="33">
        <f t="shared" si="13"/>
        <v>0</v>
      </c>
      <c r="AZ122" s="33">
        <f t="shared" si="13"/>
        <v>0</v>
      </c>
      <c r="BA122" s="33">
        <f t="shared" si="13"/>
        <v>215130</v>
      </c>
      <c r="BB122" s="33">
        <f t="shared" si="13"/>
        <v>74551.64</v>
      </c>
      <c r="BC122" s="33">
        <f t="shared" si="13"/>
        <v>0</v>
      </c>
      <c r="BD122" s="33">
        <f t="shared" si="13"/>
        <v>0</v>
      </c>
      <c r="BE122" s="58">
        <f t="shared" si="12"/>
        <v>0</v>
      </c>
    </row>
    <row r="123" spans="1:57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Mar 2026'!$A$8:$F$206,6,FALSE)</f>
        <v>Chq Bk</v>
      </c>
      <c r="H123" s="191">
        <v>7425</v>
      </c>
      <c r="I123" s="191">
        <v>0</v>
      </c>
      <c r="J123" s="191">
        <v>0</v>
      </c>
      <c r="K123" s="191">
        <v>29063</v>
      </c>
      <c r="L123" s="191">
        <v>12553</v>
      </c>
      <c r="M123" s="191">
        <v>16923</v>
      </c>
      <c r="N123" s="191">
        <v>0</v>
      </c>
      <c r="O123" s="191">
        <v>0</v>
      </c>
      <c r="P123" s="211">
        <v>0</v>
      </c>
      <c r="Q123" s="211">
        <v>0</v>
      </c>
      <c r="R123" s="211">
        <v>29063</v>
      </c>
      <c r="S123" s="211">
        <v>0</v>
      </c>
      <c r="T123" s="211">
        <v>24568</v>
      </c>
      <c r="U123" s="211">
        <v>4136</v>
      </c>
      <c r="V123" s="211">
        <v>0</v>
      </c>
      <c r="W123" s="211">
        <v>0</v>
      </c>
      <c r="X123" s="191">
        <v>8910</v>
      </c>
      <c r="Y123" s="191">
        <v>0</v>
      </c>
      <c r="Z123" s="191">
        <v>11873</v>
      </c>
      <c r="AA123" s="191">
        <v>0</v>
      </c>
      <c r="AB123" s="191">
        <v>0</v>
      </c>
      <c r="AC123" s="191">
        <v>0</v>
      </c>
      <c r="AD123" s="191">
        <v>0</v>
      </c>
      <c r="AE123" s="191">
        <v>1713.86</v>
      </c>
      <c r="AF123" s="211">
        <v>0</v>
      </c>
      <c r="AG123" s="211">
        <v>876</v>
      </c>
      <c r="AH123" s="211">
        <v>29063</v>
      </c>
      <c r="AI123" s="67"/>
      <c r="AJ123" s="211">
        <v>0</v>
      </c>
      <c r="AK123" s="211">
        <v>0</v>
      </c>
      <c r="AL123" s="191">
        <v>29066</v>
      </c>
      <c r="AM123" s="191">
        <v>0</v>
      </c>
      <c r="AN123" s="190"/>
      <c r="AO123" s="190"/>
      <c r="AP123" s="190"/>
      <c r="AQ123" s="375"/>
      <c r="AR123" s="375"/>
      <c r="AS123" s="382"/>
      <c r="AT123" s="382"/>
      <c r="AU123" s="382"/>
      <c r="AV123" s="198">
        <f t="shared" si="8"/>
        <v>205232.86</v>
      </c>
      <c r="AX123" s="33">
        <f t="shared" si="13"/>
        <v>40577</v>
      </c>
      <c r="AY123" s="33">
        <f t="shared" si="13"/>
        <v>0</v>
      </c>
      <c r="AZ123" s="33">
        <f t="shared" si="13"/>
        <v>0</v>
      </c>
      <c r="BA123" s="33">
        <f t="shared" si="13"/>
        <v>116255</v>
      </c>
      <c r="BB123" s="33">
        <f t="shared" si="13"/>
        <v>48400.86</v>
      </c>
      <c r="BC123" s="33">
        <f t="shared" si="13"/>
        <v>0</v>
      </c>
      <c r="BD123" s="33">
        <f t="shared" si="13"/>
        <v>0</v>
      </c>
      <c r="BE123" s="58">
        <f t="shared" si="12"/>
        <v>0</v>
      </c>
    </row>
    <row r="124" spans="1:57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Mar 2026'!$A$8:$F$206,6,FALSE)</f>
        <v>Chq Bk</v>
      </c>
      <c r="H124" s="191">
        <v>7429</v>
      </c>
      <c r="I124" s="191">
        <v>0</v>
      </c>
      <c r="J124" s="191">
        <v>0</v>
      </c>
      <c r="K124" s="191">
        <v>46207</v>
      </c>
      <c r="L124" s="191">
        <v>3420</v>
      </c>
      <c r="M124" s="191">
        <v>8390</v>
      </c>
      <c r="N124" s="191">
        <v>0</v>
      </c>
      <c r="O124" s="191">
        <v>0</v>
      </c>
      <c r="P124" s="211">
        <v>0</v>
      </c>
      <c r="Q124" s="211">
        <v>0</v>
      </c>
      <c r="R124" s="211">
        <v>46207</v>
      </c>
      <c r="S124" s="211">
        <v>0</v>
      </c>
      <c r="T124" s="211">
        <v>28183</v>
      </c>
      <c r="U124" s="211">
        <v>3290</v>
      </c>
      <c r="V124" s="211">
        <v>0</v>
      </c>
      <c r="W124" s="211">
        <v>0</v>
      </c>
      <c r="X124" s="191">
        <v>8905</v>
      </c>
      <c r="Y124" s="191">
        <v>0</v>
      </c>
      <c r="Z124" s="191">
        <v>13561</v>
      </c>
      <c r="AA124" s="191">
        <v>0</v>
      </c>
      <c r="AB124" s="191">
        <v>0</v>
      </c>
      <c r="AC124" s="191">
        <v>0</v>
      </c>
      <c r="AD124" s="191">
        <v>0</v>
      </c>
      <c r="AE124" s="191">
        <v>0</v>
      </c>
      <c r="AF124" s="211">
        <v>4800</v>
      </c>
      <c r="AG124" s="211">
        <v>0</v>
      </c>
      <c r="AH124" s="211">
        <v>45070</v>
      </c>
      <c r="AI124" s="67"/>
      <c r="AJ124" s="211">
        <v>0</v>
      </c>
      <c r="AK124" s="211">
        <v>0</v>
      </c>
      <c r="AL124" s="191">
        <v>45831</v>
      </c>
      <c r="AM124" s="191">
        <v>0</v>
      </c>
      <c r="AN124" s="190"/>
      <c r="AO124" s="190"/>
      <c r="AP124" s="190"/>
      <c r="AQ124" s="375"/>
      <c r="AR124" s="375"/>
      <c r="AS124" s="382"/>
      <c r="AT124" s="382"/>
      <c r="AU124" s="382"/>
      <c r="AV124" s="198">
        <f t="shared" si="8"/>
        <v>261293</v>
      </c>
      <c r="AX124" s="33">
        <f t="shared" si="13"/>
        <v>45034</v>
      </c>
      <c r="AY124" s="33">
        <f t="shared" si="13"/>
        <v>0</v>
      </c>
      <c r="AZ124" s="33">
        <f t="shared" si="13"/>
        <v>0</v>
      </c>
      <c r="BA124" s="33">
        <f t="shared" si="13"/>
        <v>183315</v>
      </c>
      <c r="BB124" s="33">
        <f t="shared" si="13"/>
        <v>32944</v>
      </c>
      <c r="BC124" s="33">
        <f t="shared" si="13"/>
        <v>0</v>
      </c>
      <c r="BD124" s="33">
        <f t="shared" si="13"/>
        <v>0</v>
      </c>
      <c r="BE124" s="58">
        <f t="shared" si="12"/>
        <v>0</v>
      </c>
    </row>
    <row r="125" spans="1:57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Mar 2026'!$A$8:$F$206,6,FALSE)</f>
        <v>Chq Bk</v>
      </c>
      <c r="H125" s="191">
        <v>7867</v>
      </c>
      <c r="I125" s="191">
        <v>0</v>
      </c>
      <c r="J125" s="191">
        <v>0</v>
      </c>
      <c r="K125" s="191">
        <v>37017</v>
      </c>
      <c r="L125" s="191">
        <v>15066</v>
      </c>
      <c r="M125" s="191">
        <v>23288</v>
      </c>
      <c r="N125" s="191">
        <v>0</v>
      </c>
      <c r="O125" s="191">
        <v>0</v>
      </c>
      <c r="P125" s="211">
        <v>0</v>
      </c>
      <c r="Q125" s="211">
        <v>0</v>
      </c>
      <c r="R125" s="211">
        <v>37017</v>
      </c>
      <c r="S125" s="211">
        <v>0</v>
      </c>
      <c r="T125" s="211">
        <v>32410</v>
      </c>
      <c r="U125" s="211">
        <v>1786</v>
      </c>
      <c r="V125" s="211">
        <v>0</v>
      </c>
      <c r="W125" s="211">
        <v>0</v>
      </c>
      <c r="X125" s="191">
        <v>9290</v>
      </c>
      <c r="Y125" s="191">
        <v>0</v>
      </c>
      <c r="Z125" s="191">
        <v>15581</v>
      </c>
      <c r="AA125" s="191">
        <v>0</v>
      </c>
      <c r="AB125" s="191">
        <v>0</v>
      </c>
      <c r="AC125" s="191">
        <v>0</v>
      </c>
      <c r="AD125" s="191">
        <v>0</v>
      </c>
      <c r="AE125" s="191">
        <v>0</v>
      </c>
      <c r="AF125" s="211">
        <v>0</v>
      </c>
      <c r="AG125" s="211">
        <v>0</v>
      </c>
      <c r="AH125" s="211">
        <v>37017</v>
      </c>
      <c r="AI125" s="67"/>
      <c r="AJ125" s="211">
        <v>0</v>
      </c>
      <c r="AK125" s="211">
        <v>0</v>
      </c>
      <c r="AL125" s="191">
        <v>37019</v>
      </c>
      <c r="AM125" s="191">
        <v>0</v>
      </c>
      <c r="AN125" s="190"/>
      <c r="AO125" s="190"/>
      <c r="AP125" s="190"/>
      <c r="AQ125" s="375"/>
      <c r="AR125" s="375"/>
      <c r="AS125" s="382"/>
      <c r="AT125" s="382"/>
      <c r="AU125" s="382"/>
      <c r="AV125" s="198">
        <f t="shared" si="8"/>
        <v>253358</v>
      </c>
      <c r="AX125" s="33">
        <f t="shared" si="13"/>
        <v>49777</v>
      </c>
      <c r="AY125" s="33">
        <f t="shared" si="13"/>
        <v>0</v>
      </c>
      <c r="AZ125" s="33">
        <f t="shared" si="13"/>
        <v>0</v>
      </c>
      <c r="BA125" s="33">
        <f t="shared" si="13"/>
        <v>148070</v>
      </c>
      <c r="BB125" s="33">
        <f t="shared" si="13"/>
        <v>55511</v>
      </c>
      <c r="BC125" s="33">
        <f t="shared" si="13"/>
        <v>0</v>
      </c>
      <c r="BD125" s="33">
        <f t="shared" si="13"/>
        <v>0</v>
      </c>
      <c r="BE125" s="58">
        <f t="shared" si="12"/>
        <v>0</v>
      </c>
    </row>
    <row r="126" spans="1:57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Mar 2026'!$A$8:$F$206,6,FALSE)</f>
        <v>Chq Bk</v>
      </c>
      <c r="H126" s="191">
        <v>8142</v>
      </c>
      <c r="I126" s="191">
        <v>0</v>
      </c>
      <c r="J126" s="191">
        <v>0</v>
      </c>
      <c r="K126" s="191">
        <v>35402</v>
      </c>
      <c r="L126" s="191">
        <v>24265</v>
      </c>
      <c r="M126" s="191">
        <v>33846</v>
      </c>
      <c r="N126" s="191">
        <v>0</v>
      </c>
      <c r="O126" s="191">
        <v>0</v>
      </c>
      <c r="P126" s="211">
        <v>0</v>
      </c>
      <c r="Q126" s="211">
        <v>0</v>
      </c>
      <c r="R126" s="211">
        <v>35402</v>
      </c>
      <c r="S126" s="211">
        <v>0</v>
      </c>
      <c r="T126" s="211">
        <v>39707</v>
      </c>
      <c r="U126" s="211">
        <v>0</v>
      </c>
      <c r="V126" s="211">
        <v>0</v>
      </c>
      <c r="W126" s="211">
        <v>0</v>
      </c>
      <c r="X126" s="191">
        <v>9770</v>
      </c>
      <c r="Y126" s="191">
        <v>0</v>
      </c>
      <c r="Z126" s="191">
        <v>19046</v>
      </c>
      <c r="AA126" s="191">
        <v>0</v>
      </c>
      <c r="AB126" s="191">
        <v>0</v>
      </c>
      <c r="AC126" s="191">
        <v>0</v>
      </c>
      <c r="AD126" s="191">
        <v>0</v>
      </c>
      <c r="AE126" s="191">
        <v>571.29</v>
      </c>
      <c r="AF126" s="211">
        <v>0</v>
      </c>
      <c r="AG126" s="211">
        <v>0</v>
      </c>
      <c r="AH126" s="211">
        <v>35402</v>
      </c>
      <c r="AI126" s="67"/>
      <c r="AJ126" s="211">
        <v>0</v>
      </c>
      <c r="AK126" s="211">
        <v>0</v>
      </c>
      <c r="AL126" s="191">
        <v>35404</v>
      </c>
      <c r="AM126" s="191">
        <v>0</v>
      </c>
      <c r="AN126" s="190"/>
      <c r="AO126" s="190"/>
      <c r="AP126" s="190"/>
      <c r="AQ126" s="375"/>
      <c r="AR126" s="375"/>
      <c r="AS126" s="382"/>
      <c r="AT126" s="382"/>
      <c r="AU126" s="382"/>
      <c r="AV126" s="198">
        <f t="shared" si="8"/>
        <v>276957.29000000004</v>
      </c>
      <c r="AX126" s="33">
        <f t="shared" si="13"/>
        <v>58753</v>
      </c>
      <c r="AY126" s="33">
        <f t="shared" si="13"/>
        <v>0</v>
      </c>
      <c r="AZ126" s="33">
        <f t="shared" si="13"/>
        <v>0</v>
      </c>
      <c r="BA126" s="33">
        <f t="shared" si="13"/>
        <v>141610</v>
      </c>
      <c r="BB126" s="33">
        <f t="shared" si="13"/>
        <v>76594.289999999994</v>
      </c>
      <c r="BC126" s="33">
        <f t="shared" si="13"/>
        <v>0</v>
      </c>
      <c r="BD126" s="33">
        <f t="shared" si="13"/>
        <v>0</v>
      </c>
      <c r="BE126" s="58">
        <f t="shared" si="12"/>
        <v>0</v>
      </c>
    </row>
    <row r="127" spans="1:57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Mar 2026'!$A$8:$F$206,6,FALSE)</f>
        <v>Chq Bk</v>
      </c>
      <c r="H127" s="191">
        <v>7412</v>
      </c>
      <c r="I127" s="191">
        <v>0</v>
      </c>
      <c r="J127" s="191">
        <v>0</v>
      </c>
      <c r="K127" s="191">
        <v>37396</v>
      </c>
      <c r="L127" s="191">
        <v>8740</v>
      </c>
      <c r="M127" s="191">
        <v>12440</v>
      </c>
      <c r="N127" s="191">
        <v>0</v>
      </c>
      <c r="O127" s="191">
        <v>0</v>
      </c>
      <c r="P127" s="211">
        <v>0</v>
      </c>
      <c r="Q127" s="211">
        <v>0</v>
      </c>
      <c r="R127" s="211">
        <v>37396</v>
      </c>
      <c r="S127" s="211">
        <v>0</v>
      </c>
      <c r="T127" s="211">
        <v>26061</v>
      </c>
      <c r="U127" s="211">
        <v>3666</v>
      </c>
      <c r="V127" s="211">
        <v>0</v>
      </c>
      <c r="W127" s="211">
        <v>0</v>
      </c>
      <c r="X127" s="191">
        <v>8885</v>
      </c>
      <c r="Y127" s="191">
        <v>0</v>
      </c>
      <c r="Z127" s="191">
        <v>12568</v>
      </c>
      <c r="AA127" s="191">
        <v>0</v>
      </c>
      <c r="AB127" s="191">
        <v>0</v>
      </c>
      <c r="AC127" s="191">
        <v>0</v>
      </c>
      <c r="AD127" s="191">
        <v>0</v>
      </c>
      <c r="AE127" s="191">
        <v>856.93</v>
      </c>
      <c r="AF127" s="211">
        <v>2400</v>
      </c>
      <c r="AG127" s="211">
        <v>0</v>
      </c>
      <c r="AH127" s="211">
        <v>36259</v>
      </c>
      <c r="AI127" s="67"/>
      <c r="AJ127" s="211">
        <v>0</v>
      </c>
      <c r="AK127" s="211">
        <v>0</v>
      </c>
      <c r="AL127" s="191">
        <v>37019</v>
      </c>
      <c r="AM127" s="191">
        <v>0</v>
      </c>
      <c r="AN127" s="190"/>
      <c r="AO127" s="190"/>
      <c r="AP127" s="190"/>
      <c r="AQ127" s="375"/>
      <c r="AR127" s="375"/>
      <c r="AS127" s="382"/>
      <c r="AT127" s="382"/>
      <c r="AU127" s="382"/>
      <c r="AV127" s="198">
        <f t="shared" si="8"/>
        <v>231098.93</v>
      </c>
      <c r="AX127" s="33">
        <f t="shared" si="13"/>
        <v>42295</v>
      </c>
      <c r="AY127" s="33">
        <f t="shared" si="13"/>
        <v>0</v>
      </c>
      <c r="AZ127" s="33">
        <f t="shared" si="13"/>
        <v>0</v>
      </c>
      <c r="BA127" s="33">
        <f t="shared" si="13"/>
        <v>148070</v>
      </c>
      <c r="BB127" s="33">
        <f t="shared" si="13"/>
        <v>40733.93</v>
      </c>
      <c r="BC127" s="33">
        <f t="shared" si="13"/>
        <v>0</v>
      </c>
      <c r="BD127" s="33">
        <f t="shared" si="13"/>
        <v>0</v>
      </c>
      <c r="BE127" s="58">
        <f t="shared" si="12"/>
        <v>0</v>
      </c>
    </row>
    <row r="128" spans="1:57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Mar 2026'!$A$8:$F$206,6,FALSE)</f>
        <v>Chq Bk</v>
      </c>
      <c r="H128" s="191">
        <v>8154</v>
      </c>
      <c r="I128" s="191">
        <v>0</v>
      </c>
      <c r="J128" s="191">
        <v>0</v>
      </c>
      <c r="K128" s="191">
        <v>70435</v>
      </c>
      <c r="L128" s="191">
        <v>19367</v>
      </c>
      <c r="M128" s="191">
        <v>28639</v>
      </c>
      <c r="N128" s="191">
        <v>0</v>
      </c>
      <c r="O128" s="191">
        <v>0</v>
      </c>
      <c r="P128" s="211">
        <v>0</v>
      </c>
      <c r="Q128" s="211"/>
      <c r="R128" s="211">
        <v>70435</v>
      </c>
      <c r="S128" s="211">
        <v>0</v>
      </c>
      <c r="T128" s="211">
        <v>49431</v>
      </c>
      <c r="U128" s="211">
        <v>0</v>
      </c>
      <c r="V128" s="211">
        <v>0</v>
      </c>
      <c r="W128" s="211">
        <v>0</v>
      </c>
      <c r="X128" s="191">
        <v>9795</v>
      </c>
      <c r="Y128" s="191">
        <v>0</v>
      </c>
      <c r="Z128" s="191">
        <v>23602</v>
      </c>
      <c r="AA128" s="191">
        <v>0</v>
      </c>
      <c r="AB128" s="191">
        <v>0</v>
      </c>
      <c r="AC128" s="191">
        <v>0</v>
      </c>
      <c r="AD128" s="191">
        <v>0</v>
      </c>
      <c r="AE128" s="191">
        <v>856.93</v>
      </c>
      <c r="AF128" s="211">
        <v>2400</v>
      </c>
      <c r="AG128" s="211">
        <v>0</v>
      </c>
      <c r="AH128" s="211">
        <v>69298</v>
      </c>
      <c r="AI128" s="67"/>
      <c r="AJ128" s="211">
        <v>0</v>
      </c>
      <c r="AK128" s="211">
        <v>0</v>
      </c>
      <c r="AL128" s="191">
        <v>70057</v>
      </c>
      <c r="AM128" s="191">
        <v>8635</v>
      </c>
      <c r="AN128" s="190"/>
      <c r="AO128" s="190"/>
      <c r="AP128" s="190"/>
      <c r="AQ128" s="375"/>
      <c r="AR128" s="375"/>
      <c r="AS128" s="382"/>
      <c r="AT128" s="382"/>
      <c r="AU128" s="382"/>
      <c r="AV128" s="198">
        <f t="shared" si="8"/>
        <v>431104.93</v>
      </c>
      <c r="AX128" s="33">
        <f t="shared" si="13"/>
        <v>73033</v>
      </c>
      <c r="AY128" s="33">
        <f t="shared" si="13"/>
        <v>0</v>
      </c>
      <c r="AZ128" s="33">
        <f t="shared" si="13"/>
        <v>0</v>
      </c>
      <c r="BA128" s="33">
        <f t="shared" si="13"/>
        <v>280225</v>
      </c>
      <c r="BB128" s="33">
        <f t="shared" si="13"/>
        <v>69211.929999999993</v>
      </c>
      <c r="BC128" s="33">
        <f t="shared" si="13"/>
        <v>0</v>
      </c>
      <c r="BD128" s="33">
        <f t="shared" si="13"/>
        <v>8635</v>
      </c>
      <c r="BE128" s="58">
        <f t="shared" si="12"/>
        <v>0</v>
      </c>
    </row>
    <row r="129" spans="1:57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Mar 2026'!$A$8:$F$206,6,FALSE)</f>
        <v>Chq Bk</v>
      </c>
      <c r="H129" s="191">
        <v>0</v>
      </c>
      <c r="I129" s="191">
        <v>0</v>
      </c>
      <c r="J129" s="191">
        <v>0</v>
      </c>
      <c r="K129" s="191">
        <v>98093</v>
      </c>
      <c r="L129" s="191">
        <v>0</v>
      </c>
      <c r="M129" s="191">
        <v>0</v>
      </c>
      <c r="N129" s="191">
        <v>0</v>
      </c>
      <c r="O129" s="191">
        <v>0</v>
      </c>
      <c r="P129" s="211">
        <v>0</v>
      </c>
      <c r="Q129" s="211">
        <v>0</v>
      </c>
      <c r="R129" s="211">
        <v>98093</v>
      </c>
      <c r="S129" s="211">
        <v>0</v>
      </c>
      <c r="T129" s="211">
        <v>69526</v>
      </c>
      <c r="U129" s="211">
        <v>0</v>
      </c>
      <c r="V129" s="211">
        <v>0</v>
      </c>
      <c r="W129" s="211">
        <v>0</v>
      </c>
      <c r="X129" s="191">
        <v>0</v>
      </c>
      <c r="Y129" s="191">
        <v>0</v>
      </c>
      <c r="Z129" s="191">
        <v>54908</v>
      </c>
      <c r="AA129" s="191">
        <v>0</v>
      </c>
      <c r="AB129" s="191">
        <v>0</v>
      </c>
      <c r="AC129" s="191">
        <v>0</v>
      </c>
      <c r="AD129" s="191">
        <v>0</v>
      </c>
      <c r="AE129" s="191">
        <v>1999.5</v>
      </c>
      <c r="AF129" s="211">
        <v>4800</v>
      </c>
      <c r="AG129" s="211">
        <v>0</v>
      </c>
      <c r="AH129" s="211">
        <v>97289</v>
      </c>
      <c r="AI129" s="67"/>
      <c r="AJ129" s="211">
        <v>0</v>
      </c>
      <c r="AK129" s="211">
        <v>0</v>
      </c>
      <c r="AL129" s="191">
        <v>97825</v>
      </c>
      <c r="AM129" s="191">
        <v>0</v>
      </c>
      <c r="AN129" s="190"/>
      <c r="AO129" s="190"/>
      <c r="AP129" s="190"/>
      <c r="AQ129" s="375"/>
      <c r="AR129" s="375"/>
      <c r="AS129" s="382"/>
      <c r="AT129" s="382"/>
      <c r="AU129" s="382"/>
      <c r="AV129" s="198">
        <f t="shared" si="8"/>
        <v>522533.5</v>
      </c>
      <c r="AX129" s="33">
        <f t="shared" si="13"/>
        <v>124434</v>
      </c>
      <c r="AY129" s="33">
        <f t="shared" si="13"/>
        <v>0</v>
      </c>
      <c r="AZ129" s="33">
        <f t="shared" si="13"/>
        <v>0</v>
      </c>
      <c r="BA129" s="33">
        <f t="shared" si="13"/>
        <v>391300</v>
      </c>
      <c r="BB129" s="33">
        <f t="shared" si="13"/>
        <v>6799.5</v>
      </c>
      <c r="BC129" s="33">
        <f t="shared" si="13"/>
        <v>0</v>
      </c>
      <c r="BD129" s="33">
        <f t="shared" si="13"/>
        <v>0</v>
      </c>
      <c r="BE129" s="58">
        <f t="shared" si="12"/>
        <v>0</v>
      </c>
    </row>
    <row r="130" spans="1:57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Mar 2026'!$A$8:$F$206,6,FALSE)</f>
        <v>Chq Bk</v>
      </c>
      <c r="H130" s="191">
        <v>7392</v>
      </c>
      <c r="I130" s="191">
        <v>0</v>
      </c>
      <c r="J130" s="191">
        <v>0</v>
      </c>
      <c r="K130" s="191">
        <v>48001</v>
      </c>
      <c r="L130" s="191">
        <v>4580</v>
      </c>
      <c r="M130" s="191">
        <v>6509</v>
      </c>
      <c r="N130" s="191">
        <v>0</v>
      </c>
      <c r="O130" s="191">
        <v>0</v>
      </c>
      <c r="P130" s="211">
        <v>0</v>
      </c>
      <c r="Q130" s="211">
        <v>0</v>
      </c>
      <c r="R130" s="211">
        <v>48001</v>
      </c>
      <c r="S130" s="211">
        <v>0</v>
      </c>
      <c r="T130" s="211">
        <v>27310</v>
      </c>
      <c r="U130" s="211">
        <v>1786</v>
      </c>
      <c r="V130" s="211">
        <v>876</v>
      </c>
      <c r="W130" s="211">
        <v>0</v>
      </c>
      <c r="X130" s="191">
        <v>8815</v>
      </c>
      <c r="Y130" s="191">
        <v>0</v>
      </c>
      <c r="Z130" s="191">
        <v>13145</v>
      </c>
      <c r="AA130" s="191">
        <v>0</v>
      </c>
      <c r="AB130" s="191">
        <v>0</v>
      </c>
      <c r="AC130" s="191">
        <v>0</v>
      </c>
      <c r="AD130" s="191">
        <v>0</v>
      </c>
      <c r="AE130" s="191">
        <v>285.64</v>
      </c>
      <c r="AF130" s="211">
        <v>0</v>
      </c>
      <c r="AG130" s="211">
        <v>0</v>
      </c>
      <c r="AH130" s="211">
        <v>48001</v>
      </c>
      <c r="AI130" s="67"/>
      <c r="AJ130" s="211">
        <v>0</v>
      </c>
      <c r="AK130" s="211">
        <v>0</v>
      </c>
      <c r="AL130" s="191">
        <v>48002</v>
      </c>
      <c r="AM130" s="191">
        <v>0</v>
      </c>
      <c r="AN130" s="190"/>
      <c r="AO130" s="190"/>
      <c r="AP130" s="190"/>
      <c r="AQ130" s="375"/>
      <c r="AR130" s="375"/>
      <c r="AS130" s="382"/>
      <c r="AT130" s="382"/>
      <c r="AU130" s="382"/>
      <c r="AV130" s="198">
        <f t="shared" si="8"/>
        <v>262703.64</v>
      </c>
      <c r="AX130" s="33">
        <f t="shared" si="13"/>
        <v>42241</v>
      </c>
      <c r="AY130" s="33">
        <f t="shared" si="13"/>
        <v>0</v>
      </c>
      <c r="AZ130" s="33">
        <f t="shared" si="13"/>
        <v>0</v>
      </c>
      <c r="BA130" s="33">
        <f t="shared" si="13"/>
        <v>192005</v>
      </c>
      <c r="BB130" s="33">
        <f t="shared" si="13"/>
        <v>28457.64</v>
      </c>
      <c r="BC130" s="33">
        <f t="shared" si="13"/>
        <v>0</v>
      </c>
      <c r="BD130" s="33">
        <f t="shared" si="13"/>
        <v>0</v>
      </c>
      <c r="BE130" s="58">
        <f t="shared" si="12"/>
        <v>0</v>
      </c>
    </row>
    <row r="131" spans="1:57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Mar 2026'!$A$8:$F$206,6,FALSE)</f>
        <v>Chq Bk</v>
      </c>
      <c r="H131" s="191">
        <v>7417</v>
      </c>
      <c r="I131" s="191">
        <v>0</v>
      </c>
      <c r="J131" s="191">
        <v>0</v>
      </c>
      <c r="K131" s="191">
        <v>24972</v>
      </c>
      <c r="L131" s="191">
        <v>35765</v>
      </c>
      <c r="M131" s="191">
        <v>52215</v>
      </c>
      <c r="N131" s="191">
        <v>0</v>
      </c>
      <c r="O131" s="191">
        <v>0</v>
      </c>
      <c r="P131" s="211">
        <v>0</v>
      </c>
      <c r="Q131" s="211">
        <v>0</v>
      </c>
      <c r="R131" s="211">
        <v>24972</v>
      </c>
      <c r="S131" s="211">
        <v>0</v>
      </c>
      <c r="T131" s="211">
        <v>28051</v>
      </c>
      <c r="U131" s="211">
        <v>0</v>
      </c>
      <c r="V131" s="211">
        <v>0</v>
      </c>
      <c r="W131" s="211">
        <v>0</v>
      </c>
      <c r="X131" s="191">
        <v>8885</v>
      </c>
      <c r="Y131" s="191">
        <v>0</v>
      </c>
      <c r="Z131" s="191">
        <v>13533</v>
      </c>
      <c r="AA131" s="191">
        <v>0</v>
      </c>
      <c r="AB131" s="191">
        <v>0</v>
      </c>
      <c r="AC131" s="191">
        <v>0</v>
      </c>
      <c r="AD131" s="191">
        <v>0</v>
      </c>
      <c r="AE131" s="191">
        <v>856.93</v>
      </c>
      <c r="AF131" s="211">
        <v>0</v>
      </c>
      <c r="AG131" s="211">
        <v>0</v>
      </c>
      <c r="AH131" s="211">
        <v>24972</v>
      </c>
      <c r="AI131" s="67"/>
      <c r="AJ131" s="211">
        <v>0</v>
      </c>
      <c r="AK131" s="211">
        <v>0</v>
      </c>
      <c r="AL131" s="191">
        <v>24974</v>
      </c>
      <c r="AM131" s="191">
        <v>0</v>
      </c>
      <c r="AN131" s="190"/>
      <c r="AO131" s="190"/>
      <c r="AP131" s="190"/>
      <c r="AQ131" s="375"/>
      <c r="AR131" s="375"/>
      <c r="AS131" s="382"/>
      <c r="AT131" s="382"/>
      <c r="AU131" s="382"/>
      <c r="AV131" s="198">
        <f t="shared" si="8"/>
        <v>246612.93</v>
      </c>
      <c r="AX131" s="33">
        <f t="shared" si="13"/>
        <v>41584</v>
      </c>
      <c r="AY131" s="33">
        <f t="shared" si="13"/>
        <v>0</v>
      </c>
      <c r="AZ131" s="33">
        <f t="shared" si="13"/>
        <v>0</v>
      </c>
      <c r="BA131" s="33">
        <f t="shared" si="13"/>
        <v>99890</v>
      </c>
      <c r="BB131" s="33">
        <f t="shared" si="13"/>
        <v>105138.93</v>
      </c>
      <c r="BC131" s="33">
        <f t="shared" si="13"/>
        <v>0</v>
      </c>
      <c r="BD131" s="33">
        <f t="shared" si="13"/>
        <v>0</v>
      </c>
      <c r="BE131" s="58">
        <f t="shared" si="12"/>
        <v>0</v>
      </c>
    </row>
    <row r="132" spans="1:57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Mar 2026'!$A$8:$F$206,6,FALSE)</f>
        <v>Chq Bk</v>
      </c>
      <c r="H132" s="191">
        <v>8162</v>
      </c>
      <c r="I132" s="191">
        <v>0</v>
      </c>
      <c r="J132" s="191">
        <v>0</v>
      </c>
      <c r="K132" s="191">
        <v>36863</v>
      </c>
      <c r="L132" s="191">
        <v>0</v>
      </c>
      <c r="M132" s="191">
        <v>0</v>
      </c>
      <c r="N132" s="191">
        <v>0</v>
      </c>
      <c r="O132" s="191">
        <v>0</v>
      </c>
      <c r="P132" s="211">
        <v>0</v>
      </c>
      <c r="Q132" s="211">
        <v>0</v>
      </c>
      <c r="R132" s="211">
        <v>36863</v>
      </c>
      <c r="S132" s="211">
        <v>0</v>
      </c>
      <c r="T132" s="211">
        <v>37127</v>
      </c>
      <c r="U132" s="211">
        <v>0</v>
      </c>
      <c r="V132" s="211">
        <v>0</v>
      </c>
      <c r="W132" s="211">
        <v>0</v>
      </c>
      <c r="X132" s="191">
        <v>9770</v>
      </c>
      <c r="Y132" s="191">
        <v>0</v>
      </c>
      <c r="Z132" s="191">
        <v>17823</v>
      </c>
      <c r="AA132" s="191">
        <v>0</v>
      </c>
      <c r="AB132" s="191">
        <v>0</v>
      </c>
      <c r="AC132" s="191">
        <v>0</v>
      </c>
      <c r="AD132" s="191">
        <v>0</v>
      </c>
      <c r="AE132" s="191">
        <v>856.93</v>
      </c>
      <c r="AF132" s="211">
        <v>0</v>
      </c>
      <c r="AG132" s="211">
        <v>0</v>
      </c>
      <c r="AH132" s="211">
        <v>36863</v>
      </c>
      <c r="AI132" s="67"/>
      <c r="AJ132" s="211">
        <v>0</v>
      </c>
      <c r="AK132" s="211">
        <v>0</v>
      </c>
      <c r="AL132" s="191">
        <v>36866</v>
      </c>
      <c r="AM132" s="191">
        <v>0</v>
      </c>
      <c r="AN132" s="190"/>
      <c r="AO132" s="190"/>
      <c r="AP132" s="190"/>
      <c r="AQ132" s="375"/>
      <c r="AR132" s="375"/>
      <c r="AS132" s="382"/>
      <c r="AT132" s="382"/>
      <c r="AU132" s="382"/>
      <c r="AV132" s="198">
        <f t="shared" si="8"/>
        <v>221193.93</v>
      </c>
      <c r="AX132" s="33">
        <f t="shared" si="13"/>
        <v>54950</v>
      </c>
      <c r="AY132" s="33">
        <f t="shared" si="13"/>
        <v>0</v>
      </c>
      <c r="AZ132" s="33">
        <f t="shared" si="13"/>
        <v>0</v>
      </c>
      <c r="BA132" s="33">
        <f t="shared" si="13"/>
        <v>147455</v>
      </c>
      <c r="BB132" s="33">
        <f t="shared" si="13"/>
        <v>18788.93</v>
      </c>
      <c r="BC132" s="33">
        <f t="shared" si="13"/>
        <v>0</v>
      </c>
      <c r="BD132" s="33">
        <f t="shared" si="13"/>
        <v>0</v>
      </c>
      <c r="BE132" s="58">
        <f t="shared" si="12"/>
        <v>0</v>
      </c>
    </row>
    <row r="133" spans="1:57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Mar 2026'!$A$8:$F$206,6,FALSE)</f>
        <v>Chq Bk</v>
      </c>
      <c r="H133" s="191">
        <v>7917</v>
      </c>
      <c r="I133" s="191">
        <v>0</v>
      </c>
      <c r="J133" s="191">
        <v>0</v>
      </c>
      <c r="K133" s="191">
        <v>60978</v>
      </c>
      <c r="L133" s="191">
        <v>13249</v>
      </c>
      <c r="M133" s="191">
        <v>19816</v>
      </c>
      <c r="N133" s="191">
        <v>0</v>
      </c>
      <c r="O133" s="191">
        <v>0</v>
      </c>
      <c r="P133" s="211">
        <v>0</v>
      </c>
      <c r="Q133" s="211">
        <v>0</v>
      </c>
      <c r="R133" s="211">
        <v>60978</v>
      </c>
      <c r="S133" s="211">
        <v>0</v>
      </c>
      <c r="T133" s="211">
        <v>40276</v>
      </c>
      <c r="U133" s="211">
        <v>2632</v>
      </c>
      <c r="V133" s="211">
        <v>0</v>
      </c>
      <c r="W133" s="211">
        <v>0</v>
      </c>
      <c r="X133" s="191">
        <v>9425</v>
      </c>
      <c r="Y133" s="191">
        <v>0</v>
      </c>
      <c r="Z133" s="191">
        <v>19275</v>
      </c>
      <c r="AA133" s="191">
        <v>0</v>
      </c>
      <c r="AB133" s="191">
        <v>0</v>
      </c>
      <c r="AC133" s="191">
        <v>0</v>
      </c>
      <c r="AD133" s="191">
        <v>0</v>
      </c>
      <c r="AE133" s="191">
        <v>1713.86</v>
      </c>
      <c r="AF133" s="211">
        <v>2400</v>
      </c>
      <c r="AG133" s="211">
        <v>0</v>
      </c>
      <c r="AH133" s="211">
        <v>60978</v>
      </c>
      <c r="AI133" s="67"/>
      <c r="AJ133" s="211">
        <v>0</v>
      </c>
      <c r="AK133" s="211">
        <v>0</v>
      </c>
      <c r="AL133" s="191">
        <v>60981</v>
      </c>
      <c r="AM133" s="191">
        <v>0</v>
      </c>
      <c r="AN133" s="190"/>
      <c r="AO133" s="190"/>
      <c r="AP133" s="190"/>
      <c r="AQ133" s="375"/>
      <c r="AR133" s="375"/>
      <c r="AS133" s="382"/>
      <c r="AT133" s="382"/>
      <c r="AU133" s="382"/>
      <c r="AV133" s="198">
        <f t="shared" si="8"/>
        <v>360618.86</v>
      </c>
      <c r="AX133" s="33">
        <f t="shared" si="13"/>
        <v>62183</v>
      </c>
      <c r="AY133" s="33">
        <f t="shared" si="13"/>
        <v>0</v>
      </c>
      <c r="AZ133" s="33">
        <f t="shared" si="13"/>
        <v>0</v>
      </c>
      <c r="BA133" s="33">
        <f t="shared" si="13"/>
        <v>243915</v>
      </c>
      <c r="BB133" s="33">
        <f t="shared" si="13"/>
        <v>54520.86</v>
      </c>
      <c r="BC133" s="33">
        <f t="shared" si="13"/>
        <v>0</v>
      </c>
      <c r="BD133" s="33">
        <f t="shared" si="13"/>
        <v>0</v>
      </c>
      <c r="BE133" s="58">
        <f t="shared" si="12"/>
        <v>0</v>
      </c>
    </row>
    <row r="134" spans="1:57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Mar 2026'!$A$8:$F$206,6,FALSE)</f>
        <v>Chq Bk</v>
      </c>
      <c r="H134" s="191">
        <v>8162</v>
      </c>
      <c r="I134" s="191">
        <v>0</v>
      </c>
      <c r="J134" s="191">
        <v>0</v>
      </c>
      <c r="K134" s="191">
        <v>30928</v>
      </c>
      <c r="L134" s="191">
        <v>33259</v>
      </c>
      <c r="M134" s="191">
        <v>41801</v>
      </c>
      <c r="N134" s="191">
        <v>0</v>
      </c>
      <c r="O134" s="191">
        <v>0</v>
      </c>
      <c r="P134" s="211">
        <v>0</v>
      </c>
      <c r="Q134" s="211">
        <v>0</v>
      </c>
      <c r="R134" s="211">
        <v>30928</v>
      </c>
      <c r="S134" s="211">
        <v>0</v>
      </c>
      <c r="T134" s="211">
        <v>41303</v>
      </c>
      <c r="U134" s="211">
        <v>0</v>
      </c>
      <c r="V134" s="211">
        <v>876</v>
      </c>
      <c r="W134" s="211">
        <v>0</v>
      </c>
      <c r="X134" s="191">
        <v>9795</v>
      </c>
      <c r="Y134" s="191">
        <v>0</v>
      </c>
      <c r="Z134" s="191">
        <v>19809</v>
      </c>
      <c r="AA134" s="191">
        <v>0</v>
      </c>
      <c r="AB134" s="191">
        <v>0</v>
      </c>
      <c r="AC134" s="191">
        <v>0</v>
      </c>
      <c r="AD134" s="191">
        <v>0</v>
      </c>
      <c r="AE134" s="191">
        <v>285.64</v>
      </c>
      <c r="AF134" s="211">
        <v>4800</v>
      </c>
      <c r="AG134" s="211">
        <v>0</v>
      </c>
      <c r="AH134" s="211">
        <v>30928</v>
      </c>
      <c r="AI134" s="67"/>
      <c r="AJ134" s="211">
        <v>0</v>
      </c>
      <c r="AK134" s="211">
        <v>0</v>
      </c>
      <c r="AL134" s="191">
        <v>30931</v>
      </c>
      <c r="AM134" s="191">
        <v>0</v>
      </c>
      <c r="AN134" s="190"/>
      <c r="AO134" s="190"/>
      <c r="AP134" s="190"/>
      <c r="AQ134" s="375"/>
      <c r="AR134" s="375"/>
      <c r="AS134" s="382"/>
      <c r="AT134" s="382"/>
      <c r="AU134" s="382"/>
      <c r="AV134" s="198">
        <f t="shared" ref="AV134:AV197" si="14">SUM(H134:AU134)</f>
        <v>283805.64</v>
      </c>
      <c r="AX134" s="33">
        <f t="shared" si="13"/>
        <v>61112</v>
      </c>
      <c r="AY134" s="33">
        <f t="shared" si="13"/>
        <v>0</v>
      </c>
      <c r="AZ134" s="33">
        <f t="shared" si="13"/>
        <v>0</v>
      </c>
      <c r="BA134" s="33">
        <f t="shared" si="13"/>
        <v>123715</v>
      </c>
      <c r="BB134" s="33">
        <f t="shared" si="13"/>
        <v>98978.64</v>
      </c>
      <c r="BC134" s="33">
        <f t="shared" si="13"/>
        <v>0</v>
      </c>
      <c r="BD134" s="33">
        <f t="shared" si="13"/>
        <v>0</v>
      </c>
      <c r="BE134" s="58">
        <f t="shared" si="12"/>
        <v>0</v>
      </c>
    </row>
    <row r="135" spans="1:57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Mar 2026'!$A$8:$F$206,6,FALSE)</f>
        <v>Chq Bk</v>
      </c>
      <c r="H135" s="191">
        <v>8171</v>
      </c>
      <c r="I135" s="191">
        <v>0</v>
      </c>
      <c r="J135" s="191">
        <v>0</v>
      </c>
      <c r="K135" s="191">
        <v>40492</v>
      </c>
      <c r="L135" s="191">
        <v>28324</v>
      </c>
      <c r="M135" s="191">
        <v>37896</v>
      </c>
      <c r="N135" s="191">
        <v>0</v>
      </c>
      <c r="O135" s="191">
        <v>0</v>
      </c>
      <c r="P135" s="211">
        <v>0</v>
      </c>
      <c r="Q135" s="211">
        <v>0</v>
      </c>
      <c r="R135" s="211">
        <v>40492</v>
      </c>
      <c r="S135" s="211">
        <v>0</v>
      </c>
      <c r="T135" s="211">
        <v>42103</v>
      </c>
      <c r="U135" s="211">
        <v>0</v>
      </c>
      <c r="V135" s="211">
        <v>0</v>
      </c>
      <c r="W135" s="211">
        <v>0</v>
      </c>
      <c r="X135" s="191">
        <v>9765</v>
      </c>
      <c r="Y135" s="191">
        <v>0</v>
      </c>
      <c r="Z135" s="191">
        <v>20177</v>
      </c>
      <c r="AA135" s="191">
        <v>0</v>
      </c>
      <c r="AB135" s="191">
        <v>0</v>
      </c>
      <c r="AC135" s="191">
        <v>0</v>
      </c>
      <c r="AD135" s="191">
        <v>0</v>
      </c>
      <c r="AE135" s="191">
        <v>1713.86</v>
      </c>
      <c r="AF135" s="211">
        <v>2400</v>
      </c>
      <c r="AG135" s="211">
        <v>0</v>
      </c>
      <c r="AH135" s="211">
        <v>40492</v>
      </c>
      <c r="AI135" s="67"/>
      <c r="AJ135" s="211">
        <v>0</v>
      </c>
      <c r="AK135" s="211">
        <v>0</v>
      </c>
      <c r="AL135" s="191">
        <v>40494</v>
      </c>
      <c r="AM135" s="191">
        <v>0</v>
      </c>
      <c r="AN135" s="190"/>
      <c r="AO135" s="190"/>
      <c r="AP135" s="190"/>
      <c r="AQ135" s="375"/>
      <c r="AR135" s="375"/>
      <c r="AS135" s="382"/>
      <c r="AT135" s="382"/>
      <c r="AU135" s="382"/>
      <c r="AV135" s="198">
        <f t="shared" si="14"/>
        <v>312519.86</v>
      </c>
      <c r="AX135" s="33">
        <f t="shared" si="13"/>
        <v>62280</v>
      </c>
      <c r="AY135" s="33">
        <f t="shared" si="13"/>
        <v>0</v>
      </c>
      <c r="AZ135" s="33">
        <f t="shared" si="13"/>
        <v>0</v>
      </c>
      <c r="BA135" s="33">
        <f t="shared" si="13"/>
        <v>161970</v>
      </c>
      <c r="BB135" s="33">
        <f t="shared" si="13"/>
        <v>88269.86</v>
      </c>
      <c r="BC135" s="33">
        <f t="shared" si="13"/>
        <v>0</v>
      </c>
      <c r="BD135" s="33">
        <f t="shared" si="13"/>
        <v>0</v>
      </c>
      <c r="BE135" s="58">
        <f t="shared" ref="BE135:BE166" si="15">SUM(AX135:BD135)-AV135</f>
        <v>0</v>
      </c>
    </row>
    <row r="136" spans="1:57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Mar 2026'!$A$8:$F$206,6,FALSE)</f>
        <v>Chq Bk</v>
      </c>
      <c r="H136" s="191">
        <v>7417</v>
      </c>
      <c r="I136" s="191">
        <v>0</v>
      </c>
      <c r="J136" s="191">
        <v>0</v>
      </c>
      <c r="K136" s="191">
        <v>51131</v>
      </c>
      <c r="L136" s="191">
        <v>1876</v>
      </c>
      <c r="M136" s="191">
        <v>9547</v>
      </c>
      <c r="N136" s="191">
        <v>0</v>
      </c>
      <c r="O136" s="191">
        <v>0</v>
      </c>
      <c r="P136" s="211">
        <v>0</v>
      </c>
      <c r="Q136" s="211">
        <v>6362.5</v>
      </c>
      <c r="R136" s="211">
        <v>51131</v>
      </c>
      <c r="S136" s="211">
        <v>0</v>
      </c>
      <c r="T136" s="211">
        <v>28536</v>
      </c>
      <c r="U136" s="211">
        <v>0</v>
      </c>
      <c r="V136" s="211">
        <v>0</v>
      </c>
      <c r="W136" s="211">
        <v>0</v>
      </c>
      <c r="X136" s="191">
        <v>8895</v>
      </c>
      <c r="Y136" s="191">
        <v>0</v>
      </c>
      <c r="Z136" s="191">
        <v>13721</v>
      </c>
      <c r="AA136" s="191">
        <v>0</v>
      </c>
      <c r="AB136" s="191">
        <v>0</v>
      </c>
      <c r="AC136" s="191">
        <v>0</v>
      </c>
      <c r="AD136" s="191">
        <v>0</v>
      </c>
      <c r="AE136" s="191">
        <v>0</v>
      </c>
      <c r="AF136" s="211">
        <v>2400</v>
      </c>
      <c r="AG136" s="211">
        <v>0</v>
      </c>
      <c r="AH136" s="211">
        <v>51131</v>
      </c>
      <c r="AI136" s="67"/>
      <c r="AJ136" s="211">
        <v>0</v>
      </c>
      <c r="AK136" s="211">
        <v>0</v>
      </c>
      <c r="AL136" s="191">
        <v>51132</v>
      </c>
      <c r="AM136" s="191">
        <v>0</v>
      </c>
      <c r="AN136" s="190"/>
      <c r="AO136" s="190"/>
      <c r="AP136" s="190"/>
      <c r="AQ136" s="375"/>
      <c r="AR136" s="375"/>
      <c r="AS136" s="382"/>
      <c r="AT136" s="382"/>
      <c r="AU136" s="382"/>
      <c r="AV136" s="198">
        <f t="shared" si="14"/>
        <v>283279.5</v>
      </c>
      <c r="AX136" s="33">
        <f t="shared" si="13"/>
        <v>42257</v>
      </c>
      <c r="AY136" s="33">
        <f t="shared" si="13"/>
        <v>0</v>
      </c>
      <c r="AZ136" s="33">
        <f t="shared" si="13"/>
        <v>0</v>
      </c>
      <c r="BA136" s="33">
        <f t="shared" si="13"/>
        <v>204525</v>
      </c>
      <c r="BB136" s="33">
        <f t="shared" si="13"/>
        <v>30135</v>
      </c>
      <c r="BC136" s="33">
        <f t="shared" si="13"/>
        <v>0</v>
      </c>
      <c r="BD136" s="33">
        <f t="shared" si="13"/>
        <v>6362.5</v>
      </c>
      <c r="BE136" s="58">
        <f t="shared" si="15"/>
        <v>0</v>
      </c>
    </row>
    <row r="137" spans="1:57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Mar 2026'!$A$8:$F$206,6,FALSE)</f>
        <v>Chq Bk</v>
      </c>
      <c r="H137" s="191">
        <v>0</v>
      </c>
      <c r="I137" s="191">
        <v>0</v>
      </c>
      <c r="J137" s="191">
        <v>0</v>
      </c>
      <c r="K137" s="191">
        <v>71092</v>
      </c>
      <c r="L137" s="191">
        <v>0</v>
      </c>
      <c r="M137" s="191">
        <v>0</v>
      </c>
      <c r="N137" s="191">
        <v>26253</v>
      </c>
      <c r="O137" s="191">
        <v>13019.26</v>
      </c>
      <c r="P137" s="211">
        <v>0</v>
      </c>
      <c r="Q137" s="211">
        <v>0</v>
      </c>
      <c r="R137" s="211">
        <v>71092</v>
      </c>
      <c r="S137" s="211">
        <v>17581.38</v>
      </c>
      <c r="T137" s="211">
        <v>78067</v>
      </c>
      <c r="U137" s="211">
        <v>0</v>
      </c>
      <c r="V137" s="211">
        <v>2890.8</v>
      </c>
      <c r="W137" s="211">
        <v>0</v>
      </c>
      <c r="X137" s="191">
        <v>0</v>
      </c>
      <c r="Y137" s="191">
        <v>39697</v>
      </c>
      <c r="Z137" s="191">
        <v>61177</v>
      </c>
      <c r="AA137" s="191">
        <v>0</v>
      </c>
      <c r="AB137" s="191">
        <v>0</v>
      </c>
      <c r="AC137" s="191">
        <v>0</v>
      </c>
      <c r="AD137" s="191">
        <v>0</v>
      </c>
      <c r="AE137" s="191">
        <v>3427.72</v>
      </c>
      <c r="AF137" s="211">
        <v>9600</v>
      </c>
      <c r="AG137" s="211">
        <v>0</v>
      </c>
      <c r="AH137" s="211">
        <v>71092</v>
      </c>
      <c r="AI137" s="67"/>
      <c r="AJ137" s="211">
        <v>0</v>
      </c>
      <c r="AK137" s="211">
        <v>0</v>
      </c>
      <c r="AL137" s="191">
        <v>71094</v>
      </c>
      <c r="AM137" s="191">
        <v>0</v>
      </c>
      <c r="AN137" s="190"/>
      <c r="AO137" s="190"/>
      <c r="AP137" s="190"/>
      <c r="AQ137" s="375"/>
      <c r="AR137" s="375"/>
      <c r="AS137" s="382"/>
      <c r="AT137" s="382"/>
      <c r="AU137" s="382"/>
      <c r="AV137" s="198">
        <f t="shared" si="14"/>
        <v>536083.15999999992</v>
      </c>
      <c r="AX137" s="33">
        <f t="shared" ref="AX137:BD162" si="16">SUMIF($H$3:$AU$3,AX$6,$H137:$AU137)</f>
        <v>139244</v>
      </c>
      <c r="AY137" s="33">
        <f t="shared" si="16"/>
        <v>96550.64</v>
      </c>
      <c r="AZ137" s="33">
        <f t="shared" si="16"/>
        <v>0</v>
      </c>
      <c r="BA137" s="33">
        <f t="shared" si="16"/>
        <v>284370</v>
      </c>
      <c r="BB137" s="33">
        <f t="shared" si="16"/>
        <v>15918.52</v>
      </c>
      <c r="BC137" s="33">
        <f t="shared" si="16"/>
        <v>0</v>
      </c>
      <c r="BD137" s="33">
        <f t="shared" si="16"/>
        <v>0</v>
      </c>
      <c r="BE137" s="58">
        <f t="shared" si="15"/>
        <v>0</v>
      </c>
    </row>
    <row r="138" spans="1:57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Mar 2026'!$A$8:$F$206,6,FALSE)</f>
        <v>Chq Bk</v>
      </c>
      <c r="H138" s="191">
        <v>8154</v>
      </c>
      <c r="I138" s="191">
        <v>0</v>
      </c>
      <c r="J138" s="191">
        <v>0</v>
      </c>
      <c r="K138" s="191">
        <v>32551</v>
      </c>
      <c r="L138" s="191">
        <v>27204</v>
      </c>
      <c r="M138" s="191">
        <v>36739</v>
      </c>
      <c r="N138" s="191">
        <v>0</v>
      </c>
      <c r="O138" s="191">
        <v>0</v>
      </c>
      <c r="P138" s="211">
        <v>0</v>
      </c>
      <c r="Q138" s="211">
        <v>0</v>
      </c>
      <c r="R138" s="211">
        <v>32551</v>
      </c>
      <c r="S138" s="211">
        <v>0</v>
      </c>
      <c r="T138" s="211">
        <v>40752</v>
      </c>
      <c r="U138" s="211">
        <v>4230</v>
      </c>
      <c r="V138" s="211">
        <v>0</v>
      </c>
      <c r="W138" s="211">
        <v>0</v>
      </c>
      <c r="X138" s="191">
        <v>9795</v>
      </c>
      <c r="Y138" s="191">
        <v>0</v>
      </c>
      <c r="Z138" s="191">
        <v>19547</v>
      </c>
      <c r="AA138" s="191">
        <v>0</v>
      </c>
      <c r="AB138" s="191">
        <v>0</v>
      </c>
      <c r="AC138" s="191">
        <v>0</v>
      </c>
      <c r="AD138" s="191">
        <v>0</v>
      </c>
      <c r="AE138" s="191">
        <v>0</v>
      </c>
      <c r="AF138" s="211">
        <v>0</v>
      </c>
      <c r="AG138" s="211">
        <v>0</v>
      </c>
      <c r="AH138" s="211">
        <v>31414</v>
      </c>
      <c r="AI138" s="67"/>
      <c r="AJ138" s="211">
        <v>0</v>
      </c>
      <c r="AK138" s="211">
        <v>0</v>
      </c>
      <c r="AL138" s="191">
        <v>32174</v>
      </c>
      <c r="AM138" s="191">
        <v>0</v>
      </c>
      <c r="AN138" s="190"/>
      <c r="AO138" s="190"/>
      <c r="AP138" s="190"/>
      <c r="AQ138" s="375"/>
      <c r="AR138" s="375"/>
      <c r="AS138" s="382"/>
      <c r="AT138" s="382"/>
      <c r="AU138" s="382"/>
      <c r="AV138" s="198">
        <f t="shared" si="14"/>
        <v>275111</v>
      </c>
      <c r="AX138" s="33">
        <f t="shared" si="16"/>
        <v>64529</v>
      </c>
      <c r="AY138" s="33">
        <f t="shared" si="16"/>
        <v>0</v>
      </c>
      <c r="AZ138" s="33">
        <f t="shared" si="16"/>
        <v>0</v>
      </c>
      <c r="BA138" s="33">
        <f t="shared" si="16"/>
        <v>128690</v>
      </c>
      <c r="BB138" s="33">
        <f t="shared" si="16"/>
        <v>81892</v>
      </c>
      <c r="BC138" s="33">
        <f t="shared" si="16"/>
        <v>0</v>
      </c>
      <c r="BD138" s="33">
        <f t="shared" si="16"/>
        <v>0</v>
      </c>
      <c r="BE138" s="58">
        <f t="shared" si="15"/>
        <v>0</v>
      </c>
    </row>
    <row r="139" spans="1:57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Mar 2026'!$A$8:$F$206,6,FALSE)</f>
        <v>Chq Bk</v>
      </c>
      <c r="H139" s="191">
        <v>8129</v>
      </c>
      <c r="I139" s="191">
        <v>0</v>
      </c>
      <c r="J139" s="191">
        <v>0</v>
      </c>
      <c r="K139" s="191">
        <v>81331</v>
      </c>
      <c r="L139" s="191">
        <v>14853</v>
      </c>
      <c r="M139" s="191">
        <v>24155</v>
      </c>
      <c r="N139" s="191">
        <v>0</v>
      </c>
      <c r="O139" s="191">
        <v>0</v>
      </c>
      <c r="P139" s="211">
        <v>0</v>
      </c>
      <c r="Q139" s="211">
        <v>8612.5</v>
      </c>
      <c r="R139" s="211">
        <v>81331</v>
      </c>
      <c r="S139" s="211">
        <v>0</v>
      </c>
      <c r="T139" s="211">
        <v>50295</v>
      </c>
      <c r="U139" s="211">
        <v>0</v>
      </c>
      <c r="V139" s="211">
        <v>0</v>
      </c>
      <c r="W139" s="211">
        <v>0</v>
      </c>
      <c r="X139" s="191">
        <v>9725</v>
      </c>
      <c r="Y139" s="191">
        <v>0</v>
      </c>
      <c r="Z139" s="191">
        <v>23997</v>
      </c>
      <c r="AA139" s="191">
        <v>0</v>
      </c>
      <c r="AB139" s="191">
        <v>0</v>
      </c>
      <c r="AC139" s="191">
        <v>0</v>
      </c>
      <c r="AD139" s="191">
        <v>0</v>
      </c>
      <c r="AE139" s="191">
        <v>0</v>
      </c>
      <c r="AF139" s="211">
        <v>2400</v>
      </c>
      <c r="AG139" s="211">
        <v>0</v>
      </c>
      <c r="AH139" s="211">
        <v>81331</v>
      </c>
      <c r="AI139" s="67"/>
      <c r="AJ139" s="211">
        <v>0</v>
      </c>
      <c r="AK139" s="211">
        <v>0</v>
      </c>
      <c r="AL139" s="191">
        <v>81332</v>
      </c>
      <c r="AM139" s="191">
        <v>0</v>
      </c>
      <c r="AN139" s="190"/>
      <c r="AO139" s="190"/>
      <c r="AP139" s="190"/>
      <c r="AQ139" s="375"/>
      <c r="AR139" s="375"/>
      <c r="AS139" s="382"/>
      <c r="AT139" s="382"/>
      <c r="AU139" s="382"/>
      <c r="AV139" s="198">
        <f t="shared" si="14"/>
        <v>467491.5</v>
      </c>
      <c r="AX139" s="33">
        <f t="shared" si="16"/>
        <v>74292</v>
      </c>
      <c r="AY139" s="33">
        <f t="shared" si="16"/>
        <v>0</v>
      </c>
      <c r="AZ139" s="33">
        <f t="shared" si="16"/>
        <v>0</v>
      </c>
      <c r="BA139" s="33">
        <f t="shared" si="16"/>
        <v>325325</v>
      </c>
      <c r="BB139" s="33">
        <f t="shared" si="16"/>
        <v>59262</v>
      </c>
      <c r="BC139" s="33">
        <f t="shared" si="16"/>
        <v>0</v>
      </c>
      <c r="BD139" s="33">
        <f t="shared" si="16"/>
        <v>8612.5</v>
      </c>
      <c r="BE139" s="58">
        <f t="shared" si="15"/>
        <v>0</v>
      </c>
    </row>
    <row r="140" spans="1:57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Mar 2026'!$A$8:$F$206,6,FALSE)</f>
        <v>Chq Bk</v>
      </c>
      <c r="H140" s="191">
        <v>7400</v>
      </c>
      <c r="I140" s="191">
        <v>0</v>
      </c>
      <c r="J140" s="191">
        <v>0</v>
      </c>
      <c r="K140" s="191">
        <v>41162</v>
      </c>
      <c r="L140" s="191">
        <v>7725</v>
      </c>
      <c r="M140" s="191">
        <v>12006</v>
      </c>
      <c r="N140" s="191">
        <v>0</v>
      </c>
      <c r="O140" s="191">
        <v>0</v>
      </c>
      <c r="P140" s="211">
        <v>0</v>
      </c>
      <c r="Q140" s="211">
        <v>6518.2</v>
      </c>
      <c r="R140" s="211">
        <v>41162</v>
      </c>
      <c r="S140" s="211">
        <v>0</v>
      </c>
      <c r="T140" s="211">
        <v>26284</v>
      </c>
      <c r="U140" s="211">
        <v>2794.9333333333334</v>
      </c>
      <c r="V140" s="211">
        <v>0</v>
      </c>
      <c r="W140" s="211">
        <v>0</v>
      </c>
      <c r="X140" s="191">
        <v>8885</v>
      </c>
      <c r="Y140" s="191">
        <v>0</v>
      </c>
      <c r="Z140" s="191">
        <v>12671</v>
      </c>
      <c r="AA140" s="191">
        <v>0</v>
      </c>
      <c r="AB140" s="191">
        <v>0</v>
      </c>
      <c r="AC140" s="191">
        <v>0</v>
      </c>
      <c r="AD140" s="191">
        <v>0</v>
      </c>
      <c r="AE140" s="191">
        <v>0</v>
      </c>
      <c r="AF140" s="211">
        <v>0</v>
      </c>
      <c r="AG140" s="211">
        <v>0</v>
      </c>
      <c r="AH140" s="211">
        <v>38891</v>
      </c>
      <c r="AI140" s="67"/>
      <c r="AJ140" s="211">
        <v>0</v>
      </c>
      <c r="AK140" s="211">
        <v>0</v>
      </c>
      <c r="AL140" s="191">
        <v>40405</v>
      </c>
      <c r="AM140" s="191">
        <v>0</v>
      </c>
      <c r="AN140" s="190"/>
      <c r="AO140" s="190"/>
      <c r="AP140" s="190"/>
      <c r="AQ140" s="375"/>
      <c r="AR140" s="375"/>
      <c r="AS140" s="382"/>
      <c r="AT140" s="382"/>
      <c r="AU140" s="382"/>
      <c r="AV140" s="198">
        <f t="shared" si="14"/>
        <v>245904.13333333333</v>
      </c>
      <c r="AX140" s="33">
        <f t="shared" si="16"/>
        <v>41749.933333333334</v>
      </c>
      <c r="AY140" s="33">
        <f t="shared" si="16"/>
        <v>0</v>
      </c>
      <c r="AZ140" s="33">
        <f t="shared" si="16"/>
        <v>0</v>
      </c>
      <c r="BA140" s="33">
        <f t="shared" si="16"/>
        <v>161620</v>
      </c>
      <c r="BB140" s="33">
        <f t="shared" si="16"/>
        <v>36016</v>
      </c>
      <c r="BC140" s="33">
        <f t="shared" si="16"/>
        <v>0</v>
      </c>
      <c r="BD140" s="33">
        <f t="shared" si="16"/>
        <v>6518.2</v>
      </c>
      <c r="BE140" s="58">
        <f t="shared" si="15"/>
        <v>0</v>
      </c>
    </row>
    <row r="141" spans="1:57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Mar 2026'!$A$8:$F$206,6,FALSE)</f>
        <v>Chq Bk</v>
      </c>
      <c r="H141" s="191">
        <v>8167</v>
      </c>
      <c r="I141" s="191">
        <v>0</v>
      </c>
      <c r="J141" s="191">
        <v>0</v>
      </c>
      <c r="K141" s="191">
        <v>69768</v>
      </c>
      <c r="L141" s="191">
        <v>14988</v>
      </c>
      <c r="M141" s="191">
        <v>27627</v>
      </c>
      <c r="N141" s="191">
        <v>0</v>
      </c>
      <c r="O141" s="191">
        <v>0</v>
      </c>
      <c r="P141" s="211">
        <v>0</v>
      </c>
      <c r="Q141" s="211">
        <v>8839.75</v>
      </c>
      <c r="R141" s="211">
        <v>69768</v>
      </c>
      <c r="S141" s="211">
        <v>0</v>
      </c>
      <c r="T141" s="211">
        <v>48359</v>
      </c>
      <c r="U141" s="211">
        <v>1598</v>
      </c>
      <c r="V141" s="211">
        <v>0</v>
      </c>
      <c r="W141" s="211">
        <v>0</v>
      </c>
      <c r="X141" s="191">
        <v>9780</v>
      </c>
      <c r="Y141" s="191">
        <v>0</v>
      </c>
      <c r="Z141" s="191">
        <v>23098</v>
      </c>
      <c r="AA141" s="191">
        <v>0</v>
      </c>
      <c r="AB141" s="191">
        <v>0</v>
      </c>
      <c r="AC141" s="191">
        <v>0</v>
      </c>
      <c r="AD141" s="191">
        <v>0</v>
      </c>
      <c r="AE141" s="191">
        <v>571.29</v>
      </c>
      <c r="AF141" s="211">
        <v>7200</v>
      </c>
      <c r="AG141" s="211">
        <v>0</v>
      </c>
      <c r="AH141" s="211">
        <v>69768</v>
      </c>
      <c r="AI141" s="67"/>
      <c r="AJ141" s="211">
        <v>0</v>
      </c>
      <c r="AK141" s="211">
        <v>0</v>
      </c>
      <c r="AL141" s="191">
        <v>69771</v>
      </c>
      <c r="AM141" s="191">
        <v>0</v>
      </c>
      <c r="AN141" s="190"/>
      <c r="AO141" s="190"/>
      <c r="AP141" s="190"/>
      <c r="AQ141" s="375"/>
      <c r="AR141" s="375"/>
      <c r="AS141" s="382"/>
      <c r="AT141" s="382"/>
      <c r="AU141" s="382"/>
      <c r="AV141" s="198">
        <f t="shared" si="14"/>
        <v>429303.03999999998</v>
      </c>
      <c r="AX141" s="33">
        <f t="shared" si="16"/>
        <v>73055</v>
      </c>
      <c r="AY141" s="33">
        <f t="shared" si="16"/>
        <v>0</v>
      </c>
      <c r="AZ141" s="33">
        <f t="shared" si="16"/>
        <v>0</v>
      </c>
      <c r="BA141" s="33">
        <f t="shared" si="16"/>
        <v>279075</v>
      </c>
      <c r="BB141" s="33">
        <f t="shared" si="16"/>
        <v>68333.290000000008</v>
      </c>
      <c r="BC141" s="33">
        <f t="shared" si="16"/>
        <v>0</v>
      </c>
      <c r="BD141" s="33">
        <f t="shared" si="16"/>
        <v>8839.75</v>
      </c>
      <c r="BE141" s="58">
        <f t="shared" si="15"/>
        <v>0</v>
      </c>
    </row>
    <row r="142" spans="1:57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Mar 2026'!$A$8:$F$206,6,FALSE)</f>
        <v>Chq Bk</v>
      </c>
      <c r="H142" s="191">
        <v>7300</v>
      </c>
      <c r="I142" s="191">
        <v>0</v>
      </c>
      <c r="J142" s="191">
        <v>0</v>
      </c>
      <c r="K142" s="191">
        <v>37675</v>
      </c>
      <c r="L142" s="191">
        <v>6994</v>
      </c>
      <c r="M142" s="191">
        <v>9258</v>
      </c>
      <c r="N142" s="191">
        <v>0</v>
      </c>
      <c r="O142" s="191">
        <v>0</v>
      </c>
      <c r="P142" s="211">
        <v>0</v>
      </c>
      <c r="Q142" s="211">
        <v>5923.75</v>
      </c>
      <c r="R142" s="211">
        <v>37675</v>
      </c>
      <c r="S142" s="211">
        <v>0</v>
      </c>
      <c r="T142" s="211">
        <v>21994</v>
      </c>
      <c r="U142" s="211">
        <v>0</v>
      </c>
      <c r="V142" s="211">
        <v>0</v>
      </c>
      <c r="W142" s="211">
        <v>0</v>
      </c>
      <c r="X142" s="191">
        <v>8740</v>
      </c>
      <c r="Y142" s="191">
        <v>0</v>
      </c>
      <c r="Z142" s="191">
        <v>10639</v>
      </c>
      <c r="AA142" s="191">
        <v>0</v>
      </c>
      <c r="AB142" s="191">
        <v>0</v>
      </c>
      <c r="AC142" s="191">
        <v>0</v>
      </c>
      <c r="AD142" s="191">
        <v>0</v>
      </c>
      <c r="AE142" s="191">
        <v>0</v>
      </c>
      <c r="AF142" s="211">
        <v>0</v>
      </c>
      <c r="AG142" s="211">
        <v>0</v>
      </c>
      <c r="AH142" s="211">
        <v>37675</v>
      </c>
      <c r="AI142" s="67"/>
      <c r="AJ142" s="211">
        <v>0</v>
      </c>
      <c r="AK142" s="211">
        <v>0</v>
      </c>
      <c r="AL142" s="191">
        <v>37675</v>
      </c>
      <c r="AM142" s="191">
        <v>0</v>
      </c>
      <c r="AN142" s="190"/>
      <c r="AO142" s="190"/>
      <c r="AP142" s="190"/>
      <c r="AQ142" s="375"/>
      <c r="AR142" s="375"/>
      <c r="AS142" s="382"/>
      <c r="AT142" s="382"/>
      <c r="AU142" s="382"/>
      <c r="AV142" s="198">
        <f t="shared" si="14"/>
        <v>221548.75</v>
      </c>
      <c r="AX142" s="33">
        <f t="shared" si="16"/>
        <v>32633</v>
      </c>
      <c r="AY142" s="33">
        <f t="shared" si="16"/>
        <v>0</v>
      </c>
      <c r="AZ142" s="33">
        <f t="shared" si="16"/>
        <v>0</v>
      </c>
      <c r="BA142" s="33">
        <f t="shared" si="16"/>
        <v>150700</v>
      </c>
      <c r="BB142" s="33">
        <f t="shared" si="16"/>
        <v>32292</v>
      </c>
      <c r="BC142" s="33">
        <f t="shared" si="16"/>
        <v>0</v>
      </c>
      <c r="BD142" s="33">
        <f t="shared" si="16"/>
        <v>5923.75</v>
      </c>
      <c r="BE142" s="58">
        <f t="shared" si="15"/>
        <v>0</v>
      </c>
    </row>
    <row r="143" spans="1:57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Mar 2026'!$A$8:$F$206,6,FALSE)</f>
        <v>Chq Bk</v>
      </c>
      <c r="H143" s="191">
        <v>7271</v>
      </c>
      <c r="I143" s="191">
        <v>0</v>
      </c>
      <c r="J143" s="191">
        <v>309728.08482498123</v>
      </c>
      <c r="K143" s="191">
        <v>33408</v>
      </c>
      <c r="L143" s="191">
        <v>-77</v>
      </c>
      <c r="M143" s="191">
        <v>3761</v>
      </c>
      <c r="N143" s="191">
        <v>0</v>
      </c>
      <c r="O143" s="191">
        <v>0</v>
      </c>
      <c r="P143" s="211">
        <v>0</v>
      </c>
      <c r="Q143" s="211">
        <v>11644.38</v>
      </c>
      <c r="R143" s="211">
        <v>33408</v>
      </c>
      <c r="S143" s="211">
        <v>0</v>
      </c>
      <c r="T143" s="211">
        <v>0</v>
      </c>
      <c r="U143" s="211">
        <v>0</v>
      </c>
      <c r="V143" s="211">
        <v>262.8</v>
      </c>
      <c r="W143" s="211">
        <v>74793.157447244579</v>
      </c>
      <c r="X143" s="191">
        <v>8710</v>
      </c>
      <c r="Y143" s="191">
        <v>0</v>
      </c>
      <c r="Z143" s="191">
        <v>0</v>
      </c>
      <c r="AA143" s="191">
        <v>51118.7</v>
      </c>
      <c r="AB143" s="191">
        <v>-2695.3904347826092</v>
      </c>
      <c r="AC143" s="191">
        <v>-3595.8573913043479</v>
      </c>
      <c r="AD143" s="191">
        <v>0</v>
      </c>
      <c r="AE143" s="191">
        <v>571.29</v>
      </c>
      <c r="AF143" s="211">
        <v>4800</v>
      </c>
      <c r="AG143" s="211">
        <v>0</v>
      </c>
      <c r="AH143" s="211">
        <v>33408</v>
      </c>
      <c r="AI143" s="67"/>
      <c r="AJ143" s="211">
        <v>0</v>
      </c>
      <c r="AK143" s="211">
        <v>0</v>
      </c>
      <c r="AL143" s="191">
        <v>33411</v>
      </c>
      <c r="AM143" s="191">
        <v>0</v>
      </c>
      <c r="AN143" s="190"/>
      <c r="AO143" s="190"/>
      <c r="AP143" s="190"/>
      <c r="AQ143" s="375"/>
      <c r="AR143" s="375"/>
      <c r="AS143" s="382"/>
      <c r="AT143" s="382"/>
      <c r="AU143" s="382"/>
      <c r="AV143" s="198">
        <f t="shared" si="14"/>
        <v>599927.16444613889</v>
      </c>
      <c r="AX143" s="33">
        <f t="shared" si="16"/>
        <v>-6291.2478260869575</v>
      </c>
      <c r="AY143" s="33">
        <f t="shared" si="16"/>
        <v>0</v>
      </c>
      <c r="AZ143" s="33">
        <f t="shared" si="16"/>
        <v>435639.9422722258</v>
      </c>
      <c r="BA143" s="33">
        <f t="shared" si="16"/>
        <v>133635</v>
      </c>
      <c r="BB143" s="33">
        <f t="shared" si="16"/>
        <v>25299.09</v>
      </c>
      <c r="BC143" s="33">
        <f t="shared" si="16"/>
        <v>0</v>
      </c>
      <c r="BD143" s="33">
        <f t="shared" si="16"/>
        <v>11644.38</v>
      </c>
      <c r="BE143" s="58">
        <f t="shared" si="15"/>
        <v>0</v>
      </c>
    </row>
    <row r="144" spans="1:57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Mar 2026'!$A$8:$F$206,6,FALSE)</f>
        <v>Academy</v>
      </c>
      <c r="H144" s="191">
        <v>7387</v>
      </c>
      <c r="I144" s="191">
        <v>0</v>
      </c>
      <c r="J144" s="191">
        <v>0</v>
      </c>
      <c r="K144" s="191">
        <v>32281</v>
      </c>
      <c r="L144" s="191">
        <v>4958</v>
      </c>
      <c r="M144" s="191">
        <v>10704</v>
      </c>
      <c r="N144" s="191">
        <v>0</v>
      </c>
      <c r="O144" s="191">
        <v>0</v>
      </c>
      <c r="P144" s="211">
        <v>0</v>
      </c>
      <c r="Q144" s="211">
        <v>0</v>
      </c>
      <c r="R144" s="211">
        <v>21521.08</v>
      </c>
      <c r="S144" s="211">
        <v>0</v>
      </c>
      <c r="T144" s="211">
        <v>0</v>
      </c>
      <c r="U144" s="211"/>
      <c r="V144" s="211">
        <v>0</v>
      </c>
      <c r="W144" s="211">
        <v>0</v>
      </c>
      <c r="X144" s="191">
        <v>0</v>
      </c>
      <c r="Y144" s="191">
        <v>0</v>
      </c>
      <c r="Z144" s="191">
        <v>0</v>
      </c>
      <c r="AA144" s="191">
        <v>0</v>
      </c>
      <c r="AB144" s="191">
        <v>0</v>
      </c>
      <c r="AC144" s="191">
        <v>0</v>
      </c>
      <c r="AD144" s="191">
        <v>0</v>
      </c>
      <c r="AE144" s="191">
        <v>0</v>
      </c>
      <c r="AF144" s="211">
        <v>0</v>
      </c>
      <c r="AG144" s="211">
        <v>0</v>
      </c>
      <c r="AH144" s="211">
        <v>0</v>
      </c>
      <c r="AI144" s="67"/>
      <c r="AJ144" s="211">
        <v>0</v>
      </c>
      <c r="AK144" s="211">
        <v>0</v>
      </c>
      <c r="AL144" s="191">
        <v>0</v>
      </c>
      <c r="AM144" s="191">
        <v>0</v>
      </c>
      <c r="AN144" s="190"/>
      <c r="AO144" s="190"/>
      <c r="AP144" s="190"/>
      <c r="AQ144" s="375"/>
      <c r="AR144" s="375"/>
      <c r="AS144" s="382"/>
      <c r="AT144" s="382"/>
      <c r="AU144" s="382"/>
      <c r="AV144" s="198">
        <f t="shared" si="14"/>
        <v>76851.08</v>
      </c>
      <c r="AX144" s="33">
        <f t="shared" si="16"/>
        <v>0</v>
      </c>
      <c r="AY144" s="33">
        <f t="shared" si="16"/>
        <v>0</v>
      </c>
      <c r="AZ144" s="33">
        <f t="shared" si="16"/>
        <v>0</v>
      </c>
      <c r="BA144" s="33">
        <f t="shared" si="16"/>
        <v>53802.080000000002</v>
      </c>
      <c r="BB144" s="33">
        <f t="shared" si="16"/>
        <v>23049</v>
      </c>
      <c r="BC144" s="33">
        <f t="shared" si="16"/>
        <v>0</v>
      </c>
      <c r="BD144" s="33">
        <f t="shared" si="16"/>
        <v>0</v>
      </c>
      <c r="BE144" s="58">
        <f t="shared" si="15"/>
        <v>0</v>
      </c>
    </row>
    <row r="145" spans="1:57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Mar 2026'!$A$8:$F$206,6,FALSE)</f>
        <v>Chq Bk</v>
      </c>
      <c r="H145" s="191">
        <v>7233</v>
      </c>
      <c r="I145" s="191">
        <v>0</v>
      </c>
      <c r="J145" s="191">
        <v>557510.55268496624</v>
      </c>
      <c r="K145" s="191">
        <v>47546</v>
      </c>
      <c r="L145" s="191">
        <v>8816</v>
      </c>
      <c r="M145" s="191">
        <v>9258</v>
      </c>
      <c r="N145" s="191">
        <v>0</v>
      </c>
      <c r="O145" s="191">
        <v>0</v>
      </c>
      <c r="P145" s="211">
        <v>0</v>
      </c>
      <c r="Q145" s="211">
        <v>18175</v>
      </c>
      <c r="R145" s="211">
        <v>47546</v>
      </c>
      <c r="S145" s="211">
        <v>0</v>
      </c>
      <c r="T145" s="211">
        <v>0</v>
      </c>
      <c r="U145" s="211">
        <v>0</v>
      </c>
      <c r="V145" s="211">
        <v>0</v>
      </c>
      <c r="W145" s="211">
        <v>134627.68340504027</v>
      </c>
      <c r="X145" s="191">
        <v>8650</v>
      </c>
      <c r="Y145" s="191">
        <v>0</v>
      </c>
      <c r="Z145" s="191">
        <v>0</v>
      </c>
      <c r="AA145" s="191">
        <v>92013.66</v>
      </c>
      <c r="AB145" s="191">
        <v>-4851.7047826086964</v>
      </c>
      <c r="AC145" s="191">
        <v>-6472.5513043478259</v>
      </c>
      <c r="AD145" s="191">
        <v>0</v>
      </c>
      <c r="AE145" s="191">
        <v>0</v>
      </c>
      <c r="AF145" s="211">
        <v>7200</v>
      </c>
      <c r="AG145" s="211">
        <v>0</v>
      </c>
      <c r="AH145" s="211">
        <v>46739</v>
      </c>
      <c r="AI145" s="67"/>
      <c r="AJ145" s="211">
        <v>0</v>
      </c>
      <c r="AK145" s="211">
        <v>0</v>
      </c>
      <c r="AL145" s="191">
        <v>47279</v>
      </c>
      <c r="AM145" s="191">
        <v>0</v>
      </c>
      <c r="AN145" s="190"/>
      <c r="AO145" s="190"/>
      <c r="AP145" s="190"/>
      <c r="AQ145" s="375"/>
      <c r="AR145" s="375"/>
      <c r="AS145" s="382"/>
      <c r="AT145" s="382"/>
      <c r="AU145" s="382"/>
      <c r="AV145" s="198">
        <f t="shared" si="14"/>
        <v>1021269.6400030501</v>
      </c>
      <c r="AX145" s="33">
        <f t="shared" si="16"/>
        <v>-11324.256086956522</v>
      </c>
      <c r="AY145" s="33">
        <f t="shared" si="16"/>
        <v>0</v>
      </c>
      <c r="AZ145" s="33">
        <f t="shared" si="16"/>
        <v>784151.89609000657</v>
      </c>
      <c r="BA145" s="33">
        <f t="shared" si="16"/>
        <v>189110</v>
      </c>
      <c r="BB145" s="33">
        <f t="shared" si="16"/>
        <v>41157</v>
      </c>
      <c r="BC145" s="33">
        <f t="shared" si="16"/>
        <v>0</v>
      </c>
      <c r="BD145" s="33">
        <f t="shared" si="16"/>
        <v>18175</v>
      </c>
      <c r="BE145" s="58">
        <f t="shared" si="15"/>
        <v>0</v>
      </c>
    </row>
    <row r="146" spans="1:57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Mar 2026'!$A$8:$F$206,6,FALSE)</f>
        <v>Chq Bk</v>
      </c>
      <c r="H146" s="191">
        <v>8667</v>
      </c>
      <c r="I146" s="191">
        <v>0</v>
      </c>
      <c r="J146" s="191">
        <v>0</v>
      </c>
      <c r="K146" s="191">
        <v>96960</v>
      </c>
      <c r="L146" s="191">
        <v>0</v>
      </c>
      <c r="M146" s="191">
        <v>0</v>
      </c>
      <c r="N146" s="191">
        <v>0</v>
      </c>
      <c r="O146" s="191">
        <v>0</v>
      </c>
      <c r="P146" s="211">
        <v>0</v>
      </c>
      <c r="Q146" s="211">
        <v>9400</v>
      </c>
      <c r="R146" s="211">
        <v>96960</v>
      </c>
      <c r="S146" s="211">
        <v>0</v>
      </c>
      <c r="T146" s="211">
        <v>59245</v>
      </c>
      <c r="U146" s="211">
        <v>0</v>
      </c>
      <c r="V146" s="211">
        <v>0</v>
      </c>
      <c r="W146" s="211">
        <v>0</v>
      </c>
      <c r="X146" s="191">
        <v>10385</v>
      </c>
      <c r="Y146" s="191">
        <v>0</v>
      </c>
      <c r="Z146" s="191">
        <v>28218</v>
      </c>
      <c r="AA146" s="191">
        <v>0</v>
      </c>
      <c r="AB146" s="191">
        <v>0</v>
      </c>
      <c r="AC146" s="191">
        <v>0</v>
      </c>
      <c r="AD146" s="191">
        <v>0</v>
      </c>
      <c r="AE146" s="191">
        <v>0</v>
      </c>
      <c r="AF146" s="211">
        <v>0</v>
      </c>
      <c r="AG146" s="211">
        <v>0</v>
      </c>
      <c r="AH146" s="211">
        <v>95823</v>
      </c>
      <c r="AI146" s="67"/>
      <c r="AJ146" s="211">
        <v>0</v>
      </c>
      <c r="AK146" s="211">
        <v>0</v>
      </c>
      <c r="AL146" s="191">
        <v>96582</v>
      </c>
      <c r="AM146" s="191">
        <v>0</v>
      </c>
      <c r="AN146" s="190"/>
      <c r="AO146" s="190"/>
      <c r="AP146" s="190"/>
      <c r="AQ146" s="375"/>
      <c r="AR146" s="375"/>
      <c r="AS146" s="382"/>
      <c r="AT146" s="382"/>
      <c r="AU146" s="382"/>
      <c r="AV146" s="198">
        <f t="shared" si="14"/>
        <v>502240</v>
      </c>
      <c r="AX146" s="33">
        <f t="shared" si="16"/>
        <v>87463</v>
      </c>
      <c r="AY146" s="33">
        <f t="shared" si="16"/>
        <v>0</v>
      </c>
      <c r="AZ146" s="33">
        <f t="shared" si="16"/>
        <v>0</v>
      </c>
      <c r="BA146" s="33">
        <f t="shared" si="16"/>
        <v>386325</v>
      </c>
      <c r="BB146" s="33">
        <f t="shared" si="16"/>
        <v>19052</v>
      </c>
      <c r="BC146" s="33">
        <f t="shared" si="16"/>
        <v>0</v>
      </c>
      <c r="BD146" s="33">
        <f t="shared" si="16"/>
        <v>9400</v>
      </c>
      <c r="BE146" s="58">
        <f t="shared" si="15"/>
        <v>0</v>
      </c>
    </row>
    <row r="147" spans="1:57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Mar 2026'!$A$8:$F$206,6,FALSE)</f>
        <v>Chq Bk</v>
      </c>
      <c r="H147" s="191">
        <v>7054</v>
      </c>
      <c r="I147" s="191">
        <v>0</v>
      </c>
      <c r="J147" s="191">
        <v>549251.13708963338</v>
      </c>
      <c r="K147" s="191">
        <v>45546</v>
      </c>
      <c r="L147" s="191">
        <v>6506</v>
      </c>
      <c r="M147" s="191">
        <v>7811</v>
      </c>
      <c r="N147" s="191">
        <v>0</v>
      </c>
      <c r="O147" s="191">
        <v>0</v>
      </c>
      <c r="P147" s="211">
        <v>0</v>
      </c>
      <c r="Q147" s="211">
        <v>18124.38</v>
      </c>
      <c r="R147" s="211">
        <v>45546</v>
      </c>
      <c r="S147" s="211">
        <v>0</v>
      </c>
      <c r="T147" s="211">
        <v>0</v>
      </c>
      <c r="U147" s="211">
        <v>0</v>
      </c>
      <c r="V147" s="211">
        <v>0</v>
      </c>
      <c r="W147" s="211">
        <v>132633.19920644705</v>
      </c>
      <c r="X147" s="191">
        <v>8575</v>
      </c>
      <c r="Y147" s="191">
        <v>0</v>
      </c>
      <c r="Z147" s="191">
        <v>0</v>
      </c>
      <c r="AA147" s="191">
        <v>98829.49</v>
      </c>
      <c r="AB147" s="191">
        <v>-4779.8346376811605</v>
      </c>
      <c r="AC147" s="191">
        <v>-6376.6588405797102</v>
      </c>
      <c r="AD147" s="191">
        <v>0</v>
      </c>
      <c r="AE147" s="191">
        <v>285.64</v>
      </c>
      <c r="AF147" s="211">
        <v>7200</v>
      </c>
      <c r="AG147" s="211">
        <v>0</v>
      </c>
      <c r="AH147" s="211">
        <v>44739</v>
      </c>
      <c r="AI147" s="67"/>
      <c r="AJ147" s="211">
        <v>28140.096738792461</v>
      </c>
      <c r="AK147" s="211">
        <v>0</v>
      </c>
      <c r="AL147" s="191">
        <v>45279</v>
      </c>
      <c r="AM147" s="191">
        <v>0</v>
      </c>
      <c r="AN147" s="190"/>
      <c r="AO147" s="190"/>
      <c r="AP147" s="190"/>
      <c r="AQ147" s="375"/>
      <c r="AR147" s="375"/>
      <c r="AS147" s="382"/>
      <c r="AT147" s="382"/>
      <c r="AU147" s="382"/>
      <c r="AV147" s="198">
        <f t="shared" si="14"/>
        <v>1034363.4495566122</v>
      </c>
      <c r="AX147" s="33">
        <f t="shared" si="16"/>
        <v>-11156.493478260871</v>
      </c>
      <c r="AY147" s="33">
        <f t="shared" si="16"/>
        <v>28140.096738792461</v>
      </c>
      <c r="AZ147" s="33">
        <f t="shared" si="16"/>
        <v>780713.82629608037</v>
      </c>
      <c r="BA147" s="33">
        <f t="shared" si="16"/>
        <v>181110</v>
      </c>
      <c r="BB147" s="33">
        <f t="shared" si="16"/>
        <v>37431.64</v>
      </c>
      <c r="BC147" s="33">
        <f t="shared" si="16"/>
        <v>0</v>
      </c>
      <c r="BD147" s="33">
        <f t="shared" si="16"/>
        <v>18124.38</v>
      </c>
      <c r="BE147" s="58">
        <f t="shared" si="15"/>
        <v>0</v>
      </c>
    </row>
    <row r="148" spans="1:57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Mar 2026'!$A$8:$F$206,6,FALSE)</f>
        <v>Chq Bk</v>
      </c>
      <c r="H148" s="191">
        <v>6962</v>
      </c>
      <c r="I148" s="191">
        <v>0</v>
      </c>
      <c r="J148" s="191">
        <v>470786.68893397145</v>
      </c>
      <c r="K148" s="191">
        <v>31945</v>
      </c>
      <c r="L148" s="191">
        <v>2377</v>
      </c>
      <c r="M148" s="191">
        <v>3472</v>
      </c>
      <c r="N148" s="191">
        <v>0</v>
      </c>
      <c r="O148" s="191">
        <v>0</v>
      </c>
      <c r="P148" s="211">
        <v>0</v>
      </c>
      <c r="Q148" s="211">
        <v>15122.31</v>
      </c>
      <c r="R148" s="211">
        <v>31945</v>
      </c>
      <c r="S148" s="211">
        <v>0</v>
      </c>
      <c r="T148" s="211">
        <v>0</v>
      </c>
      <c r="U148" s="211">
        <v>658</v>
      </c>
      <c r="V148" s="211">
        <v>876</v>
      </c>
      <c r="W148" s="211">
        <v>113685.59931981175</v>
      </c>
      <c r="X148" s="191">
        <v>8360</v>
      </c>
      <c r="Y148" s="191">
        <v>0</v>
      </c>
      <c r="Z148" s="191">
        <v>0</v>
      </c>
      <c r="AA148" s="191">
        <v>77700.429999999993</v>
      </c>
      <c r="AB148" s="191">
        <v>-4096.9982608695645</v>
      </c>
      <c r="AC148" s="191">
        <v>-5465.710434782608</v>
      </c>
      <c r="AD148" s="191">
        <v>0</v>
      </c>
      <c r="AE148" s="191">
        <v>571.29</v>
      </c>
      <c r="AF148" s="211">
        <v>4800</v>
      </c>
      <c r="AG148" s="211">
        <v>0</v>
      </c>
      <c r="AH148" s="211">
        <v>30001</v>
      </c>
      <c r="AI148" s="67"/>
      <c r="AJ148" s="211">
        <v>38510.704199766471</v>
      </c>
      <c r="AK148" s="211">
        <v>0</v>
      </c>
      <c r="AL148" s="191">
        <v>31299</v>
      </c>
      <c r="AM148" s="191">
        <v>0</v>
      </c>
      <c r="AN148" s="190"/>
      <c r="AO148" s="190"/>
      <c r="AP148" s="190"/>
      <c r="AQ148" s="375"/>
      <c r="AR148" s="375"/>
      <c r="AS148" s="382"/>
      <c r="AT148" s="382"/>
      <c r="AU148" s="382"/>
      <c r="AV148" s="198">
        <f t="shared" si="14"/>
        <v>859509.3137578977</v>
      </c>
      <c r="AX148" s="33">
        <f t="shared" si="16"/>
        <v>-8904.7086956521725</v>
      </c>
      <c r="AY148" s="33">
        <f t="shared" si="16"/>
        <v>38510.704199766471</v>
      </c>
      <c r="AZ148" s="33">
        <f t="shared" si="16"/>
        <v>662172.71825378318</v>
      </c>
      <c r="BA148" s="33">
        <f t="shared" si="16"/>
        <v>125190</v>
      </c>
      <c r="BB148" s="33">
        <f t="shared" si="16"/>
        <v>27418.29</v>
      </c>
      <c r="BC148" s="33">
        <f t="shared" si="16"/>
        <v>0</v>
      </c>
      <c r="BD148" s="33">
        <f t="shared" si="16"/>
        <v>15122.31</v>
      </c>
      <c r="BE148" s="58">
        <f t="shared" si="15"/>
        <v>0</v>
      </c>
    </row>
    <row r="149" spans="1:57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Mar 2026'!$A$8:$F$206,6,FALSE)</f>
        <v>Chq Bk</v>
      </c>
      <c r="H149" s="191">
        <v>7417</v>
      </c>
      <c r="I149" s="191">
        <v>0</v>
      </c>
      <c r="J149" s="191">
        <v>0</v>
      </c>
      <c r="K149" s="191">
        <v>6717</v>
      </c>
      <c r="L149" s="191">
        <v>40445</v>
      </c>
      <c r="M149" s="191">
        <v>61183</v>
      </c>
      <c r="N149" s="191">
        <v>0</v>
      </c>
      <c r="O149" s="191">
        <v>0</v>
      </c>
      <c r="P149" s="211">
        <v>0</v>
      </c>
      <c r="Q149" s="211">
        <v>7685.5</v>
      </c>
      <c r="R149" s="211">
        <v>6717</v>
      </c>
      <c r="S149" s="211">
        <v>0</v>
      </c>
      <c r="T149" s="211">
        <v>24276</v>
      </c>
      <c r="U149" s="211">
        <v>9024</v>
      </c>
      <c r="V149" s="211">
        <v>0</v>
      </c>
      <c r="W149" s="211">
        <v>0</v>
      </c>
      <c r="X149" s="191">
        <v>8890</v>
      </c>
      <c r="Y149" s="191">
        <v>0</v>
      </c>
      <c r="Z149" s="191">
        <v>11769</v>
      </c>
      <c r="AA149" s="191">
        <v>0</v>
      </c>
      <c r="AB149" s="191">
        <v>0</v>
      </c>
      <c r="AC149" s="191">
        <v>0</v>
      </c>
      <c r="AD149" s="191">
        <v>0</v>
      </c>
      <c r="AE149" s="191">
        <v>0</v>
      </c>
      <c r="AF149" s="211">
        <v>2400</v>
      </c>
      <c r="AG149" s="211">
        <v>657</v>
      </c>
      <c r="AH149" s="211">
        <v>6717</v>
      </c>
      <c r="AI149" s="67"/>
      <c r="AJ149" s="211">
        <v>0</v>
      </c>
      <c r="AK149" s="211">
        <v>0</v>
      </c>
      <c r="AL149" s="191">
        <v>6719</v>
      </c>
      <c r="AM149" s="191">
        <v>0</v>
      </c>
      <c r="AN149" s="190"/>
      <c r="AO149" s="190"/>
      <c r="AP149" s="190"/>
      <c r="AQ149" s="375"/>
      <c r="AR149" s="375"/>
      <c r="AS149" s="382"/>
      <c r="AT149" s="382"/>
      <c r="AU149" s="382"/>
      <c r="AV149" s="198">
        <f t="shared" si="14"/>
        <v>200616.5</v>
      </c>
      <c r="AX149" s="33">
        <f t="shared" si="16"/>
        <v>45069</v>
      </c>
      <c r="AY149" s="33">
        <f t="shared" si="16"/>
        <v>0</v>
      </c>
      <c r="AZ149" s="33">
        <f t="shared" si="16"/>
        <v>0</v>
      </c>
      <c r="BA149" s="33">
        <f t="shared" si="16"/>
        <v>26870</v>
      </c>
      <c r="BB149" s="33">
        <f t="shared" si="16"/>
        <v>120992</v>
      </c>
      <c r="BC149" s="33">
        <f t="shared" si="16"/>
        <v>0</v>
      </c>
      <c r="BD149" s="33">
        <f t="shared" si="16"/>
        <v>7685.5</v>
      </c>
      <c r="BE149" s="58">
        <f t="shared" si="15"/>
        <v>0</v>
      </c>
    </row>
    <row r="150" spans="1:57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Mar 2026'!$A$8:$F$206,6,FALSE)</f>
        <v>Chq Bk</v>
      </c>
      <c r="H150" s="191">
        <v>8158</v>
      </c>
      <c r="I150" s="191">
        <v>0</v>
      </c>
      <c r="J150" s="191">
        <v>0</v>
      </c>
      <c r="K150" s="191">
        <v>23282</v>
      </c>
      <c r="L150" s="191">
        <v>0</v>
      </c>
      <c r="M150" s="191">
        <v>0</v>
      </c>
      <c r="N150" s="191">
        <v>0</v>
      </c>
      <c r="O150" s="191">
        <v>0</v>
      </c>
      <c r="P150" s="211">
        <v>0</v>
      </c>
      <c r="Q150" s="211">
        <v>8027.5</v>
      </c>
      <c r="R150" s="211">
        <v>23282</v>
      </c>
      <c r="S150" s="211">
        <v>0</v>
      </c>
      <c r="T150" s="211">
        <v>35026</v>
      </c>
      <c r="U150" s="211">
        <v>0</v>
      </c>
      <c r="V150" s="211">
        <v>0</v>
      </c>
      <c r="W150" s="211">
        <v>0</v>
      </c>
      <c r="X150" s="191">
        <v>9790</v>
      </c>
      <c r="Y150" s="191">
        <v>0</v>
      </c>
      <c r="Z150" s="191">
        <v>16844</v>
      </c>
      <c r="AA150" s="191">
        <v>0</v>
      </c>
      <c r="AB150" s="191">
        <v>0</v>
      </c>
      <c r="AC150" s="191">
        <v>0</v>
      </c>
      <c r="AD150" s="191">
        <v>0</v>
      </c>
      <c r="AE150" s="191">
        <v>856.93</v>
      </c>
      <c r="AF150" s="211">
        <v>2400</v>
      </c>
      <c r="AG150" s="211">
        <v>0</v>
      </c>
      <c r="AH150" s="211">
        <v>23282</v>
      </c>
      <c r="AI150" s="67"/>
      <c r="AJ150" s="211">
        <v>0</v>
      </c>
      <c r="AK150" s="211">
        <v>0</v>
      </c>
      <c r="AL150" s="191">
        <v>23284</v>
      </c>
      <c r="AM150" s="191">
        <v>0</v>
      </c>
      <c r="AN150" s="190"/>
      <c r="AO150" s="190"/>
      <c r="AP150" s="190"/>
      <c r="AQ150" s="375"/>
      <c r="AR150" s="375"/>
      <c r="AS150" s="382"/>
      <c r="AT150" s="382"/>
      <c r="AU150" s="382"/>
      <c r="AV150" s="198">
        <f t="shared" si="14"/>
        <v>174232.43</v>
      </c>
      <c r="AX150" s="33">
        <f t="shared" si="16"/>
        <v>51870</v>
      </c>
      <c r="AY150" s="33">
        <f t="shared" si="16"/>
        <v>0</v>
      </c>
      <c r="AZ150" s="33">
        <f t="shared" si="16"/>
        <v>0</v>
      </c>
      <c r="BA150" s="33">
        <f t="shared" si="16"/>
        <v>93130</v>
      </c>
      <c r="BB150" s="33">
        <f t="shared" si="16"/>
        <v>21204.93</v>
      </c>
      <c r="BC150" s="33">
        <f t="shared" si="16"/>
        <v>0</v>
      </c>
      <c r="BD150" s="33">
        <f t="shared" si="16"/>
        <v>8027.5</v>
      </c>
      <c r="BE150" s="58">
        <f t="shared" si="15"/>
        <v>0</v>
      </c>
    </row>
    <row r="151" spans="1:57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Mar 2026'!$A$8:$F$206,6,FALSE)</f>
        <v>Chq Bk</v>
      </c>
      <c r="H151" s="191">
        <v>9733</v>
      </c>
      <c r="I151" s="191">
        <v>0</v>
      </c>
      <c r="J151" s="191">
        <v>0</v>
      </c>
      <c r="K151" s="191">
        <v>135592</v>
      </c>
      <c r="L151" s="191">
        <v>51364</v>
      </c>
      <c r="M151" s="191">
        <v>71018</v>
      </c>
      <c r="N151" s="191">
        <v>0</v>
      </c>
      <c r="O151" s="191">
        <v>0</v>
      </c>
      <c r="P151" s="211">
        <v>0</v>
      </c>
      <c r="Q151" s="211">
        <v>13981</v>
      </c>
      <c r="R151" s="211">
        <v>135592</v>
      </c>
      <c r="S151" s="211">
        <v>0</v>
      </c>
      <c r="T151" s="211">
        <v>97085</v>
      </c>
      <c r="U151" s="211">
        <v>4888</v>
      </c>
      <c r="V151" s="211">
        <v>0</v>
      </c>
      <c r="W151" s="211">
        <v>0</v>
      </c>
      <c r="X151" s="191">
        <v>11680</v>
      </c>
      <c r="Y151" s="191">
        <v>0</v>
      </c>
      <c r="Z151" s="191">
        <v>48196</v>
      </c>
      <c r="AA151" s="191">
        <v>0</v>
      </c>
      <c r="AB151" s="191">
        <v>0</v>
      </c>
      <c r="AC151" s="191">
        <v>0</v>
      </c>
      <c r="AD151" s="191">
        <v>0</v>
      </c>
      <c r="AE151" s="191">
        <v>1142.57</v>
      </c>
      <c r="AF151" s="211">
        <v>4800</v>
      </c>
      <c r="AG151" s="211">
        <v>5124.6000000000004</v>
      </c>
      <c r="AH151" s="211">
        <v>135592</v>
      </c>
      <c r="AI151" s="67"/>
      <c r="AJ151" s="211">
        <v>0</v>
      </c>
      <c r="AK151" s="211">
        <v>0</v>
      </c>
      <c r="AL151" s="191">
        <v>135594</v>
      </c>
      <c r="AM151" s="191">
        <v>0</v>
      </c>
      <c r="AN151" s="190"/>
      <c r="AO151" s="190"/>
      <c r="AP151" s="190"/>
      <c r="AQ151" s="375"/>
      <c r="AR151" s="375"/>
      <c r="AS151" s="382"/>
      <c r="AT151" s="382"/>
      <c r="AU151" s="382"/>
      <c r="AV151" s="198">
        <f t="shared" si="14"/>
        <v>861382.16999999993</v>
      </c>
      <c r="AX151" s="33">
        <f t="shared" si="16"/>
        <v>150169</v>
      </c>
      <c r="AY151" s="33">
        <f t="shared" si="16"/>
        <v>0</v>
      </c>
      <c r="AZ151" s="33">
        <f t="shared" si="16"/>
        <v>0</v>
      </c>
      <c r="BA151" s="33">
        <f t="shared" si="16"/>
        <v>542370</v>
      </c>
      <c r="BB151" s="33">
        <f t="shared" si="16"/>
        <v>154862.17000000001</v>
      </c>
      <c r="BC151" s="33">
        <f t="shared" si="16"/>
        <v>0</v>
      </c>
      <c r="BD151" s="33">
        <f t="shared" si="16"/>
        <v>13981</v>
      </c>
      <c r="BE151" s="58">
        <f t="shared" si="15"/>
        <v>0</v>
      </c>
    </row>
    <row r="152" spans="1:57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Mar 2026'!$A$8:$F$206,6,FALSE)</f>
        <v>Chq Bk</v>
      </c>
      <c r="H152" s="191">
        <v>7408</v>
      </c>
      <c r="I152" s="191">
        <v>0</v>
      </c>
      <c r="J152" s="191">
        <v>0</v>
      </c>
      <c r="K152" s="191">
        <v>34466</v>
      </c>
      <c r="L152" s="191">
        <v>9330</v>
      </c>
      <c r="M152" s="191">
        <v>15766</v>
      </c>
      <c r="N152" s="191">
        <v>0</v>
      </c>
      <c r="O152" s="191">
        <v>0</v>
      </c>
      <c r="P152" s="211">
        <v>0</v>
      </c>
      <c r="Q152" s="211">
        <v>6340</v>
      </c>
      <c r="R152" s="211">
        <v>34466</v>
      </c>
      <c r="S152" s="211">
        <v>0</v>
      </c>
      <c r="T152" s="211">
        <v>25772</v>
      </c>
      <c r="U152" s="211">
        <v>0</v>
      </c>
      <c r="V152" s="211">
        <v>0</v>
      </c>
      <c r="W152" s="211">
        <v>0</v>
      </c>
      <c r="X152" s="191">
        <v>8895</v>
      </c>
      <c r="Y152" s="191">
        <v>0</v>
      </c>
      <c r="Z152" s="191">
        <v>12435</v>
      </c>
      <c r="AA152" s="191">
        <v>0</v>
      </c>
      <c r="AB152" s="191">
        <v>0</v>
      </c>
      <c r="AC152" s="191">
        <v>0</v>
      </c>
      <c r="AD152" s="191">
        <v>0</v>
      </c>
      <c r="AE152" s="191">
        <v>571.29</v>
      </c>
      <c r="AF152" s="211">
        <v>2400</v>
      </c>
      <c r="AG152" s="211">
        <v>1576.8</v>
      </c>
      <c r="AH152" s="211">
        <v>34466</v>
      </c>
      <c r="AI152" s="67"/>
      <c r="AJ152" s="211">
        <v>0</v>
      </c>
      <c r="AK152" s="211">
        <v>0</v>
      </c>
      <c r="AL152" s="191">
        <v>34467</v>
      </c>
      <c r="AM152" s="191">
        <v>0</v>
      </c>
      <c r="AN152" s="190"/>
      <c r="AO152" s="190"/>
      <c r="AP152" s="190"/>
      <c r="AQ152" s="375"/>
      <c r="AR152" s="375"/>
      <c r="AS152" s="382"/>
      <c r="AT152" s="382"/>
      <c r="AU152" s="382"/>
      <c r="AV152" s="198">
        <f t="shared" si="14"/>
        <v>228359.09</v>
      </c>
      <c r="AX152" s="33">
        <f t="shared" si="16"/>
        <v>38207</v>
      </c>
      <c r="AY152" s="33">
        <f t="shared" si="16"/>
        <v>0</v>
      </c>
      <c r="AZ152" s="33">
        <f t="shared" si="16"/>
        <v>0</v>
      </c>
      <c r="BA152" s="33">
        <f t="shared" si="16"/>
        <v>137865</v>
      </c>
      <c r="BB152" s="33">
        <f t="shared" si="16"/>
        <v>45947.090000000004</v>
      </c>
      <c r="BC152" s="33">
        <f t="shared" si="16"/>
        <v>0</v>
      </c>
      <c r="BD152" s="33">
        <f t="shared" si="16"/>
        <v>6340</v>
      </c>
      <c r="BE152" s="58">
        <f t="shared" si="15"/>
        <v>0</v>
      </c>
    </row>
    <row r="153" spans="1:57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Mar 2026'!$A$8:$F$206,6,FALSE)</f>
        <v>Chq Bk</v>
      </c>
      <c r="H153" s="191">
        <v>8137</v>
      </c>
      <c r="I153" s="191">
        <v>0</v>
      </c>
      <c r="J153" s="191">
        <v>0</v>
      </c>
      <c r="K153" s="191">
        <v>89006</v>
      </c>
      <c r="L153" s="191">
        <v>9854</v>
      </c>
      <c r="M153" s="191">
        <v>17068</v>
      </c>
      <c r="N153" s="191">
        <v>0</v>
      </c>
      <c r="O153" s="191">
        <v>0</v>
      </c>
      <c r="P153" s="211">
        <v>0</v>
      </c>
      <c r="Q153" s="211">
        <v>8790.25</v>
      </c>
      <c r="R153" s="211">
        <v>89006</v>
      </c>
      <c r="S153" s="211">
        <v>0</v>
      </c>
      <c r="T153" s="211">
        <v>51191</v>
      </c>
      <c r="U153" s="211">
        <v>4512</v>
      </c>
      <c r="V153" s="211">
        <v>0</v>
      </c>
      <c r="W153" s="211">
        <v>0</v>
      </c>
      <c r="X153" s="191">
        <v>9665</v>
      </c>
      <c r="Y153" s="191">
        <v>0</v>
      </c>
      <c r="Z153" s="191">
        <v>24350</v>
      </c>
      <c r="AA153" s="191">
        <v>0</v>
      </c>
      <c r="AB153" s="191">
        <v>0</v>
      </c>
      <c r="AC153" s="191">
        <v>0</v>
      </c>
      <c r="AD153" s="191">
        <v>0</v>
      </c>
      <c r="AE153" s="191">
        <v>856.93</v>
      </c>
      <c r="AF153" s="211">
        <v>2400</v>
      </c>
      <c r="AG153" s="211">
        <v>0</v>
      </c>
      <c r="AH153" s="211">
        <v>87869</v>
      </c>
      <c r="AI153" s="67"/>
      <c r="AJ153" s="211">
        <v>0</v>
      </c>
      <c r="AK153" s="211">
        <v>0</v>
      </c>
      <c r="AL153" s="191">
        <v>88629</v>
      </c>
      <c r="AM153" s="191">
        <v>0</v>
      </c>
      <c r="AN153" s="190"/>
      <c r="AO153" s="190"/>
      <c r="AP153" s="190"/>
      <c r="AQ153" s="375"/>
      <c r="AR153" s="375"/>
      <c r="AS153" s="382"/>
      <c r="AT153" s="382"/>
      <c r="AU153" s="382"/>
      <c r="AV153" s="198">
        <f t="shared" si="14"/>
        <v>491334.18</v>
      </c>
      <c r="AX153" s="33">
        <f t="shared" si="16"/>
        <v>80053</v>
      </c>
      <c r="AY153" s="33">
        <f t="shared" si="16"/>
        <v>0</v>
      </c>
      <c r="AZ153" s="33">
        <f t="shared" si="16"/>
        <v>0</v>
      </c>
      <c r="BA153" s="33">
        <f t="shared" si="16"/>
        <v>354510</v>
      </c>
      <c r="BB153" s="33">
        <f t="shared" si="16"/>
        <v>47980.93</v>
      </c>
      <c r="BC153" s="33">
        <f t="shared" si="16"/>
        <v>0</v>
      </c>
      <c r="BD153" s="33">
        <f t="shared" si="16"/>
        <v>8790.25</v>
      </c>
      <c r="BE153" s="58">
        <f t="shared" si="15"/>
        <v>0</v>
      </c>
    </row>
    <row r="154" spans="1:57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Mar 2026'!$A$8:$F$206,6,FALSE)</f>
        <v>Chq Bk</v>
      </c>
      <c r="H154" s="191">
        <v>7429</v>
      </c>
      <c r="I154" s="191">
        <v>0</v>
      </c>
      <c r="J154" s="191">
        <v>0</v>
      </c>
      <c r="K154" s="191">
        <v>57570</v>
      </c>
      <c r="L154" s="191">
        <v>3737</v>
      </c>
      <c r="M154" s="191">
        <v>7088</v>
      </c>
      <c r="N154" s="191">
        <v>0</v>
      </c>
      <c r="O154" s="191">
        <v>0</v>
      </c>
      <c r="P154" s="211">
        <v>0</v>
      </c>
      <c r="Q154" s="211">
        <v>6532.38</v>
      </c>
      <c r="R154" s="211">
        <v>57570</v>
      </c>
      <c r="S154" s="211">
        <v>0</v>
      </c>
      <c r="T154" s="211">
        <v>31796</v>
      </c>
      <c r="U154" s="211">
        <v>2444</v>
      </c>
      <c r="V154" s="211">
        <v>0</v>
      </c>
      <c r="W154" s="211">
        <v>0</v>
      </c>
      <c r="X154" s="191">
        <v>8930</v>
      </c>
      <c r="Y154" s="191">
        <v>0</v>
      </c>
      <c r="Z154" s="191">
        <v>16649</v>
      </c>
      <c r="AA154" s="191">
        <v>0</v>
      </c>
      <c r="AB154" s="191">
        <v>0</v>
      </c>
      <c r="AC154" s="191">
        <v>0</v>
      </c>
      <c r="AD154" s="191">
        <v>0</v>
      </c>
      <c r="AE154" s="191">
        <v>856.93</v>
      </c>
      <c r="AF154" s="211">
        <v>2400</v>
      </c>
      <c r="AG154" s="211">
        <v>0</v>
      </c>
      <c r="AH154" s="211">
        <v>57570</v>
      </c>
      <c r="AI154" s="67"/>
      <c r="AJ154" s="211">
        <v>0</v>
      </c>
      <c r="AK154" s="211">
        <v>0</v>
      </c>
      <c r="AL154" s="191">
        <v>57570</v>
      </c>
      <c r="AM154" s="191">
        <v>0</v>
      </c>
      <c r="AN154" s="190"/>
      <c r="AO154" s="190"/>
      <c r="AP154" s="190"/>
      <c r="AQ154" s="375"/>
      <c r="AR154" s="375"/>
      <c r="AS154" s="382"/>
      <c r="AT154" s="382"/>
      <c r="AU154" s="382"/>
      <c r="AV154" s="198">
        <f t="shared" si="14"/>
        <v>318142.31</v>
      </c>
      <c r="AX154" s="33">
        <f t="shared" si="16"/>
        <v>50889</v>
      </c>
      <c r="AY154" s="33">
        <f t="shared" si="16"/>
        <v>0</v>
      </c>
      <c r="AZ154" s="33">
        <f t="shared" si="16"/>
        <v>0</v>
      </c>
      <c r="BA154" s="33">
        <f t="shared" si="16"/>
        <v>230280</v>
      </c>
      <c r="BB154" s="33">
        <f t="shared" si="16"/>
        <v>30440.93</v>
      </c>
      <c r="BC154" s="33">
        <f t="shared" si="16"/>
        <v>0</v>
      </c>
      <c r="BD154" s="33">
        <f t="shared" si="16"/>
        <v>6532.38</v>
      </c>
      <c r="BE154" s="58">
        <f t="shared" si="15"/>
        <v>0</v>
      </c>
    </row>
    <row r="155" spans="1:57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Mar 2026'!$A$8:$F$206,6,FALSE)</f>
        <v>Chq Bk</v>
      </c>
      <c r="H155" s="191">
        <v>0</v>
      </c>
      <c r="I155" s="191">
        <v>0</v>
      </c>
      <c r="J155" s="191">
        <v>0</v>
      </c>
      <c r="K155" s="191">
        <v>0</v>
      </c>
      <c r="L155" s="191">
        <v>0</v>
      </c>
      <c r="M155" s="191">
        <v>0</v>
      </c>
      <c r="N155" s="191">
        <v>0</v>
      </c>
      <c r="O155" s="191">
        <v>0</v>
      </c>
      <c r="P155" s="211">
        <v>2520</v>
      </c>
      <c r="Q155" s="211">
        <v>4985.5</v>
      </c>
      <c r="R155" s="211">
        <v>0</v>
      </c>
      <c r="S155" s="211">
        <v>0</v>
      </c>
      <c r="T155" s="211">
        <v>0</v>
      </c>
      <c r="U155" s="211">
        <v>15334</v>
      </c>
      <c r="V155" s="211">
        <v>0</v>
      </c>
      <c r="W155" s="211">
        <v>0</v>
      </c>
      <c r="X155" s="191">
        <v>0</v>
      </c>
      <c r="Y155" s="191">
        <v>0</v>
      </c>
      <c r="Z155" s="191">
        <v>0</v>
      </c>
      <c r="AA155" s="191">
        <v>0</v>
      </c>
      <c r="AB155" s="191">
        <v>0</v>
      </c>
      <c r="AC155" s="191">
        <v>0</v>
      </c>
      <c r="AD155" s="191">
        <v>0</v>
      </c>
      <c r="AE155" s="191">
        <v>0</v>
      </c>
      <c r="AF155" s="211">
        <v>0</v>
      </c>
      <c r="AG155" s="211">
        <v>0</v>
      </c>
      <c r="AH155" s="211">
        <v>0</v>
      </c>
      <c r="AI155" s="67"/>
      <c r="AJ155" s="211">
        <v>0</v>
      </c>
      <c r="AK155" s="211">
        <v>0</v>
      </c>
      <c r="AL155" s="191">
        <v>0</v>
      </c>
      <c r="AM155" s="191">
        <v>0</v>
      </c>
      <c r="AN155" s="190"/>
      <c r="AO155" s="190"/>
      <c r="AP155" s="190"/>
      <c r="AQ155" s="375"/>
      <c r="AR155" s="375"/>
      <c r="AS155" s="382"/>
      <c r="AT155" s="382"/>
      <c r="AU155" s="382"/>
      <c r="AV155" s="198">
        <f t="shared" si="14"/>
        <v>22839.5</v>
      </c>
      <c r="AX155" s="33">
        <f t="shared" si="16"/>
        <v>17854</v>
      </c>
      <c r="AY155" s="33">
        <f t="shared" si="16"/>
        <v>0</v>
      </c>
      <c r="AZ155" s="33">
        <f t="shared" si="16"/>
        <v>0</v>
      </c>
      <c r="BA155" s="33">
        <f t="shared" si="16"/>
        <v>0</v>
      </c>
      <c r="BB155" s="33">
        <f t="shared" si="16"/>
        <v>0</v>
      </c>
      <c r="BC155" s="33">
        <f t="shared" si="16"/>
        <v>0</v>
      </c>
      <c r="BD155" s="33">
        <f t="shared" si="16"/>
        <v>4985.5</v>
      </c>
      <c r="BE155" s="58">
        <f t="shared" si="15"/>
        <v>0</v>
      </c>
    </row>
    <row r="156" spans="1:57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Mar 2026'!$A$8:$F$206,6,FALSE)</f>
        <v>Chq Bk</v>
      </c>
      <c r="H156" s="191">
        <v>8862</v>
      </c>
      <c r="I156" s="191">
        <v>0</v>
      </c>
      <c r="J156" s="191">
        <v>0</v>
      </c>
      <c r="K156" s="191">
        <v>87078</v>
      </c>
      <c r="L156" s="191">
        <v>27017</v>
      </c>
      <c r="M156" s="191">
        <v>43247</v>
      </c>
      <c r="N156" s="191">
        <v>0</v>
      </c>
      <c r="O156" s="191">
        <v>0</v>
      </c>
      <c r="P156" s="211">
        <v>0</v>
      </c>
      <c r="Q156" s="211"/>
      <c r="R156" s="211">
        <v>87078</v>
      </c>
      <c r="S156" s="211">
        <v>0</v>
      </c>
      <c r="T156" s="211">
        <v>67011</v>
      </c>
      <c r="U156" s="211">
        <v>3666</v>
      </c>
      <c r="V156" s="211">
        <v>744.6</v>
      </c>
      <c r="W156" s="211">
        <v>0</v>
      </c>
      <c r="X156" s="191">
        <v>10660</v>
      </c>
      <c r="Y156" s="191">
        <v>0</v>
      </c>
      <c r="Z156" s="191">
        <v>31921</v>
      </c>
      <c r="AA156" s="191">
        <v>0</v>
      </c>
      <c r="AB156" s="191">
        <v>0</v>
      </c>
      <c r="AC156" s="191">
        <v>0</v>
      </c>
      <c r="AD156" s="191">
        <v>0</v>
      </c>
      <c r="AE156" s="191">
        <v>856.93</v>
      </c>
      <c r="AF156" s="211">
        <v>2400</v>
      </c>
      <c r="AG156" s="211">
        <v>0</v>
      </c>
      <c r="AH156" s="211">
        <v>87078</v>
      </c>
      <c r="AI156" s="67"/>
      <c r="AJ156" s="211">
        <v>0</v>
      </c>
      <c r="AK156" s="211">
        <v>0</v>
      </c>
      <c r="AL156" s="191">
        <v>87081</v>
      </c>
      <c r="AM156" s="191">
        <v>11204.5</v>
      </c>
      <c r="AN156" s="190"/>
      <c r="AO156" s="190"/>
      <c r="AP156" s="190"/>
      <c r="AQ156" s="375"/>
      <c r="AR156" s="375"/>
      <c r="AS156" s="382"/>
      <c r="AT156" s="382"/>
      <c r="AU156" s="382"/>
      <c r="AV156" s="198">
        <f t="shared" si="14"/>
        <v>555905.03</v>
      </c>
      <c r="AX156" s="33">
        <f t="shared" si="16"/>
        <v>102598</v>
      </c>
      <c r="AY156" s="33">
        <f t="shared" si="16"/>
        <v>0</v>
      </c>
      <c r="AZ156" s="33">
        <f t="shared" si="16"/>
        <v>0</v>
      </c>
      <c r="BA156" s="33">
        <f t="shared" si="16"/>
        <v>348315</v>
      </c>
      <c r="BB156" s="33">
        <f t="shared" si="16"/>
        <v>93787.53</v>
      </c>
      <c r="BC156" s="33">
        <f t="shared" si="16"/>
        <v>0</v>
      </c>
      <c r="BD156" s="33">
        <f t="shared" si="16"/>
        <v>11204.5</v>
      </c>
      <c r="BE156" s="58">
        <f t="shared" si="15"/>
        <v>0</v>
      </c>
    </row>
    <row r="157" spans="1:57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Mar 2026'!$A$8:$F$206,6,FALSE)</f>
        <v>Chq Bk</v>
      </c>
      <c r="H157" s="191">
        <v>0</v>
      </c>
      <c r="I157" s="191">
        <v>0</v>
      </c>
      <c r="J157" s="191">
        <v>0</v>
      </c>
      <c r="K157" s="191">
        <v>68107</v>
      </c>
      <c r="L157" s="191">
        <v>0</v>
      </c>
      <c r="M157" s="191">
        <v>0</v>
      </c>
      <c r="N157" s="191">
        <v>0</v>
      </c>
      <c r="O157" s="191">
        <v>0</v>
      </c>
      <c r="P157" s="211">
        <v>0</v>
      </c>
      <c r="Q157" s="211"/>
      <c r="R157" s="211">
        <v>68107</v>
      </c>
      <c r="S157" s="211">
        <v>0</v>
      </c>
      <c r="T157" s="211">
        <v>66175</v>
      </c>
      <c r="U157" s="211">
        <v>0</v>
      </c>
      <c r="V157" s="211">
        <v>1533</v>
      </c>
      <c r="W157" s="211">
        <v>0</v>
      </c>
      <c r="X157" s="191">
        <v>0</v>
      </c>
      <c r="Y157" s="191">
        <v>0</v>
      </c>
      <c r="Z157" s="191">
        <v>51928</v>
      </c>
      <c r="AA157" s="191">
        <v>0</v>
      </c>
      <c r="AB157" s="191">
        <v>0</v>
      </c>
      <c r="AC157" s="191">
        <v>0</v>
      </c>
      <c r="AD157" s="191">
        <v>0</v>
      </c>
      <c r="AE157" s="191">
        <v>0</v>
      </c>
      <c r="AF157" s="211">
        <v>0</v>
      </c>
      <c r="AG157" s="211">
        <v>0</v>
      </c>
      <c r="AH157" s="211">
        <v>68107</v>
      </c>
      <c r="AI157" s="67"/>
      <c r="AJ157" s="211">
        <v>0</v>
      </c>
      <c r="AK157" s="211">
        <v>0</v>
      </c>
      <c r="AL157" s="191">
        <v>68109</v>
      </c>
      <c r="AM157" s="191">
        <v>15432.81</v>
      </c>
      <c r="AN157" s="190"/>
      <c r="AO157" s="190"/>
      <c r="AP157" s="190"/>
      <c r="AQ157" s="375"/>
      <c r="AR157" s="375"/>
      <c r="AS157" s="382"/>
      <c r="AT157" s="382"/>
      <c r="AU157" s="382"/>
      <c r="AV157" s="198">
        <f t="shared" si="14"/>
        <v>407498.81</v>
      </c>
      <c r="AX157" s="33">
        <f t="shared" si="16"/>
        <v>118103</v>
      </c>
      <c r="AY157" s="33">
        <f t="shared" si="16"/>
        <v>0</v>
      </c>
      <c r="AZ157" s="33">
        <f t="shared" si="16"/>
        <v>0</v>
      </c>
      <c r="BA157" s="33">
        <f t="shared" si="16"/>
        <v>272430</v>
      </c>
      <c r="BB157" s="33">
        <f t="shared" si="16"/>
        <v>1533</v>
      </c>
      <c r="BC157" s="33">
        <f t="shared" si="16"/>
        <v>0</v>
      </c>
      <c r="BD157" s="33">
        <f t="shared" si="16"/>
        <v>15432.81</v>
      </c>
      <c r="BE157" s="58">
        <f t="shared" si="15"/>
        <v>0</v>
      </c>
    </row>
    <row r="158" spans="1:57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Mar 2026'!$A$8:$F$206,6,FALSE)</f>
        <v>Chq Bk</v>
      </c>
      <c r="H158" s="191">
        <v>8183</v>
      </c>
      <c r="I158" s="191">
        <v>0</v>
      </c>
      <c r="J158" s="191">
        <v>0</v>
      </c>
      <c r="K158" s="191">
        <v>15228</v>
      </c>
      <c r="L158" s="191">
        <v>34755</v>
      </c>
      <c r="M158" s="191">
        <v>48310</v>
      </c>
      <c r="N158" s="191">
        <v>0</v>
      </c>
      <c r="O158" s="191">
        <v>0</v>
      </c>
      <c r="P158" s="211">
        <v>0</v>
      </c>
      <c r="Q158" s="211">
        <v>9121</v>
      </c>
      <c r="R158" s="211">
        <v>15228</v>
      </c>
      <c r="S158" s="211">
        <v>0</v>
      </c>
      <c r="T158" s="211">
        <v>38304</v>
      </c>
      <c r="U158" s="211">
        <v>4888</v>
      </c>
      <c r="V158" s="211">
        <v>0</v>
      </c>
      <c r="W158" s="211">
        <v>0</v>
      </c>
      <c r="X158" s="191">
        <v>9815</v>
      </c>
      <c r="Y158" s="191">
        <v>0</v>
      </c>
      <c r="Z158" s="191">
        <v>18412</v>
      </c>
      <c r="AA158" s="191">
        <v>0</v>
      </c>
      <c r="AB158" s="191">
        <v>0</v>
      </c>
      <c r="AC158" s="191">
        <v>0</v>
      </c>
      <c r="AD158" s="191">
        <v>0</v>
      </c>
      <c r="AE158" s="191">
        <v>0</v>
      </c>
      <c r="AF158" s="211">
        <v>0</v>
      </c>
      <c r="AG158" s="211">
        <v>0</v>
      </c>
      <c r="AH158" s="211">
        <v>15228</v>
      </c>
      <c r="AI158" s="67"/>
      <c r="AJ158" s="211">
        <v>0</v>
      </c>
      <c r="AK158" s="211">
        <v>0</v>
      </c>
      <c r="AL158" s="191">
        <v>15231</v>
      </c>
      <c r="AM158" s="191">
        <v>0</v>
      </c>
      <c r="AN158" s="190"/>
      <c r="AO158" s="190"/>
      <c r="AP158" s="190"/>
      <c r="AQ158" s="375"/>
      <c r="AR158" s="375"/>
      <c r="AS158" s="382"/>
      <c r="AT158" s="382"/>
      <c r="AU158" s="382"/>
      <c r="AV158" s="198">
        <f t="shared" si="14"/>
        <v>232703</v>
      </c>
      <c r="AX158" s="33">
        <f t="shared" si="16"/>
        <v>61604</v>
      </c>
      <c r="AY158" s="33">
        <f t="shared" si="16"/>
        <v>0</v>
      </c>
      <c r="AZ158" s="33">
        <f t="shared" si="16"/>
        <v>0</v>
      </c>
      <c r="BA158" s="33">
        <f t="shared" si="16"/>
        <v>60915</v>
      </c>
      <c r="BB158" s="33">
        <f t="shared" si="16"/>
        <v>101063</v>
      </c>
      <c r="BC158" s="33">
        <f t="shared" si="16"/>
        <v>0</v>
      </c>
      <c r="BD158" s="33">
        <f t="shared" si="16"/>
        <v>9121</v>
      </c>
      <c r="BE158" s="58">
        <f t="shared" si="15"/>
        <v>0</v>
      </c>
    </row>
    <row r="159" spans="1:57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Mar 2026'!$A$8:$F$206,6,FALSE)</f>
        <v>Chq Bk</v>
      </c>
      <c r="H159" s="191">
        <v>8833</v>
      </c>
      <c r="I159" s="191">
        <v>0</v>
      </c>
      <c r="J159" s="191">
        <v>0</v>
      </c>
      <c r="K159" s="191">
        <v>100835</v>
      </c>
      <c r="L159" s="191">
        <v>25133</v>
      </c>
      <c r="M159" s="191">
        <v>38330</v>
      </c>
      <c r="N159" s="191">
        <v>0</v>
      </c>
      <c r="O159" s="191">
        <v>0</v>
      </c>
      <c r="P159" s="211">
        <v>0</v>
      </c>
      <c r="Q159" s="211">
        <v>10894</v>
      </c>
      <c r="R159" s="211">
        <v>100835</v>
      </c>
      <c r="S159" s="211">
        <v>0</v>
      </c>
      <c r="T159" s="211">
        <v>67349</v>
      </c>
      <c r="U159" s="211">
        <v>4982</v>
      </c>
      <c r="V159" s="211">
        <v>0</v>
      </c>
      <c r="W159" s="211">
        <v>0</v>
      </c>
      <c r="X159" s="191">
        <v>10515</v>
      </c>
      <c r="Y159" s="191">
        <v>0</v>
      </c>
      <c r="Z159" s="191">
        <v>32055</v>
      </c>
      <c r="AA159" s="191">
        <v>0</v>
      </c>
      <c r="AB159" s="191">
        <v>0</v>
      </c>
      <c r="AC159" s="191">
        <v>0</v>
      </c>
      <c r="AD159" s="191">
        <v>0</v>
      </c>
      <c r="AE159" s="191">
        <v>0</v>
      </c>
      <c r="AF159" s="211">
        <v>4800</v>
      </c>
      <c r="AG159" s="211">
        <v>876</v>
      </c>
      <c r="AH159" s="211">
        <v>100835</v>
      </c>
      <c r="AI159" s="67"/>
      <c r="AJ159" s="211">
        <v>0</v>
      </c>
      <c r="AK159" s="211">
        <v>0</v>
      </c>
      <c r="AL159" s="191">
        <v>100835</v>
      </c>
      <c r="AM159" s="191">
        <v>0</v>
      </c>
      <c r="AN159" s="190"/>
      <c r="AO159" s="190"/>
      <c r="AP159" s="190"/>
      <c r="AQ159" s="375"/>
      <c r="AR159" s="375"/>
      <c r="AS159" s="382"/>
      <c r="AT159" s="382"/>
      <c r="AU159" s="382"/>
      <c r="AV159" s="198">
        <f t="shared" si="14"/>
        <v>607107</v>
      </c>
      <c r="AX159" s="33">
        <f t="shared" si="16"/>
        <v>104386</v>
      </c>
      <c r="AY159" s="33">
        <f t="shared" si="16"/>
        <v>0</v>
      </c>
      <c r="AZ159" s="33">
        <f t="shared" si="16"/>
        <v>0</v>
      </c>
      <c r="BA159" s="33">
        <f t="shared" si="16"/>
        <v>403340</v>
      </c>
      <c r="BB159" s="33">
        <f t="shared" si="16"/>
        <v>88487</v>
      </c>
      <c r="BC159" s="33">
        <f t="shared" si="16"/>
        <v>0</v>
      </c>
      <c r="BD159" s="33">
        <f t="shared" si="16"/>
        <v>10894</v>
      </c>
      <c r="BE159" s="58">
        <f t="shared" si="15"/>
        <v>0</v>
      </c>
    </row>
    <row r="160" spans="1:57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Mar 2026'!$A$8:$F$206,6,FALSE)</f>
        <v>Chq Bk</v>
      </c>
      <c r="H160" s="191">
        <v>8154</v>
      </c>
      <c r="I160" s="191">
        <v>0</v>
      </c>
      <c r="J160" s="191">
        <v>0</v>
      </c>
      <c r="K160" s="191">
        <v>95045</v>
      </c>
      <c r="L160" s="191">
        <v>15318</v>
      </c>
      <c r="M160" s="191">
        <v>18803</v>
      </c>
      <c r="N160" s="191">
        <v>0</v>
      </c>
      <c r="O160" s="191">
        <v>0</v>
      </c>
      <c r="P160" s="211">
        <v>0</v>
      </c>
      <c r="Q160" s="211">
        <v>8623.75</v>
      </c>
      <c r="R160" s="211">
        <v>95045</v>
      </c>
      <c r="S160" s="211">
        <v>0</v>
      </c>
      <c r="T160" s="211">
        <v>52309</v>
      </c>
      <c r="U160" s="211">
        <v>0</v>
      </c>
      <c r="V160" s="211">
        <v>0</v>
      </c>
      <c r="W160" s="211">
        <v>0</v>
      </c>
      <c r="X160" s="191">
        <v>9745</v>
      </c>
      <c r="Y160" s="191">
        <v>0</v>
      </c>
      <c r="Z160" s="191">
        <v>24934</v>
      </c>
      <c r="AA160" s="191">
        <v>0</v>
      </c>
      <c r="AB160" s="191">
        <v>0</v>
      </c>
      <c r="AC160" s="191">
        <v>0</v>
      </c>
      <c r="AD160" s="191">
        <v>0</v>
      </c>
      <c r="AE160" s="191">
        <v>856.93</v>
      </c>
      <c r="AF160" s="211">
        <v>4800</v>
      </c>
      <c r="AG160" s="211">
        <v>0</v>
      </c>
      <c r="AH160" s="211">
        <v>95045</v>
      </c>
      <c r="AI160" s="67"/>
      <c r="AJ160" s="211">
        <v>0</v>
      </c>
      <c r="AK160" s="211">
        <v>0</v>
      </c>
      <c r="AL160" s="191">
        <v>95045</v>
      </c>
      <c r="AM160" s="191">
        <v>0</v>
      </c>
      <c r="AN160" s="190"/>
      <c r="AO160" s="190"/>
      <c r="AP160" s="190"/>
      <c r="AQ160" s="375"/>
      <c r="AR160" s="375"/>
      <c r="AS160" s="382"/>
      <c r="AT160" s="382"/>
      <c r="AU160" s="382"/>
      <c r="AV160" s="198">
        <f t="shared" si="14"/>
        <v>523723.68</v>
      </c>
      <c r="AX160" s="33">
        <f t="shared" si="16"/>
        <v>77243</v>
      </c>
      <c r="AY160" s="33">
        <f t="shared" si="16"/>
        <v>0</v>
      </c>
      <c r="AZ160" s="33">
        <f t="shared" si="16"/>
        <v>0</v>
      </c>
      <c r="BA160" s="33">
        <f t="shared" si="16"/>
        <v>380180</v>
      </c>
      <c r="BB160" s="33">
        <f t="shared" si="16"/>
        <v>57676.93</v>
      </c>
      <c r="BC160" s="33">
        <f t="shared" si="16"/>
        <v>0</v>
      </c>
      <c r="BD160" s="33">
        <f t="shared" si="16"/>
        <v>8623.75</v>
      </c>
      <c r="BE160" s="58">
        <f t="shared" si="15"/>
        <v>0</v>
      </c>
    </row>
    <row r="161" spans="1:57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Mar 2026'!$A$8:$F$206,6,FALSE)</f>
        <v>Academy</v>
      </c>
      <c r="H161" s="191">
        <v>7429</v>
      </c>
      <c r="I161" s="191">
        <v>1602.93</v>
      </c>
      <c r="J161" s="191">
        <v>0</v>
      </c>
      <c r="K161" s="191">
        <v>20610</v>
      </c>
      <c r="L161" s="191">
        <v>13671</v>
      </c>
      <c r="M161" s="191">
        <v>19238</v>
      </c>
      <c r="N161" s="191">
        <v>0</v>
      </c>
      <c r="O161" s="191">
        <v>0</v>
      </c>
      <c r="P161" s="211">
        <v>0</v>
      </c>
      <c r="Q161" s="211">
        <v>6385</v>
      </c>
      <c r="R161" s="211">
        <v>13740</v>
      </c>
      <c r="S161" s="211">
        <v>0</v>
      </c>
      <c r="T161" s="211">
        <v>0</v>
      </c>
      <c r="U161" s="211"/>
      <c r="V161" s="211">
        <v>0</v>
      </c>
      <c r="W161" s="211">
        <v>0</v>
      </c>
      <c r="X161" s="191">
        <v>0</v>
      </c>
      <c r="Y161" s="191">
        <v>0</v>
      </c>
      <c r="Z161" s="191">
        <v>0</v>
      </c>
      <c r="AA161" s="191">
        <v>0</v>
      </c>
      <c r="AB161" s="191">
        <v>0</v>
      </c>
      <c r="AC161" s="191">
        <v>0</v>
      </c>
      <c r="AD161" s="191">
        <v>0</v>
      </c>
      <c r="AE161" s="191">
        <v>0</v>
      </c>
      <c r="AF161" s="211">
        <v>0</v>
      </c>
      <c r="AG161" s="211">
        <v>0</v>
      </c>
      <c r="AH161" s="211">
        <v>0</v>
      </c>
      <c r="AI161" s="67"/>
      <c r="AJ161" s="211">
        <v>0</v>
      </c>
      <c r="AK161" s="211">
        <v>0</v>
      </c>
      <c r="AL161" s="191">
        <v>0</v>
      </c>
      <c r="AM161" s="191">
        <v>0</v>
      </c>
      <c r="AN161" s="190"/>
      <c r="AO161" s="190"/>
      <c r="AP161" s="190"/>
      <c r="AQ161" s="375"/>
      <c r="AR161" s="375"/>
      <c r="AS161" s="382"/>
      <c r="AT161" s="382"/>
      <c r="AU161" s="382"/>
      <c r="AV161" s="198">
        <f t="shared" si="14"/>
        <v>82675.929999999993</v>
      </c>
      <c r="AX161" s="33">
        <f t="shared" si="16"/>
        <v>0</v>
      </c>
      <c r="AY161" s="33">
        <f t="shared" si="16"/>
        <v>0</v>
      </c>
      <c r="AZ161" s="33">
        <f t="shared" si="16"/>
        <v>0</v>
      </c>
      <c r="BA161" s="33">
        <f t="shared" si="16"/>
        <v>34350</v>
      </c>
      <c r="BB161" s="33">
        <f t="shared" si="16"/>
        <v>41940.93</v>
      </c>
      <c r="BC161" s="33">
        <f t="shared" si="16"/>
        <v>0</v>
      </c>
      <c r="BD161" s="33">
        <f t="shared" si="16"/>
        <v>6385</v>
      </c>
      <c r="BE161" s="58">
        <f t="shared" si="15"/>
        <v>0</v>
      </c>
    </row>
    <row r="162" spans="1:57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Mar 2026'!$A$8:$F$206,6,FALSE)</f>
        <v>Chq Bk</v>
      </c>
      <c r="H162" s="191">
        <v>7392</v>
      </c>
      <c r="I162" s="191">
        <v>1602.93</v>
      </c>
      <c r="J162" s="191">
        <v>0</v>
      </c>
      <c r="K162" s="191">
        <v>31515</v>
      </c>
      <c r="L162" s="191">
        <v>29581</v>
      </c>
      <c r="M162" s="191">
        <v>40789</v>
      </c>
      <c r="N162" s="191">
        <v>0</v>
      </c>
      <c r="O162" s="191">
        <v>0</v>
      </c>
      <c r="P162" s="211">
        <v>0</v>
      </c>
      <c r="Q162" s="211">
        <v>7429</v>
      </c>
      <c r="R162" s="211">
        <v>31515</v>
      </c>
      <c r="S162" s="211">
        <v>0</v>
      </c>
      <c r="T162" s="211">
        <v>28433</v>
      </c>
      <c r="U162" s="211">
        <v>6392</v>
      </c>
      <c r="V162" s="211">
        <v>0</v>
      </c>
      <c r="W162" s="211">
        <v>0</v>
      </c>
      <c r="X162" s="191">
        <v>8890</v>
      </c>
      <c r="Y162" s="191">
        <v>0</v>
      </c>
      <c r="Z162" s="191">
        <v>15433</v>
      </c>
      <c r="AA162" s="191">
        <v>0</v>
      </c>
      <c r="AB162" s="191">
        <v>0</v>
      </c>
      <c r="AC162" s="191">
        <v>0</v>
      </c>
      <c r="AD162" s="191">
        <v>5449.09</v>
      </c>
      <c r="AE162" s="191">
        <v>285.64</v>
      </c>
      <c r="AF162" s="211">
        <v>0</v>
      </c>
      <c r="AG162" s="211">
        <v>0</v>
      </c>
      <c r="AH162" s="211">
        <v>30378</v>
      </c>
      <c r="AI162" s="67"/>
      <c r="AJ162" s="211">
        <v>0</v>
      </c>
      <c r="AK162" s="211">
        <v>3115.82</v>
      </c>
      <c r="AL162" s="191">
        <v>31137</v>
      </c>
      <c r="AM162" s="191">
        <v>0</v>
      </c>
      <c r="AN162" s="190"/>
      <c r="AO162" s="190"/>
      <c r="AP162" s="190"/>
      <c r="AQ162" s="375"/>
      <c r="AR162" s="375"/>
      <c r="AS162" s="382"/>
      <c r="AT162" s="382"/>
      <c r="AU162" s="382"/>
      <c r="AV162" s="198">
        <f t="shared" si="14"/>
        <v>279337.48</v>
      </c>
      <c r="AX162" s="33">
        <f t="shared" si="16"/>
        <v>50258</v>
      </c>
      <c r="AY162" s="33">
        <f t="shared" si="16"/>
        <v>0</v>
      </c>
      <c r="AZ162" s="33">
        <f t="shared" si="16"/>
        <v>0</v>
      </c>
      <c r="BA162" s="33">
        <f t="shared" si="16"/>
        <v>124545</v>
      </c>
      <c r="BB162" s="33">
        <f t="shared" si="16"/>
        <v>97105.48</v>
      </c>
      <c r="BC162" s="33">
        <f t="shared" ref="AX162:BD187" si="17">SUMIF($H$3:$AU$3,BC$6,$H162:$AU162)</f>
        <v>0</v>
      </c>
      <c r="BD162" s="33">
        <f t="shared" si="17"/>
        <v>7429</v>
      </c>
      <c r="BE162" s="58">
        <f t="shared" si="15"/>
        <v>0</v>
      </c>
    </row>
    <row r="163" spans="1:57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Mar 2026'!$A$8:$F$206,6,FALSE)</f>
        <v>Chq Bk</v>
      </c>
      <c r="H163" s="191">
        <v>8200</v>
      </c>
      <c r="I163" s="191">
        <v>1602.93</v>
      </c>
      <c r="J163" s="191">
        <v>0</v>
      </c>
      <c r="K163" s="191">
        <v>70913</v>
      </c>
      <c r="L163" s="191">
        <v>0</v>
      </c>
      <c r="M163" s="191">
        <v>0</v>
      </c>
      <c r="N163" s="191">
        <v>0</v>
      </c>
      <c r="O163" s="191">
        <v>0</v>
      </c>
      <c r="P163" s="211">
        <v>0</v>
      </c>
      <c r="Q163" s="211">
        <v>8140</v>
      </c>
      <c r="R163" s="211">
        <v>70913</v>
      </c>
      <c r="S163" s="211">
        <v>0</v>
      </c>
      <c r="T163" s="211">
        <v>45919</v>
      </c>
      <c r="U163" s="211">
        <v>0</v>
      </c>
      <c r="V163" s="211">
        <v>0</v>
      </c>
      <c r="W163" s="211">
        <v>0</v>
      </c>
      <c r="X163" s="191">
        <v>9780</v>
      </c>
      <c r="Y163" s="191">
        <v>0</v>
      </c>
      <c r="Z163" s="191">
        <v>21482</v>
      </c>
      <c r="AA163" s="191">
        <v>0</v>
      </c>
      <c r="AB163" s="191">
        <v>0</v>
      </c>
      <c r="AC163" s="191">
        <v>0</v>
      </c>
      <c r="AD163" s="191">
        <v>11938.82</v>
      </c>
      <c r="AE163" s="191">
        <v>0</v>
      </c>
      <c r="AF163" s="211">
        <v>2400</v>
      </c>
      <c r="AG163" s="211">
        <v>0</v>
      </c>
      <c r="AH163" s="211">
        <v>69779</v>
      </c>
      <c r="AI163" s="67"/>
      <c r="AJ163" s="211">
        <v>0</v>
      </c>
      <c r="AK163" s="211">
        <v>13974.17</v>
      </c>
      <c r="AL163" s="191">
        <v>70535</v>
      </c>
      <c r="AM163" s="191">
        <v>0</v>
      </c>
      <c r="AN163" s="190"/>
      <c r="AO163" s="190"/>
      <c r="AP163" s="190"/>
      <c r="AQ163" s="375"/>
      <c r="AR163" s="375"/>
      <c r="AS163" s="382"/>
      <c r="AT163" s="382"/>
      <c r="AU163" s="382"/>
      <c r="AV163" s="198">
        <f t="shared" si="14"/>
        <v>405576.92</v>
      </c>
      <c r="AX163" s="33">
        <f t="shared" si="17"/>
        <v>67401</v>
      </c>
      <c r="AY163" s="33">
        <f t="shared" si="17"/>
        <v>0</v>
      </c>
      <c r="AZ163" s="33">
        <f t="shared" si="17"/>
        <v>0</v>
      </c>
      <c r="BA163" s="33">
        <f t="shared" si="17"/>
        <v>282140</v>
      </c>
      <c r="BB163" s="33">
        <f t="shared" si="17"/>
        <v>47895.92</v>
      </c>
      <c r="BC163" s="33">
        <f t="shared" si="17"/>
        <v>0</v>
      </c>
      <c r="BD163" s="33">
        <f t="shared" si="17"/>
        <v>8140</v>
      </c>
      <c r="BE163" s="58">
        <f t="shared" si="15"/>
        <v>0</v>
      </c>
    </row>
    <row r="164" spans="1:57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Mar 2026'!$A$8:$F$206,6,FALSE)</f>
        <v>Chq Bk</v>
      </c>
      <c r="H164" s="191">
        <v>8171</v>
      </c>
      <c r="I164" s="191">
        <v>0</v>
      </c>
      <c r="J164" s="191">
        <v>0</v>
      </c>
      <c r="K164" s="191">
        <v>46086</v>
      </c>
      <c r="L164" s="191">
        <v>24191</v>
      </c>
      <c r="M164" s="191">
        <v>36450</v>
      </c>
      <c r="N164" s="191">
        <v>0</v>
      </c>
      <c r="O164" s="191">
        <v>0</v>
      </c>
      <c r="P164" s="211">
        <v>0</v>
      </c>
      <c r="Q164" s="211">
        <v>8725</v>
      </c>
      <c r="R164" s="211">
        <v>46086</v>
      </c>
      <c r="S164" s="211">
        <v>0</v>
      </c>
      <c r="T164" s="211">
        <v>43004</v>
      </c>
      <c r="U164" s="211">
        <v>0</v>
      </c>
      <c r="V164" s="211">
        <v>0</v>
      </c>
      <c r="W164" s="211">
        <v>0</v>
      </c>
      <c r="X164" s="191">
        <v>9805</v>
      </c>
      <c r="Y164" s="191">
        <v>0</v>
      </c>
      <c r="Z164" s="191">
        <v>20597</v>
      </c>
      <c r="AA164" s="191">
        <v>0</v>
      </c>
      <c r="AB164" s="191">
        <v>0</v>
      </c>
      <c r="AC164" s="191">
        <v>0</v>
      </c>
      <c r="AD164" s="191">
        <v>0</v>
      </c>
      <c r="AE164" s="191">
        <v>0</v>
      </c>
      <c r="AF164" s="211">
        <v>0</v>
      </c>
      <c r="AG164" s="211">
        <v>613.20000000000005</v>
      </c>
      <c r="AH164" s="211">
        <v>46086</v>
      </c>
      <c r="AI164" s="67"/>
      <c r="AJ164" s="211">
        <v>0</v>
      </c>
      <c r="AK164" s="211">
        <v>0</v>
      </c>
      <c r="AL164" s="191">
        <v>46087</v>
      </c>
      <c r="AM164" s="191">
        <v>0</v>
      </c>
      <c r="AN164" s="190"/>
      <c r="AO164" s="190"/>
      <c r="AP164" s="190"/>
      <c r="AQ164" s="375"/>
      <c r="AR164" s="375"/>
      <c r="AS164" s="382"/>
      <c r="AT164" s="382"/>
      <c r="AU164" s="382"/>
      <c r="AV164" s="198">
        <f t="shared" si="14"/>
        <v>335901.2</v>
      </c>
      <c r="AX164" s="33">
        <f t="shared" si="17"/>
        <v>63601</v>
      </c>
      <c r="AY164" s="33">
        <f t="shared" si="17"/>
        <v>0</v>
      </c>
      <c r="AZ164" s="33">
        <f t="shared" si="17"/>
        <v>0</v>
      </c>
      <c r="BA164" s="33">
        <f t="shared" si="17"/>
        <v>184345</v>
      </c>
      <c r="BB164" s="33">
        <f t="shared" si="17"/>
        <v>79230.2</v>
      </c>
      <c r="BC164" s="33">
        <f t="shared" si="17"/>
        <v>0</v>
      </c>
      <c r="BD164" s="33">
        <f t="shared" si="17"/>
        <v>8725</v>
      </c>
      <c r="BE164" s="58">
        <f t="shared" si="15"/>
        <v>0</v>
      </c>
    </row>
    <row r="165" spans="1:57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Mar 2026'!$A$8:$F$206,6,FALSE)</f>
        <v>Chq Bk</v>
      </c>
      <c r="H165" s="191">
        <v>9658</v>
      </c>
      <c r="I165" s="191">
        <v>0</v>
      </c>
      <c r="J165" s="191">
        <v>0</v>
      </c>
      <c r="K165" s="191">
        <v>127538</v>
      </c>
      <c r="L165" s="191">
        <v>43358</v>
      </c>
      <c r="M165" s="191">
        <v>59592</v>
      </c>
      <c r="N165" s="191">
        <v>0</v>
      </c>
      <c r="O165" s="191">
        <v>0</v>
      </c>
      <c r="P165" s="211">
        <v>0</v>
      </c>
      <c r="Q165" s="211">
        <v>13393.75</v>
      </c>
      <c r="R165" s="211">
        <v>127538</v>
      </c>
      <c r="S165" s="211">
        <v>0</v>
      </c>
      <c r="T165" s="211">
        <v>93358</v>
      </c>
      <c r="U165" s="211">
        <v>0</v>
      </c>
      <c r="V165" s="211">
        <v>0</v>
      </c>
      <c r="W165" s="211">
        <v>0</v>
      </c>
      <c r="X165" s="191">
        <v>11575</v>
      </c>
      <c r="Y165" s="191">
        <v>0</v>
      </c>
      <c r="Z165" s="191">
        <v>44353</v>
      </c>
      <c r="AA165" s="191">
        <v>0</v>
      </c>
      <c r="AB165" s="191">
        <v>0</v>
      </c>
      <c r="AC165" s="191">
        <v>0</v>
      </c>
      <c r="AD165" s="191">
        <v>0</v>
      </c>
      <c r="AE165" s="191">
        <v>3427.72</v>
      </c>
      <c r="AF165" s="211">
        <v>4800</v>
      </c>
      <c r="AG165" s="211">
        <v>0</v>
      </c>
      <c r="AH165" s="211">
        <v>127538</v>
      </c>
      <c r="AI165" s="67"/>
      <c r="AJ165" s="211">
        <v>0</v>
      </c>
      <c r="AK165" s="211">
        <v>0</v>
      </c>
      <c r="AL165" s="191">
        <v>127541</v>
      </c>
      <c r="AM165" s="191">
        <v>0</v>
      </c>
      <c r="AN165" s="190"/>
      <c r="AO165" s="190"/>
      <c r="AP165" s="190"/>
      <c r="AQ165" s="375"/>
      <c r="AR165" s="375"/>
      <c r="AS165" s="382"/>
      <c r="AT165" s="382"/>
      <c r="AU165" s="382"/>
      <c r="AV165" s="198">
        <f t="shared" si="14"/>
        <v>793670.47</v>
      </c>
      <c r="AX165" s="33">
        <f t="shared" si="17"/>
        <v>137711</v>
      </c>
      <c r="AY165" s="33">
        <f t="shared" si="17"/>
        <v>0</v>
      </c>
      <c r="AZ165" s="33">
        <f t="shared" si="17"/>
        <v>0</v>
      </c>
      <c r="BA165" s="33">
        <f t="shared" si="17"/>
        <v>510155</v>
      </c>
      <c r="BB165" s="33">
        <f t="shared" si="17"/>
        <v>132410.72</v>
      </c>
      <c r="BC165" s="33">
        <f t="shared" si="17"/>
        <v>0</v>
      </c>
      <c r="BD165" s="33">
        <f t="shared" si="17"/>
        <v>13393.75</v>
      </c>
      <c r="BE165" s="58">
        <f t="shared" si="15"/>
        <v>0</v>
      </c>
    </row>
    <row r="166" spans="1:57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Mar 2026'!$A$8:$F$206,6,FALSE)</f>
        <v>Chq Bk</v>
      </c>
      <c r="H166" s="191">
        <v>8179</v>
      </c>
      <c r="I166" s="191">
        <v>0</v>
      </c>
      <c r="J166" s="191">
        <v>0</v>
      </c>
      <c r="K166" s="191">
        <v>89163</v>
      </c>
      <c r="L166" s="191">
        <v>11671</v>
      </c>
      <c r="M166" s="191">
        <v>19961</v>
      </c>
      <c r="N166" s="191">
        <v>0</v>
      </c>
      <c r="O166" s="191">
        <v>0</v>
      </c>
      <c r="P166" s="211">
        <v>0</v>
      </c>
      <c r="Q166" s="211">
        <v>9172.75</v>
      </c>
      <c r="R166" s="211">
        <v>89163</v>
      </c>
      <c r="S166" s="211">
        <v>0</v>
      </c>
      <c r="T166" s="211">
        <v>51722</v>
      </c>
      <c r="U166" s="211">
        <v>5922</v>
      </c>
      <c r="V166" s="211">
        <v>0</v>
      </c>
      <c r="W166" s="211">
        <v>0</v>
      </c>
      <c r="X166" s="191">
        <v>9760</v>
      </c>
      <c r="Y166" s="191">
        <v>0</v>
      </c>
      <c r="Z166" s="191">
        <v>24663</v>
      </c>
      <c r="AA166" s="191">
        <v>0</v>
      </c>
      <c r="AB166" s="191">
        <v>0</v>
      </c>
      <c r="AC166" s="191">
        <v>0</v>
      </c>
      <c r="AD166" s="191">
        <v>0</v>
      </c>
      <c r="AE166" s="191">
        <v>0</v>
      </c>
      <c r="AF166" s="211">
        <v>0</v>
      </c>
      <c r="AG166" s="211">
        <v>0</v>
      </c>
      <c r="AH166" s="211">
        <v>89163</v>
      </c>
      <c r="AI166" s="67"/>
      <c r="AJ166" s="211">
        <v>0</v>
      </c>
      <c r="AK166" s="211">
        <v>0</v>
      </c>
      <c r="AL166" s="191">
        <v>89166</v>
      </c>
      <c r="AM166" s="191">
        <v>0</v>
      </c>
      <c r="AN166" s="190"/>
      <c r="AO166" s="190"/>
      <c r="AP166" s="190"/>
      <c r="AQ166" s="375"/>
      <c r="AR166" s="375"/>
      <c r="AS166" s="382"/>
      <c r="AT166" s="382"/>
      <c r="AU166" s="382"/>
      <c r="AV166" s="198">
        <f t="shared" si="14"/>
        <v>497705.75</v>
      </c>
      <c r="AX166" s="33">
        <f t="shared" si="17"/>
        <v>82307</v>
      </c>
      <c r="AY166" s="33">
        <f t="shared" si="17"/>
        <v>0</v>
      </c>
      <c r="AZ166" s="33">
        <f t="shared" si="17"/>
        <v>0</v>
      </c>
      <c r="BA166" s="33">
        <f t="shared" si="17"/>
        <v>356655</v>
      </c>
      <c r="BB166" s="33">
        <f t="shared" si="17"/>
        <v>49571</v>
      </c>
      <c r="BC166" s="33">
        <f t="shared" si="17"/>
        <v>0</v>
      </c>
      <c r="BD166" s="33">
        <f t="shared" si="17"/>
        <v>9172.75</v>
      </c>
      <c r="BE166" s="58">
        <f t="shared" si="15"/>
        <v>0</v>
      </c>
    </row>
    <row r="167" spans="1:57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Mar 2026'!$A$8:$F$206,6,FALSE)</f>
        <v>Chq Bk</v>
      </c>
      <c r="H167" s="191">
        <v>8229</v>
      </c>
      <c r="I167" s="191">
        <v>0</v>
      </c>
      <c r="J167" s="191">
        <v>0</v>
      </c>
      <c r="K167" s="191">
        <v>80195</v>
      </c>
      <c r="L167" s="191">
        <v>12470</v>
      </c>
      <c r="M167" s="191">
        <v>24155</v>
      </c>
      <c r="N167" s="191">
        <v>0</v>
      </c>
      <c r="O167" s="191">
        <v>0</v>
      </c>
      <c r="P167" s="211">
        <v>0</v>
      </c>
      <c r="Q167" s="211">
        <v>9094</v>
      </c>
      <c r="R167" s="211">
        <v>80195</v>
      </c>
      <c r="S167" s="211">
        <v>0</v>
      </c>
      <c r="T167" s="211">
        <v>51791</v>
      </c>
      <c r="U167" s="211">
        <v>4042</v>
      </c>
      <c r="V167" s="211">
        <v>0</v>
      </c>
      <c r="W167" s="211">
        <v>0</v>
      </c>
      <c r="X167" s="191">
        <v>9840</v>
      </c>
      <c r="Y167" s="191">
        <v>0</v>
      </c>
      <c r="Z167" s="191">
        <v>24709</v>
      </c>
      <c r="AA167" s="191">
        <v>0</v>
      </c>
      <c r="AB167" s="191">
        <v>0</v>
      </c>
      <c r="AC167" s="191">
        <v>0</v>
      </c>
      <c r="AD167" s="191">
        <v>0</v>
      </c>
      <c r="AE167" s="191">
        <v>0</v>
      </c>
      <c r="AF167" s="211">
        <v>4800</v>
      </c>
      <c r="AG167" s="211">
        <v>0</v>
      </c>
      <c r="AH167" s="211">
        <v>80195</v>
      </c>
      <c r="AI167" s="67"/>
      <c r="AJ167" s="211">
        <v>0</v>
      </c>
      <c r="AK167" s="211">
        <v>0</v>
      </c>
      <c r="AL167" s="191">
        <v>80195</v>
      </c>
      <c r="AM167" s="191">
        <v>0</v>
      </c>
      <c r="AN167" s="190"/>
      <c r="AO167" s="190"/>
      <c r="AP167" s="190"/>
      <c r="AQ167" s="375"/>
      <c r="AR167" s="375"/>
      <c r="AS167" s="382"/>
      <c r="AT167" s="382"/>
      <c r="AU167" s="382"/>
      <c r="AV167" s="198">
        <f t="shared" si="14"/>
        <v>469910</v>
      </c>
      <c r="AX167" s="33">
        <f t="shared" si="17"/>
        <v>80542</v>
      </c>
      <c r="AY167" s="33">
        <f t="shared" si="17"/>
        <v>0</v>
      </c>
      <c r="AZ167" s="33">
        <f t="shared" si="17"/>
        <v>0</v>
      </c>
      <c r="BA167" s="33">
        <f t="shared" si="17"/>
        <v>320780</v>
      </c>
      <c r="BB167" s="33">
        <f t="shared" si="17"/>
        <v>59494</v>
      </c>
      <c r="BC167" s="33">
        <f t="shared" si="17"/>
        <v>0</v>
      </c>
      <c r="BD167" s="33">
        <f t="shared" si="17"/>
        <v>9094</v>
      </c>
      <c r="BE167" s="58">
        <f t="shared" ref="BE167:BE198" si="18">SUM(AX167:BD167)-AV167</f>
        <v>0</v>
      </c>
    </row>
    <row r="168" spans="1:57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Mar 2026'!$A$8:$F$206,6,FALSE)</f>
        <v>Chq Bk</v>
      </c>
      <c r="H168" s="191">
        <v>0</v>
      </c>
      <c r="I168" s="191">
        <v>0</v>
      </c>
      <c r="J168" s="191">
        <v>0</v>
      </c>
      <c r="K168" s="191">
        <v>0</v>
      </c>
      <c r="L168" s="191">
        <v>0</v>
      </c>
      <c r="M168" s="191">
        <v>0</v>
      </c>
      <c r="N168" s="191">
        <v>0</v>
      </c>
      <c r="O168" s="191">
        <v>0</v>
      </c>
      <c r="P168" s="211">
        <v>2730</v>
      </c>
      <c r="Q168" s="211">
        <v>4573.75</v>
      </c>
      <c r="R168" s="211">
        <v>0</v>
      </c>
      <c r="S168" s="211">
        <v>0</v>
      </c>
      <c r="T168" s="211">
        <v>0</v>
      </c>
      <c r="U168" s="211">
        <v>9862</v>
      </c>
      <c r="V168" s="211">
        <v>0</v>
      </c>
      <c r="W168" s="211">
        <v>0</v>
      </c>
      <c r="X168" s="191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1">
        <v>0</v>
      </c>
      <c r="AE168" s="191">
        <v>856.93</v>
      </c>
      <c r="AF168" s="211">
        <v>2400</v>
      </c>
      <c r="AG168" s="211">
        <v>0</v>
      </c>
      <c r="AH168" s="211">
        <v>0</v>
      </c>
      <c r="AI168" s="67"/>
      <c r="AJ168" s="211">
        <v>0</v>
      </c>
      <c r="AK168" s="211">
        <v>0</v>
      </c>
      <c r="AL168" s="191">
        <v>0</v>
      </c>
      <c r="AM168" s="191">
        <v>0</v>
      </c>
      <c r="AN168" s="190"/>
      <c r="AO168" s="190"/>
      <c r="AP168" s="190"/>
      <c r="AQ168" s="375"/>
      <c r="AR168" s="375"/>
      <c r="AS168" s="382"/>
      <c r="AT168" s="382"/>
      <c r="AU168" s="382"/>
      <c r="AV168" s="198">
        <f t="shared" si="14"/>
        <v>20422.68</v>
      </c>
      <c r="AX168" s="33">
        <f t="shared" si="17"/>
        <v>12592</v>
      </c>
      <c r="AY168" s="33">
        <f t="shared" si="17"/>
        <v>0</v>
      </c>
      <c r="AZ168" s="33">
        <f t="shared" si="17"/>
        <v>0</v>
      </c>
      <c r="BA168" s="33">
        <f t="shared" si="17"/>
        <v>0</v>
      </c>
      <c r="BB168" s="33">
        <f t="shared" si="17"/>
        <v>3256.93</v>
      </c>
      <c r="BC168" s="33">
        <f t="shared" si="17"/>
        <v>0</v>
      </c>
      <c r="BD168" s="33">
        <f t="shared" si="17"/>
        <v>4573.75</v>
      </c>
      <c r="BE168" s="58">
        <f t="shared" si="18"/>
        <v>0</v>
      </c>
    </row>
    <row r="169" spans="1:57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Mar 2026'!$A$8:$F$206,6,FALSE)</f>
        <v>Chq Bk</v>
      </c>
      <c r="H169" s="191">
        <v>8183</v>
      </c>
      <c r="I169" s="191">
        <v>0</v>
      </c>
      <c r="J169" s="191">
        <v>0</v>
      </c>
      <c r="K169" s="191">
        <v>13813</v>
      </c>
      <c r="L169" s="191">
        <v>27546</v>
      </c>
      <c r="M169" s="191">
        <v>41656</v>
      </c>
      <c r="N169" s="191">
        <v>0</v>
      </c>
      <c r="O169" s="191">
        <v>0</v>
      </c>
      <c r="P169" s="211">
        <v>0</v>
      </c>
      <c r="Q169" s="211">
        <v>8691.25</v>
      </c>
      <c r="R169" s="211">
        <v>13813</v>
      </c>
      <c r="S169" s="211">
        <v>0</v>
      </c>
      <c r="T169" s="211">
        <v>37212</v>
      </c>
      <c r="U169" s="211">
        <v>0</v>
      </c>
      <c r="V169" s="211">
        <v>0</v>
      </c>
      <c r="W169" s="211">
        <v>0</v>
      </c>
      <c r="X169" s="191">
        <v>9800</v>
      </c>
      <c r="Y169" s="191">
        <v>0</v>
      </c>
      <c r="Z169" s="191">
        <v>17895</v>
      </c>
      <c r="AA169" s="191">
        <v>0</v>
      </c>
      <c r="AB169" s="191">
        <v>0</v>
      </c>
      <c r="AC169" s="191">
        <v>0</v>
      </c>
      <c r="AD169" s="191">
        <v>0</v>
      </c>
      <c r="AE169" s="191">
        <v>0</v>
      </c>
      <c r="AF169" s="211">
        <v>0</v>
      </c>
      <c r="AG169" s="211">
        <v>0</v>
      </c>
      <c r="AH169" s="211">
        <v>13813</v>
      </c>
      <c r="AI169" s="67"/>
      <c r="AJ169" s="211">
        <v>0</v>
      </c>
      <c r="AK169" s="211">
        <v>0</v>
      </c>
      <c r="AL169" s="191">
        <v>13816</v>
      </c>
      <c r="AM169" s="191">
        <v>0</v>
      </c>
      <c r="AN169" s="190"/>
      <c r="AO169" s="190"/>
      <c r="AP169" s="190"/>
      <c r="AQ169" s="375"/>
      <c r="AR169" s="375"/>
      <c r="AS169" s="382"/>
      <c r="AT169" s="382"/>
      <c r="AU169" s="382"/>
      <c r="AV169" s="198">
        <f t="shared" si="14"/>
        <v>206238.25</v>
      </c>
      <c r="AX169" s="33">
        <f t="shared" si="17"/>
        <v>55107</v>
      </c>
      <c r="AY169" s="33">
        <f t="shared" si="17"/>
        <v>0</v>
      </c>
      <c r="AZ169" s="33">
        <f t="shared" si="17"/>
        <v>0</v>
      </c>
      <c r="BA169" s="33">
        <f t="shared" si="17"/>
        <v>55255</v>
      </c>
      <c r="BB169" s="33">
        <f t="shared" si="17"/>
        <v>87185</v>
      </c>
      <c r="BC169" s="33">
        <f t="shared" si="17"/>
        <v>0</v>
      </c>
      <c r="BD169" s="33">
        <f t="shared" si="17"/>
        <v>8691.25</v>
      </c>
      <c r="BE169" s="58">
        <f t="shared" si="18"/>
        <v>0</v>
      </c>
    </row>
    <row r="170" spans="1:57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Mar 2026'!$A$8:$F$206,6,FALSE)</f>
        <v>Chq Bk</v>
      </c>
      <c r="H170" s="191">
        <v>7558</v>
      </c>
      <c r="I170" s="191">
        <v>0</v>
      </c>
      <c r="J170" s="191">
        <v>0</v>
      </c>
      <c r="K170" s="191">
        <v>45450</v>
      </c>
      <c r="L170" s="191">
        <v>13014</v>
      </c>
      <c r="M170" s="191">
        <v>13886</v>
      </c>
      <c r="N170" s="191">
        <v>0</v>
      </c>
      <c r="O170" s="191">
        <v>0</v>
      </c>
      <c r="P170" s="211">
        <v>0</v>
      </c>
      <c r="Q170" s="211">
        <v>6724.75</v>
      </c>
      <c r="R170" s="211">
        <v>45450</v>
      </c>
      <c r="S170" s="211">
        <v>0</v>
      </c>
      <c r="T170" s="211">
        <v>28659</v>
      </c>
      <c r="U170" s="211">
        <v>1598</v>
      </c>
      <c r="V170" s="211">
        <v>0</v>
      </c>
      <c r="W170" s="211">
        <v>0</v>
      </c>
      <c r="X170" s="191">
        <v>8965</v>
      </c>
      <c r="Y170" s="191">
        <v>0</v>
      </c>
      <c r="Z170" s="191">
        <v>13788</v>
      </c>
      <c r="AA170" s="191">
        <v>0</v>
      </c>
      <c r="AB170" s="191">
        <v>0</v>
      </c>
      <c r="AC170" s="191">
        <v>0</v>
      </c>
      <c r="AD170" s="191">
        <v>0</v>
      </c>
      <c r="AE170" s="191">
        <v>1142.57</v>
      </c>
      <c r="AF170" s="211">
        <v>4800</v>
      </c>
      <c r="AG170" s="211">
        <v>0</v>
      </c>
      <c r="AH170" s="211">
        <v>45450</v>
      </c>
      <c r="AI170" s="67"/>
      <c r="AJ170" s="211">
        <v>0</v>
      </c>
      <c r="AK170" s="211">
        <v>0</v>
      </c>
      <c r="AL170" s="191">
        <v>45450</v>
      </c>
      <c r="AM170" s="191">
        <v>0</v>
      </c>
      <c r="AN170" s="190"/>
      <c r="AO170" s="190"/>
      <c r="AP170" s="190"/>
      <c r="AQ170" s="375"/>
      <c r="AR170" s="375"/>
      <c r="AS170" s="382"/>
      <c r="AT170" s="382"/>
      <c r="AU170" s="382"/>
      <c r="AV170" s="198">
        <f t="shared" si="14"/>
        <v>281935.32</v>
      </c>
      <c r="AX170" s="33">
        <f t="shared" si="17"/>
        <v>44045</v>
      </c>
      <c r="AY170" s="33">
        <f t="shared" si="17"/>
        <v>0</v>
      </c>
      <c r="AZ170" s="33">
        <f t="shared" si="17"/>
        <v>0</v>
      </c>
      <c r="BA170" s="33">
        <f t="shared" si="17"/>
        <v>181800</v>
      </c>
      <c r="BB170" s="33">
        <f t="shared" si="17"/>
        <v>49365.57</v>
      </c>
      <c r="BC170" s="33">
        <f t="shared" si="17"/>
        <v>0</v>
      </c>
      <c r="BD170" s="33">
        <f t="shared" si="17"/>
        <v>6724.75</v>
      </c>
      <c r="BE170" s="58">
        <f t="shared" si="18"/>
        <v>0</v>
      </c>
    </row>
    <row r="171" spans="1:57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Mar 2026'!$A$8:$F$206,6,FALSE)</f>
        <v>Chq Bk</v>
      </c>
      <c r="H171" s="191">
        <v>7067</v>
      </c>
      <c r="I171" s="191">
        <v>1604.89</v>
      </c>
      <c r="J171" s="191">
        <v>258106.73735415103</v>
      </c>
      <c r="K171" s="191">
        <v>26133</v>
      </c>
      <c r="L171" s="191">
        <v>6754</v>
      </c>
      <c r="M171" s="191">
        <v>5641</v>
      </c>
      <c r="N171" s="191">
        <v>0</v>
      </c>
      <c r="O171" s="191">
        <v>0</v>
      </c>
      <c r="P171" s="211">
        <v>0</v>
      </c>
      <c r="Q171" s="211">
        <v>9214.3799999999992</v>
      </c>
      <c r="R171" s="211">
        <v>26133</v>
      </c>
      <c r="S171" s="211">
        <v>0</v>
      </c>
      <c r="T171" s="211">
        <v>0</v>
      </c>
      <c r="U171" s="211">
        <v>0</v>
      </c>
      <c r="V171" s="211">
        <v>1752</v>
      </c>
      <c r="W171" s="211">
        <v>62327.631206037157</v>
      </c>
      <c r="X171" s="191">
        <v>8605</v>
      </c>
      <c r="Y171" s="191">
        <v>0</v>
      </c>
      <c r="Z171" s="191">
        <v>0</v>
      </c>
      <c r="AA171" s="191">
        <v>42598.92</v>
      </c>
      <c r="AB171" s="191">
        <v>-2246.1620289855073</v>
      </c>
      <c r="AC171" s="191">
        <v>-2996.5494927536229</v>
      </c>
      <c r="AD171" s="191">
        <v>26015.61</v>
      </c>
      <c r="AE171" s="191">
        <v>0</v>
      </c>
      <c r="AF171" s="211">
        <v>2400</v>
      </c>
      <c r="AG171" s="211">
        <v>0</v>
      </c>
      <c r="AH171" s="211">
        <v>26133</v>
      </c>
      <c r="AI171" s="67"/>
      <c r="AJ171" s="211">
        <v>0</v>
      </c>
      <c r="AK171" s="211">
        <v>30534.799999999999</v>
      </c>
      <c r="AL171" s="191">
        <v>26136</v>
      </c>
      <c r="AM171" s="191">
        <v>0</v>
      </c>
      <c r="AN171" s="190"/>
      <c r="AO171" s="190"/>
      <c r="AP171" s="190"/>
      <c r="AQ171" s="375"/>
      <c r="AR171" s="375"/>
      <c r="AS171" s="382"/>
      <c r="AT171" s="382"/>
      <c r="AU171" s="382"/>
      <c r="AV171" s="198">
        <f t="shared" si="14"/>
        <v>561914.25703844905</v>
      </c>
      <c r="AX171" s="33">
        <f t="shared" si="17"/>
        <v>-5242.7115217391301</v>
      </c>
      <c r="AY171" s="33">
        <f t="shared" si="17"/>
        <v>0</v>
      </c>
      <c r="AZ171" s="33">
        <f t="shared" si="17"/>
        <v>363033.2885601882</v>
      </c>
      <c r="BA171" s="33">
        <f t="shared" si="17"/>
        <v>104535</v>
      </c>
      <c r="BB171" s="33">
        <f t="shared" si="17"/>
        <v>90374.3</v>
      </c>
      <c r="BC171" s="33">
        <f t="shared" si="17"/>
        <v>0</v>
      </c>
      <c r="BD171" s="33">
        <f t="shared" si="17"/>
        <v>9214.3799999999992</v>
      </c>
      <c r="BE171" s="58">
        <f t="shared" si="18"/>
        <v>0</v>
      </c>
    </row>
    <row r="172" spans="1:57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Mar 2026'!$A$8:$F$206,6,FALSE)</f>
        <v>Academy</v>
      </c>
      <c r="H172" s="191">
        <v>7404</v>
      </c>
      <c r="I172" s="191">
        <v>0</v>
      </c>
      <c r="J172" s="191">
        <v>0</v>
      </c>
      <c r="K172" s="191">
        <v>20152</v>
      </c>
      <c r="L172" s="191">
        <v>13882</v>
      </c>
      <c r="M172" s="191">
        <v>18949</v>
      </c>
      <c r="N172" s="191">
        <v>0</v>
      </c>
      <c r="O172" s="191">
        <v>0</v>
      </c>
      <c r="P172" s="211">
        <v>0</v>
      </c>
      <c r="Q172" s="211">
        <v>0</v>
      </c>
      <c r="R172" s="211">
        <v>13435.5</v>
      </c>
      <c r="S172" s="211">
        <v>0</v>
      </c>
      <c r="T172" s="211">
        <v>0</v>
      </c>
      <c r="U172" s="211"/>
      <c r="V172" s="211">
        <v>0</v>
      </c>
      <c r="W172" s="211">
        <v>0</v>
      </c>
      <c r="X172" s="191">
        <v>0</v>
      </c>
      <c r="Y172" s="191">
        <v>0</v>
      </c>
      <c r="Z172" s="191">
        <v>0</v>
      </c>
      <c r="AA172" s="191">
        <v>0</v>
      </c>
      <c r="AB172" s="191">
        <v>0</v>
      </c>
      <c r="AC172" s="191">
        <v>0</v>
      </c>
      <c r="AD172" s="191">
        <v>0</v>
      </c>
      <c r="AE172" s="191">
        <v>0</v>
      </c>
      <c r="AF172" s="211">
        <v>0</v>
      </c>
      <c r="AG172" s="211">
        <v>0</v>
      </c>
      <c r="AH172" s="211">
        <v>0</v>
      </c>
      <c r="AI172" s="67"/>
      <c r="AJ172" s="211">
        <v>0</v>
      </c>
      <c r="AK172" s="211">
        <v>0</v>
      </c>
      <c r="AL172" s="191">
        <v>0</v>
      </c>
      <c r="AM172" s="191">
        <v>0</v>
      </c>
      <c r="AN172" s="190"/>
      <c r="AO172" s="190"/>
      <c r="AP172" s="190"/>
      <c r="AQ172" s="375"/>
      <c r="AR172" s="375"/>
      <c r="AS172" s="382"/>
      <c r="AT172" s="382"/>
      <c r="AU172" s="382"/>
      <c r="AV172" s="198">
        <f t="shared" si="14"/>
        <v>73822.5</v>
      </c>
      <c r="AX172" s="33">
        <f t="shared" si="17"/>
        <v>0</v>
      </c>
      <c r="AY172" s="33">
        <f t="shared" si="17"/>
        <v>0</v>
      </c>
      <c r="AZ172" s="33">
        <f t="shared" si="17"/>
        <v>0</v>
      </c>
      <c r="BA172" s="33">
        <f t="shared" si="17"/>
        <v>33587.5</v>
      </c>
      <c r="BB172" s="33">
        <f t="shared" si="17"/>
        <v>40235</v>
      </c>
      <c r="BC172" s="33">
        <f t="shared" si="17"/>
        <v>0</v>
      </c>
      <c r="BD172" s="33">
        <f t="shared" si="17"/>
        <v>0</v>
      </c>
      <c r="BE172" s="58">
        <f t="shared" si="18"/>
        <v>0</v>
      </c>
    </row>
    <row r="173" spans="1:57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Mar 2026'!$A$8:$F$206,6,FALSE)</f>
        <v>Chq Bk</v>
      </c>
      <c r="H173" s="191">
        <v>0</v>
      </c>
      <c r="I173" s="191">
        <v>0</v>
      </c>
      <c r="J173" s="191">
        <v>0</v>
      </c>
      <c r="K173" s="191">
        <v>0</v>
      </c>
      <c r="L173" s="191">
        <v>0</v>
      </c>
      <c r="M173" s="191">
        <v>0</v>
      </c>
      <c r="N173" s="191">
        <v>0</v>
      </c>
      <c r="O173" s="191">
        <v>0</v>
      </c>
      <c r="P173" s="211">
        <v>2625</v>
      </c>
      <c r="Q173" s="211">
        <v>5026</v>
      </c>
      <c r="R173" s="211">
        <v>0</v>
      </c>
      <c r="S173" s="211">
        <v>0</v>
      </c>
      <c r="T173" s="211">
        <v>0</v>
      </c>
      <c r="U173" s="211">
        <v>16518</v>
      </c>
      <c r="V173" s="211">
        <v>876</v>
      </c>
      <c r="W173" s="211">
        <v>0</v>
      </c>
      <c r="X173" s="191">
        <v>0</v>
      </c>
      <c r="Y173" s="191">
        <v>0</v>
      </c>
      <c r="Z173" s="191">
        <v>0</v>
      </c>
      <c r="AA173" s="191">
        <v>0</v>
      </c>
      <c r="AB173" s="191">
        <v>0</v>
      </c>
      <c r="AC173" s="191">
        <v>0</v>
      </c>
      <c r="AD173" s="191">
        <v>0</v>
      </c>
      <c r="AE173" s="191">
        <v>0</v>
      </c>
      <c r="AF173" s="211">
        <v>0</v>
      </c>
      <c r="AG173" s="211">
        <v>0</v>
      </c>
      <c r="AH173" s="211">
        <v>0</v>
      </c>
      <c r="AI173" s="67"/>
      <c r="AJ173" s="211">
        <v>0</v>
      </c>
      <c r="AK173" s="211">
        <v>0</v>
      </c>
      <c r="AL173" s="191">
        <v>0</v>
      </c>
      <c r="AM173" s="191">
        <v>0</v>
      </c>
      <c r="AN173" s="190"/>
      <c r="AO173" s="190"/>
      <c r="AP173" s="190"/>
      <c r="AQ173" s="375"/>
      <c r="AR173" s="375"/>
      <c r="AS173" s="382"/>
      <c r="AT173" s="382"/>
      <c r="AU173" s="382"/>
      <c r="AV173" s="198">
        <f t="shared" si="14"/>
        <v>25045</v>
      </c>
      <c r="AX173" s="33">
        <f t="shared" si="17"/>
        <v>19143</v>
      </c>
      <c r="AY173" s="33">
        <f t="shared" si="17"/>
        <v>0</v>
      </c>
      <c r="AZ173" s="33">
        <f t="shared" si="17"/>
        <v>0</v>
      </c>
      <c r="BA173" s="33">
        <f t="shared" si="17"/>
        <v>0</v>
      </c>
      <c r="BB173" s="33">
        <f t="shared" si="17"/>
        <v>876</v>
      </c>
      <c r="BC173" s="33">
        <f t="shared" si="17"/>
        <v>0</v>
      </c>
      <c r="BD173" s="33">
        <f t="shared" si="17"/>
        <v>5026</v>
      </c>
      <c r="BE173" s="58">
        <f t="shared" si="18"/>
        <v>0</v>
      </c>
    </row>
    <row r="174" spans="1:57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Mar 2026'!$A$8:$F$206,6,FALSE)</f>
        <v>Chq Bk</v>
      </c>
      <c r="H174" s="191">
        <v>7412</v>
      </c>
      <c r="I174" s="191">
        <v>0</v>
      </c>
      <c r="J174" s="191">
        <v>0</v>
      </c>
      <c r="K174" s="191">
        <v>54040</v>
      </c>
      <c r="L174" s="191">
        <v>7765</v>
      </c>
      <c r="M174" s="191">
        <v>8968</v>
      </c>
      <c r="N174" s="191">
        <v>0</v>
      </c>
      <c r="O174" s="191">
        <v>0</v>
      </c>
      <c r="P174" s="211">
        <v>0</v>
      </c>
      <c r="Q174" s="211">
        <v>6283.75</v>
      </c>
      <c r="R174" s="211">
        <v>54040</v>
      </c>
      <c r="S174" s="211">
        <v>0</v>
      </c>
      <c r="T174" s="211">
        <v>28761</v>
      </c>
      <c r="U174" s="211">
        <v>0</v>
      </c>
      <c r="V174" s="211">
        <v>0</v>
      </c>
      <c r="W174" s="211">
        <v>0</v>
      </c>
      <c r="X174" s="191">
        <v>8890</v>
      </c>
      <c r="Y174" s="191">
        <v>0</v>
      </c>
      <c r="Z174" s="191">
        <v>13826</v>
      </c>
      <c r="AA174" s="191">
        <v>0</v>
      </c>
      <c r="AB174" s="191">
        <v>0</v>
      </c>
      <c r="AC174" s="191">
        <v>0</v>
      </c>
      <c r="AD174" s="191">
        <v>0</v>
      </c>
      <c r="AE174" s="191">
        <v>0</v>
      </c>
      <c r="AF174" s="211">
        <v>0</v>
      </c>
      <c r="AG174" s="211">
        <v>0</v>
      </c>
      <c r="AH174" s="211">
        <v>54040</v>
      </c>
      <c r="AI174" s="67"/>
      <c r="AJ174" s="211">
        <v>0</v>
      </c>
      <c r="AK174" s="211">
        <v>0</v>
      </c>
      <c r="AL174" s="191">
        <v>54040</v>
      </c>
      <c r="AM174" s="191">
        <v>0</v>
      </c>
      <c r="AN174" s="190"/>
      <c r="AO174" s="190"/>
      <c r="AP174" s="190"/>
      <c r="AQ174" s="375"/>
      <c r="AR174" s="375"/>
      <c r="AS174" s="382"/>
      <c r="AT174" s="382"/>
      <c r="AU174" s="382"/>
      <c r="AV174" s="198">
        <f t="shared" si="14"/>
        <v>298065.75</v>
      </c>
      <c r="AX174" s="33">
        <f t="shared" si="17"/>
        <v>42587</v>
      </c>
      <c r="AY174" s="33">
        <f t="shared" si="17"/>
        <v>0</v>
      </c>
      <c r="AZ174" s="33">
        <f t="shared" si="17"/>
        <v>0</v>
      </c>
      <c r="BA174" s="33">
        <f t="shared" si="17"/>
        <v>216160</v>
      </c>
      <c r="BB174" s="33">
        <f t="shared" si="17"/>
        <v>33035</v>
      </c>
      <c r="BC174" s="33">
        <f t="shared" si="17"/>
        <v>0</v>
      </c>
      <c r="BD174" s="33">
        <f t="shared" si="17"/>
        <v>6283.75</v>
      </c>
      <c r="BE174" s="58">
        <f t="shared" si="18"/>
        <v>0</v>
      </c>
    </row>
    <row r="175" spans="1:57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Mar 2026'!$A$8:$F$206,6,FALSE)</f>
        <v>Chq Bk</v>
      </c>
      <c r="H175" s="191">
        <v>8100</v>
      </c>
      <c r="I175" s="191">
        <v>0</v>
      </c>
      <c r="J175" s="191">
        <v>0</v>
      </c>
      <c r="K175" s="191">
        <v>63630</v>
      </c>
      <c r="L175" s="191">
        <v>13554</v>
      </c>
      <c r="M175" s="191">
        <v>25457</v>
      </c>
      <c r="N175" s="191">
        <v>0</v>
      </c>
      <c r="O175" s="191">
        <v>0</v>
      </c>
      <c r="P175" s="211">
        <v>0</v>
      </c>
      <c r="Q175" s="211">
        <v>8682.25</v>
      </c>
      <c r="R175" s="211">
        <v>63630</v>
      </c>
      <c r="S175" s="211">
        <v>0</v>
      </c>
      <c r="T175" s="211">
        <v>45884</v>
      </c>
      <c r="U175" s="211">
        <v>2538</v>
      </c>
      <c r="V175" s="211">
        <v>0</v>
      </c>
      <c r="W175" s="211">
        <v>0</v>
      </c>
      <c r="X175" s="191">
        <v>9715</v>
      </c>
      <c r="Y175" s="191">
        <v>0</v>
      </c>
      <c r="Z175" s="191">
        <v>21930</v>
      </c>
      <c r="AA175" s="191">
        <v>0</v>
      </c>
      <c r="AB175" s="191">
        <v>0</v>
      </c>
      <c r="AC175" s="191">
        <v>0</v>
      </c>
      <c r="AD175" s="191">
        <v>0</v>
      </c>
      <c r="AE175" s="191">
        <v>1713.86</v>
      </c>
      <c r="AF175" s="211">
        <v>2400</v>
      </c>
      <c r="AG175" s="211">
        <v>2628</v>
      </c>
      <c r="AH175" s="211">
        <v>63630</v>
      </c>
      <c r="AI175" s="67"/>
      <c r="AJ175" s="211">
        <v>0</v>
      </c>
      <c r="AK175" s="211">
        <v>0</v>
      </c>
      <c r="AL175" s="191">
        <v>63630</v>
      </c>
      <c r="AM175" s="191">
        <v>0</v>
      </c>
      <c r="AN175" s="190"/>
      <c r="AO175" s="190"/>
      <c r="AP175" s="190"/>
      <c r="AQ175" s="375"/>
      <c r="AR175" s="375"/>
      <c r="AS175" s="382"/>
      <c r="AT175" s="382"/>
      <c r="AU175" s="382"/>
      <c r="AV175" s="198">
        <f t="shared" si="14"/>
        <v>397122.11</v>
      </c>
      <c r="AX175" s="33">
        <f t="shared" si="17"/>
        <v>70352</v>
      </c>
      <c r="AY175" s="33">
        <f t="shared" si="17"/>
        <v>0</v>
      </c>
      <c r="AZ175" s="33">
        <f t="shared" si="17"/>
        <v>0</v>
      </c>
      <c r="BA175" s="33">
        <f t="shared" si="17"/>
        <v>254520</v>
      </c>
      <c r="BB175" s="33">
        <f t="shared" si="17"/>
        <v>63567.86</v>
      </c>
      <c r="BC175" s="33">
        <f t="shared" si="17"/>
        <v>0</v>
      </c>
      <c r="BD175" s="33">
        <f t="shared" si="17"/>
        <v>8682.25</v>
      </c>
      <c r="BE175" s="58">
        <f t="shared" si="18"/>
        <v>0</v>
      </c>
    </row>
    <row r="176" spans="1:57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Mar 2026'!$A$8:$F$206,6,FALSE)</f>
        <v>Chq Bk</v>
      </c>
      <c r="H176" s="191">
        <v>7054</v>
      </c>
      <c r="I176" s="191">
        <v>0</v>
      </c>
      <c r="J176" s="191">
        <v>194096.26649032155</v>
      </c>
      <c r="K176" s="191">
        <v>19216</v>
      </c>
      <c r="L176" s="191">
        <v>-109</v>
      </c>
      <c r="M176" s="191">
        <v>2170</v>
      </c>
      <c r="N176" s="191">
        <v>0</v>
      </c>
      <c r="O176" s="191">
        <v>0</v>
      </c>
      <c r="P176" s="211">
        <v>0</v>
      </c>
      <c r="Q176" s="211">
        <v>8784.06</v>
      </c>
      <c r="R176" s="211">
        <v>19216</v>
      </c>
      <c r="S176" s="211">
        <v>0</v>
      </c>
      <c r="T176" s="211">
        <v>0</v>
      </c>
      <c r="U176" s="211">
        <v>0</v>
      </c>
      <c r="V176" s="211">
        <v>0</v>
      </c>
      <c r="W176" s="211">
        <v>46870.378666939934</v>
      </c>
      <c r="X176" s="191">
        <v>8425</v>
      </c>
      <c r="Y176" s="191">
        <v>0</v>
      </c>
      <c r="Z176" s="191">
        <v>0</v>
      </c>
      <c r="AA176" s="191">
        <v>32034.39</v>
      </c>
      <c r="AB176" s="191">
        <v>-1689.1084057971016</v>
      </c>
      <c r="AC176" s="191">
        <v>-2253.4028985507248</v>
      </c>
      <c r="AD176" s="191">
        <v>0</v>
      </c>
      <c r="AE176" s="191">
        <v>571.29</v>
      </c>
      <c r="AF176" s="211">
        <v>2400</v>
      </c>
      <c r="AG176" s="211">
        <v>0</v>
      </c>
      <c r="AH176" s="211">
        <v>18079</v>
      </c>
      <c r="AI176" s="67"/>
      <c r="AJ176" s="211">
        <v>0</v>
      </c>
      <c r="AK176" s="211">
        <v>0</v>
      </c>
      <c r="AL176" s="191">
        <v>18839</v>
      </c>
      <c r="AM176" s="191">
        <v>0</v>
      </c>
      <c r="AN176" s="190"/>
      <c r="AO176" s="190"/>
      <c r="AP176" s="190"/>
      <c r="AQ176" s="375"/>
      <c r="AR176" s="375"/>
      <c r="AS176" s="382"/>
      <c r="AT176" s="382"/>
      <c r="AU176" s="382"/>
      <c r="AV176" s="198">
        <f t="shared" si="14"/>
        <v>373703.87385291362</v>
      </c>
      <c r="AX176" s="33">
        <f t="shared" si="17"/>
        <v>-3942.5113043478264</v>
      </c>
      <c r="AY176" s="33">
        <f t="shared" si="17"/>
        <v>0</v>
      </c>
      <c r="AZ176" s="33">
        <f t="shared" si="17"/>
        <v>273001.03515726147</v>
      </c>
      <c r="BA176" s="33">
        <f t="shared" si="17"/>
        <v>75350</v>
      </c>
      <c r="BB176" s="33">
        <f t="shared" si="17"/>
        <v>20511.29</v>
      </c>
      <c r="BC176" s="33">
        <f t="shared" si="17"/>
        <v>0</v>
      </c>
      <c r="BD176" s="33">
        <f t="shared" si="17"/>
        <v>8784.06</v>
      </c>
      <c r="BE176" s="58">
        <f t="shared" si="18"/>
        <v>0</v>
      </c>
    </row>
    <row r="177" spans="1:57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Mar 2026'!$A$8:$F$206,6,FALSE)</f>
        <v>Chq Bk</v>
      </c>
      <c r="H177" s="191">
        <v>7392</v>
      </c>
      <c r="I177" s="191">
        <v>0</v>
      </c>
      <c r="J177" s="191">
        <v>0</v>
      </c>
      <c r="K177" s="191">
        <v>31136</v>
      </c>
      <c r="L177" s="191">
        <v>11117</v>
      </c>
      <c r="M177" s="191">
        <v>15911</v>
      </c>
      <c r="N177" s="191">
        <v>0</v>
      </c>
      <c r="O177" s="191">
        <v>0</v>
      </c>
      <c r="P177" s="211">
        <v>0</v>
      </c>
      <c r="Q177" s="211">
        <v>6283.75</v>
      </c>
      <c r="R177" s="211">
        <v>31136</v>
      </c>
      <c r="S177" s="211">
        <v>0</v>
      </c>
      <c r="T177" s="211">
        <v>24162</v>
      </c>
      <c r="U177" s="211">
        <v>0</v>
      </c>
      <c r="V177" s="211">
        <v>0</v>
      </c>
      <c r="W177" s="211">
        <v>0</v>
      </c>
      <c r="X177" s="191">
        <v>8860</v>
      </c>
      <c r="Y177" s="191">
        <v>0</v>
      </c>
      <c r="Z177" s="191">
        <v>11678</v>
      </c>
      <c r="AA177" s="191">
        <v>0</v>
      </c>
      <c r="AB177" s="191">
        <v>0</v>
      </c>
      <c r="AC177" s="191">
        <v>0</v>
      </c>
      <c r="AD177" s="191">
        <v>0</v>
      </c>
      <c r="AE177" s="191">
        <v>0</v>
      </c>
      <c r="AF177" s="211">
        <v>0</v>
      </c>
      <c r="AG177" s="211">
        <v>0</v>
      </c>
      <c r="AH177" s="211">
        <v>31136</v>
      </c>
      <c r="AI177" s="67"/>
      <c r="AJ177" s="211">
        <v>0</v>
      </c>
      <c r="AK177" s="211">
        <v>0</v>
      </c>
      <c r="AL177" s="191">
        <v>31137</v>
      </c>
      <c r="AM177" s="191">
        <v>0</v>
      </c>
      <c r="AN177" s="190"/>
      <c r="AO177" s="190"/>
      <c r="AP177" s="190"/>
      <c r="AQ177" s="375"/>
      <c r="AR177" s="375"/>
      <c r="AS177" s="382"/>
      <c r="AT177" s="382"/>
      <c r="AU177" s="382"/>
      <c r="AV177" s="198">
        <f t="shared" si="14"/>
        <v>209948.75</v>
      </c>
      <c r="AX177" s="33">
        <f t="shared" si="17"/>
        <v>35840</v>
      </c>
      <c r="AY177" s="33">
        <f t="shared" si="17"/>
        <v>0</v>
      </c>
      <c r="AZ177" s="33">
        <f t="shared" si="17"/>
        <v>0</v>
      </c>
      <c r="BA177" s="33">
        <f t="shared" si="17"/>
        <v>124545</v>
      </c>
      <c r="BB177" s="33">
        <f t="shared" si="17"/>
        <v>43280</v>
      </c>
      <c r="BC177" s="33">
        <f t="shared" si="17"/>
        <v>0</v>
      </c>
      <c r="BD177" s="33">
        <f t="shared" si="17"/>
        <v>6283.75</v>
      </c>
      <c r="BE177" s="58">
        <f t="shared" si="18"/>
        <v>0</v>
      </c>
    </row>
    <row r="178" spans="1:57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Mar 2026'!$A$8:$F$206,6,FALSE)</f>
        <v>Chq Bk</v>
      </c>
      <c r="H178" s="191">
        <v>8667</v>
      </c>
      <c r="I178" s="191">
        <v>0</v>
      </c>
      <c r="J178" s="191">
        <v>0</v>
      </c>
      <c r="K178" s="191">
        <v>96481</v>
      </c>
      <c r="L178" s="191">
        <v>11725</v>
      </c>
      <c r="M178" s="191">
        <v>29507</v>
      </c>
      <c r="N178" s="191">
        <v>0</v>
      </c>
      <c r="O178" s="191">
        <v>0</v>
      </c>
      <c r="P178" s="211">
        <v>0</v>
      </c>
      <c r="Q178" s="211"/>
      <c r="R178" s="211">
        <v>96481</v>
      </c>
      <c r="S178" s="211">
        <v>0</v>
      </c>
      <c r="T178" s="211">
        <v>64248</v>
      </c>
      <c r="U178" s="211">
        <v>0</v>
      </c>
      <c r="V178" s="211">
        <v>0</v>
      </c>
      <c r="W178" s="211">
        <v>0</v>
      </c>
      <c r="X178" s="191">
        <v>10345</v>
      </c>
      <c r="Y178" s="191">
        <v>0</v>
      </c>
      <c r="Z178" s="191">
        <v>32332</v>
      </c>
      <c r="AA178" s="191">
        <v>0</v>
      </c>
      <c r="AB178" s="191">
        <v>0</v>
      </c>
      <c r="AC178" s="191">
        <v>0</v>
      </c>
      <c r="AD178" s="191">
        <v>0</v>
      </c>
      <c r="AE178" s="191">
        <v>0</v>
      </c>
      <c r="AF178" s="211">
        <v>2400</v>
      </c>
      <c r="AG178" s="211">
        <v>0</v>
      </c>
      <c r="AH178" s="211">
        <v>95344</v>
      </c>
      <c r="AI178" s="67"/>
      <c r="AJ178" s="211">
        <v>0</v>
      </c>
      <c r="AK178" s="211">
        <v>0</v>
      </c>
      <c r="AL178" s="191">
        <v>96104</v>
      </c>
      <c r="AM178" s="191">
        <v>10052.5</v>
      </c>
      <c r="AN178" s="190"/>
      <c r="AO178" s="190"/>
      <c r="AP178" s="190"/>
      <c r="AQ178" s="375"/>
      <c r="AR178" s="375"/>
      <c r="AS178" s="382"/>
      <c r="AT178" s="382"/>
      <c r="AU178" s="382"/>
      <c r="AV178" s="198">
        <f t="shared" si="14"/>
        <v>553686.5</v>
      </c>
      <c r="AX178" s="33">
        <f t="shared" si="17"/>
        <v>96580</v>
      </c>
      <c r="AY178" s="33">
        <f t="shared" si="17"/>
        <v>0</v>
      </c>
      <c r="AZ178" s="33">
        <f t="shared" si="17"/>
        <v>0</v>
      </c>
      <c r="BA178" s="33">
        <f t="shared" si="17"/>
        <v>384410</v>
      </c>
      <c r="BB178" s="33">
        <f t="shared" si="17"/>
        <v>62644</v>
      </c>
      <c r="BC178" s="33">
        <f t="shared" si="17"/>
        <v>0</v>
      </c>
      <c r="BD178" s="33">
        <f t="shared" si="17"/>
        <v>10052.5</v>
      </c>
      <c r="BE178" s="58">
        <f t="shared" si="18"/>
        <v>0</v>
      </c>
    </row>
    <row r="179" spans="1:57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Mar 2026'!$A$8:$F$206,6,FALSE)</f>
        <v>Chq Bk</v>
      </c>
      <c r="H179" s="191">
        <v>0</v>
      </c>
      <c r="I179" s="191">
        <v>0</v>
      </c>
      <c r="J179" s="191">
        <v>0</v>
      </c>
      <c r="K179" s="191">
        <v>0</v>
      </c>
      <c r="L179" s="191">
        <v>0</v>
      </c>
      <c r="M179" s="191">
        <v>0</v>
      </c>
      <c r="N179" s="191">
        <v>0</v>
      </c>
      <c r="O179" s="191">
        <v>0</v>
      </c>
      <c r="P179" s="211">
        <v>3570</v>
      </c>
      <c r="Q179" s="211">
        <v>4621</v>
      </c>
      <c r="R179" s="211">
        <v>0</v>
      </c>
      <c r="S179" s="211">
        <v>0</v>
      </c>
      <c r="T179" s="211">
        <v>0</v>
      </c>
      <c r="U179" s="211">
        <v>11032</v>
      </c>
      <c r="V179" s="211">
        <v>0</v>
      </c>
      <c r="W179" s="211">
        <v>0</v>
      </c>
      <c r="X179" s="191">
        <v>0</v>
      </c>
      <c r="Y179" s="191">
        <v>0</v>
      </c>
      <c r="Z179" s="191">
        <v>0</v>
      </c>
      <c r="AA179" s="191">
        <v>0</v>
      </c>
      <c r="AB179" s="191">
        <v>0</v>
      </c>
      <c r="AC179" s="191">
        <v>0</v>
      </c>
      <c r="AD179" s="191">
        <v>0</v>
      </c>
      <c r="AE179" s="191">
        <v>0</v>
      </c>
      <c r="AF179" s="211">
        <v>0</v>
      </c>
      <c r="AG179" s="211">
        <v>0</v>
      </c>
      <c r="AH179" s="211">
        <v>0</v>
      </c>
      <c r="AI179" s="67"/>
      <c r="AJ179" s="211">
        <v>0</v>
      </c>
      <c r="AK179" s="211">
        <v>0</v>
      </c>
      <c r="AL179" s="191">
        <v>0</v>
      </c>
      <c r="AM179" s="191">
        <v>0</v>
      </c>
      <c r="AN179" s="190"/>
      <c r="AO179" s="190"/>
      <c r="AP179" s="190"/>
      <c r="AQ179" s="375"/>
      <c r="AR179" s="375"/>
      <c r="AS179" s="382"/>
      <c r="AT179" s="382"/>
      <c r="AU179" s="382"/>
      <c r="AV179" s="198">
        <f t="shared" si="14"/>
        <v>19223</v>
      </c>
      <c r="AX179" s="33">
        <f t="shared" si="17"/>
        <v>14602</v>
      </c>
      <c r="AY179" s="33">
        <f t="shared" si="17"/>
        <v>0</v>
      </c>
      <c r="AZ179" s="33">
        <f t="shared" si="17"/>
        <v>0</v>
      </c>
      <c r="BA179" s="33">
        <f t="shared" si="17"/>
        <v>0</v>
      </c>
      <c r="BB179" s="33">
        <f t="shared" si="17"/>
        <v>0</v>
      </c>
      <c r="BC179" s="33">
        <f t="shared" si="17"/>
        <v>0</v>
      </c>
      <c r="BD179" s="33">
        <f t="shared" si="17"/>
        <v>4621</v>
      </c>
      <c r="BE179" s="58">
        <f t="shared" si="18"/>
        <v>0</v>
      </c>
    </row>
    <row r="180" spans="1:57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Mar 2026'!$A$8:$F$206,6,FALSE)</f>
        <v>Chq Bk</v>
      </c>
      <c r="H180" s="191">
        <v>8004</v>
      </c>
      <c r="I180" s="191">
        <v>0</v>
      </c>
      <c r="J180" s="191">
        <v>0</v>
      </c>
      <c r="K180" s="191">
        <v>54918</v>
      </c>
      <c r="L180" s="191">
        <v>11956</v>
      </c>
      <c r="M180" s="191">
        <v>17647</v>
      </c>
      <c r="N180" s="191">
        <v>0</v>
      </c>
      <c r="O180" s="191">
        <v>0</v>
      </c>
      <c r="P180" s="211">
        <v>0</v>
      </c>
      <c r="Q180" s="211">
        <v>7948.75</v>
      </c>
      <c r="R180" s="211">
        <v>54918</v>
      </c>
      <c r="S180" s="211">
        <v>0</v>
      </c>
      <c r="T180" s="211">
        <v>38759</v>
      </c>
      <c r="U180" s="211">
        <v>0</v>
      </c>
      <c r="V180" s="211">
        <v>0</v>
      </c>
      <c r="W180" s="211">
        <v>0</v>
      </c>
      <c r="X180" s="191">
        <v>9470</v>
      </c>
      <c r="Y180" s="191">
        <v>0</v>
      </c>
      <c r="Z180" s="191">
        <v>18565</v>
      </c>
      <c r="AA180" s="191">
        <v>0</v>
      </c>
      <c r="AB180" s="191">
        <v>0</v>
      </c>
      <c r="AC180" s="191">
        <v>0</v>
      </c>
      <c r="AD180" s="191">
        <v>0</v>
      </c>
      <c r="AE180" s="191">
        <v>0</v>
      </c>
      <c r="AF180" s="211">
        <v>0</v>
      </c>
      <c r="AG180" s="211">
        <v>0</v>
      </c>
      <c r="AH180" s="211">
        <v>53784</v>
      </c>
      <c r="AI180" s="67"/>
      <c r="AJ180" s="211">
        <v>0</v>
      </c>
      <c r="AK180" s="211">
        <v>0</v>
      </c>
      <c r="AL180" s="191">
        <v>54540</v>
      </c>
      <c r="AM180" s="191">
        <v>0</v>
      </c>
      <c r="AN180" s="190"/>
      <c r="AO180" s="190"/>
      <c r="AP180" s="190"/>
      <c r="AQ180" s="375"/>
      <c r="AR180" s="375"/>
      <c r="AS180" s="382"/>
      <c r="AT180" s="382"/>
      <c r="AU180" s="382"/>
      <c r="AV180" s="198">
        <f t="shared" si="14"/>
        <v>330509.75</v>
      </c>
      <c r="AX180" s="33">
        <f t="shared" si="17"/>
        <v>57324</v>
      </c>
      <c r="AY180" s="33">
        <f t="shared" si="17"/>
        <v>0</v>
      </c>
      <c r="AZ180" s="33">
        <f t="shared" si="17"/>
        <v>0</v>
      </c>
      <c r="BA180" s="33">
        <f t="shared" si="17"/>
        <v>218160</v>
      </c>
      <c r="BB180" s="33">
        <f t="shared" si="17"/>
        <v>47077</v>
      </c>
      <c r="BC180" s="33">
        <f t="shared" si="17"/>
        <v>0</v>
      </c>
      <c r="BD180" s="33">
        <f t="shared" si="17"/>
        <v>7948.75</v>
      </c>
      <c r="BE180" s="58">
        <f t="shared" si="18"/>
        <v>0</v>
      </c>
    </row>
    <row r="181" spans="1:57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Mar 2026'!$A$8:$F$206,6,FALSE)</f>
        <v>Chq Bk</v>
      </c>
      <c r="H181" s="191">
        <v>7375</v>
      </c>
      <c r="I181" s="191">
        <v>0</v>
      </c>
      <c r="J181" s="191">
        <v>0</v>
      </c>
      <c r="K181" s="191">
        <v>34745</v>
      </c>
      <c r="L181" s="191">
        <v>7621</v>
      </c>
      <c r="M181" s="191">
        <v>11282</v>
      </c>
      <c r="N181" s="191">
        <v>0</v>
      </c>
      <c r="O181" s="191">
        <v>0</v>
      </c>
      <c r="P181" s="211">
        <v>0</v>
      </c>
      <c r="Q181" s="211">
        <v>6120.63</v>
      </c>
      <c r="R181" s="211">
        <v>34745</v>
      </c>
      <c r="S181" s="211">
        <v>0</v>
      </c>
      <c r="T181" s="211">
        <v>24041</v>
      </c>
      <c r="U181" s="211">
        <v>0</v>
      </c>
      <c r="V181" s="211">
        <v>0</v>
      </c>
      <c r="W181" s="211">
        <v>0</v>
      </c>
      <c r="X181" s="191">
        <v>8855</v>
      </c>
      <c r="Y181" s="191">
        <v>0</v>
      </c>
      <c r="Z181" s="191">
        <v>11612</v>
      </c>
      <c r="AA181" s="191">
        <v>0</v>
      </c>
      <c r="AB181" s="191">
        <v>0</v>
      </c>
      <c r="AC181" s="191">
        <v>0</v>
      </c>
      <c r="AD181" s="191">
        <v>0</v>
      </c>
      <c r="AE181" s="191">
        <v>1713.86</v>
      </c>
      <c r="AF181" s="211">
        <v>0</v>
      </c>
      <c r="AG181" s="211">
        <v>0</v>
      </c>
      <c r="AH181" s="211">
        <v>34745</v>
      </c>
      <c r="AI181" s="67"/>
      <c r="AJ181" s="211">
        <v>0</v>
      </c>
      <c r="AK181" s="211">
        <v>0</v>
      </c>
      <c r="AL181" s="191">
        <v>34745</v>
      </c>
      <c r="AM181" s="191">
        <v>0</v>
      </c>
      <c r="AN181" s="190"/>
      <c r="AO181" s="190"/>
      <c r="AP181" s="190"/>
      <c r="AQ181" s="375"/>
      <c r="AR181" s="375"/>
      <c r="AS181" s="382"/>
      <c r="AT181" s="382"/>
      <c r="AU181" s="382"/>
      <c r="AV181" s="198">
        <f t="shared" si="14"/>
        <v>217600.49</v>
      </c>
      <c r="AX181" s="33">
        <f t="shared" si="17"/>
        <v>35653</v>
      </c>
      <c r="AY181" s="33">
        <f t="shared" si="17"/>
        <v>0</v>
      </c>
      <c r="AZ181" s="33">
        <f t="shared" si="17"/>
        <v>0</v>
      </c>
      <c r="BA181" s="33">
        <f t="shared" si="17"/>
        <v>138980</v>
      </c>
      <c r="BB181" s="33">
        <f t="shared" si="17"/>
        <v>36846.86</v>
      </c>
      <c r="BC181" s="33">
        <f t="shared" si="17"/>
        <v>0</v>
      </c>
      <c r="BD181" s="33">
        <f t="shared" si="17"/>
        <v>6120.63</v>
      </c>
      <c r="BE181" s="58">
        <f t="shared" si="18"/>
        <v>0</v>
      </c>
    </row>
    <row r="182" spans="1:57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Mar 2026'!$A$8:$F$206,6,FALSE)</f>
        <v>Chq Bk</v>
      </c>
      <c r="H182" s="191">
        <v>9529</v>
      </c>
      <c r="I182" s="191">
        <v>0</v>
      </c>
      <c r="J182" s="191">
        <v>0</v>
      </c>
      <c r="K182" s="191">
        <v>39456</v>
      </c>
      <c r="L182" s="191">
        <v>67133</v>
      </c>
      <c r="M182" s="191">
        <v>92568</v>
      </c>
      <c r="N182" s="191">
        <v>0</v>
      </c>
      <c r="O182" s="191">
        <v>0</v>
      </c>
      <c r="P182" s="211">
        <v>0</v>
      </c>
      <c r="Q182" s="211">
        <v>13067.5</v>
      </c>
      <c r="R182" s="211">
        <v>39456</v>
      </c>
      <c r="S182" s="211">
        <v>0</v>
      </c>
      <c r="T182" s="211">
        <v>74908</v>
      </c>
      <c r="U182" s="211">
        <v>0</v>
      </c>
      <c r="V182" s="211">
        <v>0</v>
      </c>
      <c r="W182" s="211">
        <v>0</v>
      </c>
      <c r="X182" s="191">
        <v>11585</v>
      </c>
      <c r="Y182" s="191">
        <v>0</v>
      </c>
      <c r="Z182" s="191">
        <v>35741</v>
      </c>
      <c r="AA182" s="191">
        <v>0</v>
      </c>
      <c r="AB182" s="191">
        <v>0</v>
      </c>
      <c r="AC182" s="191">
        <v>0</v>
      </c>
      <c r="AD182" s="191">
        <v>0</v>
      </c>
      <c r="AE182" s="191">
        <v>2285.15</v>
      </c>
      <c r="AF182" s="211">
        <v>4800</v>
      </c>
      <c r="AG182" s="211">
        <v>0</v>
      </c>
      <c r="AH182" s="211">
        <v>39456</v>
      </c>
      <c r="AI182" s="67"/>
      <c r="AJ182" s="211">
        <v>0</v>
      </c>
      <c r="AK182" s="211">
        <v>0</v>
      </c>
      <c r="AL182" s="191">
        <v>39457</v>
      </c>
      <c r="AM182" s="191">
        <v>0</v>
      </c>
      <c r="AN182" s="190"/>
      <c r="AO182" s="190"/>
      <c r="AP182" s="190"/>
      <c r="AQ182" s="375"/>
      <c r="AR182" s="375"/>
      <c r="AS182" s="382"/>
      <c r="AT182" s="382"/>
      <c r="AU182" s="382"/>
      <c r="AV182" s="198">
        <f t="shared" si="14"/>
        <v>469441.65</v>
      </c>
      <c r="AX182" s="33">
        <f t="shared" si="17"/>
        <v>110649</v>
      </c>
      <c r="AY182" s="33">
        <f t="shared" si="17"/>
        <v>0</v>
      </c>
      <c r="AZ182" s="33">
        <f t="shared" si="17"/>
        <v>0</v>
      </c>
      <c r="BA182" s="33">
        <f t="shared" si="17"/>
        <v>157825</v>
      </c>
      <c r="BB182" s="33">
        <f t="shared" si="17"/>
        <v>187900.15</v>
      </c>
      <c r="BC182" s="33">
        <f t="shared" si="17"/>
        <v>0</v>
      </c>
      <c r="BD182" s="33">
        <f t="shared" si="17"/>
        <v>13067.5</v>
      </c>
      <c r="BE182" s="58">
        <f t="shared" si="18"/>
        <v>0</v>
      </c>
    </row>
    <row r="183" spans="1:57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Mar 2026'!$A$8:$F$206,6,FALSE)</f>
        <v>Chq Bk</v>
      </c>
      <c r="H183" s="191">
        <v>7296</v>
      </c>
      <c r="I183" s="191">
        <v>0</v>
      </c>
      <c r="J183" s="191">
        <v>0</v>
      </c>
      <c r="K183" s="191">
        <v>24897</v>
      </c>
      <c r="L183" s="191">
        <v>9928</v>
      </c>
      <c r="M183" s="191">
        <v>14464</v>
      </c>
      <c r="N183" s="191">
        <v>0</v>
      </c>
      <c r="O183" s="191">
        <v>0</v>
      </c>
      <c r="P183" s="211">
        <v>0</v>
      </c>
      <c r="Q183" s="211">
        <v>0</v>
      </c>
      <c r="R183" s="211">
        <v>24897</v>
      </c>
      <c r="S183" s="211">
        <v>0</v>
      </c>
      <c r="T183" s="211">
        <v>20603</v>
      </c>
      <c r="U183" s="211">
        <v>0</v>
      </c>
      <c r="V183" s="211">
        <v>0</v>
      </c>
      <c r="W183" s="211">
        <v>0</v>
      </c>
      <c r="X183" s="191">
        <v>8760</v>
      </c>
      <c r="Y183" s="191">
        <v>0</v>
      </c>
      <c r="Z183" s="191">
        <v>9998</v>
      </c>
      <c r="AA183" s="191">
        <v>0</v>
      </c>
      <c r="AB183" s="191">
        <v>0</v>
      </c>
      <c r="AC183" s="191">
        <v>0</v>
      </c>
      <c r="AD183" s="191">
        <v>0</v>
      </c>
      <c r="AE183" s="191">
        <v>285.64</v>
      </c>
      <c r="AF183" s="211">
        <v>0</v>
      </c>
      <c r="AG183" s="211">
        <v>0</v>
      </c>
      <c r="AH183" s="211">
        <v>24897</v>
      </c>
      <c r="AI183" s="67"/>
      <c r="AJ183" s="211">
        <v>0</v>
      </c>
      <c r="AK183" s="211">
        <v>0</v>
      </c>
      <c r="AL183" s="191">
        <v>24899</v>
      </c>
      <c r="AM183" s="191">
        <v>0</v>
      </c>
      <c r="AN183" s="190"/>
      <c r="AO183" s="190"/>
      <c r="AP183" s="190"/>
      <c r="AQ183" s="375"/>
      <c r="AR183" s="375"/>
      <c r="AS183" s="382"/>
      <c r="AT183" s="382"/>
      <c r="AU183" s="382"/>
      <c r="AV183" s="198">
        <f t="shared" si="14"/>
        <v>170924.64</v>
      </c>
      <c r="AX183" s="33">
        <f t="shared" si="17"/>
        <v>30601</v>
      </c>
      <c r="AY183" s="33">
        <f t="shared" si="17"/>
        <v>0</v>
      </c>
      <c r="AZ183" s="33">
        <f t="shared" si="17"/>
        <v>0</v>
      </c>
      <c r="BA183" s="33">
        <f t="shared" si="17"/>
        <v>99590</v>
      </c>
      <c r="BB183" s="33">
        <f t="shared" si="17"/>
        <v>40733.64</v>
      </c>
      <c r="BC183" s="33">
        <f t="shared" si="17"/>
        <v>0</v>
      </c>
      <c r="BD183" s="33">
        <f t="shared" si="17"/>
        <v>0</v>
      </c>
      <c r="BE183" s="58">
        <f t="shared" si="18"/>
        <v>0</v>
      </c>
    </row>
    <row r="184" spans="1:57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Mar 2026'!$A$8:$F$206,6,FALSE)</f>
        <v>Chq Bk</v>
      </c>
      <c r="H184" s="191">
        <v>8150</v>
      </c>
      <c r="I184" s="191">
        <v>0</v>
      </c>
      <c r="J184" s="191">
        <v>0</v>
      </c>
      <c r="K184" s="191">
        <v>51688</v>
      </c>
      <c r="L184" s="191">
        <v>21955</v>
      </c>
      <c r="M184" s="191">
        <v>31821</v>
      </c>
      <c r="N184" s="191">
        <v>0</v>
      </c>
      <c r="O184" s="191">
        <v>0</v>
      </c>
      <c r="P184" s="211">
        <v>0</v>
      </c>
      <c r="Q184" s="211">
        <v>8668.75</v>
      </c>
      <c r="R184" s="211">
        <v>51688</v>
      </c>
      <c r="S184" s="211">
        <v>0</v>
      </c>
      <c r="T184" s="211">
        <v>44819</v>
      </c>
      <c r="U184" s="211">
        <v>0</v>
      </c>
      <c r="V184" s="211">
        <v>0</v>
      </c>
      <c r="W184" s="211">
        <v>0</v>
      </c>
      <c r="X184" s="191">
        <v>9770</v>
      </c>
      <c r="Y184" s="191">
        <v>0</v>
      </c>
      <c r="Z184" s="191">
        <v>21446</v>
      </c>
      <c r="AA184" s="191">
        <v>0</v>
      </c>
      <c r="AB184" s="191">
        <v>0</v>
      </c>
      <c r="AC184" s="191">
        <v>0</v>
      </c>
      <c r="AD184" s="191">
        <v>0</v>
      </c>
      <c r="AE184" s="191">
        <v>0</v>
      </c>
      <c r="AF184" s="211">
        <v>0</v>
      </c>
      <c r="AG184" s="211">
        <v>0</v>
      </c>
      <c r="AH184" s="211">
        <v>50554</v>
      </c>
      <c r="AI184" s="67"/>
      <c r="AJ184" s="211">
        <v>0</v>
      </c>
      <c r="AK184" s="211">
        <v>0</v>
      </c>
      <c r="AL184" s="191">
        <v>51310</v>
      </c>
      <c r="AM184" s="191">
        <v>0</v>
      </c>
      <c r="AN184" s="190"/>
      <c r="AO184" s="190"/>
      <c r="AP184" s="190"/>
      <c r="AQ184" s="375"/>
      <c r="AR184" s="375"/>
      <c r="AS184" s="382"/>
      <c r="AT184" s="382"/>
      <c r="AU184" s="382"/>
      <c r="AV184" s="198">
        <f t="shared" si="14"/>
        <v>351869.75</v>
      </c>
      <c r="AX184" s="33">
        <f t="shared" si="17"/>
        <v>66265</v>
      </c>
      <c r="AY184" s="33">
        <f t="shared" si="17"/>
        <v>0</v>
      </c>
      <c r="AZ184" s="33">
        <f t="shared" si="17"/>
        <v>0</v>
      </c>
      <c r="BA184" s="33">
        <f t="shared" si="17"/>
        <v>205240</v>
      </c>
      <c r="BB184" s="33">
        <f t="shared" si="17"/>
        <v>71696</v>
      </c>
      <c r="BC184" s="33">
        <f t="shared" si="17"/>
        <v>0</v>
      </c>
      <c r="BD184" s="33">
        <f t="shared" si="17"/>
        <v>8668.75</v>
      </c>
      <c r="BE184" s="58">
        <f t="shared" si="18"/>
        <v>0</v>
      </c>
    </row>
    <row r="185" spans="1:57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Mar 2026'!$A$8:$F$206,6,FALSE)</f>
        <v>Chq Bk</v>
      </c>
      <c r="H185" s="191">
        <v>7346</v>
      </c>
      <c r="I185" s="191">
        <v>0</v>
      </c>
      <c r="J185" s="191">
        <v>0</v>
      </c>
      <c r="K185" s="191">
        <v>18558</v>
      </c>
      <c r="L185" s="191">
        <v>4080</v>
      </c>
      <c r="M185" s="191">
        <v>11427</v>
      </c>
      <c r="N185" s="191">
        <v>0</v>
      </c>
      <c r="O185" s="191">
        <v>0</v>
      </c>
      <c r="P185" s="211">
        <v>0</v>
      </c>
      <c r="Q185" s="211">
        <v>0</v>
      </c>
      <c r="R185" s="211">
        <v>18558</v>
      </c>
      <c r="S185" s="211">
        <v>0</v>
      </c>
      <c r="T185" s="211">
        <v>17990</v>
      </c>
      <c r="U185" s="211">
        <v>2162</v>
      </c>
      <c r="V185" s="211">
        <v>0</v>
      </c>
      <c r="W185" s="211">
        <v>0</v>
      </c>
      <c r="X185" s="191">
        <v>8645</v>
      </c>
      <c r="Y185" s="191">
        <v>0</v>
      </c>
      <c r="Z185" s="191">
        <v>8768</v>
      </c>
      <c r="AA185" s="191">
        <v>0</v>
      </c>
      <c r="AB185" s="191">
        <v>0</v>
      </c>
      <c r="AC185" s="191">
        <v>0</v>
      </c>
      <c r="AD185" s="191">
        <v>0</v>
      </c>
      <c r="AE185" s="191">
        <v>0</v>
      </c>
      <c r="AF185" s="211">
        <v>2400</v>
      </c>
      <c r="AG185" s="211">
        <v>0</v>
      </c>
      <c r="AH185" s="211">
        <v>18558</v>
      </c>
      <c r="AI185" s="67"/>
      <c r="AJ185" s="211">
        <v>0</v>
      </c>
      <c r="AK185" s="211">
        <v>0</v>
      </c>
      <c r="AL185" s="191">
        <v>18561</v>
      </c>
      <c r="AM185" s="191">
        <v>0</v>
      </c>
      <c r="AN185" s="190"/>
      <c r="AO185" s="190"/>
      <c r="AP185" s="190"/>
      <c r="AQ185" s="375"/>
      <c r="AR185" s="375"/>
      <c r="AS185" s="382"/>
      <c r="AT185" s="382"/>
      <c r="AU185" s="382"/>
      <c r="AV185" s="198">
        <f t="shared" si="14"/>
        <v>137053</v>
      </c>
      <c r="AX185" s="33">
        <f t="shared" si="17"/>
        <v>28920</v>
      </c>
      <c r="AY185" s="33">
        <f t="shared" si="17"/>
        <v>0</v>
      </c>
      <c r="AZ185" s="33">
        <f t="shared" si="17"/>
        <v>0</v>
      </c>
      <c r="BA185" s="33">
        <f t="shared" si="17"/>
        <v>74235</v>
      </c>
      <c r="BB185" s="33">
        <f t="shared" si="17"/>
        <v>33898</v>
      </c>
      <c r="BC185" s="33">
        <f t="shared" si="17"/>
        <v>0</v>
      </c>
      <c r="BD185" s="33">
        <f t="shared" si="17"/>
        <v>0</v>
      </c>
      <c r="BE185" s="58">
        <f t="shared" si="18"/>
        <v>0</v>
      </c>
    </row>
    <row r="186" spans="1:57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Mar 2026'!$A$8:$F$206,6,FALSE)</f>
        <v>Chq Bk</v>
      </c>
      <c r="H186" s="191">
        <v>8942</v>
      </c>
      <c r="I186" s="191">
        <v>0</v>
      </c>
      <c r="J186" s="191">
        <v>0</v>
      </c>
      <c r="K186" s="191">
        <v>58996</v>
      </c>
      <c r="L186" s="191">
        <v>40462</v>
      </c>
      <c r="M186" s="191">
        <v>51347</v>
      </c>
      <c r="N186" s="191">
        <v>0</v>
      </c>
      <c r="O186" s="191">
        <v>0</v>
      </c>
      <c r="P186" s="211">
        <v>0</v>
      </c>
      <c r="Q186" s="211">
        <v>11383.38</v>
      </c>
      <c r="R186" s="211">
        <v>58996</v>
      </c>
      <c r="S186" s="211">
        <v>0</v>
      </c>
      <c r="T186" s="211">
        <v>61955</v>
      </c>
      <c r="U186" s="211">
        <v>3335.1200000000003</v>
      </c>
      <c r="V186" s="211">
        <v>0</v>
      </c>
      <c r="W186" s="211">
        <v>0</v>
      </c>
      <c r="X186" s="191">
        <v>10695</v>
      </c>
      <c r="Y186" s="191">
        <v>0</v>
      </c>
      <c r="Z186" s="191">
        <v>29632</v>
      </c>
      <c r="AA186" s="191">
        <v>0</v>
      </c>
      <c r="AB186" s="191">
        <v>0</v>
      </c>
      <c r="AC186" s="191">
        <v>0</v>
      </c>
      <c r="AD186" s="191">
        <v>0</v>
      </c>
      <c r="AE186" s="191">
        <v>0</v>
      </c>
      <c r="AF186" s="211">
        <v>4800</v>
      </c>
      <c r="AG186" s="211">
        <v>1489.2</v>
      </c>
      <c r="AH186" s="211">
        <v>58996</v>
      </c>
      <c r="AI186" s="67"/>
      <c r="AJ186" s="211">
        <v>0</v>
      </c>
      <c r="AK186" s="211">
        <v>0</v>
      </c>
      <c r="AL186" s="191">
        <v>58997</v>
      </c>
      <c r="AM186" s="191">
        <v>0</v>
      </c>
      <c r="AN186" s="190"/>
      <c r="AO186" s="190"/>
      <c r="AP186" s="190"/>
      <c r="AQ186" s="375"/>
      <c r="AR186" s="375"/>
      <c r="AS186" s="382"/>
      <c r="AT186" s="382"/>
      <c r="AU186" s="382"/>
      <c r="AV186" s="198">
        <f t="shared" si="14"/>
        <v>460025.7</v>
      </c>
      <c r="AX186" s="33">
        <f t="shared" si="17"/>
        <v>94922.12</v>
      </c>
      <c r="AY186" s="33">
        <f t="shared" si="17"/>
        <v>0</v>
      </c>
      <c r="AZ186" s="33">
        <f t="shared" si="17"/>
        <v>0</v>
      </c>
      <c r="BA186" s="33">
        <f t="shared" si="17"/>
        <v>235985</v>
      </c>
      <c r="BB186" s="33">
        <f t="shared" si="17"/>
        <v>117735.2</v>
      </c>
      <c r="BC186" s="33">
        <f t="shared" si="17"/>
        <v>0</v>
      </c>
      <c r="BD186" s="33">
        <f t="shared" si="17"/>
        <v>11383.38</v>
      </c>
      <c r="BE186" s="58">
        <f t="shared" si="18"/>
        <v>0</v>
      </c>
    </row>
    <row r="187" spans="1:57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Mar 2026'!$A$8:$F$206,6,FALSE)</f>
        <v>Chq Bk</v>
      </c>
      <c r="H187" s="191">
        <v>0</v>
      </c>
      <c r="I187" s="191">
        <v>0</v>
      </c>
      <c r="J187" s="191">
        <v>0</v>
      </c>
      <c r="K187" s="191">
        <v>0</v>
      </c>
      <c r="L187" s="191">
        <v>0</v>
      </c>
      <c r="M187" s="191">
        <v>0</v>
      </c>
      <c r="N187" s="191">
        <v>0</v>
      </c>
      <c r="O187" s="191">
        <v>0</v>
      </c>
      <c r="P187" s="211">
        <v>3570</v>
      </c>
      <c r="Q187" s="211">
        <v>4556.88</v>
      </c>
      <c r="R187" s="211">
        <v>0</v>
      </c>
      <c r="S187" s="211">
        <v>0</v>
      </c>
      <c r="T187" s="211">
        <v>0</v>
      </c>
      <c r="U187" s="211">
        <v>9466</v>
      </c>
      <c r="V187" s="211">
        <v>0</v>
      </c>
      <c r="W187" s="211">
        <v>0</v>
      </c>
      <c r="X187" s="191">
        <v>0</v>
      </c>
      <c r="Y187" s="191">
        <v>0</v>
      </c>
      <c r="Z187" s="191">
        <v>0</v>
      </c>
      <c r="AA187" s="191">
        <v>0</v>
      </c>
      <c r="AB187" s="191">
        <v>0</v>
      </c>
      <c r="AC187" s="191">
        <v>0</v>
      </c>
      <c r="AD187" s="191">
        <v>0</v>
      </c>
      <c r="AE187" s="191">
        <v>0</v>
      </c>
      <c r="AF187" s="211">
        <v>0</v>
      </c>
      <c r="AG187" s="211">
        <v>0</v>
      </c>
      <c r="AH187" s="211">
        <v>0</v>
      </c>
      <c r="AI187" s="67"/>
      <c r="AJ187" s="211">
        <v>0</v>
      </c>
      <c r="AK187" s="211">
        <v>0</v>
      </c>
      <c r="AL187" s="191">
        <v>0</v>
      </c>
      <c r="AM187" s="191">
        <v>0</v>
      </c>
      <c r="AN187" s="190"/>
      <c r="AO187" s="190"/>
      <c r="AP187" s="190"/>
      <c r="AQ187" s="375"/>
      <c r="AR187" s="375"/>
      <c r="AS187" s="382"/>
      <c r="AT187" s="382"/>
      <c r="AU187" s="382"/>
      <c r="AV187" s="198">
        <f t="shared" si="14"/>
        <v>17592.88</v>
      </c>
      <c r="AX187" s="33">
        <f t="shared" si="17"/>
        <v>13036</v>
      </c>
      <c r="AY187" s="33">
        <f t="shared" si="17"/>
        <v>0</v>
      </c>
      <c r="AZ187" s="33">
        <f t="shared" si="17"/>
        <v>0</v>
      </c>
      <c r="BA187" s="33">
        <f t="shared" si="17"/>
        <v>0</v>
      </c>
      <c r="BB187" s="33">
        <f t="shared" si="17"/>
        <v>0</v>
      </c>
      <c r="BC187" s="33">
        <f t="shared" si="17"/>
        <v>0</v>
      </c>
      <c r="BD187" s="33">
        <f t="shared" si="17"/>
        <v>4556.88</v>
      </c>
      <c r="BE187" s="58">
        <f t="shared" si="18"/>
        <v>0</v>
      </c>
    </row>
    <row r="188" spans="1:57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Mar 2026'!$A$8:$F$206,6,FALSE)</f>
        <v>Chq Bk</v>
      </c>
      <c r="H188" s="191">
        <v>7787</v>
      </c>
      <c r="I188" s="191">
        <v>1602.93</v>
      </c>
      <c r="J188" s="191">
        <v>0</v>
      </c>
      <c r="K188" s="191">
        <v>47622</v>
      </c>
      <c r="L188" s="191">
        <v>16120</v>
      </c>
      <c r="M188" s="191">
        <v>21841</v>
      </c>
      <c r="N188" s="191">
        <v>0</v>
      </c>
      <c r="O188" s="191">
        <v>0</v>
      </c>
      <c r="P188" s="211">
        <v>0</v>
      </c>
      <c r="Q188" s="211">
        <v>7633.75</v>
      </c>
      <c r="R188" s="211">
        <v>47622</v>
      </c>
      <c r="S188" s="211">
        <v>0</v>
      </c>
      <c r="T188" s="211">
        <v>35219</v>
      </c>
      <c r="U188" s="211">
        <v>1410</v>
      </c>
      <c r="V188" s="211">
        <v>0</v>
      </c>
      <c r="W188" s="211">
        <v>0</v>
      </c>
      <c r="X188" s="191">
        <v>9270</v>
      </c>
      <c r="Y188" s="191">
        <v>0</v>
      </c>
      <c r="Z188" s="191">
        <v>16897</v>
      </c>
      <c r="AA188" s="191">
        <v>0</v>
      </c>
      <c r="AB188" s="191">
        <v>0</v>
      </c>
      <c r="AC188" s="191">
        <v>0</v>
      </c>
      <c r="AD188" s="191">
        <v>10211.06</v>
      </c>
      <c r="AE188" s="191">
        <v>0</v>
      </c>
      <c r="AF188" s="211">
        <v>0</v>
      </c>
      <c r="AG188" s="211">
        <v>0</v>
      </c>
      <c r="AH188" s="211">
        <v>47622</v>
      </c>
      <c r="AI188" s="67"/>
      <c r="AJ188" s="211">
        <v>0</v>
      </c>
      <c r="AK188" s="211">
        <v>8048.36</v>
      </c>
      <c r="AL188" s="191">
        <v>47624</v>
      </c>
      <c r="AM188" s="191">
        <v>0</v>
      </c>
      <c r="AN188" s="190"/>
      <c r="AO188" s="190"/>
      <c r="AP188" s="190"/>
      <c r="AQ188" s="375"/>
      <c r="AR188" s="375"/>
      <c r="AS188" s="382"/>
      <c r="AT188" s="382"/>
      <c r="AU188" s="382"/>
      <c r="AV188" s="198">
        <f t="shared" si="14"/>
        <v>326530.09999999998</v>
      </c>
      <c r="AX188" s="33">
        <f t="shared" ref="AX188:BD206" si="19">SUMIF($H$3:$AU$3,AX$6,$H188:$AU188)</f>
        <v>53526</v>
      </c>
      <c r="AY188" s="33">
        <f t="shared" si="19"/>
        <v>0</v>
      </c>
      <c r="AZ188" s="33">
        <f t="shared" si="19"/>
        <v>0</v>
      </c>
      <c r="BA188" s="33">
        <f t="shared" si="19"/>
        <v>190490</v>
      </c>
      <c r="BB188" s="33">
        <f t="shared" si="19"/>
        <v>74880.350000000006</v>
      </c>
      <c r="BC188" s="33">
        <f t="shared" si="19"/>
        <v>0</v>
      </c>
      <c r="BD188" s="33">
        <f t="shared" si="19"/>
        <v>7633.75</v>
      </c>
      <c r="BE188" s="58">
        <f t="shared" si="18"/>
        <v>0</v>
      </c>
    </row>
    <row r="189" spans="1:57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Mar 2026'!$A$8:$F$206,6,FALSE)</f>
        <v>Academy</v>
      </c>
      <c r="H189" s="191">
        <v>8921</v>
      </c>
      <c r="I189" s="191">
        <v>0</v>
      </c>
      <c r="J189" s="191">
        <v>0</v>
      </c>
      <c r="K189" s="191">
        <v>47122</v>
      </c>
      <c r="L189" s="191">
        <v>40378</v>
      </c>
      <c r="M189" s="191">
        <v>59736</v>
      </c>
      <c r="N189" s="191">
        <v>0</v>
      </c>
      <c r="O189" s="191">
        <v>0</v>
      </c>
      <c r="P189" s="211">
        <v>0</v>
      </c>
      <c r="Q189" s="211">
        <v>11553.25</v>
      </c>
      <c r="R189" s="211">
        <v>31415.5</v>
      </c>
      <c r="S189" s="211">
        <v>0</v>
      </c>
      <c r="T189" s="211">
        <v>0</v>
      </c>
      <c r="U189" s="211"/>
      <c r="V189" s="211">
        <v>0</v>
      </c>
      <c r="W189" s="211">
        <v>0</v>
      </c>
      <c r="X189" s="191">
        <v>0</v>
      </c>
      <c r="Y189" s="191">
        <v>0</v>
      </c>
      <c r="Z189" s="191">
        <v>0</v>
      </c>
      <c r="AA189" s="191">
        <v>0</v>
      </c>
      <c r="AB189" s="191">
        <v>0</v>
      </c>
      <c r="AC189" s="191">
        <v>0</v>
      </c>
      <c r="AD189" s="191">
        <v>0</v>
      </c>
      <c r="AE189" s="191">
        <v>0</v>
      </c>
      <c r="AF189" s="211">
        <v>0</v>
      </c>
      <c r="AG189" s="211">
        <v>0</v>
      </c>
      <c r="AH189" s="211">
        <v>0</v>
      </c>
      <c r="AI189" s="67"/>
      <c r="AJ189" s="211">
        <v>0</v>
      </c>
      <c r="AK189" s="211">
        <v>0</v>
      </c>
      <c r="AL189" s="191">
        <v>0</v>
      </c>
      <c r="AM189" s="191">
        <v>0</v>
      </c>
      <c r="AN189" s="190"/>
      <c r="AO189" s="190"/>
      <c r="AP189" s="190"/>
      <c r="AQ189" s="375"/>
      <c r="AR189" s="375"/>
      <c r="AS189" s="382"/>
      <c r="AT189" s="382"/>
      <c r="AU189" s="382"/>
      <c r="AV189" s="198">
        <f t="shared" si="14"/>
        <v>199125.75</v>
      </c>
      <c r="AX189" s="33">
        <f t="shared" si="19"/>
        <v>0</v>
      </c>
      <c r="AY189" s="33">
        <f t="shared" si="19"/>
        <v>0</v>
      </c>
      <c r="AZ189" s="33">
        <f t="shared" si="19"/>
        <v>0</v>
      </c>
      <c r="BA189" s="33">
        <f t="shared" si="19"/>
        <v>78537.5</v>
      </c>
      <c r="BB189" s="33">
        <f t="shared" si="19"/>
        <v>109035</v>
      </c>
      <c r="BC189" s="33">
        <f t="shared" si="19"/>
        <v>0</v>
      </c>
      <c r="BD189" s="33">
        <f t="shared" si="19"/>
        <v>11553.25</v>
      </c>
      <c r="BE189" s="58">
        <f t="shared" si="18"/>
        <v>0</v>
      </c>
    </row>
    <row r="190" spans="1:57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Mar 2026'!$A$8:$F$206,6,FALSE)</f>
        <v>Chq Bk</v>
      </c>
      <c r="H190" s="191">
        <v>0</v>
      </c>
      <c r="I190" s="191">
        <v>0</v>
      </c>
      <c r="J190" s="191">
        <v>0</v>
      </c>
      <c r="K190" s="191">
        <v>0</v>
      </c>
      <c r="L190" s="191">
        <v>0</v>
      </c>
      <c r="M190" s="191">
        <v>0</v>
      </c>
      <c r="N190" s="191">
        <v>0</v>
      </c>
      <c r="O190" s="191">
        <v>0</v>
      </c>
      <c r="P190" s="211">
        <v>3780</v>
      </c>
      <c r="Q190" s="211">
        <v>4567</v>
      </c>
      <c r="R190" s="211">
        <v>0</v>
      </c>
      <c r="S190" s="211">
        <v>0</v>
      </c>
      <c r="T190" s="211">
        <v>0</v>
      </c>
      <c r="U190" s="211">
        <v>9922</v>
      </c>
      <c r="V190" s="211">
        <v>876</v>
      </c>
      <c r="W190" s="211">
        <v>0</v>
      </c>
      <c r="X190" s="191">
        <v>0</v>
      </c>
      <c r="Y190" s="191">
        <v>0</v>
      </c>
      <c r="Z190" s="191">
        <v>0</v>
      </c>
      <c r="AA190" s="191">
        <v>0</v>
      </c>
      <c r="AB190" s="191">
        <v>0</v>
      </c>
      <c r="AC190" s="191">
        <v>0</v>
      </c>
      <c r="AD190" s="191">
        <v>0</v>
      </c>
      <c r="AE190" s="191">
        <v>0</v>
      </c>
      <c r="AF190" s="211">
        <v>0</v>
      </c>
      <c r="AG190" s="211">
        <v>0</v>
      </c>
      <c r="AH190" s="211">
        <v>0</v>
      </c>
      <c r="AI190" s="67"/>
      <c r="AJ190" s="211">
        <v>0</v>
      </c>
      <c r="AK190" s="211">
        <v>0</v>
      </c>
      <c r="AL190" s="191">
        <v>0</v>
      </c>
      <c r="AM190" s="191">
        <v>0</v>
      </c>
      <c r="AN190" s="190"/>
      <c r="AO190" s="190"/>
      <c r="AP190" s="190"/>
      <c r="AQ190" s="375"/>
      <c r="AR190" s="375"/>
      <c r="AS190" s="382"/>
      <c r="AT190" s="382"/>
      <c r="AU190" s="382"/>
      <c r="AV190" s="198">
        <f t="shared" si="14"/>
        <v>19145</v>
      </c>
      <c r="AX190" s="33">
        <f t="shared" si="19"/>
        <v>13702</v>
      </c>
      <c r="AY190" s="33">
        <f t="shared" si="19"/>
        <v>0</v>
      </c>
      <c r="AZ190" s="33">
        <f t="shared" si="19"/>
        <v>0</v>
      </c>
      <c r="BA190" s="33">
        <f t="shared" si="19"/>
        <v>0</v>
      </c>
      <c r="BB190" s="33">
        <f t="shared" si="19"/>
        <v>876</v>
      </c>
      <c r="BC190" s="33">
        <f t="shared" si="19"/>
        <v>0</v>
      </c>
      <c r="BD190" s="33">
        <f t="shared" si="19"/>
        <v>4567</v>
      </c>
      <c r="BE190" s="58">
        <f t="shared" si="18"/>
        <v>0</v>
      </c>
    </row>
    <row r="191" spans="1:57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Mar 2026'!$A$8:$F$206,6,FALSE)</f>
        <v>Chq Bk</v>
      </c>
      <c r="H191" s="191">
        <v>7683</v>
      </c>
      <c r="I191" s="191">
        <v>0</v>
      </c>
      <c r="J191" s="191">
        <v>0</v>
      </c>
      <c r="K191" s="191">
        <v>44213</v>
      </c>
      <c r="L191" s="191">
        <v>12416</v>
      </c>
      <c r="M191" s="191">
        <v>15188</v>
      </c>
      <c r="N191" s="191">
        <v>0</v>
      </c>
      <c r="O191" s="191">
        <v>0</v>
      </c>
      <c r="P191" s="211">
        <v>0</v>
      </c>
      <c r="Q191" s="211">
        <v>7240</v>
      </c>
      <c r="R191" s="211">
        <v>44213</v>
      </c>
      <c r="S191" s="211">
        <v>0</v>
      </c>
      <c r="T191" s="211">
        <v>31332</v>
      </c>
      <c r="U191" s="211">
        <v>2350</v>
      </c>
      <c r="V191" s="211">
        <v>0</v>
      </c>
      <c r="W191" s="211">
        <v>0</v>
      </c>
      <c r="X191" s="191">
        <v>9155</v>
      </c>
      <c r="Y191" s="191">
        <v>0</v>
      </c>
      <c r="Z191" s="191">
        <v>15058</v>
      </c>
      <c r="AA191" s="191">
        <v>0</v>
      </c>
      <c r="AB191" s="191">
        <v>0</v>
      </c>
      <c r="AC191" s="191">
        <v>0</v>
      </c>
      <c r="AD191" s="191">
        <v>0</v>
      </c>
      <c r="AE191" s="191">
        <v>0</v>
      </c>
      <c r="AF191" s="211">
        <v>0</v>
      </c>
      <c r="AG191" s="211">
        <v>0</v>
      </c>
      <c r="AH191" s="211">
        <v>44213</v>
      </c>
      <c r="AI191" s="67"/>
      <c r="AJ191" s="211">
        <v>0</v>
      </c>
      <c r="AK191" s="211">
        <v>0</v>
      </c>
      <c r="AL191" s="191">
        <v>44216</v>
      </c>
      <c r="AM191" s="191">
        <v>0</v>
      </c>
      <c r="AN191" s="190"/>
      <c r="AO191" s="190"/>
      <c r="AP191" s="190"/>
      <c r="AQ191" s="375"/>
      <c r="AR191" s="375"/>
      <c r="AS191" s="382"/>
      <c r="AT191" s="382"/>
      <c r="AU191" s="382"/>
      <c r="AV191" s="198">
        <f t="shared" si="14"/>
        <v>277277</v>
      </c>
      <c r="AX191" s="33">
        <f t="shared" si="19"/>
        <v>48740</v>
      </c>
      <c r="AY191" s="33">
        <f t="shared" si="19"/>
        <v>0</v>
      </c>
      <c r="AZ191" s="33">
        <f t="shared" si="19"/>
        <v>0</v>
      </c>
      <c r="BA191" s="33">
        <f t="shared" si="19"/>
        <v>176855</v>
      </c>
      <c r="BB191" s="33">
        <f t="shared" si="19"/>
        <v>44442</v>
      </c>
      <c r="BC191" s="33">
        <f t="shared" si="19"/>
        <v>0</v>
      </c>
      <c r="BD191" s="33">
        <f t="shared" si="19"/>
        <v>7240</v>
      </c>
      <c r="BE191" s="58">
        <f t="shared" si="18"/>
        <v>0</v>
      </c>
    </row>
    <row r="192" spans="1:57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Mar 2026'!$A$8:$F$206,6,FALSE)</f>
        <v>Chq Bk</v>
      </c>
      <c r="H192" s="191">
        <v>7417</v>
      </c>
      <c r="I192" s="191">
        <v>0</v>
      </c>
      <c r="J192" s="191">
        <v>0</v>
      </c>
      <c r="K192" s="191">
        <v>11441</v>
      </c>
      <c r="L192" s="191">
        <v>16188</v>
      </c>
      <c r="M192" s="191">
        <v>22709</v>
      </c>
      <c r="N192" s="191">
        <v>0</v>
      </c>
      <c r="O192" s="191">
        <v>0</v>
      </c>
      <c r="P192" s="211">
        <v>0</v>
      </c>
      <c r="Q192" s="211">
        <v>6373.75</v>
      </c>
      <c r="R192" s="211">
        <v>11441</v>
      </c>
      <c r="S192" s="211">
        <v>0</v>
      </c>
      <c r="T192" s="211">
        <v>20724</v>
      </c>
      <c r="U192" s="211">
        <v>0</v>
      </c>
      <c r="V192" s="211">
        <v>0</v>
      </c>
      <c r="W192" s="211">
        <v>0</v>
      </c>
      <c r="X192" s="191">
        <v>8905</v>
      </c>
      <c r="Y192" s="191">
        <v>0</v>
      </c>
      <c r="Z192" s="191">
        <v>10078</v>
      </c>
      <c r="AA192" s="191">
        <v>0</v>
      </c>
      <c r="AB192" s="191">
        <v>0</v>
      </c>
      <c r="AC192" s="191">
        <v>0</v>
      </c>
      <c r="AD192" s="191">
        <v>0</v>
      </c>
      <c r="AE192" s="191">
        <v>0</v>
      </c>
      <c r="AF192" s="211">
        <v>0</v>
      </c>
      <c r="AG192" s="211">
        <v>0</v>
      </c>
      <c r="AH192" s="211">
        <v>11441</v>
      </c>
      <c r="AI192" s="67"/>
      <c r="AJ192" s="211">
        <v>0</v>
      </c>
      <c r="AK192" s="211">
        <v>0</v>
      </c>
      <c r="AL192" s="191">
        <v>11442</v>
      </c>
      <c r="AM192" s="191">
        <v>0</v>
      </c>
      <c r="AN192" s="190"/>
      <c r="AO192" s="190"/>
      <c r="AP192" s="190"/>
      <c r="AQ192" s="375"/>
      <c r="AR192" s="375"/>
      <c r="AS192" s="382"/>
      <c r="AT192" s="382"/>
      <c r="AU192" s="382"/>
      <c r="AV192" s="198">
        <f t="shared" si="14"/>
        <v>138159.75</v>
      </c>
      <c r="AX192" s="33">
        <f t="shared" si="19"/>
        <v>30802</v>
      </c>
      <c r="AY192" s="33">
        <f t="shared" si="19"/>
        <v>0</v>
      </c>
      <c r="AZ192" s="33">
        <f t="shared" si="19"/>
        <v>0</v>
      </c>
      <c r="BA192" s="33">
        <f t="shared" si="19"/>
        <v>45765</v>
      </c>
      <c r="BB192" s="33">
        <f t="shared" si="19"/>
        <v>55219</v>
      </c>
      <c r="BC192" s="33">
        <f t="shared" si="19"/>
        <v>0</v>
      </c>
      <c r="BD192" s="33">
        <f t="shared" si="19"/>
        <v>6373.75</v>
      </c>
      <c r="BE192" s="58">
        <f t="shared" si="18"/>
        <v>0</v>
      </c>
    </row>
    <row r="193" spans="1:57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Mar 2026'!$A$8:$F$206,6,FALSE)</f>
        <v>Chq Bk</v>
      </c>
      <c r="H193" s="191">
        <v>6783</v>
      </c>
      <c r="I193" s="191">
        <v>0</v>
      </c>
      <c r="J193" s="191">
        <v>185836.85089498872</v>
      </c>
      <c r="K193" s="191">
        <v>11386</v>
      </c>
      <c r="L193" s="191">
        <v>1399</v>
      </c>
      <c r="M193" s="191">
        <v>1737</v>
      </c>
      <c r="N193" s="191">
        <v>0</v>
      </c>
      <c r="O193" s="191">
        <v>0</v>
      </c>
      <c r="P193" s="211">
        <v>0</v>
      </c>
      <c r="Q193" s="211"/>
      <c r="R193" s="211">
        <v>11386</v>
      </c>
      <c r="S193" s="211">
        <v>0</v>
      </c>
      <c r="T193" s="211">
        <v>0</v>
      </c>
      <c r="U193" s="211">
        <v>94</v>
      </c>
      <c r="V193" s="211">
        <v>0</v>
      </c>
      <c r="W193" s="211">
        <v>44875.894468346749</v>
      </c>
      <c r="X193" s="191">
        <v>8140</v>
      </c>
      <c r="Y193" s="191">
        <v>0</v>
      </c>
      <c r="Z193" s="191">
        <v>0</v>
      </c>
      <c r="AA193" s="191">
        <v>30671.22</v>
      </c>
      <c r="AB193" s="191">
        <v>-1617.238260869565</v>
      </c>
      <c r="AC193" s="191">
        <v>-2157.5204347826084</v>
      </c>
      <c r="AD193" s="191">
        <v>0</v>
      </c>
      <c r="AE193" s="191">
        <v>856.93</v>
      </c>
      <c r="AF193" s="211">
        <v>0</v>
      </c>
      <c r="AG193" s="211">
        <v>876</v>
      </c>
      <c r="AH193" s="211">
        <v>11386</v>
      </c>
      <c r="AI193" s="67"/>
      <c r="AJ193" s="211">
        <v>12198.468821780953</v>
      </c>
      <c r="AK193" s="211">
        <v>0</v>
      </c>
      <c r="AL193" s="191">
        <v>11387</v>
      </c>
      <c r="AM193" s="191">
        <v>8206.94</v>
      </c>
      <c r="AN193" s="190"/>
      <c r="AO193" s="190"/>
      <c r="AP193" s="190"/>
      <c r="AQ193" s="375"/>
      <c r="AR193" s="375"/>
      <c r="AS193" s="382"/>
      <c r="AT193" s="382"/>
      <c r="AU193" s="382"/>
      <c r="AV193" s="198">
        <f t="shared" si="14"/>
        <v>343445.54548946419</v>
      </c>
      <c r="AX193" s="33">
        <f t="shared" si="19"/>
        <v>-3680.7586956521736</v>
      </c>
      <c r="AY193" s="33">
        <f t="shared" si="19"/>
        <v>12198.468821780953</v>
      </c>
      <c r="AZ193" s="33">
        <f t="shared" si="19"/>
        <v>261383.96536333548</v>
      </c>
      <c r="BA193" s="33">
        <f t="shared" si="19"/>
        <v>45545</v>
      </c>
      <c r="BB193" s="33">
        <f t="shared" si="19"/>
        <v>19791.93</v>
      </c>
      <c r="BC193" s="33">
        <f t="shared" si="19"/>
        <v>0</v>
      </c>
      <c r="BD193" s="33">
        <f t="shared" si="19"/>
        <v>8206.94</v>
      </c>
      <c r="BE193" s="58">
        <f t="shared" si="18"/>
        <v>0</v>
      </c>
    </row>
    <row r="194" spans="1:57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Mar 2026'!$A$8:$F$206,6,FALSE)</f>
        <v>Chq Bk</v>
      </c>
      <c r="H194" s="191">
        <v>8062</v>
      </c>
      <c r="I194" s="191">
        <v>0</v>
      </c>
      <c r="J194" s="191">
        <v>0</v>
      </c>
      <c r="K194" s="191">
        <v>38432</v>
      </c>
      <c r="L194" s="191">
        <v>27206</v>
      </c>
      <c r="M194" s="191">
        <v>35582</v>
      </c>
      <c r="N194" s="191">
        <v>0</v>
      </c>
      <c r="O194" s="191">
        <v>0</v>
      </c>
      <c r="P194" s="211">
        <v>0</v>
      </c>
      <c r="Q194" s="211">
        <v>8623.75</v>
      </c>
      <c r="R194" s="211">
        <v>38432</v>
      </c>
      <c r="S194" s="211">
        <v>0</v>
      </c>
      <c r="T194" s="211">
        <v>39918</v>
      </c>
      <c r="U194" s="211">
        <v>3760</v>
      </c>
      <c r="V194" s="211">
        <v>350.4</v>
      </c>
      <c r="W194" s="211">
        <v>0</v>
      </c>
      <c r="X194" s="191">
        <v>9655</v>
      </c>
      <c r="Y194" s="191">
        <v>0</v>
      </c>
      <c r="Z194" s="191">
        <v>19142</v>
      </c>
      <c r="AA194" s="191">
        <v>0</v>
      </c>
      <c r="AB194" s="191">
        <v>0</v>
      </c>
      <c r="AC194" s="191">
        <v>0</v>
      </c>
      <c r="AD194" s="191">
        <v>0</v>
      </c>
      <c r="AE194" s="191">
        <v>856.93</v>
      </c>
      <c r="AF194" s="211">
        <v>0</v>
      </c>
      <c r="AG194" s="211">
        <v>0</v>
      </c>
      <c r="AH194" s="211">
        <v>38432</v>
      </c>
      <c r="AI194" s="67"/>
      <c r="AJ194" s="211">
        <v>0</v>
      </c>
      <c r="AK194" s="211">
        <v>0</v>
      </c>
      <c r="AL194" s="191">
        <v>38434</v>
      </c>
      <c r="AM194" s="191">
        <v>0</v>
      </c>
      <c r="AN194" s="190"/>
      <c r="AO194" s="190"/>
      <c r="AP194" s="190"/>
      <c r="AQ194" s="375"/>
      <c r="AR194" s="375"/>
      <c r="AS194" s="382"/>
      <c r="AT194" s="382"/>
      <c r="AU194" s="382"/>
      <c r="AV194" s="198">
        <f t="shared" si="14"/>
        <v>306886.07999999996</v>
      </c>
      <c r="AX194" s="33">
        <f t="shared" si="19"/>
        <v>62820</v>
      </c>
      <c r="AY194" s="33">
        <f t="shared" si="19"/>
        <v>0</v>
      </c>
      <c r="AZ194" s="33">
        <f t="shared" si="19"/>
        <v>0</v>
      </c>
      <c r="BA194" s="33">
        <f t="shared" si="19"/>
        <v>153730</v>
      </c>
      <c r="BB194" s="33">
        <f t="shared" si="19"/>
        <v>81712.329999999987</v>
      </c>
      <c r="BC194" s="33">
        <f t="shared" si="19"/>
        <v>0</v>
      </c>
      <c r="BD194" s="33">
        <f t="shared" si="19"/>
        <v>8623.75</v>
      </c>
      <c r="BE194" s="58">
        <f t="shared" si="18"/>
        <v>0</v>
      </c>
    </row>
    <row r="195" spans="1:57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Mar 2026'!$A$8:$F$206,6,FALSE)</f>
        <v>Chq Bk</v>
      </c>
      <c r="H195" s="191">
        <v>0</v>
      </c>
      <c r="I195" s="191">
        <v>0</v>
      </c>
      <c r="J195" s="191">
        <v>0</v>
      </c>
      <c r="K195" s="191">
        <v>0</v>
      </c>
      <c r="L195" s="191">
        <v>0</v>
      </c>
      <c r="M195" s="191">
        <v>0</v>
      </c>
      <c r="N195" s="191">
        <v>0</v>
      </c>
      <c r="O195" s="191">
        <v>0</v>
      </c>
      <c r="P195" s="211">
        <v>0</v>
      </c>
      <c r="Q195" s="211">
        <v>4689.8500000000004</v>
      </c>
      <c r="R195" s="211">
        <v>0</v>
      </c>
      <c r="S195" s="211">
        <v>0</v>
      </c>
      <c r="T195" s="211">
        <v>0</v>
      </c>
      <c r="U195" s="211">
        <v>9606.1733333333341</v>
      </c>
      <c r="V195" s="211">
        <v>0</v>
      </c>
      <c r="W195" s="211">
        <v>0</v>
      </c>
      <c r="X195" s="191">
        <v>0</v>
      </c>
      <c r="Y195" s="191">
        <v>0</v>
      </c>
      <c r="Z195" s="191">
        <v>0</v>
      </c>
      <c r="AA195" s="191">
        <v>0</v>
      </c>
      <c r="AB195" s="191">
        <v>0</v>
      </c>
      <c r="AC195" s="191">
        <v>0</v>
      </c>
      <c r="AD195" s="191">
        <v>0</v>
      </c>
      <c r="AE195" s="191">
        <v>0</v>
      </c>
      <c r="AF195" s="211">
        <v>0</v>
      </c>
      <c r="AG195" s="211">
        <v>0</v>
      </c>
      <c r="AH195" s="211">
        <v>0</v>
      </c>
      <c r="AI195" s="67"/>
      <c r="AJ195" s="211">
        <v>0</v>
      </c>
      <c r="AK195" s="211">
        <v>0</v>
      </c>
      <c r="AL195" s="191">
        <v>0</v>
      </c>
      <c r="AM195" s="191">
        <v>0</v>
      </c>
      <c r="AN195" s="190"/>
      <c r="AO195" s="190"/>
      <c r="AP195" s="190"/>
      <c r="AQ195" s="375"/>
      <c r="AR195" s="375"/>
      <c r="AS195" s="382"/>
      <c r="AT195" s="382"/>
      <c r="AU195" s="382"/>
      <c r="AV195" s="198">
        <f t="shared" si="14"/>
        <v>14296.023333333334</v>
      </c>
      <c r="AX195" s="33">
        <f t="shared" si="19"/>
        <v>9606.1733333333341</v>
      </c>
      <c r="AY195" s="33">
        <f t="shared" si="19"/>
        <v>0</v>
      </c>
      <c r="AZ195" s="33">
        <f t="shared" si="19"/>
        <v>0</v>
      </c>
      <c r="BA195" s="33">
        <f t="shared" si="19"/>
        <v>0</v>
      </c>
      <c r="BB195" s="33">
        <f t="shared" si="19"/>
        <v>0</v>
      </c>
      <c r="BC195" s="33">
        <f t="shared" si="19"/>
        <v>0</v>
      </c>
      <c r="BD195" s="33">
        <f t="shared" si="19"/>
        <v>4689.8500000000004</v>
      </c>
      <c r="BE195" s="58">
        <f t="shared" si="18"/>
        <v>0</v>
      </c>
    </row>
    <row r="196" spans="1:57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Mar 2026'!$A$8:$F$206,6,FALSE)</f>
        <v>Academy</v>
      </c>
      <c r="H196" s="191">
        <v>7408</v>
      </c>
      <c r="I196" s="191">
        <v>0</v>
      </c>
      <c r="J196" s="191">
        <v>0</v>
      </c>
      <c r="K196" s="191">
        <v>35223</v>
      </c>
      <c r="L196" s="191">
        <v>13887</v>
      </c>
      <c r="M196" s="191">
        <v>16056</v>
      </c>
      <c r="N196" s="191">
        <v>0</v>
      </c>
      <c r="O196" s="191">
        <v>0</v>
      </c>
      <c r="P196" s="211">
        <v>0</v>
      </c>
      <c r="Q196" s="211">
        <v>0</v>
      </c>
      <c r="R196" s="211">
        <v>23483.25</v>
      </c>
      <c r="S196" s="211">
        <v>0</v>
      </c>
      <c r="T196" s="211">
        <v>0</v>
      </c>
      <c r="U196" s="211"/>
      <c r="V196" s="211">
        <v>0</v>
      </c>
      <c r="W196" s="211">
        <v>0</v>
      </c>
      <c r="X196" s="191">
        <v>0</v>
      </c>
      <c r="Y196" s="191">
        <v>0</v>
      </c>
      <c r="Z196" s="191">
        <v>0</v>
      </c>
      <c r="AA196" s="191">
        <v>0</v>
      </c>
      <c r="AB196" s="191">
        <v>0</v>
      </c>
      <c r="AC196" s="191">
        <v>0</v>
      </c>
      <c r="AD196" s="191">
        <v>0</v>
      </c>
      <c r="AE196" s="191">
        <v>0</v>
      </c>
      <c r="AF196" s="211">
        <v>0</v>
      </c>
      <c r="AG196" s="211">
        <v>0</v>
      </c>
      <c r="AH196" s="211">
        <v>0</v>
      </c>
      <c r="AI196" s="67"/>
      <c r="AJ196" s="211">
        <v>0</v>
      </c>
      <c r="AK196" s="211">
        <v>0</v>
      </c>
      <c r="AL196" s="191">
        <v>0</v>
      </c>
      <c r="AM196" s="191">
        <v>0</v>
      </c>
      <c r="AN196" s="190"/>
      <c r="AO196" s="190"/>
      <c r="AP196" s="190"/>
      <c r="AQ196" s="375"/>
      <c r="AR196" s="375"/>
      <c r="AS196" s="382"/>
      <c r="AT196" s="382"/>
      <c r="AU196" s="382"/>
      <c r="AV196" s="198">
        <f t="shared" si="14"/>
        <v>96057.25</v>
      </c>
      <c r="AX196" s="33">
        <f t="shared" si="19"/>
        <v>0</v>
      </c>
      <c r="AY196" s="33">
        <f t="shared" si="19"/>
        <v>0</v>
      </c>
      <c r="AZ196" s="33">
        <f t="shared" si="19"/>
        <v>0</v>
      </c>
      <c r="BA196" s="33">
        <f t="shared" si="19"/>
        <v>58706.25</v>
      </c>
      <c r="BB196" s="33">
        <f t="shared" si="19"/>
        <v>37351</v>
      </c>
      <c r="BC196" s="33">
        <f t="shared" si="19"/>
        <v>0</v>
      </c>
      <c r="BD196" s="33">
        <f t="shared" si="19"/>
        <v>0</v>
      </c>
      <c r="BE196" s="58">
        <f t="shared" si="18"/>
        <v>0</v>
      </c>
    </row>
    <row r="197" spans="1:57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Mar 2026'!$A$8:$F$206,6,FALSE)</f>
        <v>Academy</v>
      </c>
      <c r="H197" s="191">
        <v>7529</v>
      </c>
      <c r="I197" s="191">
        <v>0</v>
      </c>
      <c r="J197" s="191">
        <v>0</v>
      </c>
      <c r="K197" s="191">
        <v>53682</v>
      </c>
      <c r="L197" s="191">
        <v>3423</v>
      </c>
      <c r="M197" s="191">
        <v>6654</v>
      </c>
      <c r="N197" s="191">
        <v>0</v>
      </c>
      <c r="O197" s="191">
        <v>0</v>
      </c>
      <c r="P197" s="211">
        <v>0</v>
      </c>
      <c r="Q197" s="211">
        <v>0</v>
      </c>
      <c r="R197" s="211">
        <v>35788.83</v>
      </c>
      <c r="S197" s="211">
        <v>0</v>
      </c>
      <c r="T197" s="211">
        <v>0</v>
      </c>
      <c r="U197" s="211"/>
      <c r="V197" s="211">
        <v>0</v>
      </c>
      <c r="W197" s="211">
        <v>0</v>
      </c>
      <c r="X197" s="191">
        <v>0</v>
      </c>
      <c r="Y197" s="191">
        <v>0</v>
      </c>
      <c r="Z197" s="191">
        <v>0</v>
      </c>
      <c r="AA197" s="191">
        <v>0</v>
      </c>
      <c r="AB197" s="191">
        <v>0</v>
      </c>
      <c r="AC197" s="191">
        <v>0</v>
      </c>
      <c r="AD197" s="191">
        <v>0</v>
      </c>
      <c r="AE197" s="191">
        <v>0</v>
      </c>
      <c r="AF197" s="211">
        <v>0</v>
      </c>
      <c r="AG197" s="211">
        <v>0</v>
      </c>
      <c r="AH197" s="211">
        <v>0</v>
      </c>
      <c r="AI197" s="67"/>
      <c r="AJ197" s="211">
        <v>0</v>
      </c>
      <c r="AK197" s="211">
        <v>0</v>
      </c>
      <c r="AL197" s="191">
        <v>0</v>
      </c>
      <c r="AM197" s="191">
        <v>0</v>
      </c>
      <c r="AN197" s="190"/>
      <c r="AO197" s="190"/>
      <c r="AP197" s="190"/>
      <c r="AQ197" s="375"/>
      <c r="AR197" s="375"/>
      <c r="AS197" s="382"/>
      <c r="AT197" s="382"/>
      <c r="AU197" s="382"/>
      <c r="AV197" s="198">
        <f t="shared" si="14"/>
        <v>107076.83</v>
      </c>
      <c r="AX197" s="33">
        <f t="shared" si="19"/>
        <v>0</v>
      </c>
      <c r="AY197" s="33">
        <f t="shared" si="19"/>
        <v>0</v>
      </c>
      <c r="AZ197" s="33">
        <f t="shared" si="19"/>
        <v>0</v>
      </c>
      <c r="BA197" s="33">
        <f t="shared" si="19"/>
        <v>89470.83</v>
      </c>
      <c r="BB197" s="33">
        <f t="shared" si="19"/>
        <v>17606</v>
      </c>
      <c r="BC197" s="33">
        <f t="shared" si="19"/>
        <v>0</v>
      </c>
      <c r="BD197" s="33">
        <f t="shared" si="19"/>
        <v>0</v>
      </c>
      <c r="BE197" s="58">
        <f t="shared" si="18"/>
        <v>0</v>
      </c>
    </row>
    <row r="198" spans="1:57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Mar 2026'!$A$8:$F$206,6,FALSE)</f>
        <v>Academy</v>
      </c>
      <c r="H198" s="191">
        <v>8075</v>
      </c>
      <c r="I198" s="191">
        <v>0</v>
      </c>
      <c r="J198" s="191">
        <v>0</v>
      </c>
      <c r="K198" s="191">
        <v>80673</v>
      </c>
      <c r="L198" s="191">
        <v>19201</v>
      </c>
      <c r="M198" s="191">
        <v>23577</v>
      </c>
      <c r="N198" s="191">
        <v>0</v>
      </c>
      <c r="O198" s="191">
        <v>0</v>
      </c>
      <c r="P198" s="211">
        <v>0</v>
      </c>
      <c r="Q198" s="211">
        <v>0</v>
      </c>
      <c r="R198" s="211">
        <v>53783.25</v>
      </c>
      <c r="S198" s="211">
        <v>0</v>
      </c>
      <c r="T198" s="211">
        <v>0</v>
      </c>
      <c r="U198" s="211"/>
      <c r="V198" s="211">
        <v>0</v>
      </c>
      <c r="W198" s="211">
        <v>0</v>
      </c>
      <c r="X198" s="191">
        <v>0</v>
      </c>
      <c r="Y198" s="191">
        <v>0</v>
      </c>
      <c r="Z198" s="191">
        <v>0</v>
      </c>
      <c r="AA198" s="191">
        <v>0</v>
      </c>
      <c r="AB198" s="191">
        <v>0</v>
      </c>
      <c r="AC198" s="191">
        <v>0</v>
      </c>
      <c r="AD198" s="191">
        <v>0</v>
      </c>
      <c r="AE198" s="191">
        <v>0</v>
      </c>
      <c r="AF198" s="211">
        <v>0</v>
      </c>
      <c r="AG198" s="211">
        <v>0</v>
      </c>
      <c r="AH198" s="211"/>
      <c r="AI198" s="67"/>
      <c r="AJ198" s="211">
        <v>0</v>
      </c>
      <c r="AK198" s="211">
        <v>0</v>
      </c>
      <c r="AL198" s="191">
        <v>0</v>
      </c>
      <c r="AM198" s="191">
        <v>0</v>
      </c>
      <c r="AN198" s="190"/>
      <c r="AO198" s="190"/>
      <c r="AP198" s="190"/>
      <c r="AQ198" s="375"/>
      <c r="AR198" s="375"/>
      <c r="AS198" s="382"/>
      <c r="AT198" s="382"/>
      <c r="AU198" s="382"/>
      <c r="AV198" s="198">
        <f t="shared" ref="AV198:AV206" si="20">SUM(H198:AU198)</f>
        <v>185309.25</v>
      </c>
      <c r="AX198" s="33">
        <f t="shared" si="19"/>
        <v>0</v>
      </c>
      <c r="AY198" s="33">
        <f t="shared" si="19"/>
        <v>0</v>
      </c>
      <c r="AZ198" s="33">
        <f t="shared" si="19"/>
        <v>0</v>
      </c>
      <c r="BA198" s="33">
        <f t="shared" si="19"/>
        <v>134456.25</v>
      </c>
      <c r="BB198" s="33">
        <f t="shared" si="19"/>
        <v>50853</v>
      </c>
      <c r="BC198" s="33">
        <f t="shared" si="19"/>
        <v>0</v>
      </c>
      <c r="BD198" s="33">
        <f t="shared" si="19"/>
        <v>0</v>
      </c>
      <c r="BE198" s="58">
        <f t="shared" si="18"/>
        <v>0</v>
      </c>
    </row>
    <row r="199" spans="1:57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Mar 2026'!$A$8:$F$206,6,FALSE)</f>
        <v>Chq Bk</v>
      </c>
      <c r="H199" s="191">
        <v>7379</v>
      </c>
      <c r="I199" s="191">
        <v>0</v>
      </c>
      <c r="J199" s="191">
        <v>0</v>
      </c>
      <c r="K199" s="191">
        <v>28672</v>
      </c>
      <c r="L199" s="191">
        <v>9610</v>
      </c>
      <c r="M199" s="191">
        <v>16345</v>
      </c>
      <c r="N199" s="191">
        <v>0</v>
      </c>
      <c r="O199" s="191">
        <v>0</v>
      </c>
      <c r="P199" s="211">
        <v>0</v>
      </c>
      <c r="Q199" s="211">
        <v>0</v>
      </c>
      <c r="R199" s="211">
        <v>28672</v>
      </c>
      <c r="S199" s="211">
        <v>0</v>
      </c>
      <c r="T199" s="211">
        <v>24490</v>
      </c>
      <c r="U199" s="211">
        <v>0</v>
      </c>
      <c r="V199" s="211">
        <v>0</v>
      </c>
      <c r="W199" s="211">
        <v>0</v>
      </c>
      <c r="X199" s="191">
        <v>8885</v>
      </c>
      <c r="Y199" s="191">
        <v>0</v>
      </c>
      <c r="Z199" s="191">
        <v>11836</v>
      </c>
      <c r="AA199" s="191">
        <v>0</v>
      </c>
      <c r="AB199" s="191">
        <v>0</v>
      </c>
      <c r="AC199" s="191">
        <v>0</v>
      </c>
      <c r="AD199" s="191">
        <v>0</v>
      </c>
      <c r="AE199" s="191">
        <v>0</v>
      </c>
      <c r="AF199" s="211">
        <v>0</v>
      </c>
      <c r="AG199" s="211">
        <v>0</v>
      </c>
      <c r="AH199" s="211">
        <v>28672</v>
      </c>
      <c r="AI199" s="67"/>
      <c r="AJ199" s="211">
        <v>0</v>
      </c>
      <c r="AK199" s="211">
        <v>0</v>
      </c>
      <c r="AL199" s="191">
        <v>28674</v>
      </c>
      <c r="AM199" s="191">
        <v>0</v>
      </c>
      <c r="AN199" s="190"/>
      <c r="AO199" s="190"/>
      <c r="AP199" s="190"/>
      <c r="AQ199" s="375"/>
      <c r="AR199" s="375"/>
      <c r="AS199" s="382"/>
      <c r="AT199" s="382"/>
      <c r="AU199" s="382"/>
      <c r="AV199" s="198">
        <f t="shared" si="20"/>
        <v>193235</v>
      </c>
      <c r="AX199" s="33">
        <f t="shared" si="19"/>
        <v>36326</v>
      </c>
      <c r="AY199" s="33">
        <f t="shared" si="19"/>
        <v>0</v>
      </c>
      <c r="AZ199" s="33">
        <f t="shared" si="19"/>
        <v>0</v>
      </c>
      <c r="BA199" s="33">
        <f t="shared" si="19"/>
        <v>114690</v>
      </c>
      <c r="BB199" s="33">
        <f t="shared" si="19"/>
        <v>42219</v>
      </c>
      <c r="BC199" s="33">
        <f t="shared" si="19"/>
        <v>0</v>
      </c>
      <c r="BD199" s="33">
        <f t="shared" si="19"/>
        <v>0</v>
      </c>
      <c r="BE199" s="58">
        <f t="shared" ref="BE199:BE206" si="21">SUM(AX199:BD199)-AV199</f>
        <v>0</v>
      </c>
    </row>
    <row r="200" spans="1:57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Mar 2026'!$A$8:$F$206,6,FALSE)</f>
        <v>Chq Bk</v>
      </c>
      <c r="H200" s="191">
        <v>8021</v>
      </c>
      <c r="I200" s="191">
        <v>1602.93</v>
      </c>
      <c r="J200" s="191">
        <v>0</v>
      </c>
      <c r="K200" s="191">
        <v>60387</v>
      </c>
      <c r="L200" s="191">
        <v>18390</v>
      </c>
      <c r="M200" s="191">
        <v>26325</v>
      </c>
      <c r="N200" s="191">
        <v>0</v>
      </c>
      <c r="O200" s="191">
        <v>0</v>
      </c>
      <c r="P200" s="211">
        <v>0</v>
      </c>
      <c r="Q200" s="211">
        <v>0</v>
      </c>
      <c r="R200" s="211">
        <v>60387</v>
      </c>
      <c r="S200" s="211">
        <v>0</v>
      </c>
      <c r="T200" s="211">
        <v>42465</v>
      </c>
      <c r="U200" s="211">
        <v>2632</v>
      </c>
      <c r="V200" s="211">
        <v>876</v>
      </c>
      <c r="W200" s="211">
        <v>0</v>
      </c>
      <c r="X200" s="191">
        <v>9495</v>
      </c>
      <c r="Y200" s="191">
        <v>0</v>
      </c>
      <c r="Z200" s="191">
        <v>20313</v>
      </c>
      <c r="AA200" s="191">
        <v>0</v>
      </c>
      <c r="AB200" s="191">
        <v>0</v>
      </c>
      <c r="AC200" s="191">
        <v>0</v>
      </c>
      <c r="AD200" s="191">
        <v>9903.58</v>
      </c>
      <c r="AE200" s="191">
        <v>1713.86</v>
      </c>
      <c r="AF200" s="211">
        <v>2400</v>
      </c>
      <c r="AG200" s="211">
        <v>0</v>
      </c>
      <c r="AH200" s="211">
        <v>58116</v>
      </c>
      <c r="AI200" s="67"/>
      <c r="AJ200" s="211">
        <v>0</v>
      </c>
      <c r="AK200" s="211">
        <v>9983.32</v>
      </c>
      <c r="AL200" s="191">
        <v>59630</v>
      </c>
      <c r="AM200" s="191">
        <v>0</v>
      </c>
      <c r="AN200" s="190"/>
      <c r="AO200" s="190"/>
      <c r="AP200" s="190"/>
      <c r="AQ200" s="375"/>
      <c r="AR200" s="375"/>
      <c r="AS200" s="382"/>
      <c r="AT200" s="382"/>
      <c r="AU200" s="382"/>
      <c r="AV200" s="198">
        <f t="shared" si="20"/>
        <v>392640.69</v>
      </c>
      <c r="AX200" s="33">
        <f t="shared" si="19"/>
        <v>65410</v>
      </c>
      <c r="AY200" s="33">
        <f t="shared" si="19"/>
        <v>0</v>
      </c>
      <c r="AZ200" s="33">
        <f t="shared" si="19"/>
        <v>0</v>
      </c>
      <c r="BA200" s="33">
        <f t="shared" si="19"/>
        <v>238520</v>
      </c>
      <c r="BB200" s="33">
        <f t="shared" si="19"/>
        <v>88710.69</v>
      </c>
      <c r="BC200" s="33">
        <f t="shared" si="19"/>
        <v>0</v>
      </c>
      <c r="BD200" s="33">
        <f t="shared" si="19"/>
        <v>0</v>
      </c>
      <c r="BE200" s="58">
        <f t="shared" si="21"/>
        <v>0</v>
      </c>
    </row>
    <row r="201" spans="1:57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Mar 2026'!$A$8:$F$206,6,FALSE)</f>
        <v>Academy</v>
      </c>
      <c r="H201" s="191">
        <v>7412</v>
      </c>
      <c r="I201" s="191">
        <v>0</v>
      </c>
      <c r="J201" s="191">
        <v>0</v>
      </c>
      <c r="K201" s="191">
        <v>19016</v>
      </c>
      <c r="L201" s="191">
        <v>8696</v>
      </c>
      <c r="M201" s="191">
        <v>17212</v>
      </c>
      <c r="N201" s="191">
        <v>0</v>
      </c>
      <c r="O201" s="191">
        <v>0</v>
      </c>
      <c r="P201" s="211">
        <v>0</v>
      </c>
      <c r="Q201" s="211">
        <v>0</v>
      </c>
      <c r="R201" s="211">
        <v>12677.75</v>
      </c>
      <c r="S201" s="211">
        <v>0</v>
      </c>
      <c r="T201" s="211">
        <v>0</v>
      </c>
      <c r="U201" s="211"/>
      <c r="V201" s="211">
        <v>0</v>
      </c>
      <c r="W201" s="211">
        <v>0</v>
      </c>
      <c r="X201" s="191">
        <v>0</v>
      </c>
      <c r="Y201" s="191">
        <v>0</v>
      </c>
      <c r="Z201" s="191">
        <v>0</v>
      </c>
      <c r="AA201" s="191">
        <v>0</v>
      </c>
      <c r="AB201" s="191">
        <v>0</v>
      </c>
      <c r="AC201" s="191">
        <v>0</v>
      </c>
      <c r="AD201" s="191">
        <v>0</v>
      </c>
      <c r="AE201" s="191">
        <v>0</v>
      </c>
      <c r="AF201" s="211">
        <v>0</v>
      </c>
      <c r="AG201" s="211">
        <v>0</v>
      </c>
      <c r="AH201" s="211">
        <v>0</v>
      </c>
      <c r="AI201" s="67"/>
      <c r="AJ201" s="211">
        <v>0</v>
      </c>
      <c r="AK201" s="211">
        <v>0</v>
      </c>
      <c r="AL201" s="191">
        <v>0</v>
      </c>
      <c r="AM201" s="191">
        <v>0</v>
      </c>
      <c r="AN201" s="190"/>
      <c r="AO201" s="190"/>
      <c r="AP201" s="190"/>
      <c r="AQ201" s="375"/>
      <c r="AR201" s="375"/>
      <c r="AS201" s="382"/>
      <c r="AT201" s="382"/>
      <c r="AU201" s="382"/>
      <c r="AV201" s="198">
        <f t="shared" si="20"/>
        <v>65013.75</v>
      </c>
      <c r="AX201" s="33">
        <f t="shared" si="19"/>
        <v>0</v>
      </c>
      <c r="AY201" s="33">
        <f t="shared" si="19"/>
        <v>0</v>
      </c>
      <c r="AZ201" s="33">
        <f t="shared" si="19"/>
        <v>0</v>
      </c>
      <c r="BA201" s="33">
        <f t="shared" si="19"/>
        <v>31693.75</v>
      </c>
      <c r="BB201" s="33">
        <f t="shared" si="19"/>
        <v>33320</v>
      </c>
      <c r="BC201" s="33">
        <f t="shared" si="19"/>
        <v>0</v>
      </c>
      <c r="BD201" s="33">
        <f t="shared" si="19"/>
        <v>0</v>
      </c>
      <c r="BE201" s="58">
        <f t="shared" si="21"/>
        <v>0</v>
      </c>
    </row>
    <row r="202" spans="1:57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Mar 2026'!$A$8:$F$206,6,FALSE)</f>
        <v>Chq Bk</v>
      </c>
      <c r="H202" s="191">
        <v>0</v>
      </c>
      <c r="I202" s="191">
        <v>0</v>
      </c>
      <c r="J202" s="191">
        <v>0</v>
      </c>
      <c r="K202" s="191">
        <v>0</v>
      </c>
      <c r="L202" s="191">
        <v>0</v>
      </c>
      <c r="M202" s="191">
        <v>0</v>
      </c>
      <c r="N202" s="191">
        <v>0</v>
      </c>
      <c r="O202" s="191">
        <v>0</v>
      </c>
      <c r="P202" s="211">
        <v>2940</v>
      </c>
      <c r="Q202" s="211">
        <v>4823.5</v>
      </c>
      <c r="R202" s="211">
        <v>0</v>
      </c>
      <c r="S202" s="211">
        <v>0</v>
      </c>
      <c r="T202" s="211">
        <v>0</v>
      </c>
      <c r="U202" s="211">
        <v>13514</v>
      </c>
      <c r="V202" s="211">
        <v>0</v>
      </c>
      <c r="W202" s="211">
        <v>0</v>
      </c>
      <c r="X202" s="191">
        <v>0</v>
      </c>
      <c r="Y202" s="191">
        <v>0</v>
      </c>
      <c r="Z202" s="191">
        <v>0</v>
      </c>
      <c r="AA202" s="191">
        <v>0</v>
      </c>
      <c r="AB202" s="191">
        <v>0</v>
      </c>
      <c r="AC202" s="191">
        <v>0</v>
      </c>
      <c r="AD202" s="191">
        <v>0</v>
      </c>
      <c r="AE202" s="191">
        <v>0</v>
      </c>
      <c r="AF202" s="211">
        <v>0</v>
      </c>
      <c r="AG202" s="211">
        <v>0</v>
      </c>
      <c r="AH202" s="211">
        <v>0</v>
      </c>
      <c r="AI202" s="67"/>
      <c r="AJ202" s="211">
        <v>0</v>
      </c>
      <c r="AK202" s="211">
        <v>0</v>
      </c>
      <c r="AL202" s="191">
        <v>0</v>
      </c>
      <c r="AM202" s="191">
        <v>0</v>
      </c>
      <c r="AN202" s="190"/>
      <c r="AO202" s="190"/>
      <c r="AP202" s="190"/>
      <c r="AQ202" s="375"/>
      <c r="AR202" s="375"/>
      <c r="AS202" s="382"/>
      <c r="AT202" s="382"/>
      <c r="AU202" s="382"/>
      <c r="AV202" s="198">
        <f t="shared" si="20"/>
        <v>21277.5</v>
      </c>
      <c r="AX202" s="33">
        <f t="shared" si="19"/>
        <v>16454</v>
      </c>
      <c r="AY202" s="33">
        <f t="shared" si="19"/>
        <v>0</v>
      </c>
      <c r="AZ202" s="33">
        <f t="shared" si="19"/>
        <v>0</v>
      </c>
      <c r="BA202" s="33">
        <f t="shared" si="19"/>
        <v>0</v>
      </c>
      <c r="BB202" s="33">
        <f t="shared" si="19"/>
        <v>0</v>
      </c>
      <c r="BC202" s="33">
        <f t="shared" si="19"/>
        <v>0</v>
      </c>
      <c r="BD202" s="33">
        <f t="shared" si="19"/>
        <v>4823.5</v>
      </c>
      <c r="BE202" s="58">
        <f t="shared" si="21"/>
        <v>0</v>
      </c>
    </row>
    <row r="203" spans="1:57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Mar 2026'!$A$8:$F$206,6,FALSE)</f>
        <v>Academy</v>
      </c>
      <c r="H203" s="191">
        <v>7412</v>
      </c>
      <c r="I203" s="191">
        <v>0</v>
      </c>
      <c r="J203" s="191">
        <v>0</v>
      </c>
      <c r="K203" s="191">
        <v>52646</v>
      </c>
      <c r="L203" s="191">
        <v>6678</v>
      </c>
      <c r="M203" s="191">
        <v>9402</v>
      </c>
      <c r="N203" s="191">
        <v>0</v>
      </c>
      <c r="O203" s="191">
        <v>0</v>
      </c>
      <c r="P203" s="211">
        <v>0</v>
      </c>
      <c r="Q203" s="211">
        <v>0</v>
      </c>
      <c r="R203" s="211">
        <v>35097.75</v>
      </c>
      <c r="S203" s="211">
        <v>0</v>
      </c>
      <c r="T203" s="211">
        <v>0</v>
      </c>
      <c r="U203" s="211"/>
      <c r="V203" s="211">
        <v>0</v>
      </c>
      <c r="W203" s="211">
        <v>0</v>
      </c>
      <c r="X203" s="191">
        <v>0</v>
      </c>
      <c r="Y203" s="191">
        <v>0</v>
      </c>
      <c r="Z203" s="191">
        <v>0</v>
      </c>
      <c r="AA203" s="191">
        <v>0</v>
      </c>
      <c r="AB203" s="191">
        <v>0</v>
      </c>
      <c r="AC203" s="191">
        <v>0</v>
      </c>
      <c r="AD203" s="191">
        <v>0</v>
      </c>
      <c r="AE203" s="191">
        <v>0</v>
      </c>
      <c r="AF203" s="211">
        <v>0</v>
      </c>
      <c r="AG203" s="211">
        <v>0</v>
      </c>
      <c r="AH203" s="211">
        <v>0</v>
      </c>
      <c r="AI203" s="67"/>
      <c r="AJ203" s="211">
        <v>0</v>
      </c>
      <c r="AK203" s="211">
        <v>0</v>
      </c>
      <c r="AL203" s="191">
        <v>0</v>
      </c>
      <c r="AM203" s="191">
        <v>0</v>
      </c>
      <c r="AN203" s="190"/>
      <c r="AO203" s="190"/>
      <c r="AP203" s="190"/>
      <c r="AQ203" s="375"/>
      <c r="AR203" s="375"/>
      <c r="AS203" s="382"/>
      <c r="AT203" s="382"/>
      <c r="AU203" s="382"/>
      <c r="AV203" s="198">
        <f t="shared" si="20"/>
        <v>111235.75</v>
      </c>
      <c r="AX203" s="33">
        <f t="shared" si="19"/>
        <v>0</v>
      </c>
      <c r="AY203" s="33">
        <f t="shared" si="19"/>
        <v>0</v>
      </c>
      <c r="AZ203" s="33">
        <f t="shared" si="19"/>
        <v>0</v>
      </c>
      <c r="BA203" s="33">
        <f t="shared" si="19"/>
        <v>87743.75</v>
      </c>
      <c r="BB203" s="33">
        <f t="shared" si="19"/>
        <v>23492</v>
      </c>
      <c r="BC203" s="33">
        <f t="shared" si="19"/>
        <v>0</v>
      </c>
      <c r="BD203" s="33">
        <f t="shared" si="19"/>
        <v>0</v>
      </c>
      <c r="BE203" s="58">
        <f t="shared" si="21"/>
        <v>0</v>
      </c>
    </row>
    <row r="204" spans="1:57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Mar 2026'!$A$8:$F$206,6,FALSE)</f>
        <v>Academy</v>
      </c>
      <c r="H204" s="191">
        <v>8733</v>
      </c>
      <c r="I204" s="191">
        <v>0</v>
      </c>
      <c r="J204" s="191">
        <v>0</v>
      </c>
      <c r="K204" s="191">
        <v>31746</v>
      </c>
      <c r="L204" s="191">
        <v>0</v>
      </c>
      <c r="M204" s="191">
        <v>0</v>
      </c>
      <c r="N204" s="191">
        <v>0</v>
      </c>
      <c r="O204" s="191">
        <v>0</v>
      </c>
      <c r="P204" s="211">
        <v>0</v>
      </c>
      <c r="Q204" s="211">
        <v>0</v>
      </c>
      <c r="R204" s="211">
        <v>31746</v>
      </c>
      <c r="S204" s="211">
        <v>0</v>
      </c>
      <c r="T204" s="211">
        <v>0</v>
      </c>
      <c r="U204" s="211"/>
      <c r="V204" s="211">
        <v>0</v>
      </c>
      <c r="W204" s="211">
        <v>0</v>
      </c>
      <c r="X204" s="191">
        <v>0</v>
      </c>
      <c r="Y204" s="191">
        <v>0</v>
      </c>
      <c r="Z204" s="191">
        <v>0</v>
      </c>
      <c r="AA204" s="191">
        <v>0</v>
      </c>
      <c r="AB204" s="191">
        <v>0</v>
      </c>
      <c r="AC204" s="191">
        <v>0</v>
      </c>
      <c r="AD204" s="191">
        <v>0</v>
      </c>
      <c r="AE204" s="191">
        <v>0</v>
      </c>
      <c r="AF204" s="211">
        <v>0</v>
      </c>
      <c r="AG204" s="211">
        <v>0</v>
      </c>
      <c r="AH204" s="211"/>
      <c r="AI204" s="67"/>
      <c r="AJ204" s="211">
        <v>0</v>
      </c>
      <c r="AK204" s="211">
        <v>0</v>
      </c>
      <c r="AL204" s="191"/>
      <c r="AM204" s="191">
        <v>0</v>
      </c>
      <c r="AN204" s="190"/>
      <c r="AO204" s="190"/>
      <c r="AP204" s="190"/>
      <c r="AQ204" s="375"/>
      <c r="AR204" s="375"/>
      <c r="AS204" s="382"/>
      <c r="AT204" s="382"/>
      <c r="AU204" s="382"/>
      <c r="AV204" s="198">
        <f t="shared" si="20"/>
        <v>72225</v>
      </c>
      <c r="AX204" s="33">
        <f t="shared" si="19"/>
        <v>0</v>
      </c>
      <c r="AY204" s="33">
        <f t="shared" si="19"/>
        <v>0</v>
      </c>
      <c r="AZ204" s="33">
        <f t="shared" si="19"/>
        <v>0</v>
      </c>
      <c r="BA204" s="33">
        <f t="shared" si="19"/>
        <v>63492</v>
      </c>
      <c r="BB204" s="33">
        <f t="shared" si="19"/>
        <v>8733</v>
      </c>
      <c r="BC204" s="33">
        <f t="shared" si="19"/>
        <v>0</v>
      </c>
      <c r="BD204" s="33">
        <f t="shared" si="19"/>
        <v>0</v>
      </c>
      <c r="BE204" s="58">
        <f t="shared" si="21"/>
        <v>0</v>
      </c>
    </row>
    <row r="205" spans="1:57">
      <c r="A205" s="200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Mar 2026'!$A$8:$F$206,6,FALSE)</f>
        <v>Chq Bk</v>
      </c>
      <c r="H205" s="191">
        <v>0</v>
      </c>
      <c r="I205" s="191">
        <v>0</v>
      </c>
      <c r="J205" s="191">
        <v>0</v>
      </c>
      <c r="K205" s="191">
        <v>0</v>
      </c>
      <c r="L205" s="191">
        <v>0</v>
      </c>
      <c r="M205" s="191">
        <v>0</v>
      </c>
      <c r="N205" s="191">
        <v>0</v>
      </c>
      <c r="O205" s="191">
        <v>0</v>
      </c>
      <c r="P205" s="211">
        <v>6930</v>
      </c>
      <c r="Q205" s="211">
        <v>5424.25</v>
      </c>
      <c r="R205" s="211">
        <v>0</v>
      </c>
      <c r="S205" s="211">
        <v>0</v>
      </c>
      <c r="T205" s="211">
        <v>0</v>
      </c>
      <c r="U205" s="211">
        <v>24534</v>
      </c>
      <c r="V205" s="211">
        <v>0</v>
      </c>
      <c r="W205" s="211">
        <v>0</v>
      </c>
      <c r="X205" s="191">
        <v>0</v>
      </c>
      <c r="Y205" s="191">
        <v>0</v>
      </c>
      <c r="Z205" s="191">
        <v>0</v>
      </c>
      <c r="AA205" s="191">
        <v>0</v>
      </c>
      <c r="AB205" s="191">
        <v>0</v>
      </c>
      <c r="AC205" s="191">
        <v>0</v>
      </c>
      <c r="AD205" s="191">
        <v>0</v>
      </c>
      <c r="AE205" s="191">
        <v>0</v>
      </c>
      <c r="AF205" s="211">
        <v>0</v>
      </c>
      <c r="AG205" s="211">
        <v>0</v>
      </c>
      <c r="AH205" s="211">
        <v>0</v>
      </c>
      <c r="AI205" s="67"/>
      <c r="AJ205" s="211">
        <v>0</v>
      </c>
      <c r="AK205" s="211">
        <v>0</v>
      </c>
      <c r="AL205" s="191">
        <v>0</v>
      </c>
      <c r="AM205" s="191">
        <v>0</v>
      </c>
      <c r="AN205" s="190"/>
      <c r="AO205" s="190"/>
      <c r="AP205" s="190"/>
      <c r="AQ205" s="375"/>
      <c r="AR205" s="375"/>
      <c r="AS205" s="382"/>
      <c r="AT205" s="382"/>
      <c r="AU205" s="382"/>
      <c r="AV205" s="198">
        <f t="shared" si="20"/>
        <v>36888.25</v>
      </c>
      <c r="AX205" s="33">
        <f t="shared" si="19"/>
        <v>31464</v>
      </c>
      <c r="AY205" s="33">
        <f t="shared" si="19"/>
        <v>0</v>
      </c>
      <c r="AZ205" s="33">
        <f t="shared" si="19"/>
        <v>0</v>
      </c>
      <c r="BA205" s="33">
        <f t="shared" si="19"/>
        <v>0</v>
      </c>
      <c r="BB205" s="33">
        <f t="shared" si="19"/>
        <v>0</v>
      </c>
      <c r="BC205" s="33">
        <f t="shared" si="19"/>
        <v>0</v>
      </c>
      <c r="BD205" s="33">
        <f t="shared" si="19"/>
        <v>5424.25</v>
      </c>
      <c r="BE205" s="58">
        <f t="shared" si="21"/>
        <v>0</v>
      </c>
    </row>
    <row r="206" spans="1:57">
      <c r="A206" s="200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Mar 2026'!$A$8:$F$206,6,FALSE)</f>
        <v>Chq Bk</v>
      </c>
      <c r="H206" s="191">
        <v>8112</v>
      </c>
      <c r="I206" s="191">
        <v>0</v>
      </c>
      <c r="J206" s="191">
        <v>0</v>
      </c>
      <c r="K206" s="191">
        <v>75737</v>
      </c>
      <c r="L206" s="191">
        <v>21437</v>
      </c>
      <c r="M206" s="191">
        <v>27627</v>
      </c>
      <c r="N206" s="191">
        <v>0</v>
      </c>
      <c r="O206" s="191">
        <v>0</v>
      </c>
      <c r="P206" s="211">
        <v>0</v>
      </c>
      <c r="Q206" s="211">
        <v>8578.75</v>
      </c>
      <c r="R206" s="211">
        <v>75737</v>
      </c>
      <c r="S206" s="211">
        <v>0</v>
      </c>
      <c r="T206" s="211">
        <v>49085</v>
      </c>
      <c r="U206" s="211">
        <v>0</v>
      </c>
      <c r="V206" s="211">
        <v>0</v>
      </c>
      <c r="W206" s="211">
        <v>0</v>
      </c>
      <c r="X206" s="191">
        <v>9745</v>
      </c>
      <c r="Y206" s="191">
        <v>0</v>
      </c>
      <c r="Z206" s="191">
        <v>23431</v>
      </c>
      <c r="AA206" s="191">
        <v>0</v>
      </c>
      <c r="AB206" s="191">
        <v>0</v>
      </c>
      <c r="AC206" s="191">
        <v>0</v>
      </c>
      <c r="AD206" s="191">
        <v>0</v>
      </c>
      <c r="AE206" s="191">
        <v>856.93</v>
      </c>
      <c r="AF206" s="211">
        <v>7200</v>
      </c>
      <c r="AG206" s="211">
        <v>0</v>
      </c>
      <c r="AH206" s="211">
        <v>75737</v>
      </c>
      <c r="AI206" s="67"/>
      <c r="AJ206" s="211">
        <v>0</v>
      </c>
      <c r="AK206" s="211">
        <v>0</v>
      </c>
      <c r="AL206" s="191">
        <v>75739</v>
      </c>
      <c r="AM206" s="191">
        <v>0</v>
      </c>
      <c r="AN206" s="190"/>
      <c r="AO206" s="190"/>
      <c r="AP206" s="190"/>
      <c r="AQ206" s="375"/>
      <c r="AR206" s="375"/>
      <c r="AS206" s="382"/>
      <c r="AT206" s="382"/>
      <c r="AU206" s="382"/>
      <c r="AV206" s="198">
        <f t="shared" si="20"/>
        <v>459022.68</v>
      </c>
      <c r="AX206" s="33">
        <f t="shared" si="19"/>
        <v>72516</v>
      </c>
      <c r="AY206" s="33">
        <f t="shared" si="19"/>
        <v>0</v>
      </c>
      <c r="AZ206" s="33">
        <f t="shared" si="19"/>
        <v>0</v>
      </c>
      <c r="BA206" s="33">
        <f t="shared" si="19"/>
        <v>302950</v>
      </c>
      <c r="BB206" s="33">
        <f t="shared" si="19"/>
        <v>74977.929999999993</v>
      </c>
      <c r="BC206" s="33">
        <f t="shared" si="19"/>
        <v>0</v>
      </c>
      <c r="BD206" s="33">
        <f t="shared" si="19"/>
        <v>8578.75</v>
      </c>
      <c r="BE206" s="58">
        <f t="shared" si="21"/>
        <v>0</v>
      </c>
    </row>
    <row r="207" spans="1:57" s="195" customFormat="1" ht="15" thickBot="1">
      <c r="A207" s="202"/>
      <c r="B207" s="192"/>
      <c r="C207" s="192"/>
      <c r="D207" s="196"/>
      <c r="E207" s="192"/>
      <c r="F207" s="203"/>
      <c r="G207"/>
      <c r="H207" s="219">
        <f>SUM(H7:H206)</f>
        <v>1208500</v>
      </c>
      <c r="I207" s="219">
        <f t="shared" ref="I207:AU207" si="22">SUM(I7:I206)</f>
        <v>19237.12</v>
      </c>
      <c r="J207" s="219">
        <f t="shared" si="22"/>
        <v>6937909.1000795793</v>
      </c>
      <c r="K207" s="219">
        <f t="shared" si="22"/>
        <v>10004662</v>
      </c>
      <c r="L207" s="219">
        <f t="shared" si="22"/>
        <v>2475149</v>
      </c>
      <c r="M207" s="219">
        <f t="shared" si="22"/>
        <v>3651050</v>
      </c>
      <c r="N207" s="219">
        <f t="shared" si="22"/>
        <v>154140</v>
      </c>
      <c r="O207" s="219">
        <f t="shared" si="22"/>
        <v>83562.099999999991</v>
      </c>
      <c r="P207" s="219">
        <f>SUM(P7:P206)</f>
        <v>88074</v>
      </c>
      <c r="Q207" s="219">
        <f t="shared" si="22"/>
        <v>1261961.7599999998</v>
      </c>
      <c r="R207" s="219">
        <f t="shared" si="22"/>
        <v>9861203.3300000001</v>
      </c>
      <c r="S207" s="219">
        <f t="shared" si="22"/>
        <v>112843.39000000001</v>
      </c>
      <c r="T207" s="219">
        <f t="shared" si="22"/>
        <v>6721329</v>
      </c>
      <c r="U207" s="219">
        <f t="shared" si="22"/>
        <v>630709.29333333333</v>
      </c>
      <c r="V207" s="219">
        <f t="shared" si="22"/>
        <v>66532.2</v>
      </c>
      <c r="W207" s="219">
        <f t="shared" si="22"/>
        <v>1585614.9378815852</v>
      </c>
      <c r="X207" s="219">
        <f t="shared" si="22"/>
        <v>1336640</v>
      </c>
      <c r="Y207" s="219">
        <f t="shared" si="22"/>
        <v>236153</v>
      </c>
      <c r="Z207" s="219">
        <f t="shared" si="22"/>
        <v>3641011</v>
      </c>
      <c r="AA207" s="219">
        <f t="shared" si="22"/>
        <v>1107231.0900000001</v>
      </c>
      <c r="AB207" s="219">
        <f t="shared" si="22"/>
        <v>-38525.803478260874</v>
      </c>
      <c r="AC207" s="219">
        <f t="shared" si="22"/>
        <v>-51396.389130434771</v>
      </c>
      <c r="AD207" s="219">
        <f t="shared" si="22"/>
        <v>116597.37</v>
      </c>
      <c r="AE207" s="219">
        <f t="shared" si="22"/>
        <v>130253.36999999984</v>
      </c>
      <c r="AF207" s="219">
        <f t="shared" si="22"/>
        <v>405600</v>
      </c>
      <c r="AG207" s="219">
        <f t="shared" si="22"/>
        <v>41522.399999999994</v>
      </c>
      <c r="AH207" s="219">
        <f t="shared" si="22"/>
        <v>9433604</v>
      </c>
      <c r="AI207" s="219">
        <f t="shared" si="22"/>
        <v>11686</v>
      </c>
      <c r="AJ207" s="219">
        <f t="shared" si="22"/>
        <v>315352.26999999996</v>
      </c>
      <c r="AK207" s="219">
        <f t="shared" si="22"/>
        <v>98392.69</v>
      </c>
      <c r="AL207" s="219">
        <f t="shared" si="22"/>
        <v>9482578</v>
      </c>
      <c r="AM207" s="219">
        <f t="shared" si="22"/>
        <v>168600.32000000001</v>
      </c>
      <c r="AN207" s="219">
        <f t="shared" si="22"/>
        <v>0</v>
      </c>
      <c r="AO207" s="219">
        <f t="shared" si="22"/>
        <v>0</v>
      </c>
      <c r="AP207" s="219">
        <f t="shared" si="22"/>
        <v>0</v>
      </c>
      <c r="AQ207" s="219">
        <f t="shared" si="22"/>
        <v>0</v>
      </c>
      <c r="AR207" s="219">
        <f t="shared" si="22"/>
        <v>0</v>
      </c>
      <c r="AS207" s="219">
        <f t="shared" si="22"/>
        <v>0</v>
      </c>
      <c r="AT207" s="219">
        <f t="shared" si="22"/>
        <v>0</v>
      </c>
      <c r="AU207" s="219">
        <f t="shared" si="22"/>
        <v>0</v>
      </c>
      <c r="AV207" s="219">
        <f>SUM(AV7:AV206)</f>
        <v>71297776.548685759</v>
      </c>
      <c r="AX207" s="220">
        <f t="shared" ref="AX207:BE207" si="23">SUM(AX70:AX206)</f>
        <v>7079933.8511594208</v>
      </c>
      <c r="AY207" s="220">
        <f t="shared" si="23"/>
        <v>480736.31328506477</v>
      </c>
      <c r="AZ207" s="220">
        <f t="shared" si="23"/>
        <v>5962859.8128744671</v>
      </c>
      <c r="BA207" s="220">
        <f t="shared" si="23"/>
        <v>25180656.909999996</v>
      </c>
      <c r="BB207" s="220">
        <f>SUM(BB7:BB206)</f>
        <v>9549474.1499999948</v>
      </c>
      <c r="BC207" s="220">
        <f t="shared" si="23"/>
        <v>0</v>
      </c>
      <c r="BD207" s="220">
        <f t="shared" si="23"/>
        <v>920139.42000000016</v>
      </c>
      <c r="BE207" s="220">
        <f t="shared" si="23"/>
        <v>0</v>
      </c>
    </row>
    <row r="208" spans="1:57" ht="15" thickTop="1">
      <c r="A208" s="200"/>
      <c r="B208" s="2"/>
      <c r="C208" s="2"/>
      <c r="D208" s="2"/>
      <c r="E208" s="2"/>
      <c r="F208" s="201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BE208" s="58"/>
    </row>
    <row r="209" spans="1:57" ht="15" thickBot="1">
      <c r="A209" s="204"/>
      <c r="B209" s="205"/>
      <c r="C209" s="205"/>
      <c r="D209" s="206"/>
      <c r="E209" s="206"/>
      <c r="F209" s="207"/>
      <c r="G209" s="66" t="s">
        <v>479</v>
      </c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376"/>
      <c r="AR209" s="376"/>
      <c r="AS209" s="384"/>
      <c r="AT209" s="384"/>
      <c r="AU209" s="384"/>
      <c r="AV209" s="216"/>
      <c r="AX209" s="188"/>
      <c r="AY209" s="188"/>
      <c r="AZ209" s="188"/>
      <c r="BA209" s="188"/>
      <c r="BB209" s="188"/>
      <c r="BC209" s="188"/>
      <c r="BD209" s="188"/>
      <c r="BE209" s="188"/>
    </row>
    <row r="210" spans="1:57">
      <c r="BE210" s="33"/>
    </row>
    <row r="211" spans="1:57">
      <c r="BE211" s="33"/>
    </row>
    <row r="212" spans="1:57">
      <c r="BE212" s="33"/>
    </row>
    <row r="213" spans="1:57">
      <c r="BE213" s="33"/>
    </row>
    <row r="214" spans="1:57">
      <c r="BE214" s="33"/>
    </row>
    <row r="215" spans="1:57">
      <c r="BE215" s="33"/>
    </row>
    <row r="216" spans="1:57">
      <c r="BE216" s="33"/>
    </row>
    <row r="217" spans="1:57">
      <c r="BE217" s="33"/>
    </row>
  </sheetData>
  <sheetProtection algorithmName="SHA-512" hashValue="HaKQIGAO6dw64o0AtrOUCglfiirCT6Xc7KzuCXzY863+psry3u0KR8FnvM3sFOyRibFZMukvkKP22DXRdGSsbA==" saltValue="9qgQHwxyMxkJjpMcKg5Uzw==" spinCount="100000" sheet="1" objects="1" scenarios="1" autoFilter="0"/>
  <autoFilter ref="A6:FI206" xr:uid="{0F21AC25-0319-43A5-9108-6C8C7348D185}"/>
  <conditionalFormatting sqref="A6:H7 F8:F206 H8:H207 I207:AV207">
    <cfRule type="cellIs" dxfId="21" priority="6" operator="lessThan">
      <formula>0</formula>
    </cfRule>
  </conditionalFormatting>
  <conditionalFormatting sqref="I6">
    <cfRule type="cellIs" dxfId="20" priority="2" operator="lessThan">
      <formula>0</formula>
    </cfRule>
  </conditionalFormatting>
  <conditionalFormatting sqref="N6">
    <cfRule type="cellIs" dxfId="19" priority="4" operator="lessThan">
      <formula>0</formula>
    </cfRule>
  </conditionalFormatting>
  <conditionalFormatting sqref="R6:Z6">
    <cfRule type="cellIs" dxfId="18" priority="1" operator="lessThan">
      <formula>0</formula>
    </cfRule>
  </conditionalFormatting>
  <conditionalFormatting sqref="AC6">
    <cfRule type="cellIs" dxfId="17" priority="3" operator="lessThan">
      <formula>0</formula>
    </cfRule>
  </conditionalFormatting>
  <conditionalFormatting sqref="AV6:AV206">
    <cfRule type="cellIs" dxfId="16" priority="5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2B0D-8788-43CA-8175-DE926FC0D853}">
  <sheetPr codeName="Sheet15"/>
  <dimension ref="A1:DX217"/>
  <sheetViews>
    <sheetView topLeftCell="D1" zoomScale="80" zoomScaleNormal="80" workbookViewId="0">
      <selection activeCell="R5" sqref="R5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" customWidth="1"/>
    <col min="6" max="6" width="14.54296875" customWidth="1"/>
    <col min="7" max="15" width="14.7265625" customWidth="1"/>
    <col min="16" max="16" width="16.26953125" bestFit="1" customWidth="1"/>
    <col min="17" max="17" width="3.26953125" bestFit="1" customWidth="1"/>
    <col min="18" max="18" width="16.26953125" bestFit="1" customWidth="1"/>
    <col min="19" max="20" width="14.7265625" customWidth="1"/>
  </cols>
  <sheetData>
    <row r="1" spans="1:128">
      <c r="A1" s="1" t="s">
        <v>976</v>
      </c>
      <c r="B1" s="1"/>
      <c r="H1" s="369"/>
      <c r="I1" s="369"/>
      <c r="J1" s="369"/>
      <c r="K1" s="369"/>
      <c r="L1" s="369"/>
      <c r="M1" s="369"/>
      <c r="N1" s="369"/>
      <c r="O1" s="369"/>
    </row>
    <row r="2" spans="1:128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66</v>
      </c>
      <c r="AC2">
        <v>67</v>
      </c>
      <c r="AD2">
        <v>68</v>
      </c>
      <c r="AE2">
        <v>69</v>
      </c>
      <c r="AF2">
        <v>70</v>
      </c>
      <c r="AG2">
        <v>71</v>
      </c>
      <c r="AH2">
        <v>72</v>
      </c>
      <c r="AI2">
        <v>73</v>
      </c>
      <c r="AJ2">
        <v>73</v>
      </c>
      <c r="AK2">
        <v>74</v>
      </c>
      <c r="AL2">
        <v>75</v>
      </c>
      <c r="AM2">
        <v>76</v>
      </c>
      <c r="AN2">
        <v>77</v>
      </c>
      <c r="AO2">
        <v>78</v>
      </c>
      <c r="AP2">
        <v>79</v>
      </c>
      <c r="AQ2">
        <v>80</v>
      </c>
      <c r="AR2">
        <v>81</v>
      </c>
      <c r="AS2">
        <v>82</v>
      </c>
      <c r="AT2">
        <v>83</v>
      </c>
      <c r="AU2">
        <v>84</v>
      </c>
      <c r="AV2">
        <v>85</v>
      </c>
      <c r="AW2">
        <v>86</v>
      </c>
      <c r="AX2">
        <v>87</v>
      </c>
      <c r="AY2">
        <v>88</v>
      </c>
      <c r="AZ2">
        <v>89</v>
      </c>
      <c r="BA2">
        <v>90</v>
      </c>
      <c r="BB2">
        <v>91</v>
      </c>
      <c r="BC2">
        <v>92</v>
      </c>
      <c r="BD2">
        <v>93</v>
      </c>
      <c r="BE2">
        <v>94</v>
      </c>
      <c r="BF2">
        <v>95</v>
      </c>
      <c r="BG2">
        <v>96</v>
      </c>
      <c r="BH2">
        <v>97</v>
      </c>
      <c r="BI2">
        <v>98</v>
      </c>
      <c r="BJ2">
        <v>99</v>
      </c>
      <c r="BK2">
        <v>100</v>
      </c>
      <c r="BL2">
        <v>101</v>
      </c>
      <c r="BM2">
        <v>102</v>
      </c>
      <c r="BN2">
        <v>103</v>
      </c>
      <c r="BO2">
        <v>104</v>
      </c>
      <c r="BP2">
        <v>105</v>
      </c>
      <c r="BQ2">
        <v>106</v>
      </c>
      <c r="BR2">
        <v>107</v>
      </c>
      <c r="BS2">
        <v>108</v>
      </c>
      <c r="BT2">
        <v>109</v>
      </c>
      <c r="BU2">
        <v>110</v>
      </c>
      <c r="BV2">
        <v>111</v>
      </c>
      <c r="BW2">
        <v>112</v>
      </c>
      <c r="BX2">
        <v>113</v>
      </c>
      <c r="BY2">
        <v>114</v>
      </c>
      <c r="BZ2">
        <v>114</v>
      </c>
      <c r="CA2">
        <v>115</v>
      </c>
      <c r="CB2">
        <v>116</v>
      </c>
      <c r="CC2">
        <v>117</v>
      </c>
      <c r="CD2">
        <v>118</v>
      </c>
      <c r="CE2">
        <v>119</v>
      </c>
      <c r="CF2">
        <v>120</v>
      </c>
      <c r="CG2">
        <v>121</v>
      </c>
      <c r="CH2">
        <v>122</v>
      </c>
      <c r="CI2">
        <v>123</v>
      </c>
      <c r="CJ2">
        <v>124</v>
      </c>
      <c r="CK2">
        <v>125</v>
      </c>
      <c r="CL2">
        <v>126</v>
      </c>
      <c r="CM2">
        <v>127</v>
      </c>
      <c r="CN2">
        <v>128</v>
      </c>
      <c r="CO2">
        <v>129</v>
      </c>
      <c r="CP2">
        <v>130</v>
      </c>
      <c r="CQ2">
        <v>131</v>
      </c>
      <c r="CR2">
        <v>132</v>
      </c>
      <c r="CS2">
        <v>133</v>
      </c>
      <c r="CT2">
        <v>134</v>
      </c>
      <c r="CU2">
        <v>135</v>
      </c>
      <c r="CV2">
        <v>136</v>
      </c>
      <c r="CW2">
        <v>137</v>
      </c>
      <c r="CX2">
        <v>138</v>
      </c>
      <c r="CY2">
        <v>139</v>
      </c>
      <c r="CZ2">
        <v>140</v>
      </c>
      <c r="DA2">
        <v>141</v>
      </c>
      <c r="DB2">
        <v>142</v>
      </c>
      <c r="DC2">
        <v>143</v>
      </c>
      <c r="DD2">
        <v>144</v>
      </c>
      <c r="DE2">
        <v>145</v>
      </c>
      <c r="DF2">
        <v>146</v>
      </c>
      <c r="DG2">
        <v>147</v>
      </c>
      <c r="DH2">
        <v>148</v>
      </c>
      <c r="DI2">
        <v>149</v>
      </c>
      <c r="DJ2">
        <v>150</v>
      </c>
      <c r="DK2">
        <v>151</v>
      </c>
      <c r="DL2">
        <v>152</v>
      </c>
      <c r="DM2">
        <v>153</v>
      </c>
      <c r="DN2">
        <v>154</v>
      </c>
      <c r="DO2">
        <v>155</v>
      </c>
      <c r="DP2">
        <v>156</v>
      </c>
      <c r="DQ2">
        <v>157</v>
      </c>
      <c r="DR2">
        <v>158</v>
      </c>
      <c r="DS2">
        <v>159</v>
      </c>
      <c r="DT2">
        <v>160</v>
      </c>
      <c r="DU2">
        <v>161</v>
      </c>
      <c r="DV2">
        <v>162</v>
      </c>
      <c r="DW2">
        <v>163</v>
      </c>
      <c r="DX2">
        <v>164</v>
      </c>
    </row>
    <row r="3" spans="1:128">
      <c r="G3" s="66" t="s">
        <v>958</v>
      </c>
      <c r="H3" s="2" t="s">
        <v>492</v>
      </c>
      <c r="I3" s="2" t="s">
        <v>495</v>
      </c>
      <c r="J3" s="2" t="s">
        <v>492</v>
      </c>
      <c r="K3" s="2" t="s">
        <v>495</v>
      </c>
      <c r="L3" s="2" t="s">
        <v>492</v>
      </c>
      <c r="M3" s="2" t="s">
        <v>495</v>
      </c>
      <c r="N3" s="2" t="s">
        <v>492</v>
      </c>
      <c r="O3" s="2" t="s">
        <v>495</v>
      </c>
      <c r="P3" s="2"/>
    </row>
    <row r="4" spans="1:128">
      <c r="G4" s="66" t="s">
        <v>959</v>
      </c>
      <c r="H4" s="2"/>
      <c r="I4" s="2"/>
      <c r="J4" s="2"/>
      <c r="K4" s="2"/>
      <c r="L4" s="2"/>
      <c r="M4" s="2"/>
      <c r="N4" s="2"/>
      <c r="O4" s="2"/>
      <c r="P4" s="2"/>
    </row>
    <row r="5" spans="1:128" ht="15" thickBot="1"/>
    <row r="6" spans="1:128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986</v>
      </c>
      <c r="I6" s="177" t="s">
        <v>987</v>
      </c>
      <c r="J6" s="179" t="s">
        <v>1236</v>
      </c>
      <c r="K6" s="179" t="s">
        <v>1237</v>
      </c>
      <c r="L6" s="179" t="s">
        <v>1234</v>
      </c>
      <c r="M6" s="179" t="s">
        <v>1235</v>
      </c>
      <c r="N6" s="179" t="s">
        <v>1239</v>
      </c>
      <c r="O6" s="179" t="s">
        <v>1240</v>
      </c>
      <c r="P6" s="180" t="s">
        <v>452</v>
      </c>
      <c r="R6" s="181" t="s">
        <v>492</v>
      </c>
      <c r="S6" s="182" t="s">
        <v>495</v>
      </c>
      <c r="T6" s="184" t="s">
        <v>975</v>
      </c>
    </row>
    <row r="7" spans="1:128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Mar 2026'!$A$8:$F$206,6,FALSE)</f>
        <v>Chq Bk</v>
      </c>
      <c r="G7" s="209"/>
      <c r="H7" s="191">
        <v>0</v>
      </c>
      <c r="I7" s="864">
        <v>0</v>
      </c>
      <c r="J7" s="191">
        <v>0</v>
      </c>
      <c r="K7" s="864">
        <v>0</v>
      </c>
      <c r="L7" s="191">
        <v>0</v>
      </c>
      <c r="M7" s="864">
        <v>0</v>
      </c>
      <c r="N7" s="191">
        <v>0</v>
      </c>
      <c r="O7" s="864">
        <v>0</v>
      </c>
      <c r="P7" s="212">
        <f t="shared" ref="P7:P38" si="0">SUM(H7:O7)</f>
        <v>0</v>
      </c>
      <c r="R7" s="33">
        <f t="shared" ref="R7:S26" si="1">SUMIF($H$3:$O$3,R$6,$H7:$O7)</f>
        <v>0</v>
      </c>
      <c r="S7" s="33">
        <f t="shared" si="1"/>
        <v>0</v>
      </c>
      <c r="T7" s="58">
        <f t="shared" ref="T7:T38" si="2">SUM(R7:S7)-P7</f>
        <v>0</v>
      </c>
    </row>
    <row r="8" spans="1:128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Mar 2026'!$A$8:$F$206,6,FALSE)</f>
        <v>Chq Bk</v>
      </c>
      <c r="G8" s="209"/>
      <c r="H8" s="191">
        <v>0</v>
      </c>
      <c r="I8" s="864">
        <v>0</v>
      </c>
      <c r="J8" s="191">
        <v>0</v>
      </c>
      <c r="K8" s="864">
        <v>0</v>
      </c>
      <c r="L8" s="191">
        <v>0</v>
      </c>
      <c r="M8" s="864">
        <v>0</v>
      </c>
      <c r="N8" s="191">
        <v>0</v>
      </c>
      <c r="O8" s="864">
        <v>0</v>
      </c>
      <c r="P8" s="212">
        <f t="shared" si="0"/>
        <v>0</v>
      </c>
      <c r="R8" s="33">
        <f t="shared" si="1"/>
        <v>0</v>
      </c>
      <c r="S8" s="33">
        <f t="shared" si="1"/>
        <v>0</v>
      </c>
      <c r="T8" s="58">
        <f t="shared" si="2"/>
        <v>0</v>
      </c>
    </row>
    <row r="9" spans="1:128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Mar 2026'!$A$8:$F$206,6,FALSE)</f>
        <v>Chq Bk</v>
      </c>
      <c r="G9" s="209"/>
      <c r="H9" s="191">
        <v>7379.56</v>
      </c>
      <c r="I9" s="864">
        <v>-6.66</v>
      </c>
      <c r="J9" s="191">
        <v>6700.43</v>
      </c>
      <c r="K9" s="864">
        <v>-3.8500000000000005</v>
      </c>
      <c r="L9" s="191">
        <v>24364.055990000132</v>
      </c>
      <c r="M9" s="864">
        <v>-5.51</v>
      </c>
      <c r="N9" s="191">
        <v>6648.03</v>
      </c>
      <c r="O9" s="864">
        <v>-6.72</v>
      </c>
      <c r="P9" s="212">
        <f t="shared" si="0"/>
        <v>45069.335990000131</v>
      </c>
      <c r="R9" s="33">
        <f t="shared" si="1"/>
        <v>45092.075990000129</v>
      </c>
      <c r="S9" s="33">
        <f t="shared" si="1"/>
        <v>-22.740000000000002</v>
      </c>
      <c r="T9" s="58">
        <f t="shared" si="2"/>
        <v>0</v>
      </c>
    </row>
    <row r="10" spans="1:128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Mar 2026'!$A$8:$F$206,6,FALSE)</f>
        <v>Chq Bk</v>
      </c>
      <c r="G10" s="209"/>
      <c r="H10" s="191">
        <v>0</v>
      </c>
      <c r="I10" s="864">
        <v>0</v>
      </c>
      <c r="J10" s="191">
        <v>0</v>
      </c>
      <c r="K10" s="864">
        <v>0</v>
      </c>
      <c r="L10" s="191">
        <v>0</v>
      </c>
      <c r="M10" s="864">
        <v>0</v>
      </c>
      <c r="N10" s="191">
        <v>0</v>
      </c>
      <c r="O10" s="864">
        <v>0</v>
      </c>
      <c r="P10" s="212">
        <f t="shared" si="0"/>
        <v>0</v>
      </c>
      <c r="R10" s="33">
        <f t="shared" si="1"/>
        <v>0</v>
      </c>
      <c r="S10" s="33">
        <f t="shared" si="1"/>
        <v>0</v>
      </c>
      <c r="T10" s="58">
        <f t="shared" si="2"/>
        <v>0</v>
      </c>
    </row>
    <row r="11" spans="1:128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Mar 2026'!$A$8:$F$206,6,FALSE)</f>
        <v>Chq Bk</v>
      </c>
      <c r="G11" s="209"/>
      <c r="H11" s="191">
        <v>6056.93</v>
      </c>
      <c r="I11" s="864">
        <v>-2.3400000000000034</v>
      </c>
      <c r="J11" s="191">
        <v>6249.52</v>
      </c>
      <c r="K11" s="864">
        <v>-2.39</v>
      </c>
      <c r="L11" s="191">
        <v>10767.72302999997</v>
      </c>
      <c r="M11" s="864">
        <v>-26.69</v>
      </c>
      <c r="N11" s="191">
        <v>3905.62</v>
      </c>
      <c r="O11" s="864">
        <v>-33.07</v>
      </c>
      <c r="P11" s="212">
        <f t="shared" si="0"/>
        <v>26915.303029999974</v>
      </c>
      <c r="R11" s="33">
        <f t="shared" si="1"/>
        <v>26979.793029999968</v>
      </c>
      <c r="S11" s="33">
        <f t="shared" si="1"/>
        <v>-64.490000000000009</v>
      </c>
      <c r="T11" s="58">
        <f t="shared" si="2"/>
        <v>0</v>
      </c>
    </row>
    <row r="12" spans="1:128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Mar 2026'!$A$8:$F$206,6,FALSE)</f>
        <v>Chq Bk</v>
      </c>
      <c r="G12" s="209"/>
      <c r="H12" s="191">
        <v>5852.64</v>
      </c>
      <c r="I12" s="864">
        <v>-2.8700000000000045</v>
      </c>
      <c r="J12" s="191">
        <v>5658.12</v>
      </c>
      <c r="K12" s="864">
        <v>-38.64</v>
      </c>
      <c r="L12" s="191">
        <v>9528.9430900000225</v>
      </c>
      <c r="M12" s="864">
        <v>-5.6400000000000006</v>
      </c>
      <c r="N12" s="191">
        <v>3696.91</v>
      </c>
      <c r="O12" s="864">
        <v>-52.36</v>
      </c>
      <c r="P12" s="212">
        <f t="shared" si="0"/>
        <v>24637.103090000022</v>
      </c>
      <c r="R12" s="33">
        <f t="shared" si="1"/>
        <v>24736.613090000024</v>
      </c>
      <c r="S12" s="33">
        <f t="shared" si="1"/>
        <v>-99.51</v>
      </c>
      <c r="T12" s="58">
        <f t="shared" si="2"/>
        <v>0</v>
      </c>
    </row>
    <row r="13" spans="1:128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Mar 2026'!$A$8:$F$206,6,FALSE)</f>
        <v>Chq Bk</v>
      </c>
      <c r="G13" s="209"/>
      <c r="H13" s="191">
        <v>5041.3599999999997</v>
      </c>
      <c r="I13" s="864">
        <v>-2.5</v>
      </c>
      <c r="J13" s="191">
        <v>4714.22</v>
      </c>
      <c r="K13" s="864">
        <v>-2.92</v>
      </c>
      <c r="L13" s="191">
        <v>2469.7054749998433</v>
      </c>
      <c r="M13" s="864">
        <v>-41.01</v>
      </c>
      <c r="N13" s="191">
        <v>4960.59</v>
      </c>
      <c r="O13" s="864">
        <v>-44.95</v>
      </c>
      <c r="P13" s="212">
        <f t="shared" si="0"/>
        <v>17094.49547499984</v>
      </c>
      <c r="R13" s="33">
        <f t="shared" si="1"/>
        <v>17185.875474999844</v>
      </c>
      <c r="S13" s="33">
        <f t="shared" si="1"/>
        <v>-91.38</v>
      </c>
      <c r="T13" s="58">
        <f t="shared" si="2"/>
        <v>0</v>
      </c>
    </row>
    <row r="14" spans="1:128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Mar 2026'!$A$8:$F$206,6,FALSE)</f>
        <v>Chq Bk</v>
      </c>
      <c r="G14" s="209"/>
      <c r="H14" s="191">
        <v>0</v>
      </c>
      <c r="I14" s="864">
        <v>0</v>
      </c>
      <c r="J14" s="191">
        <v>0</v>
      </c>
      <c r="K14" s="864">
        <v>0</v>
      </c>
      <c r="L14" s="191">
        <v>0</v>
      </c>
      <c r="M14" s="864">
        <v>0</v>
      </c>
      <c r="N14" s="191">
        <v>0</v>
      </c>
      <c r="O14" s="864">
        <v>0</v>
      </c>
      <c r="P14" s="212">
        <f t="shared" si="0"/>
        <v>0</v>
      </c>
      <c r="R14" s="33">
        <f t="shared" si="1"/>
        <v>0</v>
      </c>
      <c r="S14" s="33">
        <f t="shared" si="1"/>
        <v>0</v>
      </c>
      <c r="T14" s="58">
        <f t="shared" si="2"/>
        <v>0</v>
      </c>
    </row>
    <row r="15" spans="1:128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Mar 2026'!$A$8:$F$206,6,FALSE)</f>
        <v>Chq Bk</v>
      </c>
      <c r="G15" s="209"/>
      <c r="H15" s="191">
        <v>0</v>
      </c>
      <c r="I15" s="864">
        <v>0</v>
      </c>
      <c r="J15" s="191">
        <v>0</v>
      </c>
      <c r="K15" s="864">
        <v>0</v>
      </c>
      <c r="L15" s="191">
        <v>0</v>
      </c>
      <c r="M15" s="864">
        <v>0</v>
      </c>
      <c r="N15" s="191">
        <v>0</v>
      </c>
      <c r="O15" s="864">
        <v>0</v>
      </c>
      <c r="P15" s="212">
        <f t="shared" si="0"/>
        <v>0</v>
      </c>
      <c r="R15" s="33">
        <f t="shared" si="1"/>
        <v>0</v>
      </c>
      <c r="S15" s="33">
        <f t="shared" si="1"/>
        <v>0</v>
      </c>
      <c r="T15" s="58">
        <f t="shared" si="2"/>
        <v>0</v>
      </c>
    </row>
    <row r="16" spans="1:128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Mar 2026'!$A$8:$F$206,6,FALSE)</f>
        <v>Chq Bk</v>
      </c>
      <c r="G16" s="209"/>
      <c r="H16" s="191">
        <v>1221.83</v>
      </c>
      <c r="I16" s="864">
        <v>-1.72</v>
      </c>
      <c r="J16" s="191">
        <v>987.6099999999999</v>
      </c>
      <c r="K16" s="864">
        <v>-31.67</v>
      </c>
      <c r="L16" s="191">
        <v>0</v>
      </c>
      <c r="M16" s="864">
        <v>0</v>
      </c>
      <c r="N16" s="191">
        <v>506.24</v>
      </c>
      <c r="O16" s="864">
        <v>-2.31</v>
      </c>
      <c r="P16" s="212">
        <f t="shared" si="0"/>
        <v>2679.98</v>
      </c>
      <c r="R16" s="33">
        <f t="shared" si="1"/>
        <v>2715.6799999999994</v>
      </c>
      <c r="S16" s="33">
        <f t="shared" si="1"/>
        <v>-35.700000000000003</v>
      </c>
      <c r="T16" s="58">
        <f t="shared" si="2"/>
        <v>0</v>
      </c>
    </row>
    <row r="17" spans="1:20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Mar 2026'!$A$8:$F$206,6,FALSE)</f>
        <v>Chq Bk</v>
      </c>
      <c r="G17" s="209"/>
      <c r="H17" s="191">
        <v>2530.29</v>
      </c>
      <c r="I17" s="864">
        <v>-2.69</v>
      </c>
      <c r="J17" s="191">
        <v>1996.35</v>
      </c>
      <c r="K17" s="864">
        <v>-3.4</v>
      </c>
      <c r="L17" s="191">
        <v>3642.1239999999998</v>
      </c>
      <c r="M17" s="864">
        <v>-4.43</v>
      </c>
      <c r="N17" s="191">
        <v>1738.04</v>
      </c>
      <c r="O17" s="864">
        <v>-3.49</v>
      </c>
      <c r="P17" s="212">
        <f t="shared" si="0"/>
        <v>9892.7939999999999</v>
      </c>
      <c r="R17" s="33">
        <f t="shared" si="1"/>
        <v>9906.8040000000001</v>
      </c>
      <c r="S17" s="33">
        <f t="shared" si="1"/>
        <v>-14.01</v>
      </c>
      <c r="T17" s="58">
        <f t="shared" si="2"/>
        <v>0</v>
      </c>
    </row>
    <row r="18" spans="1:20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Mar 2026'!$A$8:$F$206,6,FALSE)</f>
        <v>Chq Bk</v>
      </c>
      <c r="G18" s="209"/>
      <c r="H18" s="191">
        <v>1483.17</v>
      </c>
      <c r="I18" s="864">
        <v>-4.38</v>
      </c>
      <c r="J18" s="191">
        <v>150.21</v>
      </c>
      <c r="K18" s="864">
        <v>-23.35</v>
      </c>
      <c r="L18" s="191">
        <v>112.87426000000146</v>
      </c>
      <c r="M18" s="864">
        <v>-24.2</v>
      </c>
      <c r="N18" s="191">
        <v>24.77</v>
      </c>
      <c r="O18" s="864">
        <v>-2.9</v>
      </c>
      <c r="P18" s="212">
        <f t="shared" si="0"/>
        <v>1716.1942600000013</v>
      </c>
      <c r="R18" s="33">
        <f t="shared" si="1"/>
        <v>1771.0242600000015</v>
      </c>
      <c r="S18" s="33">
        <f t="shared" si="1"/>
        <v>-54.83</v>
      </c>
      <c r="T18" s="58">
        <f t="shared" si="2"/>
        <v>0</v>
      </c>
    </row>
    <row r="19" spans="1:20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Mar 2026'!$A$8:$F$206,6,FALSE)</f>
        <v>Chq Bk</v>
      </c>
      <c r="G19" s="209"/>
      <c r="H19" s="191">
        <v>0</v>
      </c>
      <c r="I19" s="864">
        <v>0</v>
      </c>
      <c r="J19" s="191">
        <v>0</v>
      </c>
      <c r="K19" s="864">
        <v>0</v>
      </c>
      <c r="L19" s="191">
        <v>0</v>
      </c>
      <c r="M19" s="864">
        <v>0</v>
      </c>
      <c r="N19" s="191">
        <v>0</v>
      </c>
      <c r="O19" s="864">
        <v>0</v>
      </c>
      <c r="P19" s="212">
        <f t="shared" si="0"/>
        <v>0</v>
      </c>
      <c r="R19" s="33">
        <f t="shared" si="1"/>
        <v>0</v>
      </c>
      <c r="S19" s="33">
        <f t="shared" si="1"/>
        <v>0</v>
      </c>
      <c r="T19" s="58">
        <f t="shared" si="2"/>
        <v>0</v>
      </c>
    </row>
    <row r="20" spans="1:20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Mar 2026'!$A$8:$F$206,6,FALSE)</f>
        <v>Chq Bk</v>
      </c>
      <c r="G20" s="209"/>
      <c r="H20" s="191">
        <v>0</v>
      </c>
      <c r="I20" s="864">
        <v>0</v>
      </c>
      <c r="J20" s="191">
        <v>0</v>
      </c>
      <c r="K20" s="864">
        <v>0</v>
      </c>
      <c r="L20" s="191">
        <v>0</v>
      </c>
      <c r="M20" s="864">
        <v>0</v>
      </c>
      <c r="N20" s="191">
        <v>0</v>
      </c>
      <c r="O20" s="864">
        <v>0</v>
      </c>
      <c r="P20" s="212">
        <f t="shared" si="0"/>
        <v>0</v>
      </c>
      <c r="R20" s="33">
        <f t="shared" si="1"/>
        <v>0</v>
      </c>
      <c r="S20" s="33">
        <f t="shared" si="1"/>
        <v>0</v>
      </c>
      <c r="T20" s="58">
        <f t="shared" si="2"/>
        <v>0</v>
      </c>
    </row>
    <row r="21" spans="1:20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Mar 2026'!$A$8:$F$206,6,FALSE)</f>
        <v>Chq Bk</v>
      </c>
      <c r="G21" s="209"/>
      <c r="H21" s="191">
        <v>5188.72</v>
      </c>
      <c r="I21" s="864">
        <v>-18.560000000000002</v>
      </c>
      <c r="J21" s="191">
        <v>4186.95</v>
      </c>
      <c r="K21" s="864">
        <v>-40.89</v>
      </c>
      <c r="L21" s="191">
        <v>14962.720720000007</v>
      </c>
      <c r="M21" s="864">
        <v>-4.03</v>
      </c>
      <c r="N21" s="191">
        <v>3244.42</v>
      </c>
      <c r="O21" s="864">
        <v>-29.49</v>
      </c>
      <c r="P21" s="212">
        <f t="shared" si="0"/>
        <v>27489.840720000004</v>
      </c>
      <c r="R21" s="33">
        <f t="shared" si="1"/>
        <v>27582.810720000009</v>
      </c>
      <c r="S21" s="33">
        <f t="shared" si="1"/>
        <v>-92.97</v>
      </c>
      <c r="T21" s="58">
        <f t="shared" si="2"/>
        <v>0</v>
      </c>
    </row>
    <row r="22" spans="1:20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Mar 2026'!$A$8:$F$206,6,FALSE)</f>
        <v>Chq Bk</v>
      </c>
      <c r="G22" s="209"/>
      <c r="H22" s="191">
        <v>0</v>
      </c>
      <c r="I22" s="864">
        <v>0</v>
      </c>
      <c r="J22" s="191">
        <v>0</v>
      </c>
      <c r="K22" s="864">
        <v>0</v>
      </c>
      <c r="L22" s="191">
        <v>0</v>
      </c>
      <c r="M22" s="864">
        <v>0</v>
      </c>
      <c r="N22" s="191">
        <v>0</v>
      </c>
      <c r="O22" s="864">
        <v>0</v>
      </c>
      <c r="P22" s="212">
        <f t="shared" si="0"/>
        <v>0</v>
      </c>
      <c r="R22" s="33">
        <f t="shared" si="1"/>
        <v>0</v>
      </c>
      <c r="S22" s="33">
        <f t="shared" si="1"/>
        <v>0</v>
      </c>
      <c r="T22" s="58">
        <f t="shared" si="2"/>
        <v>0</v>
      </c>
    </row>
    <row r="23" spans="1:20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Mar 2026'!$A$8:$F$206,6,FALSE)</f>
        <v>Chq Bk</v>
      </c>
      <c r="G23" s="209"/>
      <c r="H23" s="191">
        <v>0</v>
      </c>
      <c r="I23" s="864">
        <v>0</v>
      </c>
      <c r="J23" s="191">
        <v>0</v>
      </c>
      <c r="K23" s="864">
        <v>0</v>
      </c>
      <c r="L23" s="191">
        <v>0</v>
      </c>
      <c r="M23" s="864">
        <v>0</v>
      </c>
      <c r="N23" s="191">
        <v>0</v>
      </c>
      <c r="O23" s="864">
        <v>0</v>
      </c>
      <c r="P23" s="212">
        <f t="shared" si="0"/>
        <v>0</v>
      </c>
      <c r="R23" s="33">
        <f t="shared" si="1"/>
        <v>0</v>
      </c>
      <c r="S23" s="33">
        <f t="shared" si="1"/>
        <v>0</v>
      </c>
      <c r="T23" s="58">
        <f t="shared" si="2"/>
        <v>0</v>
      </c>
    </row>
    <row r="24" spans="1:20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Mar 2026'!$A$8:$F$206,6,FALSE)</f>
        <v>Chq Bk</v>
      </c>
      <c r="G24" s="209"/>
      <c r="H24" s="191">
        <v>0</v>
      </c>
      <c r="I24" s="864">
        <v>0</v>
      </c>
      <c r="J24" s="191">
        <v>0</v>
      </c>
      <c r="K24" s="864">
        <v>0</v>
      </c>
      <c r="L24" s="191">
        <v>0</v>
      </c>
      <c r="M24" s="864">
        <v>0</v>
      </c>
      <c r="N24" s="191">
        <v>0</v>
      </c>
      <c r="O24" s="864">
        <v>0</v>
      </c>
      <c r="P24" s="212">
        <f t="shared" si="0"/>
        <v>0</v>
      </c>
      <c r="R24" s="33">
        <f t="shared" si="1"/>
        <v>0</v>
      </c>
      <c r="S24" s="33">
        <f t="shared" si="1"/>
        <v>0</v>
      </c>
      <c r="T24" s="58">
        <f t="shared" si="2"/>
        <v>0</v>
      </c>
    </row>
    <row r="25" spans="1:20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Mar 2026'!$A$8:$F$206,6,FALSE)</f>
        <v>Chq Bk</v>
      </c>
      <c r="G25" s="209"/>
      <c r="H25" s="191">
        <v>0</v>
      </c>
      <c r="I25" s="864">
        <v>0</v>
      </c>
      <c r="J25" s="191">
        <v>0</v>
      </c>
      <c r="K25" s="864">
        <v>0</v>
      </c>
      <c r="L25" s="191">
        <v>0</v>
      </c>
      <c r="M25" s="864">
        <v>0</v>
      </c>
      <c r="N25" s="191">
        <v>0</v>
      </c>
      <c r="O25" s="864">
        <v>0</v>
      </c>
      <c r="P25" s="212">
        <f t="shared" si="0"/>
        <v>0</v>
      </c>
      <c r="R25" s="33">
        <f t="shared" si="1"/>
        <v>0</v>
      </c>
      <c r="S25" s="33">
        <f t="shared" si="1"/>
        <v>0</v>
      </c>
      <c r="T25" s="58">
        <f t="shared" si="2"/>
        <v>0</v>
      </c>
    </row>
    <row r="26" spans="1:20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Mar 2026'!$A$8:$F$206,6,FALSE)</f>
        <v>Chq Bk</v>
      </c>
      <c r="G26" s="209"/>
      <c r="H26" s="191">
        <v>0</v>
      </c>
      <c r="I26" s="864">
        <v>0</v>
      </c>
      <c r="J26" s="191">
        <v>0</v>
      </c>
      <c r="K26" s="864">
        <v>0</v>
      </c>
      <c r="L26" s="191">
        <v>0</v>
      </c>
      <c r="M26" s="864">
        <v>0</v>
      </c>
      <c r="N26" s="191">
        <v>0</v>
      </c>
      <c r="O26" s="864">
        <v>0</v>
      </c>
      <c r="P26" s="212">
        <f t="shared" si="0"/>
        <v>0</v>
      </c>
      <c r="R26" s="33">
        <f t="shared" si="1"/>
        <v>0</v>
      </c>
      <c r="S26" s="33">
        <f t="shared" si="1"/>
        <v>0</v>
      </c>
      <c r="T26" s="58">
        <f t="shared" si="2"/>
        <v>0</v>
      </c>
    </row>
    <row r="27" spans="1:20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Mar 2026'!$A$8:$F$206,6,FALSE)</f>
        <v>Chq Bk</v>
      </c>
      <c r="G27" s="209"/>
      <c r="H27" s="191">
        <v>3086.64</v>
      </c>
      <c r="I27" s="864">
        <v>-1.8799999999999955</v>
      </c>
      <c r="J27" s="191">
        <v>7231.66</v>
      </c>
      <c r="K27" s="864">
        <v>-19.329999999999998</v>
      </c>
      <c r="L27" s="191">
        <v>13061.989725000052</v>
      </c>
      <c r="M27" s="864">
        <v>-3.9099999999999997</v>
      </c>
      <c r="N27" s="191">
        <v>3960.9</v>
      </c>
      <c r="O27" s="864">
        <v>-63.91</v>
      </c>
      <c r="P27" s="212">
        <f t="shared" si="0"/>
        <v>27252.159725000056</v>
      </c>
      <c r="R27" s="33">
        <f t="shared" ref="R27:R90" si="3">SUMIF($H$3:$O$3,R$6,$H27:$O27)</f>
        <v>27341.189725000055</v>
      </c>
      <c r="S27" s="33">
        <f t="shared" ref="S27:S46" si="4">SUMIF($H$3:$O$3,S$6,$H27:$O27)</f>
        <v>-89.029999999999987</v>
      </c>
      <c r="T27" s="58">
        <f t="shared" si="2"/>
        <v>0</v>
      </c>
    </row>
    <row r="28" spans="1:20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Mar 2026'!$A$8:$F$206,6,FALSE)</f>
        <v>Chq Bk</v>
      </c>
      <c r="G28" s="209"/>
      <c r="H28" s="191">
        <v>3693.2</v>
      </c>
      <c r="I28" s="864">
        <v>-34.120000000000005</v>
      </c>
      <c r="J28" s="191">
        <v>2899.73</v>
      </c>
      <c r="K28" s="864">
        <v>-47.12</v>
      </c>
      <c r="L28" s="191">
        <v>6905.6204650000163</v>
      </c>
      <c r="M28" s="864">
        <v>-5.27</v>
      </c>
      <c r="N28" s="191">
        <v>2334.09</v>
      </c>
      <c r="O28" s="864">
        <v>-50.91</v>
      </c>
      <c r="P28" s="212">
        <f t="shared" si="0"/>
        <v>15695.220465000017</v>
      </c>
      <c r="R28" s="33">
        <f t="shared" si="3"/>
        <v>15832.640465000017</v>
      </c>
      <c r="S28" s="33">
        <f t="shared" si="4"/>
        <v>-137.42000000000002</v>
      </c>
      <c r="T28" s="58">
        <f t="shared" si="2"/>
        <v>0</v>
      </c>
    </row>
    <row r="29" spans="1:20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Mar 2026'!$A$8:$F$206,6,FALSE)</f>
        <v>Academy</v>
      </c>
      <c r="G29" s="209"/>
      <c r="H29" s="191">
        <v>0</v>
      </c>
      <c r="I29" s="864">
        <v>0</v>
      </c>
      <c r="J29" s="191"/>
      <c r="K29" s="864"/>
      <c r="L29" s="191">
        <v>0</v>
      </c>
      <c r="M29" s="864">
        <v>0</v>
      </c>
      <c r="N29" s="191">
        <v>0</v>
      </c>
      <c r="O29" s="864">
        <v>0</v>
      </c>
      <c r="P29" s="212">
        <f t="shared" si="0"/>
        <v>0</v>
      </c>
      <c r="R29" s="33">
        <f t="shared" si="3"/>
        <v>0</v>
      </c>
      <c r="S29" s="33">
        <f t="shared" si="4"/>
        <v>0</v>
      </c>
      <c r="T29" s="58">
        <f t="shared" si="2"/>
        <v>0</v>
      </c>
    </row>
    <row r="30" spans="1:20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Mar 2026'!$A$8:$F$206,6,FALSE)</f>
        <v>Academy</v>
      </c>
      <c r="G30" s="209"/>
      <c r="H30" s="191">
        <v>0</v>
      </c>
      <c r="I30" s="864">
        <v>0</v>
      </c>
      <c r="J30" s="191"/>
      <c r="K30" s="864"/>
      <c r="L30" s="191">
        <v>0</v>
      </c>
      <c r="M30" s="864">
        <v>0</v>
      </c>
      <c r="N30" s="191">
        <v>0</v>
      </c>
      <c r="O30" s="864">
        <v>0</v>
      </c>
      <c r="P30" s="212">
        <f t="shared" si="0"/>
        <v>0</v>
      </c>
      <c r="R30" s="33">
        <f t="shared" si="3"/>
        <v>0</v>
      </c>
      <c r="S30" s="33">
        <f t="shared" si="4"/>
        <v>0</v>
      </c>
      <c r="T30" s="58">
        <f t="shared" si="2"/>
        <v>0</v>
      </c>
    </row>
    <row r="31" spans="1:20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Mar 2026'!$A$8:$F$206,6,FALSE)</f>
        <v>Chq Bk</v>
      </c>
      <c r="G31" s="209"/>
      <c r="H31" s="191">
        <v>2680.54</v>
      </c>
      <c r="I31" s="864">
        <v>-5.4</v>
      </c>
      <c r="J31" s="191">
        <v>1910.7199999999998</v>
      </c>
      <c r="K31" s="864">
        <v>-5.0999999999999996</v>
      </c>
      <c r="L31" s="191">
        <v>3398.7295649999915</v>
      </c>
      <c r="M31" s="864">
        <v>-47.08</v>
      </c>
      <c r="N31" s="191">
        <v>1838.56</v>
      </c>
      <c r="O31" s="864">
        <v>-4.57</v>
      </c>
      <c r="P31" s="212">
        <f t="shared" si="0"/>
        <v>9766.3995649999906</v>
      </c>
      <c r="R31" s="33">
        <f t="shared" si="3"/>
        <v>9828.5495649999921</v>
      </c>
      <c r="S31" s="33">
        <f t="shared" si="4"/>
        <v>-62.15</v>
      </c>
      <c r="T31" s="58">
        <f t="shared" si="2"/>
        <v>0</v>
      </c>
    </row>
    <row r="32" spans="1:20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Mar 2026'!$A$8:$F$206,6,FALSE)</f>
        <v>Chq Bk</v>
      </c>
      <c r="G32" s="209"/>
      <c r="H32" s="191">
        <v>0</v>
      </c>
      <c r="I32" s="864">
        <v>0</v>
      </c>
      <c r="J32" s="191">
        <v>0</v>
      </c>
      <c r="K32" s="864">
        <v>0</v>
      </c>
      <c r="L32" s="191">
        <v>0</v>
      </c>
      <c r="M32" s="864">
        <v>0</v>
      </c>
      <c r="N32" s="191">
        <v>0</v>
      </c>
      <c r="O32" s="864">
        <v>0</v>
      </c>
      <c r="P32" s="212">
        <f t="shared" si="0"/>
        <v>0</v>
      </c>
      <c r="R32" s="33">
        <f t="shared" si="3"/>
        <v>0</v>
      </c>
      <c r="S32" s="33">
        <f t="shared" si="4"/>
        <v>0</v>
      </c>
      <c r="T32" s="58">
        <f t="shared" si="2"/>
        <v>0</v>
      </c>
    </row>
    <row r="33" spans="1:20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Mar 2026'!$A$8:$F$206,6,FALSE)</f>
        <v>Chq Bk</v>
      </c>
      <c r="G33" s="209"/>
      <c r="H33" s="191">
        <v>4253.2</v>
      </c>
      <c r="I33" s="864">
        <v>-1.9399999999999977</v>
      </c>
      <c r="J33" s="191">
        <v>3841.52</v>
      </c>
      <c r="K33" s="864">
        <v>-27.240000000000002</v>
      </c>
      <c r="L33" s="191">
        <v>4628.8203800000156</v>
      </c>
      <c r="M33" s="864">
        <v>-1.19</v>
      </c>
      <c r="N33" s="191">
        <v>1944.8</v>
      </c>
      <c r="O33" s="864">
        <v>-43.36</v>
      </c>
      <c r="P33" s="212">
        <f t="shared" si="0"/>
        <v>14594.610380000015</v>
      </c>
      <c r="R33" s="33">
        <f t="shared" si="3"/>
        <v>14668.340380000014</v>
      </c>
      <c r="S33" s="33">
        <f t="shared" si="4"/>
        <v>-73.73</v>
      </c>
      <c r="T33" s="58">
        <f t="shared" si="2"/>
        <v>0</v>
      </c>
    </row>
    <row r="34" spans="1:20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Mar 2026'!$A$8:$F$206,6,FALSE)</f>
        <v>Chq Bk</v>
      </c>
      <c r="G34" s="209"/>
      <c r="H34" s="191">
        <v>0</v>
      </c>
      <c r="I34" s="864">
        <v>0</v>
      </c>
      <c r="J34" s="191">
        <v>0</v>
      </c>
      <c r="K34" s="864">
        <v>0</v>
      </c>
      <c r="L34" s="191">
        <v>0</v>
      </c>
      <c r="M34" s="864">
        <v>0</v>
      </c>
      <c r="N34" s="191">
        <v>0</v>
      </c>
      <c r="O34" s="864">
        <v>0</v>
      </c>
      <c r="P34" s="212">
        <f t="shared" si="0"/>
        <v>0</v>
      </c>
      <c r="R34" s="33">
        <f t="shared" si="3"/>
        <v>0</v>
      </c>
      <c r="S34" s="33">
        <f t="shared" si="4"/>
        <v>0</v>
      </c>
      <c r="T34" s="58">
        <f t="shared" si="2"/>
        <v>0</v>
      </c>
    </row>
    <row r="35" spans="1:20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Mar 2026'!$A$8:$F$206,6,FALSE)</f>
        <v>Chq Bk</v>
      </c>
      <c r="G35" s="209"/>
      <c r="H35" s="191">
        <v>0</v>
      </c>
      <c r="I35" s="864">
        <v>0</v>
      </c>
      <c r="J35" s="191">
        <v>0</v>
      </c>
      <c r="K35" s="864">
        <v>0</v>
      </c>
      <c r="L35" s="191">
        <v>0</v>
      </c>
      <c r="M35" s="864">
        <v>0</v>
      </c>
      <c r="N35" s="191">
        <v>0</v>
      </c>
      <c r="O35" s="864">
        <v>0</v>
      </c>
      <c r="P35" s="212">
        <f t="shared" si="0"/>
        <v>0</v>
      </c>
      <c r="R35" s="33">
        <f t="shared" si="3"/>
        <v>0</v>
      </c>
      <c r="S35" s="33">
        <f t="shared" si="4"/>
        <v>0</v>
      </c>
      <c r="T35" s="58">
        <f t="shared" si="2"/>
        <v>0</v>
      </c>
    </row>
    <row r="36" spans="1:20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Mar 2026'!$A$8:$F$206,6,FALSE)</f>
        <v>Chq Bk</v>
      </c>
      <c r="G36" s="209"/>
      <c r="H36" s="191">
        <v>4767.74</v>
      </c>
      <c r="I36" s="864">
        <v>-2.7800000000000011</v>
      </c>
      <c r="J36" s="191">
        <v>2742.78</v>
      </c>
      <c r="K36" s="864">
        <v>-38.03</v>
      </c>
      <c r="L36" s="191">
        <v>6968.1614849999951</v>
      </c>
      <c r="M36" s="864">
        <v>-4.8499999999999996</v>
      </c>
      <c r="N36" s="191">
        <v>2248.46</v>
      </c>
      <c r="O36" s="864">
        <v>-48.09</v>
      </c>
      <c r="P36" s="212">
        <f t="shared" si="0"/>
        <v>16633.391484999996</v>
      </c>
      <c r="R36" s="33">
        <f t="shared" si="3"/>
        <v>16727.141484999996</v>
      </c>
      <c r="S36" s="33">
        <f t="shared" si="4"/>
        <v>-93.75</v>
      </c>
      <c r="T36" s="58">
        <f t="shared" si="2"/>
        <v>0</v>
      </c>
    </row>
    <row r="37" spans="1:20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Mar 2026'!$A$8:$F$206,6,FALSE)</f>
        <v>Chq Bk</v>
      </c>
      <c r="G37" s="209"/>
      <c r="H37" s="191">
        <v>0</v>
      </c>
      <c r="I37" s="864">
        <v>0</v>
      </c>
      <c r="J37" s="191">
        <v>0</v>
      </c>
      <c r="K37" s="864">
        <v>0</v>
      </c>
      <c r="L37" s="191">
        <v>0</v>
      </c>
      <c r="M37" s="864">
        <v>0</v>
      </c>
      <c r="N37" s="191">
        <v>0</v>
      </c>
      <c r="O37" s="864">
        <v>0</v>
      </c>
      <c r="P37" s="212">
        <f t="shared" si="0"/>
        <v>0</v>
      </c>
      <c r="R37" s="33">
        <f t="shared" si="3"/>
        <v>0</v>
      </c>
      <c r="S37" s="33">
        <f t="shared" si="4"/>
        <v>0</v>
      </c>
      <c r="T37" s="58">
        <f t="shared" si="2"/>
        <v>0</v>
      </c>
    </row>
    <row r="38" spans="1:20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Mar 2026'!$A$8:$F$206,6,FALSE)</f>
        <v>Chq Bk</v>
      </c>
      <c r="G38" s="209"/>
      <c r="H38" s="191">
        <v>0</v>
      </c>
      <c r="I38" s="864">
        <v>0</v>
      </c>
      <c r="J38" s="191">
        <v>0</v>
      </c>
      <c r="K38" s="864">
        <v>0</v>
      </c>
      <c r="L38" s="191">
        <v>0</v>
      </c>
      <c r="M38" s="864">
        <v>0</v>
      </c>
      <c r="N38" s="191">
        <v>0</v>
      </c>
      <c r="O38" s="864">
        <v>0</v>
      </c>
      <c r="P38" s="212">
        <f t="shared" si="0"/>
        <v>0</v>
      </c>
      <c r="R38" s="33">
        <f t="shared" si="3"/>
        <v>0</v>
      </c>
      <c r="S38" s="33">
        <f t="shared" si="4"/>
        <v>0</v>
      </c>
      <c r="T38" s="58">
        <f t="shared" si="2"/>
        <v>0</v>
      </c>
    </row>
    <row r="39" spans="1:20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Mar 2026'!$A$8:$F$206,6,FALSE)</f>
        <v>Chq Bk</v>
      </c>
      <c r="G39" s="209"/>
      <c r="H39" s="191">
        <v>0</v>
      </c>
      <c r="I39" s="864">
        <v>0</v>
      </c>
      <c r="J39" s="191">
        <v>0</v>
      </c>
      <c r="K39" s="864">
        <v>0</v>
      </c>
      <c r="L39" s="191">
        <v>0</v>
      </c>
      <c r="M39" s="864">
        <v>0</v>
      </c>
      <c r="N39" s="191">
        <v>0</v>
      </c>
      <c r="O39" s="864">
        <v>0</v>
      </c>
      <c r="P39" s="212">
        <f t="shared" ref="P39:P70" si="5">SUM(H39:O39)</f>
        <v>0</v>
      </c>
      <c r="R39" s="33">
        <f t="shared" si="3"/>
        <v>0</v>
      </c>
      <c r="S39" s="33">
        <f t="shared" si="4"/>
        <v>0</v>
      </c>
      <c r="T39" s="58">
        <f t="shared" ref="T39:T70" si="6">SUM(R39:S39)-P39</f>
        <v>0</v>
      </c>
    </row>
    <row r="40" spans="1:20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Mar 2026'!$A$8:$F$206,6,FALSE)</f>
        <v>Chq Bk</v>
      </c>
      <c r="G40" s="209"/>
      <c r="H40" s="191">
        <v>11431.990000000002</v>
      </c>
      <c r="I40" s="864">
        <v>-12.11</v>
      </c>
      <c r="J40" s="191">
        <v>13404.4</v>
      </c>
      <c r="K40" s="864">
        <v>-82.21</v>
      </c>
      <c r="L40" s="191">
        <v>25449.969134998741</v>
      </c>
      <c r="M40" s="864">
        <v>-4.0400000000000205</v>
      </c>
      <c r="N40" s="191">
        <v>10236.01</v>
      </c>
      <c r="O40" s="864">
        <v>-72.66</v>
      </c>
      <c r="P40" s="212">
        <f t="shared" si="5"/>
        <v>60351.349134998738</v>
      </c>
      <c r="R40" s="33">
        <f t="shared" si="3"/>
        <v>60522.369134998742</v>
      </c>
      <c r="S40" s="33">
        <f t="shared" si="4"/>
        <v>-171.02</v>
      </c>
      <c r="T40" s="58">
        <f t="shared" si="6"/>
        <v>0</v>
      </c>
    </row>
    <row r="41" spans="1:20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Mar 2026'!$A$8:$F$206,6,FALSE)</f>
        <v>Chq Bk</v>
      </c>
      <c r="G41" s="209"/>
      <c r="H41" s="191">
        <v>7923.170000000001</v>
      </c>
      <c r="I41" s="864">
        <v>-15.350000000000023</v>
      </c>
      <c r="J41" s="191">
        <v>6411.85</v>
      </c>
      <c r="K41" s="864">
        <v>-46.64</v>
      </c>
      <c r="L41" s="191">
        <v>16077.357914999926</v>
      </c>
      <c r="M41" s="864">
        <v>-49.66</v>
      </c>
      <c r="N41" s="191">
        <v>5329.28</v>
      </c>
      <c r="O41" s="864">
        <v>-62.43</v>
      </c>
      <c r="P41" s="212">
        <f t="shared" si="5"/>
        <v>35567.577914999929</v>
      </c>
      <c r="R41" s="33">
        <f t="shared" si="3"/>
        <v>35741.657914999923</v>
      </c>
      <c r="S41" s="33">
        <f t="shared" si="4"/>
        <v>-174.08</v>
      </c>
      <c r="T41" s="58">
        <f t="shared" si="6"/>
        <v>0</v>
      </c>
    </row>
    <row r="42" spans="1:20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Mar 2026'!$A$8:$F$206,6,FALSE)</f>
        <v>Chq Bk</v>
      </c>
      <c r="G42" s="209"/>
      <c r="H42" s="191">
        <v>2248</v>
      </c>
      <c r="I42" s="864">
        <v>-10.73</v>
      </c>
      <c r="J42" s="191">
        <v>2109.88</v>
      </c>
      <c r="K42" s="864">
        <v>-10.129999999999995</v>
      </c>
      <c r="L42" s="191">
        <v>404.58140499997239</v>
      </c>
      <c r="M42" s="864">
        <v>-5.46</v>
      </c>
      <c r="N42" s="191">
        <v>1107.76</v>
      </c>
      <c r="O42" s="864">
        <v>-37.229999999999997</v>
      </c>
      <c r="P42" s="212">
        <f t="shared" si="5"/>
        <v>5806.6714049999728</v>
      </c>
      <c r="R42" s="33">
        <f t="shared" si="3"/>
        <v>5870.2214049999729</v>
      </c>
      <c r="S42" s="33">
        <f t="shared" si="4"/>
        <v>-63.55</v>
      </c>
      <c r="T42" s="58">
        <f t="shared" si="6"/>
        <v>0</v>
      </c>
    </row>
    <row r="43" spans="1:20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Mar 2026'!$A$8:$F$206,6,FALSE)</f>
        <v>Chq Bk</v>
      </c>
      <c r="G43" s="209"/>
      <c r="H43" s="191">
        <v>4710.17</v>
      </c>
      <c r="I43" s="864">
        <v>-14.689999999999998</v>
      </c>
      <c r="J43" s="191">
        <v>2400.0100000000002</v>
      </c>
      <c r="K43" s="864">
        <v>-36.43</v>
      </c>
      <c r="L43" s="191">
        <v>2617.9827199999681</v>
      </c>
      <c r="M43" s="864">
        <v>-24.490000000000002</v>
      </c>
      <c r="N43" s="191">
        <v>1802.97</v>
      </c>
      <c r="O43" s="864">
        <v>-56.17</v>
      </c>
      <c r="P43" s="212">
        <f t="shared" si="5"/>
        <v>11399.352719999968</v>
      </c>
      <c r="R43" s="33">
        <f t="shared" si="3"/>
        <v>11531.132719999967</v>
      </c>
      <c r="S43" s="33">
        <f t="shared" si="4"/>
        <v>-131.78</v>
      </c>
      <c r="T43" s="58">
        <f t="shared" si="6"/>
        <v>0</v>
      </c>
    </row>
    <row r="44" spans="1:20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Mar 2026'!$A$8:$F$206,6,FALSE)</f>
        <v>Chq Bk</v>
      </c>
      <c r="G44" s="209"/>
      <c r="H44" s="191">
        <v>0</v>
      </c>
      <c r="I44" s="864">
        <v>0</v>
      </c>
      <c r="J44" s="191">
        <v>0</v>
      </c>
      <c r="K44" s="864">
        <v>0</v>
      </c>
      <c r="L44" s="191">
        <v>0</v>
      </c>
      <c r="M44" s="864">
        <v>0</v>
      </c>
      <c r="N44" s="191">
        <v>0</v>
      </c>
      <c r="O44" s="864">
        <v>0</v>
      </c>
      <c r="P44" s="212">
        <f t="shared" si="5"/>
        <v>0</v>
      </c>
      <c r="R44" s="33">
        <f t="shared" si="3"/>
        <v>0</v>
      </c>
      <c r="S44" s="33">
        <f t="shared" si="4"/>
        <v>0</v>
      </c>
      <c r="T44" s="58">
        <f t="shared" si="6"/>
        <v>0</v>
      </c>
    </row>
    <row r="45" spans="1:20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Mar 2026'!$A$8:$F$206,6,FALSE)</f>
        <v>Chq Bk</v>
      </c>
      <c r="G45" s="209"/>
      <c r="H45" s="191">
        <v>0</v>
      </c>
      <c r="I45" s="864">
        <v>0</v>
      </c>
      <c r="J45" s="191">
        <v>0</v>
      </c>
      <c r="K45" s="864">
        <v>0</v>
      </c>
      <c r="L45" s="191">
        <v>0</v>
      </c>
      <c r="M45" s="864">
        <v>0</v>
      </c>
      <c r="N45" s="191">
        <v>0</v>
      </c>
      <c r="O45" s="864">
        <v>0</v>
      </c>
      <c r="P45" s="212">
        <f t="shared" si="5"/>
        <v>0</v>
      </c>
      <c r="R45" s="33">
        <f t="shared" si="3"/>
        <v>0</v>
      </c>
      <c r="S45" s="33">
        <f t="shared" si="4"/>
        <v>0</v>
      </c>
      <c r="T45" s="58">
        <f t="shared" si="6"/>
        <v>0</v>
      </c>
    </row>
    <row r="46" spans="1:20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Mar 2026'!$A$8:$F$206,6,FALSE)</f>
        <v>Chq Bk</v>
      </c>
      <c r="G46" s="209"/>
      <c r="H46" s="191">
        <v>0</v>
      </c>
      <c r="I46" s="864">
        <v>0</v>
      </c>
      <c r="J46" s="191">
        <v>0</v>
      </c>
      <c r="K46" s="864">
        <v>0</v>
      </c>
      <c r="L46" s="191">
        <v>0</v>
      </c>
      <c r="M46" s="864">
        <v>0</v>
      </c>
      <c r="N46" s="191">
        <v>0</v>
      </c>
      <c r="O46" s="864">
        <v>0</v>
      </c>
      <c r="P46" s="212">
        <f t="shared" si="5"/>
        <v>0</v>
      </c>
      <c r="R46" s="33">
        <f t="shared" si="3"/>
        <v>0</v>
      </c>
      <c r="S46" s="33">
        <f t="shared" si="4"/>
        <v>0</v>
      </c>
      <c r="T46" s="58">
        <f t="shared" si="6"/>
        <v>0</v>
      </c>
    </row>
    <row r="47" spans="1:20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Mar 2026'!$A$8:$F$206,6,FALSE)</f>
        <v>Chq Bk</v>
      </c>
      <c r="G47" s="209"/>
      <c r="H47" s="191">
        <v>8073.7999999999993</v>
      </c>
      <c r="I47" s="864">
        <v>-2.3899999999999864</v>
      </c>
      <c r="J47" s="191">
        <v>6600.84</v>
      </c>
      <c r="K47" s="864">
        <v>-43.6</v>
      </c>
      <c r="L47" s="191">
        <v>27317.508494999973</v>
      </c>
      <c r="M47" s="864">
        <v>-3.32</v>
      </c>
      <c r="N47" s="191">
        <v>6462.58</v>
      </c>
      <c r="O47" s="864">
        <v>-45.16</v>
      </c>
      <c r="P47" s="212">
        <f t="shared" si="5"/>
        <v>48360.258494999973</v>
      </c>
      <c r="R47" s="33">
        <f t="shared" si="3"/>
        <v>48454.728494999974</v>
      </c>
      <c r="S47" s="33">
        <f t="shared" ref="S47:S66" si="7">SUMIF($H$3:$O$3,S$6,$H47:$O47)</f>
        <v>-94.469999999999985</v>
      </c>
      <c r="T47" s="58">
        <f t="shared" si="6"/>
        <v>0</v>
      </c>
    </row>
    <row r="48" spans="1:20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Mar 2026'!$A$8:$F$206,6,FALSE)</f>
        <v>Chq Bk</v>
      </c>
      <c r="G48" s="209"/>
      <c r="H48" s="191">
        <v>0</v>
      </c>
      <c r="I48" s="864">
        <v>0</v>
      </c>
      <c r="J48" s="191">
        <v>0</v>
      </c>
      <c r="K48" s="864">
        <v>0</v>
      </c>
      <c r="L48" s="191">
        <v>0</v>
      </c>
      <c r="M48" s="864">
        <v>0</v>
      </c>
      <c r="N48" s="191">
        <v>0</v>
      </c>
      <c r="O48" s="864">
        <v>0</v>
      </c>
      <c r="P48" s="212">
        <f t="shared" si="5"/>
        <v>0</v>
      </c>
      <c r="R48" s="33">
        <f t="shared" si="3"/>
        <v>0</v>
      </c>
      <c r="S48" s="33">
        <f t="shared" si="7"/>
        <v>0</v>
      </c>
      <c r="T48" s="58">
        <f t="shared" si="6"/>
        <v>0</v>
      </c>
    </row>
    <row r="49" spans="1:20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Mar 2026'!$A$8:$F$206,6,FALSE)</f>
        <v>Chq Bk</v>
      </c>
      <c r="G49" s="209"/>
      <c r="H49" s="191">
        <v>4436.34</v>
      </c>
      <c r="I49" s="864">
        <v>-26.509999999999991</v>
      </c>
      <c r="J49" s="191">
        <v>3554.55</v>
      </c>
      <c r="K49" s="864">
        <v>-55.36</v>
      </c>
      <c r="L49" s="191">
        <v>11369.911000000007</v>
      </c>
      <c r="M49" s="864">
        <v>-20.65</v>
      </c>
      <c r="N49" s="191">
        <v>3215.22</v>
      </c>
      <c r="O49" s="864">
        <v>-55.34</v>
      </c>
      <c r="P49" s="212">
        <f t="shared" si="5"/>
        <v>22418.161000000007</v>
      </c>
      <c r="R49" s="33">
        <f t="shared" si="3"/>
        <v>22576.021000000008</v>
      </c>
      <c r="S49" s="33">
        <f t="shared" si="7"/>
        <v>-157.85999999999999</v>
      </c>
      <c r="T49" s="58">
        <f t="shared" si="6"/>
        <v>0</v>
      </c>
    </row>
    <row r="50" spans="1:20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Mar 2026'!$A$8:$F$206,6,FALSE)</f>
        <v>Chq Bk</v>
      </c>
      <c r="G50" s="209"/>
      <c r="H50" s="191">
        <v>3741.13</v>
      </c>
      <c r="I50" s="864">
        <v>-3.5900000000000034</v>
      </c>
      <c r="J50" s="191">
        <v>3893</v>
      </c>
      <c r="K50" s="864">
        <v>-8.6199999999999992</v>
      </c>
      <c r="L50" s="191">
        <v>8157.1213309999857</v>
      </c>
      <c r="M50" s="864">
        <v>-3.88</v>
      </c>
      <c r="N50" s="191">
        <v>2263.13</v>
      </c>
      <c r="O50" s="864">
        <v>-31.23</v>
      </c>
      <c r="P50" s="212">
        <f t="shared" si="5"/>
        <v>18007.061330999986</v>
      </c>
      <c r="R50" s="33">
        <f t="shared" si="3"/>
        <v>18054.381330999986</v>
      </c>
      <c r="S50" s="33">
        <f t="shared" si="7"/>
        <v>-47.320000000000007</v>
      </c>
      <c r="T50" s="58">
        <f t="shared" si="6"/>
        <v>0</v>
      </c>
    </row>
    <row r="51" spans="1:20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Mar 2026'!$A$8:$F$206,6,FALSE)</f>
        <v>Chq Bk</v>
      </c>
      <c r="G51" s="209"/>
      <c r="H51" s="191">
        <v>0</v>
      </c>
      <c r="I51" s="864">
        <v>0</v>
      </c>
      <c r="J51" s="191">
        <v>0</v>
      </c>
      <c r="K51" s="864">
        <v>0</v>
      </c>
      <c r="L51" s="191">
        <v>0</v>
      </c>
      <c r="M51" s="864">
        <v>0</v>
      </c>
      <c r="N51" s="191">
        <v>0</v>
      </c>
      <c r="O51" s="864">
        <v>0</v>
      </c>
      <c r="P51" s="212">
        <f t="shared" si="5"/>
        <v>0</v>
      </c>
      <c r="R51" s="33">
        <f t="shared" si="3"/>
        <v>0</v>
      </c>
      <c r="S51" s="33">
        <f t="shared" si="7"/>
        <v>0</v>
      </c>
      <c r="T51" s="58">
        <f t="shared" si="6"/>
        <v>0</v>
      </c>
    </row>
    <row r="52" spans="1:20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Mar 2026'!$A$8:$F$206,6,FALSE)</f>
        <v>Chq Bk</v>
      </c>
      <c r="G52" s="209"/>
      <c r="H52" s="191">
        <v>0</v>
      </c>
      <c r="I52" s="864">
        <v>0</v>
      </c>
      <c r="J52" s="191">
        <v>0</v>
      </c>
      <c r="K52" s="864">
        <v>0</v>
      </c>
      <c r="L52" s="191">
        <v>0</v>
      </c>
      <c r="M52" s="864">
        <v>0</v>
      </c>
      <c r="N52" s="191">
        <v>0</v>
      </c>
      <c r="O52" s="864">
        <v>0</v>
      </c>
      <c r="P52" s="212">
        <f t="shared" si="5"/>
        <v>0</v>
      </c>
      <c r="R52" s="33">
        <f t="shared" si="3"/>
        <v>0</v>
      </c>
      <c r="S52" s="33">
        <f t="shared" si="7"/>
        <v>0</v>
      </c>
      <c r="T52" s="58">
        <f t="shared" si="6"/>
        <v>0</v>
      </c>
    </row>
    <row r="53" spans="1:20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Mar 2026'!$A$8:$F$206,6,FALSE)</f>
        <v>Chq Bk</v>
      </c>
      <c r="G53" s="209"/>
      <c r="H53" s="191">
        <v>0</v>
      </c>
      <c r="I53" s="864">
        <v>0</v>
      </c>
      <c r="J53" s="191">
        <v>0</v>
      </c>
      <c r="K53" s="864">
        <v>0</v>
      </c>
      <c r="L53" s="191">
        <v>0</v>
      </c>
      <c r="M53" s="864">
        <v>0</v>
      </c>
      <c r="N53" s="191">
        <v>0</v>
      </c>
      <c r="O53" s="864">
        <v>0</v>
      </c>
      <c r="P53" s="212">
        <f t="shared" si="5"/>
        <v>0</v>
      </c>
      <c r="R53" s="33">
        <f t="shared" si="3"/>
        <v>0</v>
      </c>
      <c r="S53" s="33">
        <f t="shared" si="7"/>
        <v>0</v>
      </c>
      <c r="T53" s="58">
        <f t="shared" si="6"/>
        <v>0</v>
      </c>
    </row>
    <row r="54" spans="1:20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Mar 2026'!$A$8:$F$206,6,FALSE)</f>
        <v>Chq Bk</v>
      </c>
      <c r="G54" s="209"/>
      <c r="H54" s="191">
        <v>2818.89</v>
      </c>
      <c r="I54" s="864">
        <v>-4.04</v>
      </c>
      <c r="J54" s="191">
        <v>1609.6800000000003</v>
      </c>
      <c r="K54" s="864">
        <v>-62.55</v>
      </c>
      <c r="L54" s="191">
        <v>3717.666160000018</v>
      </c>
      <c r="M54" s="864">
        <v>-20.7</v>
      </c>
      <c r="N54" s="191">
        <v>1686.97</v>
      </c>
      <c r="O54" s="864">
        <v>-3.85</v>
      </c>
      <c r="P54" s="212">
        <f t="shared" si="5"/>
        <v>9742.0661600000185</v>
      </c>
      <c r="R54" s="33">
        <f t="shared" si="3"/>
        <v>9833.2061600000179</v>
      </c>
      <c r="S54" s="33">
        <f t="shared" si="7"/>
        <v>-91.14</v>
      </c>
      <c r="T54" s="58">
        <f t="shared" si="6"/>
        <v>0</v>
      </c>
    </row>
    <row r="55" spans="1:20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Mar 2026'!$A$8:$F$206,6,FALSE)</f>
        <v>Chq Bk</v>
      </c>
      <c r="G55" s="209"/>
      <c r="H55" s="191">
        <v>0</v>
      </c>
      <c r="I55" s="864">
        <v>0</v>
      </c>
      <c r="J55" s="191">
        <v>0</v>
      </c>
      <c r="K55" s="864">
        <v>0</v>
      </c>
      <c r="L55" s="191">
        <v>0</v>
      </c>
      <c r="M55" s="864">
        <v>0</v>
      </c>
      <c r="N55" s="191">
        <v>0</v>
      </c>
      <c r="O55" s="864">
        <v>0</v>
      </c>
      <c r="P55" s="212">
        <f t="shared" si="5"/>
        <v>0</v>
      </c>
      <c r="R55" s="33">
        <f t="shared" si="3"/>
        <v>0</v>
      </c>
      <c r="S55" s="33">
        <f t="shared" si="7"/>
        <v>0</v>
      </c>
      <c r="T55" s="58">
        <f t="shared" si="6"/>
        <v>0</v>
      </c>
    </row>
    <row r="56" spans="1:20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Mar 2026'!$A$8:$F$206,6,FALSE)</f>
        <v>Chq Bk</v>
      </c>
      <c r="G56" s="209"/>
      <c r="H56" s="191">
        <v>2192.04</v>
      </c>
      <c r="I56" s="864">
        <v>-21.089999999999975</v>
      </c>
      <c r="J56" s="191">
        <v>1412.64</v>
      </c>
      <c r="K56" s="864">
        <v>-41.02</v>
      </c>
      <c r="L56" s="191">
        <v>3645.3239950000038</v>
      </c>
      <c r="M56" s="864">
        <v>-3.37</v>
      </c>
      <c r="N56" s="191">
        <v>1083.55</v>
      </c>
      <c r="O56" s="864">
        <v>-38.75</v>
      </c>
      <c r="P56" s="212">
        <f t="shared" si="5"/>
        <v>8229.3239950000043</v>
      </c>
      <c r="R56" s="33">
        <f t="shared" si="3"/>
        <v>8333.5539950000039</v>
      </c>
      <c r="S56" s="33">
        <f t="shared" si="7"/>
        <v>-104.22999999999998</v>
      </c>
      <c r="T56" s="58">
        <f t="shared" si="6"/>
        <v>0</v>
      </c>
    </row>
    <row r="57" spans="1:20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Mar 2026'!$A$8:$F$206,6,FALSE)</f>
        <v>Chq Bk</v>
      </c>
      <c r="G57" s="209"/>
      <c r="H57" s="191">
        <v>3113.45</v>
      </c>
      <c r="I57" s="864">
        <v>-4.3799999999999955</v>
      </c>
      <c r="J57" s="191">
        <v>2336.14</v>
      </c>
      <c r="K57" s="864">
        <v>-31.85</v>
      </c>
      <c r="L57" s="191">
        <v>1255.1568550000702</v>
      </c>
      <c r="M57" s="864">
        <v>-34.26</v>
      </c>
      <c r="N57" s="191">
        <v>1448.2</v>
      </c>
      <c r="O57" s="864">
        <v>-48.45</v>
      </c>
      <c r="P57" s="212">
        <f t="shared" si="5"/>
        <v>8034.0068550000688</v>
      </c>
      <c r="R57" s="33">
        <f t="shared" si="3"/>
        <v>8152.9468550000702</v>
      </c>
      <c r="S57" s="33">
        <f t="shared" si="7"/>
        <v>-118.94</v>
      </c>
      <c r="T57" s="58">
        <f t="shared" si="6"/>
        <v>0</v>
      </c>
    </row>
    <row r="58" spans="1:20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Mar 2026'!$A$8:$F$206,6,FALSE)</f>
        <v>Chq bk</v>
      </c>
      <c r="G58" s="209"/>
      <c r="H58" s="191">
        <v>0</v>
      </c>
      <c r="I58" s="864">
        <v>0</v>
      </c>
      <c r="J58" s="191">
        <v>0</v>
      </c>
      <c r="K58" s="864">
        <v>0</v>
      </c>
      <c r="L58" s="191">
        <v>0</v>
      </c>
      <c r="M58" s="864">
        <v>0</v>
      </c>
      <c r="N58" s="191">
        <v>0</v>
      </c>
      <c r="O58" s="864">
        <v>0</v>
      </c>
      <c r="P58" s="212">
        <f t="shared" si="5"/>
        <v>0</v>
      </c>
      <c r="R58" s="33">
        <f t="shared" si="3"/>
        <v>0</v>
      </c>
      <c r="S58" s="33">
        <f t="shared" si="7"/>
        <v>0</v>
      </c>
      <c r="T58" s="58">
        <f t="shared" si="6"/>
        <v>0</v>
      </c>
    </row>
    <row r="59" spans="1:20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Mar 2026'!$A$8:$F$206,6,FALSE)</f>
        <v>Chq Bk</v>
      </c>
      <c r="G59" s="209"/>
      <c r="H59" s="191">
        <v>2947.61</v>
      </c>
      <c r="I59" s="864">
        <v>-14.529999999999973</v>
      </c>
      <c r="J59" s="191">
        <v>2182.92</v>
      </c>
      <c r="K59" s="864">
        <v>-27.43</v>
      </c>
      <c r="L59" s="191">
        <v>5053.2454199999911</v>
      </c>
      <c r="M59" s="864">
        <v>-6.37</v>
      </c>
      <c r="N59" s="191">
        <v>1813.72</v>
      </c>
      <c r="O59" s="864">
        <v>-15.21</v>
      </c>
      <c r="P59" s="212">
        <f t="shared" si="5"/>
        <v>11933.955419999991</v>
      </c>
      <c r="R59" s="33">
        <f t="shared" si="3"/>
        <v>11997.49541999999</v>
      </c>
      <c r="S59" s="33">
        <f t="shared" si="7"/>
        <v>-63.539999999999971</v>
      </c>
      <c r="T59" s="58">
        <f t="shared" si="6"/>
        <v>0</v>
      </c>
    </row>
    <row r="60" spans="1:20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Mar 2026'!$A$8:$F$206,6,FALSE)</f>
        <v>Chq Bk</v>
      </c>
      <c r="G60" s="209"/>
      <c r="H60" s="191">
        <v>0</v>
      </c>
      <c r="I60" s="864">
        <v>0</v>
      </c>
      <c r="J60" s="191">
        <v>0</v>
      </c>
      <c r="K60" s="864">
        <v>0</v>
      </c>
      <c r="L60" s="191">
        <v>0</v>
      </c>
      <c r="M60" s="864">
        <v>0</v>
      </c>
      <c r="N60" s="191">
        <v>0</v>
      </c>
      <c r="O60" s="864">
        <v>0</v>
      </c>
      <c r="P60" s="212">
        <f t="shared" si="5"/>
        <v>0</v>
      </c>
      <c r="R60" s="33">
        <f t="shared" si="3"/>
        <v>0</v>
      </c>
      <c r="S60" s="33">
        <f t="shared" si="7"/>
        <v>0</v>
      </c>
      <c r="T60" s="58">
        <f t="shared" si="6"/>
        <v>0</v>
      </c>
    </row>
    <row r="61" spans="1:20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Mar 2026'!$A$8:$F$206,6,FALSE)</f>
        <v>Chq Bk</v>
      </c>
      <c r="G61" s="209"/>
      <c r="H61" s="191">
        <v>3676.3900000000003</v>
      </c>
      <c r="I61" s="864">
        <v>-2.36</v>
      </c>
      <c r="J61" s="191">
        <v>3685.72</v>
      </c>
      <c r="K61" s="864">
        <v>-2.460000000000008</v>
      </c>
      <c r="L61" s="191">
        <v>6570.0587950000554</v>
      </c>
      <c r="M61" s="864">
        <v>-6.58</v>
      </c>
      <c r="N61" s="191">
        <v>2362.29</v>
      </c>
      <c r="O61" s="864">
        <v>-31.37</v>
      </c>
      <c r="P61" s="212">
        <f t="shared" si="5"/>
        <v>16251.688795000055</v>
      </c>
      <c r="R61" s="33">
        <f t="shared" si="3"/>
        <v>16294.458795000057</v>
      </c>
      <c r="S61" s="33">
        <f t="shared" si="7"/>
        <v>-42.77000000000001</v>
      </c>
      <c r="T61" s="58">
        <f t="shared" si="6"/>
        <v>0</v>
      </c>
    </row>
    <row r="62" spans="1:20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Mar 2026'!$A$8:$F$206,6,FALSE)</f>
        <v>Chq Bk</v>
      </c>
      <c r="G62" s="209"/>
      <c r="H62" s="191">
        <v>9667.5800000000017</v>
      </c>
      <c r="I62" s="864">
        <v>-2.0099999999999909</v>
      </c>
      <c r="J62" s="191">
        <v>9225.73</v>
      </c>
      <c r="K62" s="864">
        <v>-2.66</v>
      </c>
      <c r="L62" s="191">
        <v>22477.352849999992</v>
      </c>
      <c r="M62" s="864">
        <v>-6.1099999999999994</v>
      </c>
      <c r="N62" s="191">
        <v>8345.67</v>
      </c>
      <c r="O62" s="864">
        <v>-28.37</v>
      </c>
      <c r="P62" s="212">
        <f t="shared" si="5"/>
        <v>49677.18284999999</v>
      </c>
      <c r="R62" s="33">
        <f t="shared" si="3"/>
        <v>49716.332849999992</v>
      </c>
      <c r="S62" s="33">
        <f t="shared" si="7"/>
        <v>-39.149999999999991</v>
      </c>
      <c r="T62" s="58">
        <f t="shared" si="6"/>
        <v>0</v>
      </c>
    </row>
    <row r="63" spans="1:20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Mar 2026'!$A$8:$F$206,6,FALSE)</f>
        <v>Chq Bk</v>
      </c>
      <c r="G63" s="209"/>
      <c r="H63" s="191">
        <v>4288.83</v>
      </c>
      <c r="I63" s="864">
        <v>-28.569999999999993</v>
      </c>
      <c r="J63" s="191">
        <v>4308.26</v>
      </c>
      <c r="K63" s="864">
        <v>-49.679999999999993</v>
      </c>
      <c r="L63" s="191">
        <v>12667.428719999984</v>
      </c>
      <c r="M63" s="864">
        <v>-8.3000000000000007</v>
      </c>
      <c r="N63" s="191">
        <v>3833.21</v>
      </c>
      <c r="O63" s="864">
        <v>-59.03</v>
      </c>
      <c r="P63" s="212">
        <f t="shared" si="5"/>
        <v>24952.148719999986</v>
      </c>
      <c r="R63" s="33">
        <f t="shared" si="3"/>
        <v>25097.728719999985</v>
      </c>
      <c r="S63" s="33">
        <f t="shared" si="7"/>
        <v>-145.57999999999998</v>
      </c>
      <c r="T63" s="58">
        <f t="shared" si="6"/>
        <v>0</v>
      </c>
    </row>
    <row r="64" spans="1:20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Mar 2026'!$A$8:$F$206,6,FALSE)</f>
        <v>Chq Bk</v>
      </c>
      <c r="G64" s="209"/>
      <c r="H64" s="191">
        <v>0</v>
      </c>
      <c r="I64" s="864">
        <v>0</v>
      </c>
      <c r="J64" s="191">
        <v>0</v>
      </c>
      <c r="K64" s="864">
        <v>0</v>
      </c>
      <c r="L64" s="191">
        <v>0</v>
      </c>
      <c r="M64" s="864">
        <v>0</v>
      </c>
      <c r="N64" s="191">
        <v>0</v>
      </c>
      <c r="O64" s="864">
        <v>0</v>
      </c>
      <c r="P64" s="212">
        <f t="shared" si="5"/>
        <v>0</v>
      </c>
      <c r="R64" s="33">
        <f t="shared" si="3"/>
        <v>0</v>
      </c>
      <c r="S64" s="33">
        <f t="shared" si="7"/>
        <v>0</v>
      </c>
      <c r="T64" s="58">
        <f t="shared" si="6"/>
        <v>0</v>
      </c>
    </row>
    <row r="65" spans="1:20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Mar 2026'!$A$8:$F$206,6,FALSE)</f>
        <v>Chq Bk</v>
      </c>
      <c r="G65" s="209"/>
      <c r="H65" s="191">
        <v>0</v>
      </c>
      <c r="I65" s="864">
        <v>0</v>
      </c>
      <c r="J65" s="191">
        <v>0</v>
      </c>
      <c r="K65" s="864">
        <v>0</v>
      </c>
      <c r="L65" s="191">
        <v>0</v>
      </c>
      <c r="M65" s="864">
        <v>0</v>
      </c>
      <c r="N65" s="191">
        <v>0</v>
      </c>
      <c r="O65" s="864">
        <v>0</v>
      </c>
      <c r="P65" s="212">
        <f t="shared" si="5"/>
        <v>0</v>
      </c>
      <c r="R65" s="33">
        <f t="shared" si="3"/>
        <v>0</v>
      </c>
      <c r="S65" s="33">
        <f t="shared" si="7"/>
        <v>0</v>
      </c>
      <c r="T65" s="58">
        <f t="shared" si="6"/>
        <v>0</v>
      </c>
    </row>
    <row r="66" spans="1:20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Mar 2026'!$A$8:$F$206,6,FALSE)</f>
        <v>Chq Bk</v>
      </c>
      <c r="G66" s="209"/>
      <c r="H66" s="191">
        <v>1879.83</v>
      </c>
      <c r="I66" s="864">
        <v>-24.61</v>
      </c>
      <c r="J66" s="191">
        <v>1500.63</v>
      </c>
      <c r="K66" s="864">
        <v>-19.440000000000001</v>
      </c>
      <c r="L66" s="191">
        <v>4945.9157499999919</v>
      </c>
      <c r="M66" s="864">
        <v>-21.080000000000002</v>
      </c>
      <c r="N66" s="191">
        <v>1543.12</v>
      </c>
      <c r="O66" s="864">
        <v>-3.26</v>
      </c>
      <c r="P66" s="212">
        <f t="shared" si="5"/>
        <v>9801.1057499999933</v>
      </c>
      <c r="R66" s="33">
        <f t="shared" si="3"/>
        <v>9869.4957499999909</v>
      </c>
      <c r="S66" s="33">
        <f t="shared" si="7"/>
        <v>-68.39</v>
      </c>
      <c r="T66" s="58">
        <f t="shared" si="6"/>
        <v>0</v>
      </c>
    </row>
    <row r="67" spans="1:20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Mar 2026'!$A$8:$F$206,6,FALSE)</f>
        <v>Chq Bk</v>
      </c>
      <c r="G67" s="209"/>
      <c r="H67" s="191">
        <v>0</v>
      </c>
      <c r="I67" s="864">
        <v>0</v>
      </c>
      <c r="J67" s="191">
        <v>0</v>
      </c>
      <c r="K67" s="864">
        <v>0</v>
      </c>
      <c r="L67" s="191">
        <v>0</v>
      </c>
      <c r="M67" s="864">
        <v>0</v>
      </c>
      <c r="N67" s="191">
        <v>0</v>
      </c>
      <c r="O67" s="864">
        <v>0</v>
      </c>
      <c r="P67" s="212">
        <f t="shared" si="5"/>
        <v>0</v>
      </c>
      <c r="R67" s="33">
        <f t="shared" si="3"/>
        <v>0</v>
      </c>
      <c r="S67" s="33">
        <f t="shared" ref="S67:S86" si="8">SUMIF($H$3:$O$3,S$6,$H67:$O67)</f>
        <v>0</v>
      </c>
      <c r="T67" s="58">
        <f t="shared" si="6"/>
        <v>0</v>
      </c>
    </row>
    <row r="68" spans="1:20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Mar 2026'!$A$8:$F$206,6,FALSE)</f>
        <v>Chq Bk</v>
      </c>
      <c r="G68" s="209"/>
      <c r="H68" s="191">
        <v>1848.69</v>
      </c>
      <c r="I68" s="864">
        <v>-2.7800000000000011</v>
      </c>
      <c r="J68" s="191">
        <v>1139.92</v>
      </c>
      <c r="K68" s="864">
        <v>-2.73</v>
      </c>
      <c r="L68" s="191">
        <v>2800.4080500000064</v>
      </c>
      <c r="M68" s="864">
        <v>-5.34</v>
      </c>
      <c r="N68" s="191">
        <v>703.39</v>
      </c>
      <c r="O68" s="864">
        <v>-2.97</v>
      </c>
      <c r="P68" s="212">
        <f t="shared" si="5"/>
        <v>6478.5880500000058</v>
      </c>
      <c r="R68" s="33">
        <f t="shared" si="3"/>
        <v>6492.4080500000064</v>
      </c>
      <c r="S68" s="33">
        <f t="shared" si="8"/>
        <v>-13.820000000000002</v>
      </c>
      <c r="T68" s="58">
        <f t="shared" si="6"/>
        <v>0</v>
      </c>
    </row>
    <row r="69" spans="1:20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Mar 2026'!$A$8:$F$206,6,FALSE)</f>
        <v>Chq Bk</v>
      </c>
      <c r="G69" s="209"/>
      <c r="H69" s="191">
        <v>0</v>
      </c>
      <c r="I69" s="864">
        <v>0</v>
      </c>
      <c r="J69" s="191">
        <v>0</v>
      </c>
      <c r="K69" s="864">
        <v>0</v>
      </c>
      <c r="L69" s="191">
        <v>0</v>
      </c>
      <c r="M69" s="864">
        <v>0</v>
      </c>
      <c r="N69" s="191">
        <v>0</v>
      </c>
      <c r="O69" s="864">
        <v>0</v>
      </c>
      <c r="P69" s="212">
        <f t="shared" si="5"/>
        <v>0</v>
      </c>
      <c r="R69" s="33">
        <f t="shared" si="3"/>
        <v>0</v>
      </c>
      <c r="S69" s="33">
        <f t="shared" si="8"/>
        <v>0</v>
      </c>
      <c r="T69" s="58">
        <f t="shared" si="6"/>
        <v>0</v>
      </c>
    </row>
    <row r="70" spans="1:20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Mar 2026'!$A$8:$F$206,6,FALSE)</f>
        <v>Chq Bk</v>
      </c>
      <c r="G70" s="209"/>
      <c r="H70" s="191">
        <v>0</v>
      </c>
      <c r="I70" s="864">
        <v>0</v>
      </c>
      <c r="J70" s="191">
        <v>0</v>
      </c>
      <c r="K70" s="864">
        <v>0</v>
      </c>
      <c r="L70" s="191">
        <v>0</v>
      </c>
      <c r="M70" s="864">
        <v>0</v>
      </c>
      <c r="N70" s="191">
        <v>0</v>
      </c>
      <c r="O70" s="864">
        <v>0</v>
      </c>
      <c r="P70" s="198">
        <f t="shared" si="5"/>
        <v>0</v>
      </c>
      <c r="R70" s="33">
        <f t="shared" si="3"/>
        <v>0</v>
      </c>
      <c r="S70" s="33">
        <f t="shared" si="8"/>
        <v>0</v>
      </c>
      <c r="T70" s="58">
        <f t="shared" si="6"/>
        <v>0</v>
      </c>
    </row>
    <row r="71" spans="1:20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Mar 2026'!$A$8:$F$206,6,FALSE)</f>
        <v>Chq Bk</v>
      </c>
      <c r="G71" s="209"/>
      <c r="H71" s="191">
        <v>0</v>
      </c>
      <c r="I71" s="864">
        <v>0</v>
      </c>
      <c r="J71" s="191">
        <v>0</v>
      </c>
      <c r="K71" s="864">
        <v>0</v>
      </c>
      <c r="L71" s="191">
        <v>0</v>
      </c>
      <c r="M71" s="864">
        <v>0</v>
      </c>
      <c r="N71" s="191">
        <v>0</v>
      </c>
      <c r="O71" s="864">
        <v>0</v>
      </c>
      <c r="P71" s="198">
        <f t="shared" ref="P71:P102" si="9">SUM(H71:O71)</f>
        <v>0</v>
      </c>
      <c r="R71" s="33">
        <f t="shared" si="3"/>
        <v>0</v>
      </c>
      <c r="S71" s="33">
        <f t="shared" si="8"/>
        <v>0</v>
      </c>
      <c r="T71" s="58">
        <f t="shared" ref="T71:T102" si="10">SUM(R71:S71)-P71</f>
        <v>0</v>
      </c>
    </row>
    <row r="72" spans="1:20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Mar 2026'!$A$8:$F$206,6,FALSE)</f>
        <v>Chq Bk</v>
      </c>
      <c r="G72" s="209"/>
      <c r="H72" s="191">
        <v>0</v>
      </c>
      <c r="I72" s="864">
        <v>0</v>
      </c>
      <c r="J72" s="191">
        <v>0</v>
      </c>
      <c r="K72" s="864">
        <v>0</v>
      </c>
      <c r="L72" s="191">
        <v>0</v>
      </c>
      <c r="M72" s="864">
        <v>0</v>
      </c>
      <c r="N72" s="191">
        <v>0</v>
      </c>
      <c r="O72" s="864">
        <v>0</v>
      </c>
      <c r="P72" s="198">
        <f t="shared" si="9"/>
        <v>0</v>
      </c>
      <c r="R72" s="33">
        <f t="shared" si="3"/>
        <v>0</v>
      </c>
      <c r="S72" s="33">
        <f t="shared" si="8"/>
        <v>0</v>
      </c>
      <c r="T72" s="58">
        <f t="shared" si="10"/>
        <v>0</v>
      </c>
    </row>
    <row r="73" spans="1:20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Mar 2026'!$A$8:$F$206,6,FALSE)</f>
        <v>Chq Bk</v>
      </c>
      <c r="G73" s="209"/>
      <c r="H73" s="191">
        <v>1769.76</v>
      </c>
      <c r="I73" s="864">
        <v>-2.1999999999999886</v>
      </c>
      <c r="J73" s="191">
        <v>933.26</v>
      </c>
      <c r="K73" s="864">
        <v>-27.380000000000003</v>
      </c>
      <c r="L73" s="191">
        <v>659.04152000001591</v>
      </c>
      <c r="M73" s="864">
        <v>-6.6300000000000008</v>
      </c>
      <c r="N73" s="191">
        <v>828.01</v>
      </c>
      <c r="O73" s="864">
        <v>-47.76</v>
      </c>
      <c r="P73" s="198">
        <f t="shared" si="9"/>
        <v>4106.1015200000156</v>
      </c>
      <c r="R73" s="33">
        <f t="shared" si="3"/>
        <v>4190.0715200000159</v>
      </c>
      <c r="S73" s="33">
        <f t="shared" si="8"/>
        <v>-83.97</v>
      </c>
      <c r="T73" s="58">
        <f t="shared" si="10"/>
        <v>0</v>
      </c>
    </row>
    <row r="74" spans="1:20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Mar 2026'!$A$8:$F$206,6,FALSE)</f>
        <v>Chq Bk</v>
      </c>
      <c r="G74" s="209"/>
      <c r="H74" s="191">
        <v>0</v>
      </c>
      <c r="I74" s="864">
        <v>0</v>
      </c>
      <c r="J74" s="191">
        <v>0</v>
      </c>
      <c r="K74" s="864">
        <v>0</v>
      </c>
      <c r="L74" s="191">
        <v>0</v>
      </c>
      <c r="M74" s="864">
        <v>0</v>
      </c>
      <c r="N74" s="191">
        <v>0</v>
      </c>
      <c r="O74" s="864">
        <v>0</v>
      </c>
      <c r="P74" s="198">
        <f t="shared" si="9"/>
        <v>0</v>
      </c>
      <c r="R74" s="33">
        <f t="shared" si="3"/>
        <v>0</v>
      </c>
      <c r="S74" s="33">
        <f t="shared" si="8"/>
        <v>0</v>
      </c>
      <c r="T74" s="58">
        <f t="shared" si="10"/>
        <v>0</v>
      </c>
    </row>
    <row r="75" spans="1:20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Mar 2026'!$A$8:$F$206,6,FALSE)</f>
        <v>Chq Bk</v>
      </c>
      <c r="G75" s="209"/>
      <c r="H75" s="191">
        <v>0</v>
      </c>
      <c r="I75" s="864">
        <v>0</v>
      </c>
      <c r="J75" s="191">
        <v>0</v>
      </c>
      <c r="K75" s="864">
        <v>0</v>
      </c>
      <c r="L75" s="191">
        <v>0</v>
      </c>
      <c r="M75" s="864">
        <v>0</v>
      </c>
      <c r="N75" s="191">
        <v>0</v>
      </c>
      <c r="O75" s="864">
        <v>0</v>
      </c>
      <c r="P75" s="198">
        <f t="shared" si="9"/>
        <v>0</v>
      </c>
      <c r="R75" s="33">
        <f t="shared" si="3"/>
        <v>0</v>
      </c>
      <c r="S75" s="33">
        <f t="shared" si="8"/>
        <v>0</v>
      </c>
      <c r="T75" s="58">
        <f t="shared" si="10"/>
        <v>0</v>
      </c>
    </row>
    <row r="76" spans="1:20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Mar 2026'!$A$8:$F$206,6,FALSE)</f>
        <v>Chq Bk</v>
      </c>
      <c r="G76" s="209"/>
      <c r="H76" s="191">
        <v>0</v>
      </c>
      <c r="I76" s="864">
        <v>0</v>
      </c>
      <c r="J76" s="191">
        <v>0</v>
      </c>
      <c r="K76" s="864">
        <v>0</v>
      </c>
      <c r="L76" s="191">
        <v>0</v>
      </c>
      <c r="M76" s="864">
        <v>0</v>
      </c>
      <c r="N76" s="191">
        <v>0</v>
      </c>
      <c r="O76" s="864">
        <v>0</v>
      </c>
      <c r="P76" s="198">
        <f t="shared" si="9"/>
        <v>0</v>
      </c>
      <c r="R76" s="33">
        <f t="shared" si="3"/>
        <v>0</v>
      </c>
      <c r="S76" s="33">
        <f t="shared" si="8"/>
        <v>0</v>
      </c>
      <c r="T76" s="58">
        <f t="shared" si="10"/>
        <v>0</v>
      </c>
    </row>
    <row r="77" spans="1:20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Mar 2026'!$A$8:$F$206,6,FALSE)</f>
        <v>Chq Bk</v>
      </c>
      <c r="G77" s="209"/>
      <c r="H77" s="191">
        <v>2300.4499999999998</v>
      </c>
      <c r="I77" s="864">
        <v>-2.42</v>
      </c>
      <c r="J77" s="191">
        <v>1533.16</v>
      </c>
      <c r="K77" s="864">
        <v>-2.93</v>
      </c>
      <c r="L77" s="191">
        <v>3416.1444750000269</v>
      </c>
      <c r="M77" s="864">
        <v>-3.7</v>
      </c>
      <c r="N77" s="191">
        <v>1264.8</v>
      </c>
      <c r="O77" s="864">
        <v>-3.23</v>
      </c>
      <c r="P77" s="198">
        <f t="shared" si="9"/>
        <v>8502.2744750000275</v>
      </c>
      <c r="R77" s="33">
        <f t="shared" si="3"/>
        <v>8514.5544750000263</v>
      </c>
      <c r="S77" s="33">
        <f t="shared" si="8"/>
        <v>-12.280000000000001</v>
      </c>
      <c r="T77" s="58">
        <f t="shared" si="10"/>
        <v>0</v>
      </c>
    </row>
    <row r="78" spans="1:20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Mar 2026'!$A$8:$F$206,6,FALSE)</f>
        <v>Chq Bk</v>
      </c>
      <c r="G78" s="209"/>
      <c r="H78" s="191">
        <v>2720.88</v>
      </c>
      <c r="I78" s="864">
        <v>-2.06</v>
      </c>
      <c r="J78" s="191">
        <v>1983.23</v>
      </c>
      <c r="K78" s="864">
        <v>-2.9</v>
      </c>
      <c r="L78" s="191">
        <v>6845.9640700000054</v>
      </c>
      <c r="M78" s="864">
        <v>-2.42</v>
      </c>
      <c r="N78" s="191">
        <v>1760.3</v>
      </c>
      <c r="O78" s="864">
        <v>-2.93</v>
      </c>
      <c r="P78" s="198">
        <f t="shared" si="9"/>
        <v>13300.064070000006</v>
      </c>
      <c r="R78" s="33">
        <f t="shared" si="3"/>
        <v>13310.374070000005</v>
      </c>
      <c r="S78" s="33">
        <f t="shared" si="8"/>
        <v>-10.31</v>
      </c>
      <c r="T78" s="58">
        <f t="shared" si="10"/>
        <v>0</v>
      </c>
    </row>
    <row r="79" spans="1:20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Mar 2026'!$A$8:$F$206,6,FALSE)</f>
        <v>Chq Bk</v>
      </c>
      <c r="G79" s="209"/>
      <c r="H79" s="191">
        <v>3132.42</v>
      </c>
      <c r="I79" s="864">
        <v>-2.1</v>
      </c>
      <c r="J79" s="191">
        <v>2040.11</v>
      </c>
      <c r="K79" s="864">
        <v>-4.12</v>
      </c>
      <c r="L79" s="191">
        <v>7499.4675800000714</v>
      </c>
      <c r="M79" s="864">
        <v>-6.07</v>
      </c>
      <c r="N79" s="191">
        <v>1873.5</v>
      </c>
      <c r="O79" s="864">
        <v>-4.83</v>
      </c>
      <c r="P79" s="198">
        <f t="shared" si="9"/>
        <v>14528.377580000071</v>
      </c>
      <c r="R79" s="33">
        <f t="shared" si="3"/>
        <v>14545.497580000072</v>
      </c>
      <c r="S79" s="33">
        <f t="shared" si="8"/>
        <v>-17.12</v>
      </c>
      <c r="T79" s="58">
        <f t="shared" si="10"/>
        <v>0</v>
      </c>
    </row>
    <row r="80" spans="1:20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Mar 2026'!$A$8:$F$206,6,FALSE)</f>
        <v>Chq Bk</v>
      </c>
      <c r="G80" s="209"/>
      <c r="H80" s="191">
        <v>3058.96</v>
      </c>
      <c r="I80" s="864">
        <v>-7.38</v>
      </c>
      <c r="J80" s="191">
        <v>2278.37</v>
      </c>
      <c r="K80" s="864">
        <v>-9.42</v>
      </c>
      <c r="L80" s="191">
        <v>9067.8669799999825</v>
      </c>
      <c r="M80" s="864">
        <v>-7.3599999999999994</v>
      </c>
      <c r="N80" s="191">
        <v>2051.0300000000002</v>
      </c>
      <c r="O80" s="864">
        <v>-3.52</v>
      </c>
      <c r="P80" s="198">
        <f t="shared" si="9"/>
        <v>16428.546979999981</v>
      </c>
      <c r="R80" s="33">
        <f t="shared" si="3"/>
        <v>16456.226979999981</v>
      </c>
      <c r="S80" s="33">
        <f t="shared" si="8"/>
        <v>-27.68</v>
      </c>
      <c r="T80" s="58">
        <f t="shared" si="10"/>
        <v>0</v>
      </c>
    </row>
    <row r="81" spans="1:20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Mar 2026'!$A$8:$F$206,6,FALSE)</f>
        <v>Chq Bk</v>
      </c>
      <c r="G81" s="209"/>
      <c r="H81" s="191">
        <v>7078.9999999999991</v>
      </c>
      <c r="I81" s="864">
        <v>-14.800000000000011</v>
      </c>
      <c r="J81" s="191">
        <v>8246.9</v>
      </c>
      <c r="K81" s="864">
        <v>-67.39</v>
      </c>
      <c r="L81" s="191">
        <v>18935.34448999997</v>
      </c>
      <c r="M81" s="864">
        <v>-13.620000000000001</v>
      </c>
      <c r="N81" s="191">
        <v>6704.04</v>
      </c>
      <c r="O81" s="864">
        <v>-55.85</v>
      </c>
      <c r="P81" s="198">
        <f t="shared" si="9"/>
        <v>40813.624489999966</v>
      </c>
      <c r="R81" s="33">
        <f t="shared" si="3"/>
        <v>40965.284489999969</v>
      </c>
      <c r="S81" s="33">
        <f t="shared" si="8"/>
        <v>-151.66000000000003</v>
      </c>
      <c r="T81" s="58">
        <f t="shared" si="10"/>
        <v>0</v>
      </c>
    </row>
    <row r="82" spans="1:20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Mar 2026'!$A$8:$F$206,6,FALSE)</f>
        <v>Chq Bk</v>
      </c>
      <c r="G82" s="209"/>
      <c r="H82" s="191">
        <v>0</v>
      </c>
      <c r="I82" s="864">
        <v>0</v>
      </c>
      <c r="J82" s="191">
        <v>0</v>
      </c>
      <c r="K82" s="864">
        <v>0</v>
      </c>
      <c r="L82" s="191">
        <v>0</v>
      </c>
      <c r="M82" s="864">
        <v>0</v>
      </c>
      <c r="N82" s="191">
        <v>0</v>
      </c>
      <c r="O82" s="864">
        <v>0</v>
      </c>
      <c r="P82" s="198">
        <f t="shared" si="9"/>
        <v>0</v>
      </c>
      <c r="R82" s="33">
        <f t="shared" si="3"/>
        <v>0</v>
      </c>
      <c r="S82" s="33">
        <f t="shared" si="8"/>
        <v>0</v>
      </c>
      <c r="T82" s="58">
        <f t="shared" si="10"/>
        <v>0</v>
      </c>
    </row>
    <row r="83" spans="1:20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Mar 2026'!$A$8:$F$206,6,FALSE)</f>
        <v>Chq Bk</v>
      </c>
      <c r="G83" s="209"/>
      <c r="H83" s="191">
        <v>2243.0500000000002</v>
      </c>
      <c r="I83" s="864">
        <v>-16.110000000000014</v>
      </c>
      <c r="J83" s="191">
        <v>2079.3200000000002</v>
      </c>
      <c r="K83" s="864">
        <v>-31.25</v>
      </c>
      <c r="L83" s="191">
        <v>0</v>
      </c>
      <c r="M83" s="864">
        <v>-27.14</v>
      </c>
      <c r="N83" s="191">
        <v>64.569999999999993</v>
      </c>
      <c r="O83" s="864">
        <v>-41.11</v>
      </c>
      <c r="P83" s="198">
        <f t="shared" si="9"/>
        <v>4271.33</v>
      </c>
      <c r="R83" s="33">
        <f t="shared" si="3"/>
        <v>4386.9400000000005</v>
      </c>
      <c r="S83" s="33">
        <f t="shared" si="8"/>
        <v>-115.61000000000001</v>
      </c>
      <c r="T83" s="58">
        <f t="shared" si="10"/>
        <v>0</v>
      </c>
    </row>
    <row r="84" spans="1:20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Mar 2026'!$A$8:$F$206,6,FALSE)</f>
        <v>Chq Bk</v>
      </c>
      <c r="G84" s="209"/>
      <c r="H84" s="191">
        <v>0</v>
      </c>
      <c r="I84" s="864">
        <v>0</v>
      </c>
      <c r="J84" s="191">
        <v>0</v>
      </c>
      <c r="K84" s="864">
        <v>0</v>
      </c>
      <c r="L84" s="191">
        <v>0</v>
      </c>
      <c r="M84" s="864">
        <v>0</v>
      </c>
      <c r="N84" s="191">
        <v>0</v>
      </c>
      <c r="O84" s="864">
        <v>0</v>
      </c>
      <c r="P84" s="198">
        <f t="shared" si="9"/>
        <v>0</v>
      </c>
      <c r="R84" s="33">
        <f t="shared" si="3"/>
        <v>0</v>
      </c>
      <c r="S84" s="33">
        <f t="shared" si="8"/>
        <v>0</v>
      </c>
      <c r="T84" s="58">
        <f t="shared" si="10"/>
        <v>0</v>
      </c>
    </row>
    <row r="85" spans="1:20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Mar 2026'!$A$8:$F$206,6,FALSE)</f>
        <v>Chq Bk</v>
      </c>
      <c r="G85" s="209"/>
      <c r="H85" s="191">
        <v>0</v>
      </c>
      <c r="I85" s="864">
        <v>0</v>
      </c>
      <c r="J85" s="191">
        <v>0</v>
      </c>
      <c r="K85" s="864">
        <v>0</v>
      </c>
      <c r="L85" s="191">
        <v>0</v>
      </c>
      <c r="M85" s="864">
        <v>0</v>
      </c>
      <c r="N85" s="191">
        <v>0</v>
      </c>
      <c r="O85" s="864">
        <v>0</v>
      </c>
      <c r="P85" s="198">
        <f t="shared" si="9"/>
        <v>0</v>
      </c>
      <c r="R85" s="33">
        <f t="shared" si="3"/>
        <v>0</v>
      </c>
      <c r="S85" s="33">
        <f t="shared" si="8"/>
        <v>0</v>
      </c>
      <c r="T85" s="58">
        <f t="shared" si="10"/>
        <v>0</v>
      </c>
    </row>
    <row r="86" spans="1:20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Mar 2026'!$A$8:$F$206,6,FALSE)</f>
        <v>Chq Bk</v>
      </c>
      <c r="G86" s="209"/>
      <c r="H86" s="191">
        <v>0</v>
      </c>
      <c r="I86" s="864">
        <v>0</v>
      </c>
      <c r="J86" s="191">
        <v>0</v>
      </c>
      <c r="K86" s="864">
        <v>0</v>
      </c>
      <c r="L86" s="191">
        <v>0</v>
      </c>
      <c r="M86" s="864">
        <v>0</v>
      </c>
      <c r="N86" s="191">
        <v>0</v>
      </c>
      <c r="O86" s="864">
        <v>0</v>
      </c>
      <c r="P86" s="198">
        <f t="shared" si="9"/>
        <v>0</v>
      </c>
      <c r="R86" s="33">
        <f t="shared" si="3"/>
        <v>0</v>
      </c>
      <c r="S86" s="33">
        <f t="shared" si="8"/>
        <v>0</v>
      </c>
      <c r="T86" s="58">
        <f t="shared" si="10"/>
        <v>0</v>
      </c>
    </row>
    <row r="87" spans="1:20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Mar 2026'!$A$8:$F$206,6,FALSE)</f>
        <v>Chq Bk</v>
      </c>
      <c r="G87" s="209"/>
      <c r="H87" s="191">
        <v>3627.6</v>
      </c>
      <c r="I87" s="864">
        <v>-6.27</v>
      </c>
      <c r="J87" s="191">
        <v>3269.76</v>
      </c>
      <c r="K87" s="864">
        <v>-3.9700000000000006</v>
      </c>
      <c r="L87" s="191">
        <v>6691.39</v>
      </c>
      <c r="M87" s="864">
        <v>-56.72</v>
      </c>
      <c r="N87" s="191">
        <v>2058.61</v>
      </c>
      <c r="O87" s="864">
        <v>-6.56</v>
      </c>
      <c r="P87" s="198">
        <f t="shared" si="9"/>
        <v>15573.840000000002</v>
      </c>
      <c r="R87" s="33">
        <f t="shared" si="3"/>
        <v>15647.36</v>
      </c>
      <c r="S87" s="33">
        <f t="shared" ref="S87:S106" si="11">SUMIF($H$3:$O$3,S$6,$H87:$O87)</f>
        <v>-73.52</v>
      </c>
      <c r="T87" s="58">
        <f t="shared" si="10"/>
        <v>0</v>
      </c>
    </row>
    <row r="88" spans="1:20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Mar 2026'!$A$8:$F$206,6,FALSE)</f>
        <v>Chq Bk</v>
      </c>
      <c r="G88" s="209"/>
      <c r="H88" s="191">
        <v>4189.84</v>
      </c>
      <c r="I88" s="864">
        <v>-30.69</v>
      </c>
      <c r="J88" s="191">
        <v>3743.29</v>
      </c>
      <c r="K88" s="864">
        <v>-34.079999999999984</v>
      </c>
      <c r="L88" s="191">
        <v>11646.782829999995</v>
      </c>
      <c r="M88" s="864">
        <v>-1.3199999999999998</v>
      </c>
      <c r="N88" s="191">
        <v>3027.79</v>
      </c>
      <c r="O88" s="864">
        <v>-52.06</v>
      </c>
      <c r="P88" s="198">
        <f t="shared" si="9"/>
        <v>22489.552829999997</v>
      </c>
      <c r="R88" s="33">
        <f t="shared" si="3"/>
        <v>22607.702829999995</v>
      </c>
      <c r="S88" s="33">
        <f t="shared" si="11"/>
        <v>-118.14999999999998</v>
      </c>
      <c r="T88" s="58">
        <f t="shared" si="10"/>
        <v>0</v>
      </c>
    </row>
    <row r="89" spans="1:20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Mar 2026'!$A$8:$F$206,6,FALSE)</f>
        <v>Chq Bk</v>
      </c>
      <c r="G89" s="209"/>
      <c r="H89" s="191">
        <v>0</v>
      </c>
      <c r="I89" s="864">
        <v>0</v>
      </c>
      <c r="J89" s="191">
        <v>0</v>
      </c>
      <c r="K89" s="864">
        <v>0</v>
      </c>
      <c r="L89" s="191">
        <v>0</v>
      </c>
      <c r="M89" s="864">
        <v>0</v>
      </c>
      <c r="N89" s="191">
        <v>0</v>
      </c>
      <c r="O89" s="864">
        <v>0</v>
      </c>
      <c r="P89" s="198">
        <f t="shared" si="9"/>
        <v>0</v>
      </c>
      <c r="R89" s="33">
        <f t="shared" si="3"/>
        <v>0</v>
      </c>
      <c r="S89" s="33">
        <f t="shared" si="11"/>
        <v>0</v>
      </c>
      <c r="T89" s="58">
        <f t="shared" si="10"/>
        <v>0</v>
      </c>
    </row>
    <row r="90" spans="1:20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Mar 2026'!$A$8:$F$207,6,FALSE)</f>
        <v>Academy</v>
      </c>
      <c r="G90" s="209"/>
      <c r="H90" s="191">
        <v>0</v>
      </c>
      <c r="I90" s="864">
        <v>0</v>
      </c>
      <c r="J90" s="191"/>
      <c r="K90" s="864"/>
      <c r="L90" s="191">
        <v>0</v>
      </c>
      <c r="M90" s="864">
        <v>0</v>
      </c>
      <c r="N90" s="191">
        <v>0</v>
      </c>
      <c r="O90" s="864">
        <v>0</v>
      </c>
      <c r="P90" s="198">
        <f t="shared" si="9"/>
        <v>0</v>
      </c>
      <c r="R90" s="33">
        <f t="shared" si="3"/>
        <v>0</v>
      </c>
      <c r="S90" s="33">
        <f t="shared" si="11"/>
        <v>0</v>
      </c>
      <c r="T90" s="58">
        <f t="shared" si="10"/>
        <v>0</v>
      </c>
    </row>
    <row r="91" spans="1:20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Mar 2026'!$A$8:$F$206,6,FALSE)</f>
        <v>Chq Bk</v>
      </c>
      <c r="G91" s="209"/>
      <c r="H91" s="191">
        <v>1408.6500000000003</v>
      </c>
      <c r="I91" s="864">
        <v>-32.44</v>
      </c>
      <c r="J91" s="191">
        <v>1293.1199999999999</v>
      </c>
      <c r="K91" s="864">
        <v>-38.729999999999997</v>
      </c>
      <c r="L91" s="191">
        <v>4525.7564299999976</v>
      </c>
      <c r="M91" s="864">
        <v>-0.94999999999998863</v>
      </c>
      <c r="N91" s="191">
        <v>1280.02</v>
      </c>
      <c r="O91" s="864">
        <v>-39.01</v>
      </c>
      <c r="P91" s="198">
        <f t="shared" si="9"/>
        <v>8396.4164299999975</v>
      </c>
      <c r="R91" s="33">
        <f t="shared" ref="R91:R154" si="12">SUMIF($H$3:$O$3,R$6,$H91:$O91)</f>
        <v>8507.5464299999985</v>
      </c>
      <c r="S91" s="33">
        <f t="shared" si="11"/>
        <v>-111.12999999999997</v>
      </c>
      <c r="T91" s="58">
        <f t="shared" si="10"/>
        <v>0</v>
      </c>
    </row>
    <row r="92" spans="1:20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Mar 2026'!$A$8:$F$206,6,FALSE)</f>
        <v>Chq Bk</v>
      </c>
      <c r="G92" s="209"/>
      <c r="H92" s="191">
        <v>0</v>
      </c>
      <c r="I92" s="864">
        <v>0</v>
      </c>
      <c r="J92" s="191">
        <v>0</v>
      </c>
      <c r="K92" s="864">
        <v>0</v>
      </c>
      <c r="L92" s="191">
        <v>0</v>
      </c>
      <c r="M92" s="864">
        <v>0</v>
      </c>
      <c r="N92" s="191">
        <v>0</v>
      </c>
      <c r="O92" s="864">
        <v>0</v>
      </c>
      <c r="P92" s="198">
        <f t="shared" si="9"/>
        <v>0</v>
      </c>
      <c r="R92" s="33">
        <f t="shared" si="12"/>
        <v>0</v>
      </c>
      <c r="S92" s="33">
        <f t="shared" si="11"/>
        <v>0</v>
      </c>
      <c r="T92" s="58">
        <f t="shared" si="10"/>
        <v>0</v>
      </c>
    </row>
    <row r="93" spans="1:20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Mar 2026'!$A$8:$F$206,6,FALSE)</f>
        <v>Chq Bk</v>
      </c>
      <c r="G93" s="209"/>
      <c r="H93" s="191">
        <v>997.55</v>
      </c>
      <c r="I93" s="864">
        <v>-2.41</v>
      </c>
      <c r="J93" s="191">
        <v>882.32</v>
      </c>
      <c r="K93" s="864">
        <v>-6.19</v>
      </c>
      <c r="L93" s="191">
        <v>0</v>
      </c>
      <c r="M93" s="864">
        <v>-0.3</v>
      </c>
      <c r="N93" s="191">
        <v>496.86</v>
      </c>
      <c r="O93" s="864">
        <v>-3.85</v>
      </c>
      <c r="P93" s="198">
        <f t="shared" si="9"/>
        <v>2363.98</v>
      </c>
      <c r="R93" s="33">
        <f t="shared" si="12"/>
        <v>2376.73</v>
      </c>
      <c r="S93" s="33">
        <f t="shared" si="11"/>
        <v>-12.750000000000002</v>
      </c>
      <c r="T93" s="58">
        <f t="shared" si="10"/>
        <v>0</v>
      </c>
    </row>
    <row r="94" spans="1:20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Mar 2026'!$A$8:$F$206,6,FALSE)</f>
        <v>Chq Bk</v>
      </c>
      <c r="G94" s="209"/>
      <c r="H94" s="191">
        <v>0</v>
      </c>
      <c r="I94" s="864">
        <v>0</v>
      </c>
      <c r="J94" s="191">
        <v>0</v>
      </c>
      <c r="K94" s="864">
        <v>0</v>
      </c>
      <c r="L94" s="191">
        <v>0</v>
      </c>
      <c r="M94" s="864">
        <v>0</v>
      </c>
      <c r="N94" s="191">
        <v>0</v>
      </c>
      <c r="O94" s="864">
        <v>0</v>
      </c>
      <c r="P94" s="198">
        <f t="shared" si="9"/>
        <v>0</v>
      </c>
      <c r="R94" s="33">
        <f t="shared" si="12"/>
        <v>0</v>
      </c>
      <c r="S94" s="33">
        <f t="shared" si="11"/>
        <v>0</v>
      </c>
      <c r="T94" s="58">
        <f t="shared" si="10"/>
        <v>0</v>
      </c>
    </row>
    <row r="95" spans="1:20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Mar 2026'!$A$8:$F$206,6,FALSE)</f>
        <v>Chq Bk</v>
      </c>
      <c r="G95" s="209"/>
      <c r="H95" s="191">
        <v>8002.26</v>
      </c>
      <c r="I95" s="864">
        <v>-2.69</v>
      </c>
      <c r="J95" s="191">
        <v>6426</v>
      </c>
      <c r="K95" s="864">
        <v>-2.79</v>
      </c>
      <c r="L95" s="191">
        <v>18493.404900000063</v>
      </c>
      <c r="M95" s="864">
        <v>-18.48</v>
      </c>
      <c r="N95" s="191">
        <v>6201.49</v>
      </c>
      <c r="O95" s="864">
        <v>-2.86</v>
      </c>
      <c r="P95" s="198">
        <f t="shared" si="9"/>
        <v>39096.33490000006</v>
      </c>
      <c r="R95" s="33">
        <f t="shared" si="12"/>
        <v>39123.15490000006</v>
      </c>
      <c r="S95" s="33">
        <f t="shared" si="11"/>
        <v>-26.82</v>
      </c>
      <c r="T95" s="58">
        <f t="shared" si="10"/>
        <v>0</v>
      </c>
    </row>
    <row r="96" spans="1:20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Mar 2026'!$A$8:$F$206,6,FALSE)</f>
        <v>Chq Bk</v>
      </c>
      <c r="G96" s="209"/>
      <c r="H96" s="191">
        <v>6803.17</v>
      </c>
      <c r="I96" s="864">
        <v>-252.28</v>
      </c>
      <c r="J96" s="191">
        <v>5007.5200000000004</v>
      </c>
      <c r="K96" s="864">
        <v>-28.36</v>
      </c>
      <c r="L96" s="191">
        <v>27663.731409999975</v>
      </c>
      <c r="M96" s="864">
        <v>-3.25</v>
      </c>
      <c r="N96" s="191">
        <v>4243.1400000000003</v>
      </c>
      <c r="O96" s="864">
        <v>-41.2</v>
      </c>
      <c r="P96" s="198">
        <f t="shared" si="9"/>
        <v>43392.471409999976</v>
      </c>
      <c r="R96" s="33">
        <f t="shared" si="12"/>
        <v>43717.561409999973</v>
      </c>
      <c r="S96" s="33">
        <f t="shared" si="11"/>
        <v>-325.08999999999997</v>
      </c>
      <c r="T96" s="58">
        <f t="shared" si="10"/>
        <v>0</v>
      </c>
    </row>
    <row r="97" spans="1:20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Mar 2026'!$A$8:$F$206,6,FALSE)</f>
        <v>Chq Bk</v>
      </c>
      <c r="G97" s="209"/>
      <c r="H97" s="191">
        <v>0</v>
      </c>
      <c r="I97" s="864">
        <v>0</v>
      </c>
      <c r="J97" s="191">
        <v>0</v>
      </c>
      <c r="K97" s="864">
        <v>0</v>
      </c>
      <c r="L97" s="191">
        <v>0</v>
      </c>
      <c r="M97" s="864">
        <v>0</v>
      </c>
      <c r="N97" s="191">
        <v>0</v>
      </c>
      <c r="O97" s="864">
        <v>0</v>
      </c>
      <c r="P97" s="198">
        <f t="shared" si="9"/>
        <v>0</v>
      </c>
      <c r="R97" s="33">
        <f t="shared" si="12"/>
        <v>0</v>
      </c>
      <c r="S97" s="33">
        <f t="shared" si="11"/>
        <v>0</v>
      </c>
      <c r="T97" s="58">
        <f t="shared" si="10"/>
        <v>0</v>
      </c>
    </row>
    <row r="98" spans="1:20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Mar 2026'!$A$8:$F$206,6,FALSE)</f>
        <v>Chq Bk</v>
      </c>
      <c r="G98" s="209"/>
      <c r="H98" s="191">
        <v>0</v>
      </c>
      <c r="I98" s="864">
        <v>0</v>
      </c>
      <c r="J98" s="191">
        <v>0</v>
      </c>
      <c r="K98" s="864">
        <v>0</v>
      </c>
      <c r="L98" s="191">
        <v>0</v>
      </c>
      <c r="M98" s="864">
        <v>0</v>
      </c>
      <c r="N98" s="191">
        <v>0</v>
      </c>
      <c r="O98" s="864">
        <v>0</v>
      </c>
      <c r="P98" s="198">
        <f t="shared" si="9"/>
        <v>0</v>
      </c>
      <c r="R98" s="33">
        <f t="shared" si="12"/>
        <v>0</v>
      </c>
      <c r="S98" s="33">
        <f t="shared" si="11"/>
        <v>0</v>
      </c>
      <c r="T98" s="58">
        <f t="shared" si="10"/>
        <v>0</v>
      </c>
    </row>
    <row r="99" spans="1:20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Mar 2026'!$A$8:$F$206,6,FALSE)</f>
        <v>Academy</v>
      </c>
      <c r="G99" s="209"/>
      <c r="H99" s="191">
        <v>0</v>
      </c>
      <c r="I99" s="864">
        <v>0</v>
      </c>
      <c r="J99" s="191"/>
      <c r="K99" s="864"/>
      <c r="L99" s="191">
        <v>0</v>
      </c>
      <c r="M99" s="864">
        <v>0</v>
      </c>
      <c r="N99" s="191">
        <v>0</v>
      </c>
      <c r="O99" s="864">
        <v>0</v>
      </c>
      <c r="P99" s="198">
        <f t="shared" si="9"/>
        <v>0</v>
      </c>
      <c r="R99" s="33">
        <f t="shared" si="12"/>
        <v>0</v>
      </c>
      <c r="S99" s="33">
        <f t="shared" si="11"/>
        <v>0</v>
      </c>
      <c r="T99" s="58">
        <f t="shared" si="10"/>
        <v>0</v>
      </c>
    </row>
    <row r="100" spans="1:20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Mar 2026'!$A$8:$F$206,6,FALSE)</f>
        <v>Chq Bk</v>
      </c>
      <c r="G100" s="209"/>
      <c r="H100" s="191">
        <v>3152.33</v>
      </c>
      <c r="I100" s="864">
        <v>-4.3199999999999932</v>
      </c>
      <c r="J100" s="191">
        <v>2396.4</v>
      </c>
      <c r="K100" s="864">
        <v>-18.91</v>
      </c>
      <c r="L100" s="191">
        <v>6206.827284999993</v>
      </c>
      <c r="M100" s="864">
        <v>-28.759999999999998</v>
      </c>
      <c r="N100" s="191">
        <v>1800.52</v>
      </c>
      <c r="O100" s="864">
        <v>-43.76</v>
      </c>
      <c r="P100" s="198">
        <f t="shared" si="9"/>
        <v>13460.327284999992</v>
      </c>
      <c r="R100" s="33">
        <f t="shared" si="12"/>
        <v>13556.077284999992</v>
      </c>
      <c r="S100" s="33">
        <f t="shared" si="11"/>
        <v>-95.75</v>
      </c>
      <c r="T100" s="58">
        <f t="shared" si="10"/>
        <v>0</v>
      </c>
    </row>
    <row r="101" spans="1:20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Mar 2026'!$A$8:$F$206,6,FALSE)</f>
        <v>Chq Bk</v>
      </c>
      <c r="G101" s="209"/>
      <c r="H101" s="191">
        <v>2743.7500000000005</v>
      </c>
      <c r="I101" s="864">
        <v>-6.81</v>
      </c>
      <c r="J101" s="191">
        <v>2947.95</v>
      </c>
      <c r="K101" s="864">
        <v>-12.260000000000002</v>
      </c>
      <c r="L101" s="191">
        <v>7373.9009700000006</v>
      </c>
      <c r="M101" s="864">
        <v>-18.98</v>
      </c>
      <c r="N101" s="191">
        <v>2076.96</v>
      </c>
      <c r="O101" s="864">
        <v>-12.13</v>
      </c>
      <c r="P101" s="198">
        <f t="shared" si="9"/>
        <v>15092.38097</v>
      </c>
      <c r="R101" s="33">
        <f t="shared" si="12"/>
        <v>15142.560970000002</v>
      </c>
      <c r="S101" s="33">
        <f t="shared" si="11"/>
        <v>-50.18</v>
      </c>
      <c r="T101" s="58">
        <f t="shared" si="10"/>
        <v>0</v>
      </c>
    </row>
    <row r="102" spans="1:20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Mar 2026'!$A$8:$F$206,6,FALSE)</f>
        <v>Chq Bk</v>
      </c>
      <c r="G102" s="209"/>
      <c r="H102" s="191">
        <v>1558.46</v>
      </c>
      <c r="I102" s="864">
        <v>-41.15</v>
      </c>
      <c r="J102" s="191">
        <v>1168.1199999999999</v>
      </c>
      <c r="K102" s="864">
        <v>-44.019999999999982</v>
      </c>
      <c r="L102" s="191">
        <v>2013.9507049999952</v>
      </c>
      <c r="M102" s="864">
        <v>-1.52</v>
      </c>
      <c r="N102" s="191">
        <v>591.83000000000004</v>
      </c>
      <c r="O102" s="864">
        <v>-38.19</v>
      </c>
      <c r="P102" s="198">
        <f t="shared" si="9"/>
        <v>5207.4807049999954</v>
      </c>
      <c r="R102" s="33">
        <f t="shared" si="12"/>
        <v>5332.3607049999955</v>
      </c>
      <c r="S102" s="33">
        <f t="shared" si="11"/>
        <v>-124.87999999999998</v>
      </c>
      <c r="T102" s="58">
        <f t="shared" si="10"/>
        <v>0</v>
      </c>
    </row>
    <row r="103" spans="1:20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Mar 2026'!$A$8:$F$206,6,FALSE)</f>
        <v>Chq Bk</v>
      </c>
      <c r="G103" s="209"/>
      <c r="H103" s="191">
        <v>0</v>
      </c>
      <c r="I103" s="864">
        <v>0</v>
      </c>
      <c r="J103" s="191">
        <v>0</v>
      </c>
      <c r="K103" s="864">
        <v>0</v>
      </c>
      <c r="L103" s="191">
        <v>0</v>
      </c>
      <c r="M103" s="864">
        <v>0</v>
      </c>
      <c r="N103" s="191">
        <v>0</v>
      </c>
      <c r="O103" s="864">
        <v>0</v>
      </c>
      <c r="P103" s="198">
        <f t="shared" ref="P103:P134" si="13">SUM(H103:O103)</f>
        <v>0</v>
      </c>
      <c r="R103" s="33">
        <f t="shared" si="12"/>
        <v>0</v>
      </c>
      <c r="S103" s="33">
        <f t="shared" si="11"/>
        <v>0</v>
      </c>
      <c r="T103" s="58">
        <f t="shared" ref="T103:T134" si="14">SUM(R103:S103)-P103</f>
        <v>0</v>
      </c>
    </row>
    <row r="104" spans="1:20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Mar 2026'!$A$8:$F$206,6,FALSE)</f>
        <v>Chq Bk</v>
      </c>
      <c r="G104" s="209"/>
      <c r="H104" s="191">
        <v>630.52</v>
      </c>
      <c r="I104" s="864">
        <v>-2.0299999999999998</v>
      </c>
      <c r="J104" s="191">
        <v>380.91</v>
      </c>
      <c r="K104" s="864">
        <v>-2.5299999999999998</v>
      </c>
      <c r="L104" s="191">
        <v>196.70792500000459</v>
      </c>
      <c r="M104" s="864">
        <v>-0.6</v>
      </c>
      <c r="N104" s="191">
        <v>526.89</v>
      </c>
      <c r="O104" s="864">
        <v>-2.37</v>
      </c>
      <c r="P104" s="198">
        <f t="shared" si="13"/>
        <v>1727.4979250000047</v>
      </c>
      <c r="R104" s="33">
        <f t="shared" si="12"/>
        <v>1735.0279250000044</v>
      </c>
      <c r="S104" s="33">
        <f t="shared" si="11"/>
        <v>-7.5299999999999994</v>
      </c>
      <c r="T104" s="58">
        <f t="shared" si="14"/>
        <v>0</v>
      </c>
    </row>
    <row r="105" spans="1:20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Mar 2026'!$A$8:$F$206,6,FALSE)</f>
        <v>Chq Bk</v>
      </c>
      <c r="G105" s="209"/>
      <c r="H105" s="191">
        <v>2377.3000000000002</v>
      </c>
      <c r="I105" s="864">
        <v>-6.2799999999999727</v>
      </c>
      <c r="J105" s="191">
        <v>2069.12</v>
      </c>
      <c r="K105" s="864">
        <v>-49.52</v>
      </c>
      <c r="L105" s="191">
        <v>7770.9355849999884</v>
      </c>
      <c r="M105" s="864">
        <v>-4.68</v>
      </c>
      <c r="N105" s="191">
        <v>1808.51</v>
      </c>
      <c r="O105" s="864">
        <v>-35.340000000000003</v>
      </c>
      <c r="P105" s="198">
        <f t="shared" si="13"/>
        <v>13930.045584999987</v>
      </c>
      <c r="R105" s="33">
        <f t="shared" si="12"/>
        <v>14025.865584999989</v>
      </c>
      <c r="S105" s="33">
        <f t="shared" si="11"/>
        <v>-95.819999999999979</v>
      </c>
      <c r="T105" s="58">
        <f t="shared" si="14"/>
        <v>0</v>
      </c>
    </row>
    <row r="106" spans="1:20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Mar 2026'!$A$8:$F$206,6,FALSE)</f>
        <v>Chq Bk</v>
      </c>
      <c r="G106" s="209"/>
      <c r="H106" s="191">
        <v>3123.43</v>
      </c>
      <c r="I106" s="864">
        <v>-3.9300000000000068</v>
      </c>
      <c r="J106" s="191">
        <v>1755.03</v>
      </c>
      <c r="K106" s="864">
        <v>-53.6</v>
      </c>
      <c r="L106" s="191">
        <v>4854.3092250000091</v>
      </c>
      <c r="M106" s="864">
        <v>-35.44</v>
      </c>
      <c r="N106" s="191">
        <v>1852.62</v>
      </c>
      <c r="O106" s="864">
        <v>-18.02</v>
      </c>
      <c r="P106" s="198">
        <f t="shared" si="13"/>
        <v>11474.399225000008</v>
      </c>
      <c r="R106" s="33">
        <f t="shared" si="12"/>
        <v>11585.38922500001</v>
      </c>
      <c r="S106" s="33">
        <f t="shared" si="11"/>
        <v>-110.99</v>
      </c>
      <c r="T106" s="58">
        <f t="shared" si="14"/>
        <v>0</v>
      </c>
    </row>
    <row r="107" spans="1:20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Mar 2026'!$A$8:$F$206,6,FALSE)</f>
        <v>Chq Bk</v>
      </c>
      <c r="G107" s="209"/>
      <c r="H107" s="191">
        <v>2365.5700000000006</v>
      </c>
      <c r="I107" s="864">
        <v>-58.399999999999977</v>
      </c>
      <c r="J107" s="191">
        <v>1237.3399999999999</v>
      </c>
      <c r="K107" s="864">
        <v>-64.84</v>
      </c>
      <c r="L107" s="191">
        <v>3487.7696550000592</v>
      </c>
      <c r="M107" s="864">
        <v>-4.41</v>
      </c>
      <c r="N107" s="191">
        <v>1087.69</v>
      </c>
      <c r="O107" s="864">
        <v>-16.66</v>
      </c>
      <c r="P107" s="198">
        <f t="shared" si="13"/>
        <v>8034.0596550000591</v>
      </c>
      <c r="R107" s="33">
        <f t="shared" si="12"/>
        <v>8178.3696550000604</v>
      </c>
      <c r="S107" s="33">
        <f t="shared" ref="S107:S126" si="15">SUMIF($H$3:$O$3,S$6,$H107:$O107)</f>
        <v>-144.30999999999997</v>
      </c>
      <c r="T107" s="58">
        <f t="shared" si="14"/>
        <v>0</v>
      </c>
    </row>
    <row r="108" spans="1:20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Mar 2026'!$A$8:$F$206,6,FALSE)</f>
        <v>Chq Bk</v>
      </c>
      <c r="G108" s="209"/>
      <c r="H108" s="191">
        <v>0</v>
      </c>
      <c r="I108" s="864">
        <v>0</v>
      </c>
      <c r="J108" s="191">
        <v>0</v>
      </c>
      <c r="K108" s="864">
        <v>0</v>
      </c>
      <c r="L108" s="191">
        <v>0</v>
      </c>
      <c r="M108" s="864">
        <v>0</v>
      </c>
      <c r="N108" s="191">
        <v>0</v>
      </c>
      <c r="O108" s="864">
        <v>0</v>
      </c>
      <c r="P108" s="198">
        <f t="shared" si="13"/>
        <v>0</v>
      </c>
      <c r="R108" s="33">
        <f t="shared" si="12"/>
        <v>0</v>
      </c>
      <c r="S108" s="33">
        <f t="shared" si="15"/>
        <v>0</v>
      </c>
      <c r="T108" s="58">
        <f t="shared" si="14"/>
        <v>0</v>
      </c>
    </row>
    <row r="109" spans="1:20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Mar 2026'!$A$8:$F$206,6,FALSE)</f>
        <v>Chq Bk</v>
      </c>
      <c r="G109" s="209"/>
      <c r="H109" s="191">
        <v>0</v>
      </c>
      <c r="I109" s="864">
        <v>0</v>
      </c>
      <c r="J109" s="191">
        <v>0</v>
      </c>
      <c r="K109" s="864">
        <v>0</v>
      </c>
      <c r="L109" s="191">
        <v>0</v>
      </c>
      <c r="M109" s="864">
        <v>0</v>
      </c>
      <c r="N109" s="191">
        <v>0</v>
      </c>
      <c r="O109" s="864">
        <v>0</v>
      </c>
      <c r="P109" s="198">
        <f t="shared" si="13"/>
        <v>0</v>
      </c>
      <c r="R109" s="33">
        <f t="shared" si="12"/>
        <v>0</v>
      </c>
      <c r="S109" s="33">
        <f t="shared" si="15"/>
        <v>0</v>
      </c>
      <c r="T109" s="58">
        <f t="shared" si="14"/>
        <v>0</v>
      </c>
    </row>
    <row r="110" spans="1:20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Mar 2026'!$A$8:$F$206,6,FALSE)</f>
        <v>Chq Bk</v>
      </c>
      <c r="G110" s="209"/>
      <c r="H110" s="191">
        <v>0</v>
      </c>
      <c r="I110" s="864">
        <v>0</v>
      </c>
      <c r="J110" s="191">
        <v>0</v>
      </c>
      <c r="K110" s="864">
        <v>0</v>
      </c>
      <c r="L110" s="191">
        <v>0</v>
      </c>
      <c r="M110" s="864">
        <v>0</v>
      </c>
      <c r="N110" s="191">
        <v>0</v>
      </c>
      <c r="O110" s="864">
        <v>0</v>
      </c>
      <c r="P110" s="198">
        <f t="shared" si="13"/>
        <v>0</v>
      </c>
      <c r="R110" s="33">
        <f t="shared" si="12"/>
        <v>0</v>
      </c>
      <c r="S110" s="33">
        <f t="shared" si="15"/>
        <v>0</v>
      </c>
      <c r="T110" s="58">
        <f t="shared" si="14"/>
        <v>0</v>
      </c>
    </row>
    <row r="111" spans="1:20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Mar 2026'!$A$8:$F$206,6,FALSE)</f>
        <v>Chq Bk</v>
      </c>
      <c r="G111" s="209"/>
      <c r="H111" s="191">
        <v>5601.46</v>
      </c>
      <c r="I111" s="864">
        <v>-2.1699999999999875</v>
      </c>
      <c r="J111" s="191">
        <v>4359.6899999999996</v>
      </c>
      <c r="K111" s="864">
        <v>-27.559999999999995</v>
      </c>
      <c r="L111" s="191">
        <v>14261.394005000144</v>
      </c>
      <c r="M111" s="864">
        <v>-5.21</v>
      </c>
      <c r="N111" s="191">
        <v>4066.99</v>
      </c>
      <c r="O111" s="864">
        <v>-39.950000000000003</v>
      </c>
      <c r="P111" s="198">
        <f t="shared" si="13"/>
        <v>28214.644005000144</v>
      </c>
      <c r="R111" s="33">
        <f t="shared" si="12"/>
        <v>28289.53400500014</v>
      </c>
      <c r="S111" s="33">
        <f t="shared" si="15"/>
        <v>-74.889999999999986</v>
      </c>
      <c r="T111" s="58">
        <f t="shared" si="14"/>
        <v>0</v>
      </c>
    </row>
    <row r="112" spans="1:20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Mar 2026'!$A$8:$F$206,6,FALSE)</f>
        <v>Chq Bk</v>
      </c>
      <c r="G112" s="209"/>
      <c r="H112" s="191">
        <v>3652.14</v>
      </c>
      <c r="I112" s="864">
        <v>-14.639999999999986</v>
      </c>
      <c r="J112" s="191">
        <v>2279.25</v>
      </c>
      <c r="K112" s="864">
        <v>-39.83</v>
      </c>
      <c r="L112" s="191">
        <v>5785.9077400000115</v>
      </c>
      <c r="M112" s="864">
        <v>-6.35</v>
      </c>
      <c r="N112" s="191">
        <v>2452.8200000000002</v>
      </c>
      <c r="O112" s="864">
        <v>-39.74</v>
      </c>
      <c r="P112" s="198">
        <f t="shared" si="13"/>
        <v>14069.557740000011</v>
      </c>
      <c r="R112" s="33">
        <f t="shared" si="12"/>
        <v>14170.117740000011</v>
      </c>
      <c r="S112" s="33">
        <f t="shared" si="15"/>
        <v>-100.55999999999999</v>
      </c>
      <c r="T112" s="58">
        <f t="shared" si="14"/>
        <v>0</v>
      </c>
    </row>
    <row r="113" spans="1:20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Mar 2026'!$A$8:$F$206,6,FALSE)</f>
        <v>Chq Bk</v>
      </c>
      <c r="G113" s="209"/>
      <c r="H113" s="191">
        <v>0</v>
      </c>
      <c r="I113" s="864">
        <v>0</v>
      </c>
      <c r="J113" s="191">
        <v>0</v>
      </c>
      <c r="K113" s="864">
        <v>0</v>
      </c>
      <c r="L113" s="191">
        <v>0</v>
      </c>
      <c r="M113" s="864">
        <v>0</v>
      </c>
      <c r="N113" s="191">
        <v>0</v>
      </c>
      <c r="O113" s="864">
        <v>0</v>
      </c>
      <c r="P113" s="198">
        <f t="shared" si="13"/>
        <v>0</v>
      </c>
      <c r="R113" s="33">
        <f t="shared" si="12"/>
        <v>0</v>
      </c>
      <c r="S113" s="33">
        <f t="shared" si="15"/>
        <v>0</v>
      </c>
      <c r="T113" s="58">
        <f t="shared" si="14"/>
        <v>0</v>
      </c>
    </row>
    <row r="114" spans="1:20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Mar 2026'!$A$8:$F$206,6,FALSE)</f>
        <v>Chq Bk</v>
      </c>
      <c r="G114" s="209"/>
      <c r="H114" s="191">
        <v>0</v>
      </c>
      <c r="I114" s="864">
        <v>0</v>
      </c>
      <c r="J114" s="191">
        <v>0</v>
      </c>
      <c r="K114" s="864">
        <v>0</v>
      </c>
      <c r="L114" s="191">
        <v>0</v>
      </c>
      <c r="M114" s="864">
        <v>0</v>
      </c>
      <c r="N114" s="191">
        <v>0</v>
      </c>
      <c r="O114" s="864">
        <v>0</v>
      </c>
      <c r="P114" s="198">
        <f t="shared" si="13"/>
        <v>0</v>
      </c>
      <c r="R114" s="33">
        <f t="shared" si="12"/>
        <v>0</v>
      </c>
      <c r="S114" s="33">
        <f t="shared" si="15"/>
        <v>0</v>
      </c>
      <c r="T114" s="58">
        <f t="shared" si="14"/>
        <v>0</v>
      </c>
    </row>
    <row r="115" spans="1:20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Mar 2026'!$A$8:$F$206,6,FALSE)</f>
        <v>Chq Bk</v>
      </c>
      <c r="G115" s="209"/>
      <c r="H115" s="191">
        <v>0</v>
      </c>
      <c r="I115" s="864">
        <v>0</v>
      </c>
      <c r="J115" s="191">
        <v>0</v>
      </c>
      <c r="K115" s="864">
        <v>0</v>
      </c>
      <c r="L115" s="191">
        <v>0</v>
      </c>
      <c r="M115" s="864">
        <v>0</v>
      </c>
      <c r="N115" s="191">
        <v>0</v>
      </c>
      <c r="O115" s="864">
        <v>0</v>
      </c>
      <c r="P115" s="198">
        <f t="shared" si="13"/>
        <v>0</v>
      </c>
      <c r="R115" s="33">
        <f t="shared" si="12"/>
        <v>0</v>
      </c>
      <c r="S115" s="33">
        <f t="shared" si="15"/>
        <v>0</v>
      </c>
      <c r="T115" s="58">
        <f t="shared" si="14"/>
        <v>0</v>
      </c>
    </row>
    <row r="116" spans="1:20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Mar 2026'!$A$8:$F$206,6,FALSE)</f>
        <v>Chq Bk</v>
      </c>
      <c r="G116" s="209"/>
      <c r="H116" s="191">
        <v>1300.9000000000001</v>
      </c>
      <c r="I116" s="864">
        <v>-1.8300000000000125</v>
      </c>
      <c r="J116" s="191">
        <v>439.55000000000007</v>
      </c>
      <c r="K116" s="864">
        <v>-27.34</v>
      </c>
      <c r="L116" s="191">
        <v>0</v>
      </c>
      <c r="M116" s="864">
        <v>-14.01</v>
      </c>
      <c r="N116" s="191">
        <v>0</v>
      </c>
      <c r="O116" s="864">
        <v>-47.86</v>
      </c>
      <c r="P116" s="198">
        <f t="shared" si="13"/>
        <v>1649.4100000000005</v>
      </c>
      <c r="R116" s="33">
        <f t="shared" si="12"/>
        <v>1740.4500000000003</v>
      </c>
      <c r="S116" s="33">
        <f t="shared" si="15"/>
        <v>-91.04000000000002</v>
      </c>
      <c r="T116" s="58">
        <f t="shared" si="14"/>
        <v>0</v>
      </c>
    </row>
    <row r="117" spans="1:20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Mar 2026'!$A$8:$F$206,6,FALSE)</f>
        <v>Chq Bk</v>
      </c>
      <c r="G117" s="209"/>
      <c r="H117" s="191">
        <v>1661.4499999999998</v>
      </c>
      <c r="I117" s="864">
        <v>-37.19</v>
      </c>
      <c r="J117" s="191">
        <v>1881.5099999999998</v>
      </c>
      <c r="K117" s="864">
        <v>-52.539999999999992</v>
      </c>
      <c r="L117" s="191">
        <v>5278.5930300000027</v>
      </c>
      <c r="M117" s="864">
        <v>-51.69</v>
      </c>
      <c r="N117" s="191">
        <v>1866.51</v>
      </c>
      <c r="O117" s="864">
        <v>-48.62</v>
      </c>
      <c r="P117" s="198">
        <f t="shared" si="13"/>
        <v>10498.023030000002</v>
      </c>
      <c r="R117" s="33">
        <f t="shared" si="12"/>
        <v>10688.063030000003</v>
      </c>
      <c r="S117" s="33">
        <f t="shared" si="15"/>
        <v>-190.04</v>
      </c>
      <c r="T117" s="58">
        <f t="shared" si="14"/>
        <v>0</v>
      </c>
    </row>
    <row r="118" spans="1:20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Mar 2026'!$A$8:$F$206,6,FALSE)</f>
        <v>Chq Bk</v>
      </c>
      <c r="G118" s="209"/>
      <c r="H118" s="191">
        <v>0</v>
      </c>
      <c r="I118" s="864">
        <v>0</v>
      </c>
      <c r="J118" s="191">
        <v>0</v>
      </c>
      <c r="K118" s="864">
        <v>0</v>
      </c>
      <c r="L118" s="191">
        <v>0</v>
      </c>
      <c r="M118" s="864">
        <v>0</v>
      </c>
      <c r="N118" s="191">
        <v>0</v>
      </c>
      <c r="O118" s="864">
        <v>0</v>
      </c>
      <c r="P118" s="198">
        <f t="shared" si="13"/>
        <v>0</v>
      </c>
      <c r="R118" s="33">
        <f t="shared" si="12"/>
        <v>0</v>
      </c>
      <c r="S118" s="33">
        <f t="shared" si="15"/>
        <v>0</v>
      </c>
      <c r="T118" s="58">
        <f t="shared" si="14"/>
        <v>0</v>
      </c>
    </row>
    <row r="119" spans="1:20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Mar 2026'!$A$8:$F$206,6,FALSE)</f>
        <v>Chq Bk</v>
      </c>
      <c r="G119" s="209"/>
      <c r="H119" s="191">
        <v>1174.4100000000001</v>
      </c>
      <c r="I119" s="864">
        <v>-2.6299999999999955</v>
      </c>
      <c r="J119" s="191">
        <v>694.11</v>
      </c>
      <c r="K119" s="864">
        <v>-47.59</v>
      </c>
      <c r="L119" s="191">
        <v>0</v>
      </c>
      <c r="M119" s="864">
        <v>-32.54</v>
      </c>
      <c r="N119" s="191">
        <v>307.43</v>
      </c>
      <c r="O119" s="864">
        <v>-51.55</v>
      </c>
      <c r="P119" s="198">
        <f t="shared" si="13"/>
        <v>2041.6400000000006</v>
      </c>
      <c r="R119" s="33">
        <f t="shared" si="12"/>
        <v>2175.9499999999998</v>
      </c>
      <c r="S119" s="33">
        <f t="shared" si="15"/>
        <v>-134.31</v>
      </c>
      <c r="T119" s="58">
        <f t="shared" si="14"/>
        <v>0</v>
      </c>
    </row>
    <row r="120" spans="1:20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Mar 2026'!$A$8:$F$206,6,FALSE)</f>
        <v>Chq Bk</v>
      </c>
      <c r="G120" s="209"/>
      <c r="H120" s="191">
        <v>0</v>
      </c>
      <c r="I120" s="864">
        <v>0</v>
      </c>
      <c r="J120" s="191">
        <v>0</v>
      </c>
      <c r="K120" s="864">
        <v>0</v>
      </c>
      <c r="L120" s="191">
        <v>0</v>
      </c>
      <c r="M120" s="864">
        <v>0</v>
      </c>
      <c r="N120" s="191">
        <v>0</v>
      </c>
      <c r="O120" s="864">
        <v>0</v>
      </c>
      <c r="P120" s="198">
        <f t="shared" si="13"/>
        <v>0</v>
      </c>
      <c r="R120" s="33">
        <f t="shared" si="12"/>
        <v>0</v>
      </c>
      <c r="S120" s="33">
        <f t="shared" si="15"/>
        <v>0</v>
      </c>
      <c r="T120" s="58">
        <f t="shared" si="14"/>
        <v>0</v>
      </c>
    </row>
    <row r="121" spans="1:20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Mar 2026'!$A$8:$F$206,6,FALSE)</f>
        <v>Chq Bk</v>
      </c>
      <c r="G121" s="209"/>
      <c r="H121" s="191">
        <v>5525.2299999999987</v>
      </c>
      <c r="I121" s="864">
        <v>-2.0699999999999932</v>
      </c>
      <c r="J121" s="191">
        <v>2711.54</v>
      </c>
      <c r="K121" s="864">
        <v>-32.25</v>
      </c>
      <c r="L121" s="191">
        <v>11116.606849999953</v>
      </c>
      <c r="M121" s="864">
        <v>-39.46</v>
      </c>
      <c r="N121" s="191">
        <v>1843.76</v>
      </c>
      <c r="O121" s="864">
        <v>-41.01</v>
      </c>
      <c r="P121" s="198">
        <f t="shared" si="13"/>
        <v>21082.346849999951</v>
      </c>
      <c r="R121" s="33">
        <f t="shared" si="12"/>
        <v>21197.136849999948</v>
      </c>
      <c r="S121" s="33">
        <f t="shared" si="15"/>
        <v>-114.78999999999999</v>
      </c>
      <c r="T121" s="58">
        <f t="shared" si="14"/>
        <v>0</v>
      </c>
    </row>
    <row r="122" spans="1:20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Mar 2026'!$A$8:$F$206,6,FALSE)</f>
        <v>Chq Bk</v>
      </c>
      <c r="G122" s="209"/>
      <c r="H122" s="191">
        <v>0</v>
      </c>
      <c r="I122" s="864">
        <v>0</v>
      </c>
      <c r="J122" s="191">
        <v>0</v>
      </c>
      <c r="K122" s="864">
        <v>0</v>
      </c>
      <c r="L122" s="191">
        <v>0</v>
      </c>
      <c r="M122" s="864">
        <v>0</v>
      </c>
      <c r="N122" s="191">
        <v>0</v>
      </c>
      <c r="O122" s="864">
        <v>0</v>
      </c>
      <c r="P122" s="198">
        <f t="shared" si="13"/>
        <v>0</v>
      </c>
      <c r="R122" s="33">
        <f t="shared" si="12"/>
        <v>0</v>
      </c>
      <c r="S122" s="33">
        <f t="shared" si="15"/>
        <v>0</v>
      </c>
      <c r="T122" s="58">
        <f t="shared" si="14"/>
        <v>0</v>
      </c>
    </row>
    <row r="123" spans="1:20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Mar 2026'!$A$8:$F$206,6,FALSE)</f>
        <v>Chq Bk</v>
      </c>
      <c r="G123" s="209"/>
      <c r="H123" s="191">
        <v>1544.1099999999997</v>
      </c>
      <c r="I123" s="864">
        <v>-19.970000000000027</v>
      </c>
      <c r="J123" s="191">
        <v>1080.8499999999999</v>
      </c>
      <c r="K123" s="864">
        <v>-44.74</v>
      </c>
      <c r="L123" s="191">
        <v>1852.6993449999841</v>
      </c>
      <c r="M123" s="864">
        <v>-4.34</v>
      </c>
      <c r="N123" s="191">
        <v>1115.98</v>
      </c>
      <c r="O123" s="864">
        <v>-45.95</v>
      </c>
      <c r="P123" s="198">
        <f t="shared" si="13"/>
        <v>5478.6393449999841</v>
      </c>
      <c r="R123" s="33">
        <f t="shared" si="12"/>
        <v>5593.6393449999832</v>
      </c>
      <c r="S123" s="33">
        <f t="shared" si="15"/>
        <v>-115.00000000000004</v>
      </c>
      <c r="T123" s="58">
        <f t="shared" si="14"/>
        <v>0</v>
      </c>
    </row>
    <row r="124" spans="1:20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Mar 2026'!$A$8:$F$206,6,FALSE)</f>
        <v>Chq Bk</v>
      </c>
      <c r="G124" s="209"/>
      <c r="H124" s="191">
        <v>2823.92</v>
      </c>
      <c r="I124" s="864">
        <v>-1.6500000000000057</v>
      </c>
      <c r="J124" s="191">
        <v>1556.62</v>
      </c>
      <c r="K124" s="864">
        <v>-59.23</v>
      </c>
      <c r="L124" s="191">
        <v>4910.4542499999743</v>
      </c>
      <c r="M124" s="864">
        <v>0</v>
      </c>
      <c r="N124" s="191">
        <v>1246.3699999999999</v>
      </c>
      <c r="O124" s="864">
        <v>-114.58</v>
      </c>
      <c r="P124" s="198">
        <f t="shared" si="13"/>
        <v>10361.904249999972</v>
      </c>
      <c r="R124" s="33">
        <f t="shared" si="12"/>
        <v>10537.364249999973</v>
      </c>
      <c r="S124" s="33">
        <f t="shared" si="15"/>
        <v>-175.46</v>
      </c>
      <c r="T124" s="58">
        <f t="shared" si="14"/>
        <v>0</v>
      </c>
    </row>
    <row r="125" spans="1:20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Mar 2026'!$A$8:$F$206,6,FALSE)</f>
        <v>Chq Bk</v>
      </c>
      <c r="G125" s="209"/>
      <c r="H125" s="191">
        <v>0</v>
      </c>
      <c r="I125" s="864">
        <v>0</v>
      </c>
      <c r="J125" s="191">
        <v>0</v>
      </c>
      <c r="K125" s="864">
        <v>0</v>
      </c>
      <c r="L125" s="191">
        <v>0</v>
      </c>
      <c r="M125" s="864">
        <v>0</v>
      </c>
      <c r="N125" s="191">
        <v>0</v>
      </c>
      <c r="O125" s="864">
        <v>0</v>
      </c>
      <c r="P125" s="198">
        <f t="shared" si="13"/>
        <v>0</v>
      </c>
      <c r="R125" s="33">
        <f t="shared" si="12"/>
        <v>0</v>
      </c>
      <c r="S125" s="33">
        <f t="shared" si="15"/>
        <v>0</v>
      </c>
      <c r="T125" s="58">
        <f t="shared" si="14"/>
        <v>0</v>
      </c>
    </row>
    <row r="126" spans="1:20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Mar 2026'!$A$8:$F$206,6,FALSE)</f>
        <v>Chq Bk</v>
      </c>
      <c r="G126" s="209"/>
      <c r="H126" s="191">
        <v>3507.7099999999996</v>
      </c>
      <c r="I126" s="864">
        <v>-31.490000000000009</v>
      </c>
      <c r="J126" s="191">
        <v>2957.52</v>
      </c>
      <c r="K126" s="864">
        <v>-64.81</v>
      </c>
      <c r="L126" s="191">
        <v>9189.3168600000554</v>
      </c>
      <c r="M126" s="864">
        <v>-3.8999999999999995</v>
      </c>
      <c r="N126" s="191">
        <v>2147.94</v>
      </c>
      <c r="O126" s="864">
        <v>-47.37</v>
      </c>
      <c r="P126" s="198">
        <f t="shared" si="13"/>
        <v>17654.916860000056</v>
      </c>
      <c r="R126" s="33">
        <f t="shared" si="12"/>
        <v>17802.486860000055</v>
      </c>
      <c r="S126" s="33">
        <f t="shared" si="15"/>
        <v>-147.57000000000002</v>
      </c>
      <c r="T126" s="58">
        <f t="shared" si="14"/>
        <v>0</v>
      </c>
    </row>
    <row r="127" spans="1:20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Mar 2026'!$A$8:$F$206,6,FALSE)</f>
        <v>Chq Bk</v>
      </c>
      <c r="G127" s="209"/>
      <c r="H127" s="191">
        <v>1676</v>
      </c>
      <c r="I127" s="864">
        <v>-20.52</v>
      </c>
      <c r="J127" s="191">
        <v>878.37000000000012</v>
      </c>
      <c r="K127" s="864">
        <v>-44.33</v>
      </c>
      <c r="L127" s="191">
        <v>835.90111000002503</v>
      </c>
      <c r="M127" s="864">
        <v>-4.289999999999992</v>
      </c>
      <c r="N127" s="191">
        <v>904.13</v>
      </c>
      <c r="O127" s="864">
        <v>-42.17</v>
      </c>
      <c r="P127" s="198">
        <f t="shared" si="13"/>
        <v>4183.0911100000258</v>
      </c>
      <c r="R127" s="33">
        <f t="shared" si="12"/>
        <v>4294.4011100000253</v>
      </c>
      <c r="S127" s="33">
        <f t="shared" ref="S127:S146" si="16">SUMIF($H$3:$O$3,S$6,$H127:$O127)</f>
        <v>-111.30999999999999</v>
      </c>
      <c r="T127" s="58">
        <f t="shared" si="14"/>
        <v>0</v>
      </c>
    </row>
    <row r="128" spans="1:20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Mar 2026'!$A$8:$F$206,6,FALSE)</f>
        <v>Chq Bk</v>
      </c>
      <c r="G128" s="209"/>
      <c r="H128" s="191">
        <v>5408.25</v>
      </c>
      <c r="I128" s="864">
        <v>-3.01</v>
      </c>
      <c r="J128" s="191">
        <v>5772.1</v>
      </c>
      <c r="K128" s="864">
        <v>-3.1299999999999955</v>
      </c>
      <c r="L128" s="191">
        <v>12699.100374999973</v>
      </c>
      <c r="M128" s="864">
        <v>-5.82</v>
      </c>
      <c r="N128" s="191">
        <v>3958.75</v>
      </c>
      <c r="O128" s="864">
        <v>-30.45</v>
      </c>
      <c r="P128" s="198">
        <f t="shared" si="13"/>
        <v>27795.790374999971</v>
      </c>
      <c r="R128" s="33">
        <f t="shared" si="12"/>
        <v>27838.200374999971</v>
      </c>
      <c r="S128" s="33">
        <f t="shared" si="16"/>
        <v>-42.41</v>
      </c>
      <c r="T128" s="58">
        <f t="shared" si="14"/>
        <v>0</v>
      </c>
    </row>
    <row r="129" spans="1:20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Mar 2026'!$A$8:$F$206,6,FALSE)</f>
        <v>Chq Bk</v>
      </c>
      <c r="G129" s="209"/>
      <c r="H129" s="191">
        <v>3166.1100000000006</v>
      </c>
      <c r="I129" s="864">
        <v>-45.579999999999984</v>
      </c>
      <c r="J129" s="191">
        <v>2479.56</v>
      </c>
      <c r="K129" s="864">
        <v>-69.14</v>
      </c>
      <c r="L129" s="191">
        <v>9679.3748149999683</v>
      </c>
      <c r="M129" s="864">
        <v>-14.919999999999998</v>
      </c>
      <c r="N129" s="191">
        <v>2545.2199999999998</v>
      </c>
      <c r="O129" s="864">
        <v>-43.92</v>
      </c>
      <c r="P129" s="198">
        <f t="shared" si="13"/>
        <v>17696.704814999968</v>
      </c>
      <c r="R129" s="33">
        <f t="shared" si="12"/>
        <v>17870.26481499997</v>
      </c>
      <c r="S129" s="33">
        <f t="shared" si="16"/>
        <v>-173.56</v>
      </c>
      <c r="T129" s="58">
        <f t="shared" si="14"/>
        <v>0</v>
      </c>
    </row>
    <row r="130" spans="1:20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Mar 2026'!$A$8:$F$206,6,FALSE)</f>
        <v>Chq Bk</v>
      </c>
      <c r="G130" s="209"/>
      <c r="H130" s="191">
        <v>0</v>
      </c>
      <c r="I130" s="864">
        <v>0</v>
      </c>
      <c r="J130" s="191">
        <v>0</v>
      </c>
      <c r="K130" s="864">
        <v>0</v>
      </c>
      <c r="L130" s="191">
        <v>0</v>
      </c>
      <c r="M130" s="864">
        <v>0</v>
      </c>
      <c r="N130" s="191">
        <v>0</v>
      </c>
      <c r="O130" s="864">
        <v>0</v>
      </c>
      <c r="P130" s="198">
        <f t="shared" si="13"/>
        <v>0</v>
      </c>
      <c r="R130" s="33">
        <f t="shared" si="12"/>
        <v>0</v>
      </c>
      <c r="S130" s="33">
        <f t="shared" si="16"/>
        <v>0</v>
      </c>
      <c r="T130" s="58">
        <f t="shared" si="14"/>
        <v>0</v>
      </c>
    </row>
    <row r="131" spans="1:20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Mar 2026'!$A$8:$F$206,6,FALSE)</f>
        <v>Chq Bk</v>
      </c>
      <c r="G131" s="209"/>
      <c r="H131" s="191">
        <v>0</v>
      </c>
      <c r="I131" s="864">
        <v>0</v>
      </c>
      <c r="J131" s="191">
        <v>0</v>
      </c>
      <c r="K131" s="864">
        <v>0</v>
      </c>
      <c r="L131" s="191">
        <v>0</v>
      </c>
      <c r="M131" s="864">
        <v>0</v>
      </c>
      <c r="N131" s="191">
        <v>0</v>
      </c>
      <c r="O131" s="864">
        <v>0</v>
      </c>
      <c r="P131" s="198">
        <f t="shared" si="13"/>
        <v>0</v>
      </c>
      <c r="R131" s="33">
        <f t="shared" si="12"/>
        <v>0</v>
      </c>
      <c r="S131" s="33">
        <f t="shared" si="16"/>
        <v>0</v>
      </c>
      <c r="T131" s="58">
        <f t="shared" si="14"/>
        <v>0</v>
      </c>
    </row>
    <row r="132" spans="1:20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Mar 2026'!$A$8:$F$206,6,FALSE)</f>
        <v>Chq Bk</v>
      </c>
      <c r="G132" s="209"/>
      <c r="H132" s="191">
        <v>3194.03</v>
      </c>
      <c r="I132" s="864">
        <v>-10.350000000000023</v>
      </c>
      <c r="J132" s="191">
        <v>2392.86</v>
      </c>
      <c r="K132" s="864">
        <v>-52.019999999999996</v>
      </c>
      <c r="L132" s="191">
        <v>7187.5219999999999</v>
      </c>
      <c r="M132" s="864">
        <v>-7.88</v>
      </c>
      <c r="N132" s="191">
        <v>1595.56</v>
      </c>
      <c r="O132" s="864">
        <v>-51.59</v>
      </c>
      <c r="P132" s="198">
        <f t="shared" si="13"/>
        <v>14248.132000000001</v>
      </c>
      <c r="R132" s="33">
        <f t="shared" si="12"/>
        <v>14369.972</v>
      </c>
      <c r="S132" s="33">
        <f t="shared" si="16"/>
        <v>-121.84000000000002</v>
      </c>
      <c r="T132" s="58">
        <f t="shared" si="14"/>
        <v>0</v>
      </c>
    </row>
    <row r="133" spans="1:20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Mar 2026'!$A$8:$F$206,6,FALSE)</f>
        <v>Chq Bk</v>
      </c>
      <c r="G133" s="209"/>
      <c r="H133" s="191">
        <v>3221.35</v>
      </c>
      <c r="I133" s="864">
        <v>-4.1500000000000057</v>
      </c>
      <c r="J133" s="191">
        <v>1633.57</v>
      </c>
      <c r="K133" s="864">
        <v>-51.58</v>
      </c>
      <c r="L133" s="191">
        <v>1119.7604300000248</v>
      </c>
      <c r="M133" s="864">
        <v>-42.81</v>
      </c>
      <c r="N133" s="191">
        <v>1141.1600000000001</v>
      </c>
      <c r="O133" s="864">
        <v>-55.19</v>
      </c>
      <c r="P133" s="198">
        <f t="shared" si="13"/>
        <v>6962.1104300000243</v>
      </c>
      <c r="R133" s="33">
        <f t="shared" si="12"/>
        <v>7115.8404300000248</v>
      </c>
      <c r="S133" s="33">
        <f t="shared" si="16"/>
        <v>-153.73000000000002</v>
      </c>
      <c r="T133" s="58">
        <f t="shared" si="14"/>
        <v>0</v>
      </c>
    </row>
    <row r="134" spans="1:20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Mar 2026'!$A$8:$F$206,6,FALSE)</f>
        <v>Chq Bk</v>
      </c>
      <c r="G134" s="209"/>
      <c r="H134" s="191">
        <v>2342.13</v>
      </c>
      <c r="I134" s="864">
        <v>-13.91</v>
      </c>
      <c r="J134" s="191">
        <v>1861.51</v>
      </c>
      <c r="K134" s="864">
        <v>-52.55</v>
      </c>
      <c r="L134" s="191">
        <v>3842.8948399999472</v>
      </c>
      <c r="M134" s="864">
        <v>-3.5600000000000023</v>
      </c>
      <c r="N134" s="191">
        <v>1738.35</v>
      </c>
      <c r="O134" s="864">
        <v>-48.11</v>
      </c>
      <c r="P134" s="198">
        <f t="shared" si="13"/>
        <v>9666.7548399999469</v>
      </c>
      <c r="R134" s="33">
        <f t="shared" si="12"/>
        <v>9784.8848399999479</v>
      </c>
      <c r="S134" s="33">
        <f t="shared" si="16"/>
        <v>-118.13</v>
      </c>
      <c r="T134" s="58">
        <f t="shared" si="14"/>
        <v>0</v>
      </c>
    </row>
    <row r="135" spans="1:20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Mar 2026'!$A$8:$F$206,6,FALSE)</f>
        <v>Chq Bk</v>
      </c>
      <c r="G135" s="209"/>
      <c r="H135" s="191">
        <v>2117.14</v>
      </c>
      <c r="I135" s="864">
        <v>-15.579999999999984</v>
      </c>
      <c r="J135" s="191">
        <v>1640.4300000000003</v>
      </c>
      <c r="K135" s="864">
        <v>-43.22</v>
      </c>
      <c r="L135" s="191">
        <v>3772.6664999999998</v>
      </c>
      <c r="M135" s="864">
        <v>-4.16</v>
      </c>
      <c r="N135" s="191">
        <v>1769.87</v>
      </c>
      <c r="O135" s="864">
        <v>-19.62</v>
      </c>
      <c r="P135" s="198">
        <f t="shared" ref="P135:P166" si="17">SUM(H135:O135)</f>
        <v>9217.5264999999981</v>
      </c>
      <c r="R135" s="33">
        <f t="shared" si="12"/>
        <v>9300.1064999999999</v>
      </c>
      <c r="S135" s="33">
        <f t="shared" si="16"/>
        <v>-82.579999999999984</v>
      </c>
      <c r="T135" s="58">
        <f t="shared" ref="T135:T166" si="18">SUM(R135:S135)-P135</f>
        <v>0</v>
      </c>
    </row>
    <row r="136" spans="1:20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Mar 2026'!$A$8:$F$206,6,FALSE)</f>
        <v>Chq Bk</v>
      </c>
      <c r="G136" s="209"/>
      <c r="H136" s="191">
        <v>0</v>
      </c>
      <c r="I136" s="864">
        <v>0</v>
      </c>
      <c r="J136" s="191">
        <v>0</v>
      </c>
      <c r="K136" s="864">
        <v>0</v>
      </c>
      <c r="L136" s="191">
        <v>0</v>
      </c>
      <c r="M136" s="864">
        <v>0</v>
      </c>
      <c r="N136" s="191">
        <v>0</v>
      </c>
      <c r="O136" s="864">
        <v>0</v>
      </c>
      <c r="P136" s="198">
        <f t="shared" si="17"/>
        <v>0</v>
      </c>
      <c r="R136" s="33">
        <f t="shared" si="12"/>
        <v>0</v>
      </c>
      <c r="S136" s="33">
        <f t="shared" si="16"/>
        <v>0</v>
      </c>
      <c r="T136" s="58">
        <f t="shared" si="18"/>
        <v>0</v>
      </c>
    </row>
    <row r="137" spans="1:20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Mar 2026'!$A$8:$F$206,6,FALSE)</f>
        <v>Chq Bk</v>
      </c>
      <c r="G137" s="209"/>
      <c r="H137" s="191">
        <v>0</v>
      </c>
      <c r="I137" s="864">
        <v>0</v>
      </c>
      <c r="J137" s="191">
        <v>0</v>
      </c>
      <c r="K137" s="864">
        <v>0</v>
      </c>
      <c r="L137" s="191">
        <v>0</v>
      </c>
      <c r="M137" s="864">
        <v>0</v>
      </c>
      <c r="N137" s="191">
        <v>0</v>
      </c>
      <c r="O137" s="864">
        <v>0</v>
      </c>
      <c r="P137" s="198">
        <f t="shared" si="17"/>
        <v>0</v>
      </c>
      <c r="R137" s="33">
        <f t="shared" si="12"/>
        <v>0</v>
      </c>
      <c r="S137" s="33">
        <f t="shared" si="16"/>
        <v>0</v>
      </c>
      <c r="T137" s="58">
        <f t="shared" si="18"/>
        <v>0</v>
      </c>
    </row>
    <row r="138" spans="1:20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Mar 2026'!$A$8:$F$206,6,FALSE)</f>
        <v>Chq Bk</v>
      </c>
      <c r="G138" s="209"/>
      <c r="H138" s="191">
        <v>0</v>
      </c>
      <c r="I138" s="864">
        <v>0</v>
      </c>
      <c r="J138" s="191">
        <v>0</v>
      </c>
      <c r="K138" s="864">
        <v>0</v>
      </c>
      <c r="L138" s="191">
        <v>0</v>
      </c>
      <c r="M138" s="864">
        <v>0</v>
      </c>
      <c r="N138" s="191">
        <v>0</v>
      </c>
      <c r="O138" s="864">
        <v>0</v>
      </c>
      <c r="P138" s="198">
        <f t="shared" si="17"/>
        <v>0</v>
      </c>
      <c r="R138" s="33">
        <f t="shared" si="12"/>
        <v>0</v>
      </c>
      <c r="S138" s="33">
        <f t="shared" si="16"/>
        <v>0</v>
      </c>
      <c r="T138" s="58">
        <f t="shared" si="18"/>
        <v>0</v>
      </c>
    </row>
    <row r="139" spans="1:20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Mar 2026'!$A$8:$F$206,6,FALSE)</f>
        <v>Chq Bk</v>
      </c>
      <c r="G139" s="209"/>
      <c r="H139" s="191">
        <v>5488.34</v>
      </c>
      <c r="I139" s="864">
        <v>-2.1800000000000068</v>
      </c>
      <c r="J139" s="191">
        <v>3397.42</v>
      </c>
      <c r="K139" s="864">
        <v>-38.17</v>
      </c>
      <c r="L139" s="191">
        <v>9448.7192600000017</v>
      </c>
      <c r="M139" s="864">
        <v>-5.98</v>
      </c>
      <c r="N139" s="191">
        <v>2831.76</v>
      </c>
      <c r="O139" s="864">
        <v>-40.479999999999997</v>
      </c>
      <c r="P139" s="198">
        <f t="shared" si="17"/>
        <v>21079.429260000001</v>
      </c>
      <c r="R139" s="33">
        <f t="shared" si="12"/>
        <v>21166.239260000002</v>
      </c>
      <c r="S139" s="33">
        <f t="shared" si="16"/>
        <v>-86.81</v>
      </c>
      <c r="T139" s="58">
        <f t="shared" si="18"/>
        <v>0</v>
      </c>
    </row>
    <row r="140" spans="1:20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Mar 2026'!$A$8:$F$206,6,FALSE)</f>
        <v>Chq Bk</v>
      </c>
      <c r="G140" s="209"/>
      <c r="H140" s="191">
        <v>1265.4000000000001</v>
      </c>
      <c r="I140" s="864">
        <v>-2</v>
      </c>
      <c r="J140" s="191">
        <v>552.38</v>
      </c>
      <c r="K140" s="864">
        <v>-2</v>
      </c>
      <c r="L140" s="191">
        <v>3678.4188100000129</v>
      </c>
      <c r="M140" s="864">
        <v>-5.9399999999999995</v>
      </c>
      <c r="N140" s="191">
        <v>509.04</v>
      </c>
      <c r="O140" s="864">
        <v>-3.97</v>
      </c>
      <c r="P140" s="198">
        <f t="shared" si="17"/>
        <v>5991.3288100000127</v>
      </c>
      <c r="R140" s="33">
        <f t="shared" si="12"/>
        <v>6005.2388100000126</v>
      </c>
      <c r="S140" s="33">
        <f t="shared" si="16"/>
        <v>-13.91</v>
      </c>
      <c r="T140" s="58">
        <f t="shared" si="18"/>
        <v>0</v>
      </c>
    </row>
    <row r="141" spans="1:20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Mar 2026'!$A$8:$F$206,6,FALSE)</f>
        <v>Chq Bk</v>
      </c>
      <c r="G141" s="209"/>
      <c r="H141" s="191">
        <v>5628.36</v>
      </c>
      <c r="I141" s="864">
        <v>-48.129999999999995</v>
      </c>
      <c r="J141" s="191">
        <v>4707.38</v>
      </c>
      <c r="K141" s="864">
        <v>-64.459999999999994</v>
      </c>
      <c r="L141" s="191">
        <v>17476.628755000038</v>
      </c>
      <c r="M141" s="864">
        <v>-6.25</v>
      </c>
      <c r="N141" s="191">
        <v>4360.47</v>
      </c>
      <c r="O141" s="864">
        <v>-68.41</v>
      </c>
      <c r="P141" s="198">
        <f t="shared" si="17"/>
        <v>31985.588755000041</v>
      </c>
      <c r="R141" s="33">
        <f t="shared" si="12"/>
        <v>32172.838755000041</v>
      </c>
      <c r="S141" s="33">
        <f t="shared" si="16"/>
        <v>-187.25</v>
      </c>
      <c r="T141" s="58">
        <f t="shared" si="18"/>
        <v>0</v>
      </c>
    </row>
    <row r="142" spans="1:20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Mar 2026'!$A$8:$F$206,6,FALSE)</f>
        <v>Chq Bk</v>
      </c>
      <c r="G142" s="209"/>
      <c r="H142" s="191">
        <v>790.0200000000001</v>
      </c>
      <c r="I142" s="864">
        <v>-8.7799999999999994</v>
      </c>
      <c r="J142" s="191">
        <v>226.99</v>
      </c>
      <c r="K142" s="864">
        <v>-4.25</v>
      </c>
      <c r="L142" s="191">
        <v>493.64663999998885</v>
      </c>
      <c r="M142" s="864">
        <v>-3.11</v>
      </c>
      <c r="N142" s="191">
        <v>262.27999999999997</v>
      </c>
      <c r="O142" s="864">
        <v>-6.05</v>
      </c>
      <c r="P142" s="198">
        <f t="shared" si="17"/>
        <v>1750.7466399999892</v>
      </c>
      <c r="R142" s="33">
        <f t="shared" si="12"/>
        <v>1772.936639999989</v>
      </c>
      <c r="S142" s="33">
        <f t="shared" si="16"/>
        <v>-22.19</v>
      </c>
      <c r="T142" s="58">
        <f t="shared" si="18"/>
        <v>0</v>
      </c>
    </row>
    <row r="143" spans="1:20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Mar 2026'!$A$8:$F$206,6,FALSE)</f>
        <v>Chq Bk</v>
      </c>
      <c r="G143" s="209"/>
      <c r="H143" s="191">
        <v>0</v>
      </c>
      <c r="I143" s="864">
        <v>0</v>
      </c>
      <c r="J143" s="191">
        <v>0</v>
      </c>
      <c r="K143" s="864">
        <v>0</v>
      </c>
      <c r="L143" s="191">
        <v>0</v>
      </c>
      <c r="M143" s="864">
        <v>0</v>
      </c>
      <c r="N143" s="191">
        <v>0</v>
      </c>
      <c r="O143" s="864">
        <v>0</v>
      </c>
      <c r="P143" s="198">
        <f t="shared" si="17"/>
        <v>0</v>
      </c>
      <c r="R143" s="33">
        <f t="shared" si="12"/>
        <v>0</v>
      </c>
      <c r="S143" s="33">
        <f t="shared" si="16"/>
        <v>0</v>
      </c>
      <c r="T143" s="58">
        <f t="shared" si="18"/>
        <v>0</v>
      </c>
    </row>
    <row r="144" spans="1:20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Mar 2026'!$A$8:$F$206,6,FALSE)</f>
        <v>Academy</v>
      </c>
      <c r="G144" s="209"/>
      <c r="H144" s="191">
        <v>0</v>
      </c>
      <c r="I144" s="864">
        <v>0</v>
      </c>
      <c r="J144" s="191"/>
      <c r="K144" s="864"/>
      <c r="L144" s="191">
        <v>0</v>
      </c>
      <c r="M144" s="864">
        <v>0</v>
      </c>
      <c r="N144" s="191">
        <v>0</v>
      </c>
      <c r="O144" s="864">
        <v>0</v>
      </c>
      <c r="P144" s="198">
        <f t="shared" si="17"/>
        <v>0</v>
      </c>
      <c r="R144" s="33">
        <f t="shared" si="12"/>
        <v>0</v>
      </c>
      <c r="S144" s="33">
        <f t="shared" si="16"/>
        <v>0</v>
      </c>
      <c r="T144" s="58">
        <f t="shared" si="18"/>
        <v>0</v>
      </c>
    </row>
    <row r="145" spans="1:20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Mar 2026'!$A$8:$F$206,6,FALSE)</f>
        <v>Chq Bk</v>
      </c>
      <c r="G145" s="209"/>
      <c r="H145" s="191">
        <v>12558.4</v>
      </c>
      <c r="I145" s="864">
        <v>-9.6000000000000227</v>
      </c>
      <c r="J145" s="191">
        <v>11485.97</v>
      </c>
      <c r="K145" s="864">
        <v>-34.19</v>
      </c>
      <c r="L145" s="191">
        <v>26903.477504999981</v>
      </c>
      <c r="M145" s="864">
        <v>-13.98</v>
      </c>
      <c r="N145" s="191">
        <v>9133.5499999999993</v>
      </c>
      <c r="O145" s="864">
        <v>-45.74</v>
      </c>
      <c r="P145" s="198">
        <f t="shared" si="17"/>
        <v>59977.88750499997</v>
      </c>
      <c r="R145" s="33">
        <f t="shared" si="12"/>
        <v>60081.397504999986</v>
      </c>
      <c r="S145" s="33">
        <f t="shared" si="16"/>
        <v>-103.51000000000002</v>
      </c>
      <c r="T145" s="58">
        <f t="shared" si="18"/>
        <v>0</v>
      </c>
    </row>
    <row r="146" spans="1:20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Mar 2026'!$A$8:$F$206,6,FALSE)</f>
        <v>Chq Bk</v>
      </c>
      <c r="G146" s="209"/>
      <c r="H146" s="191">
        <v>2839.59</v>
      </c>
      <c r="I146" s="864">
        <v>-17.43</v>
      </c>
      <c r="J146" s="191">
        <v>2144.6</v>
      </c>
      <c r="K146" s="864">
        <v>-10.17</v>
      </c>
      <c r="L146" s="191">
        <v>8074.5497099998465</v>
      </c>
      <c r="M146" s="864">
        <v>-13.55</v>
      </c>
      <c r="N146" s="191">
        <v>2221.69</v>
      </c>
      <c r="O146" s="864">
        <v>-17.239999999999998</v>
      </c>
      <c r="P146" s="198">
        <f t="shared" si="17"/>
        <v>15222.039709999848</v>
      </c>
      <c r="R146" s="33">
        <f t="shared" si="12"/>
        <v>15280.429709999848</v>
      </c>
      <c r="S146" s="33">
        <f t="shared" si="16"/>
        <v>-58.39</v>
      </c>
      <c r="T146" s="58">
        <f t="shared" si="18"/>
        <v>0</v>
      </c>
    </row>
    <row r="147" spans="1:20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Mar 2026'!$A$8:$F$206,6,FALSE)</f>
        <v>Chq Bk</v>
      </c>
      <c r="G147" s="209"/>
      <c r="H147" s="191">
        <v>0</v>
      </c>
      <c r="I147" s="864">
        <v>0</v>
      </c>
      <c r="J147" s="191">
        <v>0</v>
      </c>
      <c r="K147" s="864">
        <v>0</v>
      </c>
      <c r="L147" s="191">
        <v>0</v>
      </c>
      <c r="M147" s="864">
        <v>0</v>
      </c>
      <c r="N147" s="191">
        <v>0</v>
      </c>
      <c r="O147" s="864">
        <v>0</v>
      </c>
      <c r="P147" s="198">
        <f t="shared" si="17"/>
        <v>0</v>
      </c>
      <c r="R147" s="33">
        <f t="shared" si="12"/>
        <v>0</v>
      </c>
      <c r="S147" s="33">
        <f t="shared" ref="S147:S166" si="19">SUMIF($H$3:$O$3,S$6,$H147:$O147)</f>
        <v>0</v>
      </c>
      <c r="T147" s="58">
        <f t="shared" si="18"/>
        <v>0</v>
      </c>
    </row>
    <row r="148" spans="1:20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Mar 2026'!$A$8:$F$206,6,FALSE)</f>
        <v>Chq Bk</v>
      </c>
      <c r="G148" s="209"/>
      <c r="H148" s="191">
        <v>0</v>
      </c>
      <c r="I148" s="864">
        <v>0</v>
      </c>
      <c r="J148" s="191">
        <v>0</v>
      </c>
      <c r="K148" s="864">
        <v>0</v>
      </c>
      <c r="L148" s="191">
        <v>0</v>
      </c>
      <c r="M148" s="864">
        <v>0</v>
      </c>
      <c r="N148" s="191">
        <v>0</v>
      </c>
      <c r="O148" s="864">
        <v>0</v>
      </c>
      <c r="P148" s="198">
        <f t="shared" si="17"/>
        <v>0</v>
      </c>
      <c r="R148" s="33">
        <f t="shared" si="12"/>
        <v>0</v>
      </c>
      <c r="S148" s="33">
        <f t="shared" si="19"/>
        <v>0</v>
      </c>
      <c r="T148" s="58">
        <f t="shared" si="18"/>
        <v>0</v>
      </c>
    </row>
    <row r="149" spans="1:20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Mar 2026'!$A$8:$F$206,6,FALSE)</f>
        <v>Chq Bk</v>
      </c>
      <c r="G149" s="209"/>
      <c r="H149" s="191">
        <v>0</v>
      </c>
      <c r="I149" s="864">
        <v>0</v>
      </c>
      <c r="J149" s="191">
        <v>0</v>
      </c>
      <c r="K149" s="864">
        <v>0</v>
      </c>
      <c r="L149" s="191">
        <v>0</v>
      </c>
      <c r="M149" s="864">
        <v>0</v>
      </c>
      <c r="N149" s="191">
        <v>0</v>
      </c>
      <c r="O149" s="864">
        <v>0</v>
      </c>
      <c r="P149" s="198">
        <f t="shared" si="17"/>
        <v>0</v>
      </c>
      <c r="R149" s="33">
        <f t="shared" si="12"/>
        <v>0</v>
      </c>
      <c r="S149" s="33">
        <f t="shared" si="19"/>
        <v>0</v>
      </c>
      <c r="T149" s="58">
        <f t="shared" si="18"/>
        <v>0</v>
      </c>
    </row>
    <row r="150" spans="1:20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Mar 2026'!$A$8:$F$206,6,FALSE)</f>
        <v>Chq Bk</v>
      </c>
      <c r="G150" s="209"/>
      <c r="H150" s="191">
        <v>0</v>
      </c>
      <c r="I150" s="864">
        <v>0</v>
      </c>
      <c r="J150" s="191">
        <v>0</v>
      </c>
      <c r="K150" s="864">
        <v>0</v>
      </c>
      <c r="L150" s="191">
        <v>0</v>
      </c>
      <c r="M150" s="864">
        <v>0</v>
      </c>
      <c r="N150" s="191">
        <v>0</v>
      </c>
      <c r="O150" s="864">
        <v>0</v>
      </c>
      <c r="P150" s="198">
        <f t="shared" si="17"/>
        <v>0</v>
      </c>
      <c r="R150" s="33">
        <f t="shared" si="12"/>
        <v>0</v>
      </c>
      <c r="S150" s="33">
        <f t="shared" si="19"/>
        <v>0</v>
      </c>
      <c r="T150" s="58">
        <f t="shared" si="18"/>
        <v>0</v>
      </c>
    </row>
    <row r="151" spans="1:20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Mar 2026'!$A$8:$F$206,6,FALSE)</f>
        <v>Chq Bk</v>
      </c>
      <c r="G151" s="209"/>
      <c r="H151" s="191">
        <v>12676.41</v>
      </c>
      <c r="I151" s="864">
        <v>-5.08</v>
      </c>
      <c r="J151" s="191">
        <v>8766.44</v>
      </c>
      <c r="K151" s="864">
        <v>-3.4400000000000004</v>
      </c>
      <c r="L151" s="191">
        <v>25659.584669999906</v>
      </c>
      <c r="M151" s="864">
        <v>0</v>
      </c>
      <c r="N151" s="191">
        <v>7239.51</v>
      </c>
      <c r="O151" s="864">
        <v>-2.71</v>
      </c>
      <c r="P151" s="198">
        <f t="shared" si="17"/>
        <v>54330.714669999914</v>
      </c>
      <c r="R151" s="33">
        <f t="shared" si="12"/>
        <v>54341.944669999903</v>
      </c>
      <c r="S151" s="33">
        <f t="shared" si="19"/>
        <v>-11.23</v>
      </c>
      <c r="T151" s="58">
        <f t="shared" si="18"/>
        <v>0</v>
      </c>
    </row>
    <row r="152" spans="1:20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Mar 2026'!$A$8:$F$206,6,FALSE)</f>
        <v>Chq Bk</v>
      </c>
      <c r="G152" s="209"/>
      <c r="H152" s="191">
        <v>2576.19</v>
      </c>
      <c r="I152" s="864">
        <v>-16.059999999999999</v>
      </c>
      <c r="J152" s="191">
        <v>1862.37</v>
      </c>
      <c r="K152" s="864">
        <v>-36.229999999999997</v>
      </c>
      <c r="L152" s="191">
        <v>6577.9272999999639</v>
      </c>
      <c r="M152" s="864">
        <v>-5.4699999999999989</v>
      </c>
      <c r="N152" s="191">
        <v>1723.75</v>
      </c>
      <c r="O152" s="864">
        <v>-15.8</v>
      </c>
      <c r="P152" s="198">
        <f t="shared" si="17"/>
        <v>12666.677299999965</v>
      </c>
      <c r="R152" s="33">
        <f t="shared" si="12"/>
        <v>12740.237299999964</v>
      </c>
      <c r="S152" s="33">
        <f t="shared" si="19"/>
        <v>-73.559999999999988</v>
      </c>
      <c r="T152" s="58">
        <f t="shared" si="18"/>
        <v>0</v>
      </c>
    </row>
    <row r="153" spans="1:20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Mar 2026'!$A$8:$F$206,6,FALSE)</f>
        <v>Chq Bk</v>
      </c>
      <c r="G153" s="209"/>
      <c r="H153" s="191">
        <v>0</v>
      </c>
      <c r="I153" s="864">
        <v>0</v>
      </c>
      <c r="J153" s="191">
        <v>0</v>
      </c>
      <c r="K153" s="864">
        <v>0</v>
      </c>
      <c r="L153" s="191">
        <v>0</v>
      </c>
      <c r="M153" s="864">
        <v>0</v>
      </c>
      <c r="N153" s="191">
        <v>0</v>
      </c>
      <c r="O153" s="864">
        <v>0</v>
      </c>
      <c r="P153" s="198">
        <f t="shared" si="17"/>
        <v>0</v>
      </c>
      <c r="R153" s="33">
        <f t="shared" si="12"/>
        <v>0</v>
      </c>
      <c r="S153" s="33">
        <f t="shared" si="19"/>
        <v>0</v>
      </c>
      <c r="T153" s="58">
        <f t="shared" si="18"/>
        <v>0</v>
      </c>
    </row>
    <row r="154" spans="1:20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Mar 2026'!$A$8:$F$206,6,FALSE)</f>
        <v>Chq Bk</v>
      </c>
      <c r="G154" s="209"/>
      <c r="H154" s="191">
        <v>1726.27</v>
      </c>
      <c r="I154" s="864">
        <v>-3.12</v>
      </c>
      <c r="J154" s="191">
        <v>1933.55</v>
      </c>
      <c r="K154" s="864">
        <v>-3.4000000000000057</v>
      </c>
      <c r="L154" s="191">
        <v>594.46492999995223</v>
      </c>
      <c r="M154" s="864">
        <v>-46.35</v>
      </c>
      <c r="N154" s="191">
        <v>1151.8699999999999</v>
      </c>
      <c r="O154" s="864">
        <v>-26.68</v>
      </c>
      <c r="P154" s="198">
        <f t="shared" si="17"/>
        <v>5326.6049299999513</v>
      </c>
      <c r="R154" s="33">
        <f t="shared" si="12"/>
        <v>5406.1549299999515</v>
      </c>
      <c r="S154" s="33">
        <f t="shared" si="19"/>
        <v>-79.550000000000011</v>
      </c>
      <c r="T154" s="58">
        <f t="shared" si="18"/>
        <v>0</v>
      </c>
    </row>
    <row r="155" spans="1:20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Mar 2026'!$A$8:$F$206,6,FALSE)</f>
        <v>Chq Bk</v>
      </c>
      <c r="G155" s="209"/>
      <c r="H155" s="191">
        <v>0</v>
      </c>
      <c r="I155" s="864">
        <v>0</v>
      </c>
      <c r="J155" s="191">
        <v>0</v>
      </c>
      <c r="K155" s="864">
        <v>0</v>
      </c>
      <c r="L155" s="191">
        <v>0</v>
      </c>
      <c r="M155" s="864">
        <v>0</v>
      </c>
      <c r="N155" s="191">
        <v>0</v>
      </c>
      <c r="O155" s="864">
        <v>0</v>
      </c>
      <c r="P155" s="198">
        <f t="shared" si="17"/>
        <v>0</v>
      </c>
      <c r="R155" s="33">
        <f t="shared" ref="R155:R206" si="20">SUMIF($H$3:$O$3,R$6,$H155:$O155)</f>
        <v>0</v>
      </c>
      <c r="S155" s="33">
        <f t="shared" si="19"/>
        <v>0</v>
      </c>
      <c r="T155" s="58">
        <f t="shared" si="18"/>
        <v>0</v>
      </c>
    </row>
    <row r="156" spans="1:20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Mar 2026'!$A$8:$F$206,6,FALSE)</f>
        <v>Chq Bk</v>
      </c>
      <c r="G156" s="209"/>
      <c r="H156" s="191">
        <v>0</v>
      </c>
      <c r="I156" s="864">
        <v>0</v>
      </c>
      <c r="J156" s="191">
        <v>0</v>
      </c>
      <c r="K156" s="864">
        <v>0</v>
      </c>
      <c r="L156" s="191">
        <v>0</v>
      </c>
      <c r="M156" s="864">
        <v>0</v>
      </c>
      <c r="N156" s="191">
        <v>0</v>
      </c>
      <c r="O156" s="864">
        <v>0</v>
      </c>
      <c r="P156" s="198">
        <f t="shared" si="17"/>
        <v>0</v>
      </c>
      <c r="R156" s="33">
        <f t="shared" si="20"/>
        <v>0</v>
      </c>
      <c r="S156" s="33">
        <f t="shared" si="19"/>
        <v>0</v>
      </c>
      <c r="T156" s="58">
        <f t="shared" si="18"/>
        <v>0</v>
      </c>
    </row>
    <row r="157" spans="1:20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Mar 2026'!$A$8:$F$206,6,FALSE)</f>
        <v>Chq Bk</v>
      </c>
      <c r="G157" s="209"/>
      <c r="H157" s="191">
        <v>0</v>
      </c>
      <c r="I157" s="864">
        <v>0</v>
      </c>
      <c r="J157" s="191">
        <v>0</v>
      </c>
      <c r="K157" s="864">
        <v>0</v>
      </c>
      <c r="L157" s="191">
        <v>0</v>
      </c>
      <c r="M157" s="864">
        <v>0</v>
      </c>
      <c r="N157" s="191">
        <v>0</v>
      </c>
      <c r="O157" s="864">
        <v>0</v>
      </c>
      <c r="P157" s="198">
        <f t="shared" si="17"/>
        <v>0</v>
      </c>
      <c r="R157" s="33">
        <f t="shared" si="20"/>
        <v>0</v>
      </c>
      <c r="S157" s="33">
        <f t="shared" si="19"/>
        <v>0</v>
      </c>
      <c r="T157" s="58">
        <f t="shared" si="18"/>
        <v>0</v>
      </c>
    </row>
    <row r="158" spans="1:20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Mar 2026'!$A$8:$F$206,6,FALSE)</f>
        <v>Chq Bk</v>
      </c>
      <c r="G158" s="209"/>
      <c r="H158" s="191">
        <v>0</v>
      </c>
      <c r="I158" s="864">
        <v>0</v>
      </c>
      <c r="J158" s="191">
        <v>0</v>
      </c>
      <c r="K158" s="864">
        <v>0</v>
      </c>
      <c r="L158" s="191">
        <v>0</v>
      </c>
      <c r="M158" s="864">
        <v>0</v>
      </c>
      <c r="N158" s="191">
        <v>0</v>
      </c>
      <c r="O158" s="864">
        <v>0</v>
      </c>
      <c r="P158" s="198">
        <f t="shared" si="17"/>
        <v>0</v>
      </c>
      <c r="R158" s="33">
        <f t="shared" si="20"/>
        <v>0</v>
      </c>
      <c r="S158" s="33">
        <f t="shared" si="19"/>
        <v>0</v>
      </c>
      <c r="T158" s="58">
        <f t="shared" si="18"/>
        <v>0</v>
      </c>
    </row>
    <row r="159" spans="1:20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Mar 2026'!$A$8:$F$206,6,FALSE)</f>
        <v>Chq Bk</v>
      </c>
      <c r="G159" s="209"/>
      <c r="H159" s="191">
        <v>0</v>
      </c>
      <c r="I159" s="864">
        <v>0</v>
      </c>
      <c r="J159" s="191">
        <v>0</v>
      </c>
      <c r="K159" s="864">
        <v>0</v>
      </c>
      <c r="L159" s="191">
        <v>0</v>
      </c>
      <c r="M159" s="864">
        <v>0</v>
      </c>
      <c r="N159" s="191">
        <v>0</v>
      </c>
      <c r="O159" s="864">
        <v>0</v>
      </c>
      <c r="P159" s="198">
        <f t="shared" si="17"/>
        <v>0</v>
      </c>
      <c r="R159" s="33">
        <f t="shared" si="20"/>
        <v>0</v>
      </c>
      <c r="S159" s="33">
        <f t="shared" si="19"/>
        <v>0</v>
      </c>
      <c r="T159" s="58">
        <f t="shared" si="18"/>
        <v>0</v>
      </c>
    </row>
    <row r="160" spans="1:20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Mar 2026'!$A$8:$F$206,6,FALSE)</f>
        <v>Chq Bk</v>
      </c>
      <c r="G160" s="209"/>
      <c r="H160" s="191">
        <v>4126.9799999999996</v>
      </c>
      <c r="I160" s="864">
        <v>-39.839999999999975</v>
      </c>
      <c r="J160" s="191">
        <v>3395.3599999999997</v>
      </c>
      <c r="K160" s="864">
        <v>-40.340000000000003</v>
      </c>
      <c r="L160" s="191">
        <v>12033.935225000005</v>
      </c>
      <c r="M160" s="864">
        <v>-37.299999999999997</v>
      </c>
      <c r="N160" s="191">
        <v>3057.54</v>
      </c>
      <c r="O160" s="864">
        <v>-30.03</v>
      </c>
      <c r="P160" s="198">
        <f t="shared" si="17"/>
        <v>22466.305225000007</v>
      </c>
      <c r="R160" s="33">
        <f t="shared" si="20"/>
        <v>22613.815225000006</v>
      </c>
      <c r="S160" s="33">
        <f t="shared" si="19"/>
        <v>-147.51</v>
      </c>
      <c r="T160" s="58">
        <f t="shared" si="18"/>
        <v>0</v>
      </c>
    </row>
    <row r="161" spans="1:20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Mar 2026'!$A$8:$F$206,6,FALSE)</f>
        <v>Academy</v>
      </c>
      <c r="G161" s="209"/>
      <c r="H161" s="191">
        <v>1376.3400000000001</v>
      </c>
      <c r="I161" s="864">
        <v>-4.6900000000000004</v>
      </c>
      <c r="J161" s="191"/>
      <c r="K161" s="864"/>
      <c r="L161" s="191"/>
      <c r="M161" s="864"/>
      <c r="N161" s="191">
        <v>0</v>
      </c>
      <c r="O161" s="864">
        <v>0</v>
      </c>
      <c r="P161" s="198">
        <f t="shared" si="17"/>
        <v>1371.65</v>
      </c>
      <c r="R161" s="33">
        <f t="shared" si="20"/>
        <v>1376.3400000000001</v>
      </c>
      <c r="S161" s="33">
        <f t="shared" si="19"/>
        <v>-4.6900000000000004</v>
      </c>
      <c r="T161" s="58">
        <f t="shared" si="18"/>
        <v>0</v>
      </c>
    </row>
    <row r="162" spans="1:20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Mar 2026'!$A$8:$F$206,6,FALSE)</f>
        <v>Chq Bk</v>
      </c>
      <c r="G162" s="209"/>
      <c r="H162" s="191">
        <v>1243.25</v>
      </c>
      <c r="I162" s="864">
        <v>-55.96</v>
      </c>
      <c r="J162" s="191">
        <v>1321.36</v>
      </c>
      <c r="K162" s="864">
        <v>-22.03</v>
      </c>
      <c r="L162" s="191">
        <v>0</v>
      </c>
      <c r="M162" s="864">
        <v>-6.86</v>
      </c>
      <c r="N162" s="191">
        <v>327.39999999999998</v>
      </c>
      <c r="O162" s="864">
        <v>-39.31</v>
      </c>
      <c r="P162" s="198">
        <f t="shared" si="17"/>
        <v>2767.8499999999995</v>
      </c>
      <c r="R162" s="33">
        <f t="shared" si="20"/>
        <v>2892.0099999999998</v>
      </c>
      <c r="S162" s="33">
        <f t="shared" si="19"/>
        <v>-124.16000000000001</v>
      </c>
      <c r="T162" s="58">
        <f t="shared" si="18"/>
        <v>0</v>
      </c>
    </row>
    <row r="163" spans="1:20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Mar 2026'!$A$8:$F$206,6,FALSE)</f>
        <v>Chq Bk</v>
      </c>
      <c r="G163" s="209"/>
      <c r="H163" s="191">
        <v>0</v>
      </c>
      <c r="I163" s="864">
        <v>0</v>
      </c>
      <c r="J163" s="191">
        <v>0</v>
      </c>
      <c r="K163" s="864">
        <v>0</v>
      </c>
      <c r="L163" s="191">
        <v>0</v>
      </c>
      <c r="M163" s="864">
        <v>0</v>
      </c>
      <c r="N163" s="191">
        <v>0</v>
      </c>
      <c r="O163" s="864">
        <v>0</v>
      </c>
      <c r="P163" s="198">
        <f t="shared" si="17"/>
        <v>0</v>
      </c>
      <c r="R163" s="33">
        <f t="shared" si="20"/>
        <v>0</v>
      </c>
      <c r="S163" s="33">
        <f t="shared" si="19"/>
        <v>0</v>
      </c>
      <c r="T163" s="58">
        <f t="shared" si="18"/>
        <v>0</v>
      </c>
    </row>
    <row r="164" spans="1:20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Mar 2026'!$A$8:$F$206,6,FALSE)</f>
        <v>Chq Bk</v>
      </c>
      <c r="G164" s="209"/>
      <c r="H164" s="191">
        <v>0</v>
      </c>
      <c r="I164" s="864">
        <v>0</v>
      </c>
      <c r="J164" s="191">
        <v>0</v>
      </c>
      <c r="K164" s="864">
        <v>0</v>
      </c>
      <c r="L164" s="191">
        <v>0</v>
      </c>
      <c r="M164" s="864">
        <v>0</v>
      </c>
      <c r="N164" s="191">
        <v>0</v>
      </c>
      <c r="O164" s="864">
        <v>0</v>
      </c>
      <c r="P164" s="198">
        <f t="shared" si="17"/>
        <v>0</v>
      </c>
      <c r="R164" s="33">
        <f t="shared" si="20"/>
        <v>0</v>
      </c>
      <c r="S164" s="33">
        <f t="shared" si="19"/>
        <v>0</v>
      </c>
      <c r="T164" s="58">
        <f t="shared" si="18"/>
        <v>0</v>
      </c>
    </row>
    <row r="165" spans="1:20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Mar 2026'!$A$8:$F$206,6,FALSE)</f>
        <v>Chq Bk</v>
      </c>
      <c r="G165" s="209"/>
      <c r="H165" s="191">
        <v>3699.64</v>
      </c>
      <c r="I165" s="864">
        <v>-16.589999999999975</v>
      </c>
      <c r="J165" s="191">
        <v>2581.7199999999998</v>
      </c>
      <c r="K165" s="864">
        <v>-62.42</v>
      </c>
      <c r="L165" s="191">
        <v>4637.5828250000677</v>
      </c>
      <c r="M165" s="864">
        <v>-5.34</v>
      </c>
      <c r="N165" s="191">
        <v>2775.96</v>
      </c>
      <c r="O165" s="864">
        <v>-55.98</v>
      </c>
      <c r="P165" s="198">
        <f t="shared" si="17"/>
        <v>13554.572825000068</v>
      </c>
      <c r="R165" s="33">
        <f t="shared" si="20"/>
        <v>13694.902825000067</v>
      </c>
      <c r="S165" s="33">
        <f t="shared" si="19"/>
        <v>-140.32999999999998</v>
      </c>
      <c r="T165" s="58">
        <f t="shared" si="18"/>
        <v>0</v>
      </c>
    </row>
    <row r="166" spans="1:20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Mar 2026'!$A$8:$F$206,6,FALSE)</f>
        <v>Chq Bk</v>
      </c>
      <c r="G166" s="209"/>
      <c r="H166" s="191">
        <v>5001.8</v>
      </c>
      <c r="I166" s="864">
        <v>-3.13</v>
      </c>
      <c r="J166" s="191">
        <v>4621.63</v>
      </c>
      <c r="K166" s="864">
        <v>-5.1699999999999875</v>
      </c>
      <c r="L166" s="191">
        <v>9666.047163232779</v>
      </c>
      <c r="M166" s="864">
        <v>-6.13</v>
      </c>
      <c r="N166" s="191">
        <v>3022.07</v>
      </c>
      <c r="O166" s="864">
        <v>-50.98</v>
      </c>
      <c r="P166" s="198">
        <f t="shared" si="17"/>
        <v>22246.137163232779</v>
      </c>
      <c r="R166" s="33">
        <f t="shared" si="20"/>
        <v>22311.547163232779</v>
      </c>
      <c r="S166" s="33">
        <f t="shared" si="19"/>
        <v>-65.409999999999982</v>
      </c>
      <c r="T166" s="58">
        <f t="shared" si="18"/>
        <v>0</v>
      </c>
    </row>
    <row r="167" spans="1:20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Mar 2026'!$A$8:$F$206,6,FALSE)</f>
        <v>Chq Bk</v>
      </c>
      <c r="G167" s="209"/>
      <c r="H167" s="191">
        <v>3780.3200000000006</v>
      </c>
      <c r="I167" s="864">
        <v>-1.9</v>
      </c>
      <c r="J167" s="191">
        <v>3845.7300000000005</v>
      </c>
      <c r="K167" s="864">
        <v>-6.6100000000000136</v>
      </c>
      <c r="L167" s="191">
        <v>4923.9853150000254</v>
      </c>
      <c r="M167" s="864">
        <v>-3.42</v>
      </c>
      <c r="N167" s="191">
        <v>2328.19</v>
      </c>
      <c r="O167" s="864">
        <v>-35.729999999999997</v>
      </c>
      <c r="P167" s="198">
        <f t="shared" ref="P167:P198" si="21">SUM(H167:O167)</f>
        <v>14830.565315000029</v>
      </c>
      <c r="R167" s="33">
        <f t="shared" si="20"/>
        <v>14878.225315000027</v>
      </c>
      <c r="S167" s="33">
        <f t="shared" ref="S167:S186" si="22">SUMIF($H$3:$O$3,S$6,$H167:$O167)</f>
        <v>-47.660000000000011</v>
      </c>
      <c r="T167" s="58">
        <f t="shared" ref="T167:T198" si="23">SUM(R167:S167)-P167</f>
        <v>0</v>
      </c>
    </row>
    <row r="168" spans="1:20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Mar 2026'!$A$8:$F$206,6,FALSE)</f>
        <v>Chq Bk</v>
      </c>
      <c r="G168" s="209"/>
      <c r="H168" s="191">
        <v>161.81</v>
      </c>
      <c r="I168" s="864">
        <v>-5.89</v>
      </c>
      <c r="J168" s="191">
        <v>7.0599999999999987</v>
      </c>
      <c r="K168" s="864">
        <v>-18.579999999999984</v>
      </c>
      <c r="L168" s="191">
        <v>0</v>
      </c>
      <c r="M168" s="864">
        <v>0</v>
      </c>
      <c r="N168" s="191">
        <v>0</v>
      </c>
      <c r="O168" s="864">
        <v>-138.56</v>
      </c>
      <c r="P168" s="198">
        <f t="shared" si="21"/>
        <v>5.8400000000000318</v>
      </c>
      <c r="R168" s="33">
        <f t="shared" si="20"/>
        <v>168.87</v>
      </c>
      <c r="S168" s="33">
        <f t="shared" si="22"/>
        <v>-163.02999999999997</v>
      </c>
      <c r="T168" s="58">
        <f t="shared" si="23"/>
        <v>0</v>
      </c>
    </row>
    <row r="169" spans="1:20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Mar 2026'!$A$8:$F$206,6,FALSE)</f>
        <v>Chq Bk</v>
      </c>
      <c r="G169" s="209"/>
      <c r="H169" s="191">
        <v>1328.25</v>
      </c>
      <c r="I169" s="864">
        <v>-13.149999999999977</v>
      </c>
      <c r="J169" s="191">
        <v>1913.4300000000003</v>
      </c>
      <c r="K169" s="864">
        <v>-33.78</v>
      </c>
      <c r="L169" s="191">
        <v>0</v>
      </c>
      <c r="M169" s="864">
        <v>0</v>
      </c>
      <c r="N169" s="191">
        <v>1952.75</v>
      </c>
      <c r="O169" s="864">
        <v>-49.98</v>
      </c>
      <c r="P169" s="198">
        <f t="shared" si="21"/>
        <v>5097.5200000000004</v>
      </c>
      <c r="R169" s="33">
        <f t="shared" si="20"/>
        <v>5194.43</v>
      </c>
      <c r="S169" s="33">
        <f t="shared" si="22"/>
        <v>-96.909999999999968</v>
      </c>
      <c r="T169" s="58">
        <f t="shared" si="23"/>
        <v>0</v>
      </c>
    </row>
    <row r="170" spans="1:20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Mar 2026'!$A$8:$F$206,6,FALSE)</f>
        <v>Chq Bk</v>
      </c>
      <c r="G170" s="209"/>
      <c r="H170" s="191">
        <v>471.16</v>
      </c>
      <c r="I170" s="864">
        <v>-53.45</v>
      </c>
      <c r="J170" s="191">
        <v>166.41</v>
      </c>
      <c r="K170" s="864">
        <v>-70.400000000000006</v>
      </c>
      <c r="L170" s="191">
        <v>0</v>
      </c>
      <c r="M170" s="864">
        <v>0</v>
      </c>
      <c r="N170" s="191">
        <v>0</v>
      </c>
      <c r="O170" s="864">
        <v>-15.15</v>
      </c>
      <c r="P170" s="198">
        <f t="shared" si="21"/>
        <v>498.57000000000005</v>
      </c>
      <c r="R170" s="33">
        <f t="shared" si="20"/>
        <v>637.57000000000005</v>
      </c>
      <c r="S170" s="33">
        <f t="shared" si="22"/>
        <v>-139</v>
      </c>
      <c r="T170" s="58">
        <f t="shared" si="23"/>
        <v>0</v>
      </c>
    </row>
    <row r="171" spans="1:20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Mar 2026'!$A$8:$F$206,6,FALSE)</f>
        <v>Chq Bk</v>
      </c>
      <c r="G171" s="209"/>
      <c r="H171" s="191">
        <v>1852.57</v>
      </c>
      <c r="I171" s="864">
        <v>-8.7699999999999818</v>
      </c>
      <c r="J171" s="191">
        <v>5248.31</v>
      </c>
      <c r="K171" s="864">
        <v>-14.49</v>
      </c>
      <c r="L171" s="191">
        <v>0</v>
      </c>
      <c r="M171" s="864">
        <v>0</v>
      </c>
      <c r="N171" s="191">
        <v>3962.86</v>
      </c>
      <c r="O171" s="864">
        <v>-49.85</v>
      </c>
      <c r="P171" s="198">
        <f t="shared" si="21"/>
        <v>10990.630000000001</v>
      </c>
      <c r="R171" s="33">
        <f t="shared" si="20"/>
        <v>11063.74</v>
      </c>
      <c r="S171" s="33">
        <f t="shared" si="22"/>
        <v>-73.109999999999985</v>
      </c>
      <c r="T171" s="58">
        <f t="shared" si="23"/>
        <v>0</v>
      </c>
    </row>
    <row r="172" spans="1:20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Mar 2026'!$A$8:$F$206,6,FALSE)</f>
        <v>Academy</v>
      </c>
      <c r="G172" s="209"/>
      <c r="H172" s="191">
        <v>0</v>
      </c>
      <c r="I172" s="864">
        <v>0</v>
      </c>
      <c r="J172" s="191"/>
      <c r="K172" s="864"/>
      <c r="L172" s="191"/>
      <c r="M172" s="864"/>
      <c r="N172" s="191">
        <v>0</v>
      </c>
      <c r="O172" s="864">
        <v>0</v>
      </c>
      <c r="P172" s="198">
        <f t="shared" si="21"/>
        <v>0</v>
      </c>
      <c r="R172" s="33">
        <f t="shared" si="20"/>
        <v>0</v>
      </c>
      <c r="S172" s="33">
        <f t="shared" si="22"/>
        <v>0</v>
      </c>
      <c r="T172" s="58">
        <f t="shared" si="23"/>
        <v>0</v>
      </c>
    </row>
    <row r="173" spans="1:20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Mar 2026'!$A$8:$F$206,6,FALSE)</f>
        <v>Chq Bk</v>
      </c>
      <c r="G173" s="209"/>
      <c r="H173" s="191">
        <v>428.75</v>
      </c>
      <c r="I173" s="864">
        <v>-6.38</v>
      </c>
      <c r="J173" s="191">
        <v>113.2</v>
      </c>
      <c r="K173" s="864">
        <v>-18.5</v>
      </c>
      <c r="L173" s="191">
        <v>0</v>
      </c>
      <c r="M173" s="864">
        <v>0</v>
      </c>
      <c r="N173" s="191">
        <v>2.44</v>
      </c>
      <c r="O173" s="864">
        <v>-50.07</v>
      </c>
      <c r="P173" s="198">
        <f t="shared" si="21"/>
        <v>469.44000000000011</v>
      </c>
      <c r="R173" s="33">
        <f t="shared" si="20"/>
        <v>544.3900000000001</v>
      </c>
      <c r="S173" s="33">
        <f t="shared" si="22"/>
        <v>-74.95</v>
      </c>
      <c r="T173" s="58">
        <f t="shared" si="23"/>
        <v>0</v>
      </c>
    </row>
    <row r="174" spans="1:20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Mar 2026'!$A$8:$F$206,6,FALSE)</f>
        <v>Chq Bk</v>
      </c>
      <c r="G174" s="209"/>
      <c r="H174" s="191">
        <v>0</v>
      </c>
      <c r="I174" s="864">
        <v>0</v>
      </c>
      <c r="J174" s="191">
        <v>0</v>
      </c>
      <c r="K174" s="864">
        <v>0</v>
      </c>
      <c r="L174" s="191">
        <v>552.73456999998007</v>
      </c>
      <c r="M174" s="864">
        <v>0</v>
      </c>
      <c r="N174" s="191">
        <v>0</v>
      </c>
      <c r="O174" s="864">
        <v>0</v>
      </c>
      <c r="P174" s="198">
        <f t="shared" si="21"/>
        <v>552.73456999998007</v>
      </c>
      <c r="R174" s="33">
        <f t="shared" si="20"/>
        <v>552.73456999998007</v>
      </c>
      <c r="S174" s="33">
        <f t="shared" si="22"/>
        <v>0</v>
      </c>
      <c r="T174" s="58">
        <f t="shared" si="23"/>
        <v>0</v>
      </c>
    </row>
    <row r="175" spans="1:20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Mar 2026'!$A$8:$F$206,6,FALSE)</f>
        <v>Chq Bk</v>
      </c>
      <c r="G175" s="209"/>
      <c r="H175" s="191">
        <v>908.23</v>
      </c>
      <c r="I175" s="864">
        <v>-0.8</v>
      </c>
      <c r="J175" s="191">
        <v>1613.24</v>
      </c>
      <c r="K175" s="864">
        <v>-4.82</v>
      </c>
      <c r="L175" s="191">
        <v>0</v>
      </c>
      <c r="M175" s="864">
        <v>0</v>
      </c>
      <c r="N175" s="191">
        <v>1233.3</v>
      </c>
      <c r="O175" s="864">
        <v>-4.78</v>
      </c>
      <c r="P175" s="198">
        <f t="shared" si="21"/>
        <v>3744.3699999999994</v>
      </c>
      <c r="R175" s="33">
        <f t="shared" si="20"/>
        <v>3754.7700000000004</v>
      </c>
      <c r="S175" s="33">
        <f t="shared" si="22"/>
        <v>-10.4</v>
      </c>
      <c r="T175" s="58">
        <f t="shared" si="23"/>
        <v>0</v>
      </c>
    </row>
    <row r="176" spans="1:20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Mar 2026'!$A$8:$F$206,6,FALSE)</f>
        <v>Chq Bk</v>
      </c>
      <c r="G176" s="209"/>
      <c r="H176" s="191">
        <v>817.46</v>
      </c>
      <c r="I176" s="864">
        <v>0</v>
      </c>
      <c r="J176" s="191">
        <v>4806.83</v>
      </c>
      <c r="K176" s="864">
        <v>-1.9499999999999886</v>
      </c>
      <c r="L176" s="191">
        <v>0</v>
      </c>
      <c r="M176" s="864">
        <v>0</v>
      </c>
      <c r="N176" s="191">
        <v>3748.64</v>
      </c>
      <c r="O176" s="864">
        <v>-19.36</v>
      </c>
      <c r="P176" s="198">
        <f t="shared" si="21"/>
        <v>9351.619999999999</v>
      </c>
      <c r="R176" s="33">
        <f t="shared" si="20"/>
        <v>9372.93</v>
      </c>
      <c r="S176" s="33">
        <f t="shared" si="22"/>
        <v>-21.309999999999988</v>
      </c>
      <c r="T176" s="58">
        <f t="shared" si="23"/>
        <v>0</v>
      </c>
    </row>
    <row r="177" spans="1:20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Mar 2026'!$A$8:$F$206,6,FALSE)</f>
        <v>Chq Bk</v>
      </c>
      <c r="G177" s="209"/>
      <c r="H177" s="191">
        <v>372.22</v>
      </c>
      <c r="I177" s="864">
        <v>-0.87000000000000455</v>
      </c>
      <c r="J177" s="191">
        <v>699.14</v>
      </c>
      <c r="K177" s="864">
        <v>-31.25</v>
      </c>
      <c r="L177" s="191">
        <v>0</v>
      </c>
      <c r="M177" s="864">
        <v>0</v>
      </c>
      <c r="N177" s="191">
        <v>622.70000000000005</v>
      </c>
      <c r="O177" s="864">
        <v>-39.53</v>
      </c>
      <c r="P177" s="198">
        <f t="shared" si="21"/>
        <v>1622.41</v>
      </c>
      <c r="R177" s="33">
        <f t="shared" si="20"/>
        <v>1694.0600000000002</v>
      </c>
      <c r="S177" s="33">
        <f t="shared" si="22"/>
        <v>-71.650000000000006</v>
      </c>
      <c r="T177" s="58">
        <f t="shared" si="23"/>
        <v>0</v>
      </c>
    </row>
    <row r="178" spans="1:20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Mar 2026'!$A$8:$F$206,6,FALSE)</f>
        <v>Chq Bk</v>
      </c>
      <c r="G178" s="209"/>
      <c r="H178" s="191">
        <v>1302.9500000000003</v>
      </c>
      <c r="I178" s="864">
        <v>-2.94</v>
      </c>
      <c r="J178" s="191">
        <v>4454.1499999999996</v>
      </c>
      <c r="K178" s="864">
        <v>-1.960000000000008</v>
      </c>
      <c r="L178" s="191">
        <v>0</v>
      </c>
      <c r="M178" s="864">
        <v>0</v>
      </c>
      <c r="N178" s="191">
        <v>1304.95</v>
      </c>
      <c r="O178" s="864">
        <v>-40.43</v>
      </c>
      <c r="P178" s="198">
        <f t="shared" si="21"/>
        <v>7016.7199999999993</v>
      </c>
      <c r="R178" s="33">
        <f t="shared" si="20"/>
        <v>7062.05</v>
      </c>
      <c r="S178" s="33">
        <f t="shared" si="22"/>
        <v>-45.330000000000005</v>
      </c>
      <c r="T178" s="58">
        <f t="shared" si="23"/>
        <v>0</v>
      </c>
    </row>
    <row r="179" spans="1:20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Mar 2026'!$A$8:$F$206,6,FALSE)</f>
        <v>Chq Bk</v>
      </c>
      <c r="G179" s="209"/>
      <c r="H179" s="191">
        <v>870.0200000000001</v>
      </c>
      <c r="I179" s="864">
        <v>-0.40999999999999659</v>
      </c>
      <c r="J179" s="191">
        <v>1433.48</v>
      </c>
      <c r="K179" s="864">
        <v>-28.799999999999997</v>
      </c>
      <c r="L179" s="191">
        <v>1581.3855000000001</v>
      </c>
      <c r="M179" s="864">
        <v>0</v>
      </c>
      <c r="N179" s="191">
        <v>1093.69</v>
      </c>
      <c r="O179" s="864">
        <v>-41.75</v>
      </c>
      <c r="P179" s="198">
        <f t="shared" si="21"/>
        <v>4907.6154999999999</v>
      </c>
      <c r="R179" s="33">
        <f t="shared" si="20"/>
        <v>4978.5755000000008</v>
      </c>
      <c r="S179" s="33">
        <f t="shared" si="22"/>
        <v>-70.959999999999994</v>
      </c>
      <c r="T179" s="58">
        <f t="shared" si="23"/>
        <v>0</v>
      </c>
    </row>
    <row r="180" spans="1:20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Mar 2026'!$A$8:$F$206,6,FALSE)</f>
        <v>Chq Bk</v>
      </c>
      <c r="G180" s="209"/>
      <c r="H180" s="191">
        <v>302.77999999999997</v>
      </c>
      <c r="I180" s="864">
        <v>-1.82</v>
      </c>
      <c r="J180" s="191">
        <v>2518.92</v>
      </c>
      <c r="K180" s="864">
        <v>-2.289999999999992</v>
      </c>
      <c r="L180" s="191">
        <v>777.21291499996619</v>
      </c>
      <c r="M180" s="864">
        <v>0</v>
      </c>
      <c r="N180" s="191">
        <v>3080.58</v>
      </c>
      <c r="O180" s="864">
        <v>-2.1</v>
      </c>
      <c r="P180" s="198">
        <f t="shared" si="21"/>
        <v>6673.2829149999661</v>
      </c>
      <c r="R180" s="33">
        <f t="shared" si="20"/>
        <v>6679.4929149999662</v>
      </c>
      <c r="S180" s="33">
        <f t="shared" si="22"/>
        <v>-6.209999999999992</v>
      </c>
      <c r="T180" s="58">
        <f t="shared" si="23"/>
        <v>0</v>
      </c>
    </row>
    <row r="181" spans="1:20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Mar 2026'!$A$8:$F$206,6,FALSE)</f>
        <v>Chq Bk</v>
      </c>
      <c r="G181" s="209"/>
      <c r="H181" s="191">
        <v>433.67999999999995</v>
      </c>
      <c r="I181" s="864">
        <v>-1.5699999999999932</v>
      </c>
      <c r="J181" s="191">
        <v>634.70000000000005</v>
      </c>
      <c r="K181" s="864">
        <v>-27.58</v>
      </c>
      <c r="L181" s="191">
        <v>0</v>
      </c>
      <c r="M181" s="864">
        <v>0</v>
      </c>
      <c r="N181" s="191">
        <v>0</v>
      </c>
      <c r="O181" s="864">
        <v>-43.87</v>
      </c>
      <c r="P181" s="198">
        <f t="shared" si="21"/>
        <v>995.36</v>
      </c>
      <c r="R181" s="33">
        <f t="shared" si="20"/>
        <v>1068.3800000000001</v>
      </c>
      <c r="S181" s="33">
        <f t="shared" si="22"/>
        <v>-73.019999999999982</v>
      </c>
      <c r="T181" s="58">
        <f t="shared" si="23"/>
        <v>0</v>
      </c>
    </row>
    <row r="182" spans="1:20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Mar 2026'!$A$8:$F$206,6,FALSE)</f>
        <v>Chq Bk</v>
      </c>
      <c r="G182" s="209"/>
      <c r="H182" s="191">
        <v>1849.93</v>
      </c>
      <c r="I182" s="864">
        <v>-3.3799999999999955</v>
      </c>
      <c r="J182" s="191">
        <v>3972.8199999999997</v>
      </c>
      <c r="K182" s="864">
        <v>-36.520000000000003</v>
      </c>
      <c r="L182" s="191">
        <v>0</v>
      </c>
      <c r="M182" s="864">
        <v>0</v>
      </c>
      <c r="N182" s="191">
        <v>1675.32</v>
      </c>
      <c r="O182" s="864">
        <v>-56.44</v>
      </c>
      <c r="P182" s="198">
        <f t="shared" si="21"/>
        <v>7401.73</v>
      </c>
      <c r="R182" s="33">
        <f t="shared" si="20"/>
        <v>7498.07</v>
      </c>
      <c r="S182" s="33">
        <f t="shared" si="22"/>
        <v>-96.34</v>
      </c>
      <c r="T182" s="58">
        <f t="shared" si="23"/>
        <v>0</v>
      </c>
    </row>
    <row r="183" spans="1:20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Mar 2026'!$A$8:$F$206,6,FALSE)</f>
        <v>Chq Bk</v>
      </c>
      <c r="G183" s="209"/>
      <c r="H183" s="191">
        <v>294.36000000000007</v>
      </c>
      <c r="I183" s="864">
        <v>0</v>
      </c>
      <c r="J183" s="191">
        <v>607.35</v>
      </c>
      <c r="K183" s="864">
        <v>-1.0500000000000114</v>
      </c>
      <c r="L183" s="191">
        <v>0</v>
      </c>
      <c r="M183" s="864">
        <v>0</v>
      </c>
      <c r="N183" s="191">
        <v>0</v>
      </c>
      <c r="O183" s="864">
        <v>-1.23</v>
      </c>
      <c r="P183" s="198">
        <f t="shared" si="21"/>
        <v>899.43000000000006</v>
      </c>
      <c r="R183" s="33">
        <f t="shared" si="20"/>
        <v>901.71</v>
      </c>
      <c r="S183" s="33">
        <f t="shared" si="22"/>
        <v>-2.2800000000000114</v>
      </c>
      <c r="T183" s="58">
        <f t="shared" si="23"/>
        <v>0</v>
      </c>
    </row>
    <row r="184" spans="1:20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Mar 2026'!$A$8:$F$206,6,FALSE)</f>
        <v>Chq Bk</v>
      </c>
      <c r="G184" s="209"/>
      <c r="H184" s="191">
        <v>765.24</v>
      </c>
      <c r="I184" s="864">
        <v>-2.9000000000000057</v>
      </c>
      <c r="J184" s="191">
        <v>712.02</v>
      </c>
      <c r="K184" s="864">
        <v>-38.520000000000003</v>
      </c>
      <c r="L184" s="191">
        <v>0</v>
      </c>
      <c r="M184" s="864">
        <v>0</v>
      </c>
      <c r="N184" s="191">
        <v>922.19</v>
      </c>
      <c r="O184" s="864">
        <v>-73.739999999999995</v>
      </c>
      <c r="P184" s="198">
        <f t="shared" si="21"/>
        <v>2284.2900000000004</v>
      </c>
      <c r="R184" s="33">
        <f t="shared" si="20"/>
        <v>2399.4499999999998</v>
      </c>
      <c r="S184" s="33">
        <f t="shared" si="22"/>
        <v>-115.16</v>
      </c>
      <c r="T184" s="58">
        <f t="shared" si="23"/>
        <v>0</v>
      </c>
    </row>
    <row r="185" spans="1:20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Mar 2026'!$A$8:$F$206,6,FALSE)</f>
        <v>Chq Bk</v>
      </c>
      <c r="G185" s="209"/>
      <c r="H185" s="191">
        <v>336.28</v>
      </c>
      <c r="I185" s="864">
        <v>-0.27</v>
      </c>
      <c r="J185" s="191">
        <v>369.4</v>
      </c>
      <c r="K185" s="864">
        <v>-1.1200000000000001</v>
      </c>
      <c r="L185" s="191">
        <v>0</v>
      </c>
      <c r="M185" s="864">
        <v>0</v>
      </c>
      <c r="N185" s="191">
        <v>133.03</v>
      </c>
      <c r="O185" s="864">
        <v>-1.93</v>
      </c>
      <c r="P185" s="198">
        <f t="shared" si="21"/>
        <v>835.39</v>
      </c>
      <c r="R185" s="33">
        <f t="shared" si="20"/>
        <v>838.70999999999992</v>
      </c>
      <c r="S185" s="33">
        <f t="shared" si="22"/>
        <v>-3.3200000000000003</v>
      </c>
      <c r="T185" s="58">
        <f t="shared" si="23"/>
        <v>0</v>
      </c>
    </row>
    <row r="186" spans="1:20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Mar 2026'!$A$8:$F$206,6,FALSE)</f>
        <v>Chq Bk</v>
      </c>
      <c r="G186" s="209"/>
      <c r="H186" s="191">
        <v>1568.0700000000002</v>
      </c>
      <c r="I186" s="864">
        <v>-4.2700000000000102</v>
      </c>
      <c r="J186" s="191">
        <v>2571.58</v>
      </c>
      <c r="K186" s="864">
        <v>-34.69</v>
      </c>
      <c r="L186" s="191">
        <v>1777.6372900000838</v>
      </c>
      <c r="M186" s="864">
        <v>0</v>
      </c>
      <c r="N186" s="191">
        <v>2045.17</v>
      </c>
      <c r="O186" s="864">
        <v>-57.78</v>
      </c>
      <c r="P186" s="198">
        <f t="shared" si="21"/>
        <v>7865.7172900000851</v>
      </c>
      <c r="R186" s="33">
        <f t="shared" si="20"/>
        <v>7962.457290000084</v>
      </c>
      <c r="S186" s="33">
        <f t="shared" si="22"/>
        <v>-96.740000000000009</v>
      </c>
      <c r="T186" s="58">
        <f t="shared" si="23"/>
        <v>0</v>
      </c>
    </row>
    <row r="187" spans="1:20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Mar 2026'!$A$8:$F$206,6,FALSE)</f>
        <v>Chq Bk</v>
      </c>
      <c r="G187" s="209"/>
      <c r="H187" s="191">
        <v>0</v>
      </c>
      <c r="I187" s="864">
        <v>0</v>
      </c>
      <c r="J187" s="191">
        <v>0</v>
      </c>
      <c r="K187" s="864">
        <v>0</v>
      </c>
      <c r="L187" s="191">
        <v>0</v>
      </c>
      <c r="M187" s="864">
        <v>0</v>
      </c>
      <c r="N187" s="191">
        <v>0</v>
      </c>
      <c r="O187" s="864">
        <v>0</v>
      </c>
      <c r="P187" s="198">
        <f t="shared" si="21"/>
        <v>0</v>
      </c>
      <c r="R187" s="33">
        <f t="shared" si="20"/>
        <v>0</v>
      </c>
      <c r="S187" s="33">
        <f t="shared" ref="S187:S206" si="24">SUMIF($H$3:$O$3,S$6,$H187:$O187)</f>
        <v>0</v>
      </c>
      <c r="T187" s="58">
        <f t="shared" si="23"/>
        <v>0</v>
      </c>
    </row>
    <row r="188" spans="1:20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Mar 2026'!$A$8:$F$206,6,FALSE)</f>
        <v>Chq Bk</v>
      </c>
      <c r="G188" s="209"/>
      <c r="H188" s="191">
        <v>678.96000000000015</v>
      </c>
      <c r="I188" s="864">
        <v>-1.47</v>
      </c>
      <c r="J188" s="191">
        <v>2150.9299999999998</v>
      </c>
      <c r="K188" s="864">
        <v>-25.410000000000025</v>
      </c>
      <c r="L188" s="191">
        <v>0</v>
      </c>
      <c r="M188" s="864">
        <v>0</v>
      </c>
      <c r="N188" s="191">
        <v>1360.32</v>
      </c>
      <c r="O188" s="864">
        <v>-51.91</v>
      </c>
      <c r="P188" s="198">
        <f t="shared" si="21"/>
        <v>4111.42</v>
      </c>
      <c r="R188" s="33">
        <f t="shared" si="20"/>
        <v>4190.21</v>
      </c>
      <c r="S188" s="33">
        <f t="shared" si="24"/>
        <v>-78.79000000000002</v>
      </c>
      <c r="T188" s="58">
        <f t="shared" si="23"/>
        <v>0</v>
      </c>
    </row>
    <row r="189" spans="1:20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Mar 2026'!$A$8:$F$206,6,FALSE)</f>
        <v>Academy</v>
      </c>
      <c r="G189" s="209"/>
      <c r="H189" s="191">
        <v>1080.04</v>
      </c>
      <c r="I189" s="864">
        <v>-1.5999999999999943</v>
      </c>
      <c r="J189" s="191"/>
      <c r="K189" s="864"/>
      <c r="L189" s="191"/>
      <c r="M189" s="864"/>
      <c r="N189" s="191">
        <v>0</v>
      </c>
      <c r="O189" s="864">
        <v>0</v>
      </c>
      <c r="P189" s="198">
        <f t="shared" si="21"/>
        <v>1078.44</v>
      </c>
      <c r="R189" s="33">
        <f t="shared" si="20"/>
        <v>1080.04</v>
      </c>
      <c r="S189" s="33">
        <f t="shared" si="24"/>
        <v>-1.5999999999999943</v>
      </c>
      <c r="T189" s="58">
        <f t="shared" si="23"/>
        <v>0</v>
      </c>
    </row>
    <row r="190" spans="1:20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Mar 2026'!$A$8:$F$206,6,FALSE)</f>
        <v>Chq Bk</v>
      </c>
      <c r="G190" s="209"/>
      <c r="H190" s="191">
        <v>0</v>
      </c>
      <c r="I190" s="864">
        <v>0</v>
      </c>
      <c r="J190" s="191">
        <v>0</v>
      </c>
      <c r="K190" s="864">
        <v>0</v>
      </c>
      <c r="L190" s="191">
        <v>0</v>
      </c>
      <c r="M190" s="864">
        <v>0</v>
      </c>
      <c r="N190" s="191">
        <v>0</v>
      </c>
      <c r="O190" s="864">
        <v>0</v>
      </c>
      <c r="P190" s="198">
        <f t="shared" si="21"/>
        <v>0</v>
      </c>
      <c r="R190" s="33">
        <f t="shared" si="20"/>
        <v>0</v>
      </c>
      <c r="S190" s="33">
        <f t="shared" si="24"/>
        <v>0</v>
      </c>
      <c r="T190" s="58">
        <f t="shared" si="23"/>
        <v>0</v>
      </c>
    </row>
    <row r="191" spans="1:20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Mar 2026'!$A$8:$F$206,6,FALSE)</f>
        <v>Chq Bk</v>
      </c>
      <c r="G191" s="209"/>
      <c r="H191" s="191">
        <v>462.78</v>
      </c>
      <c r="I191" s="864">
        <v>-252.36</v>
      </c>
      <c r="J191" s="191">
        <v>1515.83</v>
      </c>
      <c r="K191" s="864">
        <v>-2.2599999999999998</v>
      </c>
      <c r="L191" s="191">
        <v>0</v>
      </c>
      <c r="M191" s="864">
        <v>0</v>
      </c>
      <c r="N191" s="191">
        <v>492.08</v>
      </c>
      <c r="O191" s="864">
        <v>-26.9</v>
      </c>
      <c r="P191" s="198">
        <f t="shared" si="21"/>
        <v>2189.17</v>
      </c>
      <c r="R191" s="33">
        <f t="shared" si="20"/>
        <v>2470.69</v>
      </c>
      <c r="S191" s="33">
        <f t="shared" si="24"/>
        <v>-281.52</v>
      </c>
      <c r="T191" s="58">
        <f t="shared" si="23"/>
        <v>0</v>
      </c>
    </row>
    <row r="192" spans="1:20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Mar 2026'!$A$8:$F$206,6,FALSE)</f>
        <v>Chq Bk</v>
      </c>
      <c r="G192" s="209"/>
      <c r="H192" s="191">
        <v>491.91</v>
      </c>
      <c r="I192" s="864">
        <v>-0.83000000000001251</v>
      </c>
      <c r="J192" s="191">
        <v>1843.54</v>
      </c>
      <c r="K192" s="864">
        <v>-3.0699999999999994</v>
      </c>
      <c r="L192" s="191">
        <v>0</v>
      </c>
      <c r="M192" s="864">
        <v>0</v>
      </c>
      <c r="N192" s="191">
        <v>1017.19</v>
      </c>
      <c r="O192" s="864">
        <v>-39.03</v>
      </c>
      <c r="P192" s="198">
        <f t="shared" si="21"/>
        <v>3309.7099999999996</v>
      </c>
      <c r="R192" s="33">
        <f t="shared" si="20"/>
        <v>3352.64</v>
      </c>
      <c r="S192" s="33">
        <f t="shared" si="24"/>
        <v>-42.930000000000014</v>
      </c>
      <c r="T192" s="58">
        <f t="shared" si="23"/>
        <v>0</v>
      </c>
    </row>
    <row r="193" spans="1:20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Mar 2026'!$A$8:$F$206,6,FALSE)</f>
        <v>Chq Bk</v>
      </c>
      <c r="G193" s="209"/>
      <c r="H193" s="191">
        <v>1659.62</v>
      </c>
      <c r="I193" s="864">
        <v>-21.050000000000011</v>
      </c>
      <c r="J193" s="191">
        <v>4586.54</v>
      </c>
      <c r="K193" s="864">
        <v>-47.29</v>
      </c>
      <c r="L193" s="191">
        <v>10351.271775000019</v>
      </c>
      <c r="M193" s="864">
        <v>0</v>
      </c>
      <c r="N193" s="191">
        <v>2709.7</v>
      </c>
      <c r="O193" s="864">
        <v>-108.77</v>
      </c>
      <c r="P193" s="198">
        <f t="shared" si="21"/>
        <v>19130.021775000019</v>
      </c>
      <c r="R193" s="33">
        <f t="shared" si="20"/>
        <v>19307.13177500002</v>
      </c>
      <c r="S193" s="33">
        <f t="shared" si="24"/>
        <v>-177.11</v>
      </c>
      <c r="T193" s="58">
        <f t="shared" si="23"/>
        <v>0</v>
      </c>
    </row>
    <row r="194" spans="1:20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Mar 2026'!$A$8:$F$206,6,FALSE)</f>
        <v>Chq Bk</v>
      </c>
      <c r="G194" s="209"/>
      <c r="H194" s="191">
        <v>177</v>
      </c>
      <c r="I194" s="864">
        <v>-0.25</v>
      </c>
      <c r="J194" s="191">
        <v>2231.6999999999998</v>
      </c>
      <c r="K194" s="864">
        <v>-1.93</v>
      </c>
      <c r="L194" s="191">
        <v>0</v>
      </c>
      <c r="M194" s="864">
        <v>0</v>
      </c>
      <c r="N194" s="191">
        <v>1219.93</v>
      </c>
      <c r="O194" s="864">
        <v>-52.28</v>
      </c>
      <c r="P194" s="198">
        <f t="shared" si="21"/>
        <v>3574.1699999999996</v>
      </c>
      <c r="R194" s="33">
        <f t="shared" si="20"/>
        <v>3628.63</v>
      </c>
      <c r="S194" s="33">
        <f t="shared" si="24"/>
        <v>-54.46</v>
      </c>
      <c r="T194" s="58">
        <f t="shared" si="23"/>
        <v>0</v>
      </c>
    </row>
    <row r="195" spans="1:20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Mar 2026'!$A$8:$F$206,6,FALSE)</f>
        <v>Chq Bk</v>
      </c>
      <c r="G195" s="209"/>
      <c r="H195" s="191">
        <v>0</v>
      </c>
      <c r="I195" s="864">
        <v>0</v>
      </c>
      <c r="J195" s="191">
        <v>0</v>
      </c>
      <c r="K195" s="864">
        <v>0</v>
      </c>
      <c r="L195" s="191">
        <v>1109.3670849999955</v>
      </c>
      <c r="M195" s="864">
        <v>0</v>
      </c>
      <c r="N195" s="191">
        <v>0</v>
      </c>
      <c r="O195" s="864">
        <v>0</v>
      </c>
      <c r="P195" s="198">
        <f t="shared" si="21"/>
        <v>1109.3670849999955</v>
      </c>
      <c r="R195" s="33">
        <f t="shared" si="20"/>
        <v>1109.3670849999955</v>
      </c>
      <c r="S195" s="33">
        <f t="shared" si="24"/>
        <v>0</v>
      </c>
      <c r="T195" s="58">
        <f t="shared" si="23"/>
        <v>0</v>
      </c>
    </row>
    <row r="196" spans="1:20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Mar 2026'!$A$8:$F$206,6,FALSE)</f>
        <v>Academy</v>
      </c>
      <c r="G196" s="209"/>
      <c r="H196" s="191">
        <v>0</v>
      </c>
      <c r="I196" s="864">
        <v>0</v>
      </c>
      <c r="J196" s="191"/>
      <c r="K196" s="864"/>
      <c r="L196" s="191"/>
      <c r="M196" s="864"/>
      <c r="N196" s="191">
        <v>0</v>
      </c>
      <c r="O196" s="864">
        <v>0</v>
      </c>
      <c r="P196" s="198">
        <f t="shared" si="21"/>
        <v>0</v>
      </c>
      <c r="R196" s="33">
        <f t="shared" si="20"/>
        <v>0</v>
      </c>
      <c r="S196" s="33">
        <f t="shared" si="24"/>
        <v>0</v>
      </c>
      <c r="T196" s="58">
        <f t="shared" si="23"/>
        <v>0</v>
      </c>
    </row>
    <row r="197" spans="1:20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Mar 2026'!$A$8:$F$206,6,FALSE)</f>
        <v>Academy</v>
      </c>
      <c r="G197" s="209"/>
      <c r="H197" s="191">
        <v>0</v>
      </c>
      <c r="I197" s="864">
        <v>0</v>
      </c>
      <c r="J197" s="191"/>
      <c r="K197" s="864"/>
      <c r="L197" s="191"/>
      <c r="M197" s="864"/>
      <c r="N197" s="191">
        <v>0</v>
      </c>
      <c r="O197" s="864">
        <v>0</v>
      </c>
      <c r="P197" s="198">
        <f t="shared" si="21"/>
        <v>0</v>
      </c>
      <c r="R197" s="33">
        <f t="shared" si="20"/>
        <v>0</v>
      </c>
      <c r="S197" s="33">
        <f t="shared" si="24"/>
        <v>0</v>
      </c>
      <c r="T197" s="58">
        <f t="shared" si="23"/>
        <v>0</v>
      </c>
    </row>
    <row r="198" spans="1:20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Mar 2026'!$A$8:$F$206,6,FALSE)</f>
        <v>Academy</v>
      </c>
      <c r="G198" s="209"/>
      <c r="H198" s="191">
        <v>0</v>
      </c>
      <c r="I198" s="864">
        <v>0</v>
      </c>
      <c r="J198" s="191">
        <v>0</v>
      </c>
      <c r="K198" s="864">
        <v>0</v>
      </c>
      <c r="L198" s="191"/>
      <c r="M198" s="864"/>
      <c r="N198" s="191">
        <v>0</v>
      </c>
      <c r="O198" s="864">
        <v>0</v>
      </c>
      <c r="P198" s="198">
        <f t="shared" si="21"/>
        <v>0</v>
      </c>
      <c r="R198" s="33">
        <f t="shared" si="20"/>
        <v>0</v>
      </c>
      <c r="S198" s="33">
        <f t="shared" si="24"/>
        <v>0</v>
      </c>
      <c r="T198" s="58">
        <f t="shared" si="23"/>
        <v>0</v>
      </c>
    </row>
    <row r="199" spans="1:20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Mar 2026'!$A$8:$F$206,6,FALSE)</f>
        <v>Chq Bk</v>
      </c>
      <c r="G199" s="209"/>
      <c r="H199" s="191">
        <v>0</v>
      </c>
      <c r="I199" s="864">
        <v>0</v>
      </c>
      <c r="J199" s="191">
        <v>0</v>
      </c>
      <c r="K199" s="864">
        <v>0</v>
      </c>
      <c r="L199" s="191">
        <v>961.08607999998628</v>
      </c>
      <c r="M199" s="864">
        <v>0</v>
      </c>
      <c r="N199" s="191">
        <v>0</v>
      </c>
      <c r="O199" s="864">
        <v>0</v>
      </c>
      <c r="P199" s="198">
        <f t="shared" ref="P199:P206" si="25">SUM(H199:O199)</f>
        <v>961.08607999998628</v>
      </c>
      <c r="R199" s="33">
        <f t="shared" si="20"/>
        <v>961.08607999998628</v>
      </c>
      <c r="S199" s="33">
        <f t="shared" si="24"/>
        <v>0</v>
      </c>
      <c r="T199" s="58">
        <f t="shared" ref="T199:T206" si="26">SUM(R199:S199)-P199</f>
        <v>0</v>
      </c>
    </row>
    <row r="200" spans="1:20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Mar 2026'!$A$8:$F$206,6,FALSE)</f>
        <v>Chq Bk</v>
      </c>
      <c r="G200" s="209"/>
      <c r="H200" s="191">
        <v>734.36</v>
      </c>
      <c r="I200" s="864">
        <v>-0.31</v>
      </c>
      <c r="J200" s="191">
        <v>2064.59</v>
      </c>
      <c r="K200" s="864">
        <v>-9.7799999999999727</v>
      </c>
      <c r="L200" s="191">
        <v>0</v>
      </c>
      <c r="M200" s="864">
        <v>0</v>
      </c>
      <c r="N200" s="191">
        <v>1218.5899999999999</v>
      </c>
      <c r="O200" s="864">
        <v>-118.68</v>
      </c>
      <c r="P200" s="198">
        <f t="shared" si="25"/>
        <v>3888.7700000000009</v>
      </c>
      <c r="R200" s="33">
        <f t="shared" si="20"/>
        <v>4017.54</v>
      </c>
      <c r="S200" s="33">
        <f t="shared" si="24"/>
        <v>-128.76999999999998</v>
      </c>
      <c r="T200" s="58">
        <f t="shared" si="26"/>
        <v>0</v>
      </c>
    </row>
    <row r="201" spans="1:20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Mar 2026'!$A$8:$F$206,6,FALSE)</f>
        <v>Academy</v>
      </c>
      <c r="G201" s="209"/>
      <c r="H201" s="191">
        <v>0</v>
      </c>
      <c r="I201" s="864">
        <v>0</v>
      </c>
      <c r="J201" s="191">
        <v>0</v>
      </c>
      <c r="K201" s="864">
        <v>0</v>
      </c>
      <c r="L201" s="191"/>
      <c r="M201" s="864"/>
      <c r="N201" s="191">
        <v>0</v>
      </c>
      <c r="O201" s="864">
        <v>0</v>
      </c>
      <c r="P201" s="198">
        <f t="shared" si="25"/>
        <v>0</v>
      </c>
      <c r="R201" s="33">
        <f t="shared" si="20"/>
        <v>0</v>
      </c>
      <c r="S201" s="33">
        <f t="shared" si="24"/>
        <v>0</v>
      </c>
      <c r="T201" s="58">
        <f t="shared" si="26"/>
        <v>0</v>
      </c>
    </row>
    <row r="202" spans="1:20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Mar 2026'!$A$8:$F$206,6,FALSE)</f>
        <v>Chq Bk</v>
      </c>
      <c r="G202" s="209"/>
      <c r="H202" s="191">
        <v>0</v>
      </c>
      <c r="I202" s="864">
        <v>0</v>
      </c>
      <c r="J202" s="191">
        <v>0</v>
      </c>
      <c r="K202" s="864">
        <v>0</v>
      </c>
      <c r="L202" s="191">
        <v>0</v>
      </c>
      <c r="M202" s="864">
        <v>0</v>
      </c>
      <c r="N202" s="191">
        <v>0</v>
      </c>
      <c r="O202" s="864">
        <v>0</v>
      </c>
      <c r="P202" s="198">
        <f t="shared" si="25"/>
        <v>0</v>
      </c>
      <c r="R202" s="33">
        <f t="shared" si="20"/>
        <v>0</v>
      </c>
      <c r="S202" s="33">
        <f t="shared" si="24"/>
        <v>0</v>
      </c>
      <c r="T202" s="58">
        <f t="shared" si="26"/>
        <v>0</v>
      </c>
    </row>
    <row r="203" spans="1:20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Mar 2026'!$A$8:$F$206,6,FALSE)</f>
        <v>Academy</v>
      </c>
      <c r="G203" s="209"/>
      <c r="H203" s="191">
        <v>0</v>
      </c>
      <c r="I203" s="864">
        <v>0</v>
      </c>
      <c r="J203" s="191">
        <v>0</v>
      </c>
      <c r="K203" s="864">
        <v>0</v>
      </c>
      <c r="L203" s="191"/>
      <c r="M203" s="864"/>
      <c r="N203" s="191">
        <v>0</v>
      </c>
      <c r="O203" s="864">
        <v>0</v>
      </c>
      <c r="P203" s="198">
        <f t="shared" si="25"/>
        <v>0</v>
      </c>
      <c r="R203" s="33">
        <f t="shared" si="20"/>
        <v>0</v>
      </c>
      <c r="S203" s="33">
        <f t="shared" si="24"/>
        <v>0</v>
      </c>
      <c r="T203" s="58">
        <f t="shared" si="26"/>
        <v>0</v>
      </c>
    </row>
    <row r="204" spans="1:20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Mar 2026'!$A$8:$F$206,6,FALSE)</f>
        <v>Academy</v>
      </c>
      <c r="G204" s="209"/>
      <c r="H204" s="191">
        <v>0</v>
      </c>
      <c r="I204" s="864">
        <v>0</v>
      </c>
      <c r="J204" s="191">
        <v>0</v>
      </c>
      <c r="K204" s="864">
        <v>0</v>
      </c>
      <c r="L204" s="191"/>
      <c r="M204" s="864"/>
      <c r="N204" s="191">
        <v>0</v>
      </c>
      <c r="O204" s="864">
        <v>0</v>
      </c>
      <c r="P204" s="198">
        <f t="shared" si="25"/>
        <v>0</v>
      </c>
      <c r="R204" s="33">
        <f t="shared" si="20"/>
        <v>0</v>
      </c>
      <c r="S204" s="33">
        <f t="shared" si="24"/>
        <v>0</v>
      </c>
      <c r="T204" s="58">
        <f t="shared" si="26"/>
        <v>0</v>
      </c>
    </row>
    <row r="205" spans="1:20">
      <c r="A205" s="200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Mar 2026'!$A$8:$F$206,6,FALSE)</f>
        <v>Chq Bk</v>
      </c>
      <c r="G205" s="209"/>
      <c r="H205" s="191">
        <v>991.99</v>
      </c>
      <c r="I205" s="864">
        <v>-1.1100000000000001</v>
      </c>
      <c r="J205" s="191">
        <v>1415.34</v>
      </c>
      <c r="K205" s="864">
        <v>-14.720000000000027</v>
      </c>
      <c r="L205" s="191">
        <v>0</v>
      </c>
      <c r="M205" s="864">
        <v>0</v>
      </c>
      <c r="N205" s="191">
        <v>527.29</v>
      </c>
      <c r="O205" s="864">
        <v>-44.08</v>
      </c>
      <c r="P205" s="198">
        <f t="shared" si="25"/>
        <v>2874.71</v>
      </c>
      <c r="R205" s="33">
        <f t="shared" si="20"/>
        <v>2934.62</v>
      </c>
      <c r="S205" s="33">
        <f t="shared" si="24"/>
        <v>-59.910000000000025</v>
      </c>
      <c r="T205" s="58">
        <f t="shared" si="26"/>
        <v>0</v>
      </c>
    </row>
    <row r="206" spans="1:20">
      <c r="A206" s="200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Mar 2026'!$A$8:$F$206,6,FALSE)</f>
        <v>Chq Bk</v>
      </c>
      <c r="G206" s="209"/>
      <c r="H206" s="191">
        <v>553.59</v>
      </c>
      <c r="I206" s="864">
        <v>-1.94</v>
      </c>
      <c r="J206" s="191">
        <v>1517.66</v>
      </c>
      <c r="K206" s="864">
        <v>-2.98</v>
      </c>
      <c r="L206" s="191">
        <v>2894.6902849999697</v>
      </c>
      <c r="M206" s="864">
        <v>0</v>
      </c>
      <c r="N206" s="191">
        <v>810.31</v>
      </c>
      <c r="O206" s="864">
        <v>-3.9</v>
      </c>
      <c r="P206" s="198">
        <f t="shared" si="25"/>
        <v>5767.4302849999694</v>
      </c>
      <c r="R206" s="33">
        <f t="shared" si="20"/>
        <v>5776.2502849999692</v>
      </c>
      <c r="S206" s="33">
        <f t="shared" si="24"/>
        <v>-8.82</v>
      </c>
      <c r="T206" s="58">
        <f t="shared" si="26"/>
        <v>0</v>
      </c>
    </row>
    <row r="207" spans="1:20" s="195" customFormat="1" ht="15" thickBot="1">
      <c r="A207" s="202"/>
      <c r="B207" s="192"/>
      <c r="C207" s="192"/>
      <c r="D207" s="196"/>
      <c r="E207" s="192"/>
      <c r="F207" s="203"/>
      <c r="G207"/>
      <c r="H207" s="219">
        <f>SUM(H7:H206)</f>
        <v>325106.34000000003</v>
      </c>
      <c r="I207" s="219">
        <f>SUM(I7:I206)</f>
        <v>-1623.37</v>
      </c>
      <c r="J207" s="219">
        <f t="shared" ref="J207:O207" si="27">SUM(J7:J206)</f>
        <v>301347.33</v>
      </c>
      <c r="K207" s="219">
        <f t="shared" si="27"/>
        <v>-2830.4100000000003</v>
      </c>
      <c r="L207" s="219">
        <f t="shared" si="27"/>
        <v>644394.29857423156</v>
      </c>
      <c r="M207" s="219">
        <f t="shared" si="27"/>
        <v>-1040.3900000000001</v>
      </c>
      <c r="N207" s="219">
        <f t="shared" si="27"/>
        <v>232666.63000000009</v>
      </c>
      <c r="O207" s="219">
        <f t="shared" si="27"/>
        <v>-3787.74</v>
      </c>
      <c r="P207" s="219">
        <f>SUM(P7:P206)</f>
        <v>1494232.6885742317</v>
      </c>
      <c r="R207" s="220">
        <f>SUM(R7:R206)</f>
        <v>1503514.5985742316</v>
      </c>
      <c r="S207" s="220">
        <f>SUM(S7:S206)</f>
        <v>-9281.9100000000017</v>
      </c>
      <c r="T207" s="220">
        <f t="shared" ref="T207" si="28">SUM(T70:T206)</f>
        <v>0</v>
      </c>
    </row>
    <row r="208" spans="1:20" ht="15" thickTop="1">
      <c r="A208" s="200"/>
      <c r="B208" s="2"/>
      <c r="C208" s="2"/>
      <c r="D208" s="2"/>
      <c r="E208" s="2"/>
      <c r="F208" s="201"/>
      <c r="H208" s="218"/>
      <c r="I208" s="218"/>
      <c r="J208" s="218"/>
      <c r="K208" s="218"/>
      <c r="L208" s="218"/>
      <c r="M208" s="218"/>
      <c r="N208" s="218"/>
      <c r="O208" s="218"/>
      <c r="P208" s="218"/>
      <c r="T208" s="58"/>
    </row>
    <row r="209" spans="1:20" ht="15" thickBot="1">
      <c r="A209" s="204"/>
      <c r="B209" s="205"/>
      <c r="C209" s="205"/>
      <c r="D209" s="206"/>
      <c r="E209" s="206"/>
      <c r="F209" s="207"/>
      <c r="G209" s="66" t="s">
        <v>479</v>
      </c>
      <c r="H209" s="216"/>
      <c r="I209" s="216"/>
      <c r="J209" s="216"/>
      <c r="K209" s="216"/>
      <c r="L209" s="216"/>
      <c r="M209" s="216"/>
      <c r="N209" s="216"/>
      <c r="O209" s="216"/>
      <c r="P209" s="216"/>
      <c r="R209" s="188"/>
      <c r="S209" s="188"/>
      <c r="T209" s="188"/>
    </row>
    <row r="210" spans="1:20">
      <c r="T210" s="33"/>
    </row>
    <row r="211" spans="1:20">
      <c r="T211" s="33"/>
    </row>
    <row r="212" spans="1:20">
      <c r="H212" s="58"/>
      <c r="T212" s="33"/>
    </row>
    <row r="213" spans="1:20">
      <c r="T213" s="33"/>
    </row>
    <row r="214" spans="1:20">
      <c r="H214" s="58"/>
      <c r="T214" s="33"/>
    </row>
    <row r="215" spans="1:20">
      <c r="H215" s="58"/>
      <c r="T215" s="33"/>
    </row>
    <row r="216" spans="1:20">
      <c r="T216" s="33"/>
    </row>
    <row r="217" spans="1:20">
      <c r="H217" s="33"/>
      <c r="T217" s="33"/>
    </row>
  </sheetData>
  <sheetProtection algorithmName="SHA-512" hashValue="kMtiaxxBLIg8AjEusVcOk1DJuMveZCNj8/Cok8B0BW47E789bEmHk0Uv/7n6q6TCgZngNX4SUXhHUr+KOzWvMA==" saltValue="tAHi9wfS3nhOAUC1THo8ag==" spinCount="100000" sheet="1" objects="1" scenarios="1" autoFilter="0"/>
  <autoFilter ref="A6:DX207" xr:uid="{0F21AC25-0319-43A5-9108-6C8C7348D185}"/>
  <conditionalFormatting sqref="A6:H7 F8:H206 H8:H207">
    <cfRule type="cellIs" dxfId="15" priority="8" operator="lessThan">
      <formula>0</formula>
    </cfRule>
  </conditionalFormatting>
  <conditionalFormatting sqref="I6:I206 I207:P207">
    <cfRule type="cellIs" dxfId="14" priority="4" operator="lessThan">
      <formula>0</formula>
    </cfRule>
  </conditionalFormatting>
  <conditionalFormatting sqref="K7:K206">
    <cfRule type="cellIs" dxfId="13" priority="2" operator="lessThan">
      <formula>0</formula>
    </cfRule>
  </conditionalFormatting>
  <conditionalFormatting sqref="M7:M206">
    <cfRule type="cellIs" dxfId="12" priority="3" operator="lessThan">
      <formula>0</formula>
    </cfRule>
  </conditionalFormatting>
  <conditionalFormatting sqref="O6:P206">
    <cfRule type="cellIs" dxfId="1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e9011b-86f1-4b85-8468-bde8c49fc6b6">
      <Terms xmlns="http://schemas.microsoft.com/office/infopath/2007/PartnerControls"/>
    </lcf76f155ced4ddcb4097134ff3c332f>
    <TaxCatchAll xmlns="db86872e-852c-4ba3-99d1-10e4e076724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8E088D61435D429F53A8D9D38B3C75" ma:contentTypeVersion="16" ma:contentTypeDescription="Create a new document." ma:contentTypeScope="" ma:versionID="d051f25b37c5f98882f7a49a1b763792">
  <xsd:schema xmlns:xsd="http://www.w3.org/2001/XMLSchema" xmlns:xs="http://www.w3.org/2001/XMLSchema" xmlns:p="http://schemas.microsoft.com/office/2006/metadata/properties" xmlns:ns2="1ce9011b-86f1-4b85-8468-bde8c49fc6b6" xmlns:ns3="db86872e-852c-4ba3-99d1-10e4e0767240" targetNamespace="http://schemas.microsoft.com/office/2006/metadata/properties" ma:root="true" ma:fieldsID="da688b352a2041fa20d9e68dc7297162" ns2:_="" ns3:_="">
    <xsd:import namespace="1ce9011b-86f1-4b85-8468-bde8c49fc6b6"/>
    <xsd:import namespace="db86872e-852c-4ba3-99d1-10e4e07672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e9011b-86f1-4b85-8468-bde8c49fc6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7eb6393-bae5-439c-9df7-ed1047f922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6872e-852c-4ba3-99d1-10e4e076724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70b6b83-76f1-4f83-84ac-1b0750170f81}" ma:internalName="TaxCatchAll" ma:showField="CatchAllData" ma:web="db86872e-852c-4ba3-99d1-10e4e07672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CEB0B6-1A5E-45F2-A605-B2C0D3E4F31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A208F7-8C11-4951-BB85-466BA6BD88E0}">
  <ds:schemaRefs>
    <ds:schemaRef ds:uri="http://purl.org/dc/elements/1.1/"/>
    <ds:schemaRef ds:uri="http://www.w3.org/XML/1998/namespace"/>
    <ds:schemaRef ds:uri="1ce9011b-86f1-4b85-8468-bde8c49fc6b6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db86872e-852c-4ba3-99d1-10e4e0767240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C4A34B7-1780-46CB-ACBE-5026187623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e9011b-86f1-4b85-8468-bde8c49fc6b6"/>
    <ds:schemaRef ds:uri="db86872e-852c-4ba3-99d1-10e4e0767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CONTROL CFR</vt:lpstr>
      <vt:lpstr>1. Calculator</vt:lpstr>
      <vt:lpstr>2. Cash Flow Statement</vt:lpstr>
      <vt:lpstr>3. Monitoring</vt:lpstr>
      <vt:lpstr>PIVOT Summary Mar 2026</vt:lpstr>
      <vt:lpstr>Summary Mar 2026</vt:lpstr>
      <vt:lpstr>OtherDSG</vt:lpstr>
      <vt:lpstr>Grants</vt:lpstr>
      <vt:lpstr>Barclays</vt:lpstr>
      <vt:lpstr>Cash Advances</vt:lpstr>
      <vt:lpstr>LA Expenditure</vt:lpstr>
      <vt:lpstr>HN</vt:lpstr>
      <vt:lpstr>EY</vt:lpstr>
      <vt:lpstr>Post 16</vt:lpstr>
      <vt:lpstr>ISB</vt:lpstr>
      <vt:lpstr>LA Deductions</vt:lpstr>
      <vt:lpstr>Lookup</vt:lpstr>
      <vt:lpstr>'1. Calculator'!Print_Area</vt:lpstr>
      <vt:lpstr>'2. Cash Flow Statement'!Print_Area</vt:lpstr>
    </vt:vector>
  </TitlesOfParts>
  <Manager/>
  <Company>London Borough of Redbridge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Cash Sheets Oct 2025 Maintained</dc:title>
  <dc:subject/>
  <dc:creator>Melissa Williamson</dc:creator>
  <cp:keywords/>
  <dc:description/>
  <cp:lastModifiedBy>Amena Akram</cp:lastModifiedBy>
  <cp:revision/>
  <cp:lastPrinted>2026-02-25T14:31:30Z</cp:lastPrinted>
  <dcterms:created xsi:type="dcterms:W3CDTF">2017-03-31T08:18:11Z</dcterms:created>
  <dcterms:modified xsi:type="dcterms:W3CDTF">2026-02-25T14:32:05Z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0x010100718E088D61435D429F53A8D9D38B3C75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7471b1-27ab-4640-9264-e69a67407ca3_Enabled">
    <vt:lpwstr>true</vt:lpwstr>
  </property>
  <property fmtid="{D5CDD505-2E9C-101B-9397-08002B2CF9AE}" pid="7" name="MSIP_Label_a17471b1-27ab-4640-9264-e69a67407ca3_SetDate">
    <vt:lpwstr>2024-05-24T10:54:52Z</vt:lpwstr>
  </property>
  <property fmtid="{D5CDD505-2E9C-101B-9397-08002B2CF9AE}" pid="8" name="MSIP_Label_a17471b1-27ab-4640-9264-e69a67407ca3_Method">
    <vt:lpwstr>Standard</vt:lpwstr>
  </property>
  <property fmtid="{D5CDD505-2E9C-101B-9397-08002B2CF9AE}" pid="9" name="MSIP_Label_a17471b1-27ab-4640-9264-e69a67407ca3_Name">
    <vt:lpwstr>BCC - OFFICIAL</vt:lpwstr>
  </property>
  <property fmtid="{D5CDD505-2E9C-101B-9397-08002B2CF9AE}" pid="10" name="MSIP_Label_a17471b1-27ab-4640-9264-e69a67407ca3_SiteId">
    <vt:lpwstr>699ace67-d2e4-4bcd-b303-d2bbe2b9bbf1</vt:lpwstr>
  </property>
  <property fmtid="{D5CDD505-2E9C-101B-9397-08002B2CF9AE}" pid="11" name="MSIP_Label_a17471b1-27ab-4640-9264-e69a67407ca3_ActionId">
    <vt:lpwstr>d69e5e4a-f524-4583-8dd9-b967dc4ea78d</vt:lpwstr>
  </property>
  <property fmtid="{D5CDD505-2E9C-101B-9397-08002B2CF9AE}" pid="12" name="MSIP_Label_a17471b1-27ab-4640-9264-e69a67407ca3_ContentBits">
    <vt:lpwstr>2</vt:lpwstr>
  </property>
  <property fmtid="{D5CDD505-2E9C-101B-9397-08002B2CF9AE}" pid="13" name="MediaServiceImageTags">
    <vt:lpwstr/>
  </property>
  <property fmtid="{D5CDD505-2E9C-101B-9397-08002B2CF9AE}" pid="14" name="CloudStatistics_StoryID">
    <vt:lpwstr>8937c4ff-8663-4f87-b16d-fd6adba17b81</vt:lpwstr>
  </property>
</Properties>
</file>